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drawings/drawing1.xml" ContentType="application/vnd.openxmlformats-officedocument.drawing+xml"/>
  <Override PartName="/xl/tables/table3.xml" ContentType="application/vnd.openxmlformats-officedocument.spreadsheetml.table+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4.xml" ContentType="application/vnd.openxmlformats-officedocument.spreadsheetml.table+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tables/table5.xml" ContentType="application/vnd.openxmlformats-officedocument.spreadsheetml.table+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comments5.xml" ContentType="application/vnd.openxmlformats-officedocument.spreadsheetml.comment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tables/table6.xml" ContentType="application/vnd.openxmlformats-officedocument.spreadsheetml.table+xml"/>
  <Override PartName="/xl/comments6.xml" ContentType="application/vnd.openxmlformats-officedocument.spreadsheetml.comment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tables/table7.xml" ContentType="application/vnd.openxmlformats-officedocument.spreadsheetml.table+xml"/>
  <Override PartName="/xl/comments7.xml" ContentType="application/vnd.openxmlformats-officedocument.spreadsheetml.comments+xml"/>
  <Override PartName="/xl/charts/chart9.xml" ContentType="application/vnd.openxmlformats-officedocument.drawingml.chart+xml"/>
  <Override PartName="/xl/drawings/drawing8.xml" ContentType="application/vnd.openxmlformats-officedocument.drawing+xml"/>
  <Override PartName="/xl/tables/table8.xml" ContentType="application/vnd.openxmlformats-officedocument.spreadsheetml.table+xml"/>
  <Override PartName="/xl/comments8.xml" ContentType="application/vnd.openxmlformats-officedocument.spreadsheetml.comments+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drawings/drawing9.xml" ContentType="application/vnd.openxmlformats-officedocument.drawingml.chartshapes+xml"/>
  <Override PartName="/xl/drawings/drawing10.xml" ContentType="application/vnd.openxmlformats-officedocument.drawing+xml"/>
  <Override PartName="/xl/tables/table9.xml" ContentType="application/vnd.openxmlformats-officedocument.spreadsheetml.table+xml"/>
  <Override PartName="/xl/comments9.xml" ContentType="application/vnd.openxmlformats-officedocument.spreadsheetml.comments+xml"/>
  <Override PartName="/xl/charts/chart11.xml" ContentType="application/vnd.openxmlformats-officedocument.drawingml.chart+xml"/>
  <Override PartName="/xl/drawings/drawing11.xml" ContentType="application/vnd.openxmlformats-officedocument.drawingml.chartshapes+xml"/>
  <Override PartName="/xl/drawings/drawing12.xml" ContentType="application/vnd.openxmlformats-officedocument.drawing+xml"/>
  <Override PartName="/xl/tables/table10.xml" ContentType="application/vnd.openxmlformats-officedocument.spreadsheetml.table+xml"/>
  <Override PartName="/xl/comments10.xml" ContentType="application/vnd.openxmlformats-officedocument.spreadsheetml.comments+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3.xml" ContentType="application/vnd.openxmlformats-officedocument.drawingml.chartshapes+xml"/>
  <Override PartName="/xl/drawings/drawing14.xml" ContentType="application/vnd.openxmlformats-officedocument.drawing+xml"/>
  <Override PartName="/xl/tables/table11.xml" ContentType="application/vnd.openxmlformats-officedocument.spreadsheetml.table+xml"/>
  <Override PartName="/xl/comments11.xml" ContentType="application/vnd.openxmlformats-officedocument.spreadsheetml.comments+xml"/>
  <Override PartName="/xl/charts/chart13.xml" ContentType="application/vnd.openxmlformats-officedocument.drawingml.chart+xml"/>
  <Override PartName="/xl/drawings/drawing15.xml" ContentType="application/vnd.openxmlformats-officedocument.drawing+xml"/>
  <Override PartName="/xl/tables/table12.xml" ContentType="application/vnd.openxmlformats-officedocument.spreadsheetml.table+xml"/>
  <Override PartName="/xl/comments12.xml" ContentType="application/vnd.openxmlformats-officedocument.spreadsheetml.comments+xml"/>
  <Override PartName="/xl/charts/chart14.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6.xml" ContentType="application/vnd.openxmlformats-officedocument.drawingml.chartshapes+xml"/>
  <Override PartName="/xl/drawings/drawing17.xml" ContentType="application/vnd.openxmlformats-officedocument.drawing+xml"/>
  <Override PartName="/xl/tables/table13.xml" ContentType="application/vnd.openxmlformats-officedocument.spreadsheetml.table+xml"/>
  <Override PartName="/xl/comments13.xml" ContentType="application/vnd.openxmlformats-officedocument.spreadsheetml.comments+xml"/>
  <Override PartName="/xl/charts/chart15.xml" ContentType="application/vnd.openxmlformats-officedocument.drawingml.chart+xml"/>
  <Override PartName="/xl/drawings/drawing18.xml" ContentType="application/vnd.openxmlformats-officedocument.drawing+xml"/>
  <Override PartName="/xl/tables/table14.xml" ContentType="application/vnd.openxmlformats-officedocument.spreadsheetml.table+xml"/>
  <Override PartName="/xl/comments14.xml" ContentType="application/vnd.openxmlformats-officedocument.spreadsheetml.comments+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9.xml" ContentType="application/vnd.openxmlformats-officedocument.drawingml.chartshapes+xml"/>
  <Override PartName="/xl/drawings/drawing20.xml" ContentType="application/vnd.openxmlformats-officedocument.drawing+xml"/>
  <Override PartName="/xl/tables/table15.xml" ContentType="application/vnd.openxmlformats-officedocument.spreadsheetml.table+xml"/>
  <Override PartName="/xl/comments15.xml" ContentType="application/vnd.openxmlformats-officedocument.spreadsheetml.comments+xml"/>
  <Override PartName="/xl/charts/chart17.xml" ContentType="application/vnd.openxmlformats-officedocument.drawingml.chart+xml"/>
  <Override PartName="/xl/drawings/drawing21.xml" ContentType="application/vnd.openxmlformats-officedocument.drawing+xml"/>
  <Override PartName="/xl/tables/table16.xml" ContentType="application/vnd.openxmlformats-officedocument.spreadsheetml.table+xml"/>
  <Override PartName="/xl/comments16.xml" ContentType="application/vnd.openxmlformats-officedocument.spreadsheetml.comments+xml"/>
  <Override PartName="/xl/charts/chart18.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2.xml" ContentType="application/vnd.openxmlformats-officedocument.drawingml.chartshapes+xml"/>
  <Override PartName="/xl/drawings/drawing23.xml" ContentType="application/vnd.openxmlformats-officedocument.drawing+xml"/>
  <Override PartName="/xl/tables/table17.xml" ContentType="application/vnd.openxmlformats-officedocument.spreadsheetml.table+xml"/>
  <Override PartName="/xl/comments17.xml" ContentType="application/vnd.openxmlformats-officedocument.spreadsheetml.comments+xml"/>
  <Override PartName="/xl/charts/chart19.xml" ContentType="application/vnd.openxmlformats-officedocument.drawingml.chart+xml"/>
  <Override PartName="/xl/drawings/drawing24.xml" ContentType="application/vnd.openxmlformats-officedocument.drawing+xml"/>
  <Override PartName="/xl/comments18.xml" ContentType="application/vnd.openxmlformats-officedocument.spreadsheetml.comments+xml"/>
  <Override PartName="/xl/charts/chart20.xml" ContentType="application/vnd.openxmlformats-officedocument.drawingml.chart+xml"/>
  <Override PartName="/xl/charts/style14.xml" ContentType="application/vnd.ms-office.chartstyle+xml"/>
  <Override PartName="/xl/charts/colors14.xml" ContentType="application/vnd.ms-office.chartcolorstyle+xml"/>
  <Override PartName="/xl/charts/chart21.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5.xml" ContentType="application/vnd.openxmlformats-officedocument.drawingml.chartshapes+xml"/>
  <Override PartName="/xl/drawings/drawing26.xml" ContentType="application/vnd.openxmlformats-officedocument.drawing+xml"/>
  <Override PartName="/xl/comments19.xml" ContentType="application/vnd.openxmlformats-officedocument.spreadsheetml.comments+xml"/>
  <Override PartName="/xl/charts/chart22.xml" ContentType="application/vnd.openxmlformats-officedocument.drawingml.chart+xml"/>
  <Override PartName="/xl/charts/style16.xml" ContentType="application/vnd.ms-office.chartstyle+xml"/>
  <Override PartName="/xl/charts/colors16.xml" ContentType="application/vnd.ms-office.chartcolorstyle+xml"/>
  <Override PartName="/xl/charts/chart23.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7.xml" ContentType="application/vnd.openxmlformats-officedocument.drawingml.chartshapes+xml"/>
  <Override PartName="/xl/charts/chart24.xml" ContentType="application/vnd.openxmlformats-officedocument.drawingml.chart+xml"/>
  <Override PartName="/xl/charts/style18.xml" ContentType="application/vnd.ms-office.chartstyle+xml"/>
  <Override PartName="/xl/charts/colors18.xml" ContentType="application/vnd.ms-office.chartcolorstyle+xml"/>
  <Override PartName="/xl/comments20.xml" ContentType="application/vnd.openxmlformats-officedocument.spreadsheetml.comments+xml"/>
  <Override PartName="/xl/drawings/drawing28.xml" ContentType="application/vnd.openxmlformats-officedocument.drawing+xml"/>
  <Override PartName="/xl/tables/table18.xml" ContentType="application/vnd.openxmlformats-officedocument.spreadsheetml.table+xml"/>
  <Override PartName="/xl/comments21.xml" ContentType="application/vnd.openxmlformats-officedocument.spreadsheetml.comments+xml"/>
  <Override PartName="/xl/charts/chart25.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9.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F:\USB_12_01_20\1_NU_06_09\NUS_Singapore\NUS_Research\IWA_Paper_Affordability\IWA_Dbase\"/>
    </mc:Choice>
  </mc:AlternateContent>
  <bookViews>
    <workbookView xWindow="-120" yWindow="-120" windowWidth="20730" windowHeight="11160" tabRatio="577" firstSheet="18" activeTab="23"/>
  </bookViews>
  <sheets>
    <sheet name="Abstraction source" sheetId="41" r:id="rId1"/>
    <sheet name="% abstraction source" sheetId="42" r:id="rId2"/>
    <sheet name="Abstraction per capita" sheetId="43" r:id="rId3"/>
    <sheet name="Water delivered" sheetId="44" r:id="rId4"/>
    <sheet name="Delivered HH per capita" sheetId="45" r:id="rId5"/>
    <sheet name="2017Total charges cities 200 m³" sheetId="46" r:id="rId6"/>
    <sheet name="2015Total charges cities 200 m³" sheetId="65" r:id="rId7"/>
    <sheet name="2017Total DW ch cities 200 m³" sheetId="47" r:id="rId8"/>
    <sheet name="2015Total DW ch cities 200 m³" sheetId="66" r:id="rId9"/>
    <sheet name="2017Total ch capitals 200 m³" sheetId="48" r:id="rId10"/>
    <sheet name="2015Total ch capitals 200 m³" sheetId="67" r:id="rId11"/>
    <sheet name="2017Total charges cities 100 m³" sheetId="49" r:id="rId12"/>
    <sheet name="2015Total charges cities 100 m³" sheetId="68" r:id="rId13"/>
    <sheet name="2017Total DW ch cities 100 m³" sheetId="53" r:id="rId14"/>
    <sheet name="2015Total DW ch cities 100 m³" sheetId="69" r:id="rId15"/>
    <sheet name="2017Total ch capitals 100 m³" sheetId="54" r:id="rId16"/>
    <sheet name="2015Total ch capitals 100 m³" sheetId="70" r:id="rId17"/>
    <sheet name="Consumption HH cities" sheetId="56" r:id="rId18"/>
    <sheet name="Consumption HH capitals" sheetId="55" r:id="rId19"/>
    <sheet name="regulation 2017" sheetId="57" r:id="rId20"/>
    <sheet name="participants Tokyo 2018" sheetId="58" r:id="rId21"/>
    <sheet name="HH size" sheetId="59" r:id="rId22"/>
    <sheet name="exchange rates" sheetId="20" r:id="rId23"/>
    <sheet name="2017Total charges cities 10 (2" sheetId="73" r:id="rId24"/>
  </sheets>
  <externalReferences>
    <externalReference r:id="rId25"/>
  </externalReferences>
  <definedNames>
    <definedName name="_xlnm._FilterDatabase" localSheetId="23" hidden="1">'2017Total charges cities 10 (2'!$B$498:$B$696</definedName>
    <definedName name="_xlnm._FilterDatabase" localSheetId="11" hidden="1">'2017Total charges cities 100 m³'!$B$1:$B$696</definedName>
    <definedName name="_xlnm.Print_Area" localSheetId="2">Tabel6520[[#All],[Country]]</definedName>
    <definedName name="_xlnm.Print_Area" localSheetId="20">'participants Tokyo 2018'!$A$1:$B$53</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M696" i="73" l="1"/>
  <c r="M695" i="73"/>
  <c r="M694" i="73"/>
  <c r="M693" i="73"/>
  <c r="M692" i="73"/>
  <c r="M691" i="73"/>
  <c r="M690" i="73"/>
  <c r="M689" i="73"/>
  <c r="M688" i="73"/>
  <c r="M687" i="73"/>
  <c r="M686" i="73"/>
  <c r="M685" i="73"/>
  <c r="M684" i="73"/>
  <c r="M683" i="73"/>
  <c r="M682" i="73"/>
  <c r="M681" i="73"/>
  <c r="M680" i="73"/>
  <c r="M679" i="73"/>
  <c r="M678" i="73"/>
  <c r="M677" i="73"/>
  <c r="M676" i="73"/>
  <c r="M675" i="73"/>
  <c r="M674" i="73"/>
  <c r="M673" i="73"/>
  <c r="M672" i="73"/>
  <c r="M671" i="73"/>
  <c r="M670" i="73"/>
  <c r="M669" i="73"/>
  <c r="M668" i="73"/>
  <c r="M667" i="73"/>
  <c r="M666" i="73"/>
  <c r="M665" i="73"/>
  <c r="M664" i="73"/>
  <c r="M663" i="73"/>
  <c r="M662" i="73"/>
  <c r="M661" i="73"/>
  <c r="M660" i="73"/>
  <c r="M659" i="73"/>
  <c r="M658" i="73"/>
  <c r="M657" i="73"/>
  <c r="M656" i="73"/>
  <c r="M655" i="73"/>
  <c r="M654" i="73"/>
  <c r="M653" i="73"/>
  <c r="M652" i="73"/>
  <c r="M651" i="73"/>
  <c r="M650" i="73"/>
  <c r="M649" i="73"/>
  <c r="M648" i="73"/>
  <c r="M647" i="73"/>
  <c r="M646" i="73"/>
  <c r="M645" i="73"/>
  <c r="M644" i="73"/>
  <c r="M643" i="73"/>
  <c r="M642" i="73"/>
  <c r="M641" i="73"/>
  <c r="M640" i="73"/>
  <c r="M639" i="73"/>
  <c r="M638" i="73"/>
  <c r="M637" i="73"/>
  <c r="M636" i="73"/>
  <c r="M635" i="73"/>
  <c r="M634" i="73"/>
  <c r="M633" i="73"/>
  <c r="M632" i="73"/>
  <c r="M631" i="73"/>
  <c r="M630" i="73"/>
  <c r="M629" i="73"/>
  <c r="M628" i="73"/>
  <c r="M627" i="73"/>
  <c r="M626" i="73"/>
  <c r="M625" i="73"/>
  <c r="M624" i="73"/>
  <c r="M623" i="73"/>
  <c r="M622" i="73"/>
  <c r="M621" i="73"/>
  <c r="M620" i="73"/>
  <c r="M619" i="73"/>
  <c r="M618" i="73"/>
  <c r="M617" i="73"/>
  <c r="M616" i="73"/>
  <c r="M615" i="73"/>
  <c r="M614" i="73"/>
  <c r="M613" i="73"/>
  <c r="M612" i="73"/>
  <c r="M611" i="73"/>
  <c r="M610" i="73"/>
  <c r="M609" i="73"/>
  <c r="M608" i="73"/>
  <c r="M607" i="73"/>
  <c r="M606" i="73"/>
  <c r="M605" i="73"/>
  <c r="M604" i="73"/>
  <c r="M603" i="73"/>
  <c r="M602" i="73"/>
  <c r="M601" i="73"/>
  <c r="M600" i="73"/>
  <c r="M599" i="73"/>
  <c r="M598" i="73"/>
  <c r="M597" i="73"/>
  <c r="M596" i="73"/>
  <c r="M595" i="73"/>
  <c r="M594" i="73"/>
  <c r="M593" i="73"/>
  <c r="M592" i="73"/>
  <c r="M591" i="73"/>
  <c r="M590" i="73"/>
  <c r="M589" i="73"/>
  <c r="M588" i="73"/>
  <c r="M587" i="73"/>
  <c r="M586" i="73"/>
  <c r="M585" i="73"/>
  <c r="M584" i="73"/>
  <c r="M583" i="73"/>
  <c r="M582" i="73"/>
  <c r="M581" i="73"/>
  <c r="M580" i="73"/>
  <c r="M579" i="73"/>
  <c r="M578" i="73"/>
  <c r="M577" i="73"/>
  <c r="M576" i="73"/>
  <c r="M575" i="73"/>
  <c r="M574" i="73"/>
  <c r="M573" i="73"/>
  <c r="M572" i="73"/>
  <c r="M571" i="73"/>
  <c r="M570" i="73"/>
  <c r="M569" i="73"/>
  <c r="M568" i="73"/>
  <c r="M567" i="73"/>
  <c r="M566" i="73"/>
  <c r="M565" i="73"/>
  <c r="M564" i="73"/>
  <c r="M563" i="73"/>
  <c r="M562" i="73"/>
  <c r="M561" i="73"/>
  <c r="M560" i="73"/>
  <c r="M559" i="73"/>
  <c r="M558" i="73"/>
  <c r="M557" i="73"/>
  <c r="M556" i="73"/>
  <c r="M555" i="73"/>
  <c r="M554" i="73"/>
  <c r="M553" i="73"/>
  <c r="M552" i="73"/>
  <c r="M551" i="73"/>
  <c r="M550" i="73"/>
  <c r="M549" i="73"/>
  <c r="M548" i="73"/>
  <c r="M547" i="73"/>
  <c r="M546" i="73"/>
  <c r="M545" i="73"/>
  <c r="M544" i="73"/>
  <c r="M543" i="73"/>
  <c r="M542" i="73"/>
  <c r="M541" i="73"/>
  <c r="M540" i="73"/>
  <c r="M539" i="73"/>
  <c r="M538" i="73"/>
  <c r="M537" i="73"/>
  <c r="M536" i="73"/>
  <c r="M535" i="73"/>
  <c r="M534" i="73"/>
  <c r="M533" i="73"/>
  <c r="M532" i="73"/>
  <c r="M531" i="73"/>
  <c r="M530" i="73"/>
  <c r="M529" i="73"/>
  <c r="M528" i="73"/>
  <c r="M527" i="73"/>
  <c r="M526" i="73"/>
  <c r="M525" i="73"/>
  <c r="M524" i="73"/>
  <c r="M523" i="73"/>
  <c r="M522" i="73"/>
  <c r="M521" i="73"/>
  <c r="M520" i="73"/>
  <c r="M519" i="73"/>
  <c r="M518" i="73"/>
  <c r="M517" i="73"/>
  <c r="M516" i="73"/>
  <c r="M515" i="73"/>
  <c r="M514" i="73"/>
  <c r="M513" i="73"/>
  <c r="M512" i="73"/>
  <c r="M511" i="73"/>
  <c r="M510" i="73"/>
  <c r="M509" i="73"/>
  <c r="M508" i="73"/>
  <c r="M507" i="73"/>
  <c r="M506" i="73"/>
  <c r="M505" i="73"/>
  <c r="M504" i="73"/>
  <c r="M503" i="73"/>
  <c r="M502" i="73"/>
  <c r="M501" i="73"/>
  <c r="M500" i="73"/>
  <c r="M499" i="73"/>
  <c r="R495" i="73"/>
  <c r="S495" i="73" s="1"/>
  <c r="M495" i="73"/>
  <c r="R494" i="73"/>
  <c r="S494" i="73" s="1"/>
  <c r="M494" i="73"/>
  <c r="R493" i="73"/>
  <c r="S493" i="73" s="1"/>
  <c r="M493" i="73"/>
  <c r="R492" i="73"/>
  <c r="S492" i="73" s="1"/>
  <c r="M492" i="73"/>
  <c r="R491" i="73"/>
  <c r="S491" i="73" s="1"/>
  <c r="M491" i="73"/>
  <c r="R490" i="73"/>
  <c r="S490" i="73" s="1"/>
  <c r="M490" i="73"/>
  <c r="R489" i="73"/>
  <c r="S489" i="73" s="1"/>
  <c r="M489" i="73"/>
  <c r="N488" i="73"/>
  <c r="M488" i="73"/>
  <c r="N487" i="73"/>
  <c r="M487" i="73"/>
  <c r="N486" i="73"/>
  <c r="M486" i="73"/>
  <c r="N485" i="73"/>
  <c r="M485" i="73"/>
  <c r="N484" i="73"/>
  <c r="M484" i="73"/>
  <c r="N483" i="73"/>
  <c r="M483" i="73"/>
  <c r="R483" i="73" s="1"/>
  <c r="S483" i="73" s="1"/>
  <c r="N482" i="73"/>
  <c r="M482" i="73"/>
  <c r="R482" i="73" s="1"/>
  <c r="S482" i="73" s="1"/>
  <c r="N481" i="73"/>
  <c r="M481" i="73"/>
  <c r="N480" i="73"/>
  <c r="M480" i="73"/>
  <c r="N479" i="73"/>
  <c r="M479" i="73"/>
  <c r="R479" i="73" s="1"/>
  <c r="S479" i="73" s="1"/>
  <c r="N478" i="73"/>
  <c r="M478" i="73"/>
  <c r="N477" i="73"/>
  <c r="M477" i="73"/>
  <c r="N476" i="73"/>
  <c r="M476" i="73"/>
  <c r="N475" i="73"/>
  <c r="M475" i="73"/>
  <c r="R475" i="73" s="1"/>
  <c r="S475" i="73" s="1"/>
  <c r="N474" i="73"/>
  <c r="M474" i="73"/>
  <c r="R474" i="73" s="1"/>
  <c r="S474" i="73" s="1"/>
  <c r="N473" i="73"/>
  <c r="M473" i="73"/>
  <c r="N472" i="73"/>
  <c r="M472" i="73"/>
  <c r="R472" i="73" s="1"/>
  <c r="S472" i="73" s="1"/>
  <c r="N471" i="73"/>
  <c r="M471" i="73"/>
  <c r="N470" i="73"/>
  <c r="M470" i="73"/>
  <c r="R470" i="73" s="1"/>
  <c r="S470" i="73" s="1"/>
  <c r="N469" i="73"/>
  <c r="M469" i="73"/>
  <c r="N468" i="73"/>
  <c r="M468" i="73"/>
  <c r="N467" i="73"/>
  <c r="M467" i="73"/>
  <c r="N466" i="73"/>
  <c r="M466" i="73"/>
  <c r="R466" i="73" s="1"/>
  <c r="S466" i="73" s="1"/>
  <c r="N465" i="73"/>
  <c r="M465" i="73"/>
  <c r="N464" i="73"/>
  <c r="M464" i="73"/>
  <c r="N463" i="73"/>
  <c r="M463" i="73"/>
  <c r="N462" i="73"/>
  <c r="M462" i="73"/>
  <c r="R462" i="73" s="1"/>
  <c r="S462" i="73" s="1"/>
  <c r="N461" i="73"/>
  <c r="M461" i="73"/>
  <c r="N460" i="73"/>
  <c r="M460" i="73"/>
  <c r="R460" i="73" s="1"/>
  <c r="S460" i="73" s="1"/>
  <c r="N459" i="73"/>
  <c r="M459" i="73"/>
  <c r="N458" i="73"/>
  <c r="M458" i="73"/>
  <c r="N457" i="73"/>
  <c r="M457" i="73"/>
  <c r="N456" i="73"/>
  <c r="M456" i="73"/>
  <c r="N455" i="73"/>
  <c r="M455" i="73"/>
  <c r="N454" i="73"/>
  <c r="M454" i="73"/>
  <c r="N453" i="73"/>
  <c r="M453" i="73"/>
  <c r="N452" i="73"/>
  <c r="M452" i="73"/>
  <c r="R452" i="73" s="1"/>
  <c r="S452" i="73" s="1"/>
  <c r="N451" i="73"/>
  <c r="M451" i="73"/>
  <c r="R451" i="73" s="1"/>
  <c r="S451" i="73" s="1"/>
  <c r="N450" i="73"/>
  <c r="M450" i="73"/>
  <c r="R450" i="73" s="1"/>
  <c r="S450" i="73" s="1"/>
  <c r="N449" i="73"/>
  <c r="M449" i="73"/>
  <c r="N448" i="73"/>
  <c r="M448" i="73"/>
  <c r="N447" i="73"/>
  <c r="M447" i="73"/>
  <c r="R447" i="73" s="1"/>
  <c r="S447" i="73" s="1"/>
  <c r="N446" i="73"/>
  <c r="M446" i="73"/>
  <c r="N445" i="73"/>
  <c r="M445" i="73"/>
  <c r="N444" i="73"/>
  <c r="M444" i="73"/>
  <c r="N443" i="73"/>
  <c r="M443" i="73"/>
  <c r="N442" i="73"/>
  <c r="M442" i="73"/>
  <c r="R442" i="73" s="1"/>
  <c r="S442" i="73" s="1"/>
  <c r="N441" i="73"/>
  <c r="M441" i="73"/>
  <c r="N440" i="73"/>
  <c r="M440" i="73"/>
  <c r="R440" i="73" s="1"/>
  <c r="S440" i="73" s="1"/>
  <c r="N439" i="73"/>
  <c r="M439" i="73"/>
  <c r="N438" i="73"/>
  <c r="M438" i="73"/>
  <c r="R438" i="73" s="1"/>
  <c r="S438" i="73" s="1"/>
  <c r="N437" i="73"/>
  <c r="M437" i="73"/>
  <c r="N436" i="73"/>
  <c r="M436" i="73"/>
  <c r="N435" i="73"/>
  <c r="M435" i="73"/>
  <c r="N434" i="73"/>
  <c r="M434" i="73"/>
  <c r="N433" i="73"/>
  <c r="M433" i="73"/>
  <c r="N432" i="73"/>
  <c r="M432" i="73"/>
  <c r="N431" i="73"/>
  <c r="M431" i="73"/>
  <c r="N430" i="73"/>
  <c r="M430" i="73"/>
  <c r="N429" i="73"/>
  <c r="M429" i="73"/>
  <c r="N428" i="73"/>
  <c r="M428" i="73"/>
  <c r="N427" i="73"/>
  <c r="M427" i="73"/>
  <c r="R427" i="73" s="1"/>
  <c r="S427" i="73" s="1"/>
  <c r="N426" i="73"/>
  <c r="M426" i="73"/>
  <c r="N425" i="73"/>
  <c r="M425" i="73"/>
  <c r="N424" i="73"/>
  <c r="M424" i="73"/>
  <c r="N423" i="73"/>
  <c r="M423" i="73"/>
  <c r="N422" i="73"/>
  <c r="M422" i="73"/>
  <c r="N421" i="73"/>
  <c r="M421" i="73"/>
  <c r="N420" i="73"/>
  <c r="M420" i="73"/>
  <c r="N419" i="73"/>
  <c r="M419" i="73"/>
  <c r="R419" i="73" s="1"/>
  <c r="S419" i="73" s="1"/>
  <c r="N418" i="73"/>
  <c r="M418" i="73"/>
  <c r="N417" i="73"/>
  <c r="M417" i="73"/>
  <c r="N416" i="73"/>
  <c r="M416" i="73"/>
  <c r="N415" i="73"/>
  <c r="M415" i="73"/>
  <c r="R415" i="73" s="1"/>
  <c r="S415" i="73" s="1"/>
  <c r="N414" i="73"/>
  <c r="M414" i="73"/>
  <c r="N413" i="73"/>
  <c r="M413" i="73"/>
  <c r="N412" i="73"/>
  <c r="M412" i="73"/>
  <c r="N411" i="73"/>
  <c r="M411" i="73"/>
  <c r="S410" i="73"/>
  <c r="N410" i="73"/>
  <c r="M410" i="73"/>
  <c r="R410" i="73" s="1"/>
  <c r="N409" i="73"/>
  <c r="M409" i="73"/>
  <c r="N408" i="73"/>
  <c r="M408" i="73"/>
  <c r="R408" i="73" s="1"/>
  <c r="S408" i="73" s="1"/>
  <c r="N407" i="73"/>
  <c r="M407" i="73"/>
  <c r="N406" i="73"/>
  <c r="M406" i="73"/>
  <c r="R406" i="73" s="1"/>
  <c r="S406" i="73" s="1"/>
  <c r="N405" i="73"/>
  <c r="M405" i="73"/>
  <c r="R405" i="73" s="1"/>
  <c r="S405" i="73" s="1"/>
  <c r="N404" i="73"/>
  <c r="M404" i="73"/>
  <c r="R404" i="73" s="1"/>
  <c r="S404" i="73" s="1"/>
  <c r="N403" i="73"/>
  <c r="M403" i="73"/>
  <c r="R403" i="73" s="1"/>
  <c r="S403" i="73" s="1"/>
  <c r="N402" i="73"/>
  <c r="M402" i="73"/>
  <c r="R402" i="73" s="1"/>
  <c r="S402" i="73" s="1"/>
  <c r="N401" i="73"/>
  <c r="M401" i="73"/>
  <c r="R401" i="73" s="1"/>
  <c r="S401" i="73" s="1"/>
  <c r="N400" i="73"/>
  <c r="M400" i="73"/>
  <c r="R400" i="73" s="1"/>
  <c r="S400" i="73" s="1"/>
  <c r="N399" i="73"/>
  <c r="M399" i="73"/>
  <c r="R399" i="73" s="1"/>
  <c r="S399" i="73" s="1"/>
  <c r="N398" i="73"/>
  <c r="M398" i="73"/>
  <c r="R398" i="73" s="1"/>
  <c r="S398" i="73" s="1"/>
  <c r="N397" i="73"/>
  <c r="M397" i="73"/>
  <c r="R397" i="73" s="1"/>
  <c r="S397" i="73" s="1"/>
  <c r="N396" i="73"/>
  <c r="M396" i="73"/>
  <c r="R396" i="73" s="1"/>
  <c r="S396" i="73" s="1"/>
  <c r="N395" i="73"/>
  <c r="M395" i="73"/>
  <c r="R395" i="73" s="1"/>
  <c r="S395" i="73" s="1"/>
  <c r="N394" i="73"/>
  <c r="M394" i="73"/>
  <c r="R394" i="73" s="1"/>
  <c r="S394" i="73" s="1"/>
  <c r="N393" i="73"/>
  <c r="M393" i="73"/>
  <c r="R393" i="73" s="1"/>
  <c r="S393" i="73" s="1"/>
  <c r="N392" i="73"/>
  <c r="M392" i="73"/>
  <c r="R392" i="73" s="1"/>
  <c r="S392" i="73" s="1"/>
  <c r="N391" i="73"/>
  <c r="M391" i="73"/>
  <c r="R391" i="73" s="1"/>
  <c r="S391" i="73" s="1"/>
  <c r="N390" i="73"/>
  <c r="M390" i="73"/>
  <c r="R390" i="73" s="1"/>
  <c r="S390" i="73" s="1"/>
  <c r="N389" i="73"/>
  <c r="M389" i="73"/>
  <c r="R389" i="73" s="1"/>
  <c r="S389" i="73" s="1"/>
  <c r="N388" i="73"/>
  <c r="M388" i="73"/>
  <c r="R388" i="73" s="1"/>
  <c r="S388" i="73" s="1"/>
  <c r="N387" i="73"/>
  <c r="M387" i="73"/>
  <c r="R387" i="73" s="1"/>
  <c r="S387" i="73" s="1"/>
  <c r="N386" i="73"/>
  <c r="M386" i="73"/>
  <c r="R386" i="73" s="1"/>
  <c r="S386" i="73" s="1"/>
  <c r="N385" i="73"/>
  <c r="M385" i="73"/>
  <c r="R385" i="73" s="1"/>
  <c r="S385" i="73" s="1"/>
  <c r="N384" i="73"/>
  <c r="M384" i="73"/>
  <c r="R384" i="73" s="1"/>
  <c r="S384" i="73" s="1"/>
  <c r="N383" i="73"/>
  <c r="M383" i="73"/>
  <c r="R383" i="73" s="1"/>
  <c r="S383" i="73" s="1"/>
  <c r="N382" i="73"/>
  <c r="M382" i="73"/>
  <c r="R382" i="73" s="1"/>
  <c r="S382" i="73" s="1"/>
  <c r="N381" i="73"/>
  <c r="M381" i="73"/>
  <c r="R381" i="73" s="1"/>
  <c r="S381" i="73" s="1"/>
  <c r="N380" i="73"/>
  <c r="M380" i="73"/>
  <c r="R380" i="73" s="1"/>
  <c r="S380" i="73" s="1"/>
  <c r="N379" i="73"/>
  <c r="M379" i="73"/>
  <c r="R379" i="73" s="1"/>
  <c r="S379" i="73" s="1"/>
  <c r="N378" i="73"/>
  <c r="M378" i="73"/>
  <c r="R378" i="73" s="1"/>
  <c r="S378" i="73" s="1"/>
  <c r="N377" i="73"/>
  <c r="M377" i="73"/>
  <c r="R377" i="73" s="1"/>
  <c r="S377" i="73" s="1"/>
  <c r="N376" i="73"/>
  <c r="M376" i="73"/>
  <c r="R376" i="73" s="1"/>
  <c r="S376" i="73" s="1"/>
  <c r="N375" i="73"/>
  <c r="M375" i="73"/>
  <c r="R375" i="73" s="1"/>
  <c r="S375" i="73" s="1"/>
  <c r="N374" i="73"/>
  <c r="M374" i="73"/>
  <c r="R374" i="73" s="1"/>
  <c r="S374" i="73" s="1"/>
  <c r="N373" i="73"/>
  <c r="M373" i="73"/>
  <c r="R373" i="73" s="1"/>
  <c r="S373" i="73" s="1"/>
  <c r="N372" i="73"/>
  <c r="M372" i="73"/>
  <c r="R372" i="73" s="1"/>
  <c r="S372" i="73" s="1"/>
  <c r="N371" i="73"/>
  <c r="M371" i="73"/>
  <c r="R371" i="73" s="1"/>
  <c r="S371" i="73" s="1"/>
  <c r="N370" i="73"/>
  <c r="M370" i="73"/>
  <c r="R370" i="73" s="1"/>
  <c r="S370" i="73" s="1"/>
  <c r="N369" i="73"/>
  <c r="M369" i="73"/>
  <c r="R369" i="73" s="1"/>
  <c r="S369" i="73" s="1"/>
  <c r="N368" i="73"/>
  <c r="M368" i="73"/>
  <c r="R368" i="73" s="1"/>
  <c r="S368" i="73" s="1"/>
  <c r="N367" i="73"/>
  <c r="M367" i="73"/>
  <c r="R367" i="73" s="1"/>
  <c r="S367" i="73" s="1"/>
  <c r="N366" i="73"/>
  <c r="M366" i="73"/>
  <c r="R366" i="73" s="1"/>
  <c r="S366" i="73" s="1"/>
  <c r="N365" i="73"/>
  <c r="M365" i="73"/>
  <c r="R365" i="73" s="1"/>
  <c r="S365" i="73" s="1"/>
  <c r="N364" i="73"/>
  <c r="M364" i="73"/>
  <c r="R364" i="73" s="1"/>
  <c r="S364" i="73" s="1"/>
  <c r="N363" i="73"/>
  <c r="M363" i="73"/>
  <c r="R363" i="73" s="1"/>
  <c r="S363" i="73" s="1"/>
  <c r="N362" i="73"/>
  <c r="M362" i="73"/>
  <c r="R362" i="73" s="1"/>
  <c r="S362" i="73" s="1"/>
  <c r="N361" i="73"/>
  <c r="M361" i="73"/>
  <c r="R361" i="73" s="1"/>
  <c r="S361" i="73" s="1"/>
  <c r="N360" i="73"/>
  <c r="M360" i="73"/>
  <c r="R360" i="73" s="1"/>
  <c r="S360" i="73" s="1"/>
  <c r="N359" i="73"/>
  <c r="M359" i="73"/>
  <c r="R359" i="73" s="1"/>
  <c r="S359" i="73" s="1"/>
  <c r="N358" i="73"/>
  <c r="M358" i="73"/>
  <c r="R358" i="73" s="1"/>
  <c r="S358" i="73" s="1"/>
  <c r="N357" i="73"/>
  <c r="M357" i="73"/>
  <c r="R357" i="73" s="1"/>
  <c r="S357" i="73" s="1"/>
  <c r="N356" i="73"/>
  <c r="M356" i="73"/>
  <c r="R356" i="73" s="1"/>
  <c r="S356" i="73" s="1"/>
  <c r="N355" i="73"/>
  <c r="M355" i="73"/>
  <c r="R355" i="73" s="1"/>
  <c r="S355" i="73" s="1"/>
  <c r="N354" i="73"/>
  <c r="M354" i="73"/>
  <c r="R354" i="73" s="1"/>
  <c r="S354" i="73" s="1"/>
  <c r="N353" i="73"/>
  <c r="M353" i="73"/>
  <c r="R353" i="73" s="1"/>
  <c r="S353" i="73" s="1"/>
  <c r="N352" i="73"/>
  <c r="M352" i="73"/>
  <c r="R352" i="73" s="1"/>
  <c r="S352" i="73" s="1"/>
  <c r="N351" i="73"/>
  <c r="M351" i="73"/>
  <c r="R351" i="73" s="1"/>
  <c r="S351" i="73" s="1"/>
  <c r="N350" i="73"/>
  <c r="M350" i="73"/>
  <c r="R350" i="73" s="1"/>
  <c r="S350" i="73" s="1"/>
  <c r="N349" i="73"/>
  <c r="M349" i="73"/>
  <c r="R349" i="73" s="1"/>
  <c r="S349" i="73" s="1"/>
  <c r="N348" i="73"/>
  <c r="M348" i="73"/>
  <c r="R348" i="73" s="1"/>
  <c r="S348" i="73" s="1"/>
  <c r="N347" i="73"/>
  <c r="M347" i="73"/>
  <c r="R347" i="73" s="1"/>
  <c r="S347" i="73" s="1"/>
  <c r="N346" i="73"/>
  <c r="M346" i="73"/>
  <c r="R346" i="73" s="1"/>
  <c r="S346" i="73" s="1"/>
  <c r="N345" i="73"/>
  <c r="M345" i="73"/>
  <c r="R345" i="73" s="1"/>
  <c r="S345" i="73" s="1"/>
  <c r="N344" i="73"/>
  <c r="M344" i="73"/>
  <c r="R344" i="73" s="1"/>
  <c r="S344" i="73" s="1"/>
  <c r="N343" i="73"/>
  <c r="M343" i="73"/>
  <c r="R343" i="73" s="1"/>
  <c r="S343" i="73" s="1"/>
  <c r="N342" i="73"/>
  <c r="M342" i="73"/>
  <c r="R342" i="73" s="1"/>
  <c r="S342" i="73" s="1"/>
  <c r="N341" i="73"/>
  <c r="M341" i="73"/>
  <c r="R341" i="73" s="1"/>
  <c r="S341" i="73" s="1"/>
  <c r="N340" i="73"/>
  <c r="M340" i="73"/>
  <c r="R340" i="73" s="1"/>
  <c r="S340" i="73" s="1"/>
  <c r="N339" i="73"/>
  <c r="M339" i="73"/>
  <c r="R339" i="73" s="1"/>
  <c r="S339" i="73" s="1"/>
  <c r="N338" i="73"/>
  <c r="M338" i="73"/>
  <c r="R338" i="73" s="1"/>
  <c r="S338" i="73" s="1"/>
  <c r="N337" i="73"/>
  <c r="M337" i="73"/>
  <c r="N336" i="73"/>
  <c r="M336" i="73"/>
  <c r="R336" i="73" s="1"/>
  <c r="S336" i="73" s="1"/>
  <c r="N335" i="73"/>
  <c r="M335" i="73"/>
  <c r="R335" i="73" s="1"/>
  <c r="S335" i="73" s="1"/>
  <c r="N334" i="73"/>
  <c r="M334" i="73"/>
  <c r="R334" i="73" s="1"/>
  <c r="S334" i="73" s="1"/>
  <c r="N333" i="73"/>
  <c r="M333" i="73"/>
  <c r="R333" i="73" s="1"/>
  <c r="S333" i="73" s="1"/>
  <c r="N332" i="73"/>
  <c r="M332" i="73"/>
  <c r="R332" i="73" s="1"/>
  <c r="S332" i="73" s="1"/>
  <c r="N331" i="73"/>
  <c r="M331" i="73"/>
  <c r="N330" i="73"/>
  <c r="M330" i="73"/>
  <c r="N329" i="73"/>
  <c r="R329" i="73" s="1"/>
  <c r="S329" i="73" s="1"/>
  <c r="M329" i="73"/>
  <c r="N328" i="73"/>
  <c r="M328" i="73"/>
  <c r="N327" i="73"/>
  <c r="M327" i="73"/>
  <c r="N326" i="73"/>
  <c r="M326" i="73"/>
  <c r="N325" i="73"/>
  <c r="M325" i="73"/>
  <c r="N324" i="73"/>
  <c r="M324" i="73"/>
  <c r="R324" i="73" s="1"/>
  <c r="S324" i="73" s="1"/>
  <c r="N323" i="73"/>
  <c r="M323" i="73"/>
  <c r="R323" i="73" s="1"/>
  <c r="S323" i="73" s="1"/>
  <c r="R322" i="73"/>
  <c r="S322" i="73" s="1"/>
  <c r="R321" i="73"/>
  <c r="S321" i="73" s="1"/>
  <c r="R320" i="73"/>
  <c r="S320" i="73" s="1"/>
  <c r="N319" i="73"/>
  <c r="M319" i="73"/>
  <c r="N318" i="73"/>
  <c r="M318" i="73"/>
  <c r="N317" i="73"/>
  <c r="M317" i="73"/>
  <c r="N316" i="73"/>
  <c r="M316" i="73"/>
  <c r="N315" i="73"/>
  <c r="M315" i="73"/>
  <c r="N314" i="73"/>
  <c r="M314" i="73"/>
  <c r="N313" i="73"/>
  <c r="M313" i="73"/>
  <c r="R312" i="73"/>
  <c r="S312" i="73" s="1"/>
  <c r="N312" i="73"/>
  <c r="M312" i="73"/>
  <c r="N311" i="73"/>
  <c r="M311" i="73"/>
  <c r="N310" i="73"/>
  <c r="M310" i="73"/>
  <c r="R310" i="73" s="1"/>
  <c r="S310" i="73" s="1"/>
  <c r="N309" i="73"/>
  <c r="M309" i="73"/>
  <c r="N308" i="73"/>
  <c r="M308" i="73"/>
  <c r="N307" i="73"/>
  <c r="M307" i="73"/>
  <c r="N306" i="73"/>
  <c r="M306" i="73"/>
  <c r="N305" i="73"/>
  <c r="R305" i="73" s="1"/>
  <c r="S305" i="73" s="1"/>
  <c r="M305" i="73"/>
  <c r="R304" i="73"/>
  <c r="S304" i="73" s="1"/>
  <c r="R303" i="73"/>
  <c r="S303" i="73" s="1"/>
  <c r="R302" i="73"/>
  <c r="S302" i="73" s="1"/>
  <c r="R301" i="73"/>
  <c r="S301" i="73" s="1"/>
  <c r="R300" i="73"/>
  <c r="S300" i="73" s="1"/>
  <c r="R299" i="73"/>
  <c r="S299" i="73" s="1"/>
  <c r="R298" i="73"/>
  <c r="S298" i="73" s="1"/>
  <c r="S293" i="73"/>
  <c r="R293" i="73"/>
  <c r="K293" i="73"/>
  <c r="H293" i="73"/>
  <c r="G293" i="73"/>
  <c r="F293" i="73"/>
  <c r="N293" i="73" s="1"/>
  <c r="S292" i="73"/>
  <c r="R292" i="73"/>
  <c r="P292" i="73"/>
  <c r="K292" i="73"/>
  <c r="H292" i="73"/>
  <c r="G292" i="73"/>
  <c r="F292" i="73"/>
  <c r="N292" i="73" s="1"/>
  <c r="S291" i="73"/>
  <c r="R291" i="73"/>
  <c r="P291" i="73"/>
  <c r="K291" i="73"/>
  <c r="H291" i="73"/>
  <c r="G291" i="73"/>
  <c r="F291" i="73"/>
  <c r="N291" i="73" s="1"/>
  <c r="Z290" i="73"/>
  <c r="W290" i="73"/>
  <c r="S290" i="73"/>
  <c r="R290" i="73"/>
  <c r="AF290" i="73" s="1"/>
  <c r="N290" i="73"/>
  <c r="AB290" i="73" s="1"/>
  <c r="K290" i="73"/>
  <c r="H290" i="73"/>
  <c r="F290" i="73"/>
  <c r="K289" i="73"/>
  <c r="S289" i="73" s="1"/>
  <c r="K288" i="73"/>
  <c r="S288" i="73" s="1"/>
  <c r="K287" i="73"/>
  <c r="S287" i="73" s="1"/>
  <c r="K286" i="73"/>
  <c r="S286" i="73" s="1"/>
  <c r="S285" i="73"/>
  <c r="K285" i="73"/>
  <c r="K284" i="73"/>
  <c r="S284" i="73" s="1"/>
  <c r="AD283" i="73"/>
  <c r="AB283" i="73"/>
  <c r="W283" i="73"/>
  <c r="V283" i="73"/>
  <c r="Y283" i="73" s="1"/>
  <c r="U283" i="73"/>
  <c r="K283" i="73"/>
  <c r="S283" i="73" s="1"/>
  <c r="R282" i="73"/>
  <c r="N282" i="73"/>
  <c r="H282" i="73"/>
  <c r="F282" i="73"/>
  <c r="G282" i="73" s="1"/>
  <c r="R281" i="73"/>
  <c r="H281" i="73"/>
  <c r="K281" i="73" s="1"/>
  <c r="S281" i="73" s="1"/>
  <c r="G281" i="73"/>
  <c r="F281" i="73"/>
  <c r="N281" i="73" s="1"/>
  <c r="R280" i="73"/>
  <c r="N280" i="73"/>
  <c r="H280" i="73"/>
  <c r="G280" i="73"/>
  <c r="K280" i="73" s="1"/>
  <c r="F280" i="73"/>
  <c r="R279" i="73"/>
  <c r="N279" i="73"/>
  <c r="F279" i="73"/>
  <c r="AE278" i="73"/>
  <c r="AD278" i="73"/>
  <c r="AC278" i="73"/>
  <c r="AA278" i="73"/>
  <c r="Z278" i="73"/>
  <c r="X278" i="73"/>
  <c r="W278" i="73"/>
  <c r="R278" i="73"/>
  <c r="N278" i="73"/>
  <c r="F278" i="73"/>
  <c r="M277" i="73"/>
  <c r="H277" i="73"/>
  <c r="G277" i="73"/>
  <c r="F277" i="73"/>
  <c r="J277" i="73" s="1"/>
  <c r="M276" i="73"/>
  <c r="L276" i="73"/>
  <c r="J276" i="73"/>
  <c r="H276" i="73"/>
  <c r="G276" i="73"/>
  <c r="F276" i="73"/>
  <c r="F275" i="73"/>
  <c r="AE274" i="73"/>
  <c r="AD274" i="73"/>
  <c r="AC274" i="73"/>
  <c r="AB274" i="73"/>
  <c r="W274" i="73"/>
  <c r="F274" i="73"/>
  <c r="P273" i="73"/>
  <c r="O273" i="73"/>
  <c r="K273" i="73"/>
  <c r="S273" i="73" s="1"/>
  <c r="J273" i="73"/>
  <c r="G273" i="73"/>
  <c r="F273" i="73"/>
  <c r="N273" i="73" s="1"/>
  <c r="P272" i="73"/>
  <c r="J272" i="73"/>
  <c r="G272" i="73"/>
  <c r="F272" i="73"/>
  <c r="AE271" i="73"/>
  <c r="AA271" i="73"/>
  <c r="Z271" i="73"/>
  <c r="V271" i="73"/>
  <c r="P271" i="73"/>
  <c r="O271" i="73"/>
  <c r="J271" i="73"/>
  <c r="G271" i="73"/>
  <c r="F271" i="73"/>
  <c r="N271" i="73" s="1"/>
  <c r="R270" i="73"/>
  <c r="K270" i="73"/>
  <c r="S270" i="73" s="1"/>
  <c r="R269" i="73"/>
  <c r="K269" i="73"/>
  <c r="Y269" i="73" s="1"/>
  <c r="F269" i="73"/>
  <c r="N269" i="73" s="1"/>
  <c r="R268" i="73"/>
  <c r="K268" i="73"/>
  <c r="S268" i="73" s="1"/>
  <c r="F268" i="73"/>
  <c r="M267" i="73"/>
  <c r="L267" i="73"/>
  <c r="J267" i="73"/>
  <c r="R267" i="73" s="1"/>
  <c r="H267" i="73"/>
  <c r="G267" i="73"/>
  <c r="F267" i="73"/>
  <c r="J266" i="73"/>
  <c r="H266" i="73"/>
  <c r="F266" i="73"/>
  <c r="L265" i="73"/>
  <c r="J265" i="73"/>
  <c r="G265" i="73"/>
  <c r="F265" i="73"/>
  <c r="L264" i="73"/>
  <c r="F264" i="73"/>
  <c r="AE263" i="73"/>
  <c r="AD263" i="73"/>
  <c r="AC263" i="73"/>
  <c r="AB263" i="73"/>
  <c r="W263" i="73"/>
  <c r="F263" i="73"/>
  <c r="L262" i="73"/>
  <c r="G262" i="73"/>
  <c r="F262" i="73"/>
  <c r="G261" i="73"/>
  <c r="F261" i="73"/>
  <c r="M260" i="73"/>
  <c r="L260" i="73"/>
  <c r="J260" i="73"/>
  <c r="R260" i="73" s="1"/>
  <c r="H260" i="73"/>
  <c r="G260" i="73"/>
  <c r="F260" i="73"/>
  <c r="F259" i="73"/>
  <c r="AE258" i="73"/>
  <c r="AD258" i="73"/>
  <c r="AC258" i="73"/>
  <c r="AB258" i="73"/>
  <c r="M258" i="73"/>
  <c r="L258" i="73"/>
  <c r="I258" i="73"/>
  <c r="W258" i="73" s="1"/>
  <c r="H258" i="73"/>
  <c r="G258" i="73"/>
  <c r="F258" i="73"/>
  <c r="J258" i="73" s="1"/>
  <c r="M257" i="73"/>
  <c r="F257" i="73"/>
  <c r="O256" i="73"/>
  <c r="N256" i="73"/>
  <c r="M256" i="73"/>
  <c r="J256" i="73"/>
  <c r="H256" i="73"/>
  <c r="F256" i="73"/>
  <c r="L256" i="73" s="1"/>
  <c r="M255" i="73"/>
  <c r="L255" i="73"/>
  <c r="H255" i="73"/>
  <c r="F255" i="73"/>
  <c r="N254" i="73"/>
  <c r="F254" i="73"/>
  <c r="AE253" i="73"/>
  <c r="AD253" i="73"/>
  <c r="W253" i="73"/>
  <c r="U253" i="73"/>
  <c r="L253" i="73"/>
  <c r="F253" i="73"/>
  <c r="R252" i="73"/>
  <c r="F252" i="73"/>
  <c r="H252" i="73" s="1"/>
  <c r="K252" i="73" s="1"/>
  <c r="S252" i="73" s="1"/>
  <c r="R251" i="73"/>
  <c r="F251" i="73"/>
  <c r="H251" i="73" s="1"/>
  <c r="K251" i="73" s="1"/>
  <c r="S251" i="73" s="1"/>
  <c r="R250" i="73"/>
  <c r="H250" i="73"/>
  <c r="K250" i="73" s="1"/>
  <c r="S250" i="73" s="1"/>
  <c r="F250" i="73"/>
  <c r="R249" i="73"/>
  <c r="F249" i="73"/>
  <c r="H249" i="73" s="1"/>
  <c r="K249" i="73" s="1"/>
  <c r="S249" i="73" s="1"/>
  <c r="R248" i="73"/>
  <c r="F248" i="73"/>
  <c r="H248" i="73" s="1"/>
  <c r="K248" i="73" s="1"/>
  <c r="S248" i="73" s="1"/>
  <c r="R247" i="73"/>
  <c r="H247" i="73"/>
  <c r="K247" i="73" s="1"/>
  <c r="S247" i="73" s="1"/>
  <c r="F247" i="73"/>
  <c r="R246" i="73"/>
  <c r="H246" i="73"/>
  <c r="K246" i="73" s="1"/>
  <c r="S246" i="73" s="1"/>
  <c r="F246" i="73"/>
  <c r="AE245" i="73"/>
  <c r="AD245" i="73"/>
  <c r="AC245" i="73"/>
  <c r="AB245" i="73"/>
  <c r="AA245" i="73"/>
  <c r="Z245" i="73"/>
  <c r="X245" i="73"/>
  <c r="W245" i="73"/>
  <c r="U245" i="73"/>
  <c r="R245" i="73"/>
  <c r="H245" i="73"/>
  <c r="F245" i="73"/>
  <c r="R244" i="73"/>
  <c r="N244" i="73"/>
  <c r="L244" i="73"/>
  <c r="I244" i="73"/>
  <c r="H244" i="73"/>
  <c r="G244" i="73"/>
  <c r="AD243" i="73"/>
  <c r="AB243" i="73"/>
  <c r="W243" i="73"/>
  <c r="U243" i="73"/>
  <c r="R243" i="73"/>
  <c r="AF243" i="73" s="1"/>
  <c r="F243" i="73"/>
  <c r="R242" i="73"/>
  <c r="L242" i="73"/>
  <c r="K242" i="73"/>
  <c r="S242" i="73" s="1"/>
  <c r="G242" i="73"/>
  <c r="R241" i="73"/>
  <c r="L241" i="73"/>
  <c r="K241" i="73"/>
  <c r="S241" i="73" s="1"/>
  <c r="G241" i="73"/>
  <c r="R240" i="73"/>
  <c r="L240" i="73"/>
  <c r="Z240" i="73" s="1"/>
  <c r="G240" i="73"/>
  <c r="U240" i="73" s="1"/>
  <c r="Z239" i="73"/>
  <c r="W239" i="73"/>
  <c r="U239" i="73"/>
  <c r="R239" i="73"/>
  <c r="AF239" i="73" s="1"/>
  <c r="P239" i="73"/>
  <c r="AD239" i="73" s="1"/>
  <c r="N239" i="73"/>
  <c r="AB239" i="73" s="1"/>
  <c r="I239" i="73"/>
  <c r="H239" i="73"/>
  <c r="R238" i="73"/>
  <c r="K238" i="73"/>
  <c r="S238" i="73" s="1"/>
  <c r="S237" i="73"/>
  <c r="R237" i="73"/>
  <c r="K237" i="73"/>
  <c r="R236" i="73"/>
  <c r="K236" i="73"/>
  <c r="S236" i="73" s="1"/>
  <c r="R235" i="73"/>
  <c r="K235" i="73"/>
  <c r="S235" i="73" s="1"/>
  <c r="F235" i="73"/>
  <c r="R234" i="73"/>
  <c r="K234" i="73"/>
  <c r="S234" i="73" s="1"/>
  <c r="F234" i="73"/>
  <c r="R233" i="73"/>
  <c r="K233" i="73"/>
  <c r="S233" i="73" s="1"/>
  <c r="F233" i="73"/>
  <c r="R232" i="73"/>
  <c r="K232" i="73"/>
  <c r="S232" i="73" s="1"/>
  <c r="F232" i="73"/>
  <c r="R231" i="73"/>
  <c r="K231" i="73"/>
  <c r="S231" i="73" s="1"/>
  <c r="F231" i="73"/>
  <c r="R230" i="73"/>
  <c r="K230" i="73"/>
  <c r="S230" i="73" s="1"/>
  <c r="F230" i="73"/>
  <c r="R229" i="73"/>
  <c r="K229" i="73"/>
  <c r="S229" i="73" s="1"/>
  <c r="F229" i="73"/>
  <c r="R228" i="73"/>
  <c r="K228" i="73"/>
  <c r="S228" i="73" s="1"/>
  <c r="F228" i="73"/>
  <c r="R227" i="73"/>
  <c r="K227" i="73"/>
  <c r="S227" i="73" s="1"/>
  <c r="F227" i="73"/>
  <c r="R226" i="73"/>
  <c r="AF225" i="73" s="1"/>
  <c r="P226" i="73"/>
  <c r="AD225" i="73" s="1"/>
  <c r="N226" i="73"/>
  <c r="I226" i="73"/>
  <c r="H226" i="73"/>
  <c r="F226" i="73"/>
  <c r="L226" i="73" s="1"/>
  <c r="Z225" i="73" s="1"/>
  <c r="AE225" i="73"/>
  <c r="AC225" i="73"/>
  <c r="AB225" i="73"/>
  <c r="AA225" i="73"/>
  <c r="X225" i="73"/>
  <c r="W225" i="73"/>
  <c r="U225" i="73"/>
  <c r="R225" i="73"/>
  <c r="L225" i="73"/>
  <c r="F225" i="73"/>
  <c r="H225" i="73" s="1"/>
  <c r="K225" i="73" s="1"/>
  <c r="F224" i="73"/>
  <c r="J224" i="73" s="1"/>
  <c r="F223" i="73"/>
  <c r="J223" i="73" s="1"/>
  <c r="F222" i="73"/>
  <c r="J222" i="73" s="1"/>
  <c r="F221" i="73"/>
  <c r="J221" i="73" s="1"/>
  <c r="F220" i="73"/>
  <c r="J220" i="73" s="1"/>
  <c r="F219" i="73"/>
  <c r="J219" i="73" s="1"/>
  <c r="F218" i="73"/>
  <c r="J218" i="73" s="1"/>
  <c r="F217" i="73"/>
  <c r="J217" i="73" s="1"/>
  <c r="F216" i="73"/>
  <c r="J216" i="73" s="1"/>
  <c r="F215" i="73"/>
  <c r="J215" i="73" s="1"/>
  <c r="F214" i="73"/>
  <c r="J214" i="73" s="1"/>
  <c r="F213" i="73"/>
  <c r="J213" i="73" s="1"/>
  <c r="F212" i="73"/>
  <c r="J212" i="73" s="1"/>
  <c r="F211" i="73"/>
  <c r="N210" i="73"/>
  <c r="F210" i="73"/>
  <c r="F209" i="73"/>
  <c r="O208" i="73"/>
  <c r="J208" i="73"/>
  <c r="H208" i="73"/>
  <c r="F208" i="73"/>
  <c r="N208" i="73" s="1"/>
  <c r="F207" i="73"/>
  <c r="F206" i="73"/>
  <c r="F205" i="73"/>
  <c r="N204" i="73"/>
  <c r="F204" i="73"/>
  <c r="F203" i="73"/>
  <c r="O202" i="73"/>
  <c r="J202" i="73"/>
  <c r="H202" i="73"/>
  <c r="F202" i="73"/>
  <c r="N202" i="73" s="1"/>
  <c r="O201" i="73"/>
  <c r="J201" i="73"/>
  <c r="H201" i="73"/>
  <c r="F201" i="73"/>
  <c r="N201" i="73" s="1"/>
  <c r="O200" i="73"/>
  <c r="J200" i="73"/>
  <c r="H200" i="73"/>
  <c r="F200" i="73"/>
  <c r="N200" i="73" s="1"/>
  <c r="F199" i="73"/>
  <c r="F198" i="73"/>
  <c r="F197" i="73"/>
  <c r="N196" i="73"/>
  <c r="F196" i="73"/>
  <c r="N195" i="73"/>
  <c r="F195" i="73"/>
  <c r="N194" i="73"/>
  <c r="F194" i="73"/>
  <c r="N193" i="73"/>
  <c r="F193" i="73"/>
  <c r="N192" i="73"/>
  <c r="F192" i="73"/>
  <c r="F191" i="73"/>
  <c r="F190" i="73"/>
  <c r="F189" i="73"/>
  <c r="F188" i="73"/>
  <c r="F187" i="73"/>
  <c r="J186" i="73"/>
  <c r="H186" i="73"/>
  <c r="F186" i="73"/>
  <c r="O186" i="73" s="1"/>
  <c r="F185" i="73"/>
  <c r="AE184" i="73"/>
  <c r="AD184" i="73"/>
  <c r="AA184" i="73"/>
  <c r="Z184" i="73"/>
  <c r="W184" i="73"/>
  <c r="U184" i="73"/>
  <c r="J184" i="73"/>
  <c r="F184" i="73"/>
  <c r="N184" i="73" s="1"/>
  <c r="F183" i="73"/>
  <c r="M182" i="73"/>
  <c r="L182" i="73"/>
  <c r="I182" i="73"/>
  <c r="H182" i="73"/>
  <c r="G182" i="73"/>
  <c r="F182" i="73"/>
  <c r="J182" i="73" s="1"/>
  <c r="J181" i="73"/>
  <c r="R181" i="73" s="1"/>
  <c r="I181" i="73"/>
  <c r="H181" i="73"/>
  <c r="F181" i="73"/>
  <c r="G181" i="73" s="1"/>
  <c r="I180" i="73"/>
  <c r="G180" i="73"/>
  <c r="F180" i="73"/>
  <c r="J180" i="73" s="1"/>
  <c r="R180" i="73" s="1"/>
  <c r="M179" i="73"/>
  <c r="L179" i="73"/>
  <c r="I179" i="73"/>
  <c r="H179" i="73"/>
  <c r="G179" i="73"/>
  <c r="F179" i="73"/>
  <c r="J179" i="73" s="1"/>
  <c r="H178" i="73"/>
  <c r="F178" i="73"/>
  <c r="G178" i="73" s="1"/>
  <c r="AE177" i="73"/>
  <c r="AC177" i="73"/>
  <c r="AB177" i="73"/>
  <c r="P177" i="73"/>
  <c r="AD177" i="73" s="1"/>
  <c r="L177" i="73"/>
  <c r="I177" i="73"/>
  <c r="H177" i="73"/>
  <c r="G177" i="73"/>
  <c r="F177" i="73"/>
  <c r="J177" i="73" s="1"/>
  <c r="J176" i="73"/>
  <c r="H176" i="73"/>
  <c r="F176" i="73"/>
  <c r="N176" i="73" s="1"/>
  <c r="O175" i="73"/>
  <c r="J175" i="73"/>
  <c r="R175" i="73" s="1"/>
  <c r="H175" i="73"/>
  <c r="F175" i="73"/>
  <c r="N175" i="73" s="1"/>
  <c r="O174" i="73"/>
  <c r="K174" i="73"/>
  <c r="S174" i="73" s="1"/>
  <c r="J174" i="73"/>
  <c r="H174" i="73"/>
  <c r="F174" i="73"/>
  <c r="N174" i="73" s="1"/>
  <c r="O173" i="73"/>
  <c r="J173" i="73"/>
  <c r="H173" i="73"/>
  <c r="K173" i="73" s="1"/>
  <c r="F173" i="73"/>
  <c r="N173" i="73" s="1"/>
  <c r="O172" i="73"/>
  <c r="J172" i="73"/>
  <c r="H172" i="73"/>
  <c r="K172" i="73" s="1"/>
  <c r="F172" i="73"/>
  <c r="N172" i="73" s="1"/>
  <c r="AE171" i="73"/>
  <c r="AD171" i="73"/>
  <c r="AA171" i="73"/>
  <c r="Z171" i="73"/>
  <c r="W171" i="73"/>
  <c r="U171" i="73"/>
  <c r="N171" i="73"/>
  <c r="AB171" i="73" s="1"/>
  <c r="F171" i="73"/>
  <c r="L170" i="73"/>
  <c r="H170" i="73"/>
  <c r="G170" i="73"/>
  <c r="F170" i="73"/>
  <c r="J170" i="73" s="1"/>
  <c r="M169" i="73"/>
  <c r="L169" i="73"/>
  <c r="J169" i="73"/>
  <c r="H169" i="73"/>
  <c r="G169" i="73"/>
  <c r="U168" i="73" s="1"/>
  <c r="F169" i="73"/>
  <c r="AE168" i="73"/>
  <c r="AD168" i="73"/>
  <c r="AC168" i="73"/>
  <c r="AB168" i="73"/>
  <c r="N168" i="73"/>
  <c r="M168" i="73"/>
  <c r="G168" i="73"/>
  <c r="F168" i="73"/>
  <c r="L168" i="73" s="1"/>
  <c r="R167" i="73"/>
  <c r="AF167" i="73" s="1"/>
  <c r="N167" i="73"/>
  <c r="AB167" i="73" s="1"/>
  <c r="H167" i="73"/>
  <c r="V167" i="73" s="1"/>
  <c r="G167" i="73"/>
  <c r="U167" i="73" s="1"/>
  <c r="R166" i="73"/>
  <c r="N166" i="73"/>
  <c r="H166" i="73"/>
  <c r="G166" i="73"/>
  <c r="K166" i="73" s="1"/>
  <c r="S166" i="73" s="1"/>
  <c r="R165" i="73"/>
  <c r="N165" i="73"/>
  <c r="H165" i="73"/>
  <c r="V162" i="73" s="1"/>
  <c r="G165" i="73"/>
  <c r="R164" i="73"/>
  <c r="N164" i="73"/>
  <c r="G164" i="73"/>
  <c r="K164" i="73" s="1"/>
  <c r="R163" i="73"/>
  <c r="N163" i="73"/>
  <c r="G163" i="73"/>
  <c r="K163" i="73" s="1"/>
  <c r="AD162" i="73"/>
  <c r="Z162" i="73"/>
  <c r="R162" i="73"/>
  <c r="N162" i="73"/>
  <c r="I162" i="73"/>
  <c r="W162" i="73" s="1"/>
  <c r="G162" i="73"/>
  <c r="U162" i="73" s="1"/>
  <c r="L161" i="73"/>
  <c r="G161" i="73"/>
  <c r="F161" i="73"/>
  <c r="Q161" i="73" s="1"/>
  <c r="F160" i="73"/>
  <c r="P159" i="73"/>
  <c r="J159" i="73"/>
  <c r="F159" i="73"/>
  <c r="P158" i="73"/>
  <c r="J158" i="73"/>
  <c r="F158" i="73"/>
  <c r="AC157" i="73"/>
  <c r="Q157" i="73"/>
  <c r="M157" i="73"/>
  <c r="AA157" i="73" s="1"/>
  <c r="L157" i="73"/>
  <c r="G157" i="73"/>
  <c r="F157" i="73"/>
  <c r="P157" i="73" s="1"/>
  <c r="R156" i="73"/>
  <c r="K156" i="73"/>
  <c r="S156" i="73" s="1"/>
  <c r="F156" i="73"/>
  <c r="R155" i="73"/>
  <c r="L155" i="73"/>
  <c r="H155" i="73"/>
  <c r="G155" i="73"/>
  <c r="K155" i="73" s="1"/>
  <c r="S155" i="73" s="1"/>
  <c r="R154" i="73"/>
  <c r="L154" i="73"/>
  <c r="H154" i="73"/>
  <c r="G154" i="73"/>
  <c r="K154" i="73" s="1"/>
  <c r="R153" i="73"/>
  <c r="L153" i="73"/>
  <c r="H153" i="73"/>
  <c r="G153" i="73"/>
  <c r="K153" i="73" s="1"/>
  <c r="R152" i="73"/>
  <c r="L152" i="73"/>
  <c r="H152" i="73"/>
  <c r="G152" i="73"/>
  <c r="AD151" i="73"/>
  <c r="AB151" i="73"/>
  <c r="W151" i="73"/>
  <c r="R151" i="73"/>
  <c r="L151" i="73"/>
  <c r="H151" i="73"/>
  <c r="G151" i="73"/>
  <c r="R150" i="73"/>
  <c r="G150" i="73"/>
  <c r="K150" i="73" s="1"/>
  <c r="F150" i="73"/>
  <c r="N150" i="73" s="1"/>
  <c r="R149" i="73"/>
  <c r="F149" i="73"/>
  <c r="G149" i="73" s="1"/>
  <c r="K149" i="73" s="1"/>
  <c r="R148" i="73"/>
  <c r="F148" i="73"/>
  <c r="G148" i="73" s="1"/>
  <c r="K148" i="73" s="1"/>
  <c r="S148" i="73" s="1"/>
  <c r="R147" i="73"/>
  <c r="N147" i="73"/>
  <c r="G147" i="73"/>
  <c r="K147" i="73" s="1"/>
  <c r="F147" i="73"/>
  <c r="R146" i="73"/>
  <c r="F146" i="73"/>
  <c r="G146" i="73" s="1"/>
  <c r="K146" i="73" s="1"/>
  <c r="S146" i="73" s="1"/>
  <c r="AE145" i="73"/>
  <c r="AD145" i="73"/>
  <c r="AC145" i="73"/>
  <c r="AA145" i="73"/>
  <c r="Z145" i="73"/>
  <c r="X145" i="73"/>
  <c r="W145" i="73"/>
  <c r="V145" i="73"/>
  <c r="R145" i="73"/>
  <c r="N145" i="73"/>
  <c r="G145" i="73"/>
  <c r="K145" i="73" s="1"/>
  <c r="F145" i="73"/>
  <c r="R144" i="73"/>
  <c r="F144" i="73"/>
  <c r="H144" i="73" s="1"/>
  <c r="V144" i="73" s="1"/>
  <c r="AE143" i="73"/>
  <c r="AD143" i="73"/>
  <c r="AC143" i="73"/>
  <c r="AB143" i="73"/>
  <c r="AA143" i="73"/>
  <c r="Z143" i="73"/>
  <c r="X143" i="73"/>
  <c r="W143" i="73"/>
  <c r="R143" i="73"/>
  <c r="AF143" i="73" s="1"/>
  <c r="F143" i="73"/>
  <c r="R142" i="73"/>
  <c r="H142" i="73"/>
  <c r="V142" i="73" s="1"/>
  <c r="G142" i="73"/>
  <c r="R141" i="73"/>
  <c r="G141" i="73"/>
  <c r="F141" i="73"/>
  <c r="H141" i="73" s="1"/>
  <c r="V141" i="73" s="1"/>
  <c r="R140" i="73"/>
  <c r="K140" i="73"/>
  <c r="S140" i="73" s="1"/>
  <c r="R139" i="73"/>
  <c r="L139" i="73"/>
  <c r="H139" i="73"/>
  <c r="G139" i="73"/>
  <c r="R138" i="73"/>
  <c r="L138" i="73"/>
  <c r="H138" i="73"/>
  <c r="G138" i="73"/>
  <c r="R137" i="73"/>
  <c r="L137" i="73"/>
  <c r="H137" i="73"/>
  <c r="G137" i="73"/>
  <c r="R136" i="73"/>
  <c r="L136" i="73"/>
  <c r="H136" i="73"/>
  <c r="G136" i="73"/>
  <c r="AD135" i="73"/>
  <c r="AB135" i="73"/>
  <c r="W135" i="73"/>
  <c r="R135" i="73"/>
  <c r="L135" i="73"/>
  <c r="Z135" i="73" s="1"/>
  <c r="H135" i="73"/>
  <c r="K135" i="73" s="1"/>
  <c r="G135" i="73"/>
  <c r="U135" i="73" s="1"/>
  <c r="AF134" i="73"/>
  <c r="AD134" i="73"/>
  <c r="W134" i="73"/>
  <c r="R134" i="73"/>
  <c r="P134" i="73"/>
  <c r="N134" i="73"/>
  <c r="AB134" i="73" s="1"/>
  <c r="L134" i="73"/>
  <c r="Z134" i="73" s="1"/>
  <c r="I134" i="73"/>
  <c r="H134" i="73"/>
  <c r="V134" i="73" s="1"/>
  <c r="G134" i="73"/>
  <c r="F134" i="73"/>
  <c r="M133" i="73"/>
  <c r="L133" i="73"/>
  <c r="J133" i="73"/>
  <c r="H133" i="73"/>
  <c r="G133" i="73"/>
  <c r="F133" i="73"/>
  <c r="J132" i="73"/>
  <c r="F132" i="73"/>
  <c r="L131" i="73"/>
  <c r="G131" i="73"/>
  <c r="F131" i="73"/>
  <c r="M130" i="73"/>
  <c r="L130" i="73"/>
  <c r="G130" i="73"/>
  <c r="K130" i="73" s="1"/>
  <c r="F130" i="73"/>
  <c r="J130" i="73" s="1"/>
  <c r="M129" i="73"/>
  <c r="L129" i="73"/>
  <c r="H129" i="73"/>
  <c r="G129" i="73"/>
  <c r="F129" i="73"/>
  <c r="J129" i="73" s="1"/>
  <c r="R129" i="73" s="1"/>
  <c r="M128" i="73"/>
  <c r="L128" i="73"/>
  <c r="J128" i="73"/>
  <c r="H128" i="73"/>
  <c r="G128" i="73"/>
  <c r="F128" i="73"/>
  <c r="F127" i="73"/>
  <c r="AE126" i="73"/>
  <c r="AD126" i="73"/>
  <c r="AC126" i="73"/>
  <c r="AB126" i="73"/>
  <c r="M126" i="73"/>
  <c r="L126" i="73"/>
  <c r="I126" i="73"/>
  <c r="W126" i="73" s="1"/>
  <c r="H126" i="73"/>
  <c r="G126" i="73"/>
  <c r="F126" i="73"/>
  <c r="J126" i="73" s="1"/>
  <c r="M125" i="73"/>
  <c r="G125" i="73"/>
  <c r="F125" i="73"/>
  <c r="O125" i="73" s="1"/>
  <c r="Q124" i="73"/>
  <c r="P124" i="73"/>
  <c r="O124" i="73"/>
  <c r="M124" i="73"/>
  <c r="L124" i="73"/>
  <c r="I124" i="73"/>
  <c r="H124" i="73"/>
  <c r="G124" i="73"/>
  <c r="F124" i="73"/>
  <c r="N124" i="73" s="1"/>
  <c r="O123" i="73"/>
  <c r="N123" i="73"/>
  <c r="J123" i="73"/>
  <c r="I123" i="73"/>
  <c r="F123" i="73"/>
  <c r="Q122" i="73"/>
  <c r="P122" i="73"/>
  <c r="O122" i="73"/>
  <c r="M122" i="73"/>
  <c r="L122" i="73"/>
  <c r="I122" i="73"/>
  <c r="H122" i="73"/>
  <c r="G122" i="73"/>
  <c r="F122" i="73"/>
  <c r="N122" i="73" s="1"/>
  <c r="O121" i="73"/>
  <c r="N121" i="73"/>
  <c r="J121" i="73"/>
  <c r="H121" i="73"/>
  <c r="F121" i="73"/>
  <c r="R120" i="73"/>
  <c r="AF120" i="73" s="1"/>
  <c r="H120" i="73"/>
  <c r="V120" i="73" s="1"/>
  <c r="F120" i="73"/>
  <c r="R119" i="73"/>
  <c r="G119" i="73"/>
  <c r="F119" i="73"/>
  <c r="R118" i="73"/>
  <c r="G118" i="73"/>
  <c r="F118" i="73"/>
  <c r="H118" i="73" s="1"/>
  <c r="R117" i="73"/>
  <c r="G117" i="73"/>
  <c r="F117" i="73"/>
  <c r="H117" i="73" s="1"/>
  <c r="K117" i="73" s="1"/>
  <c r="R116" i="73"/>
  <c r="H116" i="73"/>
  <c r="G116" i="73"/>
  <c r="F116" i="73"/>
  <c r="L116" i="73" s="1"/>
  <c r="AD115" i="73"/>
  <c r="AB115" i="73"/>
  <c r="W115" i="73"/>
  <c r="R115" i="73"/>
  <c r="H115" i="73"/>
  <c r="K115" i="73" s="1"/>
  <c r="G115" i="73"/>
  <c r="U115" i="73" s="1"/>
  <c r="F115" i="73"/>
  <c r="L115" i="73" s="1"/>
  <c r="R114" i="73"/>
  <c r="K114" i="73"/>
  <c r="S114" i="73" s="1"/>
  <c r="F114" i="73"/>
  <c r="F113" i="73"/>
  <c r="O112" i="73"/>
  <c r="N112" i="73"/>
  <c r="M112" i="73"/>
  <c r="J112" i="73"/>
  <c r="H112" i="73"/>
  <c r="K112" i="73" s="1"/>
  <c r="F112" i="73"/>
  <c r="L112" i="73" s="1"/>
  <c r="O111" i="73"/>
  <c r="J111" i="73"/>
  <c r="H111" i="73"/>
  <c r="K111" i="73" s="1"/>
  <c r="F111" i="73"/>
  <c r="N111" i="73" s="1"/>
  <c r="N110" i="73"/>
  <c r="H110" i="73"/>
  <c r="F110" i="73"/>
  <c r="Q110" i="73" s="1"/>
  <c r="W109" i="73"/>
  <c r="Q109" i="73"/>
  <c r="N109" i="73"/>
  <c r="G109" i="73"/>
  <c r="F109" i="73"/>
  <c r="O109" i="73" s="1"/>
  <c r="R108" i="73"/>
  <c r="P108" i="73"/>
  <c r="G108" i="73"/>
  <c r="F108" i="73"/>
  <c r="I108" i="73" s="1"/>
  <c r="R107" i="73"/>
  <c r="P107" i="73"/>
  <c r="L107" i="73"/>
  <c r="I107" i="73"/>
  <c r="H107" i="73"/>
  <c r="G107" i="73"/>
  <c r="F107" i="73"/>
  <c r="R106" i="73"/>
  <c r="I106" i="73"/>
  <c r="F106" i="73"/>
  <c r="R105" i="73"/>
  <c r="I105" i="73"/>
  <c r="G105" i="73"/>
  <c r="F105" i="73"/>
  <c r="AB104" i="73"/>
  <c r="R104" i="73"/>
  <c r="P104" i="73"/>
  <c r="L104" i="73"/>
  <c r="I104" i="73"/>
  <c r="H104" i="73"/>
  <c r="G104" i="73"/>
  <c r="F104" i="73"/>
  <c r="AE103" i="73"/>
  <c r="AD103" i="73"/>
  <c r="AC103" i="73"/>
  <c r="AA103" i="73"/>
  <c r="Z103" i="73"/>
  <c r="W103" i="73"/>
  <c r="J103" i="73"/>
  <c r="H103" i="73"/>
  <c r="V103" i="73" s="1"/>
  <c r="F103" i="73"/>
  <c r="N103" i="73" s="1"/>
  <c r="AB103" i="73" s="1"/>
  <c r="R102" i="73"/>
  <c r="AF102" i="73" s="1"/>
  <c r="H102" i="73"/>
  <c r="V102" i="73" s="1"/>
  <c r="G102" i="73"/>
  <c r="P101" i="73"/>
  <c r="J101" i="73"/>
  <c r="G101" i="73"/>
  <c r="F101" i="73"/>
  <c r="F100" i="73"/>
  <c r="J100" i="73" s="1"/>
  <c r="P99" i="73"/>
  <c r="J99" i="73"/>
  <c r="G99" i="73"/>
  <c r="F99" i="73"/>
  <c r="M98" i="73"/>
  <c r="F98" i="73"/>
  <c r="I97" i="73"/>
  <c r="F97" i="73"/>
  <c r="M97" i="73" s="1"/>
  <c r="N96" i="73"/>
  <c r="J96" i="73"/>
  <c r="F96" i="73"/>
  <c r="I95" i="73"/>
  <c r="F95" i="73"/>
  <c r="N95" i="73" s="1"/>
  <c r="M94" i="73"/>
  <c r="L94" i="73"/>
  <c r="I94" i="73"/>
  <c r="H94" i="73"/>
  <c r="F94" i="73"/>
  <c r="G94" i="73" s="1"/>
  <c r="L93" i="73"/>
  <c r="I93" i="73"/>
  <c r="H93" i="73"/>
  <c r="F93" i="73"/>
  <c r="G92" i="73"/>
  <c r="F92" i="73"/>
  <c r="P92" i="73" s="1"/>
  <c r="AE91" i="73"/>
  <c r="P91" i="73"/>
  <c r="M91" i="73"/>
  <c r="L91" i="73"/>
  <c r="I91" i="73"/>
  <c r="H91" i="73"/>
  <c r="G91" i="73"/>
  <c r="F91" i="73"/>
  <c r="N91" i="73" s="1"/>
  <c r="L90" i="73"/>
  <c r="G90" i="73"/>
  <c r="F90" i="73"/>
  <c r="Q90" i="73" s="1"/>
  <c r="M89" i="73"/>
  <c r="L89" i="73"/>
  <c r="J89" i="73"/>
  <c r="R89" i="73" s="1"/>
  <c r="H89" i="73"/>
  <c r="G89" i="73"/>
  <c r="F89" i="73"/>
  <c r="J88" i="73"/>
  <c r="H88" i="73"/>
  <c r="F88" i="73"/>
  <c r="M88" i="73" s="1"/>
  <c r="P87" i="73"/>
  <c r="M87" i="73"/>
  <c r="L87" i="73"/>
  <c r="J87" i="73"/>
  <c r="H87" i="73"/>
  <c r="G87" i="73"/>
  <c r="F87" i="73"/>
  <c r="Q87" i="73" s="1"/>
  <c r="L86" i="73"/>
  <c r="G86" i="73"/>
  <c r="F86" i="73"/>
  <c r="Q86" i="73" s="1"/>
  <c r="AC85" i="73"/>
  <c r="AB85" i="73"/>
  <c r="W85" i="73"/>
  <c r="L85" i="73"/>
  <c r="H85" i="73"/>
  <c r="G85" i="73"/>
  <c r="F85" i="73"/>
  <c r="Q85" i="73" s="1"/>
  <c r="Q84" i="73"/>
  <c r="H84" i="73"/>
  <c r="G84" i="73"/>
  <c r="F84" i="73"/>
  <c r="P84" i="73" s="1"/>
  <c r="Q83" i="73"/>
  <c r="N83" i="73"/>
  <c r="H83" i="73"/>
  <c r="G83" i="73"/>
  <c r="F83" i="73"/>
  <c r="P83" i="73" s="1"/>
  <c r="Q82" i="73"/>
  <c r="P82" i="73"/>
  <c r="N82" i="73"/>
  <c r="M82" i="73"/>
  <c r="AA80" i="73" s="1"/>
  <c r="I82" i="73"/>
  <c r="H82" i="73"/>
  <c r="G82" i="73"/>
  <c r="F82" i="73"/>
  <c r="O82" i="73" s="1"/>
  <c r="Q81" i="73"/>
  <c r="O81" i="73"/>
  <c r="N81" i="73"/>
  <c r="I81" i="73"/>
  <c r="H81" i="73"/>
  <c r="G81" i="73"/>
  <c r="F81" i="73"/>
  <c r="P81" i="73" s="1"/>
  <c r="Z80" i="73"/>
  <c r="O80" i="73"/>
  <c r="I80" i="73"/>
  <c r="F80" i="73"/>
  <c r="N80" i="73" s="1"/>
  <c r="F79" i="73"/>
  <c r="J79" i="73" s="1"/>
  <c r="F78" i="73"/>
  <c r="J78" i="73" s="1"/>
  <c r="J77" i="73"/>
  <c r="F77" i="73"/>
  <c r="O77" i="73" s="1"/>
  <c r="J76" i="73"/>
  <c r="F76" i="73"/>
  <c r="O76" i="73" s="1"/>
  <c r="AE75" i="73"/>
  <c r="AD75" i="73"/>
  <c r="AA75" i="73"/>
  <c r="Z75" i="73"/>
  <c r="W75" i="73"/>
  <c r="U75" i="73"/>
  <c r="F75" i="73"/>
  <c r="N75" i="73" s="1"/>
  <c r="P74" i="73"/>
  <c r="N74" i="73"/>
  <c r="L74" i="73"/>
  <c r="J74" i="73"/>
  <c r="R74" i="73" s="1"/>
  <c r="H74" i="73"/>
  <c r="G74" i="73"/>
  <c r="F74" i="73"/>
  <c r="AG73" i="73"/>
  <c r="L73" i="73"/>
  <c r="G73" i="73"/>
  <c r="F73" i="73"/>
  <c r="P73" i="73" s="1"/>
  <c r="P72" i="73"/>
  <c r="I72" i="73"/>
  <c r="F72" i="73"/>
  <c r="J72" i="73" s="1"/>
  <c r="R72" i="73" s="1"/>
  <c r="AE71" i="73"/>
  <c r="AC71" i="73"/>
  <c r="AA71" i="73"/>
  <c r="W71" i="73"/>
  <c r="P71" i="73"/>
  <c r="J71" i="73"/>
  <c r="H71" i="73"/>
  <c r="F71" i="73"/>
  <c r="N71" i="73" s="1"/>
  <c r="S70" i="73"/>
  <c r="R70" i="73"/>
  <c r="K70" i="73"/>
  <c r="F70" i="73"/>
  <c r="I70" i="73" s="1"/>
  <c r="AD69" i="73"/>
  <c r="AC69" i="73"/>
  <c r="AA69" i="73"/>
  <c r="Z69" i="73"/>
  <c r="X69" i="73"/>
  <c r="S69" i="73"/>
  <c r="R69" i="73"/>
  <c r="AF69" i="73" s="1"/>
  <c r="Q69" i="73"/>
  <c r="N69" i="73"/>
  <c r="K69" i="73"/>
  <c r="I69" i="73"/>
  <c r="H69" i="73"/>
  <c r="G69" i="73"/>
  <c r="F69" i="73"/>
  <c r="AE68" i="73"/>
  <c r="AD68" i="73"/>
  <c r="AC68" i="73"/>
  <c r="AA68" i="73"/>
  <c r="Z68" i="73"/>
  <c r="X68" i="73"/>
  <c r="W68" i="73"/>
  <c r="R68" i="73"/>
  <c r="AF68" i="73" s="1"/>
  <c r="H68" i="73"/>
  <c r="V68" i="73" s="1"/>
  <c r="G68" i="73"/>
  <c r="U68" i="73" s="1"/>
  <c r="F68" i="73"/>
  <c r="N68" i="73" s="1"/>
  <c r="AB68" i="73" s="1"/>
  <c r="R67" i="73"/>
  <c r="F67" i="73"/>
  <c r="N67" i="73" s="1"/>
  <c r="R66" i="73"/>
  <c r="N66" i="73"/>
  <c r="K66" i="73"/>
  <c r="S66" i="73" s="1"/>
  <c r="G66" i="73"/>
  <c r="F66" i="73"/>
  <c r="R65" i="73"/>
  <c r="G65" i="73"/>
  <c r="F65" i="73"/>
  <c r="N65" i="73" s="1"/>
  <c r="R64" i="73"/>
  <c r="N64" i="73"/>
  <c r="F64" i="73"/>
  <c r="G64" i="73" s="1"/>
  <c r="K64" i="73" s="1"/>
  <c r="S64" i="73" s="1"/>
  <c r="AE63" i="73"/>
  <c r="AC63" i="73"/>
  <c r="AA63" i="73"/>
  <c r="Z63" i="73"/>
  <c r="X63" i="73"/>
  <c r="V63" i="73"/>
  <c r="R63" i="73"/>
  <c r="N63" i="73"/>
  <c r="F63" i="73"/>
  <c r="G63" i="73" s="1"/>
  <c r="R62" i="73"/>
  <c r="H62" i="73"/>
  <c r="G62" i="73"/>
  <c r="K62" i="73" s="1"/>
  <c r="F62" i="73"/>
  <c r="L62" i="73" s="1"/>
  <c r="R61" i="73"/>
  <c r="G61" i="73"/>
  <c r="F61" i="73"/>
  <c r="L61" i="73" s="1"/>
  <c r="R60" i="73"/>
  <c r="F60" i="73"/>
  <c r="L60" i="73" s="1"/>
  <c r="R59" i="73"/>
  <c r="H59" i="73"/>
  <c r="F59" i="73"/>
  <c r="G59" i="73" s="1"/>
  <c r="R58" i="73"/>
  <c r="H58" i="73"/>
  <c r="G58" i="73"/>
  <c r="K58" i="73" s="1"/>
  <c r="F58" i="73"/>
  <c r="L58" i="73" s="1"/>
  <c r="AD57" i="73"/>
  <c r="AB57" i="73"/>
  <c r="W57" i="73"/>
  <c r="R57" i="73"/>
  <c r="H57" i="73"/>
  <c r="G57" i="73"/>
  <c r="F57" i="73"/>
  <c r="L57" i="73" s="1"/>
  <c r="R56" i="73"/>
  <c r="G56" i="73"/>
  <c r="F56" i="73"/>
  <c r="N56" i="73" s="1"/>
  <c r="R55" i="73"/>
  <c r="H55" i="73"/>
  <c r="F55" i="73"/>
  <c r="N55" i="73" s="1"/>
  <c r="R54" i="73"/>
  <c r="H54" i="73"/>
  <c r="F54" i="73"/>
  <c r="G54" i="73" s="1"/>
  <c r="R53" i="73"/>
  <c r="H53" i="73"/>
  <c r="G53" i="73"/>
  <c r="F53" i="73"/>
  <c r="N53" i="73" s="1"/>
  <c r="R52" i="73"/>
  <c r="G52" i="73"/>
  <c r="F52" i="73"/>
  <c r="N52" i="73" s="1"/>
  <c r="AE51" i="73"/>
  <c r="AD51" i="73"/>
  <c r="AC51" i="73"/>
  <c r="AA51" i="73"/>
  <c r="Z51" i="73"/>
  <c r="X51" i="73"/>
  <c r="W51" i="73"/>
  <c r="R51" i="73"/>
  <c r="G51" i="73"/>
  <c r="F51" i="73"/>
  <c r="N51" i="73" s="1"/>
  <c r="Z50" i="73"/>
  <c r="R50" i="73"/>
  <c r="AF50" i="73" s="1"/>
  <c r="L50" i="73"/>
  <c r="H50" i="73"/>
  <c r="V50" i="73" s="1"/>
  <c r="G50" i="73"/>
  <c r="U50" i="73" s="1"/>
  <c r="O49" i="73"/>
  <c r="N49" i="73"/>
  <c r="J49" i="73"/>
  <c r="F49" i="73"/>
  <c r="M49" i="73" s="1"/>
  <c r="M48" i="73"/>
  <c r="G48" i="73"/>
  <c r="F48" i="73"/>
  <c r="L48" i="73" s="1"/>
  <c r="O47" i="73"/>
  <c r="N47" i="73"/>
  <c r="J47" i="73"/>
  <c r="F47" i="73"/>
  <c r="M47" i="73" s="1"/>
  <c r="M46" i="73"/>
  <c r="G46" i="73"/>
  <c r="F46" i="73"/>
  <c r="L46" i="73" s="1"/>
  <c r="AE45" i="73"/>
  <c r="AD45" i="73"/>
  <c r="W45" i="73"/>
  <c r="V45" i="73"/>
  <c r="F45" i="73"/>
  <c r="L45" i="73" s="1"/>
  <c r="R44" i="73"/>
  <c r="L44" i="73"/>
  <c r="G44" i="73"/>
  <c r="K44" i="73" s="1"/>
  <c r="S44" i="73" s="1"/>
  <c r="R43" i="73"/>
  <c r="L43" i="73"/>
  <c r="G43" i="73"/>
  <c r="K43" i="73" s="1"/>
  <c r="S43" i="73" s="1"/>
  <c r="R42" i="73"/>
  <c r="L42" i="73"/>
  <c r="G42" i="73"/>
  <c r="K42" i="73" s="1"/>
  <c r="R41" i="73"/>
  <c r="L41" i="73"/>
  <c r="G41" i="73"/>
  <c r="AD40" i="73"/>
  <c r="AB40" i="73"/>
  <c r="W40" i="73"/>
  <c r="V40" i="73"/>
  <c r="R40" i="73"/>
  <c r="L40" i="73"/>
  <c r="G40" i="73"/>
  <c r="K40" i="73" s="1"/>
  <c r="F39" i="73"/>
  <c r="S39" i="73" s="1"/>
  <c r="S38" i="73"/>
  <c r="F38" i="73"/>
  <c r="S37" i="73"/>
  <c r="AG37" i="73" s="1"/>
  <c r="F37" i="73"/>
  <c r="J36" i="73"/>
  <c r="F36" i="73"/>
  <c r="O36" i="73" s="1"/>
  <c r="N35" i="73"/>
  <c r="M35" i="73"/>
  <c r="J35" i="73"/>
  <c r="H35" i="73"/>
  <c r="F35" i="73"/>
  <c r="L35" i="73" s="1"/>
  <c r="N34" i="73"/>
  <c r="M34" i="73"/>
  <c r="L34" i="73"/>
  <c r="J34" i="73"/>
  <c r="H34" i="73"/>
  <c r="G34" i="73"/>
  <c r="F34" i="73"/>
  <c r="O34" i="73" s="1"/>
  <c r="L33" i="73"/>
  <c r="G33" i="73"/>
  <c r="F33" i="73"/>
  <c r="O33" i="73" s="1"/>
  <c r="O32" i="73"/>
  <c r="R32" i="73" s="1"/>
  <c r="N32" i="73"/>
  <c r="I32" i="73"/>
  <c r="H32" i="73"/>
  <c r="G32" i="73"/>
  <c r="F32" i="73"/>
  <c r="L31" i="73"/>
  <c r="G31" i="73"/>
  <c r="F31" i="73"/>
  <c r="O31" i="73" s="1"/>
  <c r="F30" i="73"/>
  <c r="O30" i="73" s="1"/>
  <c r="AE29" i="73"/>
  <c r="AD29" i="73"/>
  <c r="F29" i="73"/>
  <c r="O29" i="73" s="1"/>
  <c r="R28" i="73"/>
  <c r="H28" i="73"/>
  <c r="F28" i="73"/>
  <c r="G28" i="73" s="1"/>
  <c r="R27" i="73"/>
  <c r="H27" i="73"/>
  <c r="G27" i="73"/>
  <c r="F27" i="73"/>
  <c r="N27" i="73" s="1"/>
  <c r="R26" i="73"/>
  <c r="N26" i="73"/>
  <c r="L26" i="73"/>
  <c r="H26" i="73"/>
  <c r="G26" i="73"/>
  <c r="F26" i="73"/>
  <c r="R25" i="73"/>
  <c r="G25" i="73"/>
  <c r="F25" i="73"/>
  <c r="N25" i="73" s="1"/>
  <c r="AE24" i="73"/>
  <c r="AD24" i="73"/>
  <c r="AA24" i="73"/>
  <c r="Z24" i="73"/>
  <c r="W24" i="73"/>
  <c r="O24" i="73"/>
  <c r="AC24" i="73" s="1"/>
  <c r="J24" i="73"/>
  <c r="H24" i="73"/>
  <c r="V24" i="73" s="1"/>
  <c r="F24" i="73"/>
  <c r="N24" i="73" s="1"/>
  <c r="AB24" i="73" s="1"/>
  <c r="R23" i="73"/>
  <c r="K23" i="73"/>
  <c r="S23" i="73" s="1"/>
  <c r="F23" i="73"/>
  <c r="R22" i="73"/>
  <c r="K22" i="73"/>
  <c r="S22" i="73" s="1"/>
  <c r="F22" i="73"/>
  <c r="R21" i="73"/>
  <c r="K21" i="73"/>
  <c r="S21" i="73" s="1"/>
  <c r="F21" i="73"/>
  <c r="R20" i="73"/>
  <c r="H20" i="73"/>
  <c r="G20" i="73"/>
  <c r="K20" i="73" s="1"/>
  <c r="S20" i="73" s="1"/>
  <c r="F20" i="73"/>
  <c r="L20" i="73" s="1"/>
  <c r="R19" i="73"/>
  <c r="G19" i="73"/>
  <c r="F19" i="73"/>
  <c r="L19" i="73" s="1"/>
  <c r="R18" i="73"/>
  <c r="F18" i="73"/>
  <c r="R17" i="73"/>
  <c r="K17" i="73"/>
  <c r="H17" i="73"/>
  <c r="F17" i="73"/>
  <c r="G17" i="73" s="1"/>
  <c r="R16" i="73"/>
  <c r="K16" i="73"/>
  <c r="S16" i="73" s="1"/>
  <c r="F16" i="73"/>
  <c r="AE15" i="73"/>
  <c r="AD15" i="73"/>
  <c r="AC15" i="73"/>
  <c r="AB15" i="73"/>
  <c r="AA15" i="73"/>
  <c r="X15" i="73"/>
  <c r="W15" i="73"/>
  <c r="R15" i="73"/>
  <c r="H15" i="73"/>
  <c r="F15" i="73"/>
  <c r="G15" i="73" s="1"/>
  <c r="AE14" i="73"/>
  <c r="AD14" i="73"/>
  <c r="AC14" i="73"/>
  <c r="AB14" i="73"/>
  <c r="L14" i="73"/>
  <c r="Z14" i="73" s="1"/>
  <c r="I14" i="73"/>
  <c r="W14" i="73" s="1"/>
  <c r="H14" i="73"/>
  <c r="V14" i="73" s="1"/>
  <c r="G14" i="73"/>
  <c r="F14" i="73"/>
  <c r="J14" i="73" s="1"/>
  <c r="F13" i="73"/>
  <c r="S13" i="73" s="1"/>
  <c r="S12" i="73"/>
  <c r="F12" i="73"/>
  <c r="F11" i="73"/>
  <c r="S11" i="73" s="1"/>
  <c r="S10" i="73"/>
  <c r="F10" i="73"/>
  <c r="F9" i="73"/>
  <c r="S9" i="73" s="1"/>
  <c r="S8" i="73"/>
  <c r="F8" i="73"/>
  <c r="U7" i="73"/>
  <c r="S7" i="73"/>
  <c r="F7" i="73"/>
  <c r="G8" i="65"/>
  <c r="U15" i="46"/>
  <c r="U14" i="46"/>
  <c r="S298" i="46"/>
  <c r="S10" i="44"/>
  <c r="S9" i="44"/>
  <c r="H10" i="42"/>
  <c r="H11" i="42"/>
  <c r="K15" i="73" l="1"/>
  <c r="K26" i="73"/>
  <c r="S26" i="73" s="1"/>
  <c r="K32" i="73"/>
  <c r="S32" i="73" s="1"/>
  <c r="K120" i="73"/>
  <c r="Y120" i="73" s="1"/>
  <c r="R128" i="73"/>
  <c r="R133" i="73"/>
  <c r="V151" i="73"/>
  <c r="K165" i="73"/>
  <c r="S165" i="73" s="1"/>
  <c r="K179" i="73"/>
  <c r="S179" i="73" s="1"/>
  <c r="AA177" i="73"/>
  <c r="R182" i="73"/>
  <c r="K208" i="73"/>
  <c r="S208" i="73" s="1"/>
  <c r="K256" i="73"/>
  <c r="S256" i="73" s="1"/>
  <c r="U271" i="73"/>
  <c r="R309" i="73"/>
  <c r="S309" i="73" s="1"/>
  <c r="R315" i="73"/>
  <c r="S315" i="73" s="1"/>
  <c r="R317" i="73"/>
  <c r="S317" i="73" s="1"/>
  <c r="R319" i="73"/>
  <c r="S319" i="73" s="1"/>
  <c r="R326" i="73"/>
  <c r="S326" i="73" s="1"/>
  <c r="R328" i="73"/>
  <c r="S328" i="73" s="1"/>
  <c r="R330" i="73"/>
  <c r="S330" i="73" s="1"/>
  <c r="R337" i="73"/>
  <c r="S337" i="73" s="1"/>
  <c r="S111" i="73"/>
  <c r="S112" i="73"/>
  <c r="AF115" i="73"/>
  <c r="K162" i="73"/>
  <c r="Z168" i="73"/>
  <c r="R169" i="73"/>
  <c r="S172" i="73"/>
  <c r="R484" i="73"/>
  <c r="S484" i="73" s="1"/>
  <c r="R486" i="73"/>
  <c r="S486" i="73" s="1"/>
  <c r="R488" i="73"/>
  <c r="S488" i="73" s="1"/>
  <c r="AD271" i="73"/>
  <c r="K27" i="73"/>
  <c r="S27" i="73" s="1"/>
  <c r="S42" i="73"/>
  <c r="K54" i="73"/>
  <c r="AF57" i="73"/>
  <c r="K102" i="73"/>
  <c r="Y102" i="73" s="1"/>
  <c r="R111" i="73"/>
  <c r="K139" i="73"/>
  <c r="S139" i="73" s="1"/>
  <c r="S150" i="73"/>
  <c r="S163" i="73"/>
  <c r="R172" i="73"/>
  <c r="K176" i="73"/>
  <c r="K200" i="73"/>
  <c r="K201" i="73"/>
  <c r="K202" i="73"/>
  <c r="K282" i="73"/>
  <c r="S282" i="73" s="1"/>
  <c r="R308" i="73"/>
  <c r="S308" i="73" s="1"/>
  <c r="R325" i="73"/>
  <c r="S325" i="73" s="1"/>
  <c r="R327" i="73"/>
  <c r="S327" i="73" s="1"/>
  <c r="R331" i="73"/>
  <c r="S331" i="73" s="1"/>
  <c r="R418" i="73"/>
  <c r="S418" i="73" s="1"/>
  <c r="R420" i="73"/>
  <c r="S420" i="73" s="1"/>
  <c r="R428" i="73"/>
  <c r="S428" i="73" s="1"/>
  <c r="R430" i="73"/>
  <c r="S430" i="73" s="1"/>
  <c r="R459" i="73"/>
  <c r="S459" i="73" s="1"/>
  <c r="R24" i="73"/>
  <c r="AF24" i="73" s="1"/>
  <c r="K28" i="73"/>
  <c r="K34" i="73"/>
  <c r="S34" i="73" s="1"/>
  <c r="Z40" i="73"/>
  <c r="AF63" i="73"/>
  <c r="K87" i="73"/>
  <c r="K118" i="73"/>
  <c r="K134" i="73"/>
  <c r="S134" i="73" s="1"/>
  <c r="K136" i="73"/>
  <c r="S136" i="73" s="1"/>
  <c r="K138" i="73"/>
  <c r="AF151" i="73"/>
  <c r="AF162" i="73"/>
  <c r="K175" i="73"/>
  <c r="R208" i="73"/>
  <c r="K226" i="73"/>
  <c r="S226" i="73" s="1"/>
  <c r="K239" i="73"/>
  <c r="Y239" i="73" s="1"/>
  <c r="AF240" i="73"/>
  <c r="AF245" i="73"/>
  <c r="K277" i="73"/>
  <c r="AB278" i="73"/>
  <c r="R306" i="73"/>
  <c r="S306" i="73" s="1"/>
  <c r="R311" i="73"/>
  <c r="S311" i="73" s="1"/>
  <c r="R313" i="73"/>
  <c r="S313" i="73" s="1"/>
  <c r="R316" i="73"/>
  <c r="S316" i="73" s="1"/>
  <c r="R411" i="73"/>
  <c r="S411" i="73" s="1"/>
  <c r="R422" i="73"/>
  <c r="S422" i="73" s="1"/>
  <c r="R424" i="73"/>
  <c r="S424" i="73" s="1"/>
  <c r="R426" i="73"/>
  <c r="S426" i="73" s="1"/>
  <c r="R431" i="73"/>
  <c r="S431" i="73" s="1"/>
  <c r="R446" i="73"/>
  <c r="S446" i="73" s="1"/>
  <c r="R468" i="73"/>
  <c r="S468" i="73" s="1"/>
  <c r="S173" i="73"/>
  <c r="AF15" i="73"/>
  <c r="AF40" i="73"/>
  <c r="R47" i="73"/>
  <c r="AD71" i="73"/>
  <c r="S154" i="73"/>
  <c r="K169" i="73"/>
  <c r="S169" i="73" s="1"/>
  <c r="R173" i="73"/>
  <c r="S175" i="73"/>
  <c r="R186" i="73"/>
  <c r="AF278" i="73"/>
  <c r="S280" i="73"/>
  <c r="AG283" i="73"/>
  <c r="K14" i="73"/>
  <c r="U40" i="73"/>
  <c r="AF51" i="73"/>
  <c r="K53" i="73"/>
  <c r="S53" i="73" s="1"/>
  <c r="K59" i="73"/>
  <c r="K74" i="73"/>
  <c r="S74" i="73" s="1"/>
  <c r="R77" i="73"/>
  <c r="K89" i="73"/>
  <c r="S89" i="73" s="1"/>
  <c r="AC121" i="73"/>
  <c r="R174" i="73"/>
  <c r="V239" i="73"/>
  <c r="R273" i="73"/>
  <c r="K276" i="73"/>
  <c r="R276" i="73"/>
  <c r="R307" i="73"/>
  <c r="S307" i="73" s="1"/>
  <c r="R314" i="73"/>
  <c r="S314" i="73" s="1"/>
  <c r="R414" i="73"/>
  <c r="S414" i="73" s="1"/>
  <c r="R434" i="73"/>
  <c r="S434" i="73" s="1"/>
  <c r="R436" i="73"/>
  <c r="S436" i="73" s="1"/>
  <c r="R443" i="73"/>
  <c r="S443" i="73" s="1"/>
  <c r="R454" i="73"/>
  <c r="S454" i="73" s="1"/>
  <c r="R456" i="73"/>
  <c r="S456" i="73" s="1"/>
  <c r="R458" i="73"/>
  <c r="S458" i="73" s="1"/>
  <c r="R463" i="73"/>
  <c r="S463" i="73" s="1"/>
  <c r="R478" i="73"/>
  <c r="S478" i="73" s="1"/>
  <c r="Y14" i="73"/>
  <c r="U14" i="73"/>
  <c r="H18" i="73"/>
  <c r="G18" i="73"/>
  <c r="S58" i="73"/>
  <c r="S62" i="73"/>
  <c r="AB63" i="73"/>
  <c r="W69" i="73"/>
  <c r="X14" i="73"/>
  <c r="L18" i="73"/>
  <c r="R34" i="73"/>
  <c r="R36" i="73"/>
  <c r="R49" i="73"/>
  <c r="R76" i="73"/>
  <c r="S87" i="73"/>
  <c r="R87" i="73"/>
  <c r="R88" i="73"/>
  <c r="AG7" i="73"/>
  <c r="Y68" i="73"/>
  <c r="AG68" i="73" s="1"/>
  <c r="AE85" i="73"/>
  <c r="K63" i="73"/>
  <c r="M14" i="73"/>
  <c r="AA14" i="73" s="1"/>
  <c r="L15" i="73"/>
  <c r="L17" i="73"/>
  <c r="S17" i="73" s="1"/>
  <c r="H19" i="73"/>
  <c r="K19" i="73" s="1"/>
  <c r="S19" i="73" s="1"/>
  <c r="X24" i="73"/>
  <c r="H25" i="73"/>
  <c r="K25" i="73" s="1"/>
  <c r="S25" i="73" s="1"/>
  <c r="N28" i="73"/>
  <c r="S28" i="73" s="1"/>
  <c r="G29" i="73"/>
  <c r="L29" i="73"/>
  <c r="G30" i="73"/>
  <c r="L30" i="73"/>
  <c r="H31" i="73"/>
  <c r="M31" i="73"/>
  <c r="H33" i="73"/>
  <c r="M33" i="73"/>
  <c r="O35" i="73"/>
  <c r="AC29" i="73" s="1"/>
  <c r="G36" i="73"/>
  <c r="K41" i="73"/>
  <c r="S41" i="73" s="1"/>
  <c r="G45" i="73"/>
  <c r="M45" i="73"/>
  <c r="AA45" i="73" s="1"/>
  <c r="J46" i="73"/>
  <c r="K46" i="73" s="1"/>
  <c r="N46" i="73"/>
  <c r="L47" i="73"/>
  <c r="Z45" i="73" s="1"/>
  <c r="J48" i="73"/>
  <c r="K48" i="73" s="1"/>
  <c r="N48" i="73"/>
  <c r="L49" i="73"/>
  <c r="K50" i="73"/>
  <c r="H51" i="73"/>
  <c r="H52" i="73"/>
  <c r="K52" i="73" s="1"/>
  <c r="S52" i="73" s="1"/>
  <c r="N54" i="73"/>
  <c r="G55" i="73"/>
  <c r="K55" i="73" s="1"/>
  <c r="S55" i="73" s="1"/>
  <c r="H56" i="73"/>
  <c r="K56" i="73" s="1"/>
  <c r="S56" i="73" s="1"/>
  <c r="K57" i="73"/>
  <c r="S57" i="73" s="1"/>
  <c r="L59" i="73"/>
  <c r="S59" i="73" s="1"/>
  <c r="G60" i="73"/>
  <c r="H61" i="73"/>
  <c r="K61" i="73" s="1"/>
  <c r="S61" i="73" s="1"/>
  <c r="P63" i="73"/>
  <c r="AD63" i="73" s="1"/>
  <c r="I65" i="73"/>
  <c r="W63" i="73" s="1"/>
  <c r="G67" i="73"/>
  <c r="K67" i="73" s="1"/>
  <c r="S67" i="73" s="1"/>
  <c r="K68" i="73"/>
  <c r="S68" i="73" s="1"/>
  <c r="G70" i="73"/>
  <c r="U69" i="73" s="1"/>
  <c r="N70" i="73"/>
  <c r="AB69" i="73" s="1"/>
  <c r="R71" i="73"/>
  <c r="G72" i="73"/>
  <c r="H73" i="73"/>
  <c r="N73" i="73"/>
  <c r="H75" i="73"/>
  <c r="O75" i="73"/>
  <c r="N76" i="73"/>
  <c r="N77" i="73"/>
  <c r="N78" i="73"/>
  <c r="N79" i="73"/>
  <c r="J80" i="73"/>
  <c r="P80" i="73"/>
  <c r="AD80" i="73" s="1"/>
  <c r="N84" i="73"/>
  <c r="AB80" i="73" s="1"/>
  <c r="M85" i="73"/>
  <c r="H86" i="73"/>
  <c r="M86" i="73"/>
  <c r="H90" i="73"/>
  <c r="M90" i="73"/>
  <c r="H92" i="73"/>
  <c r="L92" i="73"/>
  <c r="J95" i="73"/>
  <c r="L96" i="73"/>
  <c r="H96" i="73"/>
  <c r="P96" i="73"/>
  <c r="G96" i="73"/>
  <c r="O96" i="73"/>
  <c r="R96" i="73" s="1"/>
  <c r="J97" i="73"/>
  <c r="R97" i="73" s="1"/>
  <c r="L98" i="73"/>
  <c r="H98" i="73"/>
  <c r="G98" i="73"/>
  <c r="P98" i="73"/>
  <c r="G100" i="73"/>
  <c r="P100" i="73"/>
  <c r="X103" i="73"/>
  <c r="R103" i="73"/>
  <c r="AF103" i="73" s="1"/>
  <c r="N113" i="73"/>
  <c r="J113" i="73"/>
  <c r="L113" i="73"/>
  <c r="O113" i="73"/>
  <c r="H113" i="73"/>
  <c r="S120" i="73"/>
  <c r="AG120" i="73" s="1"/>
  <c r="G24" i="73"/>
  <c r="H29" i="73"/>
  <c r="M29" i="73"/>
  <c r="H30" i="73"/>
  <c r="M30" i="73"/>
  <c r="J31" i="73"/>
  <c r="N31" i="73"/>
  <c r="J33" i="73"/>
  <c r="N33" i="73"/>
  <c r="G35" i="73"/>
  <c r="K35" i="73" s="1"/>
  <c r="H36" i="73"/>
  <c r="L36" i="73"/>
  <c r="S40" i="73"/>
  <c r="AG40" i="73" s="1"/>
  <c r="J45" i="73"/>
  <c r="N45" i="73"/>
  <c r="O46" i="73"/>
  <c r="G47" i="73"/>
  <c r="K47" i="73" s="1"/>
  <c r="O48" i="73"/>
  <c r="G49" i="73"/>
  <c r="K49" i="73" s="1"/>
  <c r="S49" i="73" s="1"/>
  <c r="K51" i="73"/>
  <c r="S51" i="73" s="1"/>
  <c r="H60" i="73"/>
  <c r="H70" i="73"/>
  <c r="V69" i="73" s="1"/>
  <c r="Q70" i="73"/>
  <c r="AE69" i="73" s="1"/>
  <c r="G71" i="73"/>
  <c r="L71" i="73"/>
  <c r="H72" i="73"/>
  <c r="L72" i="73"/>
  <c r="J73" i="73"/>
  <c r="R73" i="73" s="1"/>
  <c r="J75" i="73"/>
  <c r="H76" i="73"/>
  <c r="K76" i="73" s="1"/>
  <c r="H77" i="73"/>
  <c r="K77" i="73" s="1"/>
  <c r="S77" i="73" s="1"/>
  <c r="H78" i="73"/>
  <c r="K78" i="73" s="1"/>
  <c r="O78" i="73"/>
  <c r="R78" i="73" s="1"/>
  <c r="H79" i="73"/>
  <c r="K79" i="73" s="1"/>
  <c r="O79" i="73"/>
  <c r="R79" i="73" s="1"/>
  <c r="G80" i="73"/>
  <c r="Q80" i="73"/>
  <c r="AE80" i="73" s="1"/>
  <c r="J81" i="73"/>
  <c r="R81" i="73" s="1"/>
  <c r="J82" i="73"/>
  <c r="R82" i="73" s="1"/>
  <c r="I83" i="73"/>
  <c r="W80" i="73" s="1"/>
  <c r="O83" i="73"/>
  <c r="I84" i="73"/>
  <c r="O84" i="73"/>
  <c r="J85" i="73"/>
  <c r="P85" i="73"/>
  <c r="J86" i="73"/>
  <c r="R86" i="73" s="1"/>
  <c r="P86" i="73"/>
  <c r="G88" i="73"/>
  <c r="K88" i="73" s="1"/>
  <c r="L88" i="73"/>
  <c r="Z85" i="73" s="1"/>
  <c r="J90" i="73"/>
  <c r="P90" i="73"/>
  <c r="J91" i="73"/>
  <c r="K91" i="73" s="1"/>
  <c r="S91" i="73" s="1"/>
  <c r="I92" i="73"/>
  <c r="N92" i="73"/>
  <c r="P93" i="73"/>
  <c r="G93" i="73"/>
  <c r="K93" i="73" s="1"/>
  <c r="N93" i="73"/>
  <c r="J93" i="73"/>
  <c r="M93" i="73"/>
  <c r="I96" i="73"/>
  <c r="I98" i="73"/>
  <c r="M99" i="73"/>
  <c r="I99" i="73"/>
  <c r="L99" i="73"/>
  <c r="H99" i="73"/>
  <c r="N99" i="73"/>
  <c r="M101" i="73"/>
  <c r="R101" i="73" s="1"/>
  <c r="I101" i="73"/>
  <c r="L101" i="73"/>
  <c r="H101" i="73"/>
  <c r="N101" i="73"/>
  <c r="W104" i="73"/>
  <c r="M113" i="73"/>
  <c r="S115" i="73"/>
  <c r="K116" i="73"/>
  <c r="K137" i="73"/>
  <c r="S137" i="73" s="1"/>
  <c r="V135" i="73"/>
  <c r="J29" i="73"/>
  <c r="N29" i="73"/>
  <c r="J30" i="73"/>
  <c r="R30" i="73" s="1"/>
  <c r="N30" i="73"/>
  <c r="I36" i="73"/>
  <c r="W29" i="73" s="1"/>
  <c r="N36" i="73"/>
  <c r="O45" i="73"/>
  <c r="N72" i="73"/>
  <c r="AB71" i="73" s="1"/>
  <c r="H80" i="73"/>
  <c r="V80" i="73" s="1"/>
  <c r="J83" i="73"/>
  <c r="R83" i="73" s="1"/>
  <c r="J84" i="73"/>
  <c r="J92" i="73"/>
  <c r="O92" i="73"/>
  <c r="L95" i="73"/>
  <c r="H95" i="73"/>
  <c r="P95" i="73"/>
  <c r="G95" i="73"/>
  <c r="O95" i="73"/>
  <c r="L97" i="73"/>
  <c r="H97" i="73"/>
  <c r="P97" i="73"/>
  <c r="G97" i="73"/>
  <c r="K97" i="73" s="1"/>
  <c r="N97" i="73"/>
  <c r="J98" i="73"/>
  <c r="R98" i="73" s="1"/>
  <c r="S102" i="73"/>
  <c r="AG102" i="73" s="1"/>
  <c r="AB109" i="73"/>
  <c r="L117" i="73"/>
  <c r="S117" i="73" s="1"/>
  <c r="U134" i="73"/>
  <c r="Y134" i="73" s="1"/>
  <c r="AG134" i="73" s="1"/>
  <c r="R99" i="73"/>
  <c r="M100" i="73"/>
  <c r="R100" i="73" s="1"/>
  <c r="I100" i="73"/>
  <c r="L100" i="73"/>
  <c r="H100" i="73"/>
  <c r="N100" i="73"/>
  <c r="U102" i="73"/>
  <c r="L119" i="73"/>
  <c r="H119" i="73"/>
  <c r="J94" i="73"/>
  <c r="R94" i="73" s="1"/>
  <c r="P94" i="73"/>
  <c r="K104" i="73"/>
  <c r="S104" i="73" s="1"/>
  <c r="L106" i="73"/>
  <c r="G106" i="73"/>
  <c r="P106" i="73"/>
  <c r="K107" i="73"/>
  <c r="S107" i="73" s="1"/>
  <c r="H108" i="73"/>
  <c r="K108" i="73" s="1"/>
  <c r="J109" i="73"/>
  <c r="J110" i="73"/>
  <c r="O110" i="73"/>
  <c r="AC109" i="73" s="1"/>
  <c r="K119" i="73"/>
  <c r="Q121" i="73"/>
  <c r="M121" i="73"/>
  <c r="I121" i="73"/>
  <c r="P121" i="73"/>
  <c r="P123" i="73"/>
  <c r="L123" i="73"/>
  <c r="H123" i="73"/>
  <c r="Q123" i="73"/>
  <c r="I125" i="73"/>
  <c r="N125" i="73"/>
  <c r="AB121" i="73" s="1"/>
  <c r="M127" i="73"/>
  <c r="H127" i="73"/>
  <c r="L127" i="73"/>
  <c r="G127" i="73"/>
  <c r="K133" i="73"/>
  <c r="S133" i="73" s="1"/>
  <c r="S135" i="73"/>
  <c r="S138" i="73"/>
  <c r="G144" i="73"/>
  <c r="P160" i="73"/>
  <c r="J160" i="73"/>
  <c r="N160" i="73"/>
  <c r="H160" i="73"/>
  <c r="L160" i="73"/>
  <c r="G160" i="73"/>
  <c r="G103" i="73"/>
  <c r="AF104" i="73"/>
  <c r="P105" i="73"/>
  <c r="H105" i="73"/>
  <c r="L105" i="73"/>
  <c r="H106" i="73"/>
  <c r="AE109" i="73"/>
  <c r="R112" i="73"/>
  <c r="V115" i="73"/>
  <c r="L118" i="73"/>
  <c r="G121" i="73"/>
  <c r="L121" i="73"/>
  <c r="G123" i="73"/>
  <c r="M123" i="73"/>
  <c r="R123" i="73" s="1"/>
  <c r="J125" i="73"/>
  <c r="R126" i="73"/>
  <c r="J127" i="73"/>
  <c r="R127" i="73" s="1"/>
  <c r="K129" i="73"/>
  <c r="S129" i="73" s="1"/>
  <c r="R130" i="73"/>
  <c r="J131" i="73"/>
  <c r="M131" i="73"/>
  <c r="H131" i="73"/>
  <c r="AF135" i="73"/>
  <c r="K141" i="73"/>
  <c r="K142" i="73"/>
  <c r="S142" i="73" s="1"/>
  <c r="AG142" i="73" s="1"/>
  <c r="U142" i="73"/>
  <c r="L144" i="73"/>
  <c r="Z144" i="73" s="1"/>
  <c r="U145" i="73"/>
  <c r="Y145" i="73" s="1"/>
  <c r="AF145" i="73"/>
  <c r="S147" i="73"/>
  <c r="N149" i="73"/>
  <c r="S149" i="73" s="1"/>
  <c r="Z151" i="73"/>
  <c r="S153" i="73"/>
  <c r="N159" i="73"/>
  <c r="I159" i="73"/>
  <c r="L159" i="73"/>
  <c r="H159" i="73"/>
  <c r="Q159" i="73"/>
  <c r="R159" i="73" s="1"/>
  <c r="G159" i="73"/>
  <c r="S162" i="73"/>
  <c r="S164" i="73"/>
  <c r="V168" i="73"/>
  <c r="R177" i="73"/>
  <c r="K177" i="73"/>
  <c r="S177" i="73" s="1"/>
  <c r="L108" i="73"/>
  <c r="M109" i="73"/>
  <c r="H109" i="73"/>
  <c r="V109" i="73" s="1"/>
  <c r="L109" i="73"/>
  <c r="P110" i="73"/>
  <c r="AD109" i="73" s="1"/>
  <c r="L110" i="73"/>
  <c r="G110" i="73"/>
  <c r="M110" i="73"/>
  <c r="P125" i="73"/>
  <c r="L125" i="73"/>
  <c r="H125" i="73"/>
  <c r="V121" i="73" s="1"/>
  <c r="Q125" i="73"/>
  <c r="K126" i="73"/>
  <c r="S126" i="73" s="1"/>
  <c r="K128" i="73"/>
  <c r="S128" i="73" s="1"/>
  <c r="S130" i="73"/>
  <c r="M132" i="73"/>
  <c r="R132" i="73" s="1"/>
  <c r="H132" i="73"/>
  <c r="L132" i="73"/>
  <c r="G132" i="73"/>
  <c r="N144" i="73"/>
  <c r="AB144" i="73" s="1"/>
  <c r="S145" i="73"/>
  <c r="K152" i="73"/>
  <c r="S152" i="73" s="1"/>
  <c r="N158" i="73"/>
  <c r="I158" i="73"/>
  <c r="W157" i="73" s="1"/>
  <c r="L158" i="73"/>
  <c r="H158" i="73"/>
  <c r="Q158" i="73"/>
  <c r="G158" i="73"/>
  <c r="Q160" i="73"/>
  <c r="AB162" i="73"/>
  <c r="J171" i="73"/>
  <c r="O171" i="73"/>
  <c r="H171" i="73"/>
  <c r="H143" i="73"/>
  <c r="V143" i="73" s="1"/>
  <c r="G143" i="73"/>
  <c r="AB145" i="73"/>
  <c r="U151" i="73"/>
  <c r="K151" i="73"/>
  <c r="R158" i="73"/>
  <c r="K182" i="73"/>
  <c r="S182" i="73" s="1"/>
  <c r="L183" i="73"/>
  <c r="H183" i="73"/>
  <c r="O187" i="73"/>
  <c r="H187" i="73"/>
  <c r="O188" i="73"/>
  <c r="H188" i="73"/>
  <c r="O189" i="73"/>
  <c r="H189" i="73"/>
  <c r="O190" i="73"/>
  <c r="H190" i="73"/>
  <c r="O191" i="73"/>
  <c r="H191" i="73"/>
  <c r="V245" i="73"/>
  <c r="Y245" i="73" s="1"/>
  <c r="AG245" i="73" s="1"/>
  <c r="K245" i="73"/>
  <c r="S245" i="73" s="1"/>
  <c r="K258" i="73"/>
  <c r="S258" i="73" s="1"/>
  <c r="J122" i="73"/>
  <c r="R122" i="73" s="1"/>
  <c r="J124" i="73"/>
  <c r="H157" i="73"/>
  <c r="H161" i="73"/>
  <c r="N161" i="73"/>
  <c r="K167" i="73"/>
  <c r="J168" i="73"/>
  <c r="K168" i="73" s="1"/>
  <c r="S168" i="73" s="1"/>
  <c r="I170" i="73"/>
  <c r="W168" i="73" s="1"/>
  <c r="M170" i="73"/>
  <c r="R170" i="73" s="1"/>
  <c r="O176" i="73"/>
  <c r="I178" i="73"/>
  <c r="K178" i="73" s="1"/>
  <c r="K181" i="73"/>
  <c r="L181" i="73"/>
  <c r="G183" i="73"/>
  <c r="N186" i="73"/>
  <c r="J187" i="73"/>
  <c r="R187" i="73" s="1"/>
  <c r="J188" i="73"/>
  <c r="J189" i="73"/>
  <c r="J190" i="73"/>
  <c r="R190" i="73" s="1"/>
  <c r="J191" i="73"/>
  <c r="R191" i="73" s="1"/>
  <c r="J193" i="73"/>
  <c r="O193" i="73"/>
  <c r="H193" i="73"/>
  <c r="J195" i="73"/>
  <c r="O195" i="73"/>
  <c r="H195" i="73"/>
  <c r="S200" i="73"/>
  <c r="S201" i="73"/>
  <c r="S202" i="73"/>
  <c r="J204" i="73"/>
  <c r="O204" i="73"/>
  <c r="H204" i="73"/>
  <c r="S225" i="73"/>
  <c r="V225" i="73"/>
  <c r="Y225" i="73" s="1"/>
  <c r="AG225" i="73" s="1"/>
  <c r="L243" i="73"/>
  <c r="Z243" i="73" s="1"/>
  <c r="H243" i="73"/>
  <c r="K244" i="73"/>
  <c r="S244" i="73" s="1"/>
  <c r="U244" i="73"/>
  <c r="L263" i="73"/>
  <c r="G263" i="73"/>
  <c r="M263" i="73"/>
  <c r="J263" i="73"/>
  <c r="H263" i="73"/>
  <c r="J157" i="73"/>
  <c r="N157" i="73"/>
  <c r="J161" i="73"/>
  <c r="R161" i="73" s="1"/>
  <c r="P161" i="73"/>
  <c r="J178" i="73"/>
  <c r="R178" i="73" s="1"/>
  <c r="R179" i="73"/>
  <c r="L180" i="73"/>
  <c r="H180" i="73"/>
  <c r="K180" i="73" s="1"/>
  <c r="S180" i="73" s="1"/>
  <c r="I183" i="73"/>
  <c r="N187" i="73"/>
  <c r="N188" i="73"/>
  <c r="N189" i="73"/>
  <c r="N190" i="73"/>
  <c r="N191" i="73"/>
  <c r="R200" i="73"/>
  <c r="R201" i="73"/>
  <c r="R202" i="73"/>
  <c r="L259" i="73"/>
  <c r="G259" i="73"/>
  <c r="M259" i="73"/>
  <c r="J259" i="73"/>
  <c r="H259" i="73"/>
  <c r="W177" i="73"/>
  <c r="L178" i="73"/>
  <c r="J183" i="73"/>
  <c r="R183" i="73" s="1"/>
  <c r="O184" i="73"/>
  <c r="R184" i="73" s="1"/>
  <c r="H184" i="73"/>
  <c r="K186" i="73"/>
  <c r="J192" i="73"/>
  <c r="O192" i="73"/>
  <c r="H192" i="73"/>
  <c r="J194" i="73"/>
  <c r="O194" i="73"/>
  <c r="H194" i="73"/>
  <c r="K194" i="73" s="1"/>
  <c r="J196" i="73"/>
  <c r="R196" i="73" s="1"/>
  <c r="O196" i="73"/>
  <c r="H196" i="73"/>
  <c r="J210" i="73"/>
  <c r="O210" i="73"/>
  <c r="H210" i="73"/>
  <c r="AB269" i="73"/>
  <c r="AG269" i="73" s="1"/>
  <c r="S269" i="73"/>
  <c r="J274" i="73"/>
  <c r="M274" i="73"/>
  <c r="G274" i="73"/>
  <c r="L274" i="73"/>
  <c r="H274" i="73"/>
  <c r="L275" i="73"/>
  <c r="G275" i="73"/>
  <c r="J275" i="73"/>
  <c r="M275" i="73"/>
  <c r="H275" i="73"/>
  <c r="N212" i="73"/>
  <c r="N213" i="73"/>
  <c r="N214" i="73"/>
  <c r="N215" i="73"/>
  <c r="N216" i="73"/>
  <c r="N217" i="73"/>
  <c r="N218" i="73"/>
  <c r="N219" i="73"/>
  <c r="N220" i="73"/>
  <c r="N221" i="73"/>
  <c r="N222" i="73"/>
  <c r="N223" i="73"/>
  <c r="N224" i="73"/>
  <c r="M253" i="73"/>
  <c r="AA253" i="73" s="1"/>
  <c r="H253" i="73"/>
  <c r="N253" i="73"/>
  <c r="N257" i="73"/>
  <c r="J257" i="73"/>
  <c r="O257" i="73"/>
  <c r="J261" i="73"/>
  <c r="M261" i="73"/>
  <c r="L261" i="73"/>
  <c r="X271" i="73"/>
  <c r="R271" i="73"/>
  <c r="H212" i="73"/>
  <c r="K212" i="73" s="1"/>
  <c r="O212" i="73"/>
  <c r="R212" i="73" s="1"/>
  <c r="H213" i="73"/>
  <c r="K213" i="73" s="1"/>
  <c r="O213" i="73"/>
  <c r="R213" i="73" s="1"/>
  <c r="H214" i="73"/>
  <c r="K214" i="73" s="1"/>
  <c r="O214" i="73"/>
  <c r="R214" i="73" s="1"/>
  <c r="H215" i="73"/>
  <c r="K215" i="73" s="1"/>
  <c r="O215" i="73"/>
  <c r="R215" i="73" s="1"/>
  <c r="H216" i="73"/>
  <c r="K216" i="73" s="1"/>
  <c r="O216" i="73"/>
  <c r="R216" i="73" s="1"/>
  <c r="H217" i="73"/>
  <c r="K217" i="73" s="1"/>
  <c r="O217" i="73"/>
  <c r="R217" i="73" s="1"/>
  <c r="H218" i="73"/>
  <c r="K218" i="73" s="1"/>
  <c r="O218" i="73"/>
  <c r="R218" i="73" s="1"/>
  <c r="H219" i="73"/>
  <c r="K219" i="73" s="1"/>
  <c r="O219" i="73"/>
  <c r="R219" i="73" s="1"/>
  <c r="H220" i="73"/>
  <c r="K220" i="73" s="1"/>
  <c r="O220" i="73"/>
  <c r="R220" i="73" s="1"/>
  <c r="H221" i="73"/>
  <c r="K221" i="73" s="1"/>
  <c r="O221" i="73"/>
  <c r="R221" i="73" s="1"/>
  <c r="H222" i="73"/>
  <c r="K222" i="73" s="1"/>
  <c r="O222" i="73"/>
  <c r="R222" i="73" s="1"/>
  <c r="H223" i="73"/>
  <c r="K223" i="73" s="1"/>
  <c r="O223" i="73"/>
  <c r="R223" i="73" s="1"/>
  <c r="H224" i="73"/>
  <c r="K224" i="73" s="1"/>
  <c r="O224" i="73"/>
  <c r="R224" i="73" s="1"/>
  <c r="J253" i="73"/>
  <c r="O253" i="73"/>
  <c r="J254" i="73"/>
  <c r="O254" i="73"/>
  <c r="H257" i="73"/>
  <c r="J264" i="73"/>
  <c r="H264" i="73"/>
  <c r="M264" i="73"/>
  <c r="K271" i="73"/>
  <c r="S271" i="73" s="1"/>
  <c r="S276" i="73"/>
  <c r="H278" i="73"/>
  <c r="G278" i="73"/>
  <c r="K240" i="73"/>
  <c r="H254" i="73"/>
  <c r="N255" i="73"/>
  <c r="J255" i="73"/>
  <c r="O255" i="73"/>
  <c r="L257" i="73"/>
  <c r="Z253" i="73" s="1"/>
  <c r="R258" i="73"/>
  <c r="K260" i="73"/>
  <c r="S260" i="73" s="1"/>
  <c r="H261" i="73"/>
  <c r="K261" i="73" s="1"/>
  <c r="M262" i="73"/>
  <c r="H262" i="73"/>
  <c r="J262" i="73"/>
  <c r="G264" i="73"/>
  <c r="M265" i="73"/>
  <c r="R265" i="73" s="1"/>
  <c r="H265" i="73"/>
  <c r="K265" i="73" s="1"/>
  <c r="H279" i="73"/>
  <c r="G279" i="73"/>
  <c r="K279" i="73" s="1"/>
  <c r="S279" i="73" s="1"/>
  <c r="V290" i="73"/>
  <c r="R318" i="73"/>
  <c r="S318" i="73" s="1"/>
  <c r="R412" i="73"/>
  <c r="S412" i="73" s="1"/>
  <c r="R435" i="73"/>
  <c r="S435" i="73" s="1"/>
  <c r="R444" i="73"/>
  <c r="S444" i="73" s="1"/>
  <c r="R467" i="73"/>
  <c r="S467" i="73" s="1"/>
  <c r="R476" i="73"/>
  <c r="S476" i="73" s="1"/>
  <c r="R256" i="73"/>
  <c r="L266" i="73"/>
  <c r="G266" i="73"/>
  <c r="K266" i="73" s="1"/>
  <c r="M266" i="73"/>
  <c r="R266" i="73" s="1"/>
  <c r="K267" i="73"/>
  <c r="S267" i="73" s="1"/>
  <c r="O272" i="73"/>
  <c r="AC271" i="73" s="1"/>
  <c r="I272" i="73"/>
  <c r="N272" i="73"/>
  <c r="AB271" i="73" s="1"/>
  <c r="R277" i="73"/>
  <c r="L277" i="73"/>
  <c r="P290" i="73"/>
  <c r="AD290" i="73" s="1"/>
  <c r="G290" i="73"/>
  <c r="U290" i="73" s="1"/>
  <c r="Y290" i="73" s="1"/>
  <c r="R407" i="73"/>
  <c r="S407" i="73" s="1"/>
  <c r="R416" i="73"/>
  <c r="S416" i="73" s="1"/>
  <c r="R423" i="73"/>
  <c r="S423" i="73" s="1"/>
  <c r="R432" i="73"/>
  <c r="S432" i="73" s="1"/>
  <c r="R439" i="73"/>
  <c r="S439" i="73" s="1"/>
  <c r="R448" i="73"/>
  <c r="S448" i="73" s="1"/>
  <c r="R455" i="73"/>
  <c r="S455" i="73" s="1"/>
  <c r="R464" i="73"/>
  <c r="S464" i="73" s="1"/>
  <c r="R471" i="73"/>
  <c r="S471" i="73" s="1"/>
  <c r="R480" i="73"/>
  <c r="S480" i="73" s="1"/>
  <c r="R487" i="73"/>
  <c r="S487" i="73" s="1"/>
  <c r="R409" i="73"/>
  <c r="S409" i="73" s="1"/>
  <c r="R413" i="73"/>
  <c r="S413" i="73" s="1"/>
  <c r="R417" i="73"/>
  <c r="S417" i="73" s="1"/>
  <c r="R421" i="73"/>
  <c r="S421" i="73" s="1"/>
  <c r="R425" i="73"/>
  <c r="S425" i="73" s="1"/>
  <c r="R429" i="73"/>
  <c r="S429" i="73" s="1"/>
  <c r="R433" i="73"/>
  <c r="S433" i="73" s="1"/>
  <c r="R437" i="73"/>
  <c r="S437" i="73" s="1"/>
  <c r="R441" i="73"/>
  <c r="S441" i="73" s="1"/>
  <c r="R445" i="73"/>
  <c r="S445" i="73" s="1"/>
  <c r="R449" i="73"/>
  <c r="S449" i="73" s="1"/>
  <c r="R453" i="73"/>
  <c r="S453" i="73" s="1"/>
  <c r="R457" i="73"/>
  <c r="S457" i="73" s="1"/>
  <c r="R461" i="73"/>
  <c r="S461" i="73" s="1"/>
  <c r="R465" i="73"/>
  <c r="S465" i="73" s="1"/>
  <c r="R469" i="73"/>
  <c r="S469" i="73" s="1"/>
  <c r="R473" i="73"/>
  <c r="S473" i="73" s="1"/>
  <c r="R477" i="73"/>
  <c r="S477" i="73" s="1"/>
  <c r="R481" i="73"/>
  <c r="S481" i="73" s="1"/>
  <c r="R485" i="73"/>
  <c r="S485" i="73" s="1"/>
  <c r="M82" i="49"/>
  <c r="G679" i="47"/>
  <c r="G674" i="47"/>
  <c r="H352" i="47"/>
  <c r="H353" i="47"/>
  <c r="H354" i="47"/>
  <c r="H355" i="47"/>
  <c r="H351" i="47"/>
  <c r="G695" i="46"/>
  <c r="G697" i="46"/>
  <c r="G692" i="46"/>
  <c r="G694" i="46"/>
  <c r="G696" i="46"/>
  <c r="S277" i="73" l="1"/>
  <c r="K254" i="73"/>
  <c r="S254" i="73" s="1"/>
  <c r="R264" i="73"/>
  <c r="AA274" i="73"/>
  <c r="K161" i="73"/>
  <c r="AE157" i="73"/>
  <c r="K132" i="73"/>
  <c r="Y162" i="73"/>
  <c r="S54" i="73"/>
  <c r="K264" i="73"/>
  <c r="S264" i="73" s="1"/>
  <c r="S261" i="73"/>
  <c r="K192" i="73"/>
  <c r="S192" i="73" s="1"/>
  <c r="Z177" i="73"/>
  <c r="AA258" i="73"/>
  <c r="K193" i="73"/>
  <c r="S193" i="73" s="1"/>
  <c r="S178" i="73"/>
  <c r="V157" i="73"/>
  <c r="AC80" i="73"/>
  <c r="Z71" i="73"/>
  <c r="S47" i="73"/>
  <c r="K92" i="73"/>
  <c r="S92" i="73" s="1"/>
  <c r="V85" i="73"/>
  <c r="AG290" i="73"/>
  <c r="R257" i="73"/>
  <c r="R275" i="73"/>
  <c r="S176" i="73"/>
  <c r="S118" i="73"/>
  <c r="R84" i="73"/>
  <c r="S78" i="73"/>
  <c r="R33" i="73"/>
  <c r="S48" i="73"/>
  <c r="K31" i="73"/>
  <c r="S31" i="73" s="1"/>
  <c r="R262" i="73"/>
  <c r="S239" i="73"/>
  <c r="AG239" i="73" s="1"/>
  <c r="R261" i="73"/>
  <c r="AB253" i="73"/>
  <c r="R192" i="73"/>
  <c r="K259" i="73"/>
  <c r="S259" i="73" s="1"/>
  <c r="K195" i="73"/>
  <c r="R189" i="73"/>
  <c r="AA109" i="73"/>
  <c r="X126" i="73"/>
  <c r="Z121" i="73"/>
  <c r="V104" i="73"/>
  <c r="AG135" i="73"/>
  <c r="AC91" i="73"/>
  <c r="K101" i="73"/>
  <c r="S101" i="73" s="1"/>
  <c r="R93" i="73"/>
  <c r="AB91" i="73"/>
  <c r="R90" i="73"/>
  <c r="AB45" i="73"/>
  <c r="K90" i="73"/>
  <c r="S90" i="73" s="1"/>
  <c r="AD91" i="73"/>
  <c r="S265" i="73"/>
  <c r="K262" i="73"/>
  <c r="S262" i="73" s="1"/>
  <c r="Z258" i="73"/>
  <c r="AB157" i="73"/>
  <c r="R193" i="73"/>
  <c r="R188" i="73"/>
  <c r="K191" i="73"/>
  <c r="S191" i="73" s="1"/>
  <c r="K189" i="73"/>
  <c r="S189" i="73" s="1"/>
  <c r="K187" i="73"/>
  <c r="Z157" i="73"/>
  <c r="Z104" i="73"/>
  <c r="K131" i="73"/>
  <c r="AD104" i="73"/>
  <c r="AD157" i="73"/>
  <c r="Y135" i="73"/>
  <c r="V126" i="73"/>
  <c r="S108" i="73"/>
  <c r="K99" i="73"/>
  <c r="S99" i="73" s="1"/>
  <c r="U85" i="73"/>
  <c r="Y85" i="73" s="1"/>
  <c r="K84" i="73"/>
  <c r="S84" i="73" s="1"/>
  <c r="S79" i="73"/>
  <c r="S76" i="73"/>
  <c r="V71" i="73"/>
  <c r="S35" i="73"/>
  <c r="R31" i="73"/>
  <c r="V29" i="73"/>
  <c r="K113" i="73"/>
  <c r="S113" i="73" s="1"/>
  <c r="Z91" i="73"/>
  <c r="K33" i="73"/>
  <c r="S33" i="73" s="1"/>
  <c r="Z15" i="73"/>
  <c r="AB184" i="73"/>
  <c r="V177" i="73"/>
  <c r="AC253" i="73"/>
  <c r="R259" i="73"/>
  <c r="AF258" i="73" s="1"/>
  <c r="S161" i="73"/>
  <c r="K170" i="73"/>
  <c r="AA126" i="73"/>
  <c r="S97" i="73"/>
  <c r="AC45" i="73"/>
  <c r="S93" i="73"/>
  <c r="V57" i="73"/>
  <c r="AB75" i="73"/>
  <c r="K73" i="73"/>
  <c r="S73" i="73" s="1"/>
  <c r="S46" i="73"/>
  <c r="Y69" i="73"/>
  <c r="AG69" i="73" s="1"/>
  <c r="X258" i="73"/>
  <c r="R255" i="73"/>
  <c r="U278" i="73"/>
  <c r="K278" i="73"/>
  <c r="S278" i="73" s="1"/>
  <c r="K196" i="73"/>
  <c r="S196" i="73" s="1"/>
  <c r="AC184" i="73"/>
  <c r="X157" i="73"/>
  <c r="R157" i="73"/>
  <c r="AA263" i="73"/>
  <c r="U258" i="73"/>
  <c r="S187" i="73"/>
  <c r="S170" i="73"/>
  <c r="K171" i="73"/>
  <c r="S171" i="73" s="1"/>
  <c r="V171" i="73"/>
  <c r="AA168" i="73"/>
  <c r="K158" i="73"/>
  <c r="S158" i="73" s="1"/>
  <c r="Z109" i="73"/>
  <c r="K144" i="73"/>
  <c r="U144" i="73"/>
  <c r="W121" i="73"/>
  <c r="Z115" i="73"/>
  <c r="K95" i="73"/>
  <c r="S95" i="73" s="1"/>
  <c r="X29" i="73"/>
  <c r="R29" i="73"/>
  <c r="K125" i="73"/>
  <c r="S125" i="73" s="1"/>
  <c r="S116" i="73"/>
  <c r="Y115" i="73"/>
  <c r="R85" i="73"/>
  <c r="AF85" i="73" s="1"/>
  <c r="X85" i="73"/>
  <c r="K80" i="73"/>
  <c r="S80" i="73" s="1"/>
  <c r="U80" i="73"/>
  <c r="U71" i="73"/>
  <c r="K71" i="73"/>
  <c r="S71" i="73" s="1"/>
  <c r="K30" i="73"/>
  <c r="S30" i="73" s="1"/>
  <c r="S63" i="73"/>
  <c r="K83" i="73"/>
  <c r="S83" i="73" s="1"/>
  <c r="U51" i="73"/>
  <c r="V15" i="73"/>
  <c r="V91" i="73"/>
  <c r="K18" i="73"/>
  <c r="S18" i="73" s="1"/>
  <c r="U15" i="73"/>
  <c r="Y15" i="73" s="1"/>
  <c r="AG15" i="73" s="1"/>
  <c r="W271" i="73"/>
  <c r="Y271" i="73" s="1"/>
  <c r="AG271" i="73" s="1"/>
  <c r="K272" i="73"/>
  <c r="S272" i="73" s="1"/>
  <c r="S266" i="73"/>
  <c r="V278" i="73"/>
  <c r="R254" i="73"/>
  <c r="S223" i="73"/>
  <c r="S221" i="73"/>
  <c r="S219" i="73"/>
  <c r="S217" i="73"/>
  <c r="S215" i="73"/>
  <c r="S213" i="73"/>
  <c r="K253" i="73"/>
  <c r="S253" i="73" s="1"/>
  <c r="V253" i="73"/>
  <c r="V274" i="73"/>
  <c r="R274" i="73"/>
  <c r="AF274" i="73" s="1"/>
  <c r="X274" i="73"/>
  <c r="K210" i="73"/>
  <c r="S210" i="73" s="1"/>
  <c r="R194" i="73"/>
  <c r="S186" i="73"/>
  <c r="R272" i="73"/>
  <c r="AF271" i="73" s="1"/>
  <c r="U263" i="73"/>
  <c r="K263" i="73"/>
  <c r="S263" i="73" s="1"/>
  <c r="K204" i="73"/>
  <c r="S204" i="73" s="1"/>
  <c r="R195" i="73"/>
  <c r="S181" i="73"/>
  <c r="U143" i="73"/>
  <c r="K143" i="73"/>
  <c r="AC171" i="73"/>
  <c r="K110" i="73"/>
  <c r="S110" i="73" s="1"/>
  <c r="U109" i="73"/>
  <c r="K159" i="73"/>
  <c r="S159" i="73" s="1"/>
  <c r="AG145" i="73"/>
  <c r="Y141" i="73"/>
  <c r="S141" i="73"/>
  <c r="AG141" i="73" s="1"/>
  <c r="R131" i="73"/>
  <c r="AF126" i="73" s="1"/>
  <c r="K123" i="73"/>
  <c r="S123" i="73" s="1"/>
  <c r="K103" i="73"/>
  <c r="U103" i="73"/>
  <c r="K160" i="73"/>
  <c r="S160" i="73" s="1"/>
  <c r="R160" i="73"/>
  <c r="K127" i="73"/>
  <c r="S127" i="73" s="1"/>
  <c r="U126" i="73"/>
  <c r="Y126" i="73" s="1"/>
  <c r="AA121" i="73"/>
  <c r="R110" i="73"/>
  <c r="R92" i="73"/>
  <c r="R121" i="73"/>
  <c r="K105" i="73"/>
  <c r="S105" i="73" s="1"/>
  <c r="W91" i="73"/>
  <c r="AA29" i="73"/>
  <c r="R113" i="73"/>
  <c r="K98" i="73"/>
  <c r="S98" i="73" s="1"/>
  <c r="X80" i="73"/>
  <c r="R80" i="73"/>
  <c r="R46" i="73"/>
  <c r="K36" i="73"/>
  <c r="S36" i="73" s="1"/>
  <c r="Z29" i="73"/>
  <c r="U63" i="73"/>
  <c r="Y63" i="73" s="1"/>
  <c r="AG63" i="73" s="1"/>
  <c r="K82" i="73"/>
  <c r="S82" i="73" s="1"/>
  <c r="Z57" i="73"/>
  <c r="X71" i="73"/>
  <c r="AB51" i="73"/>
  <c r="R35" i="73"/>
  <c r="R14" i="73"/>
  <c r="AF14" i="73" s="1"/>
  <c r="Y40" i="73"/>
  <c r="S15" i="73"/>
  <c r="Z274" i="73"/>
  <c r="V263" i="73"/>
  <c r="Z263" i="73"/>
  <c r="K243" i="73"/>
  <c r="V243" i="73"/>
  <c r="X168" i="73"/>
  <c r="Y168" i="73" s="1"/>
  <c r="AG168" i="73" s="1"/>
  <c r="R168" i="73"/>
  <c r="AF168" i="73" s="1"/>
  <c r="K190" i="73"/>
  <c r="S190" i="73" s="1"/>
  <c r="K188" i="73"/>
  <c r="S188" i="73" s="1"/>
  <c r="Y151" i="73"/>
  <c r="S151" i="73"/>
  <c r="AG151" i="73" s="1"/>
  <c r="X171" i="73"/>
  <c r="R171" i="73"/>
  <c r="K157" i="73"/>
  <c r="S157" i="73" s="1"/>
  <c r="X177" i="73"/>
  <c r="X184" i="73"/>
  <c r="Z126" i="73"/>
  <c r="AE121" i="73"/>
  <c r="R109" i="73"/>
  <c r="X109" i="73"/>
  <c r="U104" i="73"/>
  <c r="K106" i="73"/>
  <c r="S106" i="73" s="1"/>
  <c r="X121" i="73"/>
  <c r="U91" i="73"/>
  <c r="R45" i="73"/>
  <c r="X45" i="73"/>
  <c r="K122" i="73"/>
  <c r="S122" i="73" s="1"/>
  <c r="K96" i="73"/>
  <c r="S96" i="73" s="1"/>
  <c r="R95" i="73"/>
  <c r="AA85" i="73"/>
  <c r="AC75" i="73"/>
  <c r="K72" i="73"/>
  <c r="S72" i="73" s="1"/>
  <c r="V51" i="73"/>
  <c r="R48" i="73"/>
  <c r="K29" i="73"/>
  <c r="S29" i="73" s="1"/>
  <c r="U29" i="73"/>
  <c r="Y29" i="73" s="1"/>
  <c r="K86" i="73"/>
  <c r="S86" i="73" s="1"/>
  <c r="K85" i="73"/>
  <c r="S85" i="73" s="1"/>
  <c r="S14" i="73"/>
  <c r="AG14" i="73" s="1"/>
  <c r="Y240" i="73"/>
  <c r="S240" i="73"/>
  <c r="AG240" i="73" s="1"/>
  <c r="K257" i="73"/>
  <c r="S257" i="73" s="1"/>
  <c r="X253" i="73"/>
  <c r="R253" i="73"/>
  <c r="S224" i="73"/>
  <c r="S222" i="73"/>
  <c r="S220" i="73"/>
  <c r="S218" i="73"/>
  <c r="S216" i="73"/>
  <c r="S214" i="73"/>
  <c r="S212" i="73"/>
  <c r="K275" i="73"/>
  <c r="S275" i="73" s="1"/>
  <c r="K274" i="73"/>
  <c r="S274" i="73" s="1"/>
  <c r="U274" i="73"/>
  <c r="R210" i="73"/>
  <c r="S194" i="73"/>
  <c r="V184" i="73"/>
  <c r="K184" i="73"/>
  <c r="V258" i="73"/>
  <c r="X263" i="73"/>
  <c r="R263" i="73"/>
  <c r="AF263" i="73" s="1"/>
  <c r="K255" i="73"/>
  <c r="S255" i="73" s="1"/>
  <c r="R204" i="73"/>
  <c r="S195" i="73"/>
  <c r="K183" i="73"/>
  <c r="S183" i="73" s="1"/>
  <c r="U177" i="73"/>
  <c r="Y167" i="73"/>
  <c r="S167" i="73"/>
  <c r="AG167" i="73" s="1"/>
  <c r="R124" i="73"/>
  <c r="K124" i="73"/>
  <c r="S124" i="73" s="1"/>
  <c r="R176" i="73"/>
  <c r="U157" i="73"/>
  <c r="Y157" i="73" s="1"/>
  <c r="AG157" i="73" s="1"/>
  <c r="S132" i="73"/>
  <c r="AF177" i="73"/>
  <c r="AG162" i="73"/>
  <c r="S131" i="73"/>
  <c r="R125" i="73"/>
  <c r="K121" i="73"/>
  <c r="S121" i="73" s="1"/>
  <c r="U121" i="73"/>
  <c r="AD121" i="73"/>
  <c r="S119" i="73"/>
  <c r="AG115" i="73" s="1"/>
  <c r="AB29" i="73"/>
  <c r="K109" i="73"/>
  <c r="S109" i="73" s="1"/>
  <c r="AA91" i="73"/>
  <c r="R91" i="73"/>
  <c r="X91" i="73"/>
  <c r="S88" i="73"/>
  <c r="AD85" i="73"/>
  <c r="X75" i="73"/>
  <c r="R75" i="73"/>
  <c r="AF75" i="73" s="1"/>
  <c r="U24" i="73"/>
  <c r="K24" i="73"/>
  <c r="K100" i="73"/>
  <c r="S100" i="73" s="1"/>
  <c r="K94" i="73"/>
  <c r="S94" i="73" s="1"/>
  <c r="K75" i="73"/>
  <c r="S75" i="73" s="1"/>
  <c r="V75" i="73"/>
  <c r="AF71" i="73"/>
  <c r="K60" i="73"/>
  <c r="S60" i="73" s="1"/>
  <c r="S50" i="73"/>
  <c r="AG50" i="73" s="1"/>
  <c r="Y50" i="73"/>
  <c r="K45" i="73"/>
  <c r="S45" i="73" s="1"/>
  <c r="U45" i="73"/>
  <c r="K81" i="73"/>
  <c r="S81" i="73" s="1"/>
  <c r="K65" i="73"/>
  <c r="S65" i="73" s="1"/>
  <c r="U57" i="73"/>
  <c r="Y57" i="73" s="1"/>
  <c r="AG57" i="73" s="1"/>
  <c r="B119" i="41"/>
  <c r="V119" i="41"/>
  <c r="W119" i="41"/>
  <c r="X119" i="41"/>
  <c r="V115" i="41"/>
  <c r="W115" i="41"/>
  <c r="X115" i="41"/>
  <c r="V114" i="41"/>
  <c r="W114" i="41"/>
  <c r="X114" i="41"/>
  <c r="V103" i="41"/>
  <c r="W103" i="41"/>
  <c r="X103" i="41"/>
  <c r="V101" i="41"/>
  <c r="W101" i="41"/>
  <c r="X101" i="41"/>
  <c r="V98" i="41"/>
  <c r="W98" i="41"/>
  <c r="X98" i="41"/>
  <c r="V95" i="41"/>
  <c r="W95" i="41"/>
  <c r="X95" i="41"/>
  <c r="V93" i="41"/>
  <c r="W93" i="41"/>
  <c r="X93" i="41"/>
  <c r="V83" i="41"/>
  <c r="W83" i="41"/>
  <c r="X83" i="41"/>
  <c r="AF253" i="73" l="1"/>
  <c r="Y121" i="73"/>
  <c r="AF184" i="73"/>
  <c r="Y104" i="73"/>
  <c r="AG104" i="73" s="1"/>
  <c r="Y45" i="73"/>
  <c r="AG45" i="73" s="1"/>
  <c r="Y177" i="73"/>
  <c r="AG177" i="73" s="1"/>
  <c r="AF80" i="73"/>
  <c r="Y274" i="73"/>
  <c r="AG274" i="73" s="1"/>
  <c r="AF91" i="73"/>
  <c r="AF109" i="73"/>
  <c r="Y75" i="73"/>
  <c r="AG75" i="73" s="1"/>
  <c r="Y24" i="73"/>
  <c r="S24" i="73"/>
  <c r="AG24" i="73" s="1"/>
  <c r="AG29" i="73"/>
  <c r="AF45" i="73"/>
  <c r="S103" i="73"/>
  <c r="AG103" i="73" s="1"/>
  <c r="Y103" i="73"/>
  <c r="Y109" i="73"/>
  <c r="AG109" i="73" s="1"/>
  <c r="Y71" i="73"/>
  <c r="AG71" i="73" s="1"/>
  <c r="AF29" i="73"/>
  <c r="AG121" i="73"/>
  <c r="AG85" i="73"/>
  <c r="AF171" i="73"/>
  <c r="Y263" i="73"/>
  <c r="AG263" i="73" s="1"/>
  <c r="Y253" i="73"/>
  <c r="AG253" i="73" s="1"/>
  <c r="Y80" i="73"/>
  <c r="AG80" i="73" s="1"/>
  <c r="AF157" i="73"/>
  <c r="Y184" i="73"/>
  <c r="S184" i="73"/>
  <c r="AG184" i="73" s="1"/>
  <c r="Y91" i="73"/>
  <c r="AG91" i="73" s="1"/>
  <c r="S243" i="73"/>
  <c r="Y243" i="73"/>
  <c r="AG243" i="73" s="1"/>
  <c r="S144" i="73"/>
  <c r="AG144" i="73" s="1"/>
  <c r="Y144" i="73"/>
  <c r="Y171" i="73"/>
  <c r="AG171" i="73" s="1"/>
  <c r="AF121" i="73"/>
  <c r="AG126" i="73"/>
  <c r="Y143" i="73"/>
  <c r="S143" i="73"/>
  <c r="AG143" i="73" s="1"/>
  <c r="Y51" i="73"/>
  <c r="AG51" i="73" s="1"/>
  <c r="Y258" i="73"/>
  <c r="AG258" i="73" s="1"/>
  <c r="Y278" i="73"/>
  <c r="AG278" i="73" s="1"/>
  <c r="J460" i="70"/>
  <c r="J459" i="70"/>
  <c r="J458" i="70"/>
  <c r="J457" i="70"/>
  <c r="J456" i="70"/>
  <c r="J455" i="70"/>
  <c r="J454" i="70"/>
  <c r="J453" i="70"/>
  <c r="J452" i="70"/>
  <c r="J451" i="70"/>
  <c r="J450" i="70"/>
  <c r="J449" i="70"/>
  <c r="J448" i="70"/>
  <c r="J447" i="70"/>
  <c r="J446" i="70"/>
  <c r="J445" i="70"/>
  <c r="J444" i="70"/>
  <c r="J443" i="70"/>
  <c r="J442" i="70"/>
  <c r="J441" i="70"/>
  <c r="J440" i="70"/>
  <c r="J439" i="70"/>
  <c r="L434" i="70"/>
  <c r="L433" i="70"/>
  <c r="L432" i="70"/>
  <c r="L431" i="70"/>
  <c r="L430" i="70"/>
  <c r="L429" i="70"/>
  <c r="L428" i="70"/>
  <c r="L427" i="70"/>
  <c r="L426" i="70"/>
  <c r="L425" i="70"/>
  <c r="L424" i="70"/>
  <c r="L423" i="70"/>
  <c r="L422" i="70"/>
  <c r="L421" i="70"/>
  <c r="L420" i="70"/>
  <c r="L419" i="70"/>
  <c r="L418" i="70"/>
  <c r="L417" i="70"/>
  <c r="L416" i="70"/>
  <c r="L415" i="70"/>
  <c r="L414" i="70"/>
  <c r="L413" i="70"/>
  <c r="L412" i="70"/>
  <c r="L411" i="70"/>
  <c r="L410" i="70"/>
  <c r="L409" i="70"/>
  <c r="L408" i="70"/>
  <c r="L407" i="70"/>
  <c r="L406" i="70"/>
  <c r="L405" i="70"/>
  <c r="L404" i="70"/>
  <c r="L403" i="70"/>
  <c r="L402" i="70"/>
  <c r="L401" i="70"/>
  <c r="L400" i="70"/>
  <c r="L399" i="70"/>
  <c r="L398" i="70"/>
  <c r="L397" i="70"/>
  <c r="L396" i="70"/>
  <c r="L395" i="70"/>
  <c r="L394" i="70"/>
  <c r="L393" i="70"/>
  <c r="L392" i="70"/>
  <c r="L391" i="70"/>
  <c r="L390" i="70"/>
  <c r="L389" i="70"/>
  <c r="L388" i="70"/>
  <c r="L387" i="70"/>
  <c r="L386" i="70"/>
  <c r="L385" i="70"/>
  <c r="L384" i="70"/>
  <c r="L383" i="70"/>
  <c r="L382" i="70"/>
  <c r="L381" i="70"/>
  <c r="L380" i="70"/>
  <c r="L379" i="70"/>
  <c r="L378" i="70"/>
  <c r="L377" i="70"/>
  <c r="L376" i="70"/>
  <c r="L375" i="70"/>
  <c r="L374" i="70"/>
  <c r="L373" i="70"/>
  <c r="L372" i="70"/>
  <c r="L371" i="70"/>
  <c r="L370" i="70"/>
  <c r="L369" i="70"/>
  <c r="L368" i="70"/>
  <c r="L367" i="70"/>
  <c r="L366" i="70"/>
  <c r="L365" i="70"/>
  <c r="L364" i="70"/>
  <c r="L363" i="70"/>
  <c r="L362" i="70"/>
  <c r="L361" i="70"/>
  <c r="L360" i="70"/>
  <c r="L359" i="70"/>
  <c r="L358" i="70"/>
  <c r="L357" i="70"/>
  <c r="L356" i="70"/>
  <c r="L355" i="70"/>
  <c r="L354" i="70"/>
  <c r="L353" i="70"/>
  <c r="L352" i="70"/>
  <c r="L351" i="70"/>
  <c r="L350" i="70"/>
  <c r="L349" i="70"/>
  <c r="L348" i="70"/>
  <c r="L347" i="70"/>
  <c r="L346" i="70"/>
  <c r="L345" i="70"/>
  <c r="L344" i="70"/>
  <c r="L343" i="70"/>
  <c r="L342" i="70"/>
  <c r="L341" i="70"/>
  <c r="L340" i="70"/>
  <c r="L339" i="70"/>
  <c r="L338" i="70"/>
  <c r="L337" i="70"/>
  <c r="L336" i="70"/>
  <c r="L335" i="70"/>
  <c r="L334" i="70"/>
  <c r="L333" i="70"/>
  <c r="L332" i="70"/>
  <c r="L331" i="70"/>
  <c r="L330" i="70"/>
  <c r="L329" i="70"/>
  <c r="L328" i="70"/>
  <c r="L327" i="70"/>
  <c r="L326" i="70"/>
  <c r="L325" i="70"/>
  <c r="L324" i="70"/>
  <c r="L323" i="70"/>
  <c r="L322" i="70"/>
  <c r="L321" i="70"/>
  <c r="L320" i="70"/>
  <c r="L319" i="70"/>
  <c r="L318" i="70"/>
  <c r="L317" i="70"/>
  <c r="L316" i="70"/>
  <c r="L315" i="70"/>
  <c r="L314" i="70"/>
  <c r="L313" i="70"/>
  <c r="L312" i="70"/>
  <c r="L311" i="70"/>
  <c r="L310" i="70"/>
  <c r="L309" i="70"/>
  <c r="L308" i="70"/>
  <c r="L307" i="70"/>
  <c r="L306" i="70"/>
  <c r="L305" i="70"/>
  <c r="L304" i="70"/>
  <c r="L303" i="70"/>
  <c r="L302" i="70"/>
  <c r="L301" i="70"/>
  <c r="L300" i="70"/>
  <c r="L299" i="70"/>
  <c r="L298" i="70"/>
  <c r="L297" i="70"/>
  <c r="L296" i="70"/>
  <c r="L295" i="70"/>
  <c r="L294" i="70"/>
  <c r="L293" i="70"/>
  <c r="L292" i="70"/>
  <c r="L291" i="70"/>
  <c r="L290" i="70"/>
  <c r="L289" i="70"/>
  <c r="L288" i="70"/>
  <c r="L287" i="70"/>
  <c r="L286" i="70"/>
  <c r="L285" i="70"/>
  <c r="L284" i="70"/>
  <c r="L283" i="70"/>
  <c r="L282" i="70"/>
  <c r="L281" i="70"/>
  <c r="L280" i="70"/>
  <c r="L279" i="70"/>
  <c r="L278" i="70"/>
  <c r="L277" i="70"/>
  <c r="L276" i="70"/>
  <c r="L275" i="70"/>
  <c r="L274" i="70"/>
  <c r="L273" i="70"/>
  <c r="L272" i="70"/>
  <c r="L271" i="70"/>
  <c r="L270" i="70"/>
  <c r="L269" i="70"/>
  <c r="L268" i="70"/>
  <c r="L267" i="70"/>
  <c r="E262" i="70"/>
  <c r="E261" i="70"/>
  <c r="E260" i="70"/>
  <c r="E259" i="70"/>
  <c r="Y258" i="70"/>
  <c r="V258" i="70"/>
  <c r="T258" i="70"/>
  <c r="E258" i="70"/>
  <c r="G258" i="70" s="1"/>
  <c r="I257" i="70"/>
  <c r="P257" i="70" s="1"/>
  <c r="I256" i="70"/>
  <c r="P256" i="70" s="1"/>
  <c r="I255" i="70"/>
  <c r="P255" i="70" s="1"/>
  <c r="I254" i="70"/>
  <c r="P254" i="70" s="1"/>
  <c r="I253" i="70"/>
  <c r="P253" i="70" s="1"/>
  <c r="I252" i="70"/>
  <c r="Y251" i="70"/>
  <c r="X251" i="70"/>
  <c r="W251" i="70"/>
  <c r="V251" i="70"/>
  <c r="T251" i="70"/>
  <c r="S251" i="70"/>
  <c r="R251" i="70"/>
  <c r="I251" i="70"/>
  <c r="P251" i="70" s="1"/>
  <c r="E250" i="70"/>
  <c r="F250" i="70" s="1"/>
  <c r="E249" i="70"/>
  <c r="K249" i="70" s="1"/>
  <c r="E248" i="70"/>
  <c r="K248" i="70" s="1"/>
  <c r="E247" i="70"/>
  <c r="Y246" i="70"/>
  <c r="X246" i="70"/>
  <c r="V246" i="70"/>
  <c r="H246" i="70"/>
  <c r="T246" i="70" s="1"/>
  <c r="E246" i="70"/>
  <c r="G246" i="70" s="1"/>
  <c r="E245" i="70"/>
  <c r="K245" i="70" s="1"/>
  <c r="E244" i="70"/>
  <c r="G244" i="70" s="1"/>
  <c r="E243" i="70"/>
  <c r="Y242" i="70"/>
  <c r="X242" i="70"/>
  <c r="V242" i="70"/>
  <c r="T242" i="70"/>
  <c r="E242" i="70"/>
  <c r="I241" i="70"/>
  <c r="P241" i="70" s="1"/>
  <c r="E240" i="70"/>
  <c r="I240" i="70" s="1"/>
  <c r="I239" i="70"/>
  <c r="P239" i="70" s="1"/>
  <c r="E239" i="70"/>
  <c r="E238" i="70"/>
  <c r="J238" i="70" s="1"/>
  <c r="E237" i="70"/>
  <c r="G237" i="70" s="1"/>
  <c r="E236" i="70"/>
  <c r="E235" i="70"/>
  <c r="O235" i="70" s="1"/>
  <c r="X234" i="70"/>
  <c r="W234" i="70"/>
  <c r="H234" i="70"/>
  <c r="T234" i="70" s="1"/>
  <c r="E234" i="70"/>
  <c r="J234" i="70" s="1"/>
  <c r="E233" i="70"/>
  <c r="G233" i="70" s="1"/>
  <c r="F232" i="70"/>
  <c r="E232" i="70"/>
  <c r="E231" i="70"/>
  <c r="G231" i="70" s="1"/>
  <c r="E230" i="70"/>
  <c r="J230" i="70" s="1"/>
  <c r="T229" i="70"/>
  <c r="E229" i="70"/>
  <c r="E228" i="70"/>
  <c r="K228" i="70" s="1"/>
  <c r="E227" i="70"/>
  <c r="E226" i="70"/>
  <c r="K226" i="70" s="1"/>
  <c r="E225" i="70"/>
  <c r="K225" i="70" s="1"/>
  <c r="X224" i="70"/>
  <c r="T224" i="70"/>
  <c r="E224" i="70"/>
  <c r="K224" i="70" s="1"/>
  <c r="E223" i="70"/>
  <c r="E222" i="70"/>
  <c r="J222" i="70" s="1"/>
  <c r="E221" i="70"/>
  <c r="E220" i="70"/>
  <c r="E219" i="70"/>
  <c r="J219" i="70" s="1"/>
  <c r="E218" i="70"/>
  <c r="J218" i="70" s="1"/>
  <c r="E217" i="70"/>
  <c r="Y216" i="70"/>
  <c r="X216" i="70"/>
  <c r="W216" i="70"/>
  <c r="T216" i="70"/>
  <c r="R216" i="70"/>
  <c r="E216" i="70"/>
  <c r="Y215" i="70"/>
  <c r="X215" i="70"/>
  <c r="W215" i="70"/>
  <c r="J215" i="70"/>
  <c r="V215" i="70" s="1"/>
  <c r="H215" i="70"/>
  <c r="T215" i="70" s="1"/>
  <c r="G215" i="70"/>
  <c r="S215" i="70" s="1"/>
  <c r="F215" i="70"/>
  <c r="R215" i="70" s="1"/>
  <c r="X214" i="70"/>
  <c r="W214" i="70"/>
  <c r="T214" i="70"/>
  <c r="R214" i="70"/>
  <c r="E214" i="70"/>
  <c r="O213" i="70"/>
  <c r="J213" i="70"/>
  <c r="F213" i="70"/>
  <c r="I213" i="70" s="1"/>
  <c r="P213" i="70" s="1"/>
  <c r="O212" i="70"/>
  <c r="J212" i="70"/>
  <c r="F212" i="70"/>
  <c r="I212" i="70" s="1"/>
  <c r="O211" i="70"/>
  <c r="J211" i="70"/>
  <c r="F211" i="70"/>
  <c r="V210" i="70"/>
  <c r="S210" i="70"/>
  <c r="R210" i="70"/>
  <c r="O210" i="70"/>
  <c r="Y210" i="70" s="1"/>
  <c r="N210" i="70"/>
  <c r="X210" i="70" s="1"/>
  <c r="K210" i="70"/>
  <c r="W210" i="70" s="1"/>
  <c r="H210" i="70"/>
  <c r="T210" i="70" s="1"/>
  <c r="G210" i="70"/>
  <c r="I209" i="70"/>
  <c r="P209" i="70" s="1"/>
  <c r="I208" i="70"/>
  <c r="P208" i="70" s="1"/>
  <c r="I207" i="70"/>
  <c r="P207" i="70" s="1"/>
  <c r="J206" i="70"/>
  <c r="E206" i="70"/>
  <c r="J205" i="70"/>
  <c r="E205" i="70"/>
  <c r="J204" i="70"/>
  <c r="E204" i="70"/>
  <c r="H204" i="70" s="1"/>
  <c r="I204" i="70" s="1"/>
  <c r="J203" i="70"/>
  <c r="E203" i="70"/>
  <c r="J202" i="70"/>
  <c r="E202" i="70"/>
  <c r="J201" i="70"/>
  <c r="E201" i="70"/>
  <c r="H201" i="70" s="1"/>
  <c r="I201" i="70" s="1"/>
  <c r="J200" i="70"/>
  <c r="E200" i="70"/>
  <c r="H200" i="70" s="1"/>
  <c r="I200" i="70" s="1"/>
  <c r="Y199" i="70"/>
  <c r="X199" i="70"/>
  <c r="S199" i="70"/>
  <c r="R199" i="70"/>
  <c r="J199" i="70"/>
  <c r="E199" i="70"/>
  <c r="K199" i="70" s="1"/>
  <c r="Y198" i="70"/>
  <c r="W198" i="70"/>
  <c r="R198" i="70"/>
  <c r="E198" i="70"/>
  <c r="J198" i="70" s="1"/>
  <c r="V198" i="70" s="1"/>
  <c r="E197" i="70"/>
  <c r="P196" i="70"/>
  <c r="I196" i="70"/>
  <c r="E196" i="70"/>
  <c r="P195" i="70"/>
  <c r="I195" i="70"/>
  <c r="E195" i="70"/>
  <c r="O195" i="70" s="1"/>
  <c r="P194" i="70"/>
  <c r="I194" i="70"/>
  <c r="E194" i="70"/>
  <c r="P193" i="70"/>
  <c r="I193" i="70"/>
  <c r="E193" i="70"/>
  <c r="G193" i="70" s="1"/>
  <c r="P192" i="70"/>
  <c r="I192" i="70"/>
  <c r="E192" i="70"/>
  <c r="O192" i="70" s="1"/>
  <c r="P191" i="70"/>
  <c r="I191" i="70"/>
  <c r="E191" i="70"/>
  <c r="P190" i="70"/>
  <c r="I190" i="70"/>
  <c r="E190" i="70"/>
  <c r="P189" i="70"/>
  <c r="I189" i="70"/>
  <c r="E189" i="70"/>
  <c r="G189" i="70" s="1"/>
  <c r="P188" i="70"/>
  <c r="I188" i="70"/>
  <c r="E188" i="70"/>
  <c r="O188" i="70" s="1"/>
  <c r="P187" i="70"/>
  <c r="I187" i="70"/>
  <c r="E187" i="70"/>
  <c r="O187" i="70" s="1"/>
  <c r="P186" i="70"/>
  <c r="I186" i="70"/>
  <c r="E186" i="70"/>
  <c r="G186" i="70" s="1"/>
  <c r="P185" i="70"/>
  <c r="I185" i="70"/>
  <c r="E185" i="70"/>
  <c r="E184" i="70"/>
  <c r="E183" i="70"/>
  <c r="E182" i="70"/>
  <c r="E181" i="70"/>
  <c r="E180" i="70"/>
  <c r="P179" i="70"/>
  <c r="I179" i="70"/>
  <c r="E179" i="70"/>
  <c r="O179" i="70" s="1"/>
  <c r="E178" i="70"/>
  <c r="E177" i="70"/>
  <c r="P176" i="70"/>
  <c r="I176" i="70"/>
  <c r="E176" i="70"/>
  <c r="P175" i="70"/>
  <c r="I175" i="70"/>
  <c r="E175" i="70"/>
  <c r="E174" i="70"/>
  <c r="E173" i="70"/>
  <c r="P172" i="70"/>
  <c r="I172" i="70"/>
  <c r="E172" i="70"/>
  <c r="O172" i="70" s="1"/>
  <c r="E171" i="70"/>
  <c r="P170" i="70"/>
  <c r="I170" i="70"/>
  <c r="E170" i="70"/>
  <c r="O170" i="70" s="1"/>
  <c r="X169" i="70"/>
  <c r="V169" i="70"/>
  <c r="T169" i="70"/>
  <c r="R169" i="70"/>
  <c r="E169" i="70"/>
  <c r="J168" i="70"/>
  <c r="E168" i="70"/>
  <c r="N168" i="70" s="1"/>
  <c r="E167" i="70"/>
  <c r="E166" i="70"/>
  <c r="E165" i="70"/>
  <c r="K165" i="70" s="1"/>
  <c r="E164" i="70"/>
  <c r="H163" i="70"/>
  <c r="E163" i="70"/>
  <c r="K163" i="70" s="1"/>
  <c r="V162" i="70"/>
  <c r="E162" i="70"/>
  <c r="K162" i="70" s="1"/>
  <c r="E161" i="70"/>
  <c r="G161" i="70" s="1"/>
  <c r="E160" i="70"/>
  <c r="G160" i="70" s="1"/>
  <c r="I160" i="70" s="1"/>
  <c r="E159" i="70"/>
  <c r="N159" i="70" s="1"/>
  <c r="E158" i="70"/>
  <c r="G158" i="70" s="1"/>
  <c r="I158" i="70" s="1"/>
  <c r="Y157" i="70"/>
  <c r="V157" i="70"/>
  <c r="E157" i="70"/>
  <c r="K157" i="70" s="1"/>
  <c r="E156" i="70"/>
  <c r="E155" i="70"/>
  <c r="X154" i="70"/>
  <c r="W154" i="70"/>
  <c r="E154" i="70"/>
  <c r="S153" i="70"/>
  <c r="O153" i="70"/>
  <c r="Y153" i="70" s="1"/>
  <c r="K153" i="70"/>
  <c r="W153" i="70" s="1"/>
  <c r="G153" i="70"/>
  <c r="F153" i="70"/>
  <c r="I152" i="70"/>
  <c r="P152" i="70" s="1"/>
  <c r="E152" i="70"/>
  <c r="E151" i="70"/>
  <c r="O151" i="70" s="1"/>
  <c r="E150" i="70"/>
  <c r="J150" i="70" s="1"/>
  <c r="E149" i="70"/>
  <c r="E148" i="70"/>
  <c r="F148" i="70" s="1"/>
  <c r="E147" i="70"/>
  <c r="I146" i="70"/>
  <c r="P146" i="70" s="1"/>
  <c r="E146" i="70"/>
  <c r="O145" i="70"/>
  <c r="J145" i="70"/>
  <c r="G145" i="70"/>
  <c r="F145" i="70"/>
  <c r="O144" i="70"/>
  <c r="J144" i="70"/>
  <c r="G144" i="70"/>
  <c r="F144" i="70"/>
  <c r="O143" i="70"/>
  <c r="J143" i="70"/>
  <c r="G143" i="70"/>
  <c r="F143" i="70"/>
  <c r="O142" i="70"/>
  <c r="J142" i="70"/>
  <c r="G142" i="70"/>
  <c r="F142" i="70"/>
  <c r="X141" i="70"/>
  <c r="W141" i="70"/>
  <c r="T141" i="70"/>
  <c r="O141" i="70"/>
  <c r="J141" i="70"/>
  <c r="G141" i="70"/>
  <c r="F141" i="70"/>
  <c r="E140" i="70"/>
  <c r="O140" i="70" s="1"/>
  <c r="E139" i="70"/>
  <c r="E138" i="70"/>
  <c r="E137" i="70"/>
  <c r="O137" i="70" s="1"/>
  <c r="X136" i="70"/>
  <c r="W136" i="70"/>
  <c r="T136" i="70"/>
  <c r="E136" i="70"/>
  <c r="Y135" i="70"/>
  <c r="X135" i="70"/>
  <c r="T135" i="70"/>
  <c r="E135" i="70"/>
  <c r="Z134" i="70"/>
  <c r="Y134" i="70"/>
  <c r="X134" i="70"/>
  <c r="W134" i="70"/>
  <c r="V134" i="70"/>
  <c r="U134" i="70"/>
  <c r="T134" i="70"/>
  <c r="S134" i="70"/>
  <c r="R134" i="70"/>
  <c r="P134" i="70"/>
  <c r="I134" i="70"/>
  <c r="E134" i="70"/>
  <c r="G133" i="70"/>
  <c r="S133" i="70" s="1"/>
  <c r="F133" i="70"/>
  <c r="E132" i="70"/>
  <c r="G132" i="70" s="1"/>
  <c r="S132" i="70" s="1"/>
  <c r="I131" i="70"/>
  <c r="P131" i="70" s="1"/>
  <c r="O130" i="70"/>
  <c r="J130" i="70"/>
  <c r="G130" i="70"/>
  <c r="F130" i="70"/>
  <c r="O129" i="70"/>
  <c r="J129" i="70"/>
  <c r="G129" i="70"/>
  <c r="F129" i="70"/>
  <c r="I129" i="70" s="1"/>
  <c r="O128" i="70"/>
  <c r="J128" i="70"/>
  <c r="G128" i="70"/>
  <c r="F128" i="70"/>
  <c r="O127" i="70"/>
  <c r="J127" i="70"/>
  <c r="G127" i="70"/>
  <c r="F127" i="70"/>
  <c r="X126" i="70"/>
  <c r="W126" i="70"/>
  <c r="T126" i="70"/>
  <c r="O126" i="70"/>
  <c r="J126" i="70"/>
  <c r="G126" i="70"/>
  <c r="F126" i="70"/>
  <c r="Y125" i="70"/>
  <c r="X125" i="70"/>
  <c r="V125" i="70"/>
  <c r="T125" i="70"/>
  <c r="E125" i="70"/>
  <c r="F125" i="70" s="1"/>
  <c r="R125" i="70" s="1"/>
  <c r="E124" i="70"/>
  <c r="E123" i="70"/>
  <c r="E122" i="70"/>
  <c r="G122" i="70" s="1"/>
  <c r="E121" i="70"/>
  <c r="E120" i="70"/>
  <c r="J120" i="70" s="1"/>
  <c r="E119" i="70"/>
  <c r="E118" i="70"/>
  <c r="F118" i="70" s="1"/>
  <c r="X117" i="70"/>
  <c r="W117" i="70"/>
  <c r="T117" i="70"/>
  <c r="E117" i="70"/>
  <c r="E116" i="70"/>
  <c r="O116" i="70" s="1"/>
  <c r="E115" i="70"/>
  <c r="E114" i="70"/>
  <c r="O114" i="70" s="1"/>
  <c r="E113" i="70"/>
  <c r="O113" i="70" s="1"/>
  <c r="X112" i="70"/>
  <c r="H112" i="70"/>
  <c r="E112" i="70"/>
  <c r="E111" i="70"/>
  <c r="O111" i="70" s="1"/>
  <c r="Y111" i="70" s="1"/>
  <c r="E110" i="70"/>
  <c r="E109" i="70"/>
  <c r="E108" i="70"/>
  <c r="E107" i="70"/>
  <c r="X106" i="70"/>
  <c r="W106" i="70"/>
  <c r="T106" i="70"/>
  <c r="R106" i="70"/>
  <c r="E106" i="70"/>
  <c r="I105" i="70"/>
  <c r="P105" i="70" s="1"/>
  <c r="E105" i="70"/>
  <c r="E104" i="70"/>
  <c r="E103" i="70"/>
  <c r="O103" i="70" s="1"/>
  <c r="E102" i="70"/>
  <c r="E101" i="70"/>
  <c r="T100" i="70"/>
  <c r="E100" i="70"/>
  <c r="J100" i="70" s="1"/>
  <c r="K99" i="70"/>
  <c r="E99" i="70"/>
  <c r="K98" i="70"/>
  <c r="E98" i="70"/>
  <c r="N98" i="70" s="1"/>
  <c r="K97" i="70"/>
  <c r="E97" i="70"/>
  <c r="K96" i="70"/>
  <c r="E96" i="70"/>
  <c r="O96" i="70" s="1"/>
  <c r="K95" i="70"/>
  <c r="E95" i="70"/>
  <c r="F95" i="70" s="1"/>
  <c r="E94" i="70"/>
  <c r="O93" i="70"/>
  <c r="Y93" i="70" s="1"/>
  <c r="G93" i="70"/>
  <c r="S93" i="70" s="1"/>
  <c r="F93" i="70"/>
  <c r="E92" i="70"/>
  <c r="E91" i="70"/>
  <c r="O91" i="70" s="1"/>
  <c r="E90" i="70"/>
  <c r="O90" i="70" s="1"/>
  <c r="E89" i="70"/>
  <c r="G89" i="70" s="1"/>
  <c r="E88" i="70"/>
  <c r="J88" i="70" s="1"/>
  <c r="E87" i="70"/>
  <c r="E86" i="70"/>
  <c r="K86" i="70" s="1"/>
  <c r="E85" i="70"/>
  <c r="N85" i="70" s="1"/>
  <c r="E84" i="70"/>
  <c r="J84" i="70" s="1"/>
  <c r="E83" i="70"/>
  <c r="E82" i="70"/>
  <c r="O82" i="70" s="1"/>
  <c r="E81" i="70"/>
  <c r="E80" i="70"/>
  <c r="K80" i="70" s="1"/>
  <c r="E79" i="70"/>
  <c r="N79" i="70" s="1"/>
  <c r="E78" i="70"/>
  <c r="N78" i="70" s="1"/>
  <c r="E77" i="70"/>
  <c r="G77" i="70" s="1"/>
  <c r="V76" i="70"/>
  <c r="T76" i="70"/>
  <c r="E76" i="70"/>
  <c r="K76" i="70" s="1"/>
  <c r="E75" i="70"/>
  <c r="O75" i="70" s="1"/>
  <c r="E74" i="70"/>
  <c r="K74" i="70" s="1"/>
  <c r="E73" i="70"/>
  <c r="G73" i="70" s="1"/>
  <c r="E72" i="70"/>
  <c r="V71" i="70"/>
  <c r="E71" i="70"/>
  <c r="K71" i="70" s="1"/>
  <c r="E70" i="70"/>
  <c r="J70" i="70" s="1"/>
  <c r="E69" i="70"/>
  <c r="J69" i="70" s="1"/>
  <c r="E68" i="70"/>
  <c r="O68" i="70" s="1"/>
  <c r="T67" i="70"/>
  <c r="E67" i="70"/>
  <c r="E66" i="70"/>
  <c r="W65" i="70"/>
  <c r="E65" i="70"/>
  <c r="F65" i="70" s="1"/>
  <c r="E64" i="70"/>
  <c r="K64" i="70" s="1"/>
  <c r="W64" i="70" s="1"/>
  <c r="E63" i="70"/>
  <c r="F63" i="70" s="1"/>
  <c r="I63" i="70" s="1"/>
  <c r="E62" i="70"/>
  <c r="F62" i="70" s="1"/>
  <c r="I62" i="70" s="1"/>
  <c r="E61" i="70"/>
  <c r="K61" i="70" s="1"/>
  <c r="E60" i="70"/>
  <c r="Y59" i="70"/>
  <c r="X59" i="70"/>
  <c r="V59" i="70"/>
  <c r="S59" i="70"/>
  <c r="E59" i="70"/>
  <c r="H59" i="70" s="1"/>
  <c r="E58" i="70"/>
  <c r="J58" i="70" s="1"/>
  <c r="E57" i="70"/>
  <c r="F57" i="70" s="1"/>
  <c r="E56" i="70"/>
  <c r="J56" i="70" s="1"/>
  <c r="E55" i="70"/>
  <c r="E54" i="70"/>
  <c r="Y53" i="70"/>
  <c r="X53" i="70"/>
  <c r="W53" i="70"/>
  <c r="T53" i="70"/>
  <c r="E53" i="70"/>
  <c r="F53" i="70" s="1"/>
  <c r="E52" i="70"/>
  <c r="G52" i="70" s="1"/>
  <c r="G51" i="70"/>
  <c r="E51" i="70"/>
  <c r="F51" i="70" s="1"/>
  <c r="E50" i="70"/>
  <c r="G50" i="70" s="1"/>
  <c r="E49" i="70"/>
  <c r="F49" i="70" s="1"/>
  <c r="Y48" i="70"/>
  <c r="X48" i="70"/>
  <c r="T48" i="70"/>
  <c r="J48" i="70"/>
  <c r="V48" i="70" s="1"/>
  <c r="E48" i="70"/>
  <c r="O47" i="70"/>
  <c r="Y47" i="70" s="1"/>
  <c r="J47" i="70"/>
  <c r="V47" i="70" s="1"/>
  <c r="G47" i="70"/>
  <c r="S47" i="70" s="1"/>
  <c r="F47" i="70"/>
  <c r="I47" i="70" s="1"/>
  <c r="E46" i="70"/>
  <c r="J46" i="70" s="1"/>
  <c r="E45" i="70"/>
  <c r="J45" i="70" s="1"/>
  <c r="E44" i="70"/>
  <c r="E43" i="70"/>
  <c r="X42" i="70"/>
  <c r="T42" i="70"/>
  <c r="R42" i="70"/>
  <c r="E42" i="70"/>
  <c r="O42" i="70" s="1"/>
  <c r="J41" i="70"/>
  <c r="F41" i="70"/>
  <c r="I41" i="70" s="1"/>
  <c r="J40" i="70"/>
  <c r="F40" i="70"/>
  <c r="I40" i="70" s="1"/>
  <c r="J39" i="70"/>
  <c r="F39" i="70"/>
  <c r="I39" i="70" s="1"/>
  <c r="J38" i="70"/>
  <c r="F38" i="70"/>
  <c r="I38" i="70" s="1"/>
  <c r="Y37" i="70"/>
  <c r="X37" i="70"/>
  <c r="W37" i="70"/>
  <c r="T37" i="70"/>
  <c r="S37" i="70"/>
  <c r="J37" i="70"/>
  <c r="F37" i="70"/>
  <c r="I37" i="70" s="1"/>
  <c r="E36" i="70"/>
  <c r="P36" i="70" s="1"/>
  <c r="E35" i="70"/>
  <c r="P35" i="70" s="1"/>
  <c r="E34" i="70"/>
  <c r="P34" i="70" s="1"/>
  <c r="Z34" i="70" s="1"/>
  <c r="E33" i="70"/>
  <c r="N33" i="70" s="1"/>
  <c r="E32" i="70"/>
  <c r="E31" i="70"/>
  <c r="J31" i="70" s="1"/>
  <c r="E30" i="70"/>
  <c r="J30" i="70" s="1"/>
  <c r="E29" i="70"/>
  <c r="K29" i="70" s="1"/>
  <c r="E28" i="70"/>
  <c r="J28" i="70" s="1"/>
  <c r="E27" i="70"/>
  <c r="J27" i="70" s="1"/>
  <c r="T26" i="70"/>
  <c r="E26" i="70"/>
  <c r="K26" i="70" s="1"/>
  <c r="E25" i="70"/>
  <c r="K25" i="70" s="1"/>
  <c r="E24" i="70"/>
  <c r="O24" i="70" s="1"/>
  <c r="E23" i="70"/>
  <c r="G23" i="70" s="1"/>
  <c r="E22" i="70"/>
  <c r="X21" i="70"/>
  <c r="V21" i="70"/>
  <c r="H21" i="70"/>
  <c r="T21" i="70" s="1"/>
  <c r="E21" i="70"/>
  <c r="K21" i="70" s="1"/>
  <c r="E20" i="70"/>
  <c r="E19" i="70"/>
  <c r="E18" i="70"/>
  <c r="E17" i="70"/>
  <c r="E16" i="70"/>
  <c r="E15" i="70"/>
  <c r="E14" i="70"/>
  <c r="E13" i="70"/>
  <c r="E12" i="70"/>
  <c r="O11" i="70"/>
  <c r="J11" i="70"/>
  <c r="G11" i="70"/>
  <c r="F11" i="70"/>
  <c r="O10" i="70"/>
  <c r="J10" i="70"/>
  <c r="G10" i="70"/>
  <c r="F10" i="70"/>
  <c r="I10" i="70" s="1"/>
  <c r="O9" i="70"/>
  <c r="J9" i="70"/>
  <c r="G9" i="70"/>
  <c r="F9" i="70"/>
  <c r="I9" i="70" s="1"/>
  <c r="X8" i="70"/>
  <c r="T8" i="70"/>
  <c r="O8" i="70"/>
  <c r="K8" i="70"/>
  <c r="W8" i="70" s="1"/>
  <c r="J8" i="70"/>
  <c r="G8" i="70"/>
  <c r="F8" i="70"/>
  <c r="Z7" i="70"/>
  <c r="Y7" i="70"/>
  <c r="U7" i="70"/>
  <c r="R7" i="70"/>
  <c r="P7" i="70"/>
  <c r="O7" i="70"/>
  <c r="I7" i="70"/>
  <c r="F7" i="70"/>
  <c r="G429" i="69"/>
  <c r="G428" i="69"/>
  <c r="G427" i="69"/>
  <c r="G426" i="69"/>
  <c r="G425" i="69"/>
  <c r="G424" i="69"/>
  <c r="G423" i="69"/>
  <c r="G422" i="69"/>
  <c r="G421" i="69"/>
  <c r="G420" i="69"/>
  <c r="G419" i="69"/>
  <c r="G418" i="69"/>
  <c r="G417" i="69"/>
  <c r="G416" i="69"/>
  <c r="G415" i="69"/>
  <c r="G414" i="69"/>
  <c r="G413" i="69"/>
  <c r="G412" i="69"/>
  <c r="G411" i="69"/>
  <c r="G410" i="69"/>
  <c r="G409" i="69"/>
  <c r="G408" i="69"/>
  <c r="G407" i="69"/>
  <c r="G406" i="69"/>
  <c r="G405" i="69"/>
  <c r="G404" i="69"/>
  <c r="G403" i="69"/>
  <c r="G402" i="69"/>
  <c r="G401" i="69"/>
  <c r="G400" i="69"/>
  <c r="G399" i="69"/>
  <c r="G398" i="69"/>
  <c r="G397" i="69"/>
  <c r="G396" i="69"/>
  <c r="G395" i="69"/>
  <c r="G394" i="69"/>
  <c r="G393" i="69"/>
  <c r="G392" i="69"/>
  <c r="G391" i="69"/>
  <c r="G390" i="69"/>
  <c r="G389" i="69"/>
  <c r="G388" i="69"/>
  <c r="G387" i="69"/>
  <c r="G386" i="69"/>
  <c r="G385" i="69"/>
  <c r="G384" i="69"/>
  <c r="G383" i="69"/>
  <c r="G382" i="69"/>
  <c r="G381" i="69"/>
  <c r="G380" i="69"/>
  <c r="G379" i="69"/>
  <c r="G378" i="69"/>
  <c r="G377" i="69"/>
  <c r="G376" i="69"/>
  <c r="G375" i="69"/>
  <c r="G374" i="69"/>
  <c r="G373" i="69"/>
  <c r="G372" i="69"/>
  <c r="G371" i="69"/>
  <c r="G370" i="69"/>
  <c r="G369" i="69"/>
  <c r="G368" i="69"/>
  <c r="G367" i="69"/>
  <c r="G366" i="69"/>
  <c r="G365" i="69"/>
  <c r="G364" i="69"/>
  <c r="G363" i="69"/>
  <c r="G362" i="69"/>
  <c r="G361" i="69"/>
  <c r="G360" i="69"/>
  <c r="G359" i="69"/>
  <c r="G358" i="69"/>
  <c r="G357" i="69"/>
  <c r="G356" i="69"/>
  <c r="G355" i="69"/>
  <c r="G354" i="69"/>
  <c r="G353" i="69"/>
  <c r="G352" i="69"/>
  <c r="G351" i="69"/>
  <c r="G350" i="69"/>
  <c r="G349" i="69"/>
  <c r="G348" i="69"/>
  <c r="G347" i="69"/>
  <c r="G346" i="69"/>
  <c r="G345" i="69"/>
  <c r="G344" i="69"/>
  <c r="G343" i="69"/>
  <c r="G342" i="69"/>
  <c r="G341" i="69"/>
  <c r="G340" i="69"/>
  <c r="G339" i="69"/>
  <c r="G338" i="69"/>
  <c r="G337" i="69"/>
  <c r="G336" i="69"/>
  <c r="G335" i="69"/>
  <c r="G334" i="69"/>
  <c r="G333" i="69"/>
  <c r="G332" i="69"/>
  <c r="G331" i="69"/>
  <c r="G330" i="69"/>
  <c r="G329" i="69"/>
  <c r="G328" i="69"/>
  <c r="G327" i="69"/>
  <c r="G326" i="69"/>
  <c r="G325" i="69"/>
  <c r="G324" i="69"/>
  <c r="G323" i="69"/>
  <c r="G322" i="69"/>
  <c r="G321" i="69"/>
  <c r="G320" i="69"/>
  <c r="G319" i="69"/>
  <c r="G318" i="69"/>
  <c r="G317" i="69"/>
  <c r="G316" i="69"/>
  <c r="G315" i="69"/>
  <c r="G314" i="69"/>
  <c r="G313" i="69"/>
  <c r="G312" i="69"/>
  <c r="G311" i="69"/>
  <c r="G310" i="69"/>
  <c r="G309" i="69"/>
  <c r="G308" i="69"/>
  <c r="G307" i="69"/>
  <c r="G306" i="69"/>
  <c r="G305" i="69"/>
  <c r="G304" i="69"/>
  <c r="G303" i="69"/>
  <c r="G302" i="69"/>
  <c r="G301" i="69"/>
  <c r="G300" i="69"/>
  <c r="G299" i="69"/>
  <c r="G298" i="69"/>
  <c r="G297" i="69"/>
  <c r="G296" i="69"/>
  <c r="G295" i="69"/>
  <c r="G294" i="69"/>
  <c r="G293" i="69"/>
  <c r="G292" i="69"/>
  <c r="G291" i="69"/>
  <c r="G290" i="69"/>
  <c r="G289" i="69"/>
  <c r="G288" i="69"/>
  <c r="G287" i="69"/>
  <c r="G286" i="69"/>
  <c r="G285" i="69"/>
  <c r="G284" i="69"/>
  <c r="G283" i="69"/>
  <c r="G282" i="69"/>
  <c r="G281" i="69"/>
  <c r="G280" i="69"/>
  <c r="G279" i="69"/>
  <c r="G278" i="69"/>
  <c r="G277" i="69"/>
  <c r="G276" i="69"/>
  <c r="G275" i="69"/>
  <c r="G274" i="69"/>
  <c r="G273" i="69"/>
  <c r="G272" i="69"/>
  <c r="G271" i="69"/>
  <c r="G270" i="69"/>
  <c r="G269" i="69"/>
  <c r="G268" i="69"/>
  <c r="G267" i="69"/>
  <c r="G266" i="69"/>
  <c r="E261" i="69"/>
  <c r="F261" i="69" s="1"/>
  <c r="E260" i="69"/>
  <c r="K260" i="69" s="1"/>
  <c r="E259" i="69"/>
  <c r="K259" i="69" s="1"/>
  <c r="E258" i="69"/>
  <c r="I257" i="69"/>
  <c r="P257" i="69" s="1"/>
  <c r="I256" i="69"/>
  <c r="P256" i="69" s="1"/>
  <c r="I255" i="69"/>
  <c r="P255" i="69" s="1"/>
  <c r="I254" i="69"/>
  <c r="P254" i="69" s="1"/>
  <c r="I253" i="69"/>
  <c r="P253" i="69" s="1"/>
  <c r="I252" i="69"/>
  <c r="P252" i="69" s="1"/>
  <c r="I251" i="69"/>
  <c r="P251" i="69" s="1"/>
  <c r="E250" i="69"/>
  <c r="K250" i="69" s="1"/>
  <c r="E249" i="69"/>
  <c r="K249" i="69" s="1"/>
  <c r="E248" i="69"/>
  <c r="E247" i="69"/>
  <c r="H246" i="69"/>
  <c r="E246" i="69"/>
  <c r="G246" i="69" s="1"/>
  <c r="E245" i="69"/>
  <c r="E244" i="69"/>
  <c r="E243" i="69"/>
  <c r="K243" i="69" s="1"/>
  <c r="E242" i="69"/>
  <c r="G242" i="69" s="1"/>
  <c r="I241" i="69"/>
  <c r="P241" i="69" s="1"/>
  <c r="E240" i="69"/>
  <c r="I240" i="69" s="1"/>
  <c r="I239" i="69"/>
  <c r="P239" i="69" s="1"/>
  <c r="E239" i="69"/>
  <c r="J238" i="69"/>
  <c r="E238" i="69"/>
  <c r="G238" i="69" s="1"/>
  <c r="E237" i="69"/>
  <c r="J237" i="69" s="1"/>
  <c r="E236" i="69"/>
  <c r="O236" i="69" s="1"/>
  <c r="E235" i="69"/>
  <c r="H234" i="69"/>
  <c r="E234" i="69"/>
  <c r="G234" i="69" s="1"/>
  <c r="E233" i="69"/>
  <c r="K233" i="69" s="1"/>
  <c r="F232" i="69"/>
  <c r="E232" i="69"/>
  <c r="O232" i="69" s="1"/>
  <c r="E231" i="69"/>
  <c r="K231" i="69" s="1"/>
  <c r="E230" i="69"/>
  <c r="J230" i="69" s="1"/>
  <c r="E229" i="69"/>
  <c r="G229" i="69" s="1"/>
  <c r="E228" i="69"/>
  <c r="E227" i="69"/>
  <c r="G227" i="69" s="1"/>
  <c r="E226" i="69"/>
  <c r="J226" i="69" s="1"/>
  <c r="E225" i="69"/>
  <c r="K225" i="69" s="1"/>
  <c r="E224" i="69"/>
  <c r="G224" i="69" s="1"/>
  <c r="E223" i="69"/>
  <c r="J223" i="69" s="1"/>
  <c r="E222" i="69"/>
  <c r="G222" i="69" s="1"/>
  <c r="I222" i="69" s="1"/>
  <c r="E221" i="69"/>
  <c r="G221" i="69" s="1"/>
  <c r="I221" i="69" s="1"/>
  <c r="E220" i="69"/>
  <c r="J220" i="69" s="1"/>
  <c r="E219" i="69"/>
  <c r="G219" i="69" s="1"/>
  <c r="I219" i="69" s="1"/>
  <c r="E218" i="69"/>
  <c r="G218" i="69" s="1"/>
  <c r="I218" i="69" s="1"/>
  <c r="E217" i="69"/>
  <c r="G217" i="69" s="1"/>
  <c r="I217" i="69" s="1"/>
  <c r="E216" i="69"/>
  <c r="J216" i="69" s="1"/>
  <c r="J215" i="69"/>
  <c r="H215" i="69"/>
  <c r="G215" i="69"/>
  <c r="F215" i="69"/>
  <c r="E214" i="69"/>
  <c r="J214" i="69" s="1"/>
  <c r="O213" i="69"/>
  <c r="J213" i="69"/>
  <c r="F213" i="69"/>
  <c r="I213" i="69" s="1"/>
  <c r="P213" i="69" s="1"/>
  <c r="O212" i="69"/>
  <c r="J212" i="69"/>
  <c r="F212" i="69"/>
  <c r="I212" i="69" s="1"/>
  <c r="O211" i="69"/>
  <c r="J211" i="69"/>
  <c r="F211" i="69"/>
  <c r="I211" i="69" s="1"/>
  <c r="O210" i="69"/>
  <c r="N210" i="69"/>
  <c r="K210" i="69"/>
  <c r="H210" i="69"/>
  <c r="G210" i="69"/>
  <c r="I209" i="69"/>
  <c r="P209" i="69" s="1"/>
  <c r="I208" i="69"/>
  <c r="P208" i="69" s="1"/>
  <c r="I207" i="69"/>
  <c r="P207" i="69" s="1"/>
  <c r="J206" i="69"/>
  <c r="E206" i="69"/>
  <c r="J205" i="69"/>
  <c r="E205" i="69"/>
  <c r="H205" i="69" s="1"/>
  <c r="I205" i="69" s="1"/>
  <c r="J204" i="69"/>
  <c r="E204" i="69"/>
  <c r="H204" i="69" s="1"/>
  <c r="I204" i="69" s="1"/>
  <c r="J203" i="69"/>
  <c r="E203" i="69"/>
  <c r="J202" i="69"/>
  <c r="E202" i="69"/>
  <c r="J201" i="69"/>
  <c r="E201" i="69"/>
  <c r="J200" i="69"/>
  <c r="E200" i="69"/>
  <c r="H200" i="69" s="1"/>
  <c r="I200" i="69" s="1"/>
  <c r="J199" i="69"/>
  <c r="E199" i="69"/>
  <c r="E198" i="69"/>
  <c r="G198" i="69" s="1"/>
  <c r="E197" i="69"/>
  <c r="P196" i="69"/>
  <c r="I196" i="69"/>
  <c r="E196" i="69"/>
  <c r="P195" i="69"/>
  <c r="I195" i="69"/>
  <c r="E195" i="69"/>
  <c r="P194" i="69"/>
  <c r="I194" i="69"/>
  <c r="E194" i="69"/>
  <c r="O194" i="69" s="1"/>
  <c r="P193" i="69"/>
  <c r="I193" i="69"/>
  <c r="E193" i="69"/>
  <c r="O193" i="69" s="1"/>
  <c r="P192" i="69"/>
  <c r="I192" i="69"/>
  <c r="E192" i="69"/>
  <c r="O192" i="69" s="1"/>
  <c r="P191" i="69"/>
  <c r="I191" i="69"/>
  <c r="E191" i="69"/>
  <c r="G191" i="69" s="1"/>
  <c r="P190" i="69"/>
  <c r="K190" i="69"/>
  <c r="I190" i="69"/>
  <c r="E190" i="69"/>
  <c r="P189" i="69"/>
  <c r="O189" i="69"/>
  <c r="I189" i="69"/>
  <c r="E189" i="69"/>
  <c r="P188" i="69"/>
  <c r="O188" i="69"/>
  <c r="I188" i="69"/>
  <c r="E188" i="69"/>
  <c r="P187" i="69"/>
  <c r="I187" i="69"/>
  <c r="E187" i="69"/>
  <c r="P186" i="69"/>
  <c r="I186" i="69"/>
  <c r="E186" i="69"/>
  <c r="K186" i="69" s="1"/>
  <c r="P185" i="69"/>
  <c r="I185" i="69"/>
  <c r="E185" i="69"/>
  <c r="E184" i="69"/>
  <c r="E183" i="69"/>
  <c r="E182" i="69"/>
  <c r="E181" i="69"/>
  <c r="E180" i="69"/>
  <c r="P179" i="69"/>
  <c r="I179" i="69"/>
  <c r="E179" i="69"/>
  <c r="O179" i="69" s="1"/>
  <c r="E178" i="69"/>
  <c r="E177" i="69"/>
  <c r="P176" i="69"/>
  <c r="I176" i="69"/>
  <c r="E176" i="69"/>
  <c r="P175" i="69"/>
  <c r="I175" i="69"/>
  <c r="E175" i="69"/>
  <c r="O175" i="69" s="1"/>
  <c r="E174" i="69"/>
  <c r="E173" i="69"/>
  <c r="P172" i="69"/>
  <c r="I172" i="69"/>
  <c r="E172" i="69"/>
  <c r="G172" i="69" s="1"/>
  <c r="E171" i="69"/>
  <c r="P170" i="69"/>
  <c r="I170" i="69"/>
  <c r="E170" i="69"/>
  <c r="O170" i="69" s="1"/>
  <c r="E169" i="69"/>
  <c r="J168" i="69"/>
  <c r="E168" i="69"/>
  <c r="E167" i="69"/>
  <c r="K167" i="69" s="1"/>
  <c r="E166" i="69"/>
  <c r="G166" i="69" s="1"/>
  <c r="E165" i="69"/>
  <c r="G165" i="69" s="1"/>
  <c r="E164" i="69"/>
  <c r="O164" i="69" s="1"/>
  <c r="H163" i="69"/>
  <c r="E163" i="69"/>
  <c r="E162" i="69"/>
  <c r="G162" i="69" s="1"/>
  <c r="E161" i="69"/>
  <c r="K161" i="69" s="1"/>
  <c r="E160" i="69"/>
  <c r="G160" i="69" s="1"/>
  <c r="I160" i="69" s="1"/>
  <c r="E159" i="69"/>
  <c r="K159" i="69" s="1"/>
  <c r="E158" i="69"/>
  <c r="G158" i="69" s="1"/>
  <c r="I158" i="69" s="1"/>
  <c r="E157" i="69"/>
  <c r="G157" i="69" s="1"/>
  <c r="I157" i="69" s="1"/>
  <c r="E156" i="69"/>
  <c r="E155" i="69"/>
  <c r="O155" i="69" s="1"/>
  <c r="E154" i="69"/>
  <c r="O154" i="69" s="1"/>
  <c r="O153" i="69"/>
  <c r="K153" i="69"/>
  <c r="G153" i="69"/>
  <c r="F153" i="69"/>
  <c r="I153" i="69" s="1"/>
  <c r="I152" i="69"/>
  <c r="P152" i="69" s="1"/>
  <c r="E152" i="69"/>
  <c r="E151" i="69"/>
  <c r="N151" i="69" s="1"/>
  <c r="E150" i="69"/>
  <c r="J150" i="69" s="1"/>
  <c r="E149" i="69"/>
  <c r="J149" i="69" s="1"/>
  <c r="E148" i="69"/>
  <c r="H148" i="69" s="1"/>
  <c r="E147" i="69"/>
  <c r="G147" i="69" s="1"/>
  <c r="I146" i="69"/>
  <c r="P146" i="69" s="1"/>
  <c r="E146" i="69"/>
  <c r="O145" i="69"/>
  <c r="J145" i="69"/>
  <c r="G145" i="69"/>
  <c r="F145" i="69"/>
  <c r="I145" i="69" s="1"/>
  <c r="O144" i="69"/>
  <c r="J144" i="69"/>
  <c r="G144" i="69"/>
  <c r="F144" i="69"/>
  <c r="O143" i="69"/>
  <c r="J143" i="69"/>
  <c r="G143" i="69"/>
  <c r="F143" i="69"/>
  <c r="O142" i="69"/>
  <c r="J142" i="69"/>
  <c r="G142" i="69"/>
  <c r="F142" i="69"/>
  <c r="O141" i="69"/>
  <c r="J141" i="69"/>
  <c r="G141" i="69"/>
  <c r="F141" i="69"/>
  <c r="I141" i="69" s="1"/>
  <c r="E140" i="69"/>
  <c r="O140" i="69" s="1"/>
  <c r="E139" i="69"/>
  <c r="G139" i="69" s="1"/>
  <c r="E138" i="69"/>
  <c r="O138" i="69" s="1"/>
  <c r="E137" i="69"/>
  <c r="J137" i="69" s="1"/>
  <c r="E136" i="69"/>
  <c r="G136" i="69" s="1"/>
  <c r="E135" i="69"/>
  <c r="P134" i="69"/>
  <c r="I134" i="69"/>
  <c r="E134" i="69"/>
  <c r="G133" i="69"/>
  <c r="F133" i="69"/>
  <c r="E132" i="69"/>
  <c r="G132" i="69" s="1"/>
  <c r="I132" i="69" s="1"/>
  <c r="P132" i="69" s="1"/>
  <c r="I131" i="69"/>
  <c r="P131" i="69" s="1"/>
  <c r="O130" i="69"/>
  <c r="J130" i="69"/>
  <c r="G130" i="69"/>
  <c r="F130" i="69"/>
  <c r="O129" i="69"/>
  <c r="J129" i="69"/>
  <c r="G129" i="69"/>
  <c r="F129" i="69"/>
  <c r="O128" i="69"/>
  <c r="J128" i="69"/>
  <c r="G128" i="69"/>
  <c r="F128" i="69"/>
  <c r="O127" i="69"/>
  <c r="J127" i="69"/>
  <c r="G127" i="69"/>
  <c r="F127" i="69"/>
  <c r="I127" i="69" s="1"/>
  <c r="P127" i="69" s="1"/>
  <c r="O126" i="69"/>
  <c r="J126" i="69"/>
  <c r="G126" i="69"/>
  <c r="F126" i="69"/>
  <c r="I126" i="69" s="1"/>
  <c r="E125" i="69"/>
  <c r="E124" i="69"/>
  <c r="F124" i="69" s="1"/>
  <c r="E123" i="69"/>
  <c r="G123" i="69" s="1"/>
  <c r="E122" i="69"/>
  <c r="E121" i="69"/>
  <c r="J121" i="69" s="1"/>
  <c r="E120" i="69"/>
  <c r="F120" i="69" s="1"/>
  <c r="E119" i="69"/>
  <c r="J119" i="69" s="1"/>
  <c r="E118" i="69"/>
  <c r="O118" i="69" s="1"/>
  <c r="E117" i="69"/>
  <c r="F117" i="69" s="1"/>
  <c r="E116" i="69"/>
  <c r="J116" i="69" s="1"/>
  <c r="E115" i="69"/>
  <c r="J115" i="69" s="1"/>
  <c r="E114" i="69"/>
  <c r="J114" i="69" s="1"/>
  <c r="E113" i="69"/>
  <c r="O113" i="69" s="1"/>
  <c r="H112" i="69"/>
  <c r="E112" i="69"/>
  <c r="G112" i="69" s="1"/>
  <c r="E111" i="69"/>
  <c r="O111" i="69" s="1"/>
  <c r="E110" i="69"/>
  <c r="G110" i="69" s="1"/>
  <c r="I110" i="69" s="1"/>
  <c r="E109" i="69"/>
  <c r="J109" i="69" s="1"/>
  <c r="E108" i="69"/>
  <c r="E107" i="69"/>
  <c r="O107" i="69" s="1"/>
  <c r="E106" i="69"/>
  <c r="O106" i="69" s="1"/>
  <c r="I105" i="69"/>
  <c r="P105" i="69" s="1"/>
  <c r="E105" i="69"/>
  <c r="E104" i="69"/>
  <c r="G104" i="69" s="1"/>
  <c r="I104" i="69" s="1"/>
  <c r="E103" i="69"/>
  <c r="J103" i="69" s="1"/>
  <c r="E102" i="69"/>
  <c r="E101" i="69"/>
  <c r="G101" i="69" s="1"/>
  <c r="E100" i="69"/>
  <c r="F100" i="69" s="1"/>
  <c r="K99" i="69"/>
  <c r="E99" i="69"/>
  <c r="H99" i="69" s="1"/>
  <c r="K98" i="69"/>
  <c r="E98" i="69"/>
  <c r="H98" i="69" s="1"/>
  <c r="K97" i="69"/>
  <c r="E97" i="69"/>
  <c r="K96" i="69"/>
  <c r="E96" i="69"/>
  <c r="G96" i="69" s="1"/>
  <c r="K95" i="69"/>
  <c r="E95" i="69"/>
  <c r="G95" i="69" s="1"/>
  <c r="E94" i="69"/>
  <c r="O93" i="69"/>
  <c r="G93" i="69"/>
  <c r="F93" i="69"/>
  <c r="E92" i="69"/>
  <c r="O92" i="69" s="1"/>
  <c r="E91" i="69"/>
  <c r="E90" i="69"/>
  <c r="O90" i="69" s="1"/>
  <c r="E89" i="69"/>
  <c r="N89" i="69" s="1"/>
  <c r="E88" i="69"/>
  <c r="E87" i="69"/>
  <c r="E86" i="69"/>
  <c r="O86" i="69" s="1"/>
  <c r="E85" i="69"/>
  <c r="O85" i="69" s="1"/>
  <c r="E84" i="69"/>
  <c r="G84" i="69" s="1"/>
  <c r="E83" i="69"/>
  <c r="O83" i="69" s="1"/>
  <c r="E82" i="69"/>
  <c r="E81" i="69"/>
  <c r="K81" i="69" s="1"/>
  <c r="E80" i="69"/>
  <c r="N80" i="69" s="1"/>
  <c r="E79" i="69"/>
  <c r="K79" i="69" s="1"/>
  <c r="E78" i="69"/>
  <c r="N78" i="69" s="1"/>
  <c r="E77" i="69"/>
  <c r="N77" i="69" s="1"/>
  <c r="E76" i="69"/>
  <c r="K76" i="69" s="1"/>
  <c r="E75" i="69"/>
  <c r="H75" i="69" s="1"/>
  <c r="E74" i="69"/>
  <c r="O74" i="69" s="1"/>
  <c r="E73" i="69"/>
  <c r="N73" i="69" s="1"/>
  <c r="E72" i="69"/>
  <c r="N72" i="69" s="1"/>
  <c r="E71" i="69"/>
  <c r="H71" i="69" s="1"/>
  <c r="E70" i="69"/>
  <c r="O70" i="69" s="1"/>
  <c r="E69" i="69"/>
  <c r="O69" i="69" s="1"/>
  <c r="E68" i="69"/>
  <c r="O68" i="69" s="1"/>
  <c r="E67" i="69"/>
  <c r="J67" i="69" s="1"/>
  <c r="E66" i="69"/>
  <c r="G66" i="69" s="1"/>
  <c r="E65" i="69"/>
  <c r="J65" i="69" s="1"/>
  <c r="E64" i="69"/>
  <c r="G64" i="69" s="1"/>
  <c r="I64" i="69" s="1"/>
  <c r="E63" i="69"/>
  <c r="K63" i="69" s="1"/>
  <c r="E62" i="69"/>
  <c r="E61" i="69"/>
  <c r="K61" i="69" s="1"/>
  <c r="E60" i="69"/>
  <c r="F60" i="69" s="1"/>
  <c r="I60" i="69" s="1"/>
  <c r="E59" i="69"/>
  <c r="H59" i="69" s="1"/>
  <c r="E58" i="69"/>
  <c r="F58" i="69" s="1"/>
  <c r="E57" i="69"/>
  <c r="G57" i="69" s="1"/>
  <c r="E56" i="69"/>
  <c r="F56" i="69" s="1"/>
  <c r="E55" i="69"/>
  <c r="G55" i="69" s="1"/>
  <c r="E54" i="69"/>
  <c r="F54" i="69" s="1"/>
  <c r="E53" i="69"/>
  <c r="G53" i="69" s="1"/>
  <c r="E52" i="69"/>
  <c r="F52" i="69" s="1"/>
  <c r="G51" i="69"/>
  <c r="E51" i="69"/>
  <c r="K51" i="69" s="1"/>
  <c r="E50" i="69"/>
  <c r="F50" i="69" s="1"/>
  <c r="E49" i="69"/>
  <c r="G49" i="69" s="1"/>
  <c r="J48" i="69"/>
  <c r="E48" i="69"/>
  <c r="O47" i="69"/>
  <c r="J47" i="69"/>
  <c r="G47" i="69"/>
  <c r="I47" i="69" s="1"/>
  <c r="P47" i="69" s="1"/>
  <c r="F47" i="69"/>
  <c r="E46" i="69"/>
  <c r="J46" i="69" s="1"/>
  <c r="E45" i="69"/>
  <c r="E44" i="69"/>
  <c r="O44" i="69" s="1"/>
  <c r="E43" i="69"/>
  <c r="K43" i="69" s="1"/>
  <c r="E42" i="69"/>
  <c r="J42" i="69" s="1"/>
  <c r="J41" i="69"/>
  <c r="F41" i="69"/>
  <c r="I41" i="69" s="1"/>
  <c r="P41" i="69" s="1"/>
  <c r="J40" i="69"/>
  <c r="F40" i="69"/>
  <c r="I40" i="69" s="1"/>
  <c r="J39" i="69"/>
  <c r="I39" i="69"/>
  <c r="P39" i="69" s="1"/>
  <c r="F39" i="69"/>
  <c r="J38" i="69"/>
  <c r="F38" i="69"/>
  <c r="I38" i="69" s="1"/>
  <c r="J37" i="69"/>
  <c r="F37" i="69"/>
  <c r="I37" i="69" s="1"/>
  <c r="E36" i="69"/>
  <c r="P36" i="69" s="1"/>
  <c r="E35" i="69"/>
  <c r="P35" i="69" s="1"/>
  <c r="E34" i="69"/>
  <c r="P34" i="69" s="1"/>
  <c r="E33" i="69"/>
  <c r="N33" i="69" s="1"/>
  <c r="E32" i="69"/>
  <c r="E31" i="69"/>
  <c r="E30" i="69"/>
  <c r="E29" i="69"/>
  <c r="E28" i="69"/>
  <c r="E27" i="69"/>
  <c r="J27" i="69" s="1"/>
  <c r="E26" i="69"/>
  <c r="E25" i="69"/>
  <c r="O25" i="69" s="1"/>
  <c r="E24" i="69"/>
  <c r="K24" i="69" s="1"/>
  <c r="E23" i="69"/>
  <c r="G23" i="69" s="1"/>
  <c r="E22" i="69"/>
  <c r="H21" i="69"/>
  <c r="E21" i="69"/>
  <c r="E20" i="69"/>
  <c r="E19" i="69"/>
  <c r="E18" i="69"/>
  <c r="E17" i="69"/>
  <c r="E16" i="69"/>
  <c r="E15" i="69"/>
  <c r="E14" i="69"/>
  <c r="E13" i="69"/>
  <c r="E12" i="69"/>
  <c r="O11" i="69"/>
  <c r="J11" i="69"/>
  <c r="G11" i="69"/>
  <c r="F11" i="69"/>
  <c r="O10" i="69"/>
  <c r="J10" i="69"/>
  <c r="G10" i="69"/>
  <c r="F10" i="69"/>
  <c r="I10" i="69" s="1"/>
  <c r="O9" i="69"/>
  <c r="J9" i="69"/>
  <c r="G9" i="69"/>
  <c r="F9" i="69"/>
  <c r="O8" i="69"/>
  <c r="K8" i="69"/>
  <c r="J8" i="69"/>
  <c r="G8" i="69"/>
  <c r="F8" i="69"/>
  <c r="P7" i="69"/>
  <c r="O7" i="69"/>
  <c r="I7" i="69"/>
  <c r="F7" i="69"/>
  <c r="J605" i="68"/>
  <c r="J604" i="68"/>
  <c r="J603" i="68"/>
  <c r="J602" i="68"/>
  <c r="J601" i="68"/>
  <c r="J600" i="68"/>
  <c r="J599" i="68"/>
  <c r="J598" i="68"/>
  <c r="J597" i="68"/>
  <c r="J596" i="68"/>
  <c r="J595" i="68"/>
  <c r="J594" i="68"/>
  <c r="J593" i="68"/>
  <c r="J592" i="68"/>
  <c r="J591" i="68"/>
  <c r="J590" i="68"/>
  <c r="J589" i="68"/>
  <c r="J588" i="68"/>
  <c r="J587" i="68"/>
  <c r="J586" i="68"/>
  <c r="J585" i="68"/>
  <c r="J584" i="68"/>
  <c r="J583" i="68"/>
  <c r="J582" i="68"/>
  <c r="J581" i="68"/>
  <c r="J580" i="68"/>
  <c r="J579" i="68"/>
  <c r="J578" i="68"/>
  <c r="J577" i="68"/>
  <c r="J576" i="68"/>
  <c r="J575" i="68"/>
  <c r="J574" i="68"/>
  <c r="J573" i="68"/>
  <c r="J572" i="68"/>
  <c r="J571" i="68"/>
  <c r="J570" i="68"/>
  <c r="J569" i="68"/>
  <c r="J568" i="68"/>
  <c r="J567" i="68"/>
  <c r="J566" i="68"/>
  <c r="J565" i="68"/>
  <c r="J564" i="68"/>
  <c r="J563" i="68"/>
  <c r="J562" i="68"/>
  <c r="J561" i="68"/>
  <c r="J560" i="68"/>
  <c r="J559" i="68"/>
  <c r="J558" i="68"/>
  <c r="J557" i="68"/>
  <c r="J556" i="68"/>
  <c r="J555" i="68"/>
  <c r="J554" i="68"/>
  <c r="J553" i="68"/>
  <c r="J552" i="68"/>
  <c r="J551" i="68"/>
  <c r="J550" i="68"/>
  <c r="J549" i="68"/>
  <c r="J548" i="68"/>
  <c r="J547" i="68"/>
  <c r="J546" i="68"/>
  <c r="J545" i="68"/>
  <c r="J544" i="68"/>
  <c r="J543" i="68"/>
  <c r="J542" i="68"/>
  <c r="J541" i="68"/>
  <c r="J540" i="68"/>
  <c r="J539" i="68"/>
  <c r="J538" i="68"/>
  <c r="J537" i="68"/>
  <c r="J536" i="68"/>
  <c r="J535" i="68"/>
  <c r="J534" i="68"/>
  <c r="J533" i="68"/>
  <c r="J532" i="68"/>
  <c r="J531" i="68"/>
  <c r="J530" i="68"/>
  <c r="J529" i="68"/>
  <c r="J528" i="68"/>
  <c r="J527" i="68"/>
  <c r="J526" i="68"/>
  <c r="J525" i="68"/>
  <c r="J524" i="68"/>
  <c r="J523" i="68"/>
  <c r="J522" i="68"/>
  <c r="J521" i="68"/>
  <c r="J520" i="68"/>
  <c r="J519" i="68"/>
  <c r="J518" i="68"/>
  <c r="J517" i="68"/>
  <c r="J516" i="68"/>
  <c r="J515" i="68"/>
  <c r="J514" i="68"/>
  <c r="J513" i="68"/>
  <c r="J512" i="68"/>
  <c r="J511" i="68"/>
  <c r="J510" i="68"/>
  <c r="J509" i="68"/>
  <c r="J508" i="68"/>
  <c r="J507" i="68"/>
  <c r="J506" i="68"/>
  <c r="J505" i="68"/>
  <c r="J504" i="68"/>
  <c r="J503" i="68"/>
  <c r="J502" i="68"/>
  <c r="J501" i="68"/>
  <c r="J500" i="68"/>
  <c r="J499" i="68"/>
  <c r="J498" i="68"/>
  <c r="J497" i="68"/>
  <c r="J496" i="68"/>
  <c r="J495" i="68"/>
  <c r="J494" i="68"/>
  <c r="J493" i="68"/>
  <c r="J492" i="68"/>
  <c r="J491" i="68"/>
  <c r="J490" i="68"/>
  <c r="J489" i="68"/>
  <c r="J488" i="68"/>
  <c r="J487" i="68"/>
  <c r="J486" i="68"/>
  <c r="J485" i="68"/>
  <c r="J484" i="68"/>
  <c r="J483" i="68"/>
  <c r="J482" i="68"/>
  <c r="J481" i="68"/>
  <c r="J480" i="68"/>
  <c r="J479" i="68"/>
  <c r="J478" i="68"/>
  <c r="J477" i="68"/>
  <c r="J476" i="68"/>
  <c r="J475" i="68"/>
  <c r="J474" i="68"/>
  <c r="J473" i="68"/>
  <c r="J472" i="68"/>
  <c r="J471" i="68"/>
  <c r="J470" i="68"/>
  <c r="J469" i="68"/>
  <c r="J468" i="68"/>
  <c r="J467" i="68"/>
  <c r="J466" i="68"/>
  <c r="J465" i="68"/>
  <c r="J464" i="68"/>
  <c r="J463" i="68"/>
  <c r="J462" i="68"/>
  <c r="J461" i="68"/>
  <c r="J460" i="68"/>
  <c r="J459" i="68"/>
  <c r="J458" i="68"/>
  <c r="J457" i="68"/>
  <c r="J456" i="68"/>
  <c r="J455" i="68"/>
  <c r="J454" i="68"/>
  <c r="J453" i="68"/>
  <c r="J452" i="68"/>
  <c r="J451" i="68"/>
  <c r="J450" i="68"/>
  <c r="J449" i="68"/>
  <c r="J448" i="68"/>
  <c r="J447" i="68"/>
  <c r="J446" i="68"/>
  <c r="J445" i="68"/>
  <c r="J444" i="68"/>
  <c r="J443" i="68"/>
  <c r="J442" i="68"/>
  <c r="J441" i="68"/>
  <c r="J440" i="68"/>
  <c r="J439" i="68"/>
  <c r="L434" i="68"/>
  <c r="L433" i="68"/>
  <c r="L432" i="68"/>
  <c r="L431" i="68"/>
  <c r="L430" i="68"/>
  <c r="L429" i="68"/>
  <c r="L428" i="68"/>
  <c r="L427" i="68"/>
  <c r="L426" i="68"/>
  <c r="L425" i="68"/>
  <c r="L424" i="68"/>
  <c r="L423" i="68"/>
  <c r="L422" i="68"/>
  <c r="L421" i="68"/>
  <c r="L420" i="68"/>
  <c r="L419" i="68"/>
  <c r="L418" i="68"/>
  <c r="L417" i="68"/>
  <c r="L416" i="68"/>
  <c r="L415" i="68"/>
  <c r="L414" i="68"/>
  <c r="L413" i="68"/>
  <c r="L412" i="68"/>
  <c r="L411" i="68"/>
  <c r="L410" i="68"/>
  <c r="L409" i="68"/>
  <c r="L408" i="68"/>
  <c r="L407" i="68"/>
  <c r="L406" i="68"/>
  <c r="L405" i="68"/>
  <c r="L404" i="68"/>
  <c r="L403" i="68"/>
  <c r="L402" i="68"/>
  <c r="L401" i="68"/>
  <c r="L400" i="68"/>
  <c r="L399" i="68"/>
  <c r="L398" i="68"/>
  <c r="L397" i="68"/>
  <c r="L396" i="68"/>
  <c r="L395" i="68"/>
  <c r="L394" i="68"/>
  <c r="L393" i="68"/>
  <c r="L392" i="68"/>
  <c r="L391" i="68"/>
  <c r="L390" i="68"/>
  <c r="L389" i="68"/>
  <c r="L388" i="68"/>
  <c r="L387" i="68"/>
  <c r="L386" i="68"/>
  <c r="L385" i="68"/>
  <c r="L384" i="68"/>
  <c r="L383" i="68"/>
  <c r="L382" i="68"/>
  <c r="L381" i="68"/>
  <c r="L380" i="68"/>
  <c r="L379" i="68"/>
  <c r="L378" i="68"/>
  <c r="L377" i="68"/>
  <c r="L376" i="68"/>
  <c r="L375" i="68"/>
  <c r="L374" i="68"/>
  <c r="L373" i="68"/>
  <c r="L372" i="68"/>
  <c r="L371" i="68"/>
  <c r="L370" i="68"/>
  <c r="L369" i="68"/>
  <c r="L368" i="68"/>
  <c r="L367" i="68"/>
  <c r="L366" i="68"/>
  <c r="L365" i="68"/>
  <c r="L364" i="68"/>
  <c r="L363" i="68"/>
  <c r="L362" i="68"/>
  <c r="L361" i="68"/>
  <c r="L360" i="68"/>
  <c r="L359" i="68"/>
  <c r="L358" i="68"/>
  <c r="L357" i="68"/>
  <c r="L356" i="68"/>
  <c r="L355" i="68"/>
  <c r="L354" i="68"/>
  <c r="L353" i="68"/>
  <c r="L352" i="68"/>
  <c r="L351" i="68"/>
  <c r="L350" i="68"/>
  <c r="L349" i="68"/>
  <c r="L348" i="68"/>
  <c r="L347" i="68"/>
  <c r="L346" i="68"/>
  <c r="L345" i="68"/>
  <c r="L344" i="68"/>
  <c r="L343" i="68"/>
  <c r="L342" i="68"/>
  <c r="L341" i="68"/>
  <c r="L340" i="68"/>
  <c r="L339" i="68"/>
  <c r="L338" i="68"/>
  <c r="L337" i="68"/>
  <c r="L336" i="68"/>
  <c r="L335" i="68"/>
  <c r="L334" i="68"/>
  <c r="L333" i="68"/>
  <c r="L332" i="68"/>
  <c r="L331" i="68"/>
  <c r="L330" i="68"/>
  <c r="L329" i="68"/>
  <c r="L328" i="68"/>
  <c r="L327" i="68"/>
  <c r="L326" i="68"/>
  <c r="L325" i="68"/>
  <c r="L324" i="68"/>
  <c r="L323" i="68"/>
  <c r="L322" i="68"/>
  <c r="L321" i="68"/>
  <c r="L320" i="68"/>
  <c r="L319" i="68"/>
  <c r="L318" i="68"/>
  <c r="L317" i="68"/>
  <c r="L316" i="68"/>
  <c r="L315" i="68"/>
  <c r="L314" i="68"/>
  <c r="L313" i="68"/>
  <c r="L312" i="68"/>
  <c r="L311" i="68"/>
  <c r="L310" i="68"/>
  <c r="L309" i="68"/>
  <c r="L308" i="68"/>
  <c r="L307" i="68"/>
  <c r="L306" i="68"/>
  <c r="L305" i="68"/>
  <c r="L304" i="68"/>
  <c r="L303" i="68"/>
  <c r="L302" i="68"/>
  <c r="L301" i="68"/>
  <c r="L300" i="68"/>
  <c r="L299" i="68"/>
  <c r="L298" i="68"/>
  <c r="L297" i="68"/>
  <c r="L296" i="68"/>
  <c r="L295" i="68"/>
  <c r="L294" i="68"/>
  <c r="L293" i="68"/>
  <c r="L292" i="68"/>
  <c r="L291" i="68"/>
  <c r="L290" i="68"/>
  <c r="L289" i="68"/>
  <c r="L288" i="68"/>
  <c r="L287" i="68"/>
  <c r="L286" i="68"/>
  <c r="L285" i="68"/>
  <c r="L284" i="68"/>
  <c r="L283" i="68"/>
  <c r="L282" i="68"/>
  <c r="L281" i="68"/>
  <c r="L280" i="68"/>
  <c r="L279" i="68"/>
  <c r="L278" i="68"/>
  <c r="L277" i="68"/>
  <c r="L276" i="68"/>
  <c r="L275" i="68"/>
  <c r="L274" i="68"/>
  <c r="L273" i="68"/>
  <c r="L272" i="68"/>
  <c r="L271" i="68"/>
  <c r="L270" i="68"/>
  <c r="L269" i="68"/>
  <c r="L268" i="68"/>
  <c r="L267" i="68"/>
  <c r="E262" i="68"/>
  <c r="K262" i="68" s="1"/>
  <c r="E261" i="68"/>
  <c r="E260" i="68"/>
  <c r="G260" i="68" s="1"/>
  <c r="E259" i="68"/>
  <c r="K259" i="68" s="1"/>
  <c r="Y258" i="68"/>
  <c r="V258" i="68"/>
  <c r="T258" i="68"/>
  <c r="E258" i="68"/>
  <c r="K258" i="68" s="1"/>
  <c r="I257" i="68"/>
  <c r="P257" i="68" s="1"/>
  <c r="I256" i="68"/>
  <c r="P256" i="68" s="1"/>
  <c r="I255" i="68"/>
  <c r="P255" i="68" s="1"/>
  <c r="I254" i="68"/>
  <c r="P254" i="68" s="1"/>
  <c r="I253" i="68"/>
  <c r="P253" i="68" s="1"/>
  <c r="I252" i="68"/>
  <c r="P252" i="68" s="1"/>
  <c r="Y251" i="68"/>
  <c r="X251" i="68"/>
  <c r="W251" i="68"/>
  <c r="V251" i="68"/>
  <c r="T251" i="68"/>
  <c r="S251" i="68"/>
  <c r="R251" i="68"/>
  <c r="I251" i="68"/>
  <c r="P251" i="68" s="1"/>
  <c r="E250" i="68"/>
  <c r="F250" i="68" s="1"/>
  <c r="E249" i="68"/>
  <c r="K249" i="68" s="1"/>
  <c r="E248" i="68"/>
  <c r="K248" i="68" s="1"/>
  <c r="E247" i="68"/>
  <c r="Y246" i="68"/>
  <c r="X246" i="68"/>
  <c r="V246" i="68"/>
  <c r="H246" i="68"/>
  <c r="T246" i="68" s="1"/>
  <c r="E246" i="68"/>
  <c r="G246" i="68" s="1"/>
  <c r="E245" i="68"/>
  <c r="F245" i="68" s="1"/>
  <c r="E244" i="68"/>
  <c r="E243" i="68"/>
  <c r="Y242" i="68"/>
  <c r="X242" i="68"/>
  <c r="V242" i="68"/>
  <c r="T242" i="68"/>
  <c r="E242" i="68"/>
  <c r="K242" i="68" s="1"/>
  <c r="I241" i="68"/>
  <c r="P241" i="68" s="1"/>
  <c r="E240" i="68"/>
  <c r="I239" i="68"/>
  <c r="P239" i="68" s="1"/>
  <c r="E239" i="68"/>
  <c r="E238" i="68"/>
  <c r="J238" i="68" s="1"/>
  <c r="E237" i="68"/>
  <c r="O237" i="68" s="1"/>
  <c r="E236" i="68"/>
  <c r="E235" i="68"/>
  <c r="X234" i="68"/>
  <c r="W234" i="68"/>
  <c r="H234" i="68"/>
  <c r="T234" i="68" s="1"/>
  <c r="E234" i="68"/>
  <c r="F234" i="68" s="1"/>
  <c r="E233" i="68"/>
  <c r="K233" i="68" s="1"/>
  <c r="F232" i="68"/>
  <c r="E232" i="68"/>
  <c r="E231" i="68"/>
  <c r="K231" i="68" s="1"/>
  <c r="E230" i="68"/>
  <c r="J230" i="68" s="1"/>
  <c r="T229" i="68"/>
  <c r="E229" i="68"/>
  <c r="F229" i="68" s="1"/>
  <c r="E228" i="68"/>
  <c r="J228" i="68" s="1"/>
  <c r="E227" i="68"/>
  <c r="K227" i="68" s="1"/>
  <c r="E226" i="68"/>
  <c r="E225" i="68"/>
  <c r="F225" i="68" s="1"/>
  <c r="X224" i="68"/>
  <c r="T224" i="68"/>
  <c r="E224" i="68"/>
  <c r="O224" i="68" s="1"/>
  <c r="E223" i="68"/>
  <c r="E222" i="68"/>
  <c r="E221" i="68"/>
  <c r="E220" i="68"/>
  <c r="E219" i="68"/>
  <c r="E218" i="68"/>
  <c r="E217" i="68"/>
  <c r="Y216" i="68"/>
  <c r="X216" i="68"/>
  <c r="W216" i="68"/>
  <c r="T216" i="68"/>
  <c r="R216" i="68"/>
  <c r="E216" i="68"/>
  <c r="Y215" i="68"/>
  <c r="X215" i="68"/>
  <c r="W215" i="68"/>
  <c r="J215" i="68"/>
  <c r="V215" i="68" s="1"/>
  <c r="H215" i="68"/>
  <c r="T215" i="68" s="1"/>
  <c r="G215" i="68"/>
  <c r="S215" i="68" s="1"/>
  <c r="F215" i="68"/>
  <c r="X214" i="68"/>
  <c r="W214" i="68"/>
  <c r="T214" i="68"/>
  <c r="R214" i="68"/>
  <c r="E214" i="68"/>
  <c r="O214" i="68" s="1"/>
  <c r="Y214" i="68" s="1"/>
  <c r="O213" i="68"/>
  <c r="J213" i="68"/>
  <c r="F213" i="68"/>
  <c r="I213" i="68" s="1"/>
  <c r="O212" i="68"/>
  <c r="J212" i="68"/>
  <c r="F212" i="68"/>
  <c r="I212" i="68" s="1"/>
  <c r="O211" i="68"/>
  <c r="J211" i="68"/>
  <c r="F211" i="68"/>
  <c r="I211" i="68" s="1"/>
  <c r="V210" i="68"/>
  <c r="R210" i="68"/>
  <c r="O210" i="68"/>
  <c r="Y210" i="68" s="1"/>
  <c r="N210" i="68"/>
  <c r="X210" i="68" s="1"/>
  <c r="K210" i="68"/>
  <c r="W210" i="68" s="1"/>
  <c r="H210" i="68"/>
  <c r="T210" i="68" s="1"/>
  <c r="G210" i="68"/>
  <c r="S210" i="68" s="1"/>
  <c r="I209" i="68"/>
  <c r="P209" i="68" s="1"/>
  <c r="I208" i="68"/>
  <c r="P208" i="68" s="1"/>
  <c r="I207" i="68"/>
  <c r="P207" i="68" s="1"/>
  <c r="J206" i="68"/>
  <c r="E206" i="68"/>
  <c r="H206" i="68" s="1"/>
  <c r="I206" i="68" s="1"/>
  <c r="J205" i="68"/>
  <c r="E205" i="68"/>
  <c r="J204" i="68"/>
  <c r="E204" i="68"/>
  <c r="J203" i="68"/>
  <c r="E203" i="68"/>
  <c r="J202" i="68"/>
  <c r="E202" i="68"/>
  <c r="J201" i="68"/>
  <c r="E201" i="68"/>
  <c r="J200" i="68"/>
  <c r="E200" i="68"/>
  <c r="Y199" i="68"/>
  <c r="X199" i="68"/>
  <c r="S199" i="68"/>
  <c r="R199" i="68"/>
  <c r="J199" i="68"/>
  <c r="E199" i="68"/>
  <c r="H199" i="68" s="1"/>
  <c r="I199" i="68" s="1"/>
  <c r="Y198" i="68"/>
  <c r="W198" i="68"/>
  <c r="R198" i="68"/>
  <c r="E198" i="68"/>
  <c r="E197" i="68"/>
  <c r="P196" i="68"/>
  <c r="I196" i="68"/>
  <c r="E196" i="68"/>
  <c r="P195" i="68"/>
  <c r="I195" i="68"/>
  <c r="E195" i="68"/>
  <c r="P194" i="68"/>
  <c r="I194" i="68"/>
  <c r="E194" i="68"/>
  <c r="P193" i="68"/>
  <c r="I193" i="68"/>
  <c r="E193" i="68"/>
  <c r="G193" i="68" s="1"/>
  <c r="P192" i="68"/>
  <c r="I192" i="68"/>
  <c r="E192" i="68"/>
  <c r="O192" i="68" s="1"/>
  <c r="P191" i="68"/>
  <c r="I191" i="68"/>
  <c r="E191" i="68"/>
  <c r="P190" i="68"/>
  <c r="I190" i="68"/>
  <c r="E190" i="68"/>
  <c r="O190" i="68" s="1"/>
  <c r="P189" i="68"/>
  <c r="I189" i="68"/>
  <c r="E189" i="68"/>
  <c r="P188" i="68"/>
  <c r="I188" i="68"/>
  <c r="E188" i="68"/>
  <c r="P187" i="68"/>
  <c r="I187" i="68"/>
  <c r="E187" i="68"/>
  <c r="O187" i="68" s="1"/>
  <c r="P186" i="68"/>
  <c r="I186" i="68"/>
  <c r="E186" i="68"/>
  <c r="O186" i="68" s="1"/>
  <c r="P185" i="68"/>
  <c r="I185" i="68"/>
  <c r="E185" i="68"/>
  <c r="O185" i="68" s="1"/>
  <c r="E184" i="68"/>
  <c r="E183" i="68"/>
  <c r="E182" i="68"/>
  <c r="E181" i="68"/>
  <c r="E180" i="68"/>
  <c r="P179" i="68"/>
  <c r="I179" i="68"/>
  <c r="E179" i="68"/>
  <c r="G179" i="68" s="1"/>
  <c r="E178" i="68"/>
  <c r="E177" i="68"/>
  <c r="P176" i="68"/>
  <c r="I176" i="68"/>
  <c r="E176" i="68"/>
  <c r="P175" i="68"/>
  <c r="I175" i="68"/>
  <c r="E175" i="68"/>
  <c r="G175" i="68" s="1"/>
  <c r="E174" i="68"/>
  <c r="E173" i="68"/>
  <c r="P172" i="68"/>
  <c r="I172" i="68"/>
  <c r="E172" i="68"/>
  <c r="E171" i="68"/>
  <c r="P170" i="68"/>
  <c r="I170" i="68"/>
  <c r="E170" i="68"/>
  <c r="X169" i="68"/>
  <c r="V169" i="68"/>
  <c r="T169" i="68"/>
  <c r="R169" i="68"/>
  <c r="E169" i="68"/>
  <c r="J168" i="68"/>
  <c r="V162" i="68" s="1"/>
  <c r="E168" i="68"/>
  <c r="N168" i="68" s="1"/>
  <c r="E167" i="68"/>
  <c r="E166" i="68"/>
  <c r="E165" i="68"/>
  <c r="O165" i="68" s="1"/>
  <c r="E164" i="68"/>
  <c r="N164" i="68" s="1"/>
  <c r="H163" i="68"/>
  <c r="E163" i="68"/>
  <c r="F163" i="68" s="1"/>
  <c r="E162" i="68"/>
  <c r="K162" i="68" s="1"/>
  <c r="E161" i="68"/>
  <c r="E160" i="68"/>
  <c r="E159" i="68"/>
  <c r="F159" i="68" s="1"/>
  <c r="E158" i="68"/>
  <c r="Y157" i="68"/>
  <c r="V157" i="68"/>
  <c r="E157" i="68"/>
  <c r="E156" i="68"/>
  <c r="F156" i="68" s="1"/>
  <c r="E155" i="68"/>
  <c r="X154" i="68"/>
  <c r="W154" i="68"/>
  <c r="E154" i="68"/>
  <c r="O153" i="68"/>
  <c r="Y153" i="68" s="1"/>
  <c r="K153" i="68"/>
  <c r="W153" i="68" s="1"/>
  <c r="G153" i="68"/>
  <c r="S153" i="68" s="1"/>
  <c r="F153" i="68"/>
  <c r="I152" i="68"/>
  <c r="P152" i="68" s="1"/>
  <c r="E152" i="68"/>
  <c r="E151" i="68"/>
  <c r="O151" i="68" s="1"/>
  <c r="E150" i="68"/>
  <c r="K150" i="68" s="1"/>
  <c r="E149" i="68"/>
  <c r="K149" i="68" s="1"/>
  <c r="E148" i="68"/>
  <c r="E147" i="68"/>
  <c r="N147" i="68" s="1"/>
  <c r="I146" i="68"/>
  <c r="P146" i="68" s="1"/>
  <c r="E146" i="68"/>
  <c r="O145" i="68"/>
  <c r="J145" i="68"/>
  <c r="G145" i="68"/>
  <c r="F145" i="68"/>
  <c r="O144" i="68"/>
  <c r="J144" i="68"/>
  <c r="G144" i="68"/>
  <c r="F144" i="68"/>
  <c r="O143" i="68"/>
  <c r="J143" i="68"/>
  <c r="G143" i="68"/>
  <c r="F143" i="68"/>
  <c r="O142" i="68"/>
  <c r="J142" i="68"/>
  <c r="G142" i="68"/>
  <c r="F142" i="68"/>
  <c r="X141" i="68"/>
  <c r="W141" i="68"/>
  <c r="T141" i="68"/>
  <c r="O141" i="68"/>
  <c r="J141" i="68"/>
  <c r="G141" i="68"/>
  <c r="F141" i="68"/>
  <c r="E140" i="68"/>
  <c r="O140" i="68" s="1"/>
  <c r="E139" i="68"/>
  <c r="E138" i="68"/>
  <c r="O138" i="68" s="1"/>
  <c r="E137" i="68"/>
  <c r="X136" i="68"/>
  <c r="W136" i="68"/>
  <c r="T136" i="68"/>
  <c r="E136" i="68"/>
  <c r="F136" i="68" s="1"/>
  <c r="Y135" i="68"/>
  <c r="X135" i="68"/>
  <c r="T135" i="68"/>
  <c r="E135" i="68"/>
  <c r="F135" i="68" s="1"/>
  <c r="Z134" i="68"/>
  <c r="Y134" i="68"/>
  <c r="X134" i="68"/>
  <c r="W134" i="68"/>
  <c r="V134" i="68"/>
  <c r="U134" i="68"/>
  <c r="T134" i="68"/>
  <c r="S134" i="68"/>
  <c r="R134" i="68"/>
  <c r="P134" i="68"/>
  <c r="I134" i="68"/>
  <c r="E134" i="68"/>
  <c r="F134" i="68" s="1"/>
  <c r="G133" i="68"/>
  <c r="S133" i="68" s="1"/>
  <c r="F133" i="68"/>
  <c r="R133" i="68" s="1"/>
  <c r="E132" i="68"/>
  <c r="G132" i="68" s="1"/>
  <c r="I131" i="68"/>
  <c r="P131" i="68" s="1"/>
  <c r="O130" i="68"/>
  <c r="J130" i="68"/>
  <c r="G130" i="68"/>
  <c r="F130" i="68"/>
  <c r="I130" i="68" s="1"/>
  <c r="P130" i="68" s="1"/>
  <c r="O129" i="68"/>
  <c r="J129" i="68"/>
  <c r="G129" i="68"/>
  <c r="F129" i="68"/>
  <c r="O128" i="68"/>
  <c r="J128" i="68"/>
  <c r="G128" i="68"/>
  <c r="F128" i="68"/>
  <c r="O127" i="68"/>
  <c r="J127" i="68"/>
  <c r="G127" i="68"/>
  <c r="F127" i="68"/>
  <c r="X126" i="68"/>
  <c r="W126" i="68"/>
  <c r="T126" i="68"/>
  <c r="O126" i="68"/>
  <c r="J126" i="68"/>
  <c r="G126" i="68"/>
  <c r="F126" i="68"/>
  <c r="Y125" i="68"/>
  <c r="X125" i="68"/>
  <c r="V125" i="68"/>
  <c r="T125" i="68"/>
  <c r="E125" i="68"/>
  <c r="F125" i="68" s="1"/>
  <c r="E124" i="68"/>
  <c r="E123" i="68"/>
  <c r="F123" i="68" s="1"/>
  <c r="E122" i="68"/>
  <c r="J122" i="68" s="1"/>
  <c r="E121" i="68"/>
  <c r="E120" i="68"/>
  <c r="O120" i="68" s="1"/>
  <c r="E119" i="68"/>
  <c r="E118" i="68"/>
  <c r="J118" i="68" s="1"/>
  <c r="X117" i="68"/>
  <c r="W117" i="68"/>
  <c r="T117" i="68"/>
  <c r="E117" i="68"/>
  <c r="E116" i="68"/>
  <c r="K116" i="68" s="1"/>
  <c r="E115" i="68"/>
  <c r="E114" i="68"/>
  <c r="O114" i="68" s="1"/>
  <c r="E113" i="68"/>
  <c r="J113" i="68" s="1"/>
  <c r="X112" i="68"/>
  <c r="H112" i="68"/>
  <c r="E112" i="68"/>
  <c r="J112" i="68" s="1"/>
  <c r="E111" i="68"/>
  <c r="O111" i="68" s="1"/>
  <c r="Y111" i="68" s="1"/>
  <c r="E110" i="68"/>
  <c r="E109" i="68"/>
  <c r="O109" i="68" s="1"/>
  <c r="E108" i="68"/>
  <c r="G108" i="68" s="1"/>
  <c r="I108" i="68" s="1"/>
  <c r="E107" i="68"/>
  <c r="O107" i="68" s="1"/>
  <c r="X106" i="68"/>
  <c r="W106" i="68"/>
  <c r="T106" i="68"/>
  <c r="R106" i="68"/>
  <c r="E106" i="68"/>
  <c r="J106" i="68" s="1"/>
  <c r="I105" i="68"/>
  <c r="P105" i="68" s="1"/>
  <c r="E105" i="68"/>
  <c r="E104" i="68"/>
  <c r="K104" i="68" s="1"/>
  <c r="E103" i="68"/>
  <c r="O103" i="68" s="1"/>
  <c r="E102" i="68"/>
  <c r="E101" i="68"/>
  <c r="T100" i="68"/>
  <c r="E100" i="68"/>
  <c r="J100" i="68" s="1"/>
  <c r="K99" i="68"/>
  <c r="E99" i="68"/>
  <c r="G99" i="68" s="1"/>
  <c r="K98" i="68"/>
  <c r="E98" i="68"/>
  <c r="N98" i="68" s="1"/>
  <c r="K97" i="68"/>
  <c r="E97" i="68"/>
  <c r="K96" i="68"/>
  <c r="E96" i="68"/>
  <c r="K95" i="68"/>
  <c r="E95" i="68"/>
  <c r="E94" i="68"/>
  <c r="O93" i="68"/>
  <c r="Y93" i="68" s="1"/>
  <c r="G93" i="68"/>
  <c r="S93" i="68" s="1"/>
  <c r="F93" i="68"/>
  <c r="E92" i="68"/>
  <c r="H92" i="68" s="1"/>
  <c r="E91" i="68"/>
  <c r="E90" i="68"/>
  <c r="J90" i="68" s="1"/>
  <c r="E89" i="68"/>
  <c r="O89" i="68" s="1"/>
  <c r="E88" i="68"/>
  <c r="E87" i="68"/>
  <c r="G87" i="68" s="1"/>
  <c r="E86" i="68"/>
  <c r="E85" i="68"/>
  <c r="J85" i="68" s="1"/>
  <c r="E84" i="68"/>
  <c r="E83" i="68"/>
  <c r="J83" i="68" s="1"/>
  <c r="E82" i="68"/>
  <c r="O82" i="68" s="1"/>
  <c r="E81" i="68"/>
  <c r="E80" i="68"/>
  <c r="N80" i="68" s="1"/>
  <c r="E79" i="68"/>
  <c r="E78" i="68"/>
  <c r="E77" i="68"/>
  <c r="F77" i="68" s="1"/>
  <c r="V76" i="68"/>
  <c r="T76" i="68"/>
  <c r="E76" i="68"/>
  <c r="K76" i="68" s="1"/>
  <c r="E75" i="68"/>
  <c r="E74" i="68"/>
  <c r="K74" i="68" s="1"/>
  <c r="E73" i="68"/>
  <c r="O73" i="68" s="1"/>
  <c r="E72" i="68"/>
  <c r="O72" i="68" s="1"/>
  <c r="V71" i="68"/>
  <c r="E71" i="68"/>
  <c r="K71" i="68" s="1"/>
  <c r="E70" i="68"/>
  <c r="J70" i="68" s="1"/>
  <c r="E69" i="68"/>
  <c r="N69" i="68" s="1"/>
  <c r="E68" i="68"/>
  <c r="J68" i="68" s="1"/>
  <c r="T67" i="68"/>
  <c r="E67" i="68"/>
  <c r="F67" i="68" s="1"/>
  <c r="E66" i="68"/>
  <c r="W65" i="68"/>
  <c r="E65" i="68"/>
  <c r="F65" i="68" s="1"/>
  <c r="E64" i="68"/>
  <c r="G64" i="68" s="1"/>
  <c r="E63" i="68"/>
  <c r="E62" i="68"/>
  <c r="K62" i="68" s="1"/>
  <c r="E61" i="68"/>
  <c r="K61" i="68" s="1"/>
  <c r="E60" i="68"/>
  <c r="K60" i="68" s="1"/>
  <c r="Y59" i="68"/>
  <c r="X59" i="68"/>
  <c r="V59" i="68"/>
  <c r="S59" i="68"/>
  <c r="E59" i="68"/>
  <c r="K59" i="68" s="1"/>
  <c r="E58" i="68"/>
  <c r="F58" i="68" s="1"/>
  <c r="E57" i="68"/>
  <c r="E56" i="68"/>
  <c r="E55" i="68"/>
  <c r="E54" i="68"/>
  <c r="F54" i="68" s="1"/>
  <c r="Y53" i="68"/>
  <c r="X53" i="68"/>
  <c r="W53" i="68"/>
  <c r="T53" i="68"/>
  <c r="E53" i="68"/>
  <c r="G53" i="68" s="1"/>
  <c r="E52" i="68"/>
  <c r="K52" i="68" s="1"/>
  <c r="G51" i="68"/>
  <c r="E51" i="68"/>
  <c r="E50" i="68"/>
  <c r="K50" i="68" s="1"/>
  <c r="E49" i="68"/>
  <c r="K49" i="68" s="1"/>
  <c r="Y48" i="68"/>
  <c r="X48" i="68"/>
  <c r="T48" i="68"/>
  <c r="J48" i="68"/>
  <c r="V48" i="68" s="1"/>
  <c r="E48" i="68"/>
  <c r="G48" i="68" s="1"/>
  <c r="O47" i="68"/>
  <c r="Y47" i="68" s="1"/>
  <c r="J47" i="68"/>
  <c r="V47" i="68" s="1"/>
  <c r="G47" i="68"/>
  <c r="S47" i="68" s="1"/>
  <c r="F47" i="68"/>
  <c r="E46" i="68"/>
  <c r="J46" i="68" s="1"/>
  <c r="E45" i="68"/>
  <c r="E44" i="68"/>
  <c r="E43" i="68"/>
  <c r="K43" i="68" s="1"/>
  <c r="X42" i="68"/>
  <c r="T42" i="68"/>
  <c r="R42" i="68"/>
  <c r="E42" i="68"/>
  <c r="J41" i="68"/>
  <c r="F41" i="68"/>
  <c r="I41" i="68" s="1"/>
  <c r="J40" i="68"/>
  <c r="F40" i="68"/>
  <c r="I40" i="68" s="1"/>
  <c r="J39" i="68"/>
  <c r="F39" i="68"/>
  <c r="I39" i="68" s="1"/>
  <c r="P39" i="68" s="1"/>
  <c r="J38" i="68"/>
  <c r="F38" i="68"/>
  <c r="I38" i="68" s="1"/>
  <c r="Y37" i="68"/>
  <c r="X37" i="68"/>
  <c r="W37" i="68"/>
  <c r="T37" i="68"/>
  <c r="S37" i="68"/>
  <c r="J37" i="68"/>
  <c r="F37" i="68"/>
  <c r="I37" i="68" s="1"/>
  <c r="E36" i="68"/>
  <c r="P36" i="68" s="1"/>
  <c r="E35" i="68"/>
  <c r="P35" i="68" s="1"/>
  <c r="E34" i="68"/>
  <c r="P34" i="68" s="1"/>
  <c r="Z34" i="68" s="1"/>
  <c r="E33" i="68"/>
  <c r="K33" i="68" s="1"/>
  <c r="E32" i="68"/>
  <c r="E31" i="68"/>
  <c r="J31" i="68" s="1"/>
  <c r="E30" i="68"/>
  <c r="J30" i="68" s="1"/>
  <c r="E29" i="68"/>
  <c r="K29" i="68" s="1"/>
  <c r="E28" i="68"/>
  <c r="J28" i="68" s="1"/>
  <c r="E27" i="68"/>
  <c r="O27" i="68" s="1"/>
  <c r="T26" i="68"/>
  <c r="E26" i="68"/>
  <c r="J26" i="68" s="1"/>
  <c r="E25" i="68"/>
  <c r="O25" i="68" s="1"/>
  <c r="E24" i="68"/>
  <c r="E23" i="68"/>
  <c r="G23" i="68" s="1"/>
  <c r="E22" i="68"/>
  <c r="X21" i="68"/>
  <c r="V21" i="68"/>
  <c r="H21" i="68"/>
  <c r="T21" i="68" s="1"/>
  <c r="E21" i="68"/>
  <c r="E20" i="68"/>
  <c r="E19" i="68"/>
  <c r="E18" i="68"/>
  <c r="E17" i="68"/>
  <c r="E16" i="68"/>
  <c r="E15" i="68"/>
  <c r="E14" i="68"/>
  <c r="E13" i="68"/>
  <c r="E12" i="68"/>
  <c r="O11" i="68"/>
  <c r="J11" i="68"/>
  <c r="G11" i="68"/>
  <c r="F11" i="68"/>
  <c r="O10" i="68"/>
  <c r="J10" i="68"/>
  <c r="G10" i="68"/>
  <c r="F10" i="68"/>
  <c r="O9" i="68"/>
  <c r="J9" i="68"/>
  <c r="G9" i="68"/>
  <c r="F9" i="68"/>
  <c r="X8" i="68"/>
  <c r="T8" i="68"/>
  <c r="O8" i="68"/>
  <c r="Y8" i="68" s="1"/>
  <c r="K8" i="68"/>
  <c r="W8" i="68" s="1"/>
  <c r="J8" i="68"/>
  <c r="G8" i="68"/>
  <c r="F8" i="68"/>
  <c r="Z7" i="68"/>
  <c r="Y7" i="68"/>
  <c r="U7" i="68"/>
  <c r="R7" i="68"/>
  <c r="P7" i="68"/>
  <c r="O7" i="68"/>
  <c r="I7" i="68"/>
  <c r="F7" i="68"/>
  <c r="J459" i="67"/>
  <c r="J458" i="67"/>
  <c r="J457" i="67"/>
  <c r="J456" i="67"/>
  <c r="J455" i="67"/>
  <c r="J454" i="67"/>
  <c r="J453" i="67"/>
  <c r="J452" i="67"/>
  <c r="J451" i="67"/>
  <c r="J450" i="67"/>
  <c r="J449" i="67"/>
  <c r="J448" i="67"/>
  <c r="J447" i="67"/>
  <c r="J446" i="67"/>
  <c r="J445" i="67"/>
  <c r="J444" i="67"/>
  <c r="J443" i="67"/>
  <c r="J442" i="67"/>
  <c r="J441" i="67"/>
  <c r="J440" i="67"/>
  <c r="J439" i="67"/>
  <c r="J438" i="67"/>
  <c r="J437" i="67"/>
  <c r="L433" i="67"/>
  <c r="L432" i="67"/>
  <c r="L431" i="67"/>
  <c r="L430" i="67"/>
  <c r="L429" i="67"/>
  <c r="L428" i="67"/>
  <c r="L427" i="67"/>
  <c r="L426" i="67"/>
  <c r="L425" i="67"/>
  <c r="L424" i="67"/>
  <c r="L423" i="67"/>
  <c r="L422" i="67"/>
  <c r="L421" i="67"/>
  <c r="L420" i="67"/>
  <c r="L419" i="67"/>
  <c r="L418" i="67"/>
  <c r="L417" i="67"/>
  <c r="L416" i="67"/>
  <c r="L415" i="67"/>
  <c r="L414" i="67"/>
  <c r="L413" i="67"/>
  <c r="L412" i="67"/>
  <c r="L411" i="67"/>
  <c r="L410" i="67"/>
  <c r="L409" i="67"/>
  <c r="L408" i="67"/>
  <c r="L407" i="67"/>
  <c r="L406" i="67"/>
  <c r="L405" i="67"/>
  <c r="L404" i="67"/>
  <c r="L403" i="67"/>
  <c r="L402" i="67"/>
  <c r="L401" i="67"/>
  <c r="L400" i="67"/>
  <c r="L399" i="67"/>
  <c r="L398" i="67"/>
  <c r="L397" i="67"/>
  <c r="L396" i="67"/>
  <c r="L395" i="67"/>
  <c r="L394" i="67"/>
  <c r="L393" i="67"/>
  <c r="L392" i="67"/>
  <c r="L391" i="67"/>
  <c r="L390" i="67"/>
  <c r="L389" i="67"/>
  <c r="L388" i="67"/>
  <c r="L387" i="67"/>
  <c r="L386" i="67"/>
  <c r="L385" i="67"/>
  <c r="L384" i="67"/>
  <c r="L383" i="67"/>
  <c r="L382" i="67"/>
  <c r="L381" i="67"/>
  <c r="L380" i="67"/>
  <c r="L379" i="67"/>
  <c r="L378" i="67"/>
  <c r="L377" i="67"/>
  <c r="L376" i="67"/>
  <c r="L375" i="67"/>
  <c r="L374" i="67"/>
  <c r="L373" i="67"/>
  <c r="L372" i="67"/>
  <c r="L371" i="67"/>
  <c r="L370" i="67"/>
  <c r="L369" i="67"/>
  <c r="L368" i="67"/>
  <c r="L367" i="67"/>
  <c r="L366" i="67"/>
  <c r="L365" i="67"/>
  <c r="L364" i="67"/>
  <c r="L363" i="67"/>
  <c r="L362" i="67"/>
  <c r="L361" i="67"/>
  <c r="L360" i="67"/>
  <c r="L359" i="67"/>
  <c r="L358" i="67"/>
  <c r="L357" i="67"/>
  <c r="L356" i="67"/>
  <c r="L355" i="67"/>
  <c r="L354" i="67"/>
  <c r="L353" i="67"/>
  <c r="L352" i="67"/>
  <c r="L351" i="67"/>
  <c r="L350" i="67"/>
  <c r="L349" i="67"/>
  <c r="L348" i="67"/>
  <c r="L347" i="67"/>
  <c r="L346" i="67"/>
  <c r="L345" i="67"/>
  <c r="L344" i="67"/>
  <c r="L343" i="67"/>
  <c r="L342" i="67"/>
  <c r="L341" i="67"/>
  <c r="L340" i="67"/>
  <c r="L339" i="67"/>
  <c r="L338" i="67"/>
  <c r="L337" i="67"/>
  <c r="L336" i="67"/>
  <c r="L335" i="67"/>
  <c r="L334" i="67"/>
  <c r="L333" i="67"/>
  <c r="L332" i="67"/>
  <c r="L331" i="67"/>
  <c r="L330" i="67"/>
  <c r="L329" i="67"/>
  <c r="L328" i="67"/>
  <c r="L327" i="67"/>
  <c r="L326" i="67"/>
  <c r="L325" i="67"/>
  <c r="L324" i="67"/>
  <c r="L323" i="67"/>
  <c r="L322" i="67"/>
  <c r="L321" i="67"/>
  <c r="L320" i="67"/>
  <c r="L319" i="67"/>
  <c r="L318" i="67"/>
  <c r="L317" i="67"/>
  <c r="L316" i="67"/>
  <c r="L315" i="67"/>
  <c r="L314" i="67"/>
  <c r="L313" i="67"/>
  <c r="L312" i="67"/>
  <c r="L311" i="67"/>
  <c r="L310" i="67"/>
  <c r="L309" i="67"/>
  <c r="L308" i="67"/>
  <c r="L307" i="67"/>
  <c r="L306" i="67"/>
  <c r="L305" i="67"/>
  <c r="L304" i="67"/>
  <c r="L303" i="67"/>
  <c r="L302" i="67"/>
  <c r="L301" i="67"/>
  <c r="L300" i="67"/>
  <c r="L299" i="67"/>
  <c r="L298" i="67"/>
  <c r="L297" i="67"/>
  <c r="L296" i="67"/>
  <c r="L295" i="67"/>
  <c r="L294" i="67"/>
  <c r="L293" i="67"/>
  <c r="L292" i="67"/>
  <c r="L291" i="67"/>
  <c r="L290" i="67"/>
  <c r="L289" i="67"/>
  <c r="L288" i="67"/>
  <c r="L287" i="67"/>
  <c r="L286" i="67"/>
  <c r="L285" i="67"/>
  <c r="L284" i="67"/>
  <c r="L283" i="67"/>
  <c r="L282" i="67"/>
  <c r="L281" i="67"/>
  <c r="L280" i="67"/>
  <c r="L279" i="67"/>
  <c r="L278" i="67"/>
  <c r="L277" i="67"/>
  <c r="L276" i="67"/>
  <c r="L275" i="67"/>
  <c r="L274" i="67"/>
  <c r="E267" i="67"/>
  <c r="K267" i="67" s="1"/>
  <c r="N267" i="67" s="1"/>
  <c r="E266" i="67"/>
  <c r="K266" i="67" s="1"/>
  <c r="E265" i="67"/>
  <c r="K265" i="67" s="1"/>
  <c r="E264" i="67"/>
  <c r="K264" i="67" s="1"/>
  <c r="Y263" i="67"/>
  <c r="V263" i="67"/>
  <c r="T263" i="67"/>
  <c r="E263" i="67"/>
  <c r="K263" i="67" s="1"/>
  <c r="N262" i="67"/>
  <c r="I262" i="67"/>
  <c r="P262" i="67" s="1"/>
  <c r="N261" i="67"/>
  <c r="I261" i="67"/>
  <c r="P261" i="67" s="1"/>
  <c r="N260" i="67"/>
  <c r="I260" i="67"/>
  <c r="P260" i="67" s="1"/>
  <c r="N259" i="67"/>
  <c r="I259" i="67"/>
  <c r="P259" i="67" s="1"/>
  <c r="N258" i="67"/>
  <c r="I258" i="67"/>
  <c r="N257" i="67"/>
  <c r="I257" i="67"/>
  <c r="P257" i="67" s="1"/>
  <c r="Y256" i="67"/>
  <c r="X256" i="67"/>
  <c r="W256" i="67"/>
  <c r="V256" i="67"/>
  <c r="T256" i="67"/>
  <c r="S256" i="67"/>
  <c r="R256" i="67"/>
  <c r="N256" i="67"/>
  <c r="I256" i="67"/>
  <c r="P256" i="67" s="1"/>
  <c r="E255" i="67"/>
  <c r="K255" i="67" s="1"/>
  <c r="N255" i="67" s="1"/>
  <c r="E254" i="67"/>
  <c r="K254" i="67" s="1"/>
  <c r="N254" i="67" s="1"/>
  <c r="E253" i="67"/>
  <c r="K253" i="67" s="1"/>
  <c r="N253" i="67" s="1"/>
  <c r="E252" i="67"/>
  <c r="Y251" i="67"/>
  <c r="X251" i="67"/>
  <c r="V251" i="67"/>
  <c r="T251" i="67"/>
  <c r="G251" i="67"/>
  <c r="E251" i="67"/>
  <c r="K251" i="67" s="1"/>
  <c r="E250" i="67"/>
  <c r="K250" i="67" s="1"/>
  <c r="N250" i="67" s="1"/>
  <c r="E249" i="67"/>
  <c r="G249" i="67" s="1"/>
  <c r="E248" i="67"/>
  <c r="K248" i="67" s="1"/>
  <c r="N248" i="67" s="1"/>
  <c r="Y247" i="67"/>
  <c r="X247" i="67"/>
  <c r="V247" i="67"/>
  <c r="T247" i="67"/>
  <c r="E247" i="67"/>
  <c r="K247" i="67" s="1"/>
  <c r="N246" i="67"/>
  <c r="I246" i="67"/>
  <c r="P246" i="67" s="1"/>
  <c r="E245" i="67"/>
  <c r="I245" i="67" s="1"/>
  <c r="N244" i="67"/>
  <c r="I244" i="67"/>
  <c r="P244" i="67" s="1"/>
  <c r="E244" i="67"/>
  <c r="E243" i="67"/>
  <c r="J243" i="67" s="1"/>
  <c r="N243" i="67" s="1"/>
  <c r="E242" i="67"/>
  <c r="E241" i="67"/>
  <c r="E240" i="67"/>
  <c r="J240" i="67" s="1"/>
  <c r="N240" i="67" s="1"/>
  <c r="X239" i="67"/>
  <c r="W239" i="67"/>
  <c r="T239" i="67"/>
  <c r="E239" i="67"/>
  <c r="J239" i="67" s="1"/>
  <c r="N239" i="67" s="1"/>
  <c r="E238" i="67"/>
  <c r="F237" i="67"/>
  <c r="E237" i="67"/>
  <c r="E236" i="67"/>
  <c r="K236" i="67" s="1"/>
  <c r="E235" i="67"/>
  <c r="H234" i="67"/>
  <c r="T234" i="67" s="1"/>
  <c r="E234" i="67"/>
  <c r="E233" i="67"/>
  <c r="J233" i="67" s="1"/>
  <c r="E232" i="67"/>
  <c r="E231" i="67"/>
  <c r="G231" i="67" s="1"/>
  <c r="E230" i="67"/>
  <c r="X229" i="67"/>
  <c r="T229" i="67"/>
  <c r="E229" i="67"/>
  <c r="E228" i="67"/>
  <c r="G228" i="67" s="1"/>
  <c r="I228" i="67" s="1"/>
  <c r="E227" i="67"/>
  <c r="J227" i="67" s="1"/>
  <c r="N227" i="67" s="1"/>
  <c r="E226" i="67"/>
  <c r="G226" i="67" s="1"/>
  <c r="I226" i="67" s="1"/>
  <c r="E225" i="67"/>
  <c r="E224" i="67"/>
  <c r="G224" i="67" s="1"/>
  <c r="I224" i="67" s="1"/>
  <c r="E223" i="67"/>
  <c r="J223" i="67" s="1"/>
  <c r="N223" i="67" s="1"/>
  <c r="E222" i="67"/>
  <c r="G222" i="67" s="1"/>
  <c r="I222" i="67" s="1"/>
  <c r="Y221" i="67"/>
  <c r="X221" i="67"/>
  <c r="W221" i="67"/>
  <c r="T221" i="67"/>
  <c r="R221" i="67"/>
  <c r="J221" i="67"/>
  <c r="N221" i="67" s="1"/>
  <c r="E221" i="67"/>
  <c r="G221" i="67" s="1"/>
  <c r="O220" i="67"/>
  <c r="K220" i="67"/>
  <c r="J220" i="67"/>
  <c r="H220" i="67"/>
  <c r="G220" i="67"/>
  <c r="F220" i="67"/>
  <c r="R220" i="67" s="1"/>
  <c r="X219" i="67"/>
  <c r="W219" i="67"/>
  <c r="T219" i="67"/>
  <c r="R219" i="67"/>
  <c r="E219" i="67"/>
  <c r="J219" i="67" s="1"/>
  <c r="O218" i="67"/>
  <c r="J218" i="67"/>
  <c r="F218" i="67"/>
  <c r="I218" i="67" s="1"/>
  <c r="O217" i="67"/>
  <c r="J217" i="67"/>
  <c r="N217" i="67" s="1"/>
  <c r="F217" i="67"/>
  <c r="I217" i="67" s="1"/>
  <c r="O216" i="67"/>
  <c r="J216" i="67"/>
  <c r="N216" i="67" s="1"/>
  <c r="F216" i="67"/>
  <c r="I216" i="67" s="1"/>
  <c r="V215" i="67"/>
  <c r="R215" i="67"/>
  <c r="O215" i="67"/>
  <c r="Y215" i="67" s="1"/>
  <c r="M215" i="67"/>
  <c r="X215" i="67" s="1"/>
  <c r="K215" i="67"/>
  <c r="W215" i="67" s="1"/>
  <c r="H215" i="67"/>
  <c r="T215" i="67" s="1"/>
  <c r="G215" i="67"/>
  <c r="N214" i="67"/>
  <c r="I214" i="67"/>
  <c r="P214" i="67" s="1"/>
  <c r="N213" i="67"/>
  <c r="I213" i="67"/>
  <c r="P213" i="67" s="1"/>
  <c r="N212" i="67"/>
  <c r="I212" i="67"/>
  <c r="P212" i="67" s="1"/>
  <c r="N211" i="67"/>
  <c r="I211" i="67"/>
  <c r="P211" i="67" s="1"/>
  <c r="E211" i="67"/>
  <c r="N210" i="67"/>
  <c r="I210" i="67"/>
  <c r="P210" i="67" s="1"/>
  <c r="E210" i="67"/>
  <c r="N209" i="67"/>
  <c r="I209" i="67"/>
  <c r="P209" i="67" s="1"/>
  <c r="E209" i="67"/>
  <c r="N208" i="67"/>
  <c r="I208" i="67"/>
  <c r="P208" i="67" s="1"/>
  <c r="E208" i="67"/>
  <c r="N207" i="67"/>
  <c r="I207" i="67"/>
  <c r="P207" i="67" s="1"/>
  <c r="E207" i="67"/>
  <c r="N206" i="67"/>
  <c r="I206" i="67"/>
  <c r="P206" i="67" s="1"/>
  <c r="E206" i="67"/>
  <c r="N205" i="67"/>
  <c r="I205" i="67"/>
  <c r="P205" i="67" s="1"/>
  <c r="E205" i="67"/>
  <c r="N204" i="67"/>
  <c r="I204" i="67"/>
  <c r="P204" i="67" s="1"/>
  <c r="E204" i="67"/>
  <c r="Y203" i="67"/>
  <c r="K203" i="67"/>
  <c r="W203" i="67" s="1"/>
  <c r="F203" i="67"/>
  <c r="R203" i="67" s="1"/>
  <c r="E203" i="67"/>
  <c r="N202" i="67"/>
  <c r="E202" i="67"/>
  <c r="P201" i="67"/>
  <c r="I201" i="67"/>
  <c r="E201" i="67"/>
  <c r="K201" i="67" s="1"/>
  <c r="N201" i="67" s="1"/>
  <c r="P200" i="67"/>
  <c r="I200" i="67"/>
  <c r="E200" i="67"/>
  <c r="P199" i="67"/>
  <c r="I199" i="67"/>
  <c r="E199" i="67"/>
  <c r="O199" i="67" s="1"/>
  <c r="P198" i="67"/>
  <c r="I198" i="67"/>
  <c r="E198" i="67"/>
  <c r="P197" i="67"/>
  <c r="I197" i="67"/>
  <c r="E197" i="67"/>
  <c r="G197" i="67" s="1"/>
  <c r="P196" i="67"/>
  <c r="I196" i="67"/>
  <c r="E196" i="67"/>
  <c r="P195" i="67"/>
  <c r="I195" i="67"/>
  <c r="E195" i="67"/>
  <c r="G195" i="67" s="1"/>
  <c r="P194" i="67"/>
  <c r="I194" i="67"/>
  <c r="E194" i="67"/>
  <c r="P193" i="67"/>
  <c r="I193" i="67"/>
  <c r="E193" i="67"/>
  <c r="K193" i="67" s="1"/>
  <c r="N193" i="67" s="1"/>
  <c r="P192" i="67"/>
  <c r="I192" i="67"/>
  <c r="E192" i="67"/>
  <c r="P191" i="67"/>
  <c r="I191" i="67"/>
  <c r="E191" i="67"/>
  <c r="O191" i="67" s="1"/>
  <c r="P190" i="67"/>
  <c r="I190" i="67"/>
  <c r="E190" i="67"/>
  <c r="N189" i="67"/>
  <c r="E189" i="67"/>
  <c r="N188" i="67"/>
  <c r="E188" i="67"/>
  <c r="N187" i="67"/>
  <c r="E187" i="67"/>
  <c r="N186" i="67"/>
  <c r="E186" i="67"/>
  <c r="N185" i="67"/>
  <c r="E185" i="67"/>
  <c r="P184" i="67"/>
  <c r="I184" i="67"/>
  <c r="E184" i="67"/>
  <c r="K184" i="67" s="1"/>
  <c r="N184" i="67" s="1"/>
  <c r="N183" i="67"/>
  <c r="E183" i="67"/>
  <c r="N182" i="67"/>
  <c r="E182" i="67"/>
  <c r="P181" i="67"/>
  <c r="I181" i="67"/>
  <c r="E181" i="67"/>
  <c r="P180" i="67"/>
  <c r="K180" i="67"/>
  <c r="N180" i="67" s="1"/>
  <c r="I180" i="67"/>
  <c r="E180" i="67"/>
  <c r="O180" i="67" s="1"/>
  <c r="N179" i="67"/>
  <c r="E179" i="67"/>
  <c r="N178" i="67"/>
  <c r="E178" i="67"/>
  <c r="P177" i="67"/>
  <c r="I177" i="67"/>
  <c r="E177" i="67"/>
  <c r="N176" i="67"/>
  <c r="E176" i="67"/>
  <c r="P175" i="67"/>
  <c r="Z174" i="67" s="1"/>
  <c r="I175" i="67"/>
  <c r="E175" i="67"/>
  <c r="K175" i="67" s="1"/>
  <c r="X174" i="67"/>
  <c r="V174" i="67"/>
  <c r="T174" i="67"/>
  <c r="R174" i="67"/>
  <c r="N174" i="67"/>
  <c r="E174" i="67"/>
  <c r="E173" i="67"/>
  <c r="F173" i="67" s="1"/>
  <c r="E172" i="67"/>
  <c r="K172" i="67" s="1"/>
  <c r="E171" i="67"/>
  <c r="O171" i="67" s="1"/>
  <c r="E170" i="67"/>
  <c r="G170" i="67" s="1"/>
  <c r="E169" i="67"/>
  <c r="E168" i="67"/>
  <c r="V167" i="67"/>
  <c r="K167" i="67"/>
  <c r="E167" i="67"/>
  <c r="H167" i="67" s="1"/>
  <c r="T167" i="67" s="1"/>
  <c r="E166" i="67"/>
  <c r="M166" i="67" s="1"/>
  <c r="E165" i="67"/>
  <c r="G165" i="67" s="1"/>
  <c r="I165" i="67" s="1"/>
  <c r="E164" i="67"/>
  <c r="K164" i="67" s="1"/>
  <c r="E163" i="67"/>
  <c r="G163" i="67" s="1"/>
  <c r="I163" i="67" s="1"/>
  <c r="Y162" i="67"/>
  <c r="V162" i="67"/>
  <c r="E162" i="67"/>
  <c r="N161" i="67"/>
  <c r="I161" i="67"/>
  <c r="P161" i="67" s="1"/>
  <c r="E161" i="67"/>
  <c r="N160" i="67"/>
  <c r="I160" i="67"/>
  <c r="P160" i="67" s="1"/>
  <c r="E160" i="67"/>
  <c r="Y159" i="67"/>
  <c r="X159" i="67"/>
  <c r="W159" i="67"/>
  <c r="V159" i="67"/>
  <c r="T159" i="67"/>
  <c r="S159" i="67"/>
  <c r="R159" i="67"/>
  <c r="N159" i="67"/>
  <c r="I159" i="67"/>
  <c r="E159" i="67"/>
  <c r="O158" i="67"/>
  <c r="Y158" i="67" s="1"/>
  <c r="K158" i="67"/>
  <c r="W158" i="67" s="1"/>
  <c r="G158" i="67"/>
  <c r="S158" i="67" s="1"/>
  <c r="F158" i="67"/>
  <c r="R158" i="67" s="1"/>
  <c r="K157" i="67"/>
  <c r="N157" i="67" s="1"/>
  <c r="G157" i="67"/>
  <c r="F157" i="67"/>
  <c r="K156" i="67"/>
  <c r="N156" i="67" s="1"/>
  <c r="G156" i="67"/>
  <c r="S153" i="67" s="1"/>
  <c r="F156" i="67"/>
  <c r="K155" i="67"/>
  <c r="N155" i="67" s="1"/>
  <c r="F155" i="67"/>
  <c r="I155" i="67" s="1"/>
  <c r="K154" i="67"/>
  <c r="N154" i="67" s="1"/>
  <c r="F154" i="67"/>
  <c r="I154" i="67" s="1"/>
  <c r="Y153" i="67"/>
  <c r="X153" i="67"/>
  <c r="V153" i="67"/>
  <c r="K153" i="67"/>
  <c r="N153" i="67" s="1"/>
  <c r="H153" i="67"/>
  <c r="T153" i="67" s="1"/>
  <c r="F153" i="67"/>
  <c r="N152" i="67"/>
  <c r="I152" i="67"/>
  <c r="P152" i="67" s="1"/>
  <c r="E152" i="67"/>
  <c r="E151" i="67"/>
  <c r="O151" i="67" s="1"/>
  <c r="E150" i="67"/>
  <c r="E149" i="67"/>
  <c r="K149" i="67" s="1"/>
  <c r="E148" i="67"/>
  <c r="J148" i="67" s="1"/>
  <c r="E147" i="67"/>
  <c r="K147" i="67" s="1"/>
  <c r="N146" i="67"/>
  <c r="I146" i="67"/>
  <c r="P146" i="67" s="1"/>
  <c r="E146" i="67"/>
  <c r="O145" i="67"/>
  <c r="J145" i="67"/>
  <c r="N145" i="67" s="1"/>
  <c r="G145" i="67"/>
  <c r="F145" i="67"/>
  <c r="O144" i="67"/>
  <c r="J144" i="67"/>
  <c r="N144" i="67" s="1"/>
  <c r="G144" i="67"/>
  <c r="F144" i="67"/>
  <c r="O143" i="67"/>
  <c r="J143" i="67"/>
  <c r="N143" i="67" s="1"/>
  <c r="G143" i="67"/>
  <c r="F143" i="67"/>
  <c r="O142" i="67"/>
  <c r="J142" i="67"/>
  <c r="N142" i="67" s="1"/>
  <c r="G142" i="67"/>
  <c r="F142" i="67"/>
  <c r="X141" i="67"/>
  <c r="W141" i="67"/>
  <c r="T141" i="67"/>
  <c r="O141" i="67"/>
  <c r="J141" i="67"/>
  <c r="N141" i="67" s="1"/>
  <c r="G141" i="67"/>
  <c r="F141" i="67"/>
  <c r="E140" i="67"/>
  <c r="G140" i="67" s="1"/>
  <c r="E139" i="67"/>
  <c r="E138" i="67"/>
  <c r="J138" i="67" s="1"/>
  <c r="N138" i="67" s="1"/>
  <c r="E137" i="67"/>
  <c r="J137" i="67" s="1"/>
  <c r="N137" i="67" s="1"/>
  <c r="X136" i="67"/>
  <c r="W136" i="67"/>
  <c r="T136" i="67"/>
  <c r="E136" i="67"/>
  <c r="J136" i="67" s="1"/>
  <c r="N136" i="67" s="1"/>
  <c r="E135" i="67"/>
  <c r="G135" i="67" s="1"/>
  <c r="S135" i="67" s="1"/>
  <c r="Z134" i="67"/>
  <c r="Y134" i="67"/>
  <c r="X134" i="67"/>
  <c r="W134" i="67"/>
  <c r="V134" i="67"/>
  <c r="U134" i="67"/>
  <c r="T134" i="67"/>
  <c r="S134" i="67"/>
  <c r="R134" i="67"/>
  <c r="P134" i="67"/>
  <c r="N134" i="67"/>
  <c r="I134" i="67"/>
  <c r="E134" i="67"/>
  <c r="F134" i="67" s="1"/>
  <c r="N133" i="67"/>
  <c r="G133" i="67"/>
  <c r="S133" i="67" s="1"/>
  <c r="F133" i="67"/>
  <c r="N132" i="67"/>
  <c r="F132" i="67"/>
  <c r="E132" i="67"/>
  <c r="G132" i="67" s="1"/>
  <c r="S132" i="67" s="1"/>
  <c r="N131" i="67"/>
  <c r="I131" i="67"/>
  <c r="P131" i="67" s="1"/>
  <c r="O130" i="67"/>
  <c r="J130" i="67"/>
  <c r="N130" i="67" s="1"/>
  <c r="G130" i="67"/>
  <c r="F130" i="67"/>
  <c r="O129" i="67"/>
  <c r="J129" i="67"/>
  <c r="N129" i="67" s="1"/>
  <c r="G129" i="67"/>
  <c r="F129" i="67"/>
  <c r="O128" i="67"/>
  <c r="J128" i="67"/>
  <c r="N128" i="67" s="1"/>
  <c r="G128" i="67"/>
  <c r="F128" i="67"/>
  <c r="O127" i="67"/>
  <c r="J127" i="67"/>
  <c r="N127" i="67" s="1"/>
  <c r="G127" i="67"/>
  <c r="F127" i="67"/>
  <c r="X126" i="67"/>
  <c r="W126" i="67"/>
  <c r="T126" i="67"/>
  <c r="O126" i="67"/>
  <c r="J126" i="67"/>
  <c r="N126" i="67" s="1"/>
  <c r="G126" i="67"/>
  <c r="F126" i="67"/>
  <c r="Y125" i="67"/>
  <c r="M125" i="67"/>
  <c r="X125" i="67" s="1"/>
  <c r="J125" i="67"/>
  <c r="H125" i="67"/>
  <c r="T125" i="67" s="1"/>
  <c r="E125" i="67"/>
  <c r="G125" i="67" s="1"/>
  <c r="S125" i="67" s="1"/>
  <c r="E124" i="67"/>
  <c r="G124" i="67" s="1"/>
  <c r="E123" i="67"/>
  <c r="F123" i="67" s="1"/>
  <c r="E122" i="67"/>
  <c r="J122" i="67" s="1"/>
  <c r="N122" i="67" s="1"/>
  <c r="E121" i="67"/>
  <c r="O121" i="67" s="1"/>
  <c r="E120" i="67"/>
  <c r="J120" i="67" s="1"/>
  <c r="N120" i="67" s="1"/>
  <c r="E119" i="67"/>
  <c r="G119" i="67" s="1"/>
  <c r="E118" i="67"/>
  <c r="X117" i="67"/>
  <c r="W117" i="67"/>
  <c r="H117" i="67"/>
  <c r="T117" i="67" s="1"/>
  <c r="E117" i="67"/>
  <c r="J117" i="67" s="1"/>
  <c r="E116" i="67"/>
  <c r="G116" i="67" s="1"/>
  <c r="E115" i="67"/>
  <c r="K115" i="67" s="1"/>
  <c r="E114" i="67"/>
  <c r="G114" i="67" s="1"/>
  <c r="E113" i="67"/>
  <c r="K113" i="67" s="1"/>
  <c r="X112" i="67"/>
  <c r="E112" i="67"/>
  <c r="O112" i="67" s="1"/>
  <c r="N111" i="67"/>
  <c r="E111" i="67"/>
  <c r="F110" i="67"/>
  <c r="E110" i="67"/>
  <c r="O110" i="67" s="1"/>
  <c r="F109" i="67"/>
  <c r="E109" i="67"/>
  <c r="J109" i="67" s="1"/>
  <c r="N109" i="67" s="1"/>
  <c r="F108" i="67"/>
  <c r="E108" i="67"/>
  <c r="O108" i="67" s="1"/>
  <c r="F107" i="67"/>
  <c r="E107" i="67"/>
  <c r="O107" i="67" s="1"/>
  <c r="X106" i="67"/>
  <c r="W106" i="67"/>
  <c r="T106" i="67"/>
  <c r="F106" i="67"/>
  <c r="E106" i="67"/>
  <c r="J106" i="67" s="1"/>
  <c r="N105" i="67"/>
  <c r="I105" i="67"/>
  <c r="P105" i="67" s="1"/>
  <c r="E105" i="67"/>
  <c r="E104" i="67"/>
  <c r="O104" i="67" s="1"/>
  <c r="E103" i="67"/>
  <c r="K103" i="67" s="1"/>
  <c r="N103" i="67" s="1"/>
  <c r="E102" i="67"/>
  <c r="O102" i="67" s="1"/>
  <c r="E101" i="67"/>
  <c r="K101" i="67" s="1"/>
  <c r="T100" i="67"/>
  <c r="E100" i="67"/>
  <c r="G100" i="67" s="1"/>
  <c r="E99" i="67"/>
  <c r="F99" i="67" s="1"/>
  <c r="E98" i="67"/>
  <c r="H98" i="67" s="1"/>
  <c r="G97" i="67"/>
  <c r="E97" i="67"/>
  <c r="O97" i="67" s="1"/>
  <c r="F96" i="67"/>
  <c r="E96" i="67"/>
  <c r="O96" i="67" s="1"/>
  <c r="W95" i="67"/>
  <c r="E95" i="67"/>
  <c r="O95" i="67" s="1"/>
  <c r="N94" i="67"/>
  <c r="E94" i="67"/>
  <c r="O93" i="67"/>
  <c r="Y93" i="67" s="1"/>
  <c r="N93" i="67"/>
  <c r="G93" i="67"/>
  <c r="S93" i="67" s="1"/>
  <c r="F93" i="67"/>
  <c r="E92" i="67"/>
  <c r="H92" i="67" s="1"/>
  <c r="E91" i="67"/>
  <c r="E90" i="67"/>
  <c r="E89" i="67"/>
  <c r="H89" i="67" s="1"/>
  <c r="E88" i="67"/>
  <c r="J88" i="67" s="1"/>
  <c r="E87" i="67"/>
  <c r="J87" i="67" s="1"/>
  <c r="E86" i="67"/>
  <c r="J86" i="67" s="1"/>
  <c r="E85" i="67"/>
  <c r="J85" i="67" s="1"/>
  <c r="E84" i="67"/>
  <c r="O84" i="67" s="1"/>
  <c r="E83" i="67"/>
  <c r="F83" i="67" s="1"/>
  <c r="E82" i="67"/>
  <c r="J82" i="67" s="1"/>
  <c r="E81" i="67"/>
  <c r="E80" i="67"/>
  <c r="O80" i="67" s="1"/>
  <c r="E79" i="67"/>
  <c r="O79" i="67" s="1"/>
  <c r="E78" i="67"/>
  <c r="M78" i="67" s="1"/>
  <c r="E77" i="67"/>
  <c r="O77" i="67" s="1"/>
  <c r="T76" i="67"/>
  <c r="J76" i="67"/>
  <c r="V76" i="67" s="1"/>
  <c r="E76" i="67"/>
  <c r="F76" i="67" s="1"/>
  <c r="E75" i="67"/>
  <c r="H75" i="67" s="1"/>
  <c r="E74" i="67"/>
  <c r="K74" i="67" s="1"/>
  <c r="E73" i="67"/>
  <c r="H73" i="67" s="1"/>
  <c r="G72" i="67"/>
  <c r="E72" i="67"/>
  <c r="K72" i="67" s="1"/>
  <c r="V71" i="67"/>
  <c r="E71" i="67"/>
  <c r="O71" i="67" s="1"/>
  <c r="E70" i="67"/>
  <c r="G70" i="67" s="1"/>
  <c r="E69" i="67"/>
  <c r="O69" i="67" s="1"/>
  <c r="M68" i="67"/>
  <c r="H68" i="67"/>
  <c r="T67" i="67" s="1"/>
  <c r="E68" i="67"/>
  <c r="K68" i="67" s="1"/>
  <c r="E67" i="67"/>
  <c r="J67" i="67" s="1"/>
  <c r="E66" i="67"/>
  <c r="W65" i="67"/>
  <c r="E65" i="67"/>
  <c r="J65" i="67" s="1"/>
  <c r="Y64" i="67"/>
  <c r="X64" i="67"/>
  <c r="V64" i="67"/>
  <c r="T64" i="67"/>
  <c r="F64" i="67"/>
  <c r="R64" i="67" s="1"/>
  <c r="E64" i="67"/>
  <c r="K64" i="67" s="1"/>
  <c r="N63" i="67"/>
  <c r="I63" i="67"/>
  <c r="P63" i="67" s="1"/>
  <c r="E63" i="67"/>
  <c r="N62" i="67"/>
  <c r="I62" i="67"/>
  <c r="P62" i="67" s="1"/>
  <c r="E62" i="67"/>
  <c r="N61" i="67"/>
  <c r="I61" i="67"/>
  <c r="P61" i="67" s="1"/>
  <c r="E61" i="67"/>
  <c r="N60" i="67"/>
  <c r="I60" i="67"/>
  <c r="P60" i="67" s="1"/>
  <c r="E60" i="67"/>
  <c r="N59" i="67"/>
  <c r="I59" i="67"/>
  <c r="P59" i="67" s="1"/>
  <c r="E59" i="67"/>
  <c r="E58" i="67"/>
  <c r="J58" i="67" s="1"/>
  <c r="N58" i="67" s="1"/>
  <c r="E57" i="67"/>
  <c r="F57" i="67" s="1"/>
  <c r="E56" i="67"/>
  <c r="J56" i="67" s="1"/>
  <c r="N56" i="67" s="1"/>
  <c r="J55" i="67"/>
  <c r="N55" i="67" s="1"/>
  <c r="G55" i="67"/>
  <c r="E55" i="67"/>
  <c r="F55" i="67" s="1"/>
  <c r="E54" i="67"/>
  <c r="J54" i="67" s="1"/>
  <c r="N54" i="67" s="1"/>
  <c r="Y53" i="67"/>
  <c r="X53" i="67"/>
  <c r="W53" i="67"/>
  <c r="T53" i="67"/>
  <c r="E53" i="67"/>
  <c r="J53" i="67" s="1"/>
  <c r="E52" i="67"/>
  <c r="F52" i="67" s="1"/>
  <c r="G51" i="67"/>
  <c r="E51" i="67"/>
  <c r="K51" i="67" s="1"/>
  <c r="N51" i="67" s="1"/>
  <c r="E50" i="67"/>
  <c r="F50" i="67" s="1"/>
  <c r="E49" i="67"/>
  <c r="K49" i="67" s="1"/>
  <c r="N49" i="67" s="1"/>
  <c r="Y48" i="67"/>
  <c r="X48" i="67"/>
  <c r="V48" i="67"/>
  <c r="T48" i="67"/>
  <c r="E48" i="67"/>
  <c r="K48" i="67" s="1"/>
  <c r="O47" i="67"/>
  <c r="Y47" i="67" s="1"/>
  <c r="J47" i="67"/>
  <c r="V47" i="67" s="1"/>
  <c r="G47" i="67"/>
  <c r="S47" i="67" s="1"/>
  <c r="F47" i="67"/>
  <c r="R47" i="67" s="1"/>
  <c r="E46" i="67"/>
  <c r="K46" i="67" s="1"/>
  <c r="E45" i="67"/>
  <c r="K45" i="67" s="1"/>
  <c r="E44" i="67"/>
  <c r="K44" i="67" s="1"/>
  <c r="E43" i="67"/>
  <c r="K43" i="67" s="1"/>
  <c r="X42" i="67"/>
  <c r="T42" i="67"/>
  <c r="R42" i="67"/>
  <c r="E42" i="67"/>
  <c r="K42" i="67" s="1"/>
  <c r="J41" i="67"/>
  <c r="N41" i="67" s="1"/>
  <c r="F41" i="67"/>
  <c r="I41" i="67" s="1"/>
  <c r="J40" i="67"/>
  <c r="N40" i="67" s="1"/>
  <c r="F40" i="67"/>
  <c r="I40" i="67" s="1"/>
  <c r="J39" i="67"/>
  <c r="N39" i="67" s="1"/>
  <c r="F39" i="67"/>
  <c r="I39" i="67" s="1"/>
  <c r="P39" i="67" s="1"/>
  <c r="J38" i="67"/>
  <c r="N38" i="67" s="1"/>
  <c r="F38" i="67"/>
  <c r="Y37" i="67"/>
  <c r="X37" i="67"/>
  <c r="W37" i="67"/>
  <c r="T37" i="67"/>
  <c r="S37" i="67"/>
  <c r="J37" i="67"/>
  <c r="N37" i="67" s="1"/>
  <c r="F37" i="67"/>
  <c r="I37" i="67" s="1"/>
  <c r="N36" i="67"/>
  <c r="E36" i="67"/>
  <c r="P36" i="67" s="1"/>
  <c r="N35" i="67"/>
  <c r="E35" i="67"/>
  <c r="P35" i="67" s="1"/>
  <c r="N34" i="67"/>
  <c r="E34" i="67"/>
  <c r="P34" i="67" s="1"/>
  <c r="Z34" i="67" s="1"/>
  <c r="E33" i="67"/>
  <c r="O33" i="67" s="1"/>
  <c r="N32" i="67"/>
  <c r="E32" i="67"/>
  <c r="E31" i="67"/>
  <c r="J31" i="67" s="1"/>
  <c r="E30" i="67"/>
  <c r="J30" i="67" s="1"/>
  <c r="E29" i="67"/>
  <c r="K29" i="67" s="1"/>
  <c r="E28" i="67"/>
  <c r="J28" i="67" s="1"/>
  <c r="E27" i="67"/>
  <c r="J27" i="67" s="1"/>
  <c r="T26" i="67"/>
  <c r="E26" i="67"/>
  <c r="J26" i="67" s="1"/>
  <c r="E25" i="67"/>
  <c r="F25" i="67" s="1"/>
  <c r="E24" i="67"/>
  <c r="F24" i="67" s="1"/>
  <c r="J23" i="67"/>
  <c r="V21" i="67" s="1"/>
  <c r="E23" i="67"/>
  <c r="G23" i="67" s="1"/>
  <c r="E22" i="67"/>
  <c r="K22" i="67" s="1"/>
  <c r="N22" i="67" s="1"/>
  <c r="X21" i="67"/>
  <c r="T21" i="67"/>
  <c r="E21" i="67"/>
  <c r="F21" i="67" s="1"/>
  <c r="N20" i="67"/>
  <c r="E20" i="67"/>
  <c r="E19" i="67"/>
  <c r="K19" i="67" s="1"/>
  <c r="N19" i="67" s="1"/>
  <c r="N18" i="67"/>
  <c r="E18" i="67"/>
  <c r="E17" i="67"/>
  <c r="F17" i="67" s="1"/>
  <c r="E16" i="67"/>
  <c r="K16" i="67" s="1"/>
  <c r="N16" i="67" s="1"/>
  <c r="E15" i="67"/>
  <c r="F15" i="67" s="1"/>
  <c r="E14" i="67"/>
  <c r="K14" i="67" s="1"/>
  <c r="N14" i="67" s="1"/>
  <c r="N13" i="67"/>
  <c r="E13" i="67"/>
  <c r="Y12" i="67"/>
  <c r="X12" i="67"/>
  <c r="V12" i="67"/>
  <c r="T12" i="67"/>
  <c r="N12" i="67"/>
  <c r="E12" i="67"/>
  <c r="O11" i="67"/>
  <c r="J11" i="67"/>
  <c r="N11" i="67" s="1"/>
  <c r="H11" i="67"/>
  <c r="G11" i="67"/>
  <c r="F11" i="67"/>
  <c r="O10" i="67"/>
  <c r="J10" i="67"/>
  <c r="N10" i="67" s="1"/>
  <c r="H10" i="67"/>
  <c r="G10" i="67"/>
  <c r="F10" i="67"/>
  <c r="O9" i="67"/>
  <c r="J9" i="67"/>
  <c r="N9" i="67" s="1"/>
  <c r="H9" i="67"/>
  <c r="G9" i="67"/>
  <c r="F9" i="67"/>
  <c r="X8" i="67"/>
  <c r="O8" i="67"/>
  <c r="K8" i="67"/>
  <c r="W8" i="67" s="1"/>
  <c r="J8" i="67"/>
  <c r="H8" i="67"/>
  <c r="G8" i="67"/>
  <c r="F8" i="67"/>
  <c r="O7" i="67"/>
  <c r="Y7" i="67" s="1"/>
  <c r="N7" i="67"/>
  <c r="F7" i="67"/>
  <c r="R7" i="67" s="1"/>
  <c r="G429" i="66"/>
  <c r="G428" i="66"/>
  <c r="G427" i="66"/>
  <c r="G426" i="66"/>
  <c r="G425" i="66"/>
  <c r="G424" i="66"/>
  <c r="G423" i="66"/>
  <c r="G422" i="66"/>
  <c r="G421" i="66"/>
  <c r="G420" i="66"/>
  <c r="G419" i="66"/>
  <c r="G418" i="66"/>
  <c r="G417" i="66"/>
  <c r="G416" i="66"/>
  <c r="G415" i="66"/>
  <c r="G414" i="66"/>
  <c r="G413" i="66"/>
  <c r="G412" i="66"/>
  <c r="G411" i="66"/>
  <c r="G410" i="66"/>
  <c r="G409" i="66"/>
  <c r="G408" i="66"/>
  <c r="G407" i="66"/>
  <c r="G406" i="66"/>
  <c r="G405" i="66"/>
  <c r="G404" i="66"/>
  <c r="G403" i="66"/>
  <c r="G402" i="66"/>
  <c r="G401" i="66"/>
  <c r="G400" i="66"/>
  <c r="G399" i="66"/>
  <c r="G398" i="66"/>
  <c r="G397" i="66"/>
  <c r="G396" i="66"/>
  <c r="G395" i="66"/>
  <c r="G394" i="66"/>
  <c r="G393" i="66"/>
  <c r="G392" i="66"/>
  <c r="G391" i="66"/>
  <c r="G390" i="66"/>
  <c r="G389" i="66"/>
  <c r="G388" i="66"/>
  <c r="G387" i="66"/>
  <c r="G386" i="66"/>
  <c r="G385" i="66"/>
  <c r="G384" i="66"/>
  <c r="G383" i="66"/>
  <c r="G382" i="66"/>
  <c r="G381" i="66"/>
  <c r="G380" i="66"/>
  <c r="G379" i="66"/>
  <c r="G378" i="66"/>
  <c r="G377" i="66"/>
  <c r="G376" i="66"/>
  <c r="G375" i="66"/>
  <c r="G374" i="66"/>
  <c r="G373" i="66"/>
  <c r="G372" i="66"/>
  <c r="G371" i="66"/>
  <c r="G370" i="66"/>
  <c r="G369" i="66"/>
  <c r="G368" i="66"/>
  <c r="G367" i="66"/>
  <c r="G366" i="66"/>
  <c r="G365" i="66"/>
  <c r="G364" i="66"/>
  <c r="G363" i="66"/>
  <c r="G362" i="66"/>
  <c r="G361" i="66"/>
  <c r="G360" i="66"/>
  <c r="G359" i="66"/>
  <c r="G358" i="66"/>
  <c r="G357" i="66"/>
  <c r="G356" i="66"/>
  <c r="G355" i="66"/>
  <c r="G354" i="66"/>
  <c r="G353" i="66"/>
  <c r="G352" i="66"/>
  <c r="G351" i="66"/>
  <c r="G350" i="66"/>
  <c r="G349" i="66"/>
  <c r="G348" i="66"/>
  <c r="G347" i="66"/>
  <c r="G346" i="66"/>
  <c r="G345" i="66"/>
  <c r="G344" i="66"/>
  <c r="G343" i="66"/>
  <c r="G342" i="66"/>
  <c r="G341" i="66"/>
  <c r="G340" i="66"/>
  <c r="G339" i="66"/>
  <c r="G338" i="66"/>
  <c r="G337" i="66"/>
  <c r="G336" i="66"/>
  <c r="G335" i="66"/>
  <c r="G334" i="66"/>
  <c r="G333" i="66"/>
  <c r="G332" i="66"/>
  <c r="G331" i="66"/>
  <c r="G330" i="66"/>
  <c r="G329" i="66"/>
  <c r="G328" i="66"/>
  <c r="G327" i="66"/>
  <c r="G326" i="66"/>
  <c r="G325" i="66"/>
  <c r="G324" i="66"/>
  <c r="G323" i="66"/>
  <c r="G322" i="66"/>
  <c r="G321" i="66"/>
  <c r="G320" i="66"/>
  <c r="G319" i="66"/>
  <c r="G318" i="66"/>
  <c r="G317" i="66"/>
  <c r="G316" i="66"/>
  <c r="G315" i="66"/>
  <c r="G314" i="66"/>
  <c r="G313" i="66"/>
  <c r="G312" i="66"/>
  <c r="G311" i="66"/>
  <c r="G310" i="66"/>
  <c r="G309" i="66"/>
  <c r="G308" i="66"/>
  <c r="G307" i="66"/>
  <c r="G306" i="66"/>
  <c r="G305" i="66"/>
  <c r="G304" i="66"/>
  <c r="G303" i="66"/>
  <c r="G302" i="66"/>
  <c r="G301" i="66"/>
  <c r="G300" i="66"/>
  <c r="G299" i="66"/>
  <c r="G298" i="66"/>
  <c r="G297" i="66"/>
  <c r="G296" i="66"/>
  <c r="G295" i="66"/>
  <c r="G294" i="66"/>
  <c r="G293" i="66"/>
  <c r="G292" i="66"/>
  <c r="G291" i="66"/>
  <c r="G290" i="66"/>
  <c r="G289" i="66"/>
  <c r="G288" i="66"/>
  <c r="G287" i="66"/>
  <c r="G286" i="66"/>
  <c r="G285" i="66"/>
  <c r="G284" i="66"/>
  <c r="G283" i="66"/>
  <c r="G282" i="66"/>
  <c r="G281" i="66"/>
  <c r="G280" i="66"/>
  <c r="G279" i="66"/>
  <c r="G278" i="66"/>
  <c r="G277" i="66"/>
  <c r="G276" i="66"/>
  <c r="G275" i="66"/>
  <c r="G274" i="66"/>
  <c r="K267" i="66"/>
  <c r="N267" i="66" s="1"/>
  <c r="G267" i="66"/>
  <c r="F267" i="66"/>
  <c r="M266" i="66"/>
  <c r="K266" i="66"/>
  <c r="G266" i="66"/>
  <c r="F266" i="66"/>
  <c r="M265" i="66"/>
  <c r="K265" i="66"/>
  <c r="G265" i="66"/>
  <c r="F265" i="66"/>
  <c r="M264" i="66"/>
  <c r="K264" i="66"/>
  <c r="G264" i="66"/>
  <c r="F264" i="66"/>
  <c r="Y263" i="66"/>
  <c r="V263" i="66"/>
  <c r="T263" i="66"/>
  <c r="M263" i="66"/>
  <c r="X263" i="66" s="1"/>
  <c r="K263" i="66"/>
  <c r="N263" i="66" s="1"/>
  <c r="G263" i="66"/>
  <c r="S263" i="66" s="1"/>
  <c r="F263" i="66"/>
  <c r="R263" i="66" s="1"/>
  <c r="N262" i="66"/>
  <c r="I262" i="66"/>
  <c r="P262" i="66" s="1"/>
  <c r="N261" i="66"/>
  <c r="I261" i="66"/>
  <c r="P261" i="66" s="1"/>
  <c r="N260" i="66"/>
  <c r="I260" i="66"/>
  <c r="P260" i="66" s="1"/>
  <c r="N259" i="66"/>
  <c r="I259" i="66"/>
  <c r="P259" i="66" s="1"/>
  <c r="N258" i="66"/>
  <c r="I258" i="66"/>
  <c r="P258" i="66" s="1"/>
  <c r="N257" i="66"/>
  <c r="I257" i="66"/>
  <c r="P257" i="66" s="1"/>
  <c r="Y256" i="66"/>
  <c r="X256" i="66"/>
  <c r="W256" i="66"/>
  <c r="V256" i="66"/>
  <c r="T256" i="66"/>
  <c r="S256" i="66"/>
  <c r="R256" i="66"/>
  <c r="N256" i="66"/>
  <c r="I256" i="66"/>
  <c r="P256" i="66" s="1"/>
  <c r="K255" i="66"/>
  <c r="N255" i="66" s="1"/>
  <c r="G255" i="66"/>
  <c r="F255" i="66"/>
  <c r="K254" i="66"/>
  <c r="N254" i="66" s="1"/>
  <c r="G254" i="66"/>
  <c r="F254" i="66"/>
  <c r="K253" i="66"/>
  <c r="N253" i="66" s="1"/>
  <c r="G253" i="66"/>
  <c r="F253" i="66"/>
  <c r="K252" i="66"/>
  <c r="G252" i="66"/>
  <c r="F252" i="66"/>
  <c r="Y251" i="66"/>
  <c r="X251" i="66"/>
  <c r="V251" i="66"/>
  <c r="T251" i="66"/>
  <c r="K251" i="66"/>
  <c r="W251" i="66" s="1"/>
  <c r="G251" i="66"/>
  <c r="S251" i="66" s="1"/>
  <c r="F251" i="66"/>
  <c r="K250" i="66"/>
  <c r="N250" i="66" s="1"/>
  <c r="G250" i="66"/>
  <c r="F250" i="66"/>
  <c r="K249" i="66"/>
  <c r="N249" i="66" s="1"/>
  <c r="G249" i="66"/>
  <c r="F249" i="66"/>
  <c r="K248" i="66"/>
  <c r="N248" i="66" s="1"/>
  <c r="G248" i="66"/>
  <c r="F248" i="66"/>
  <c r="Y247" i="66"/>
  <c r="X247" i="66"/>
  <c r="V247" i="66"/>
  <c r="T247" i="66"/>
  <c r="K247" i="66"/>
  <c r="N247" i="66" s="1"/>
  <c r="G247" i="66"/>
  <c r="F247" i="66"/>
  <c r="R247" i="66" s="1"/>
  <c r="N246" i="66"/>
  <c r="I246" i="66"/>
  <c r="P246" i="66" s="1"/>
  <c r="K245" i="66"/>
  <c r="I245" i="66"/>
  <c r="U245" i="66" s="1"/>
  <c r="Z245" i="66" s="1"/>
  <c r="N244" i="66"/>
  <c r="I244" i="66"/>
  <c r="P244" i="66" s="1"/>
  <c r="O243" i="66"/>
  <c r="J243" i="66"/>
  <c r="N243" i="66" s="1"/>
  <c r="G243" i="66"/>
  <c r="F243" i="66"/>
  <c r="O242" i="66"/>
  <c r="J242" i="66"/>
  <c r="N242" i="66" s="1"/>
  <c r="G242" i="66"/>
  <c r="F242" i="66"/>
  <c r="I242" i="66" s="1"/>
  <c r="O241" i="66"/>
  <c r="J241" i="66"/>
  <c r="N241" i="66" s="1"/>
  <c r="G241" i="66"/>
  <c r="F241" i="66"/>
  <c r="O240" i="66"/>
  <c r="J240" i="66"/>
  <c r="N240" i="66" s="1"/>
  <c r="G240" i="66"/>
  <c r="F240" i="66"/>
  <c r="X239" i="66"/>
  <c r="W239" i="66"/>
  <c r="T239" i="66"/>
  <c r="O239" i="66"/>
  <c r="Y239" i="66" s="1"/>
  <c r="J239" i="66"/>
  <c r="G239" i="66"/>
  <c r="S239" i="66" s="1"/>
  <c r="F239" i="66"/>
  <c r="R239" i="66" s="1"/>
  <c r="O238" i="66"/>
  <c r="K238" i="66"/>
  <c r="J238" i="66"/>
  <c r="G238" i="66"/>
  <c r="F238" i="66"/>
  <c r="O237" i="66"/>
  <c r="K237" i="66"/>
  <c r="N237" i="66" s="1"/>
  <c r="G237" i="66"/>
  <c r="F237" i="66"/>
  <c r="O236" i="66"/>
  <c r="M236" i="66"/>
  <c r="K236" i="66"/>
  <c r="J236" i="66"/>
  <c r="G236" i="66"/>
  <c r="F236" i="66"/>
  <c r="O235" i="66"/>
  <c r="K235" i="66"/>
  <c r="J235" i="66"/>
  <c r="G235" i="66"/>
  <c r="F235" i="66"/>
  <c r="O234" i="66"/>
  <c r="Y234" i="66" s="1"/>
  <c r="M234" i="66"/>
  <c r="X234" i="66" s="1"/>
  <c r="K234" i="66"/>
  <c r="W234" i="66" s="1"/>
  <c r="J234" i="66"/>
  <c r="H234" i="66"/>
  <c r="T234" i="66" s="1"/>
  <c r="G234" i="66"/>
  <c r="S234" i="66" s="1"/>
  <c r="F234" i="66"/>
  <c r="R234" i="66" s="1"/>
  <c r="O233" i="66"/>
  <c r="K233" i="66"/>
  <c r="J233" i="66"/>
  <c r="G233" i="66"/>
  <c r="F233" i="66"/>
  <c r="O232" i="66"/>
  <c r="K232" i="66"/>
  <c r="J232" i="66"/>
  <c r="N232" i="66" s="1"/>
  <c r="G232" i="66"/>
  <c r="F232" i="66"/>
  <c r="O231" i="66"/>
  <c r="K231" i="66"/>
  <c r="J231" i="66"/>
  <c r="G231" i="66"/>
  <c r="F231" i="66"/>
  <c r="O230" i="66"/>
  <c r="K230" i="66"/>
  <c r="N230" i="66" s="1"/>
  <c r="G230" i="66"/>
  <c r="F230" i="66"/>
  <c r="X229" i="66"/>
  <c r="T229" i="66"/>
  <c r="O229" i="66"/>
  <c r="Y229" i="66" s="1"/>
  <c r="K229" i="66"/>
  <c r="W229" i="66" s="1"/>
  <c r="J229" i="66"/>
  <c r="G229" i="66"/>
  <c r="S229" i="66" s="1"/>
  <c r="F229" i="66"/>
  <c r="R229" i="66" s="1"/>
  <c r="J228" i="66"/>
  <c r="N228" i="66" s="1"/>
  <c r="G228" i="66"/>
  <c r="I228" i="66" s="1"/>
  <c r="J227" i="66"/>
  <c r="N227" i="66" s="1"/>
  <c r="G227" i="66"/>
  <c r="I227" i="66" s="1"/>
  <c r="P227" i="66" s="1"/>
  <c r="J226" i="66"/>
  <c r="G226" i="66"/>
  <c r="I226" i="66" s="1"/>
  <c r="J225" i="66"/>
  <c r="N225" i="66" s="1"/>
  <c r="G225" i="66"/>
  <c r="I225" i="66" s="1"/>
  <c r="J224" i="66"/>
  <c r="N224" i="66" s="1"/>
  <c r="G224" i="66"/>
  <c r="I224" i="66" s="1"/>
  <c r="J223" i="66"/>
  <c r="N223" i="66" s="1"/>
  <c r="G223" i="66"/>
  <c r="I223" i="66" s="1"/>
  <c r="J222" i="66"/>
  <c r="G222" i="66"/>
  <c r="I222" i="66" s="1"/>
  <c r="Y221" i="66"/>
  <c r="X221" i="66"/>
  <c r="W221" i="66"/>
  <c r="T221" i="66"/>
  <c r="R221" i="66"/>
  <c r="J221" i="66"/>
  <c r="V221" i="66" s="1"/>
  <c r="G221" i="66"/>
  <c r="I221" i="66" s="1"/>
  <c r="U221" i="66" s="1"/>
  <c r="O220" i="66"/>
  <c r="K220" i="66"/>
  <c r="J220" i="66"/>
  <c r="H220" i="66"/>
  <c r="G220" i="66"/>
  <c r="F220" i="66"/>
  <c r="X219" i="66"/>
  <c r="W219" i="66"/>
  <c r="T219" i="66"/>
  <c r="R219" i="66"/>
  <c r="O219" i="66"/>
  <c r="Y219" i="66" s="1"/>
  <c r="J219" i="66"/>
  <c r="V219" i="66" s="1"/>
  <c r="G219" i="66"/>
  <c r="S219" i="66" s="1"/>
  <c r="O218" i="66"/>
  <c r="J218" i="66"/>
  <c r="N218" i="66" s="1"/>
  <c r="F218" i="66"/>
  <c r="I218" i="66" s="1"/>
  <c r="O217" i="66"/>
  <c r="J217" i="66"/>
  <c r="N217" i="66" s="1"/>
  <c r="F217" i="66"/>
  <c r="I217" i="66" s="1"/>
  <c r="O216" i="66"/>
  <c r="Y216" i="66" s="1"/>
  <c r="J216" i="66"/>
  <c r="F216" i="66"/>
  <c r="I216" i="66" s="1"/>
  <c r="V215" i="66"/>
  <c r="R215" i="66"/>
  <c r="O215" i="66"/>
  <c r="Y215" i="66" s="1"/>
  <c r="M215" i="66"/>
  <c r="X215" i="66" s="1"/>
  <c r="K215" i="66"/>
  <c r="W215" i="66" s="1"/>
  <c r="H215" i="66"/>
  <c r="T215" i="66" s="1"/>
  <c r="G215" i="66"/>
  <c r="N214" i="66"/>
  <c r="I214" i="66"/>
  <c r="P214" i="66" s="1"/>
  <c r="N213" i="66"/>
  <c r="I213" i="66"/>
  <c r="P213" i="66" s="1"/>
  <c r="N212" i="66"/>
  <c r="I212" i="66"/>
  <c r="P212" i="66" s="1"/>
  <c r="N211" i="66"/>
  <c r="I211" i="66"/>
  <c r="P211" i="66" s="1"/>
  <c r="N210" i="66"/>
  <c r="I210" i="66"/>
  <c r="P210" i="66" s="1"/>
  <c r="N209" i="66"/>
  <c r="I209" i="66"/>
  <c r="P209" i="66" s="1"/>
  <c r="N208" i="66"/>
  <c r="I208" i="66"/>
  <c r="P208" i="66" s="1"/>
  <c r="N207" i="66"/>
  <c r="I207" i="66"/>
  <c r="P207" i="66" s="1"/>
  <c r="N206" i="66"/>
  <c r="I206" i="66"/>
  <c r="P206" i="66" s="1"/>
  <c r="N205" i="66"/>
  <c r="I205" i="66"/>
  <c r="P205" i="66" s="1"/>
  <c r="N204" i="66"/>
  <c r="I204" i="66"/>
  <c r="P204" i="66" s="1"/>
  <c r="Y203" i="66"/>
  <c r="M203" i="66"/>
  <c r="X203" i="66" s="1"/>
  <c r="K203" i="66"/>
  <c r="W203" i="66" s="1"/>
  <c r="J203" i="66"/>
  <c r="H203" i="66"/>
  <c r="T203" i="66" s="1"/>
  <c r="G203" i="66"/>
  <c r="S203" i="66" s="1"/>
  <c r="F203" i="66"/>
  <c r="N202" i="66"/>
  <c r="P201" i="66"/>
  <c r="O201" i="66"/>
  <c r="K201" i="66"/>
  <c r="N201" i="66" s="1"/>
  <c r="I201" i="66"/>
  <c r="G201" i="66"/>
  <c r="P200" i="66"/>
  <c r="O200" i="66"/>
  <c r="K200" i="66"/>
  <c r="N200" i="66" s="1"/>
  <c r="I200" i="66"/>
  <c r="G200" i="66"/>
  <c r="P199" i="66"/>
  <c r="O199" i="66"/>
  <c r="K199" i="66"/>
  <c r="N199" i="66" s="1"/>
  <c r="I199" i="66"/>
  <c r="G199" i="66"/>
  <c r="P198" i="66"/>
  <c r="O198" i="66"/>
  <c r="K198" i="66"/>
  <c r="N198" i="66" s="1"/>
  <c r="I198" i="66"/>
  <c r="G198" i="66"/>
  <c r="P197" i="66"/>
  <c r="O197" i="66"/>
  <c r="K197" i="66"/>
  <c r="N197" i="66" s="1"/>
  <c r="I197" i="66"/>
  <c r="G197" i="66"/>
  <c r="P196" i="66"/>
  <c r="O196" i="66"/>
  <c r="K196" i="66"/>
  <c r="N196" i="66" s="1"/>
  <c r="I196" i="66"/>
  <c r="G196" i="66"/>
  <c r="P195" i="66"/>
  <c r="O195" i="66"/>
  <c r="K195" i="66"/>
  <c r="N195" i="66" s="1"/>
  <c r="I195" i="66"/>
  <c r="G195" i="66"/>
  <c r="P194" i="66"/>
  <c r="O194" i="66"/>
  <c r="K194" i="66"/>
  <c r="N194" i="66" s="1"/>
  <c r="I194" i="66"/>
  <c r="G194" i="66"/>
  <c r="P193" i="66"/>
  <c r="O193" i="66"/>
  <c r="K193" i="66"/>
  <c r="N193" i="66" s="1"/>
  <c r="I193" i="66"/>
  <c r="G193" i="66"/>
  <c r="P192" i="66"/>
  <c r="O192" i="66"/>
  <c r="K192" i="66"/>
  <c r="N192" i="66" s="1"/>
  <c r="I192" i="66"/>
  <c r="G192" i="66"/>
  <c r="P191" i="66"/>
  <c r="O191" i="66"/>
  <c r="K191" i="66"/>
  <c r="N191" i="66" s="1"/>
  <c r="I191" i="66"/>
  <c r="G191" i="66"/>
  <c r="P190" i="66"/>
  <c r="O190" i="66"/>
  <c r="K190" i="66"/>
  <c r="N190" i="66" s="1"/>
  <c r="I190" i="66"/>
  <c r="G190" i="66"/>
  <c r="N189" i="66"/>
  <c r="N188" i="66"/>
  <c r="N187" i="66"/>
  <c r="N186" i="66"/>
  <c r="N185" i="66"/>
  <c r="P184" i="66"/>
  <c r="O184" i="66"/>
  <c r="K184" i="66"/>
  <c r="N184" i="66" s="1"/>
  <c r="I184" i="66"/>
  <c r="G184" i="66"/>
  <c r="N183" i="66"/>
  <c r="N182" i="66"/>
  <c r="P181" i="66"/>
  <c r="O181" i="66"/>
  <c r="K181" i="66"/>
  <c r="N181" i="66" s="1"/>
  <c r="I181" i="66"/>
  <c r="G181" i="66"/>
  <c r="P180" i="66"/>
  <c r="O180" i="66"/>
  <c r="K180" i="66"/>
  <c r="N180" i="66" s="1"/>
  <c r="I180" i="66"/>
  <c r="G180" i="66"/>
  <c r="N179" i="66"/>
  <c r="N178" i="66"/>
  <c r="P177" i="66"/>
  <c r="O177" i="66"/>
  <c r="K177" i="66"/>
  <c r="N177" i="66" s="1"/>
  <c r="I177" i="66"/>
  <c r="G177" i="66"/>
  <c r="N176" i="66"/>
  <c r="P175" i="66"/>
  <c r="O175" i="66"/>
  <c r="Y174" i="66" s="1"/>
  <c r="K175" i="66"/>
  <c r="W174" i="66" s="1"/>
  <c r="I175" i="66"/>
  <c r="G175" i="66"/>
  <c r="S174" i="66" s="1"/>
  <c r="X174" i="66"/>
  <c r="V174" i="66"/>
  <c r="T174" i="66"/>
  <c r="R174" i="66"/>
  <c r="N174" i="66"/>
  <c r="O173" i="66"/>
  <c r="M173" i="66"/>
  <c r="K173" i="66"/>
  <c r="G173" i="66"/>
  <c r="F173" i="66"/>
  <c r="O172" i="66"/>
  <c r="M172" i="66"/>
  <c r="K172" i="66"/>
  <c r="G172" i="66"/>
  <c r="F172" i="66"/>
  <c r="O171" i="66"/>
  <c r="M171" i="66"/>
  <c r="K171" i="66"/>
  <c r="G171" i="66"/>
  <c r="F171" i="66"/>
  <c r="O170" i="66"/>
  <c r="M170" i="66"/>
  <c r="K170" i="66"/>
  <c r="G170" i="66"/>
  <c r="F170" i="66"/>
  <c r="O169" i="66"/>
  <c r="M169" i="66"/>
  <c r="K169" i="66"/>
  <c r="G169" i="66"/>
  <c r="F169" i="66"/>
  <c r="O168" i="66"/>
  <c r="M168" i="66"/>
  <c r="K168" i="66"/>
  <c r="G168" i="66"/>
  <c r="F168" i="66"/>
  <c r="V167" i="66"/>
  <c r="O167" i="66"/>
  <c r="Y167" i="66" s="1"/>
  <c r="M167" i="66"/>
  <c r="X167" i="66" s="1"/>
  <c r="K167" i="66"/>
  <c r="H167" i="66"/>
  <c r="T167" i="66" s="1"/>
  <c r="G167" i="66"/>
  <c r="F167" i="66"/>
  <c r="R167" i="66" s="1"/>
  <c r="M166" i="66"/>
  <c r="K166" i="66"/>
  <c r="H166" i="66"/>
  <c r="T162" i="66" s="1"/>
  <c r="G166" i="66"/>
  <c r="K165" i="66"/>
  <c r="N165" i="66" s="1"/>
  <c r="G165" i="66"/>
  <c r="I165" i="66" s="1"/>
  <c r="P165" i="66" s="1"/>
  <c r="M164" i="66"/>
  <c r="X162" i="66" s="1"/>
  <c r="K164" i="66"/>
  <c r="G164" i="66"/>
  <c r="F164" i="66"/>
  <c r="K163" i="66"/>
  <c r="N163" i="66" s="1"/>
  <c r="G163" i="66"/>
  <c r="I163" i="66" s="1"/>
  <c r="Y162" i="66"/>
  <c r="V162" i="66"/>
  <c r="K162" i="66"/>
  <c r="G162" i="66"/>
  <c r="I162" i="66" s="1"/>
  <c r="N161" i="66"/>
  <c r="I161" i="66"/>
  <c r="P161" i="66" s="1"/>
  <c r="N160" i="66"/>
  <c r="I160" i="66"/>
  <c r="P160" i="66" s="1"/>
  <c r="Y159" i="66"/>
  <c r="X159" i="66"/>
  <c r="W159" i="66"/>
  <c r="V159" i="66"/>
  <c r="T159" i="66"/>
  <c r="S159" i="66"/>
  <c r="R159" i="66"/>
  <c r="N159" i="66"/>
  <c r="I159" i="66"/>
  <c r="O158" i="66"/>
  <c r="Y158" i="66" s="1"/>
  <c r="N158" i="66"/>
  <c r="K158" i="66"/>
  <c r="W158" i="66" s="1"/>
  <c r="G158" i="66"/>
  <c r="F158" i="66"/>
  <c r="R158" i="66" s="1"/>
  <c r="K157" i="66"/>
  <c r="N157" i="66" s="1"/>
  <c r="G157" i="66"/>
  <c r="F157" i="66"/>
  <c r="K156" i="66"/>
  <c r="N156" i="66" s="1"/>
  <c r="G156" i="66"/>
  <c r="S153" i="66" s="1"/>
  <c r="F156" i="66"/>
  <c r="K155" i="66"/>
  <c r="N155" i="66" s="1"/>
  <c r="F155" i="66"/>
  <c r="I155" i="66" s="1"/>
  <c r="P155" i="66" s="1"/>
  <c r="K154" i="66"/>
  <c r="N154" i="66" s="1"/>
  <c r="F154" i="66"/>
  <c r="I154" i="66" s="1"/>
  <c r="Y153" i="66"/>
  <c r="X153" i="66"/>
  <c r="V153" i="66"/>
  <c r="K153" i="66"/>
  <c r="N153" i="66" s="1"/>
  <c r="H153" i="66"/>
  <c r="F153" i="66"/>
  <c r="R153" i="66" s="1"/>
  <c r="N152" i="66"/>
  <c r="I152" i="66"/>
  <c r="P152" i="66" s="1"/>
  <c r="O151" i="66"/>
  <c r="M151" i="66"/>
  <c r="K151" i="66"/>
  <c r="J151" i="66"/>
  <c r="G151" i="66"/>
  <c r="F151" i="66"/>
  <c r="O150" i="66"/>
  <c r="M150" i="66"/>
  <c r="K150" i="66"/>
  <c r="J150" i="66"/>
  <c r="G150" i="66"/>
  <c r="F150" i="66"/>
  <c r="O149" i="66"/>
  <c r="M149" i="66"/>
  <c r="K149" i="66"/>
  <c r="J149" i="66"/>
  <c r="H149" i="66"/>
  <c r="G149" i="66"/>
  <c r="F149" i="66"/>
  <c r="O148" i="66"/>
  <c r="M148" i="66"/>
  <c r="K148" i="66"/>
  <c r="J148" i="66"/>
  <c r="H148" i="66"/>
  <c r="T147" i="66" s="1"/>
  <c r="G148" i="66"/>
  <c r="F148" i="66"/>
  <c r="O147" i="66"/>
  <c r="Y147" i="66" s="1"/>
  <c r="M147" i="66"/>
  <c r="X147" i="66" s="1"/>
  <c r="K147" i="66"/>
  <c r="W147" i="66" s="1"/>
  <c r="J147" i="66"/>
  <c r="V147" i="66" s="1"/>
  <c r="G147" i="66"/>
  <c r="S147" i="66" s="1"/>
  <c r="F147" i="66"/>
  <c r="R147" i="66" s="1"/>
  <c r="N146" i="66"/>
  <c r="I146" i="66"/>
  <c r="P146" i="66" s="1"/>
  <c r="O145" i="66"/>
  <c r="J145" i="66"/>
  <c r="N145" i="66" s="1"/>
  <c r="G145" i="66"/>
  <c r="F145" i="66"/>
  <c r="O144" i="66"/>
  <c r="J144" i="66"/>
  <c r="N144" i="66" s="1"/>
  <c r="G144" i="66"/>
  <c r="F144" i="66"/>
  <c r="O143" i="66"/>
  <c r="J143" i="66"/>
  <c r="N143" i="66" s="1"/>
  <c r="G143" i="66"/>
  <c r="F143" i="66"/>
  <c r="O142" i="66"/>
  <c r="J142" i="66"/>
  <c r="N142" i="66" s="1"/>
  <c r="G142" i="66"/>
  <c r="F142" i="66"/>
  <c r="X141" i="66"/>
  <c r="W141" i="66"/>
  <c r="T141" i="66"/>
  <c r="O141" i="66"/>
  <c r="Y141" i="66" s="1"/>
  <c r="J141" i="66"/>
  <c r="G141" i="66"/>
  <c r="S141" i="66" s="1"/>
  <c r="F141" i="66"/>
  <c r="O140" i="66"/>
  <c r="J140" i="66"/>
  <c r="N140" i="66" s="1"/>
  <c r="G140" i="66"/>
  <c r="F140" i="66"/>
  <c r="O139" i="66"/>
  <c r="J139" i="66"/>
  <c r="N139" i="66" s="1"/>
  <c r="G139" i="66"/>
  <c r="F139" i="66"/>
  <c r="O138" i="66"/>
  <c r="J138" i="66"/>
  <c r="N138" i="66" s="1"/>
  <c r="G138" i="66"/>
  <c r="F138" i="66"/>
  <c r="O137" i="66"/>
  <c r="J137" i="66"/>
  <c r="N137" i="66" s="1"/>
  <c r="G137" i="66"/>
  <c r="F137" i="66"/>
  <c r="X136" i="66"/>
  <c r="W136" i="66"/>
  <c r="T136" i="66"/>
  <c r="O136" i="66"/>
  <c r="Y136" i="66" s="1"/>
  <c r="J136" i="66"/>
  <c r="N136" i="66" s="1"/>
  <c r="G136" i="66"/>
  <c r="S136" i="66" s="1"/>
  <c r="F136" i="66"/>
  <c r="R136" i="66" s="1"/>
  <c r="K135" i="66"/>
  <c r="J135" i="66"/>
  <c r="V135" i="66" s="1"/>
  <c r="G135" i="66"/>
  <c r="S135" i="66" s="1"/>
  <c r="F135" i="66"/>
  <c r="I135" i="66" s="1"/>
  <c r="U135" i="66" s="1"/>
  <c r="Z134" i="66"/>
  <c r="Y134" i="66"/>
  <c r="X134" i="66"/>
  <c r="W134" i="66"/>
  <c r="V134" i="66"/>
  <c r="U134" i="66"/>
  <c r="T134" i="66"/>
  <c r="S134" i="66"/>
  <c r="R134" i="66"/>
  <c r="P134" i="66"/>
  <c r="N134" i="66"/>
  <c r="I134" i="66"/>
  <c r="G134" i="66"/>
  <c r="F134" i="66"/>
  <c r="N133" i="66"/>
  <c r="G133" i="66"/>
  <c r="F133" i="66"/>
  <c r="R133" i="66" s="1"/>
  <c r="N132" i="66"/>
  <c r="G132" i="66"/>
  <c r="F132" i="66"/>
  <c r="N131" i="66"/>
  <c r="I131" i="66"/>
  <c r="P131" i="66" s="1"/>
  <c r="O130" i="66"/>
  <c r="N130" i="66"/>
  <c r="J130" i="66"/>
  <c r="G130" i="66"/>
  <c r="F130" i="66"/>
  <c r="O129" i="66"/>
  <c r="J129" i="66"/>
  <c r="N129" i="66" s="1"/>
  <c r="G129" i="66"/>
  <c r="F129" i="66"/>
  <c r="O128" i="66"/>
  <c r="J128" i="66"/>
  <c r="N128" i="66" s="1"/>
  <c r="G128" i="66"/>
  <c r="F128" i="66"/>
  <c r="O127" i="66"/>
  <c r="J127" i="66"/>
  <c r="N127" i="66" s="1"/>
  <c r="G127" i="66"/>
  <c r="F127" i="66"/>
  <c r="X126" i="66"/>
  <c r="W126" i="66"/>
  <c r="T126" i="66"/>
  <c r="O126" i="66"/>
  <c r="Y126" i="66" s="1"/>
  <c r="J126" i="66"/>
  <c r="V126" i="66" s="1"/>
  <c r="G126" i="66"/>
  <c r="S126" i="66" s="1"/>
  <c r="F126" i="66"/>
  <c r="Y125" i="66"/>
  <c r="M125" i="66"/>
  <c r="X125" i="66" s="1"/>
  <c r="K125" i="66"/>
  <c r="W125" i="66" s="1"/>
  <c r="J125" i="66"/>
  <c r="V125" i="66" s="1"/>
  <c r="H125" i="66"/>
  <c r="T125" i="66" s="1"/>
  <c r="G125" i="66"/>
  <c r="S125" i="66" s="1"/>
  <c r="F125" i="66"/>
  <c r="R125" i="66" s="1"/>
  <c r="U125" i="66" s="1"/>
  <c r="Z125" i="66" s="1"/>
  <c r="O124" i="66"/>
  <c r="J124" i="66"/>
  <c r="N124" i="66" s="1"/>
  <c r="G124" i="66"/>
  <c r="F124" i="66"/>
  <c r="O123" i="66"/>
  <c r="J123" i="66"/>
  <c r="N123" i="66" s="1"/>
  <c r="G123" i="66"/>
  <c r="F123" i="66"/>
  <c r="O122" i="66"/>
  <c r="J122" i="66"/>
  <c r="N122" i="66" s="1"/>
  <c r="G122" i="66"/>
  <c r="F122" i="66"/>
  <c r="O121" i="66"/>
  <c r="J121" i="66"/>
  <c r="N121" i="66" s="1"/>
  <c r="G121" i="66"/>
  <c r="F121" i="66"/>
  <c r="O120" i="66"/>
  <c r="J120" i="66"/>
  <c r="N120" i="66" s="1"/>
  <c r="G120" i="66"/>
  <c r="F120" i="66"/>
  <c r="O119" i="66"/>
  <c r="J119" i="66"/>
  <c r="N119" i="66" s="1"/>
  <c r="G119" i="66"/>
  <c r="F119" i="66"/>
  <c r="O118" i="66"/>
  <c r="J118" i="66"/>
  <c r="N118" i="66" s="1"/>
  <c r="G118" i="66"/>
  <c r="F118" i="66"/>
  <c r="X117" i="66"/>
  <c r="W117" i="66"/>
  <c r="O117" i="66"/>
  <c r="Y117" i="66" s="1"/>
  <c r="J117" i="66"/>
  <c r="H117" i="66"/>
  <c r="T117" i="66" s="1"/>
  <c r="G117" i="66"/>
  <c r="S117" i="66" s="1"/>
  <c r="F117" i="66"/>
  <c r="O116" i="66"/>
  <c r="K116" i="66"/>
  <c r="J116" i="66"/>
  <c r="G116" i="66"/>
  <c r="F116" i="66"/>
  <c r="O115" i="66"/>
  <c r="K115" i="66"/>
  <c r="J115" i="66"/>
  <c r="H115" i="66"/>
  <c r="G115" i="66"/>
  <c r="F115" i="66"/>
  <c r="O114" i="66"/>
  <c r="K114" i="66"/>
  <c r="J114" i="66"/>
  <c r="G114" i="66"/>
  <c r="F114" i="66"/>
  <c r="I114" i="66" s="1"/>
  <c r="O113" i="66"/>
  <c r="K113" i="66"/>
  <c r="J113" i="66"/>
  <c r="G113" i="66"/>
  <c r="F113" i="66"/>
  <c r="X112" i="66"/>
  <c r="O112" i="66"/>
  <c r="Y112" i="66" s="1"/>
  <c r="K112" i="66"/>
  <c r="W112" i="66" s="1"/>
  <c r="J112" i="66"/>
  <c r="V112" i="66" s="1"/>
  <c r="G112" i="66"/>
  <c r="S112" i="66" s="1"/>
  <c r="F112" i="66"/>
  <c r="O111" i="66"/>
  <c r="Y111" i="66" s="1"/>
  <c r="N111" i="66"/>
  <c r="G111" i="66"/>
  <c r="O110" i="66"/>
  <c r="J110" i="66"/>
  <c r="N110" i="66" s="1"/>
  <c r="G110" i="66"/>
  <c r="F110" i="66"/>
  <c r="O109" i="66"/>
  <c r="J109" i="66"/>
  <c r="N109" i="66" s="1"/>
  <c r="G109" i="66"/>
  <c r="F109" i="66"/>
  <c r="O108" i="66"/>
  <c r="J108" i="66"/>
  <c r="N108" i="66" s="1"/>
  <c r="G108" i="66"/>
  <c r="F108" i="66"/>
  <c r="O107" i="66"/>
  <c r="J107" i="66"/>
  <c r="N107" i="66" s="1"/>
  <c r="G107" i="66"/>
  <c r="F107" i="66"/>
  <c r="X106" i="66"/>
  <c r="W106" i="66"/>
  <c r="T106" i="66"/>
  <c r="O106" i="66"/>
  <c r="Y106" i="66" s="1"/>
  <c r="J106" i="66"/>
  <c r="V106" i="66" s="1"/>
  <c r="G106" i="66"/>
  <c r="S106" i="66" s="1"/>
  <c r="F106" i="66"/>
  <c r="N105" i="66"/>
  <c r="I105" i="66"/>
  <c r="P105" i="66" s="1"/>
  <c r="O104" i="66"/>
  <c r="K104" i="66"/>
  <c r="J104" i="66"/>
  <c r="G104" i="66"/>
  <c r="I104" i="66" s="1"/>
  <c r="O103" i="66"/>
  <c r="K103" i="66"/>
  <c r="N103" i="66" s="1"/>
  <c r="G103" i="66"/>
  <c r="I103" i="66" s="1"/>
  <c r="O102" i="66"/>
  <c r="K102" i="66"/>
  <c r="N102" i="66" s="1"/>
  <c r="G102" i="66"/>
  <c r="I102" i="66" s="1"/>
  <c r="O101" i="66"/>
  <c r="M101" i="66"/>
  <c r="X100" i="66" s="1"/>
  <c r="K101" i="66"/>
  <c r="J101" i="66"/>
  <c r="G101" i="66"/>
  <c r="F101" i="66"/>
  <c r="T100" i="66"/>
  <c r="O100" i="66"/>
  <c r="Y100" i="66" s="1"/>
  <c r="K100" i="66"/>
  <c r="J100" i="66"/>
  <c r="V100" i="66" s="1"/>
  <c r="G100" i="66"/>
  <c r="S100" i="66" s="1"/>
  <c r="F100" i="66"/>
  <c r="O99" i="66"/>
  <c r="M99" i="66"/>
  <c r="J99" i="66"/>
  <c r="H99" i="66"/>
  <c r="G99" i="66"/>
  <c r="F99" i="66"/>
  <c r="O98" i="66"/>
  <c r="M98" i="66"/>
  <c r="J98" i="66"/>
  <c r="H98" i="66"/>
  <c r="G98" i="66"/>
  <c r="F98" i="66"/>
  <c r="O97" i="66"/>
  <c r="M97" i="66"/>
  <c r="J97" i="66"/>
  <c r="H97" i="66"/>
  <c r="G97" i="66"/>
  <c r="F97" i="66"/>
  <c r="O96" i="66"/>
  <c r="M96" i="66"/>
  <c r="J96" i="66"/>
  <c r="H96" i="66"/>
  <c r="G96" i="66"/>
  <c r="F96" i="66"/>
  <c r="W95" i="66"/>
  <c r="O95" i="66"/>
  <c r="Y95" i="66" s="1"/>
  <c r="M95" i="66"/>
  <c r="N95" i="66" s="1"/>
  <c r="J95" i="66"/>
  <c r="V95" i="66" s="1"/>
  <c r="H95" i="66"/>
  <c r="T95" i="66" s="1"/>
  <c r="G95" i="66"/>
  <c r="S95" i="66" s="1"/>
  <c r="F95" i="66"/>
  <c r="R95" i="66" s="1"/>
  <c r="N94" i="66"/>
  <c r="O93" i="66"/>
  <c r="Y93" i="66" s="1"/>
  <c r="N93" i="66"/>
  <c r="G93" i="66"/>
  <c r="S93" i="66" s="1"/>
  <c r="F93" i="66"/>
  <c r="O92" i="66"/>
  <c r="M92" i="66"/>
  <c r="K92" i="66"/>
  <c r="J92" i="66"/>
  <c r="H92" i="66"/>
  <c r="G92" i="66"/>
  <c r="F92" i="66"/>
  <c r="O91" i="66"/>
  <c r="M91" i="66"/>
  <c r="K91" i="66"/>
  <c r="J91" i="66"/>
  <c r="H91" i="66"/>
  <c r="G91" i="66"/>
  <c r="F91" i="66"/>
  <c r="O90" i="66"/>
  <c r="M90" i="66"/>
  <c r="K90" i="66"/>
  <c r="J90" i="66"/>
  <c r="H90" i="66"/>
  <c r="G90" i="66"/>
  <c r="F90" i="66"/>
  <c r="O89" i="66"/>
  <c r="M89" i="66"/>
  <c r="J89" i="66"/>
  <c r="N89" i="66" s="1"/>
  <c r="H89" i="66"/>
  <c r="G89" i="66"/>
  <c r="F89" i="66"/>
  <c r="O88" i="66"/>
  <c r="M88" i="66"/>
  <c r="K88" i="66"/>
  <c r="J88" i="66"/>
  <c r="H88" i="66"/>
  <c r="G88" i="66"/>
  <c r="F88" i="66"/>
  <c r="O87" i="66"/>
  <c r="M87" i="66"/>
  <c r="K87" i="66"/>
  <c r="J87" i="66"/>
  <c r="H87" i="66"/>
  <c r="G87" i="66"/>
  <c r="F87" i="66"/>
  <c r="O86" i="66"/>
  <c r="M86" i="66"/>
  <c r="K86" i="66"/>
  <c r="J86" i="66"/>
  <c r="H86" i="66"/>
  <c r="G86" i="66"/>
  <c r="F86" i="66"/>
  <c r="O85" i="66"/>
  <c r="M85" i="66"/>
  <c r="J85" i="66"/>
  <c r="H85" i="66"/>
  <c r="G85" i="66"/>
  <c r="I85" i="66" s="1"/>
  <c r="F85" i="66"/>
  <c r="O84" i="66"/>
  <c r="M84" i="66"/>
  <c r="K84" i="66"/>
  <c r="J84" i="66"/>
  <c r="H84" i="66"/>
  <c r="G84" i="66"/>
  <c r="F84" i="66"/>
  <c r="O83" i="66"/>
  <c r="M83" i="66"/>
  <c r="K83" i="66"/>
  <c r="J83" i="66"/>
  <c r="N83" i="66" s="1"/>
  <c r="H83" i="66"/>
  <c r="G83" i="66"/>
  <c r="F83" i="66"/>
  <c r="O82" i="66"/>
  <c r="Y82" i="66" s="1"/>
  <c r="M82" i="66"/>
  <c r="X82" i="66" s="1"/>
  <c r="K82" i="66"/>
  <c r="W82" i="66" s="1"/>
  <c r="J82" i="66"/>
  <c r="V82" i="66" s="1"/>
  <c r="H82" i="66"/>
  <c r="G82" i="66"/>
  <c r="S82" i="66" s="1"/>
  <c r="F82" i="66"/>
  <c r="R82" i="66" s="1"/>
  <c r="O81" i="66"/>
  <c r="M81" i="66"/>
  <c r="K81" i="66"/>
  <c r="G81" i="66"/>
  <c r="F81" i="66"/>
  <c r="O80" i="66"/>
  <c r="M80" i="66"/>
  <c r="K80" i="66"/>
  <c r="G80" i="66"/>
  <c r="F80" i="66"/>
  <c r="O79" i="66"/>
  <c r="M79" i="66"/>
  <c r="K79" i="66"/>
  <c r="G79" i="66"/>
  <c r="F79" i="66"/>
  <c r="O78" i="66"/>
  <c r="M78" i="66"/>
  <c r="K78" i="66"/>
  <c r="G78" i="66"/>
  <c r="F78" i="66"/>
  <c r="O77" i="66"/>
  <c r="M77" i="66"/>
  <c r="K77" i="66"/>
  <c r="G77" i="66"/>
  <c r="F77" i="66"/>
  <c r="I77" i="66" s="1"/>
  <c r="P77" i="66" s="1"/>
  <c r="T76" i="66"/>
  <c r="O76" i="66"/>
  <c r="Y76" i="66" s="1"/>
  <c r="M76" i="66"/>
  <c r="X76" i="66" s="1"/>
  <c r="K76" i="66"/>
  <c r="W76" i="66" s="1"/>
  <c r="J76" i="66"/>
  <c r="G76" i="66"/>
  <c r="S76" i="66" s="1"/>
  <c r="F76" i="66"/>
  <c r="O75" i="66"/>
  <c r="M75" i="66"/>
  <c r="K75" i="66"/>
  <c r="H75" i="66"/>
  <c r="G75" i="66"/>
  <c r="F75" i="66"/>
  <c r="O74" i="66"/>
  <c r="M74" i="66"/>
  <c r="K74" i="66"/>
  <c r="H74" i="66"/>
  <c r="G74" i="66"/>
  <c r="F74" i="66"/>
  <c r="O73" i="66"/>
  <c r="M73" i="66"/>
  <c r="K73" i="66"/>
  <c r="H73" i="66"/>
  <c r="G73" i="66"/>
  <c r="F73" i="66"/>
  <c r="O72" i="66"/>
  <c r="M72" i="66"/>
  <c r="K72" i="66"/>
  <c r="H72" i="66"/>
  <c r="G72" i="66"/>
  <c r="F72" i="66"/>
  <c r="V71" i="66"/>
  <c r="O71" i="66"/>
  <c r="Y71" i="66" s="1"/>
  <c r="M71" i="66"/>
  <c r="X71" i="66" s="1"/>
  <c r="K71" i="66"/>
  <c r="H71" i="66"/>
  <c r="T71" i="66" s="1"/>
  <c r="G71" i="66"/>
  <c r="S71" i="66" s="1"/>
  <c r="F71" i="66"/>
  <c r="R71" i="66" s="1"/>
  <c r="O70" i="66"/>
  <c r="M70" i="66"/>
  <c r="K70" i="66"/>
  <c r="J70" i="66"/>
  <c r="G70" i="66"/>
  <c r="F70" i="66"/>
  <c r="O69" i="66"/>
  <c r="M69" i="66"/>
  <c r="K69" i="66"/>
  <c r="J69" i="66"/>
  <c r="G69" i="66"/>
  <c r="F69" i="66"/>
  <c r="I69" i="66" s="1"/>
  <c r="O68" i="66"/>
  <c r="M68" i="66"/>
  <c r="K68" i="66"/>
  <c r="J68" i="66"/>
  <c r="H68" i="66"/>
  <c r="T67" i="66" s="1"/>
  <c r="G68" i="66"/>
  <c r="F68" i="66"/>
  <c r="Y67" i="66"/>
  <c r="O67" i="66"/>
  <c r="M67" i="66"/>
  <c r="X67" i="66" s="1"/>
  <c r="K67" i="66"/>
  <c r="J67" i="66"/>
  <c r="V67" i="66" s="1"/>
  <c r="G67" i="66"/>
  <c r="S67" i="66" s="1"/>
  <c r="F67" i="66"/>
  <c r="R67" i="66" s="1"/>
  <c r="O66" i="66"/>
  <c r="M66" i="66"/>
  <c r="J66" i="66"/>
  <c r="H66" i="66"/>
  <c r="T65" i="66" s="1"/>
  <c r="G66" i="66"/>
  <c r="F66" i="66"/>
  <c r="W65" i="66"/>
  <c r="O65" i="66"/>
  <c r="Y65" i="66" s="1"/>
  <c r="M65" i="66"/>
  <c r="X65" i="66" s="1"/>
  <c r="J65" i="66"/>
  <c r="G65" i="66"/>
  <c r="S65" i="66" s="1"/>
  <c r="F65" i="66"/>
  <c r="Y64" i="66"/>
  <c r="X64" i="66"/>
  <c r="V64" i="66"/>
  <c r="T64" i="66"/>
  <c r="K64" i="66"/>
  <c r="N64" i="66" s="1"/>
  <c r="G64" i="66"/>
  <c r="S64" i="66" s="1"/>
  <c r="F64" i="66"/>
  <c r="N63" i="66"/>
  <c r="I63" i="66"/>
  <c r="P63" i="66" s="1"/>
  <c r="N62" i="66"/>
  <c r="I62" i="66"/>
  <c r="P62" i="66" s="1"/>
  <c r="N61" i="66"/>
  <c r="I61" i="66"/>
  <c r="P61" i="66" s="1"/>
  <c r="N60" i="66"/>
  <c r="I60" i="66"/>
  <c r="P60" i="66" s="1"/>
  <c r="N59" i="66"/>
  <c r="I59" i="66"/>
  <c r="P59" i="66" s="1"/>
  <c r="J58" i="66"/>
  <c r="N58" i="66" s="1"/>
  <c r="G58" i="66"/>
  <c r="F58" i="66"/>
  <c r="J57" i="66"/>
  <c r="N57" i="66" s="1"/>
  <c r="G57" i="66"/>
  <c r="F57" i="66"/>
  <c r="J56" i="66"/>
  <c r="N56" i="66" s="1"/>
  <c r="G56" i="66"/>
  <c r="F56" i="66"/>
  <c r="J55" i="66"/>
  <c r="N55" i="66" s="1"/>
  <c r="G55" i="66"/>
  <c r="F55" i="66"/>
  <c r="J54" i="66"/>
  <c r="N54" i="66" s="1"/>
  <c r="G54" i="66"/>
  <c r="F54" i="66"/>
  <c r="Y53" i="66"/>
  <c r="X53" i="66"/>
  <c r="W53" i="66"/>
  <c r="T53" i="66"/>
  <c r="J53" i="66"/>
  <c r="N53" i="66" s="1"/>
  <c r="G53" i="66"/>
  <c r="F53" i="66"/>
  <c r="R53" i="66" s="1"/>
  <c r="K52" i="66"/>
  <c r="N52" i="66" s="1"/>
  <c r="G52" i="66"/>
  <c r="F52" i="66"/>
  <c r="K51" i="66"/>
  <c r="N51" i="66" s="1"/>
  <c r="G51" i="66"/>
  <c r="F51" i="66"/>
  <c r="I51" i="66" s="1"/>
  <c r="K50" i="66"/>
  <c r="N50" i="66" s="1"/>
  <c r="G50" i="66"/>
  <c r="F50" i="66"/>
  <c r="K49" i="66"/>
  <c r="N49" i="66" s="1"/>
  <c r="G49" i="66"/>
  <c r="F49" i="66"/>
  <c r="Y48" i="66"/>
  <c r="X48" i="66"/>
  <c r="V48" i="66"/>
  <c r="T48" i="66"/>
  <c r="K48" i="66"/>
  <c r="W48" i="66" s="1"/>
  <c r="G48" i="66"/>
  <c r="S48" i="66" s="1"/>
  <c r="F48" i="66"/>
  <c r="R48" i="66" s="1"/>
  <c r="O47" i="66"/>
  <c r="Y47" i="66" s="1"/>
  <c r="J47" i="66"/>
  <c r="N47" i="66" s="1"/>
  <c r="G47" i="66"/>
  <c r="S47" i="66" s="1"/>
  <c r="F47" i="66"/>
  <c r="R47" i="66" s="1"/>
  <c r="O46" i="66"/>
  <c r="K46" i="66"/>
  <c r="J46" i="66"/>
  <c r="N46" i="66" s="1"/>
  <c r="G46" i="66"/>
  <c r="I46" i="66" s="1"/>
  <c r="O45" i="66"/>
  <c r="K45" i="66"/>
  <c r="J45" i="66"/>
  <c r="G45" i="66"/>
  <c r="I45" i="66" s="1"/>
  <c r="O44" i="66"/>
  <c r="K44" i="66"/>
  <c r="J44" i="66"/>
  <c r="G44" i="66"/>
  <c r="I44" i="66" s="1"/>
  <c r="O43" i="66"/>
  <c r="K43" i="66"/>
  <c r="J43" i="66"/>
  <c r="G43" i="66"/>
  <c r="I43" i="66" s="1"/>
  <c r="X42" i="66"/>
  <c r="T42" i="66"/>
  <c r="R42" i="66"/>
  <c r="O42" i="66"/>
  <c r="Y42" i="66" s="1"/>
  <c r="K42" i="66"/>
  <c r="W42" i="66" s="1"/>
  <c r="J42" i="66"/>
  <c r="G42" i="66"/>
  <c r="S42" i="66" s="1"/>
  <c r="J41" i="66"/>
  <c r="F41" i="66"/>
  <c r="I41" i="66" s="1"/>
  <c r="J40" i="66"/>
  <c r="N40" i="66" s="1"/>
  <c r="F40" i="66"/>
  <c r="I40" i="66" s="1"/>
  <c r="J39" i="66"/>
  <c r="N39" i="66" s="1"/>
  <c r="F39" i="66"/>
  <c r="I39" i="66" s="1"/>
  <c r="J38" i="66"/>
  <c r="N38" i="66" s="1"/>
  <c r="F38" i="66"/>
  <c r="I38" i="66" s="1"/>
  <c r="Y37" i="66"/>
  <c r="X37" i="66"/>
  <c r="W37" i="66"/>
  <c r="T37" i="66"/>
  <c r="S37" i="66"/>
  <c r="J37" i="66"/>
  <c r="N37" i="66" s="1"/>
  <c r="F37" i="66"/>
  <c r="R37" i="66" s="1"/>
  <c r="P36" i="66"/>
  <c r="N36" i="66"/>
  <c r="P35" i="66"/>
  <c r="N35" i="66"/>
  <c r="P34" i="66"/>
  <c r="Z34" i="66" s="1"/>
  <c r="N34" i="66"/>
  <c r="O33" i="66"/>
  <c r="M33" i="66"/>
  <c r="K33" i="66"/>
  <c r="J33" i="66"/>
  <c r="G33" i="66"/>
  <c r="F33" i="66"/>
  <c r="N32" i="66"/>
  <c r="O31" i="66"/>
  <c r="K31" i="66"/>
  <c r="J31" i="66"/>
  <c r="G31" i="66"/>
  <c r="F31" i="66"/>
  <c r="O30" i="66"/>
  <c r="K30" i="66"/>
  <c r="J30" i="66"/>
  <c r="G30" i="66"/>
  <c r="F30" i="66"/>
  <c r="O29" i="66"/>
  <c r="M29" i="66"/>
  <c r="X26" i="66" s="1"/>
  <c r="K29" i="66"/>
  <c r="G29" i="66"/>
  <c r="F29" i="66"/>
  <c r="O28" i="66"/>
  <c r="K28" i="66"/>
  <c r="J28" i="66"/>
  <c r="G28" i="66"/>
  <c r="F28" i="66"/>
  <c r="O27" i="66"/>
  <c r="K27" i="66"/>
  <c r="J27" i="66"/>
  <c r="N27" i="66" s="1"/>
  <c r="G27" i="66"/>
  <c r="F27" i="66"/>
  <c r="T26" i="66"/>
  <c r="O26" i="66"/>
  <c r="Y26" i="66" s="1"/>
  <c r="K26" i="66"/>
  <c r="W26" i="66" s="1"/>
  <c r="J26" i="66"/>
  <c r="G26" i="66"/>
  <c r="S26" i="66" s="1"/>
  <c r="F26" i="66"/>
  <c r="R26" i="66" s="1"/>
  <c r="O25" i="66"/>
  <c r="K25" i="66"/>
  <c r="N25" i="66" s="1"/>
  <c r="G25" i="66"/>
  <c r="F25" i="66"/>
  <c r="O24" i="66"/>
  <c r="K24" i="66"/>
  <c r="N24" i="66" s="1"/>
  <c r="G24" i="66"/>
  <c r="F24" i="66"/>
  <c r="I24" i="66" s="1"/>
  <c r="O23" i="66"/>
  <c r="K23" i="66"/>
  <c r="J23" i="66"/>
  <c r="G23" i="66"/>
  <c r="F23" i="66"/>
  <c r="O22" i="66"/>
  <c r="K22" i="66"/>
  <c r="N22" i="66" s="1"/>
  <c r="G22" i="66"/>
  <c r="F22" i="66"/>
  <c r="X21" i="66"/>
  <c r="T21" i="66"/>
  <c r="O21" i="66"/>
  <c r="Y21" i="66" s="1"/>
  <c r="K21" i="66"/>
  <c r="N21" i="66" s="1"/>
  <c r="G21" i="66"/>
  <c r="S21" i="66" s="1"/>
  <c r="F21" i="66"/>
  <c r="N20" i="66"/>
  <c r="K19" i="66"/>
  <c r="N19" i="66" s="1"/>
  <c r="G19" i="66"/>
  <c r="F19" i="66"/>
  <c r="N18" i="66"/>
  <c r="K17" i="66"/>
  <c r="N17" i="66" s="1"/>
  <c r="G17" i="66"/>
  <c r="F17" i="66"/>
  <c r="K16" i="66"/>
  <c r="N16" i="66" s="1"/>
  <c r="G16" i="66"/>
  <c r="F16" i="66"/>
  <c r="K15" i="66"/>
  <c r="N15" i="66" s="1"/>
  <c r="G15" i="66"/>
  <c r="F15" i="66"/>
  <c r="K14" i="66"/>
  <c r="W12" i="66" s="1"/>
  <c r="G14" i="66"/>
  <c r="S12" i="66" s="1"/>
  <c r="F14" i="66"/>
  <c r="N13" i="66"/>
  <c r="Y12" i="66"/>
  <c r="X12" i="66"/>
  <c r="V12" i="66"/>
  <c r="T12" i="66"/>
  <c r="N12" i="66"/>
  <c r="O11" i="66"/>
  <c r="J11" i="66"/>
  <c r="N11" i="66" s="1"/>
  <c r="H11" i="66"/>
  <c r="G11" i="66"/>
  <c r="F11" i="66"/>
  <c r="O10" i="66"/>
  <c r="J10" i="66"/>
  <c r="N10" i="66" s="1"/>
  <c r="H10" i="66"/>
  <c r="G10" i="66"/>
  <c r="F10" i="66"/>
  <c r="O9" i="66"/>
  <c r="J9" i="66"/>
  <c r="N9" i="66" s="1"/>
  <c r="H9" i="66"/>
  <c r="G9" i="66"/>
  <c r="F9" i="66"/>
  <c r="X8" i="66"/>
  <c r="O8" i="66"/>
  <c r="Y8" i="66" s="1"/>
  <c r="K8" i="66"/>
  <c r="W8" i="66" s="1"/>
  <c r="J8" i="66"/>
  <c r="H8" i="66"/>
  <c r="G8" i="66"/>
  <c r="S8" i="66" s="1"/>
  <c r="F8" i="66"/>
  <c r="I8" i="66" s="1"/>
  <c r="O7" i="66"/>
  <c r="Y7" i="66" s="1"/>
  <c r="N7" i="66"/>
  <c r="F7" i="66"/>
  <c r="R7" i="66" s="1"/>
  <c r="I19" i="66" l="1"/>
  <c r="N23" i="66"/>
  <c r="N31" i="66"/>
  <c r="N219" i="66"/>
  <c r="N231" i="66"/>
  <c r="I252" i="66"/>
  <c r="N48" i="66"/>
  <c r="I136" i="66"/>
  <c r="U136" i="66" s="1"/>
  <c r="N30" i="66"/>
  <c r="N74" i="66"/>
  <c r="I121" i="66"/>
  <c r="I123" i="66"/>
  <c r="P123" i="66" s="1"/>
  <c r="P163" i="66"/>
  <c r="I172" i="66"/>
  <c r="P172" i="66" s="1"/>
  <c r="I219" i="66"/>
  <c r="U219" i="66" s="1"/>
  <c r="Z219" i="66" s="1"/>
  <c r="I250" i="66"/>
  <c r="N265" i="66"/>
  <c r="N266" i="66"/>
  <c r="P8" i="66"/>
  <c r="Z8" i="66" s="1"/>
  <c r="P19" i="66"/>
  <c r="P51" i="66"/>
  <c r="P69" i="66"/>
  <c r="S162" i="66"/>
  <c r="T8" i="67"/>
  <c r="J116" i="67"/>
  <c r="K151" i="67"/>
  <c r="P211" i="69"/>
  <c r="S8" i="70"/>
  <c r="I16" i="66"/>
  <c r="P16" i="66" s="1"/>
  <c r="N28" i="66"/>
  <c r="N75" i="66"/>
  <c r="N79" i="66"/>
  <c r="I81" i="66"/>
  <c r="P81" i="66" s="1"/>
  <c r="I129" i="66"/>
  <c r="P129" i="66" s="1"/>
  <c r="I138" i="66"/>
  <c r="I140" i="66"/>
  <c r="P140" i="66" s="1"/>
  <c r="I145" i="66"/>
  <c r="I170" i="66"/>
  <c r="P170" i="66" s="1"/>
  <c r="I173" i="66"/>
  <c r="N8" i="67"/>
  <c r="K21" i="67"/>
  <c r="N21" i="67" s="1"/>
  <c r="F97" i="67"/>
  <c r="K191" i="67"/>
  <c r="N191" i="67" s="1"/>
  <c r="J222" i="67"/>
  <c r="Y141" i="68"/>
  <c r="I93" i="69"/>
  <c r="P93" i="69" s="1"/>
  <c r="P24" i="66"/>
  <c r="J104" i="67"/>
  <c r="I21" i="66"/>
  <c r="U21" i="66" s="1"/>
  <c r="N68" i="66"/>
  <c r="I72" i="66"/>
  <c r="I169" i="66"/>
  <c r="P169" i="66" s="1"/>
  <c r="I233" i="66"/>
  <c r="I267" i="66"/>
  <c r="F19" i="67"/>
  <c r="P40" i="67"/>
  <c r="K84" i="67"/>
  <c r="H115" i="67"/>
  <c r="T112" i="67" s="1"/>
  <c r="G123" i="67"/>
  <c r="P40" i="69"/>
  <c r="J221" i="69"/>
  <c r="O33" i="70"/>
  <c r="R126" i="70"/>
  <c r="I88" i="66"/>
  <c r="P88" i="66" s="1"/>
  <c r="N29" i="66"/>
  <c r="I31" i="66"/>
  <c r="P31" i="66" s="1"/>
  <c r="N33" i="66"/>
  <c r="I50" i="66"/>
  <c r="P50" i="66" s="1"/>
  <c r="I54" i="66"/>
  <c r="I98" i="66"/>
  <c r="I108" i="66"/>
  <c r="I137" i="66"/>
  <c r="P137" i="66" s="1"/>
  <c r="G19" i="67"/>
  <c r="I19" i="67" s="1"/>
  <c r="P19" i="67" s="1"/>
  <c r="O115" i="67"/>
  <c r="I215" i="67"/>
  <c r="U215" i="67" s="1"/>
  <c r="N220" i="67"/>
  <c r="P40" i="68"/>
  <c r="I51" i="70"/>
  <c r="P85" i="66"/>
  <c r="N42" i="66"/>
  <c r="N45" i="66"/>
  <c r="I57" i="66"/>
  <c r="P57" i="66" s="1"/>
  <c r="I75" i="66"/>
  <c r="P75" i="66" s="1"/>
  <c r="I83" i="66"/>
  <c r="P83" i="66" s="1"/>
  <c r="N92" i="66"/>
  <c r="I118" i="66"/>
  <c r="I168" i="66"/>
  <c r="P168" i="66" s="1"/>
  <c r="P224" i="66"/>
  <c r="I232" i="66"/>
  <c r="P232" i="66" s="1"/>
  <c r="I238" i="66"/>
  <c r="P238" i="66" s="1"/>
  <c r="I241" i="66"/>
  <c r="P241" i="66" s="1"/>
  <c r="H96" i="67"/>
  <c r="I144" i="67"/>
  <c r="G151" i="67"/>
  <c r="P41" i="68"/>
  <c r="I9" i="69"/>
  <c r="P9" i="69" s="1"/>
  <c r="I11" i="69"/>
  <c r="P11" i="69" s="1"/>
  <c r="P38" i="69"/>
  <c r="P38" i="70"/>
  <c r="O46" i="70"/>
  <c r="I142" i="70"/>
  <c r="I144" i="70"/>
  <c r="S141" i="67"/>
  <c r="I126" i="67"/>
  <c r="P126" i="67" s="1"/>
  <c r="Y216" i="67"/>
  <c r="P217" i="67"/>
  <c r="I128" i="67"/>
  <c r="I130" i="67"/>
  <c r="P154" i="67"/>
  <c r="N158" i="67"/>
  <c r="R37" i="67"/>
  <c r="S8" i="67"/>
  <c r="Y8" i="67"/>
  <c r="I11" i="67"/>
  <c r="P11" i="67" s="1"/>
  <c r="I127" i="67"/>
  <c r="I142" i="67"/>
  <c r="P142" i="67" s="1"/>
  <c r="P155" i="67"/>
  <c r="I10" i="66"/>
  <c r="P10" i="66" s="1"/>
  <c r="I27" i="66"/>
  <c r="P27" i="66" s="1"/>
  <c r="I30" i="66"/>
  <c r="P30" i="66" s="1"/>
  <c r="I42" i="66"/>
  <c r="U42" i="66" s="1"/>
  <c r="P43" i="66"/>
  <c r="I56" i="66"/>
  <c r="P56" i="66" s="1"/>
  <c r="N77" i="66"/>
  <c r="I79" i="66"/>
  <c r="N96" i="66"/>
  <c r="I99" i="66"/>
  <c r="I151" i="66"/>
  <c r="P151" i="66" s="1"/>
  <c r="I171" i="66"/>
  <c r="P171" i="66" s="1"/>
  <c r="I230" i="66"/>
  <c r="P230" i="66" s="1"/>
  <c r="N235" i="66"/>
  <c r="I243" i="66"/>
  <c r="P243" i="66" s="1"/>
  <c r="I254" i="66"/>
  <c r="I47" i="67"/>
  <c r="U47" i="67" s="1"/>
  <c r="G48" i="67"/>
  <c r="H72" i="67"/>
  <c r="J99" i="67"/>
  <c r="F151" i="67"/>
  <c r="I151" i="67" s="1"/>
  <c r="I157" i="67"/>
  <c r="P157" i="67" s="1"/>
  <c r="K163" i="67"/>
  <c r="N163" i="67" s="1"/>
  <c r="O173" i="67"/>
  <c r="O193" i="67"/>
  <c r="I8" i="68"/>
  <c r="I9" i="68"/>
  <c r="P9" i="68" s="1"/>
  <c r="P38" i="68"/>
  <c r="I215" i="68"/>
  <c r="P215" i="68" s="1"/>
  <c r="Z215" i="68" s="1"/>
  <c r="P40" i="70"/>
  <c r="I74" i="66"/>
  <c r="P74" i="66" s="1"/>
  <c r="R106" i="66"/>
  <c r="I120" i="66"/>
  <c r="P120" i="66" s="1"/>
  <c r="I150" i="66"/>
  <c r="N175" i="66"/>
  <c r="S221" i="66"/>
  <c r="I7" i="67"/>
  <c r="P7" i="67" s="1"/>
  <c r="Z7" i="67" s="1"/>
  <c r="F16" i="67"/>
  <c r="I38" i="67"/>
  <c r="P38" i="67" s="1"/>
  <c r="N47" i="67"/>
  <c r="F73" i="67"/>
  <c r="O100" i="67"/>
  <c r="F114" i="67"/>
  <c r="I114" i="67" s="1"/>
  <c r="G120" i="67"/>
  <c r="S126" i="67"/>
  <c r="O138" i="67"/>
  <c r="H83" i="68"/>
  <c r="I142" i="68"/>
  <c r="P142" i="68" s="1"/>
  <c r="I144" i="68"/>
  <c r="P144" i="68" s="1"/>
  <c r="I126" i="70"/>
  <c r="I29" i="66"/>
  <c r="P29" i="66" s="1"/>
  <c r="I73" i="66"/>
  <c r="P73" i="66" s="1"/>
  <c r="I78" i="66"/>
  <c r="P78" i="66" s="1"/>
  <c r="I91" i="66"/>
  <c r="P91" i="66" s="1"/>
  <c r="I109" i="66"/>
  <c r="P109" i="66" s="1"/>
  <c r="N115" i="66"/>
  <c r="N126" i="66"/>
  <c r="G16" i="67"/>
  <c r="O83" i="67"/>
  <c r="J114" i="67"/>
  <c r="O120" i="67"/>
  <c r="I143" i="67"/>
  <c r="P143" i="67" s="1"/>
  <c r="I145" i="67"/>
  <c r="W153" i="67"/>
  <c r="N215" i="67"/>
  <c r="I128" i="68"/>
  <c r="P128" i="68" s="1"/>
  <c r="G117" i="69"/>
  <c r="I117" i="69" s="1"/>
  <c r="J124" i="69"/>
  <c r="I129" i="69"/>
  <c r="P129" i="69" s="1"/>
  <c r="I142" i="69"/>
  <c r="V126" i="70"/>
  <c r="I26" i="66"/>
  <c r="N82" i="66"/>
  <c r="N85" i="66"/>
  <c r="I113" i="66"/>
  <c r="P113" i="66" s="1"/>
  <c r="I240" i="66"/>
  <c r="P240" i="66" s="1"/>
  <c r="I249" i="66"/>
  <c r="P249" i="66" s="1"/>
  <c r="I156" i="67"/>
  <c r="P156" i="67" s="1"/>
  <c r="I220" i="67"/>
  <c r="P220" i="67" s="1"/>
  <c r="J224" i="67"/>
  <c r="N224" i="67" s="1"/>
  <c r="K175" i="68"/>
  <c r="Y211" i="68"/>
  <c r="P37" i="69"/>
  <c r="G81" i="69"/>
  <c r="I125" i="66"/>
  <c r="P125" i="66" s="1"/>
  <c r="I15" i="66"/>
  <c r="P72" i="66"/>
  <c r="I96" i="66"/>
  <c r="P108" i="66"/>
  <c r="P121" i="66"/>
  <c r="N125" i="66"/>
  <c r="N150" i="66"/>
  <c r="I10" i="67"/>
  <c r="P10" i="67" s="1"/>
  <c r="G17" i="67"/>
  <c r="G74" i="67"/>
  <c r="R126" i="67"/>
  <c r="H149" i="67"/>
  <c r="W95" i="68"/>
  <c r="N163" i="68"/>
  <c r="U37" i="70"/>
  <c r="P142" i="70"/>
  <c r="P144" i="70"/>
  <c r="W21" i="66"/>
  <c r="P46" i="66"/>
  <c r="I25" i="66"/>
  <c r="I49" i="66"/>
  <c r="P49" i="66" s="1"/>
  <c r="V53" i="66"/>
  <c r="I7" i="66"/>
  <c r="P7" i="66" s="1"/>
  <c r="Z7" i="66" s="1"/>
  <c r="N44" i="66"/>
  <c r="N66" i="66"/>
  <c r="I71" i="66"/>
  <c r="U71" i="66" s="1"/>
  <c r="N91" i="66"/>
  <c r="N97" i="66"/>
  <c r="I116" i="66"/>
  <c r="P116" i="66" s="1"/>
  <c r="I128" i="66"/>
  <c r="P128" i="66" s="1"/>
  <c r="N166" i="66"/>
  <c r="R216" i="66"/>
  <c r="I231" i="66"/>
  <c r="P231" i="66" s="1"/>
  <c r="I235" i="66"/>
  <c r="P235" i="66" s="1"/>
  <c r="J112" i="67"/>
  <c r="H85" i="68"/>
  <c r="P39" i="70"/>
  <c r="G173" i="67"/>
  <c r="I173" i="67" s="1"/>
  <c r="G191" i="67"/>
  <c r="P141" i="69"/>
  <c r="P145" i="69"/>
  <c r="P212" i="69"/>
  <c r="P10" i="70"/>
  <c r="W95" i="70"/>
  <c r="Z169" i="68"/>
  <c r="F30" i="67"/>
  <c r="F33" i="67"/>
  <c r="K79" i="67"/>
  <c r="O89" i="67"/>
  <c r="G102" i="67"/>
  <c r="I102" i="67" s="1"/>
  <c r="F122" i="67"/>
  <c r="M148" i="67"/>
  <c r="G199" i="67"/>
  <c r="G201" i="67"/>
  <c r="G240" i="67"/>
  <c r="F250" i="67"/>
  <c r="G25" i="68"/>
  <c r="Z174" i="66"/>
  <c r="K30" i="67"/>
  <c r="F48" i="67"/>
  <c r="I48" i="67" s="1"/>
  <c r="P48" i="67" s="1"/>
  <c r="G49" i="67"/>
  <c r="G53" i="67"/>
  <c r="J68" i="67"/>
  <c r="N68" i="67" s="1"/>
  <c r="K75" i="67"/>
  <c r="G84" i="67"/>
  <c r="M97" i="67"/>
  <c r="H99" i="67"/>
  <c r="J100" i="67"/>
  <c r="O106" i="67"/>
  <c r="J108" i="67"/>
  <c r="N108" i="67" s="1"/>
  <c r="J135" i="67"/>
  <c r="G136" i="67"/>
  <c r="H148" i="67"/>
  <c r="M164" i="67"/>
  <c r="X162" i="67" s="1"/>
  <c r="O175" i="67"/>
  <c r="G180" i="67"/>
  <c r="K195" i="67"/>
  <c r="N195" i="67" s="1"/>
  <c r="O197" i="67"/>
  <c r="K199" i="67"/>
  <c r="N199" i="67" s="1"/>
  <c r="O201" i="67"/>
  <c r="J226" i="67"/>
  <c r="N226" i="67" s="1"/>
  <c r="J228" i="67"/>
  <c r="N228" i="67" s="1"/>
  <c r="G255" i="67"/>
  <c r="J237" i="68"/>
  <c r="K148" i="67"/>
  <c r="N148" i="67" s="1"/>
  <c r="G31" i="67"/>
  <c r="G50" i="67"/>
  <c r="F54" i="67"/>
  <c r="F58" i="67"/>
  <c r="F68" i="67"/>
  <c r="O68" i="67"/>
  <c r="F77" i="67"/>
  <c r="M92" i="67"/>
  <c r="F119" i="67"/>
  <c r="I119" i="67" s="1"/>
  <c r="F148" i="67"/>
  <c r="O238" i="68"/>
  <c r="F138" i="69"/>
  <c r="F23" i="67"/>
  <c r="I23" i="67" s="1"/>
  <c r="K25" i="67"/>
  <c r="N25" i="67" s="1"/>
  <c r="G30" i="67"/>
  <c r="G33" i="67"/>
  <c r="F49" i="67"/>
  <c r="F53" i="67"/>
  <c r="G54" i="67"/>
  <c r="I54" i="67" s="1"/>
  <c r="G58" i="67"/>
  <c r="M67" i="67"/>
  <c r="O76" i="67"/>
  <c r="K77" i="67"/>
  <c r="F84" i="67"/>
  <c r="H97" i="67"/>
  <c r="I97" i="67" s="1"/>
  <c r="F100" i="67"/>
  <c r="G109" i="67"/>
  <c r="O114" i="67"/>
  <c r="G122" i="67"/>
  <c r="F135" i="67"/>
  <c r="I135" i="67" s="1"/>
  <c r="F136" i="67"/>
  <c r="G148" i="67"/>
  <c r="I148" i="67" s="1"/>
  <c r="O148" i="67"/>
  <c r="F164" i="67"/>
  <c r="R162" i="67" s="1"/>
  <c r="K197" i="67"/>
  <c r="N197" i="67" s="1"/>
  <c r="O240" i="67"/>
  <c r="K245" i="67"/>
  <c r="W245" i="67" s="1"/>
  <c r="G250" i="67"/>
  <c r="F255" i="67"/>
  <c r="G118" i="68"/>
  <c r="U169" i="68"/>
  <c r="K230" i="68"/>
  <c r="G237" i="68"/>
  <c r="G149" i="69"/>
  <c r="Y8" i="70"/>
  <c r="P9" i="70"/>
  <c r="J65" i="70"/>
  <c r="S126" i="70"/>
  <c r="I128" i="70"/>
  <c r="P128" i="70" s="1"/>
  <c r="I130" i="70"/>
  <c r="P130" i="70" s="1"/>
  <c r="S141" i="70"/>
  <c r="V141" i="70"/>
  <c r="V211" i="70"/>
  <c r="R37" i="70"/>
  <c r="R47" i="70"/>
  <c r="N65" i="70"/>
  <c r="K193" i="70"/>
  <c r="K200" i="70"/>
  <c r="Y211" i="70"/>
  <c r="I215" i="70"/>
  <c r="P215" i="70" s="1"/>
  <c r="Z215" i="70" s="1"/>
  <c r="I11" i="70"/>
  <c r="P11" i="70" s="1"/>
  <c r="I93" i="70"/>
  <c r="P93" i="70" s="1"/>
  <c r="Z93" i="70" s="1"/>
  <c r="Y141" i="70"/>
  <c r="K204" i="70"/>
  <c r="P204" i="70" s="1"/>
  <c r="I210" i="70"/>
  <c r="U210" i="70" s="1"/>
  <c r="P212" i="70"/>
  <c r="G245" i="70"/>
  <c r="G64" i="70"/>
  <c r="I64" i="70" s="1"/>
  <c r="P64" i="70" s="1"/>
  <c r="F70" i="70"/>
  <c r="O77" i="70"/>
  <c r="K70" i="70"/>
  <c r="O89" i="70"/>
  <c r="G98" i="70"/>
  <c r="O118" i="70"/>
  <c r="G150" i="70"/>
  <c r="F61" i="70"/>
  <c r="K230" i="70"/>
  <c r="K100" i="70"/>
  <c r="K150" i="70"/>
  <c r="N231" i="70"/>
  <c r="G21" i="70"/>
  <c r="I21" i="70" s="1"/>
  <c r="G53" i="70"/>
  <c r="I53" i="70" s="1"/>
  <c r="G79" i="70"/>
  <c r="F96" i="70"/>
  <c r="G157" i="70"/>
  <c r="I157" i="70" s="1"/>
  <c r="P157" i="70" s="1"/>
  <c r="G248" i="70"/>
  <c r="O69" i="70"/>
  <c r="F73" i="70"/>
  <c r="F78" i="70"/>
  <c r="H82" i="70"/>
  <c r="G90" i="70"/>
  <c r="H96" i="70"/>
  <c r="F100" i="70"/>
  <c r="F228" i="70"/>
  <c r="F230" i="70"/>
  <c r="F231" i="70"/>
  <c r="I231" i="70" s="1"/>
  <c r="F234" i="70"/>
  <c r="K240" i="70"/>
  <c r="W240" i="70" s="1"/>
  <c r="N96" i="70"/>
  <c r="G69" i="70"/>
  <c r="F82" i="70"/>
  <c r="N73" i="70"/>
  <c r="F77" i="70"/>
  <c r="I77" i="70" s="1"/>
  <c r="O78" i="70"/>
  <c r="N82" i="70"/>
  <c r="G100" i="70"/>
  <c r="G230" i="70"/>
  <c r="G234" i="70"/>
  <c r="P41" i="70"/>
  <c r="K50" i="70"/>
  <c r="K62" i="70"/>
  <c r="P62" i="70" s="1"/>
  <c r="O70" i="70"/>
  <c r="G76" i="70"/>
  <c r="F80" i="70"/>
  <c r="K82" i="70"/>
  <c r="F86" i="70"/>
  <c r="H88" i="70"/>
  <c r="H90" i="70"/>
  <c r="F161" i="70"/>
  <c r="I161" i="70" s="1"/>
  <c r="F162" i="70"/>
  <c r="O162" i="70"/>
  <c r="F163" i="70"/>
  <c r="F168" i="70"/>
  <c r="G179" i="70"/>
  <c r="G198" i="70"/>
  <c r="H199" i="70"/>
  <c r="I199" i="70" s="1"/>
  <c r="P199" i="70" s="1"/>
  <c r="K201" i="70"/>
  <c r="P201" i="70" s="1"/>
  <c r="G222" i="70"/>
  <c r="I222" i="70" s="1"/>
  <c r="P222" i="70" s="1"/>
  <c r="K244" i="70"/>
  <c r="N162" i="70"/>
  <c r="P37" i="70"/>
  <c r="S64" i="70"/>
  <c r="U64" i="70" s="1"/>
  <c r="Z64" i="70" s="1"/>
  <c r="G80" i="70"/>
  <c r="K90" i="70"/>
  <c r="H161" i="70"/>
  <c r="T157" i="70" s="1"/>
  <c r="G162" i="70"/>
  <c r="K189" i="70"/>
  <c r="H198" i="70"/>
  <c r="T198" i="70" s="1"/>
  <c r="G33" i="70"/>
  <c r="J42" i="70"/>
  <c r="H61" i="70"/>
  <c r="T59" i="70" s="1"/>
  <c r="G70" i="70"/>
  <c r="N80" i="70"/>
  <c r="G82" i="70"/>
  <c r="F90" i="70"/>
  <c r="N90" i="70"/>
  <c r="G96" i="70"/>
  <c r="J114" i="70"/>
  <c r="K160" i="70"/>
  <c r="P160" i="70" s="1"/>
  <c r="K161" i="70"/>
  <c r="H162" i="70"/>
  <c r="T162" i="70" s="1"/>
  <c r="K179" i="70"/>
  <c r="N198" i="70"/>
  <c r="X198" i="70" s="1"/>
  <c r="O234" i="70"/>
  <c r="F245" i="70"/>
  <c r="I245" i="70" s="1"/>
  <c r="P245" i="70" s="1"/>
  <c r="F246" i="70"/>
  <c r="F248" i="70"/>
  <c r="K48" i="70"/>
  <c r="G48" i="70"/>
  <c r="J55" i="70"/>
  <c r="F55" i="70"/>
  <c r="O92" i="70"/>
  <c r="H92" i="70"/>
  <c r="G92" i="70"/>
  <c r="N92" i="70"/>
  <c r="F92" i="70"/>
  <c r="G102" i="70"/>
  <c r="I102" i="70" s="1"/>
  <c r="O102" i="70"/>
  <c r="O154" i="70"/>
  <c r="F154" i="70"/>
  <c r="K196" i="70"/>
  <c r="O196" i="70"/>
  <c r="K227" i="70"/>
  <c r="W224" i="70" s="1"/>
  <c r="J227" i="70"/>
  <c r="G22" i="70"/>
  <c r="O22" i="70"/>
  <c r="G55" i="70"/>
  <c r="O67" i="70"/>
  <c r="J67" i="70"/>
  <c r="O72" i="70"/>
  <c r="H72" i="70"/>
  <c r="K81" i="70"/>
  <c r="F81" i="70"/>
  <c r="O81" i="70"/>
  <c r="J92" i="70"/>
  <c r="H97" i="70"/>
  <c r="J97" i="70"/>
  <c r="G111" i="70"/>
  <c r="I111" i="70" s="1"/>
  <c r="K115" i="70"/>
  <c r="H115" i="70"/>
  <c r="T112" i="70" s="1"/>
  <c r="G115" i="70"/>
  <c r="J117" i="70"/>
  <c r="F117" i="70"/>
  <c r="O117" i="70"/>
  <c r="G117" i="70"/>
  <c r="G135" i="70"/>
  <c r="S135" i="70" s="1"/>
  <c r="K135" i="70"/>
  <c r="W135" i="70" s="1"/>
  <c r="J135" i="70"/>
  <c r="V135" i="70" s="1"/>
  <c r="G149" i="70"/>
  <c r="O149" i="70"/>
  <c r="N149" i="70"/>
  <c r="G196" i="70"/>
  <c r="G217" i="70"/>
  <c r="I217" i="70" s="1"/>
  <c r="J217" i="70"/>
  <c r="G225" i="70"/>
  <c r="O232" i="70"/>
  <c r="K232" i="70"/>
  <c r="G232" i="70"/>
  <c r="I232" i="70" s="1"/>
  <c r="K23" i="70"/>
  <c r="O23" i="70"/>
  <c r="G24" i="70"/>
  <c r="O43" i="70"/>
  <c r="J43" i="70"/>
  <c r="K63" i="70"/>
  <c r="P63" i="70" s="1"/>
  <c r="G67" i="70"/>
  <c r="G72" i="70"/>
  <c r="G81" i="70"/>
  <c r="H83" i="70"/>
  <c r="O83" i="70"/>
  <c r="K92" i="70"/>
  <c r="O101" i="70"/>
  <c r="G101" i="70"/>
  <c r="J101" i="70"/>
  <c r="F101" i="70"/>
  <c r="O109" i="70"/>
  <c r="J109" i="70"/>
  <c r="G109" i="70"/>
  <c r="I109" i="70" s="1"/>
  <c r="J116" i="70"/>
  <c r="K116" i="70"/>
  <c r="G116" i="70"/>
  <c r="O124" i="70"/>
  <c r="G124" i="70"/>
  <c r="J124" i="70"/>
  <c r="H149" i="70"/>
  <c r="O176" i="70"/>
  <c r="K176" i="70"/>
  <c r="G185" i="70"/>
  <c r="K185" i="70"/>
  <c r="O185" i="70"/>
  <c r="K192" i="70"/>
  <c r="G192" i="70"/>
  <c r="J236" i="70"/>
  <c r="G236" i="70"/>
  <c r="F236" i="70"/>
  <c r="U240" i="70"/>
  <c r="K260" i="70"/>
  <c r="G260" i="70"/>
  <c r="F260" i="70"/>
  <c r="O21" i="70"/>
  <c r="F21" i="70"/>
  <c r="F23" i="70"/>
  <c r="I23" i="70" s="1"/>
  <c r="G49" i="70"/>
  <c r="I49" i="70" s="1"/>
  <c r="F60" i="70"/>
  <c r="I60" i="70" s="1"/>
  <c r="K60" i="70"/>
  <c r="H73" i="70"/>
  <c r="K73" i="70"/>
  <c r="O73" i="70"/>
  <c r="N81" i="70"/>
  <c r="O86" i="70"/>
  <c r="N86" i="70"/>
  <c r="G86" i="70"/>
  <c r="J86" i="70"/>
  <c r="H86" i="70"/>
  <c r="O98" i="70"/>
  <c r="F98" i="70"/>
  <c r="J98" i="70"/>
  <c r="H98" i="70"/>
  <c r="N101" i="70"/>
  <c r="X100" i="70" s="1"/>
  <c r="F116" i="70"/>
  <c r="F124" i="70"/>
  <c r="J138" i="70"/>
  <c r="G138" i="70"/>
  <c r="O138" i="70"/>
  <c r="F138" i="70"/>
  <c r="G148" i="70"/>
  <c r="O148" i="70"/>
  <c r="K148" i="70"/>
  <c r="K159" i="70"/>
  <c r="F159" i="70"/>
  <c r="G159" i="70"/>
  <c r="O168" i="70"/>
  <c r="G168" i="70"/>
  <c r="K168" i="70"/>
  <c r="G176" i="70"/>
  <c r="H205" i="70"/>
  <c r="I205" i="70" s="1"/>
  <c r="K205" i="70"/>
  <c r="J233" i="70"/>
  <c r="F233" i="70"/>
  <c r="I233" i="70" s="1"/>
  <c r="O233" i="70"/>
  <c r="K233" i="70"/>
  <c r="O236" i="70"/>
  <c r="K250" i="70"/>
  <c r="G250" i="70"/>
  <c r="I250" i="70" s="1"/>
  <c r="N260" i="70"/>
  <c r="O88" i="70"/>
  <c r="N88" i="70"/>
  <c r="G88" i="70"/>
  <c r="K88" i="70"/>
  <c r="K103" i="70"/>
  <c r="J103" i="70"/>
  <c r="O107" i="70"/>
  <c r="J107" i="70"/>
  <c r="G170" i="70"/>
  <c r="K170" i="70"/>
  <c r="J216" i="70"/>
  <c r="G216" i="70"/>
  <c r="I216" i="70" s="1"/>
  <c r="G238" i="70"/>
  <c r="O238" i="70"/>
  <c r="K243" i="70"/>
  <c r="F243" i="70"/>
  <c r="N258" i="70"/>
  <c r="K258" i="70"/>
  <c r="G262" i="70"/>
  <c r="K262" i="70"/>
  <c r="K46" i="70"/>
  <c r="G46" i="70"/>
  <c r="I46" i="70" s="1"/>
  <c r="J57" i="70"/>
  <c r="G57" i="70"/>
  <c r="I57" i="70" s="1"/>
  <c r="K59" i="70"/>
  <c r="F59" i="70"/>
  <c r="I59" i="70" s="1"/>
  <c r="K77" i="70"/>
  <c r="N77" i="70"/>
  <c r="K78" i="70"/>
  <c r="G78" i="70"/>
  <c r="K79" i="70"/>
  <c r="O79" i="70"/>
  <c r="F79" i="70"/>
  <c r="O80" i="70"/>
  <c r="F88" i="70"/>
  <c r="G103" i="70"/>
  <c r="I103" i="70" s="1"/>
  <c r="G107" i="70"/>
  <c r="I107" i="70" s="1"/>
  <c r="J118" i="70"/>
  <c r="G118" i="70"/>
  <c r="I118" i="70" s="1"/>
  <c r="G120" i="70"/>
  <c r="F120" i="70"/>
  <c r="K125" i="70"/>
  <c r="W125" i="70" s="1"/>
  <c r="G125" i="70"/>
  <c r="S125" i="70" s="1"/>
  <c r="U125" i="70" s="1"/>
  <c r="G137" i="70"/>
  <c r="J137" i="70"/>
  <c r="N161" i="70"/>
  <c r="X157" i="70" s="1"/>
  <c r="K188" i="70"/>
  <c r="G188" i="70"/>
  <c r="G218" i="70"/>
  <c r="I218" i="70" s="1"/>
  <c r="P218" i="70" s="1"/>
  <c r="J223" i="70"/>
  <c r="G223" i="70"/>
  <c r="I223" i="70" s="1"/>
  <c r="J231" i="70"/>
  <c r="K231" i="70"/>
  <c r="O231" i="70"/>
  <c r="F238" i="70"/>
  <c r="G243" i="70"/>
  <c r="F258" i="70"/>
  <c r="I258" i="70" s="1"/>
  <c r="N70" i="70"/>
  <c r="J82" i="70"/>
  <c r="J90" i="70"/>
  <c r="J96" i="70"/>
  <c r="O100" i="70"/>
  <c r="O230" i="70"/>
  <c r="I8" i="69"/>
  <c r="P8" i="69" s="1"/>
  <c r="F89" i="69"/>
  <c r="F95" i="69"/>
  <c r="K100" i="69"/>
  <c r="P142" i="69"/>
  <c r="G179" i="69"/>
  <c r="O224" i="69"/>
  <c r="F227" i="69"/>
  <c r="I227" i="69" s="1"/>
  <c r="N231" i="69"/>
  <c r="P10" i="69"/>
  <c r="G43" i="69"/>
  <c r="I43" i="69" s="1"/>
  <c r="F55" i="69"/>
  <c r="I55" i="69" s="1"/>
  <c r="F69" i="69"/>
  <c r="H92" i="69"/>
  <c r="J106" i="69"/>
  <c r="I143" i="69"/>
  <c r="N148" i="69"/>
  <c r="O227" i="69"/>
  <c r="G260" i="69"/>
  <c r="J43" i="69"/>
  <c r="N69" i="69"/>
  <c r="N90" i="69"/>
  <c r="K101" i="69"/>
  <c r="G113" i="69"/>
  <c r="I128" i="69"/>
  <c r="P128" i="69" s="1"/>
  <c r="I133" i="69"/>
  <c r="P133" i="69" s="1"/>
  <c r="F155" i="69"/>
  <c r="N162" i="69"/>
  <c r="K179" i="69"/>
  <c r="I210" i="69"/>
  <c r="P210" i="69" s="1"/>
  <c r="J218" i="69"/>
  <c r="G223" i="69"/>
  <c r="I223" i="69" s="1"/>
  <c r="P223" i="69" s="1"/>
  <c r="O230" i="69"/>
  <c r="F238" i="69"/>
  <c r="I238" i="69" s="1"/>
  <c r="N260" i="69"/>
  <c r="G46" i="69"/>
  <c r="I46" i="69" s="1"/>
  <c r="F57" i="69"/>
  <c r="I57" i="69" s="1"/>
  <c r="G67" i="69"/>
  <c r="F85" i="69"/>
  <c r="H86" i="69"/>
  <c r="N92" i="69"/>
  <c r="O99" i="69"/>
  <c r="O100" i="69"/>
  <c r="F114" i="69"/>
  <c r="G216" i="69"/>
  <c r="I216" i="69" s="1"/>
  <c r="P216" i="69" s="1"/>
  <c r="F226" i="69"/>
  <c r="H85" i="69"/>
  <c r="G114" i="69"/>
  <c r="G226" i="69"/>
  <c r="J234" i="69"/>
  <c r="G50" i="69"/>
  <c r="I50" i="69" s="1"/>
  <c r="F81" i="69"/>
  <c r="I81" i="69" s="1"/>
  <c r="F92" i="69"/>
  <c r="K103" i="69"/>
  <c r="K113" i="69"/>
  <c r="J117" i="69"/>
  <c r="J139" i="69"/>
  <c r="F148" i="69"/>
  <c r="H149" i="69"/>
  <c r="K242" i="69"/>
  <c r="O42" i="69"/>
  <c r="G58" i="69"/>
  <c r="I58" i="69" s="1"/>
  <c r="K64" i="69"/>
  <c r="F80" i="69"/>
  <c r="F83" i="69"/>
  <c r="P143" i="69"/>
  <c r="J151" i="69"/>
  <c r="G159" i="69"/>
  <c r="G167" i="69"/>
  <c r="G175" i="69"/>
  <c r="K23" i="69"/>
  <c r="G24" i="69"/>
  <c r="O66" i="69"/>
  <c r="J70" i="69"/>
  <c r="F73" i="69"/>
  <c r="G79" i="69"/>
  <c r="N81" i="69"/>
  <c r="H83" i="69"/>
  <c r="F90" i="69"/>
  <c r="K104" i="69"/>
  <c r="G106" i="69"/>
  <c r="I106" i="69" s="1"/>
  <c r="G107" i="69"/>
  <c r="I107" i="69" s="1"/>
  <c r="O114" i="69"/>
  <c r="G118" i="69"/>
  <c r="J123" i="69"/>
  <c r="O148" i="69"/>
  <c r="K157" i="69"/>
  <c r="P157" i="69" s="1"/>
  <c r="F162" i="69"/>
  <c r="K205" i="69"/>
  <c r="G214" i="69"/>
  <c r="I214" i="69" s="1"/>
  <c r="P218" i="69"/>
  <c r="J222" i="69"/>
  <c r="P222" i="69" s="1"/>
  <c r="F224" i="69"/>
  <c r="I224" i="69" s="1"/>
  <c r="K226" i="69"/>
  <c r="G230" i="69"/>
  <c r="J231" i="69"/>
  <c r="F243" i="69"/>
  <c r="F23" i="69"/>
  <c r="I23" i="69" s="1"/>
  <c r="F24" i="69"/>
  <c r="G25" i="69"/>
  <c r="F49" i="69"/>
  <c r="F51" i="69"/>
  <c r="I51" i="69" s="1"/>
  <c r="P51" i="69" s="1"/>
  <c r="G56" i="69"/>
  <c r="I56" i="69" s="1"/>
  <c r="H61" i="69"/>
  <c r="H74" i="69"/>
  <c r="F79" i="69"/>
  <c r="F116" i="69"/>
  <c r="J136" i="69"/>
  <c r="F140" i="69"/>
  <c r="K165" i="69"/>
  <c r="O23" i="69"/>
  <c r="O24" i="69"/>
  <c r="O79" i="69"/>
  <c r="N83" i="69"/>
  <c r="H90" i="69"/>
  <c r="K175" i="69"/>
  <c r="K200" i="69"/>
  <c r="G243" i="69"/>
  <c r="F249" i="69"/>
  <c r="F260" i="69"/>
  <c r="G261" i="69"/>
  <c r="I261" i="69" s="1"/>
  <c r="N76" i="69"/>
  <c r="O82" i="69"/>
  <c r="H82" i="69"/>
  <c r="K82" i="69"/>
  <c r="O91" i="69"/>
  <c r="H91" i="69"/>
  <c r="K91" i="69"/>
  <c r="K115" i="69"/>
  <c r="O33" i="69"/>
  <c r="N67" i="69"/>
  <c r="J68" i="69"/>
  <c r="G72" i="69"/>
  <c r="O72" i="69"/>
  <c r="G76" i="69"/>
  <c r="K77" i="69"/>
  <c r="G77" i="69"/>
  <c r="K78" i="69"/>
  <c r="F78" i="69"/>
  <c r="G82" i="69"/>
  <c r="O84" i="69"/>
  <c r="H84" i="69"/>
  <c r="K84" i="69"/>
  <c r="G91" i="69"/>
  <c r="O96" i="69"/>
  <c r="H96" i="69"/>
  <c r="O98" i="69"/>
  <c r="N98" i="69"/>
  <c r="G98" i="69"/>
  <c r="O108" i="69"/>
  <c r="J108" i="69"/>
  <c r="O112" i="69"/>
  <c r="H115" i="69"/>
  <c r="K125" i="69"/>
  <c r="G125" i="69"/>
  <c r="K147" i="69"/>
  <c r="O150" i="69"/>
  <c r="K158" i="69"/>
  <c r="P158" i="69" s="1"/>
  <c r="G190" i="69"/>
  <c r="O190" i="69"/>
  <c r="H203" i="69"/>
  <c r="I203" i="69" s="1"/>
  <c r="K203" i="69"/>
  <c r="K204" i="69"/>
  <c r="P204" i="69" s="1"/>
  <c r="J228" i="69"/>
  <c r="O228" i="69"/>
  <c r="F228" i="69"/>
  <c r="J229" i="69"/>
  <c r="K229" i="69"/>
  <c r="O229" i="69"/>
  <c r="G233" i="69"/>
  <c r="F233" i="69"/>
  <c r="J236" i="69"/>
  <c r="G236" i="69"/>
  <c r="K240" i="69"/>
  <c r="P240" i="69" s="1"/>
  <c r="G244" i="69"/>
  <c r="F244" i="69"/>
  <c r="F248" i="69"/>
  <c r="K248" i="69"/>
  <c r="G42" i="69"/>
  <c r="I42" i="69" s="1"/>
  <c r="J44" i="69"/>
  <c r="O46" i="69"/>
  <c r="G52" i="69"/>
  <c r="I52" i="69" s="1"/>
  <c r="G54" i="69"/>
  <c r="I54" i="69" s="1"/>
  <c r="F59" i="69"/>
  <c r="I59" i="69" s="1"/>
  <c r="F61" i="69"/>
  <c r="P64" i="69"/>
  <c r="F67" i="69"/>
  <c r="O67" i="69"/>
  <c r="F70" i="69"/>
  <c r="H72" i="69"/>
  <c r="F74" i="69"/>
  <c r="F77" i="69"/>
  <c r="G78" i="69"/>
  <c r="K80" i="69"/>
  <c r="G80" i="69"/>
  <c r="O80" i="69"/>
  <c r="J82" i="69"/>
  <c r="F84" i="69"/>
  <c r="N84" i="69"/>
  <c r="J91" i="69"/>
  <c r="F96" i="69"/>
  <c r="N96" i="69"/>
  <c r="F98" i="69"/>
  <c r="G99" i="69"/>
  <c r="N99" i="69"/>
  <c r="J100" i="69"/>
  <c r="G100" i="69"/>
  <c r="I100" i="69" s="1"/>
  <c r="J101" i="69"/>
  <c r="N101" i="69"/>
  <c r="F101" i="69"/>
  <c r="I101" i="69" s="1"/>
  <c r="O101" i="69"/>
  <c r="O104" i="69"/>
  <c r="J104" i="69"/>
  <c r="G108" i="69"/>
  <c r="I108" i="69" s="1"/>
  <c r="O110" i="69"/>
  <c r="J110" i="69"/>
  <c r="G111" i="69"/>
  <c r="I111" i="69" s="1"/>
  <c r="J113" i="69"/>
  <c r="F113" i="69"/>
  <c r="I113" i="69" s="1"/>
  <c r="O116" i="69"/>
  <c r="J118" i="69"/>
  <c r="F118" i="69"/>
  <c r="G120" i="69"/>
  <c r="I120" i="69" s="1"/>
  <c r="J120" i="69"/>
  <c r="F121" i="69"/>
  <c r="I121" i="69" s="1"/>
  <c r="O124" i="69"/>
  <c r="G124" i="69"/>
  <c r="I124" i="69" s="1"/>
  <c r="F125" i="69"/>
  <c r="J138" i="69"/>
  <c r="G138" i="69"/>
  <c r="I138" i="69" s="1"/>
  <c r="O149" i="69"/>
  <c r="K149" i="69"/>
  <c r="F149" i="69"/>
  <c r="N149" i="69"/>
  <c r="G154" i="69"/>
  <c r="J154" i="69"/>
  <c r="N159" i="69"/>
  <c r="F159" i="69"/>
  <c r="K160" i="69"/>
  <c r="P160" i="69" s="1"/>
  <c r="G186" i="69"/>
  <c r="O186" i="69"/>
  <c r="H198" i="69"/>
  <c r="I198" i="69" s="1"/>
  <c r="J198" i="69"/>
  <c r="J217" i="69"/>
  <c r="P217" i="69" s="1"/>
  <c r="G220" i="69"/>
  <c r="I220" i="69" s="1"/>
  <c r="P220" i="69" s="1"/>
  <c r="K224" i="69"/>
  <c r="J224" i="69"/>
  <c r="G228" i="69"/>
  <c r="F229" i="69"/>
  <c r="I229" i="69" s="1"/>
  <c r="K230" i="69"/>
  <c r="F230" i="69"/>
  <c r="J233" i="69"/>
  <c r="F236" i="69"/>
  <c r="I236" i="69" s="1"/>
  <c r="K244" i="69"/>
  <c r="F246" i="69"/>
  <c r="I246" i="69" s="1"/>
  <c r="G248" i="69"/>
  <c r="G249" i="69"/>
  <c r="K72" i="69"/>
  <c r="O115" i="69"/>
  <c r="G115" i="69"/>
  <c r="O137" i="69"/>
  <c r="G137" i="69"/>
  <c r="O176" i="69"/>
  <c r="K176" i="69"/>
  <c r="G194" i="69"/>
  <c r="K194" i="69"/>
  <c r="K245" i="69"/>
  <c r="G245" i="69"/>
  <c r="G33" i="69"/>
  <c r="O43" i="69"/>
  <c r="F53" i="69"/>
  <c r="I53" i="69" s="1"/>
  <c r="K60" i="69"/>
  <c r="P60" i="69" s="1"/>
  <c r="K67" i="69"/>
  <c r="G68" i="69"/>
  <c r="F72" i="69"/>
  <c r="F76" i="69"/>
  <c r="O76" i="69"/>
  <c r="O77" i="69"/>
  <c r="O78" i="69"/>
  <c r="F82" i="69"/>
  <c r="N82" i="69"/>
  <c r="J84" i="69"/>
  <c r="F91" i="69"/>
  <c r="N91" i="69"/>
  <c r="J96" i="69"/>
  <c r="J98" i="69"/>
  <c r="G109" i="69"/>
  <c r="I109" i="69" s="1"/>
  <c r="O109" i="69"/>
  <c r="F115" i="69"/>
  <c r="F137" i="69"/>
  <c r="J140" i="69"/>
  <c r="G140" i="69"/>
  <c r="I140" i="69" s="1"/>
  <c r="F147" i="69"/>
  <c r="F150" i="69"/>
  <c r="J155" i="69"/>
  <c r="G155" i="69"/>
  <c r="K164" i="69"/>
  <c r="O172" i="69"/>
  <c r="K172" i="69"/>
  <c r="G176" i="69"/>
  <c r="J219" i="69"/>
  <c r="P219" i="69" s="1"/>
  <c r="P221" i="69"/>
  <c r="J227" i="69"/>
  <c r="K227" i="69"/>
  <c r="K228" i="69"/>
  <c r="N229" i="69"/>
  <c r="O234" i="69"/>
  <c r="F234" i="69"/>
  <c r="I234" i="69" s="1"/>
  <c r="F245" i="69"/>
  <c r="N79" i="69"/>
  <c r="O81" i="69"/>
  <c r="K114" i="69"/>
  <c r="O226" i="69"/>
  <c r="V8" i="68"/>
  <c r="K23" i="68"/>
  <c r="J107" i="68"/>
  <c r="S126" i="68"/>
  <c r="I133" i="68"/>
  <c r="I210" i="68"/>
  <c r="U210" i="68" s="1"/>
  <c r="R211" i="68"/>
  <c r="R215" i="68"/>
  <c r="F72" i="68"/>
  <c r="G100" i="68"/>
  <c r="G113" i="68"/>
  <c r="V126" i="68"/>
  <c r="V141" i="68"/>
  <c r="G164" i="68"/>
  <c r="I11" i="68"/>
  <c r="V37" i="68"/>
  <c r="O106" i="68"/>
  <c r="F118" i="68"/>
  <c r="I118" i="68" s="1"/>
  <c r="I127" i="68"/>
  <c r="P127" i="68" s="1"/>
  <c r="I143" i="68"/>
  <c r="P143" i="68" s="1"/>
  <c r="F228" i="68"/>
  <c r="G238" i="68"/>
  <c r="N29" i="68"/>
  <c r="K48" i="68"/>
  <c r="N165" i="68"/>
  <c r="G249" i="68"/>
  <c r="G26" i="68"/>
  <c r="G27" i="68"/>
  <c r="F29" i="68"/>
  <c r="F30" i="68"/>
  <c r="F48" i="68"/>
  <c r="I48" i="68" s="1"/>
  <c r="F50" i="68"/>
  <c r="F71" i="68"/>
  <c r="N72" i="68"/>
  <c r="F74" i="68"/>
  <c r="F76" i="68"/>
  <c r="F82" i="68"/>
  <c r="H99" i="68"/>
  <c r="G114" i="68"/>
  <c r="G122" i="68"/>
  <c r="F138" i="68"/>
  <c r="F140" i="68"/>
  <c r="G162" i="68"/>
  <c r="K164" i="68"/>
  <c r="O175" i="68"/>
  <c r="G187" i="68"/>
  <c r="G228" i="68"/>
  <c r="F260" i="68"/>
  <c r="I260" i="68" s="1"/>
  <c r="F25" i="68"/>
  <c r="I25" i="68" s="1"/>
  <c r="O26" i="68"/>
  <c r="G29" i="68"/>
  <c r="G30" i="68"/>
  <c r="G50" i="68"/>
  <c r="F62" i="68"/>
  <c r="I62" i="68" s="1"/>
  <c r="P62" i="68" s="1"/>
  <c r="G76" i="68"/>
  <c r="G77" i="68"/>
  <c r="I77" i="68" s="1"/>
  <c r="J104" i="68"/>
  <c r="G106" i="68"/>
  <c r="I106" i="68" s="1"/>
  <c r="P106" i="68" s="1"/>
  <c r="G107" i="68"/>
  <c r="I107" i="68" s="1"/>
  <c r="P107" i="68" s="1"/>
  <c r="G109" i="68"/>
  <c r="I109" i="68" s="1"/>
  <c r="G111" i="68"/>
  <c r="S111" i="68" s="1"/>
  <c r="H162" i="68"/>
  <c r="T162" i="68" s="1"/>
  <c r="K185" i="68"/>
  <c r="K199" i="68"/>
  <c r="P199" i="68" s="1"/>
  <c r="O228" i="68"/>
  <c r="K260" i="68"/>
  <c r="K22" i="68"/>
  <c r="G22" i="68"/>
  <c r="J42" i="68"/>
  <c r="O42" i="68"/>
  <c r="K45" i="68"/>
  <c r="J45" i="68"/>
  <c r="J56" i="68"/>
  <c r="G56" i="68"/>
  <c r="O66" i="68"/>
  <c r="J66" i="68"/>
  <c r="G66" i="68"/>
  <c r="O96" i="68"/>
  <c r="G96" i="68"/>
  <c r="N96" i="68"/>
  <c r="F96" i="68"/>
  <c r="J121" i="68"/>
  <c r="F121" i="68"/>
  <c r="I121" i="68" s="1"/>
  <c r="O170" i="68"/>
  <c r="G170" i="68"/>
  <c r="O191" i="68"/>
  <c r="G191" i="68"/>
  <c r="J198" i="68"/>
  <c r="V198" i="68" s="1"/>
  <c r="H198" i="68"/>
  <c r="T198" i="68" s="1"/>
  <c r="H202" i="68"/>
  <c r="I202" i="68" s="1"/>
  <c r="K202" i="68"/>
  <c r="F22" i="68"/>
  <c r="I22" i="68" s="1"/>
  <c r="G42" i="68"/>
  <c r="I42" i="68" s="1"/>
  <c r="G45" i="68"/>
  <c r="I45" i="68" s="1"/>
  <c r="J54" i="68"/>
  <c r="G54" i="68"/>
  <c r="I54" i="68" s="1"/>
  <c r="F56" i="68"/>
  <c r="J65" i="68"/>
  <c r="G65" i="68"/>
  <c r="F66" i="68"/>
  <c r="R65" i="68" s="1"/>
  <c r="K72" i="68"/>
  <c r="H72" i="68"/>
  <c r="G72" i="68"/>
  <c r="O78" i="68"/>
  <c r="F78" i="68"/>
  <c r="K81" i="68"/>
  <c r="G81" i="68"/>
  <c r="F81" i="68"/>
  <c r="H90" i="68"/>
  <c r="H96" i="68"/>
  <c r="O98" i="68"/>
  <c r="G98" i="68"/>
  <c r="F98" i="68"/>
  <c r="J103" i="68"/>
  <c r="K163" i="68"/>
  <c r="G163" i="68"/>
  <c r="I163" i="68" s="1"/>
  <c r="O163" i="68"/>
  <c r="G198" i="68"/>
  <c r="S198" i="68" s="1"/>
  <c r="K67" i="68"/>
  <c r="J67" i="68"/>
  <c r="J69" i="68"/>
  <c r="G69" i="68"/>
  <c r="O69" i="68"/>
  <c r="F69" i="68"/>
  <c r="S132" i="68"/>
  <c r="I132" i="68"/>
  <c r="U132" i="68" s="1"/>
  <c r="K191" i="68"/>
  <c r="G220" i="68"/>
  <c r="I220" i="68" s="1"/>
  <c r="J220" i="68"/>
  <c r="K44" i="68"/>
  <c r="O44" i="68"/>
  <c r="G44" i="68"/>
  <c r="I44" i="68" s="1"/>
  <c r="F52" i="68"/>
  <c r="J58" i="68"/>
  <c r="G58" i="68"/>
  <c r="F60" i="68"/>
  <c r="I60" i="68" s="1"/>
  <c r="P60" i="68" s="1"/>
  <c r="K80" i="68"/>
  <c r="G80" i="68"/>
  <c r="I80" i="68" s="1"/>
  <c r="F80" i="68"/>
  <c r="J117" i="68"/>
  <c r="G117" i="68"/>
  <c r="F117" i="68"/>
  <c r="O136" i="68"/>
  <c r="G136" i="68"/>
  <c r="I136" i="68" s="1"/>
  <c r="N166" i="68"/>
  <c r="G166" i="68"/>
  <c r="F166" i="68"/>
  <c r="N162" i="68"/>
  <c r="F262" i="68"/>
  <c r="F26" i="68"/>
  <c r="F31" i="68"/>
  <c r="F53" i="68"/>
  <c r="O76" i="68"/>
  <c r="F99" i="68"/>
  <c r="F100" i="68"/>
  <c r="G134" i="68"/>
  <c r="F162" i="68"/>
  <c r="O162" i="68"/>
  <c r="F164" i="68"/>
  <c r="K165" i="68"/>
  <c r="G185" i="68"/>
  <c r="G192" i="68"/>
  <c r="K224" i="68"/>
  <c r="F231" i="68"/>
  <c r="G262" i="68"/>
  <c r="F237" i="68"/>
  <c r="F238" i="68"/>
  <c r="K246" i="68"/>
  <c r="F249" i="68"/>
  <c r="K28" i="68"/>
  <c r="O31" i="68"/>
  <c r="K68" i="68"/>
  <c r="K70" i="68"/>
  <c r="K73" i="68"/>
  <c r="H89" i="68"/>
  <c r="G89" i="68"/>
  <c r="O92" i="68"/>
  <c r="N92" i="68"/>
  <c r="G92" i="68"/>
  <c r="K92" i="68"/>
  <c r="F92" i="68"/>
  <c r="G95" i="68"/>
  <c r="F95" i="68"/>
  <c r="G150" i="68"/>
  <c r="F150" i="68"/>
  <c r="H156" i="68"/>
  <c r="T154" i="68" s="1"/>
  <c r="O156" i="68"/>
  <c r="G156" i="68"/>
  <c r="J227" i="68"/>
  <c r="G227" i="68"/>
  <c r="F227" i="68"/>
  <c r="J229" i="68"/>
  <c r="K229" i="68"/>
  <c r="G229" i="68"/>
  <c r="I229" i="68" s="1"/>
  <c r="G245" i="68"/>
  <c r="K245" i="68"/>
  <c r="O28" i="68"/>
  <c r="O68" i="68"/>
  <c r="N70" i="68"/>
  <c r="N73" i="68"/>
  <c r="K79" i="68"/>
  <c r="G79" i="68"/>
  <c r="F79" i="68"/>
  <c r="K86" i="68"/>
  <c r="J86" i="68"/>
  <c r="K88" i="68"/>
  <c r="G88" i="68"/>
  <c r="N91" i="68"/>
  <c r="H91" i="68"/>
  <c r="G97" i="68"/>
  <c r="H97" i="68"/>
  <c r="O97" i="68"/>
  <c r="F97" i="68"/>
  <c r="K101" i="68"/>
  <c r="J101" i="68"/>
  <c r="O110" i="68"/>
  <c r="J110" i="68"/>
  <c r="O112" i="68"/>
  <c r="G112" i="68"/>
  <c r="K112" i="68"/>
  <c r="H115" i="68"/>
  <c r="T112" i="68" s="1"/>
  <c r="G115" i="68"/>
  <c r="O137" i="68"/>
  <c r="G137" i="68"/>
  <c r="F137" i="68"/>
  <c r="J139" i="68"/>
  <c r="G139" i="68"/>
  <c r="G161" i="68"/>
  <c r="N161" i="68"/>
  <c r="F161" i="68"/>
  <c r="R157" i="68" s="1"/>
  <c r="O188" i="68"/>
  <c r="K188" i="68"/>
  <c r="O189" i="68"/>
  <c r="G189" i="68"/>
  <c r="O195" i="68"/>
  <c r="K195" i="68"/>
  <c r="K196" i="68"/>
  <c r="G196" i="68"/>
  <c r="H204" i="68"/>
  <c r="I204" i="68" s="1"/>
  <c r="K204" i="68"/>
  <c r="J226" i="68"/>
  <c r="K226" i="68"/>
  <c r="G226" i="68"/>
  <c r="K247" i="68"/>
  <c r="G247" i="68"/>
  <c r="O22" i="68"/>
  <c r="K25" i="68"/>
  <c r="F28" i="68"/>
  <c r="O29" i="68"/>
  <c r="K30" i="68"/>
  <c r="G31" i="68"/>
  <c r="O45" i="68"/>
  <c r="G52" i="68"/>
  <c r="K64" i="68"/>
  <c r="W64" i="68" s="1"/>
  <c r="N65" i="68"/>
  <c r="N66" i="68"/>
  <c r="F68" i="68"/>
  <c r="K69" i="68"/>
  <c r="F70" i="68"/>
  <c r="F73" i="68"/>
  <c r="N76" i="68"/>
  <c r="K78" i="68"/>
  <c r="N78" i="68"/>
  <c r="G78" i="68"/>
  <c r="N79" i="68"/>
  <c r="O83" i="68"/>
  <c r="N83" i="68"/>
  <c r="G83" i="68"/>
  <c r="K83" i="68"/>
  <c r="F83" i="68"/>
  <c r="O85" i="68"/>
  <c r="G85" i="68"/>
  <c r="N85" i="68"/>
  <c r="F85" i="68"/>
  <c r="I85" i="68" s="1"/>
  <c r="F86" i="68"/>
  <c r="F88" i="68"/>
  <c r="O90" i="68"/>
  <c r="N90" i="68"/>
  <c r="G90" i="68"/>
  <c r="K90" i="68"/>
  <c r="F90" i="68"/>
  <c r="F91" i="68"/>
  <c r="J92" i="68"/>
  <c r="O95" i="68"/>
  <c r="G110" i="68"/>
  <c r="I110" i="68" s="1"/>
  <c r="F112" i="68"/>
  <c r="I112" i="68" s="1"/>
  <c r="O115" i="68"/>
  <c r="J120" i="68"/>
  <c r="K125" i="68"/>
  <c r="W125" i="68" s="1"/>
  <c r="G125" i="68"/>
  <c r="S125" i="68" s="1"/>
  <c r="K135" i="68"/>
  <c r="W135" i="68" s="1"/>
  <c r="G135" i="68"/>
  <c r="S135" i="68" s="1"/>
  <c r="J138" i="68"/>
  <c r="G138" i="68"/>
  <c r="J151" i="68"/>
  <c r="F151" i="68"/>
  <c r="K159" i="68"/>
  <c r="N159" i="68"/>
  <c r="G159" i="68"/>
  <c r="I159" i="68" s="1"/>
  <c r="H161" i="68"/>
  <c r="T157" i="68" s="1"/>
  <c r="G188" i="68"/>
  <c r="O193" i="68"/>
  <c r="K193" i="68"/>
  <c r="G195" i="68"/>
  <c r="J224" i="68"/>
  <c r="G224" i="68"/>
  <c r="F224" i="68"/>
  <c r="F226" i="68"/>
  <c r="O227" i="68"/>
  <c r="N229" i="68"/>
  <c r="K244" i="68"/>
  <c r="G244" i="68"/>
  <c r="F247" i="68"/>
  <c r="I245" i="68"/>
  <c r="K26" i="68"/>
  <c r="G28" i="68"/>
  <c r="O30" i="68"/>
  <c r="K31" i="68"/>
  <c r="O65" i="68"/>
  <c r="Y65" i="68" s="1"/>
  <c r="G68" i="68"/>
  <c r="G70" i="68"/>
  <c r="G73" i="68"/>
  <c r="K77" i="68"/>
  <c r="O77" i="68"/>
  <c r="N77" i="68"/>
  <c r="O79" i="68"/>
  <c r="K82" i="68"/>
  <c r="G82" i="68"/>
  <c r="N87" i="68"/>
  <c r="K87" i="68"/>
  <c r="O88" i="68"/>
  <c r="O91" i="68"/>
  <c r="N97" i="68"/>
  <c r="K103" i="68"/>
  <c r="G103" i="68"/>
  <c r="I103" i="68" s="1"/>
  <c r="J116" i="68"/>
  <c r="G116" i="68"/>
  <c r="O116" i="68"/>
  <c r="F116" i="68"/>
  <c r="O154" i="68"/>
  <c r="J154" i="68"/>
  <c r="K161" i="68"/>
  <c r="O168" i="68"/>
  <c r="G168" i="68"/>
  <c r="F168" i="68"/>
  <c r="K179" i="68"/>
  <c r="O179" i="68"/>
  <c r="K189" i="68"/>
  <c r="O196" i="68"/>
  <c r="H203" i="68"/>
  <c r="I203" i="68" s="1"/>
  <c r="P203" i="68" s="1"/>
  <c r="K203" i="68"/>
  <c r="K206" i="68"/>
  <c r="P206" i="68" s="1"/>
  <c r="J221" i="68"/>
  <c r="G221" i="68"/>
  <c r="I221" i="68" s="1"/>
  <c r="P221" i="68" s="1"/>
  <c r="G225" i="68"/>
  <c r="I225" i="68" s="1"/>
  <c r="O225" i="68"/>
  <c r="K225" i="68"/>
  <c r="O226" i="68"/>
  <c r="O229" i="68"/>
  <c r="O232" i="68"/>
  <c r="G232" i="68"/>
  <c r="I232" i="68" s="1"/>
  <c r="F244" i="68"/>
  <c r="I244" i="68" s="1"/>
  <c r="F246" i="68"/>
  <c r="I246" i="68" s="1"/>
  <c r="O80" i="68"/>
  <c r="N81" i="68"/>
  <c r="J96" i="68"/>
  <c r="H98" i="68"/>
  <c r="N99" i="68"/>
  <c r="K100" i="68"/>
  <c r="J109" i="68"/>
  <c r="O117" i="68"/>
  <c r="O118" i="68"/>
  <c r="O121" i="68"/>
  <c r="O164" i="68"/>
  <c r="K166" i="68"/>
  <c r="K170" i="68"/>
  <c r="K187" i="68"/>
  <c r="K192" i="68"/>
  <c r="N198" i="68"/>
  <c r="X198" i="68" s="1"/>
  <c r="K228" i="68"/>
  <c r="O81" i="68"/>
  <c r="J98" i="68"/>
  <c r="O100" i="68"/>
  <c r="O166" i="68"/>
  <c r="P212" i="68"/>
  <c r="I249" i="68"/>
  <c r="P249" i="68" s="1"/>
  <c r="W42" i="67"/>
  <c r="M91" i="67"/>
  <c r="G91" i="67"/>
  <c r="K91" i="67"/>
  <c r="J118" i="67"/>
  <c r="N118" i="67" s="1"/>
  <c r="O118" i="67"/>
  <c r="K169" i="67"/>
  <c r="F169" i="67"/>
  <c r="J241" i="67"/>
  <c r="N241" i="67" s="1"/>
  <c r="G241" i="67"/>
  <c r="F22" i="67"/>
  <c r="F28" i="67"/>
  <c r="G42" i="67"/>
  <c r="I42" i="67" s="1"/>
  <c r="F51" i="67"/>
  <c r="I51" i="67" s="1"/>
  <c r="P51" i="67" s="1"/>
  <c r="K52" i="67"/>
  <c r="N52" i="67" s="1"/>
  <c r="G57" i="67"/>
  <c r="I57" i="67" s="1"/>
  <c r="J69" i="67"/>
  <c r="K80" i="67"/>
  <c r="M80" i="67"/>
  <c r="O81" i="67"/>
  <c r="K81" i="67"/>
  <c r="O85" i="67"/>
  <c r="H85" i="67"/>
  <c r="M85" i="67"/>
  <c r="N85" i="67" s="1"/>
  <c r="K88" i="67"/>
  <c r="F88" i="67"/>
  <c r="M88" i="67"/>
  <c r="G90" i="67"/>
  <c r="K90" i="67"/>
  <c r="F91" i="67"/>
  <c r="O91" i="67"/>
  <c r="G95" i="67"/>
  <c r="F98" i="67"/>
  <c r="F118" i="67"/>
  <c r="G139" i="67"/>
  <c r="J139" i="67"/>
  <c r="N139" i="67" s="1"/>
  <c r="F140" i="67"/>
  <c r="I140" i="67" s="1"/>
  <c r="O150" i="67"/>
  <c r="K150" i="67"/>
  <c r="K165" i="67"/>
  <c r="N165" i="67" s="1"/>
  <c r="G169" i="67"/>
  <c r="G184" i="67"/>
  <c r="K230" i="67"/>
  <c r="N230" i="67" s="1"/>
  <c r="G230" i="67"/>
  <c r="O232" i="67"/>
  <c r="K232" i="67"/>
  <c r="F233" i="67"/>
  <c r="O241" i="67"/>
  <c r="G243" i="67"/>
  <c r="K252" i="67"/>
  <c r="N252" i="67" s="1"/>
  <c r="G252" i="67"/>
  <c r="W263" i="67"/>
  <c r="K23" i="67"/>
  <c r="K28" i="67"/>
  <c r="N28" i="67" s="1"/>
  <c r="N30" i="67"/>
  <c r="O30" i="67"/>
  <c r="K33" i="67"/>
  <c r="J42" i="67"/>
  <c r="N42" i="67" s="1"/>
  <c r="F56" i="67"/>
  <c r="J57" i="67"/>
  <c r="N57" i="67" s="1"/>
  <c r="G65" i="67"/>
  <c r="G67" i="67"/>
  <c r="O74" i="67"/>
  <c r="H74" i="67"/>
  <c r="M74" i="67"/>
  <c r="N74" i="67" s="1"/>
  <c r="F80" i="67"/>
  <c r="F81" i="67"/>
  <c r="H83" i="67"/>
  <c r="F85" i="67"/>
  <c r="G88" i="67"/>
  <c r="O88" i="67"/>
  <c r="F90" i="67"/>
  <c r="H91" i="67"/>
  <c r="O98" i="67"/>
  <c r="O101" i="67"/>
  <c r="G101" i="67"/>
  <c r="M101" i="67"/>
  <c r="X100" i="67" s="1"/>
  <c r="K104" i="67"/>
  <c r="N104" i="67" s="1"/>
  <c r="G104" i="67"/>
  <c r="I104" i="67" s="1"/>
  <c r="G110" i="67"/>
  <c r="I110" i="67" s="1"/>
  <c r="G118" i="67"/>
  <c r="J121" i="67"/>
  <c r="N121" i="67" s="1"/>
  <c r="G121" i="67"/>
  <c r="J124" i="67"/>
  <c r="N124" i="67" s="1"/>
  <c r="O124" i="67"/>
  <c r="F125" i="67"/>
  <c r="R125" i="67" s="1"/>
  <c r="U125" i="67" s="1"/>
  <c r="K125" i="67"/>
  <c r="W125" i="67" s="1"/>
  <c r="G134" i="67"/>
  <c r="G137" i="67"/>
  <c r="O137" i="67"/>
  <c r="F138" i="67"/>
  <c r="F139" i="67"/>
  <c r="J140" i="67"/>
  <c r="N140" i="67" s="1"/>
  <c r="G147" i="67"/>
  <c r="F150" i="67"/>
  <c r="U159" i="67"/>
  <c r="K166" i="67"/>
  <c r="N166" i="67" s="1"/>
  <c r="H166" i="67"/>
  <c r="T162" i="67" s="1"/>
  <c r="O167" i="67"/>
  <c r="M167" i="67"/>
  <c r="N167" i="67" s="1"/>
  <c r="F167" i="67"/>
  <c r="M169" i="67"/>
  <c r="K171" i="67"/>
  <c r="M171" i="67"/>
  <c r="G172" i="67"/>
  <c r="O195" i="67"/>
  <c r="G223" i="67"/>
  <c r="I223" i="67" s="1"/>
  <c r="P223" i="67" s="1"/>
  <c r="G227" i="67"/>
  <c r="I227" i="67" s="1"/>
  <c r="P227" i="67" s="1"/>
  <c r="O230" i="67"/>
  <c r="F232" i="67"/>
  <c r="K233" i="67"/>
  <c r="N233" i="67" s="1"/>
  <c r="O236" i="67"/>
  <c r="M236" i="67"/>
  <c r="F236" i="67"/>
  <c r="J242" i="67"/>
  <c r="N242" i="67" s="1"/>
  <c r="O242" i="67"/>
  <c r="O243" i="67"/>
  <c r="F249" i="67"/>
  <c r="I249" i="67" s="1"/>
  <c r="F14" i="67"/>
  <c r="R12" i="67" s="1"/>
  <c r="K24" i="67"/>
  <c r="N24" i="67" s="1"/>
  <c r="O23" i="67"/>
  <c r="O28" i="67"/>
  <c r="M33" i="67"/>
  <c r="K70" i="67"/>
  <c r="M70" i="67"/>
  <c r="O72" i="67"/>
  <c r="M72" i="67"/>
  <c r="N72" i="67" s="1"/>
  <c r="F72" i="67"/>
  <c r="O73" i="67"/>
  <c r="K73" i="67"/>
  <c r="F74" i="67"/>
  <c r="O75" i="67"/>
  <c r="F75" i="67"/>
  <c r="G79" i="67"/>
  <c r="G80" i="67"/>
  <c r="M83" i="67"/>
  <c r="G85" i="67"/>
  <c r="H88" i="67"/>
  <c r="O90" i="67"/>
  <c r="J91" i="67"/>
  <c r="G92" i="67"/>
  <c r="O99" i="67"/>
  <c r="G99" i="67"/>
  <c r="I99" i="67" s="1"/>
  <c r="M99" i="67"/>
  <c r="F101" i="67"/>
  <c r="R100" i="67" s="1"/>
  <c r="G106" i="67"/>
  <c r="I106" i="67" s="1"/>
  <c r="J110" i="67"/>
  <c r="N110" i="67" s="1"/>
  <c r="G112" i="67"/>
  <c r="G113" i="67"/>
  <c r="O116" i="67"/>
  <c r="F116" i="67"/>
  <c r="I116" i="67" s="1"/>
  <c r="J119" i="67"/>
  <c r="N119" i="67" s="1"/>
  <c r="O119" i="67"/>
  <c r="F120" i="67"/>
  <c r="F121" i="67"/>
  <c r="J123" i="67"/>
  <c r="N123" i="67" s="1"/>
  <c r="O123" i="67"/>
  <c r="F124" i="67"/>
  <c r="I124" i="67" s="1"/>
  <c r="F137" i="67"/>
  <c r="G138" i="67"/>
  <c r="S136" i="67" s="1"/>
  <c r="O139" i="67"/>
  <c r="O140" i="67"/>
  <c r="O147" i="67"/>
  <c r="T147" i="67"/>
  <c r="M151" i="67"/>
  <c r="G166" i="67"/>
  <c r="G167" i="67"/>
  <c r="O169" i="67"/>
  <c r="F171" i="67"/>
  <c r="K173" i="67"/>
  <c r="M173" i="67"/>
  <c r="G175" i="67"/>
  <c r="O184" i="67"/>
  <c r="G193" i="67"/>
  <c r="J231" i="67"/>
  <c r="O231" i="67"/>
  <c r="G232" i="67"/>
  <c r="G236" i="67"/>
  <c r="G242" i="67"/>
  <c r="N247" i="67"/>
  <c r="K249" i="67"/>
  <c r="N249" i="67" s="1"/>
  <c r="J97" i="67"/>
  <c r="N97" i="67" s="1"/>
  <c r="O122" i="67"/>
  <c r="I132" i="67"/>
  <c r="P132" i="67" s="1"/>
  <c r="Z132" i="67" s="1"/>
  <c r="O136" i="67"/>
  <c r="P242" i="66"/>
  <c r="R93" i="66"/>
  <c r="I93" i="66"/>
  <c r="P93" i="66" s="1"/>
  <c r="Z93" i="66" s="1"/>
  <c r="R21" i="66"/>
  <c r="I64" i="66"/>
  <c r="P64" i="66" s="1"/>
  <c r="R64" i="66"/>
  <c r="P150" i="66"/>
  <c r="R203" i="66"/>
  <c r="I203" i="66"/>
  <c r="R8" i="66"/>
  <c r="I11" i="66"/>
  <c r="P11" i="66" s="1"/>
  <c r="I17" i="66"/>
  <c r="P17" i="66" s="1"/>
  <c r="P26" i="66"/>
  <c r="Z26" i="66" s="1"/>
  <c r="U26" i="66"/>
  <c r="P54" i="66"/>
  <c r="R76" i="66"/>
  <c r="I76" i="66"/>
  <c r="T82" i="66"/>
  <c r="I82" i="66"/>
  <c r="U82" i="66" s="1"/>
  <c r="V141" i="66"/>
  <c r="N141" i="66"/>
  <c r="V229" i="66"/>
  <c r="N229" i="66"/>
  <c r="V21" i="66"/>
  <c r="P15" i="66"/>
  <c r="I22" i="66"/>
  <c r="P22" i="66" s="1"/>
  <c r="I23" i="66"/>
  <c r="P23" i="66" s="1"/>
  <c r="P25" i="66"/>
  <c r="I33" i="66"/>
  <c r="P33" i="66" s="1"/>
  <c r="N43" i="66"/>
  <c r="P45" i="66"/>
  <c r="I84" i="66"/>
  <c r="P84" i="66" s="1"/>
  <c r="N88" i="66"/>
  <c r="I90" i="66"/>
  <c r="P90" i="66" s="1"/>
  <c r="I95" i="66"/>
  <c r="U95" i="66" s="1"/>
  <c r="I101" i="66"/>
  <c r="P101" i="66" s="1"/>
  <c r="N104" i="66"/>
  <c r="I115" i="66"/>
  <c r="P115" i="66" s="1"/>
  <c r="I130" i="66"/>
  <c r="P130" i="66" s="1"/>
  <c r="I132" i="66"/>
  <c r="P132" i="66" s="1"/>
  <c r="Z132" i="66" s="1"/>
  <c r="S132" i="66"/>
  <c r="I156" i="66"/>
  <c r="P156" i="66" s="1"/>
  <c r="I157" i="66"/>
  <c r="P157" i="66" s="1"/>
  <c r="W162" i="66"/>
  <c r="N162" i="66"/>
  <c r="N169" i="66"/>
  <c r="N171" i="66"/>
  <c r="N173" i="66"/>
  <c r="V203" i="66"/>
  <c r="N203" i="66"/>
  <c r="P218" i="66"/>
  <c r="N233" i="66"/>
  <c r="I237" i="66"/>
  <c r="P237" i="66" s="1"/>
  <c r="N239" i="66"/>
  <c r="V239" i="66"/>
  <c r="N251" i="66"/>
  <c r="P254" i="66"/>
  <c r="I265" i="66"/>
  <c r="P265" i="66" s="1"/>
  <c r="P267" i="66"/>
  <c r="V37" i="66"/>
  <c r="N86" i="66"/>
  <c r="V234" i="66"/>
  <c r="N234" i="66"/>
  <c r="W263" i="66"/>
  <c r="N8" i="66"/>
  <c r="I9" i="66"/>
  <c r="P9" i="66" s="1"/>
  <c r="I28" i="66"/>
  <c r="P28" i="66" s="1"/>
  <c r="P40" i="66"/>
  <c r="V42" i="66"/>
  <c r="P44" i="66"/>
  <c r="I55" i="66"/>
  <c r="P55" i="66" s="1"/>
  <c r="W64" i="66"/>
  <c r="I67" i="66"/>
  <c r="U67" i="66" s="1"/>
  <c r="I68" i="66"/>
  <c r="P68" i="66" s="1"/>
  <c r="N70" i="66"/>
  <c r="V76" i="66"/>
  <c r="N76" i="66"/>
  <c r="P79" i="66"/>
  <c r="N90" i="66"/>
  <c r="N98" i="66"/>
  <c r="I100" i="66"/>
  <c r="U100" i="66" s="1"/>
  <c r="R100" i="66"/>
  <c r="T112" i="66"/>
  <c r="N114" i="66"/>
  <c r="I117" i="66"/>
  <c r="U117" i="66" s="1"/>
  <c r="I133" i="66"/>
  <c r="P133" i="66" s="1"/>
  <c r="Z133" i="66" s="1"/>
  <c r="I143" i="66"/>
  <c r="P143" i="66" s="1"/>
  <c r="N148" i="66"/>
  <c r="I166" i="66"/>
  <c r="P166" i="66" s="1"/>
  <c r="P217" i="66"/>
  <c r="P233" i="66"/>
  <c r="I234" i="66"/>
  <c r="P234" i="66" s="1"/>
  <c r="Z234" i="66" s="1"/>
  <c r="I239" i="66"/>
  <c r="U239" i="66" s="1"/>
  <c r="W247" i="66"/>
  <c r="I58" i="66"/>
  <c r="P58" i="66" s="1"/>
  <c r="I65" i="66"/>
  <c r="P65" i="66" s="1"/>
  <c r="Z65" i="66" s="1"/>
  <c r="I66" i="66"/>
  <c r="P66" i="66" s="1"/>
  <c r="N67" i="66"/>
  <c r="N69" i="66"/>
  <c r="I70" i="66"/>
  <c r="P70" i="66" s="1"/>
  <c r="N72" i="66"/>
  <c r="N73" i="66"/>
  <c r="N78" i="66"/>
  <c r="I80" i="66"/>
  <c r="N81" i="66"/>
  <c r="N84" i="66"/>
  <c r="I86" i="66"/>
  <c r="P86" i="66" s="1"/>
  <c r="I97" i="66"/>
  <c r="P97" i="66" s="1"/>
  <c r="N99" i="66"/>
  <c r="N101" i="66"/>
  <c r="I110" i="66"/>
  <c r="P110" i="66" s="1"/>
  <c r="N113" i="66"/>
  <c r="N116" i="66"/>
  <c r="I119" i="66"/>
  <c r="P119" i="66" s="1"/>
  <c r="I124" i="66"/>
  <c r="P124" i="66" s="1"/>
  <c r="I127" i="66"/>
  <c r="P127" i="66" s="1"/>
  <c r="I139" i="66"/>
  <c r="P139" i="66" s="1"/>
  <c r="I144" i="66"/>
  <c r="P144" i="66" s="1"/>
  <c r="N151" i="66"/>
  <c r="P154" i="66"/>
  <c r="N168" i="66"/>
  <c r="N170" i="66"/>
  <c r="N172" i="66"/>
  <c r="P216" i="66"/>
  <c r="Z216" i="66" s="1"/>
  <c r="P223" i="66"/>
  <c r="P228" i="66"/>
  <c r="I229" i="66"/>
  <c r="U229" i="66" s="1"/>
  <c r="I236" i="66"/>
  <c r="P250" i="66"/>
  <c r="N264" i="66"/>
  <c r="I266" i="66"/>
  <c r="P266" i="66" s="1"/>
  <c r="I247" i="66"/>
  <c r="I248" i="66"/>
  <c r="P248" i="66" s="1"/>
  <c r="Z256" i="66"/>
  <c r="P42" i="66"/>
  <c r="Z42" i="66" s="1"/>
  <c r="P41" i="66"/>
  <c r="P47" i="70"/>
  <c r="Z47" i="70" s="1"/>
  <c r="U47" i="70"/>
  <c r="G54" i="70"/>
  <c r="F54" i="70"/>
  <c r="N66" i="70"/>
  <c r="X65" i="70" s="1"/>
  <c r="G66" i="70"/>
  <c r="J66" i="70"/>
  <c r="F66" i="70"/>
  <c r="K87" i="70"/>
  <c r="G87" i="70"/>
  <c r="O87" i="70"/>
  <c r="H87" i="70"/>
  <c r="U93" i="70"/>
  <c r="G108" i="70"/>
  <c r="I108" i="70" s="1"/>
  <c r="O108" i="70"/>
  <c r="O119" i="70"/>
  <c r="F119" i="70"/>
  <c r="G119" i="70"/>
  <c r="J119" i="70"/>
  <c r="I145" i="70"/>
  <c r="P145" i="70" s="1"/>
  <c r="R141" i="70"/>
  <c r="H156" i="70"/>
  <c r="T154" i="70" s="1"/>
  <c r="G156" i="70"/>
  <c r="J156" i="70"/>
  <c r="P252" i="70"/>
  <c r="Z251" i="70" s="1"/>
  <c r="U251" i="70"/>
  <c r="I8" i="70"/>
  <c r="O26" i="70"/>
  <c r="G26" i="70"/>
  <c r="V37" i="70"/>
  <c r="O44" i="70"/>
  <c r="G44" i="70"/>
  <c r="I44" i="70" s="1"/>
  <c r="G45" i="70"/>
  <c r="I45" i="70" s="1"/>
  <c r="H66" i="70"/>
  <c r="T65" i="70" s="1"/>
  <c r="N75" i="70"/>
  <c r="G75" i="70"/>
  <c r="H75" i="70"/>
  <c r="F87" i="70"/>
  <c r="K91" i="70"/>
  <c r="G91" i="70"/>
  <c r="J91" i="70"/>
  <c r="H91" i="70"/>
  <c r="G99" i="70"/>
  <c r="N99" i="70"/>
  <c r="H99" i="70"/>
  <c r="O99" i="70"/>
  <c r="F99" i="70"/>
  <c r="O104" i="70"/>
  <c r="G104" i="70"/>
  <c r="I104" i="70" s="1"/>
  <c r="J104" i="70"/>
  <c r="K104" i="70"/>
  <c r="J108" i="70"/>
  <c r="O110" i="70"/>
  <c r="J110" i="70"/>
  <c r="J121" i="70"/>
  <c r="O121" i="70"/>
  <c r="G123" i="70"/>
  <c r="F123" i="70"/>
  <c r="O123" i="70"/>
  <c r="J123" i="70"/>
  <c r="P129" i="70"/>
  <c r="O139" i="70"/>
  <c r="F139" i="70"/>
  <c r="J139" i="70"/>
  <c r="G139" i="70"/>
  <c r="F156" i="70"/>
  <c r="K167" i="70"/>
  <c r="G167" i="70"/>
  <c r="O167" i="70"/>
  <c r="F167" i="70"/>
  <c r="N167" i="70"/>
  <c r="K190" i="70"/>
  <c r="O190" i="70"/>
  <c r="G191" i="70"/>
  <c r="K191" i="70"/>
  <c r="O191" i="70"/>
  <c r="K194" i="70"/>
  <c r="O194" i="70"/>
  <c r="G194" i="70"/>
  <c r="V8" i="70"/>
  <c r="F22" i="70"/>
  <c r="G25" i="70"/>
  <c r="O25" i="70"/>
  <c r="F25" i="70"/>
  <c r="F26" i="70"/>
  <c r="J44" i="70"/>
  <c r="K45" i="70"/>
  <c r="F52" i="70"/>
  <c r="I52" i="70" s="1"/>
  <c r="J54" i="70"/>
  <c r="G58" i="70"/>
  <c r="F58" i="70"/>
  <c r="K68" i="70"/>
  <c r="F68" i="70"/>
  <c r="G68" i="70"/>
  <c r="O71" i="70"/>
  <c r="H71" i="70"/>
  <c r="G71" i="70"/>
  <c r="N71" i="70"/>
  <c r="F71" i="70"/>
  <c r="O74" i="70"/>
  <c r="H74" i="70"/>
  <c r="G74" i="70"/>
  <c r="N74" i="70"/>
  <c r="F74" i="70"/>
  <c r="F75" i="70"/>
  <c r="N84" i="70"/>
  <c r="H84" i="70"/>
  <c r="O84" i="70"/>
  <c r="G84" i="70"/>
  <c r="K84" i="70"/>
  <c r="F84" i="70"/>
  <c r="J85" i="70"/>
  <c r="F85" i="70"/>
  <c r="H85" i="70"/>
  <c r="O85" i="70"/>
  <c r="G85" i="70"/>
  <c r="J87" i="70"/>
  <c r="F91" i="70"/>
  <c r="J99" i="70"/>
  <c r="G110" i="70"/>
  <c r="I110" i="70" s="1"/>
  <c r="F121" i="70"/>
  <c r="I121" i="70" s="1"/>
  <c r="I132" i="70"/>
  <c r="F134" i="70"/>
  <c r="G134" i="70"/>
  <c r="G136" i="70"/>
  <c r="O136" i="70"/>
  <c r="J136" i="70"/>
  <c r="N151" i="70"/>
  <c r="G151" i="70"/>
  <c r="K151" i="70"/>
  <c r="J151" i="70"/>
  <c r="G155" i="70"/>
  <c r="J155" i="70"/>
  <c r="O155" i="70"/>
  <c r="O156" i="70"/>
  <c r="O164" i="70"/>
  <c r="G164" i="70"/>
  <c r="N164" i="70"/>
  <c r="F164" i="70"/>
  <c r="K175" i="70"/>
  <c r="O175" i="70"/>
  <c r="G190" i="70"/>
  <c r="H203" i="70"/>
  <c r="I203" i="70" s="1"/>
  <c r="K203" i="70"/>
  <c r="K259" i="70"/>
  <c r="N259" i="70"/>
  <c r="G259" i="70"/>
  <c r="R8" i="70"/>
  <c r="K22" i="70"/>
  <c r="J26" i="70"/>
  <c r="V26" i="70" s="1"/>
  <c r="O27" i="70"/>
  <c r="G27" i="70"/>
  <c r="K27" i="70"/>
  <c r="F27" i="70"/>
  <c r="O28" i="70"/>
  <c r="G28" i="70"/>
  <c r="K28" i="70"/>
  <c r="F28" i="70"/>
  <c r="O29" i="70"/>
  <c r="G29" i="70"/>
  <c r="N29" i="70"/>
  <c r="X26" i="70" s="1"/>
  <c r="F29" i="70"/>
  <c r="O30" i="70"/>
  <c r="G30" i="70"/>
  <c r="K30" i="70"/>
  <c r="F30" i="70"/>
  <c r="O31" i="70"/>
  <c r="G31" i="70"/>
  <c r="K31" i="70"/>
  <c r="F31" i="70"/>
  <c r="K44" i="70"/>
  <c r="O45" i="70"/>
  <c r="F50" i="70"/>
  <c r="I50" i="70" s="1"/>
  <c r="K52" i="70"/>
  <c r="G56" i="70"/>
  <c r="F56" i="70"/>
  <c r="O65" i="70"/>
  <c r="G65" i="70"/>
  <c r="R65" i="70"/>
  <c r="O66" i="70"/>
  <c r="J68" i="70"/>
  <c r="K75" i="70"/>
  <c r="N87" i="70"/>
  <c r="J89" i="70"/>
  <c r="F89" i="70"/>
  <c r="H89" i="70"/>
  <c r="N89" i="70"/>
  <c r="N91" i="70"/>
  <c r="R93" i="70"/>
  <c r="N95" i="70"/>
  <c r="H95" i="70"/>
  <c r="O95" i="70"/>
  <c r="G95" i="70"/>
  <c r="J95" i="70"/>
  <c r="O112" i="70"/>
  <c r="K112" i="70"/>
  <c r="G112" i="70"/>
  <c r="J112" i="70"/>
  <c r="F112" i="70"/>
  <c r="O122" i="70"/>
  <c r="F122" i="70"/>
  <c r="I122" i="70" s="1"/>
  <c r="J122" i="70"/>
  <c r="I133" i="70"/>
  <c r="R133" i="70"/>
  <c r="F136" i="70"/>
  <c r="G140" i="70"/>
  <c r="F140" i="70"/>
  <c r="J140" i="70"/>
  <c r="K147" i="70"/>
  <c r="F147" i="70"/>
  <c r="O147" i="70"/>
  <c r="G147" i="70"/>
  <c r="N147" i="70"/>
  <c r="J147" i="70"/>
  <c r="F151" i="70"/>
  <c r="F155" i="70"/>
  <c r="K164" i="70"/>
  <c r="Z169" i="70"/>
  <c r="G175" i="70"/>
  <c r="F259" i="70"/>
  <c r="K24" i="70"/>
  <c r="K33" i="70"/>
  <c r="K42" i="70"/>
  <c r="K43" i="70"/>
  <c r="K49" i="70"/>
  <c r="K51" i="70"/>
  <c r="P51" i="70" s="1"/>
  <c r="J53" i="70"/>
  <c r="K67" i="70"/>
  <c r="J83" i="70"/>
  <c r="F83" i="70"/>
  <c r="K83" i="70"/>
  <c r="G97" i="70"/>
  <c r="O97" i="70"/>
  <c r="J106" i="70"/>
  <c r="O106" i="70"/>
  <c r="K113" i="70"/>
  <c r="F113" i="70"/>
  <c r="J113" i="70"/>
  <c r="O166" i="70"/>
  <c r="G166" i="70"/>
  <c r="N166" i="70"/>
  <c r="F166" i="70"/>
  <c r="K172" i="70"/>
  <c r="G172" i="70"/>
  <c r="S198" i="70"/>
  <c r="F24" i="70"/>
  <c r="F33" i="70"/>
  <c r="I33" i="70" s="1"/>
  <c r="G42" i="70"/>
  <c r="G43" i="70"/>
  <c r="I43" i="70" s="1"/>
  <c r="F48" i="70"/>
  <c r="F67" i="70"/>
  <c r="N67" i="70"/>
  <c r="K69" i="70"/>
  <c r="F69" i="70"/>
  <c r="N69" i="70"/>
  <c r="K72" i="70"/>
  <c r="F72" i="70"/>
  <c r="N72" i="70"/>
  <c r="N76" i="70"/>
  <c r="F76" i="70"/>
  <c r="O76" i="70"/>
  <c r="G83" i="70"/>
  <c r="N83" i="70"/>
  <c r="F97" i="70"/>
  <c r="N97" i="70"/>
  <c r="K102" i="70"/>
  <c r="G106" i="70"/>
  <c r="G113" i="70"/>
  <c r="K114" i="70"/>
  <c r="F114" i="70"/>
  <c r="G114" i="70"/>
  <c r="J115" i="70"/>
  <c r="F115" i="70"/>
  <c r="O115" i="70"/>
  <c r="P126" i="70"/>
  <c r="F135" i="70"/>
  <c r="F137" i="70"/>
  <c r="I137" i="70" s="1"/>
  <c r="I141" i="70"/>
  <c r="O150" i="70"/>
  <c r="N150" i="70"/>
  <c r="F150" i="70"/>
  <c r="G154" i="70"/>
  <c r="J154" i="70"/>
  <c r="K158" i="70"/>
  <c r="P158" i="70" s="1"/>
  <c r="O163" i="70"/>
  <c r="N163" i="70"/>
  <c r="G163" i="70"/>
  <c r="O165" i="70"/>
  <c r="G165" i="70"/>
  <c r="N165" i="70"/>
  <c r="F165" i="70"/>
  <c r="K166" i="70"/>
  <c r="U169" i="70"/>
  <c r="K186" i="70"/>
  <c r="O186" i="70"/>
  <c r="G187" i="70"/>
  <c r="K187" i="70"/>
  <c r="G195" i="70"/>
  <c r="K195" i="70"/>
  <c r="G214" i="70"/>
  <c r="O214" i="70"/>
  <c r="Y214" i="70" s="1"/>
  <c r="J214" i="70"/>
  <c r="V214" i="70" s="1"/>
  <c r="J220" i="70"/>
  <c r="G220" i="70"/>
  <c r="I220" i="70" s="1"/>
  <c r="N229" i="70"/>
  <c r="G229" i="70"/>
  <c r="O229" i="70"/>
  <c r="F229" i="70"/>
  <c r="K229" i="70"/>
  <c r="J229" i="70"/>
  <c r="K101" i="70"/>
  <c r="O120" i="70"/>
  <c r="Y126" i="70"/>
  <c r="I127" i="70"/>
  <c r="P127" i="70" s="1"/>
  <c r="I143" i="70"/>
  <c r="P143" i="70" s="1"/>
  <c r="N148" i="70"/>
  <c r="H148" i="70"/>
  <c r="J148" i="70"/>
  <c r="J149" i="70"/>
  <c r="F149" i="70"/>
  <c r="K149" i="70"/>
  <c r="R153" i="70"/>
  <c r="I153" i="70"/>
  <c r="V199" i="70"/>
  <c r="U215" i="70"/>
  <c r="G221" i="70"/>
  <c r="I221" i="70" s="1"/>
  <c r="J221" i="70"/>
  <c r="J235" i="70"/>
  <c r="G235" i="70"/>
  <c r="F235" i="70"/>
  <c r="K242" i="70"/>
  <c r="G242" i="70"/>
  <c r="F242" i="70"/>
  <c r="O189" i="70"/>
  <c r="O193" i="70"/>
  <c r="H202" i="70"/>
  <c r="I202" i="70" s="1"/>
  <c r="K202" i="70"/>
  <c r="H206" i="70"/>
  <c r="I206" i="70" s="1"/>
  <c r="K206" i="70"/>
  <c r="P210" i="70"/>
  <c r="Z210" i="70" s="1"/>
  <c r="O224" i="70"/>
  <c r="G224" i="70"/>
  <c r="J224" i="70"/>
  <c r="O226" i="70"/>
  <c r="G226" i="70"/>
  <c r="J226" i="70"/>
  <c r="G247" i="70"/>
  <c r="K247" i="70"/>
  <c r="N261" i="70"/>
  <c r="F261" i="70"/>
  <c r="K261" i="70"/>
  <c r="P200" i="70"/>
  <c r="G219" i="70"/>
  <c r="F224" i="70"/>
  <c r="F226" i="70"/>
  <c r="O227" i="70"/>
  <c r="G227" i="70"/>
  <c r="F227" i="70"/>
  <c r="O228" i="70"/>
  <c r="G228" i="70"/>
  <c r="J228" i="70"/>
  <c r="O237" i="70"/>
  <c r="F237" i="70"/>
  <c r="I237" i="70" s="1"/>
  <c r="J237" i="70"/>
  <c r="F244" i="70"/>
  <c r="I244" i="70" s="1"/>
  <c r="F247" i="70"/>
  <c r="G249" i="70"/>
  <c r="F249" i="70"/>
  <c r="G261" i="70"/>
  <c r="F262" i="70"/>
  <c r="R211" i="70"/>
  <c r="I211" i="70"/>
  <c r="O225" i="70"/>
  <c r="F225" i="70"/>
  <c r="K246" i="70"/>
  <c r="O21" i="69"/>
  <c r="G21" i="69"/>
  <c r="K21" i="69"/>
  <c r="F21" i="69"/>
  <c r="G22" i="69"/>
  <c r="O22" i="69"/>
  <c r="F22" i="69"/>
  <c r="O26" i="69"/>
  <c r="G26" i="69"/>
  <c r="K26" i="69"/>
  <c r="F26" i="69"/>
  <c r="O28" i="69"/>
  <c r="G28" i="69"/>
  <c r="K28" i="69"/>
  <c r="F28" i="69"/>
  <c r="O29" i="69"/>
  <c r="G29" i="69"/>
  <c r="N29" i="69"/>
  <c r="F29" i="69"/>
  <c r="O31" i="69"/>
  <c r="G31" i="69"/>
  <c r="K31" i="69"/>
  <c r="F31" i="69"/>
  <c r="G48" i="69"/>
  <c r="K48" i="69"/>
  <c r="F48" i="69"/>
  <c r="J88" i="69"/>
  <c r="F88" i="69"/>
  <c r="O88" i="69"/>
  <c r="H88" i="69"/>
  <c r="N88" i="69"/>
  <c r="G88" i="69"/>
  <c r="K102" i="69"/>
  <c r="G102" i="69"/>
  <c r="I102" i="69" s="1"/>
  <c r="O102" i="69"/>
  <c r="O122" i="69"/>
  <c r="F122" i="69"/>
  <c r="G122" i="69"/>
  <c r="J122" i="69"/>
  <c r="G134" i="69"/>
  <c r="F134" i="69"/>
  <c r="K168" i="69"/>
  <c r="F168" i="69"/>
  <c r="N168" i="69"/>
  <c r="G168" i="69"/>
  <c r="O168" i="69"/>
  <c r="H199" i="69"/>
  <c r="I199" i="69" s="1"/>
  <c r="K199" i="69"/>
  <c r="G97" i="69"/>
  <c r="N97" i="69"/>
  <c r="H97" i="69"/>
  <c r="F97" i="69"/>
  <c r="O97" i="69"/>
  <c r="K22" i="69"/>
  <c r="J26" i="69"/>
  <c r="J28" i="69"/>
  <c r="O30" i="69"/>
  <c r="G30" i="69"/>
  <c r="K30" i="69"/>
  <c r="F30" i="69"/>
  <c r="O45" i="69"/>
  <c r="G45" i="69"/>
  <c r="I45" i="69" s="1"/>
  <c r="J45" i="69"/>
  <c r="N87" i="69"/>
  <c r="H87" i="69"/>
  <c r="O87" i="69"/>
  <c r="G87" i="69"/>
  <c r="K87" i="69"/>
  <c r="F87" i="69"/>
  <c r="J97" i="69"/>
  <c r="J156" i="69"/>
  <c r="F156" i="69"/>
  <c r="H156" i="69"/>
  <c r="G156" i="69"/>
  <c r="O156" i="69"/>
  <c r="K195" i="69"/>
  <c r="O195" i="69"/>
  <c r="G195" i="69"/>
  <c r="H201" i="69"/>
  <c r="I201" i="69" s="1"/>
  <c r="K201" i="69"/>
  <c r="F235" i="69"/>
  <c r="G235" i="69"/>
  <c r="O235" i="69"/>
  <c r="J235" i="69"/>
  <c r="G258" i="69"/>
  <c r="N258" i="69"/>
  <c r="F258" i="69"/>
  <c r="K258" i="69"/>
  <c r="O27" i="69"/>
  <c r="G27" i="69"/>
  <c r="K27" i="69"/>
  <c r="F27" i="69"/>
  <c r="K29" i="69"/>
  <c r="J31" i="69"/>
  <c r="F62" i="69"/>
  <c r="I62" i="69" s="1"/>
  <c r="K62" i="69"/>
  <c r="K88" i="69"/>
  <c r="P111" i="69"/>
  <c r="P126" i="69"/>
  <c r="N163" i="69"/>
  <c r="G163" i="69"/>
  <c r="O163" i="69"/>
  <c r="F163" i="69"/>
  <c r="K163" i="69"/>
  <c r="G196" i="69"/>
  <c r="K196" i="69"/>
  <c r="O196" i="69"/>
  <c r="F247" i="69"/>
  <c r="G247" i="69"/>
  <c r="K247" i="69"/>
  <c r="J30" i="69"/>
  <c r="K45" i="69"/>
  <c r="I49" i="69"/>
  <c r="J87" i="69"/>
  <c r="K135" i="69"/>
  <c r="F135" i="69"/>
  <c r="G135" i="69"/>
  <c r="J135" i="69"/>
  <c r="P153" i="69"/>
  <c r="H206" i="69"/>
  <c r="I206" i="69" s="1"/>
  <c r="K206" i="69"/>
  <c r="K42" i="69"/>
  <c r="K46" i="69"/>
  <c r="K49" i="69"/>
  <c r="J53" i="69"/>
  <c r="J55" i="69"/>
  <c r="J57" i="69"/>
  <c r="P57" i="69" s="1"/>
  <c r="K59" i="69"/>
  <c r="J66" i="69"/>
  <c r="F66" i="69"/>
  <c r="N66" i="69"/>
  <c r="K69" i="69"/>
  <c r="O73" i="69"/>
  <c r="H73" i="69"/>
  <c r="K73" i="69"/>
  <c r="O89" i="69"/>
  <c r="H89" i="69"/>
  <c r="J89" i="69"/>
  <c r="J95" i="69"/>
  <c r="J112" i="69"/>
  <c r="F112" i="69"/>
  <c r="I112" i="69" s="1"/>
  <c r="K112" i="69"/>
  <c r="K116" i="69"/>
  <c r="I130" i="69"/>
  <c r="P130" i="69" s="1"/>
  <c r="I147" i="69"/>
  <c r="N166" i="69"/>
  <c r="F166" i="69"/>
  <c r="I166" i="69" s="1"/>
  <c r="K185" i="69"/>
  <c r="G185" i="69"/>
  <c r="O185" i="69"/>
  <c r="K187" i="69"/>
  <c r="O187" i="69"/>
  <c r="G187" i="69"/>
  <c r="H202" i="69"/>
  <c r="I202" i="69" s="1"/>
  <c r="K202" i="69"/>
  <c r="G225" i="69"/>
  <c r="F225" i="69"/>
  <c r="K246" i="69"/>
  <c r="P246" i="69" s="1"/>
  <c r="K25" i="69"/>
  <c r="K33" i="69"/>
  <c r="K44" i="69"/>
  <c r="K50" i="69"/>
  <c r="K52" i="69"/>
  <c r="J54" i="69"/>
  <c r="P54" i="69" s="1"/>
  <c r="J56" i="69"/>
  <c r="J58" i="69"/>
  <c r="P58" i="69" s="1"/>
  <c r="N65" i="69"/>
  <c r="F65" i="69"/>
  <c r="O65" i="69"/>
  <c r="H66" i="69"/>
  <c r="K68" i="69"/>
  <c r="G69" i="69"/>
  <c r="I69" i="69" s="1"/>
  <c r="K71" i="69"/>
  <c r="F71" i="69"/>
  <c r="N71" i="69"/>
  <c r="G73" i="69"/>
  <c r="K75" i="69"/>
  <c r="F75" i="69"/>
  <c r="N75" i="69"/>
  <c r="J86" i="69"/>
  <c r="F86" i="69"/>
  <c r="K86" i="69"/>
  <c r="G89" i="69"/>
  <c r="H95" i="69"/>
  <c r="N95" i="69"/>
  <c r="J99" i="69"/>
  <c r="O103" i="69"/>
  <c r="G103" i="69"/>
  <c r="I103" i="69" s="1"/>
  <c r="J107" i="69"/>
  <c r="G116" i="69"/>
  <c r="O117" i="69"/>
  <c r="O119" i="69"/>
  <c r="F119" i="69"/>
  <c r="O123" i="69"/>
  <c r="O136" i="69"/>
  <c r="K151" i="69"/>
  <c r="F151" i="69"/>
  <c r="O151" i="69"/>
  <c r="G151" i="69"/>
  <c r="H161" i="69"/>
  <c r="G161" i="69"/>
  <c r="N161" i="69"/>
  <c r="N164" i="69"/>
  <c r="F164" i="69"/>
  <c r="K166" i="69"/>
  <c r="K170" i="69"/>
  <c r="G170" i="69"/>
  <c r="P205" i="69"/>
  <c r="O214" i="69"/>
  <c r="O225" i="69"/>
  <c r="F25" i="69"/>
  <c r="F33" i="69"/>
  <c r="G44" i="69"/>
  <c r="I44" i="69" s="1"/>
  <c r="F63" i="69"/>
  <c r="I63" i="69" s="1"/>
  <c r="P63" i="69" s="1"/>
  <c r="G65" i="69"/>
  <c r="F68" i="69"/>
  <c r="J69" i="69"/>
  <c r="N70" i="69"/>
  <c r="G70" i="69"/>
  <c r="K70" i="69"/>
  <c r="G71" i="69"/>
  <c r="O71" i="69"/>
  <c r="N74" i="69"/>
  <c r="G74" i="69"/>
  <c r="I74" i="69" s="1"/>
  <c r="K74" i="69"/>
  <c r="G75" i="69"/>
  <c r="O75" i="69"/>
  <c r="K83" i="69"/>
  <c r="G83" i="69"/>
  <c r="J83" i="69"/>
  <c r="N85" i="69"/>
  <c r="G85" i="69"/>
  <c r="I85" i="69" s="1"/>
  <c r="J85" i="69"/>
  <c r="G86" i="69"/>
  <c r="N86" i="69"/>
  <c r="K90" i="69"/>
  <c r="G90" i="69"/>
  <c r="J90" i="69"/>
  <c r="K92" i="69"/>
  <c r="G92" i="69"/>
  <c r="I92" i="69" s="1"/>
  <c r="J92" i="69"/>
  <c r="O95" i="69"/>
  <c r="F99" i="69"/>
  <c r="G119" i="69"/>
  <c r="O120" i="69"/>
  <c r="O121" i="69"/>
  <c r="F123" i="69"/>
  <c r="I123" i="69" s="1"/>
  <c r="F136" i="69"/>
  <c r="I136" i="69" s="1"/>
  <c r="O139" i="69"/>
  <c r="F139" i="69"/>
  <c r="I139" i="69" s="1"/>
  <c r="O147" i="69"/>
  <c r="J147" i="69"/>
  <c r="N147" i="69"/>
  <c r="F154" i="69"/>
  <c r="F161" i="69"/>
  <c r="G164" i="69"/>
  <c r="O166" i="69"/>
  <c r="G188" i="69"/>
  <c r="K188" i="69"/>
  <c r="K189" i="69"/>
  <c r="G189" i="69"/>
  <c r="I215" i="69"/>
  <c r="P215" i="69" s="1"/>
  <c r="O231" i="69"/>
  <c r="G231" i="69"/>
  <c r="F231" i="69"/>
  <c r="F242" i="69"/>
  <c r="I242" i="69" s="1"/>
  <c r="G259" i="69"/>
  <c r="N259" i="69"/>
  <c r="F259" i="69"/>
  <c r="I144" i="69"/>
  <c r="P144" i="69" s="1"/>
  <c r="K148" i="69"/>
  <c r="G148" i="69"/>
  <c r="J148" i="69"/>
  <c r="N150" i="69"/>
  <c r="G150" i="69"/>
  <c r="K150" i="69"/>
  <c r="O162" i="69"/>
  <c r="H162" i="69"/>
  <c r="K162" i="69"/>
  <c r="N165" i="69"/>
  <c r="F165" i="69"/>
  <c r="I165" i="69" s="1"/>
  <c r="O165" i="69"/>
  <c r="N167" i="69"/>
  <c r="O167" i="69"/>
  <c r="F167" i="69"/>
  <c r="I167" i="69" s="1"/>
  <c r="K191" i="69"/>
  <c r="O191" i="69"/>
  <c r="G192" i="69"/>
  <c r="K192" i="69"/>
  <c r="K193" i="69"/>
  <c r="G193" i="69"/>
  <c r="P200" i="69"/>
  <c r="G232" i="69"/>
  <c r="I232" i="69" s="1"/>
  <c r="K232" i="69"/>
  <c r="O233" i="69"/>
  <c r="O237" i="69"/>
  <c r="F237" i="69"/>
  <c r="G237" i="69"/>
  <c r="N198" i="69"/>
  <c r="O238" i="69"/>
  <c r="G250" i="69"/>
  <c r="F250" i="69"/>
  <c r="K261" i="69"/>
  <c r="K21" i="68"/>
  <c r="F21" i="68"/>
  <c r="G21" i="68"/>
  <c r="I53" i="68"/>
  <c r="K84" i="68"/>
  <c r="G84" i="68"/>
  <c r="O84" i="68"/>
  <c r="H84" i="68"/>
  <c r="N84" i="68"/>
  <c r="F84" i="68"/>
  <c r="P133" i="68"/>
  <c r="Z133" i="68" s="1"/>
  <c r="U133" i="68"/>
  <c r="J84" i="68"/>
  <c r="G124" i="68"/>
  <c r="F124" i="68"/>
  <c r="O124" i="68"/>
  <c r="J124" i="68"/>
  <c r="G216" i="68"/>
  <c r="J216" i="68"/>
  <c r="P11" i="68"/>
  <c r="O21" i="68"/>
  <c r="U37" i="68"/>
  <c r="P37" i="68"/>
  <c r="R47" i="68"/>
  <c r="I47" i="68"/>
  <c r="G55" i="68"/>
  <c r="F55" i="68"/>
  <c r="I65" i="68"/>
  <c r="G155" i="68"/>
  <c r="F155" i="68"/>
  <c r="O155" i="68"/>
  <c r="J155" i="68"/>
  <c r="K51" i="68"/>
  <c r="F51" i="68"/>
  <c r="I51" i="68" s="1"/>
  <c r="N148" i="68"/>
  <c r="H148" i="68"/>
  <c r="O148" i="68"/>
  <c r="G148" i="68"/>
  <c r="J148" i="68"/>
  <c r="K148" i="68"/>
  <c r="F148" i="68"/>
  <c r="G172" i="68"/>
  <c r="O172" i="68"/>
  <c r="K172" i="68"/>
  <c r="G194" i="68"/>
  <c r="K194" i="68"/>
  <c r="O194" i="68"/>
  <c r="I10" i="68"/>
  <c r="P10" i="68" s="1"/>
  <c r="R8" i="68"/>
  <c r="G24" i="68"/>
  <c r="F24" i="68"/>
  <c r="K24" i="68"/>
  <c r="H59" i="68"/>
  <c r="F59" i="68"/>
  <c r="N75" i="68"/>
  <c r="G75" i="68"/>
  <c r="K75" i="68"/>
  <c r="F75" i="68"/>
  <c r="O75" i="68"/>
  <c r="H75" i="68"/>
  <c r="U215" i="68"/>
  <c r="G219" i="68"/>
  <c r="I219" i="68" s="1"/>
  <c r="J219" i="68"/>
  <c r="P8" i="68"/>
  <c r="O24" i="68"/>
  <c r="J27" i="68"/>
  <c r="V26" i="68" s="1"/>
  <c r="F27" i="68"/>
  <c r="K27" i="68"/>
  <c r="O33" i="68"/>
  <c r="G33" i="68"/>
  <c r="N33" i="68"/>
  <c r="X26" i="68" s="1"/>
  <c r="F33" i="68"/>
  <c r="J43" i="68"/>
  <c r="G43" i="68"/>
  <c r="I43" i="68" s="1"/>
  <c r="O43" i="68"/>
  <c r="G49" i="68"/>
  <c r="F49" i="68"/>
  <c r="J55" i="68"/>
  <c r="H61" i="68"/>
  <c r="F61" i="68"/>
  <c r="K63" i="68"/>
  <c r="W59" i="68" s="1"/>
  <c r="F63" i="68"/>
  <c r="I63" i="68" s="1"/>
  <c r="O102" i="68"/>
  <c r="K102" i="68"/>
  <c r="G102" i="68"/>
  <c r="I102" i="68" s="1"/>
  <c r="O119" i="68"/>
  <c r="F119" i="68"/>
  <c r="J119" i="68"/>
  <c r="G119" i="68"/>
  <c r="R125" i="68"/>
  <c r="H201" i="68"/>
  <c r="I201" i="68" s="1"/>
  <c r="K201" i="68"/>
  <c r="U211" i="68"/>
  <c r="P211" i="68"/>
  <c r="K240" i="68"/>
  <c r="W240" i="68" s="1"/>
  <c r="I240" i="68"/>
  <c r="O23" i="68"/>
  <c r="F23" i="68"/>
  <c r="I23" i="68" s="1"/>
  <c r="R37" i="68"/>
  <c r="O46" i="68"/>
  <c r="G46" i="68"/>
  <c r="I46" i="68" s="1"/>
  <c r="G57" i="68"/>
  <c r="F57" i="68"/>
  <c r="I58" i="68"/>
  <c r="I64" i="68"/>
  <c r="S64" i="68"/>
  <c r="U64" i="68" s="1"/>
  <c r="O71" i="68"/>
  <c r="H71" i="68"/>
  <c r="N71" i="68"/>
  <c r="G71" i="68"/>
  <c r="O108" i="68"/>
  <c r="J108" i="68"/>
  <c r="G123" i="68"/>
  <c r="I123" i="68" s="1"/>
  <c r="J123" i="68"/>
  <c r="Y126" i="68"/>
  <c r="I129" i="68"/>
  <c r="P129" i="68" s="1"/>
  <c r="R135" i="68"/>
  <c r="S141" i="68"/>
  <c r="G160" i="68"/>
  <c r="I160" i="68" s="1"/>
  <c r="K160" i="68"/>
  <c r="I126" i="68"/>
  <c r="R126" i="68"/>
  <c r="K157" i="68"/>
  <c r="G157" i="68"/>
  <c r="G167" i="68"/>
  <c r="N167" i="68"/>
  <c r="O167" i="68"/>
  <c r="K167" i="68"/>
  <c r="H200" i="68"/>
  <c r="K200" i="68"/>
  <c r="S8" i="68"/>
  <c r="K42" i="68"/>
  <c r="K46" i="68"/>
  <c r="J53" i="68"/>
  <c r="J57" i="68"/>
  <c r="O67" i="68"/>
  <c r="N67" i="68"/>
  <c r="G67" i="68"/>
  <c r="O74" i="68"/>
  <c r="H74" i="68"/>
  <c r="N74" i="68"/>
  <c r="G74" i="68"/>
  <c r="N86" i="68"/>
  <c r="H86" i="68"/>
  <c r="O86" i="68"/>
  <c r="G86" i="68"/>
  <c r="J87" i="68"/>
  <c r="F87" i="68"/>
  <c r="O87" i="68"/>
  <c r="H87" i="68"/>
  <c r="O101" i="68"/>
  <c r="G101" i="68"/>
  <c r="N101" i="68"/>
  <c r="X100" i="68" s="1"/>
  <c r="F101" i="68"/>
  <c r="K114" i="68"/>
  <c r="F114" i="68"/>
  <c r="J114" i="68"/>
  <c r="G120" i="68"/>
  <c r="F120" i="68"/>
  <c r="O123" i="68"/>
  <c r="G158" i="68"/>
  <c r="I158" i="68" s="1"/>
  <c r="K158" i="68"/>
  <c r="F167" i="68"/>
  <c r="H205" i="68"/>
  <c r="I205" i="68" s="1"/>
  <c r="K205" i="68"/>
  <c r="G236" i="68"/>
  <c r="F236" i="68"/>
  <c r="O236" i="68"/>
  <c r="J236" i="68"/>
  <c r="J217" i="68"/>
  <c r="G217" i="68"/>
  <c r="I217" i="68" s="1"/>
  <c r="J44" i="68"/>
  <c r="H66" i="68"/>
  <c r="T65" i="68" s="1"/>
  <c r="O70" i="68"/>
  <c r="H73" i="68"/>
  <c r="N82" i="68"/>
  <c r="H82" i="68"/>
  <c r="J82" i="68"/>
  <c r="K91" i="68"/>
  <c r="G91" i="68"/>
  <c r="J91" i="68"/>
  <c r="I93" i="68"/>
  <c r="R93" i="68"/>
  <c r="J97" i="68"/>
  <c r="O99" i="68"/>
  <c r="K113" i="68"/>
  <c r="F113" i="68"/>
  <c r="I113" i="68" s="1"/>
  <c r="O113" i="68"/>
  <c r="J115" i="68"/>
  <c r="F115" i="68"/>
  <c r="K115" i="68"/>
  <c r="J135" i="68"/>
  <c r="V135" i="68" s="1"/>
  <c r="J136" i="68"/>
  <c r="J137" i="68"/>
  <c r="K147" i="68"/>
  <c r="F147" i="68"/>
  <c r="J147" i="68"/>
  <c r="O147" i="68"/>
  <c r="J149" i="68"/>
  <c r="F149" i="68"/>
  <c r="O149" i="68"/>
  <c r="H149" i="68"/>
  <c r="N149" i="68"/>
  <c r="R153" i="68"/>
  <c r="I153" i="68"/>
  <c r="G154" i="68"/>
  <c r="F154" i="68"/>
  <c r="K176" i="68"/>
  <c r="O176" i="68"/>
  <c r="K190" i="68"/>
  <c r="G190" i="68"/>
  <c r="V199" i="68"/>
  <c r="G222" i="68"/>
  <c r="I222" i="68" s="1"/>
  <c r="J222" i="68"/>
  <c r="O233" i="68"/>
  <c r="G233" i="68"/>
  <c r="F233" i="68"/>
  <c r="O235" i="68"/>
  <c r="F235" i="68"/>
  <c r="G235" i="68"/>
  <c r="J235" i="68"/>
  <c r="G243" i="68"/>
  <c r="K243" i="68"/>
  <c r="K261" i="68"/>
  <c r="N261" i="68"/>
  <c r="F261" i="68"/>
  <c r="N88" i="68"/>
  <c r="H88" i="68"/>
  <c r="J88" i="68"/>
  <c r="J89" i="68"/>
  <c r="F89" i="68"/>
  <c r="N89" i="68"/>
  <c r="N95" i="68"/>
  <c r="H95" i="68"/>
  <c r="J95" i="68"/>
  <c r="J99" i="68"/>
  <c r="O104" i="68"/>
  <c r="G104" i="68"/>
  <c r="I104" i="68" s="1"/>
  <c r="O122" i="68"/>
  <c r="F122" i="68"/>
  <c r="O139" i="68"/>
  <c r="F139" i="68"/>
  <c r="G140" i="68"/>
  <c r="J140" i="68"/>
  <c r="R141" i="68"/>
  <c r="I141" i="68"/>
  <c r="I145" i="68"/>
  <c r="P145" i="68" s="1"/>
  <c r="G147" i="68"/>
  <c r="G149" i="68"/>
  <c r="O150" i="68"/>
  <c r="J150" i="68"/>
  <c r="N150" i="68"/>
  <c r="G165" i="68"/>
  <c r="F165" i="68"/>
  <c r="G176" i="68"/>
  <c r="G186" i="68"/>
  <c r="K186" i="68"/>
  <c r="J218" i="68"/>
  <c r="G218" i="68"/>
  <c r="I218" i="68" s="1"/>
  <c r="G223" i="68"/>
  <c r="I223" i="68" s="1"/>
  <c r="J223" i="68"/>
  <c r="J233" i="68"/>
  <c r="F243" i="68"/>
  <c r="Z251" i="68"/>
  <c r="U251" i="68"/>
  <c r="G261" i="68"/>
  <c r="N151" i="68"/>
  <c r="G151" i="68"/>
  <c r="K151" i="68"/>
  <c r="J156" i="68"/>
  <c r="F242" i="68"/>
  <c r="G242" i="68"/>
  <c r="N258" i="68"/>
  <c r="F258" i="68"/>
  <c r="G258" i="68"/>
  <c r="N259" i="68"/>
  <c r="F259" i="68"/>
  <c r="G259" i="68"/>
  <c r="K168" i="68"/>
  <c r="J214" i="68"/>
  <c r="V214" i="68" s="1"/>
  <c r="G214" i="68"/>
  <c r="O230" i="68"/>
  <c r="G230" i="68"/>
  <c r="F230" i="68"/>
  <c r="N231" i="68"/>
  <c r="G231" i="68"/>
  <c r="J231" i="68"/>
  <c r="O231" i="68"/>
  <c r="I237" i="68"/>
  <c r="G248" i="68"/>
  <c r="F248" i="68"/>
  <c r="G250" i="68"/>
  <c r="I250" i="68" s="1"/>
  <c r="K250" i="68"/>
  <c r="V211" i="68"/>
  <c r="P213" i="68"/>
  <c r="K232" i="68"/>
  <c r="W229" i="68" s="1"/>
  <c r="O234" i="68"/>
  <c r="G234" i="68"/>
  <c r="J234" i="68"/>
  <c r="N260" i="68"/>
  <c r="N64" i="67"/>
  <c r="W64" i="67"/>
  <c r="R106" i="67"/>
  <c r="G111" i="67"/>
  <c r="O111" i="67"/>
  <c r="Y111" i="67" s="1"/>
  <c r="N117" i="67"/>
  <c r="I8" i="67"/>
  <c r="R8" i="67"/>
  <c r="K15" i="67"/>
  <c r="N15" i="67" s="1"/>
  <c r="O26" i="67"/>
  <c r="K26" i="67"/>
  <c r="N26" i="67" s="1"/>
  <c r="F26" i="67"/>
  <c r="O29" i="67"/>
  <c r="M29" i="67"/>
  <c r="F29" i="67"/>
  <c r="J43" i="67"/>
  <c r="N43" i="67" s="1"/>
  <c r="G43" i="67"/>
  <c r="J44" i="67"/>
  <c r="N44" i="67" s="1"/>
  <c r="G44" i="67"/>
  <c r="I44" i="67" s="1"/>
  <c r="J45" i="67"/>
  <c r="N45" i="67" s="1"/>
  <c r="G45" i="67"/>
  <c r="I45" i="67" s="1"/>
  <c r="J46" i="67"/>
  <c r="N46" i="67" s="1"/>
  <c r="G46" i="67"/>
  <c r="I46" i="67" s="1"/>
  <c r="N53" i="67"/>
  <c r="G64" i="67"/>
  <c r="J66" i="67"/>
  <c r="F66" i="67"/>
  <c r="H66" i="67"/>
  <c r="T65" i="67" s="1"/>
  <c r="O66" i="67"/>
  <c r="R133" i="67"/>
  <c r="I133" i="67"/>
  <c r="P133" i="67" s="1"/>
  <c r="Z133" i="67" s="1"/>
  <c r="O168" i="67"/>
  <c r="M168" i="67"/>
  <c r="F168" i="67"/>
  <c r="G168" i="67"/>
  <c r="K168" i="67"/>
  <c r="I9" i="67"/>
  <c r="P9" i="67" s="1"/>
  <c r="K17" i="67"/>
  <c r="N17" i="67" s="1"/>
  <c r="G21" i="67"/>
  <c r="I21" i="67" s="1"/>
  <c r="N23" i="67"/>
  <c r="G24" i="67"/>
  <c r="I24" i="67" s="1"/>
  <c r="G25" i="67"/>
  <c r="I25" i="67" s="1"/>
  <c r="G26" i="67"/>
  <c r="G29" i="67"/>
  <c r="V37" i="67"/>
  <c r="K50" i="67"/>
  <c r="N50" i="67" s="1"/>
  <c r="G52" i="67"/>
  <c r="I52" i="67" s="1"/>
  <c r="I55" i="67"/>
  <c r="P55" i="67" s="1"/>
  <c r="G66" i="67"/>
  <c r="K67" i="67"/>
  <c r="F67" i="67"/>
  <c r="O67" i="67"/>
  <c r="K69" i="67"/>
  <c r="F69" i="67"/>
  <c r="M69" i="67"/>
  <c r="G69" i="67"/>
  <c r="K82" i="67"/>
  <c r="G82" i="67"/>
  <c r="M82" i="67"/>
  <c r="F82" i="67"/>
  <c r="O82" i="67"/>
  <c r="H82" i="67"/>
  <c r="K86" i="67"/>
  <c r="G86" i="67"/>
  <c r="M86" i="67"/>
  <c r="F86" i="67"/>
  <c r="O86" i="67"/>
  <c r="H86" i="67"/>
  <c r="I100" i="67"/>
  <c r="J107" i="67"/>
  <c r="N107" i="67" s="1"/>
  <c r="G107" i="67"/>
  <c r="K27" i="67"/>
  <c r="N27" i="67" s="1"/>
  <c r="F27" i="67"/>
  <c r="O27" i="67"/>
  <c r="N222" i="67"/>
  <c r="V8" i="67"/>
  <c r="G15" i="67"/>
  <c r="I15" i="67" s="1"/>
  <c r="I17" i="67"/>
  <c r="O21" i="67"/>
  <c r="O24" i="67"/>
  <c r="O25" i="67"/>
  <c r="G27" i="67"/>
  <c r="K31" i="67"/>
  <c r="N31" i="67" s="1"/>
  <c r="F31" i="67"/>
  <c r="O31" i="67"/>
  <c r="P37" i="67"/>
  <c r="P41" i="67"/>
  <c r="O43" i="67"/>
  <c r="O44" i="67"/>
  <c r="O45" i="67"/>
  <c r="O46" i="67"/>
  <c r="N48" i="67"/>
  <c r="I50" i="67"/>
  <c r="P54" i="67"/>
  <c r="O65" i="67"/>
  <c r="M65" i="67"/>
  <c r="F65" i="67"/>
  <c r="M66" i="67"/>
  <c r="K71" i="67"/>
  <c r="F71" i="67"/>
  <c r="H71" i="67"/>
  <c r="M71" i="67"/>
  <c r="G71" i="67"/>
  <c r="G78" i="67"/>
  <c r="O78" i="67"/>
  <c r="F78" i="67"/>
  <c r="K78" i="67"/>
  <c r="N78" i="67" s="1"/>
  <c r="M87" i="67"/>
  <c r="H87" i="67"/>
  <c r="K87" i="67"/>
  <c r="F87" i="67"/>
  <c r="O87" i="67"/>
  <c r="G87" i="67"/>
  <c r="N175" i="67"/>
  <c r="P216" i="67"/>
  <c r="U216" i="67"/>
  <c r="R216" i="67"/>
  <c r="J70" i="67"/>
  <c r="O70" i="67"/>
  <c r="J89" i="67"/>
  <c r="F89" i="67"/>
  <c r="M89" i="67"/>
  <c r="O103" i="67"/>
  <c r="O109" i="67"/>
  <c r="G117" i="67"/>
  <c r="O117" i="67"/>
  <c r="F117" i="67"/>
  <c r="Y126" i="67"/>
  <c r="P130" i="67"/>
  <c r="P145" i="67"/>
  <c r="U174" i="67"/>
  <c r="O234" i="67"/>
  <c r="J234" i="67"/>
  <c r="F234" i="67"/>
  <c r="K234" i="67"/>
  <c r="G234" i="67"/>
  <c r="M234" i="67"/>
  <c r="X234" i="67" s="1"/>
  <c r="K235" i="67"/>
  <c r="F235" i="67"/>
  <c r="G235" i="67"/>
  <c r="O235" i="67"/>
  <c r="J235" i="67"/>
  <c r="G14" i="67"/>
  <c r="G22" i="67"/>
  <c r="I22" i="67" s="1"/>
  <c r="O22" i="67"/>
  <c r="G28" i="67"/>
  <c r="J33" i="67"/>
  <c r="O42" i="67"/>
  <c r="G56" i="67"/>
  <c r="G68" i="67"/>
  <c r="F70" i="67"/>
  <c r="I70" i="67" s="1"/>
  <c r="G73" i="67"/>
  <c r="M73" i="67"/>
  <c r="G75" i="67"/>
  <c r="M75" i="67"/>
  <c r="N75" i="67" s="1"/>
  <c r="M76" i="67"/>
  <c r="G76" i="67"/>
  <c r="K76" i="67"/>
  <c r="G77" i="67"/>
  <c r="I77" i="67" s="1"/>
  <c r="M79" i="67"/>
  <c r="N79" i="67" s="1"/>
  <c r="F79" i="67"/>
  <c r="G81" i="67"/>
  <c r="K83" i="67"/>
  <c r="G83" i="67"/>
  <c r="J83" i="67"/>
  <c r="M84" i="67"/>
  <c r="H84" i="67"/>
  <c r="I84" i="67" s="1"/>
  <c r="J84" i="67"/>
  <c r="G89" i="67"/>
  <c r="O92" i="67"/>
  <c r="J92" i="67"/>
  <c r="F92" i="67"/>
  <c r="K92" i="67"/>
  <c r="R93" i="67"/>
  <c r="I93" i="67"/>
  <c r="H95" i="67"/>
  <c r="M96" i="67"/>
  <c r="G96" i="67"/>
  <c r="I96" i="67" s="1"/>
  <c r="J96" i="67"/>
  <c r="M98" i="67"/>
  <c r="G98" i="67"/>
  <c r="J98" i="67"/>
  <c r="K100" i="67"/>
  <c r="N100" i="67" s="1"/>
  <c r="K102" i="67"/>
  <c r="N102" i="67" s="1"/>
  <c r="G103" i="67"/>
  <c r="I103" i="67" s="1"/>
  <c r="N106" i="67"/>
  <c r="G108" i="67"/>
  <c r="I108" i="67" s="1"/>
  <c r="I109" i="67"/>
  <c r="I123" i="67"/>
  <c r="V126" i="67"/>
  <c r="P127" i="67"/>
  <c r="P128" i="67"/>
  <c r="I129" i="67"/>
  <c r="P129" i="67" s="1"/>
  <c r="V135" i="67"/>
  <c r="I141" i="67"/>
  <c r="Y141" i="67"/>
  <c r="P144" i="67"/>
  <c r="I158" i="67"/>
  <c r="P159" i="67"/>
  <c r="Z159" i="67" s="1"/>
  <c r="N218" i="67"/>
  <c r="V216" i="67"/>
  <c r="V219" i="67"/>
  <c r="N219" i="67"/>
  <c r="G238" i="67"/>
  <c r="O238" i="67"/>
  <c r="F238" i="67"/>
  <c r="K238" i="67"/>
  <c r="J238" i="67"/>
  <c r="M77" i="67"/>
  <c r="M81" i="67"/>
  <c r="N81" i="67" s="1"/>
  <c r="M90" i="67"/>
  <c r="H90" i="67"/>
  <c r="J90" i="67"/>
  <c r="J95" i="67"/>
  <c r="F95" i="67"/>
  <c r="M95" i="67"/>
  <c r="O113" i="67"/>
  <c r="J113" i="67"/>
  <c r="N113" i="67" s="1"/>
  <c r="F113" i="67"/>
  <c r="J115" i="67"/>
  <c r="N115" i="67" s="1"/>
  <c r="F115" i="67"/>
  <c r="G115" i="67"/>
  <c r="V125" i="67"/>
  <c r="V141" i="67"/>
  <c r="J147" i="67"/>
  <c r="M147" i="67"/>
  <c r="F147" i="67"/>
  <c r="M149" i="67"/>
  <c r="O149" i="67"/>
  <c r="J149" i="67"/>
  <c r="F149" i="67"/>
  <c r="G149" i="67"/>
  <c r="P218" i="67"/>
  <c r="G229" i="67"/>
  <c r="O229" i="67"/>
  <c r="K229" i="67"/>
  <c r="F229" i="67"/>
  <c r="J229" i="67"/>
  <c r="J101" i="67"/>
  <c r="K116" i="67"/>
  <c r="R153" i="67"/>
  <c r="G162" i="67"/>
  <c r="K162" i="67"/>
  <c r="M170" i="67"/>
  <c r="F170" i="67"/>
  <c r="I170" i="67" s="1"/>
  <c r="O170" i="67"/>
  <c r="O177" i="67"/>
  <c r="G177" i="67"/>
  <c r="K177" i="67"/>
  <c r="N177" i="67" s="1"/>
  <c r="O192" i="67"/>
  <c r="G192" i="67"/>
  <c r="K192" i="67"/>
  <c r="N192" i="67" s="1"/>
  <c r="O196" i="67"/>
  <c r="G196" i="67"/>
  <c r="K196" i="67"/>
  <c r="N196" i="67" s="1"/>
  <c r="O200" i="67"/>
  <c r="G200" i="67"/>
  <c r="K200" i="67"/>
  <c r="N200" i="67" s="1"/>
  <c r="J203" i="67"/>
  <c r="M203" i="67"/>
  <c r="X203" i="67" s="1"/>
  <c r="H203" i="67"/>
  <c r="T203" i="67" s="1"/>
  <c r="S215" i="67"/>
  <c r="P226" i="67"/>
  <c r="O237" i="67"/>
  <c r="G237" i="67"/>
  <c r="I237" i="67" s="1"/>
  <c r="F248" i="67"/>
  <c r="G248" i="67"/>
  <c r="K112" i="67"/>
  <c r="N112" i="67" s="1"/>
  <c r="F112" i="67"/>
  <c r="K114" i="67"/>
  <c r="K135" i="67"/>
  <c r="W135" i="67" s="1"/>
  <c r="R141" i="67"/>
  <c r="K170" i="67"/>
  <c r="O172" i="67"/>
  <c r="M172" i="67"/>
  <c r="N172" i="67" s="1"/>
  <c r="F172" i="67"/>
  <c r="I172" i="67" s="1"/>
  <c r="K181" i="67"/>
  <c r="N181" i="67" s="1"/>
  <c r="O181" i="67"/>
  <c r="G181" i="67"/>
  <c r="K190" i="67"/>
  <c r="N190" i="67" s="1"/>
  <c r="O190" i="67"/>
  <c r="G190" i="67"/>
  <c r="K194" i="67"/>
  <c r="N194" i="67" s="1"/>
  <c r="O194" i="67"/>
  <c r="G194" i="67"/>
  <c r="K198" i="67"/>
  <c r="N198" i="67" s="1"/>
  <c r="O198" i="67"/>
  <c r="G198" i="67"/>
  <c r="G203" i="67"/>
  <c r="P215" i="67"/>
  <c r="Z215" i="67" s="1"/>
  <c r="I221" i="67"/>
  <c r="P222" i="67"/>
  <c r="J225" i="67"/>
  <c r="N225" i="67" s="1"/>
  <c r="G225" i="67"/>
  <c r="I225" i="67" s="1"/>
  <c r="K237" i="67"/>
  <c r="N237" i="67" s="1"/>
  <c r="W251" i="67"/>
  <c r="N251" i="67"/>
  <c r="G254" i="67"/>
  <c r="F254" i="67"/>
  <c r="P258" i="67"/>
  <c r="Z256" i="67" s="1"/>
  <c r="U256" i="67"/>
  <c r="G263" i="67"/>
  <c r="M263" i="67"/>
  <c r="F263" i="67"/>
  <c r="G150" i="67"/>
  <c r="M150" i="67"/>
  <c r="J151" i="67"/>
  <c r="N151" i="67" s="1"/>
  <c r="I153" i="67"/>
  <c r="G164" i="67"/>
  <c r="I164" i="67" s="1"/>
  <c r="G171" i="67"/>
  <c r="O219" i="67"/>
  <c r="Y219" i="67" s="1"/>
  <c r="G219" i="67"/>
  <c r="F253" i="67"/>
  <c r="G253" i="67"/>
  <c r="S251" i="67" s="1"/>
  <c r="I255" i="67"/>
  <c r="P255" i="67" s="1"/>
  <c r="J150" i="67"/>
  <c r="G233" i="67"/>
  <c r="O233" i="67"/>
  <c r="F239" i="67"/>
  <c r="O239" i="67"/>
  <c r="G239" i="67"/>
  <c r="U245" i="67"/>
  <c r="F247" i="67"/>
  <c r="G247" i="67"/>
  <c r="M264" i="67"/>
  <c r="N264" i="67" s="1"/>
  <c r="F264" i="67"/>
  <c r="G264" i="67"/>
  <c r="M265" i="67"/>
  <c r="N265" i="67" s="1"/>
  <c r="F265" i="67"/>
  <c r="G265" i="67"/>
  <c r="M266" i="67"/>
  <c r="N266" i="67" s="1"/>
  <c r="F266" i="67"/>
  <c r="G266" i="67"/>
  <c r="F267" i="67"/>
  <c r="G267" i="67"/>
  <c r="F230" i="67"/>
  <c r="F231" i="67"/>
  <c r="I231" i="67" s="1"/>
  <c r="K231" i="67"/>
  <c r="J232" i="67"/>
  <c r="F240" i="67"/>
  <c r="I240" i="67" s="1"/>
  <c r="P240" i="67" s="1"/>
  <c r="F241" i="67"/>
  <c r="F242" i="67"/>
  <c r="I242" i="67" s="1"/>
  <c r="F243" i="67"/>
  <c r="F251" i="67"/>
  <c r="F252" i="67"/>
  <c r="I252" i="67" s="1"/>
  <c r="J236" i="67"/>
  <c r="N236" i="67" s="1"/>
  <c r="N26" i="66"/>
  <c r="V26" i="66"/>
  <c r="N65" i="66"/>
  <c r="V65" i="66"/>
  <c r="P71" i="66"/>
  <c r="Z71" i="66" s="1"/>
  <c r="U162" i="66"/>
  <c r="P162" i="66"/>
  <c r="Z162" i="66" s="1"/>
  <c r="N222" i="66"/>
  <c r="P222" i="66"/>
  <c r="U8" i="66"/>
  <c r="U7" i="66"/>
  <c r="S53" i="66"/>
  <c r="I53" i="66"/>
  <c r="R112" i="66"/>
  <c r="I112" i="66"/>
  <c r="S158" i="66"/>
  <c r="I158" i="66"/>
  <c r="I220" i="66"/>
  <c r="P220" i="66" s="1"/>
  <c r="R220" i="66"/>
  <c r="P39" i="66"/>
  <c r="N71" i="66"/>
  <c r="W71" i="66"/>
  <c r="P80" i="66"/>
  <c r="P96" i="66"/>
  <c r="P98" i="66"/>
  <c r="P114" i="66"/>
  <c r="V117" i="66"/>
  <c r="N117" i="66"/>
  <c r="R126" i="66"/>
  <c r="I126" i="66"/>
  <c r="R162" i="66"/>
  <c r="I164" i="66"/>
  <c r="P164" i="66" s="1"/>
  <c r="S167" i="66"/>
  <c r="I167" i="66"/>
  <c r="U203" i="66"/>
  <c r="P203" i="66"/>
  <c r="Z203" i="66" s="1"/>
  <c r="P219" i="66"/>
  <c r="P236" i="66"/>
  <c r="V8" i="66"/>
  <c r="N14" i="66"/>
  <c r="I37" i="66"/>
  <c r="I48" i="66"/>
  <c r="U64" i="66"/>
  <c r="Z64" i="66" s="1"/>
  <c r="U65" i="66"/>
  <c r="W67" i="66"/>
  <c r="P103" i="66"/>
  <c r="W135" i="66"/>
  <c r="N135" i="66"/>
  <c r="R141" i="66"/>
  <c r="I141" i="66"/>
  <c r="T153" i="66"/>
  <c r="I153" i="66"/>
  <c r="P173" i="66"/>
  <c r="N226" i="66"/>
  <c r="P226" i="66"/>
  <c r="T8" i="66"/>
  <c r="I14" i="66"/>
  <c r="R12" i="66"/>
  <c r="P21" i="66"/>
  <c r="Z21" i="66" s="1"/>
  <c r="N41" i="66"/>
  <c r="V47" i="66"/>
  <c r="R65" i="66"/>
  <c r="U76" i="66"/>
  <c r="P76" i="66"/>
  <c r="Z76" i="66" s="1"/>
  <c r="I89" i="66"/>
  <c r="P89" i="66" s="1"/>
  <c r="I92" i="66"/>
  <c r="P92" i="66" s="1"/>
  <c r="P99" i="66"/>
  <c r="W100" i="66"/>
  <c r="N100" i="66"/>
  <c r="P102" i="66"/>
  <c r="P104" i="66"/>
  <c r="S111" i="66"/>
  <c r="I111" i="66"/>
  <c r="U247" i="66"/>
  <c r="P247" i="66"/>
  <c r="Z247" i="66" s="1"/>
  <c r="N252" i="66"/>
  <c r="P252" i="66"/>
  <c r="S133" i="66"/>
  <c r="P135" i="66"/>
  <c r="Z135" i="66" s="1"/>
  <c r="U159" i="66"/>
  <c r="P159" i="66"/>
  <c r="Z159" i="66" s="1"/>
  <c r="U216" i="66"/>
  <c r="S247" i="66"/>
  <c r="N87" i="66"/>
  <c r="X95" i="66"/>
  <c r="N106" i="66"/>
  <c r="P118" i="66"/>
  <c r="R135" i="66"/>
  <c r="V136" i="66"/>
  <c r="P138" i="66"/>
  <c r="P145" i="66"/>
  <c r="I148" i="66"/>
  <c r="P148" i="66" s="1"/>
  <c r="V216" i="66"/>
  <c r="N216" i="66"/>
  <c r="N221" i="66"/>
  <c r="U234" i="66"/>
  <c r="N245" i="66"/>
  <c r="W245" i="66"/>
  <c r="R251" i="66"/>
  <c r="I251" i="66"/>
  <c r="U256" i="66"/>
  <c r="P38" i="66"/>
  <c r="I47" i="66"/>
  <c r="I52" i="66"/>
  <c r="P52" i="66" s="1"/>
  <c r="N80" i="66"/>
  <c r="I87" i="66"/>
  <c r="P87" i="66" s="1"/>
  <c r="I106" i="66"/>
  <c r="I107" i="66"/>
  <c r="P107" i="66" s="1"/>
  <c r="N112" i="66"/>
  <c r="R117" i="66"/>
  <c r="I122" i="66"/>
  <c r="P122" i="66" s="1"/>
  <c r="I147" i="66"/>
  <c r="N147" i="66"/>
  <c r="N149" i="66"/>
  <c r="W153" i="66"/>
  <c r="N164" i="66"/>
  <c r="N215" i="66"/>
  <c r="N220" i="66"/>
  <c r="P221" i="66"/>
  <c r="Z221" i="66" s="1"/>
  <c r="P225" i="66"/>
  <c r="N236" i="66"/>
  <c r="P245" i="66"/>
  <c r="I255" i="66"/>
  <c r="P255" i="66" s="1"/>
  <c r="I264" i="66"/>
  <c r="P264" i="66" s="1"/>
  <c r="I142" i="66"/>
  <c r="P142" i="66" s="1"/>
  <c r="I149" i="66"/>
  <c r="P149" i="66" s="1"/>
  <c r="W167" i="66"/>
  <c r="N167" i="66"/>
  <c r="U174" i="66"/>
  <c r="I215" i="66"/>
  <c r="S215" i="66"/>
  <c r="N238" i="66"/>
  <c r="I253" i="66"/>
  <c r="P253" i="66" s="1"/>
  <c r="I263" i="66"/>
  <c r="U93" i="66" l="1"/>
  <c r="P82" i="66"/>
  <c r="Z82" i="66" s="1"/>
  <c r="P100" i="66"/>
  <c r="Z100" i="66" s="1"/>
  <c r="P136" i="66"/>
  <c r="Z136" i="66" s="1"/>
  <c r="P95" i="66"/>
  <c r="Z95" i="66" s="1"/>
  <c r="P148" i="67"/>
  <c r="P123" i="67"/>
  <c r="N116" i="67"/>
  <c r="I92" i="67"/>
  <c r="P92" i="67" s="1"/>
  <c r="Y106" i="67"/>
  <c r="I31" i="67"/>
  <c r="S65" i="67"/>
  <c r="U106" i="68"/>
  <c r="X229" i="70"/>
  <c r="I90" i="68"/>
  <c r="I228" i="68"/>
  <c r="P57" i="70"/>
  <c r="I243" i="70"/>
  <c r="P205" i="70"/>
  <c r="I70" i="70"/>
  <c r="I99" i="69"/>
  <c r="P99" i="69" s="1"/>
  <c r="P140" i="67"/>
  <c r="P260" i="68"/>
  <c r="W48" i="68"/>
  <c r="I68" i="69"/>
  <c r="P68" i="69" s="1"/>
  <c r="I95" i="69"/>
  <c r="I120" i="67"/>
  <c r="P120" i="67" s="1"/>
  <c r="I72" i="68"/>
  <c r="P72" i="68" s="1"/>
  <c r="I99" i="68"/>
  <c r="P99" i="68" s="1"/>
  <c r="I82" i="69"/>
  <c r="W147" i="67"/>
  <c r="Y239" i="67"/>
  <c r="P117" i="66"/>
  <c r="Z117" i="66" s="1"/>
  <c r="V100" i="67"/>
  <c r="I151" i="68"/>
  <c r="P114" i="67"/>
  <c r="Y112" i="67"/>
  <c r="N77" i="67"/>
  <c r="I78" i="70"/>
  <c r="W242" i="70"/>
  <c r="S106" i="68"/>
  <c r="P102" i="70"/>
  <c r="I233" i="67"/>
  <c r="U7" i="67"/>
  <c r="P239" i="66"/>
  <c r="Z239" i="66" s="1"/>
  <c r="N99" i="67"/>
  <c r="I72" i="67"/>
  <c r="W258" i="68"/>
  <c r="N125" i="67"/>
  <c r="I79" i="67"/>
  <c r="Z37" i="68"/>
  <c r="U132" i="66"/>
  <c r="N232" i="67"/>
  <c r="T95" i="67"/>
  <c r="P244" i="70"/>
  <c r="V65" i="70"/>
  <c r="I167" i="67"/>
  <c r="P167" i="67" s="1"/>
  <c r="I70" i="68"/>
  <c r="I79" i="68"/>
  <c r="I100" i="68"/>
  <c r="P100" i="68" s="1"/>
  <c r="R21" i="67"/>
  <c r="I68" i="67"/>
  <c r="P68" i="67" s="1"/>
  <c r="P164" i="67"/>
  <c r="N245" i="67"/>
  <c r="I56" i="67"/>
  <c r="P56" i="67" s="1"/>
  <c r="Z53" i="67" s="1"/>
  <c r="S117" i="67"/>
  <c r="P47" i="67"/>
  <c r="Z47" i="67" s="1"/>
  <c r="N231" i="67"/>
  <c r="Z245" i="67"/>
  <c r="N88" i="67"/>
  <c r="R53" i="67"/>
  <c r="P245" i="67"/>
  <c r="I53" i="67"/>
  <c r="P53" i="67" s="1"/>
  <c r="I30" i="67"/>
  <c r="X67" i="67"/>
  <c r="N164" i="67"/>
  <c r="I73" i="67"/>
  <c r="P73" i="67" s="1"/>
  <c r="I125" i="67"/>
  <c r="P125" i="67" s="1"/>
  <c r="P52" i="67"/>
  <c r="I136" i="67"/>
  <c r="P136" i="67" s="1"/>
  <c r="I16" i="67"/>
  <c r="P16" i="67" s="1"/>
  <c r="I254" i="67"/>
  <c r="P254" i="67" s="1"/>
  <c r="X26" i="67"/>
  <c r="P97" i="67"/>
  <c r="P108" i="67"/>
  <c r="I88" i="67"/>
  <c r="N73" i="67"/>
  <c r="P110" i="67"/>
  <c r="P229" i="66"/>
  <c r="Z229" i="66" s="1"/>
  <c r="N86" i="67"/>
  <c r="P58" i="68"/>
  <c r="S242" i="70"/>
  <c r="I120" i="70"/>
  <c r="P120" i="70" s="1"/>
  <c r="U37" i="67"/>
  <c r="Y95" i="68"/>
  <c r="I98" i="67"/>
  <c r="P98" i="67" s="1"/>
  <c r="R135" i="67"/>
  <c r="W48" i="67"/>
  <c r="I232" i="67"/>
  <c r="P232" i="67" s="1"/>
  <c r="X157" i="68"/>
  <c r="S112" i="68"/>
  <c r="I81" i="68"/>
  <c r="P81" i="68" s="1"/>
  <c r="I122" i="67"/>
  <c r="P122" i="67" s="1"/>
  <c r="N235" i="67"/>
  <c r="I243" i="67"/>
  <c r="P243" i="67" s="1"/>
  <c r="Y76" i="67"/>
  <c r="N82" i="67"/>
  <c r="P30" i="67"/>
  <c r="I91" i="67"/>
  <c r="P91" i="67" s="1"/>
  <c r="P165" i="67"/>
  <c r="N89" i="67"/>
  <c r="R136" i="67"/>
  <c r="P99" i="67"/>
  <c r="I139" i="67"/>
  <c r="P139" i="67" s="1"/>
  <c r="P216" i="70"/>
  <c r="I100" i="70"/>
  <c r="P100" i="70" s="1"/>
  <c r="P224" i="67"/>
  <c r="P163" i="67"/>
  <c r="I198" i="68"/>
  <c r="I49" i="67"/>
  <c r="P49" i="67" s="1"/>
  <c r="Z48" i="67" s="1"/>
  <c r="P237" i="68"/>
  <c r="I135" i="68"/>
  <c r="Y95" i="67"/>
  <c r="I83" i="68"/>
  <c r="P83" i="68" s="1"/>
  <c r="P132" i="68"/>
  <c r="Z132" i="68" s="1"/>
  <c r="P54" i="68"/>
  <c r="S157" i="70"/>
  <c r="R100" i="70"/>
  <c r="W247" i="67"/>
  <c r="P124" i="67"/>
  <c r="I80" i="67"/>
  <c r="P80" i="67" s="1"/>
  <c r="I74" i="67"/>
  <c r="P74" i="67" s="1"/>
  <c r="N171" i="67"/>
  <c r="I138" i="67"/>
  <c r="P138" i="67" s="1"/>
  <c r="I121" i="67"/>
  <c r="P121" i="67" s="1"/>
  <c r="P104" i="67"/>
  <c r="Y71" i="67"/>
  <c r="N69" i="67"/>
  <c r="P42" i="67"/>
  <c r="I137" i="68"/>
  <c r="P137" i="68" s="1"/>
  <c r="P202" i="68"/>
  <c r="P231" i="70"/>
  <c r="I58" i="67"/>
  <c r="P58" i="67" s="1"/>
  <c r="I33" i="67"/>
  <c r="P33" i="67" s="1"/>
  <c r="S147" i="67"/>
  <c r="N83" i="67"/>
  <c r="T71" i="67"/>
  <c r="W12" i="67"/>
  <c r="I86" i="67"/>
  <c r="P86" i="67" s="1"/>
  <c r="W67" i="67"/>
  <c r="X229" i="68"/>
  <c r="I101" i="67"/>
  <c r="P101" i="67" s="1"/>
  <c r="P249" i="67"/>
  <c r="I236" i="67"/>
  <c r="P57" i="67"/>
  <c r="N91" i="67"/>
  <c r="V221" i="67"/>
  <c r="W21" i="67"/>
  <c r="U132" i="67"/>
  <c r="P44" i="67"/>
  <c r="T82" i="67"/>
  <c r="S239" i="67"/>
  <c r="X167" i="67"/>
  <c r="I83" i="67"/>
  <c r="P83" i="67" s="1"/>
  <c r="P50" i="67"/>
  <c r="I125" i="68"/>
  <c r="P125" i="68" s="1"/>
  <c r="P173" i="67"/>
  <c r="I85" i="67"/>
  <c r="P85" i="67" s="1"/>
  <c r="P103" i="68"/>
  <c r="I78" i="68"/>
  <c r="I56" i="68"/>
  <c r="P56" i="68" s="1"/>
  <c r="I96" i="68"/>
  <c r="P96" i="68" s="1"/>
  <c r="S65" i="68"/>
  <c r="R71" i="68"/>
  <c r="I29" i="68"/>
  <c r="P29" i="68" s="1"/>
  <c r="I155" i="69"/>
  <c r="P155" i="69" s="1"/>
  <c r="I260" i="69"/>
  <c r="P260" i="69" s="1"/>
  <c r="P106" i="69"/>
  <c r="I92" i="70"/>
  <c r="P92" i="70" s="1"/>
  <c r="V65" i="68"/>
  <c r="P45" i="68"/>
  <c r="I30" i="68"/>
  <c r="P30" i="68" s="1"/>
  <c r="I76" i="68"/>
  <c r="P76" i="68" s="1"/>
  <c r="P124" i="69"/>
  <c r="I67" i="69"/>
  <c r="I159" i="69"/>
  <c r="P159" i="69" s="1"/>
  <c r="I250" i="67"/>
  <c r="P250" i="67" s="1"/>
  <c r="P228" i="67"/>
  <c r="P107" i="70"/>
  <c r="Y21" i="70"/>
  <c r="P137" i="70"/>
  <c r="I72" i="70"/>
  <c r="P72" i="70" s="1"/>
  <c r="I166" i="70"/>
  <c r="V53" i="70"/>
  <c r="Z37" i="70"/>
  <c r="I168" i="70"/>
  <c r="P168" i="70" s="1"/>
  <c r="S229" i="70"/>
  <c r="I163" i="70"/>
  <c r="V100" i="70"/>
  <c r="P78" i="70"/>
  <c r="I116" i="70"/>
  <c r="Z240" i="70"/>
  <c r="I248" i="70"/>
  <c r="P248" i="70" s="1"/>
  <c r="I90" i="70"/>
  <c r="P90" i="70" s="1"/>
  <c r="I230" i="70"/>
  <c r="P230" i="70" s="1"/>
  <c r="S162" i="70"/>
  <c r="I150" i="70"/>
  <c r="P150" i="70" s="1"/>
  <c r="P50" i="70"/>
  <c r="I79" i="70"/>
  <c r="I82" i="70"/>
  <c r="P82" i="70" s="1"/>
  <c r="W246" i="70"/>
  <c r="I228" i="70"/>
  <c r="P228" i="70" s="1"/>
  <c r="I235" i="70"/>
  <c r="P235" i="70" s="1"/>
  <c r="I155" i="70"/>
  <c r="P155" i="70" s="1"/>
  <c r="S67" i="70"/>
  <c r="S111" i="70"/>
  <c r="P240" i="70"/>
  <c r="I61" i="70"/>
  <c r="P61" i="70" s="1"/>
  <c r="I162" i="70"/>
  <c r="P162" i="70" s="1"/>
  <c r="Y67" i="70"/>
  <c r="I234" i="70"/>
  <c r="I73" i="70"/>
  <c r="P73" i="70" s="1"/>
  <c r="I86" i="70"/>
  <c r="P86" i="70" s="1"/>
  <c r="Y162" i="70"/>
  <c r="I198" i="70"/>
  <c r="U59" i="70"/>
  <c r="I227" i="70"/>
  <c r="P227" i="70" s="1"/>
  <c r="I98" i="70"/>
  <c r="P98" i="70" s="1"/>
  <c r="S100" i="70"/>
  <c r="P217" i="70"/>
  <c r="I117" i="70"/>
  <c r="P117" i="70" s="1"/>
  <c r="R246" i="70"/>
  <c r="I247" i="70"/>
  <c r="I69" i="70"/>
  <c r="P69" i="70" s="1"/>
  <c r="Y65" i="70"/>
  <c r="I84" i="70"/>
  <c r="P84" i="70" s="1"/>
  <c r="P77" i="70"/>
  <c r="I260" i="70"/>
  <c r="P260" i="70" s="1"/>
  <c r="I96" i="70"/>
  <c r="P96" i="70" s="1"/>
  <c r="I91" i="70"/>
  <c r="P91" i="70" s="1"/>
  <c r="I74" i="70"/>
  <c r="P74" i="70" s="1"/>
  <c r="Y42" i="70"/>
  <c r="P70" i="70"/>
  <c r="I159" i="70"/>
  <c r="Y100" i="70"/>
  <c r="P232" i="70"/>
  <c r="P161" i="70"/>
  <c r="R154" i="70"/>
  <c r="V67" i="70"/>
  <c r="T71" i="70"/>
  <c r="P202" i="70"/>
  <c r="S82" i="70"/>
  <c r="P33" i="70"/>
  <c r="W76" i="70"/>
  <c r="W48" i="70"/>
  <c r="I246" i="70"/>
  <c r="P246" i="70" s="1"/>
  <c r="R59" i="70"/>
  <c r="I101" i="70"/>
  <c r="P101" i="70" s="1"/>
  <c r="P23" i="70"/>
  <c r="I80" i="70"/>
  <c r="P80" i="70" s="1"/>
  <c r="W199" i="70"/>
  <c r="W71" i="70"/>
  <c r="S147" i="70"/>
  <c r="T82" i="70"/>
  <c r="V234" i="70"/>
  <c r="V229" i="70"/>
  <c r="Y234" i="70"/>
  <c r="I149" i="70"/>
  <c r="P149" i="70" s="1"/>
  <c r="V95" i="70"/>
  <c r="Y169" i="70"/>
  <c r="Y154" i="70"/>
  <c r="Y136" i="70"/>
  <c r="S76" i="70"/>
  <c r="V42" i="70"/>
  <c r="S21" i="70"/>
  <c r="I167" i="70"/>
  <c r="P167" i="70" s="1"/>
  <c r="I139" i="70"/>
  <c r="P139" i="70" s="1"/>
  <c r="I99" i="70"/>
  <c r="P99" i="70" s="1"/>
  <c r="W82" i="70"/>
  <c r="I238" i="70"/>
  <c r="P238" i="70" s="1"/>
  <c r="P223" i="70"/>
  <c r="Z125" i="70"/>
  <c r="P118" i="70"/>
  <c r="P59" i="70"/>
  <c r="P250" i="70"/>
  <c r="I138" i="70"/>
  <c r="P138" i="70" s="1"/>
  <c r="I124" i="70"/>
  <c r="P124" i="70" s="1"/>
  <c r="W59" i="70"/>
  <c r="Y117" i="70"/>
  <c r="X162" i="70"/>
  <c r="I83" i="70"/>
  <c r="P83" i="70" s="1"/>
  <c r="V112" i="70"/>
  <c r="X95" i="70"/>
  <c r="V117" i="70"/>
  <c r="P53" i="70"/>
  <c r="I125" i="70"/>
  <c r="P125" i="70" s="1"/>
  <c r="P109" i="70"/>
  <c r="S48" i="70"/>
  <c r="I249" i="70"/>
  <c r="P249" i="70" s="1"/>
  <c r="P243" i="70"/>
  <c r="I226" i="70"/>
  <c r="P226" i="70" s="1"/>
  <c r="S246" i="70"/>
  <c r="S234" i="70"/>
  <c r="W229" i="70"/>
  <c r="W169" i="70"/>
  <c r="I97" i="70"/>
  <c r="P97" i="70" s="1"/>
  <c r="Y76" i="70"/>
  <c r="I24" i="70"/>
  <c r="P24" i="70" s="1"/>
  <c r="Y106" i="70"/>
  <c r="V82" i="70"/>
  <c r="I164" i="70"/>
  <c r="P164" i="70" s="1"/>
  <c r="I68" i="70"/>
  <c r="P68" i="70" s="1"/>
  <c r="Y26" i="70"/>
  <c r="S117" i="70"/>
  <c r="P103" i="70"/>
  <c r="P79" i="70"/>
  <c r="I236" i="70"/>
  <c r="P236" i="70" s="1"/>
  <c r="W26" i="70"/>
  <c r="W21" i="70"/>
  <c r="I55" i="70"/>
  <c r="P55" i="70" s="1"/>
  <c r="I225" i="70"/>
  <c r="P225" i="70" s="1"/>
  <c r="I262" i="70"/>
  <c r="P262" i="70" s="1"/>
  <c r="Y229" i="70"/>
  <c r="V216" i="70"/>
  <c r="I115" i="70"/>
  <c r="P115" i="70" s="1"/>
  <c r="X76" i="70"/>
  <c r="P166" i="70"/>
  <c r="R157" i="70"/>
  <c r="W67" i="70"/>
  <c r="I259" i="70"/>
  <c r="P259" i="70" s="1"/>
  <c r="I151" i="70"/>
  <c r="P151" i="70" s="1"/>
  <c r="Y147" i="70"/>
  <c r="I140" i="70"/>
  <c r="P140" i="70" s="1"/>
  <c r="T95" i="70"/>
  <c r="X258" i="70"/>
  <c r="X82" i="70"/>
  <c r="I22" i="70"/>
  <c r="P22" i="70" s="1"/>
  <c r="I156" i="70"/>
  <c r="P156" i="70" s="1"/>
  <c r="I123" i="70"/>
  <c r="P123" i="70" s="1"/>
  <c r="I88" i="70"/>
  <c r="P88" i="70" s="1"/>
  <c r="P46" i="70"/>
  <c r="P233" i="70"/>
  <c r="P116" i="70"/>
  <c r="P60" i="70"/>
  <c r="I81" i="70"/>
  <c r="P81" i="70" s="1"/>
  <c r="I48" i="69"/>
  <c r="P48" i="69" s="1"/>
  <c r="I98" i="69"/>
  <c r="P98" i="69" s="1"/>
  <c r="I79" i="69"/>
  <c r="P238" i="69"/>
  <c r="I148" i="69"/>
  <c r="P148" i="69" s="1"/>
  <c r="I83" i="69"/>
  <c r="P83" i="69" s="1"/>
  <c r="P214" i="69"/>
  <c r="P107" i="69"/>
  <c r="I225" i="69"/>
  <c r="P225" i="69" s="1"/>
  <c r="P43" i="69"/>
  <c r="P224" i="69"/>
  <c r="P203" i="69"/>
  <c r="I243" i="69"/>
  <c r="P243" i="69" s="1"/>
  <c r="P242" i="69"/>
  <c r="I89" i="69"/>
  <c r="P89" i="69" s="1"/>
  <c r="I115" i="69"/>
  <c r="P115" i="69" s="1"/>
  <c r="I77" i="69"/>
  <c r="P77" i="69" s="1"/>
  <c r="I116" i="69"/>
  <c r="P116" i="69" s="1"/>
  <c r="P227" i="69"/>
  <c r="I226" i="69"/>
  <c r="I114" i="69"/>
  <c r="P114" i="69" s="1"/>
  <c r="I25" i="69"/>
  <c r="P25" i="69" s="1"/>
  <c r="P46" i="69"/>
  <c r="I249" i="69"/>
  <c r="P249" i="69" s="1"/>
  <c r="I118" i="69"/>
  <c r="P118" i="69" s="1"/>
  <c r="I90" i="69"/>
  <c r="P50" i="69"/>
  <c r="P226" i="69"/>
  <c r="P79" i="69"/>
  <c r="I137" i="69"/>
  <c r="P137" i="69" s="1"/>
  <c r="I149" i="69"/>
  <c r="P149" i="69" s="1"/>
  <c r="I96" i="69"/>
  <c r="P96" i="69" s="1"/>
  <c r="I245" i="69"/>
  <c r="P245" i="69" s="1"/>
  <c r="P206" i="69"/>
  <c r="P67" i="69"/>
  <c r="P261" i="69"/>
  <c r="P232" i="69"/>
  <c r="I162" i="69"/>
  <c r="P162" i="69" s="1"/>
  <c r="I230" i="69"/>
  <c r="P230" i="69" s="1"/>
  <c r="P23" i="69"/>
  <c r="P82" i="69"/>
  <c r="I72" i="69"/>
  <c r="P72" i="69" s="1"/>
  <c r="P104" i="69"/>
  <c r="I61" i="69"/>
  <c r="P61" i="69" s="1"/>
  <c r="I84" i="69"/>
  <c r="P84" i="69" s="1"/>
  <c r="I24" i="69"/>
  <c r="P24" i="69" s="1"/>
  <c r="I259" i="69"/>
  <c r="P259" i="69" s="1"/>
  <c r="P92" i="69"/>
  <c r="P85" i="69"/>
  <c r="I33" i="69"/>
  <c r="P33" i="69" s="1"/>
  <c r="P56" i="69"/>
  <c r="P234" i="69"/>
  <c r="I66" i="69"/>
  <c r="P66" i="69" s="1"/>
  <c r="P42" i="69"/>
  <c r="I97" i="69"/>
  <c r="P97" i="69" s="1"/>
  <c r="P81" i="69"/>
  <c r="P140" i="69"/>
  <c r="P113" i="69"/>
  <c r="P110" i="69"/>
  <c r="P100" i="69"/>
  <c r="I80" i="69"/>
  <c r="P80" i="69" s="1"/>
  <c r="I244" i="69"/>
  <c r="P244" i="69" s="1"/>
  <c r="I91" i="69"/>
  <c r="P91" i="69" s="1"/>
  <c r="P198" i="69"/>
  <c r="P123" i="69"/>
  <c r="I164" i="69"/>
  <c r="P164" i="69" s="1"/>
  <c r="I75" i="69"/>
  <c r="P52" i="69"/>
  <c r="I73" i="69"/>
  <c r="P73" i="69" s="1"/>
  <c r="P69" i="69"/>
  <c r="I30" i="69"/>
  <c r="I228" i="69"/>
  <c r="P228" i="69" s="1"/>
  <c r="P138" i="69"/>
  <c r="I237" i="69"/>
  <c r="P237" i="69" s="1"/>
  <c r="I150" i="69"/>
  <c r="P150" i="69" s="1"/>
  <c r="I154" i="69"/>
  <c r="P154" i="69" s="1"/>
  <c r="P139" i="69"/>
  <c r="P121" i="69"/>
  <c r="I70" i="69"/>
  <c r="P70" i="69" s="1"/>
  <c r="P117" i="69"/>
  <c r="P103" i="69"/>
  <c r="I71" i="69"/>
  <c r="P71" i="69" s="1"/>
  <c r="P53" i="69"/>
  <c r="I163" i="69"/>
  <c r="P163" i="69" s="1"/>
  <c r="I168" i="69"/>
  <c r="P168" i="69" s="1"/>
  <c r="I31" i="69"/>
  <c r="P31" i="69" s="1"/>
  <c r="I29" i="69"/>
  <c r="P29" i="69" s="1"/>
  <c r="I28" i="69"/>
  <c r="I26" i="69"/>
  <c r="P26" i="69" s="1"/>
  <c r="I22" i="69"/>
  <c r="P22" i="69" s="1"/>
  <c r="P109" i="69"/>
  <c r="I76" i="69"/>
  <c r="P76" i="69" s="1"/>
  <c r="I125" i="69"/>
  <c r="P125" i="69" s="1"/>
  <c r="I248" i="69"/>
  <c r="P248" i="69" s="1"/>
  <c r="P120" i="69"/>
  <c r="P95" i="69"/>
  <c r="I250" i="69"/>
  <c r="P250" i="69" s="1"/>
  <c r="P236" i="69"/>
  <c r="P167" i="69"/>
  <c r="I231" i="69"/>
  <c r="P231" i="69" s="1"/>
  <c r="P44" i="69"/>
  <c r="I119" i="69"/>
  <c r="P119" i="69" s="1"/>
  <c r="P202" i="69"/>
  <c r="I247" i="69"/>
  <c r="P247" i="69" s="1"/>
  <c r="I122" i="69"/>
  <c r="P122" i="69" s="1"/>
  <c r="P229" i="69"/>
  <c r="P108" i="69"/>
  <c r="P101" i="69"/>
  <c r="I233" i="69"/>
  <c r="P233" i="69" s="1"/>
  <c r="I78" i="69"/>
  <c r="P78" i="69" s="1"/>
  <c r="I139" i="68"/>
  <c r="P139" i="68" s="1"/>
  <c r="Y112" i="68"/>
  <c r="I111" i="68"/>
  <c r="P111" i="68" s="1"/>
  <c r="Z111" i="68" s="1"/>
  <c r="P245" i="68"/>
  <c r="I224" i="68"/>
  <c r="P224" i="68" s="1"/>
  <c r="I138" i="68"/>
  <c r="P138" i="68" s="1"/>
  <c r="P85" i="68"/>
  <c r="V100" i="68"/>
  <c r="R95" i="68"/>
  <c r="I238" i="68"/>
  <c r="P238" i="68" s="1"/>
  <c r="I164" i="68"/>
  <c r="P164" i="68" s="1"/>
  <c r="P220" i="68"/>
  <c r="V67" i="68"/>
  <c r="I50" i="68"/>
  <c r="P50" i="68" s="1"/>
  <c r="V229" i="68"/>
  <c r="Y136" i="68"/>
  <c r="P210" i="68"/>
  <c r="Z210" i="68" s="1"/>
  <c r="I73" i="68"/>
  <c r="P73" i="68" s="1"/>
  <c r="X162" i="68"/>
  <c r="P43" i="68"/>
  <c r="S26" i="68"/>
  <c r="Y154" i="68"/>
  <c r="S95" i="68"/>
  <c r="W242" i="68"/>
  <c r="P51" i="68"/>
  <c r="I155" i="68"/>
  <c r="P155" i="68" s="1"/>
  <c r="W224" i="68"/>
  <c r="P118" i="68"/>
  <c r="Y224" i="68"/>
  <c r="I68" i="68"/>
  <c r="P68" i="68" s="1"/>
  <c r="R224" i="68"/>
  <c r="I162" i="68"/>
  <c r="P162" i="68" s="1"/>
  <c r="I166" i="68"/>
  <c r="P166" i="68" s="1"/>
  <c r="I117" i="68"/>
  <c r="P117" i="68" s="1"/>
  <c r="S76" i="68"/>
  <c r="S242" i="68"/>
  <c r="P163" i="68"/>
  <c r="I88" i="68"/>
  <c r="P88" i="68" s="1"/>
  <c r="P44" i="68"/>
  <c r="P158" i="68"/>
  <c r="S117" i="68"/>
  <c r="I98" i="68"/>
  <c r="P98" i="68" s="1"/>
  <c r="P225" i="68"/>
  <c r="R67" i="68"/>
  <c r="S246" i="68"/>
  <c r="I122" i="68"/>
  <c r="P122" i="68" s="1"/>
  <c r="T95" i="68"/>
  <c r="I89" i="68"/>
  <c r="P89" i="68" s="1"/>
  <c r="V112" i="68"/>
  <c r="S67" i="68"/>
  <c r="Z64" i="68"/>
  <c r="S53" i="68"/>
  <c r="W100" i="68"/>
  <c r="S48" i="68"/>
  <c r="W26" i="68"/>
  <c r="R76" i="68"/>
  <c r="P109" i="68"/>
  <c r="W246" i="68"/>
  <c r="I231" i="68"/>
  <c r="P231" i="68" s="1"/>
  <c r="S224" i="68"/>
  <c r="S154" i="68"/>
  <c r="Y147" i="68"/>
  <c r="I115" i="68"/>
  <c r="P115" i="68" s="1"/>
  <c r="P217" i="68"/>
  <c r="I236" i="68"/>
  <c r="P236" i="68" s="1"/>
  <c r="I114" i="68"/>
  <c r="P114" i="68" s="1"/>
  <c r="X67" i="68"/>
  <c r="Y162" i="68"/>
  <c r="P108" i="68"/>
  <c r="P64" i="68"/>
  <c r="Y42" i="68"/>
  <c r="I27" i="68"/>
  <c r="I124" i="68"/>
  <c r="P124" i="68" s="1"/>
  <c r="P121" i="68"/>
  <c r="X76" i="68"/>
  <c r="X65" i="68"/>
  <c r="I31" i="68"/>
  <c r="P25" i="68"/>
  <c r="P110" i="68"/>
  <c r="I92" i="68"/>
  <c r="P92" i="68" s="1"/>
  <c r="I26" i="68"/>
  <c r="P26" i="68" s="1"/>
  <c r="S169" i="68"/>
  <c r="Y234" i="68"/>
  <c r="W112" i="68"/>
  <c r="I167" i="68"/>
  <c r="P167" i="68" s="1"/>
  <c r="V53" i="68"/>
  <c r="W157" i="68"/>
  <c r="P201" i="68"/>
  <c r="I116" i="68"/>
  <c r="P116" i="68" s="1"/>
  <c r="W82" i="68"/>
  <c r="P77" i="68"/>
  <c r="I52" i="68"/>
  <c r="P52" i="68" s="1"/>
  <c r="I156" i="68"/>
  <c r="P156" i="68" s="1"/>
  <c r="P250" i="68"/>
  <c r="I233" i="68"/>
  <c r="P233" i="68" s="1"/>
  <c r="P222" i="68"/>
  <c r="I86" i="68"/>
  <c r="P86" i="68" s="1"/>
  <c r="I74" i="68"/>
  <c r="P74" i="68" s="1"/>
  <c r="I67" i="68"/>
  <c r="P67" i="68" s="1"/>
  <c r="P204" i="68"/>
  <c r="I161" i="68"/>
  <c r="P161" i="68" s="1"/>
  <c r="W67" i="68"/>
  <c r="I262" i="68"/>
  <c r="P262" i="68" s="1"/>
  <c r="I69" i="68"/>
  <c r="P31" i="68"/>
  <c r="Y76" i="68"/>
  <c r="U65" i="68"/>
  <c r="Y82" i="68"/>
  <c r="Y229" i="68"/>
  <c r="S258" i="68"/>
  <c r="V154" i="68"/>
  <c r="P218" i="68"/>
  <c r="P104" i="68"/>
  <c r="P90" i="68"/>
  <c r="P113" i="68"/>
  <c r="I91" i="68"/>
  <c r="P91" i="68" s="1"/>
  <c r="V82" i="68"/>
  <c r="V106" i="68"/>
  <c r="P78" i="68"/>
  <c r="W162" i="68"/>
  <c r="I57" i="68"/>
  <c r="Z211" i="68"/>
  <c r="U125" i="68"/>
  <c r="Z125" i="68" s="1"/>
  <c r="I119" i="68"/>
  <c r="I61" i="68"/>
  <c r="P61" i="68" s="1"/>
  <c r="I49" i="68"/>
  <c r="P49" i="68" s="1"/>
  <c r="V42" i="68"/>
  <c r="Y26" i="68"/>
  <c r="I95" i="68"/>
  <c r="P65" i="68"/>
  <c r="R26" i="68"/>
  <c r="R53" i="68"/>
  <c r="I168" i="68"/>
  <c r="P168" i="68" s="1"/>
  <c r="P244" i="68"/>
  <c r="I28" i="68"/>
  <c r="P28" i="68" s="1"/>
  <c r="I227" i="68"/>
  <c r="P227" i="68" s="1"/>
  <c r="I150" i="68"/>
  <c r="P150" i="68" s="1"/>
  <c r="P22" i="68"/>
  <c r="P228" i="68"/>
  <c r="W169" i="68"/>
  <c r="V234" i="68"/>
  <c r="I230" i="68"/>
  <c r="P230" i="68" s="1"/>
  <c r="W199" i="68"/>
  <c r="S136" i="68"/>
  <c r="Y117" i="68"/>
  <c r="X95" i="68"/>
  <c r="I101" i="68"/>
  <c r="P101" i="68" s="1"/>
  <c r="I87" i="68"/>
  <c r="P87" i="68" s="1"/>
  <c r="Y106" i="68"/>
  <c r="P80" i="68"/>
  <c r="P102" i="68"/>
  <c r="P63" i="68"/>
  <c r="Z8" i="68"/>
  <c r="I24" i="68"/>
  <c r="P24" i="68" s="1"/>
  <c r="I55" i="68"/>
  <c r="P55" i="68" s="1"/>
  <c r="S21" i="68"/>
  <c r="I247" i="68"/>
  <c r="P247" i="68" s="1"/>
  <c r="V224" i="68"/>
  <c r="P159" i="68"/>
  <c r="X147" i="68"/>
  <c r="I243" i="68"/>
  <c r="P243" i="68" s="1"/>
  <c r="P223" i="68"/>
  <c r="S162" i="68"/>
  <c r="P232" i="68"/>
  <c r="I120" i="68"/>
  <c r="P120" i="68" s="1"/>
  <c r="P123" i="68"/>
  <c r="W76" i="68"/>
  <c r="P46" i="68"/>
  <c r="U8" i="68"/>
  <c r="W71" i="68"/>
  <c r="V216" i="68"/>
  <c r="I226" i="68"/>
  <c r="P226" i="68" s="1"/>
  <c r="I97" i="68"/>
  <c r="P97" i="68" s="1"/>
  <c r="P79" i="68"/>
  <c r="Y229" i="67"/>
  <c r="P242" i="67"/>
  <c r="I267" i="67"/>
  <c r="P267" i="67" s="1"/>
  <c r="I264" i="67"/>
  <c r="P264" i="67" s="1"/>
  <c r="P233" i="67"/>
  <c r="I171" i="67"/>
  <c r="P171" i="67" s="1"/>
  <c r="V239" i="67"/>
  <c r="S174" i="67"/>
  <c r="Y174" i="67"/>
  <c r="V106" i="67"/>
  <c r="S100" i="67"/>
  <c r="P22" i="67"/>
  <c r="P116" i="67"/>
  <c r="P88" i="67"/>
  <c r="P151" i="67"/>
  <c r="S82" i="67"/>
  <c r="P15" i="67"/>
  <c r="P23" i="67"/>
  <c r="P252" i="67"/>
  <c r="I241" i="67"/>
  <c r="P241" i="67" s="1"/>
  <c r="I150" i="67"/>
  <c r="P150" i="67" s="1"/>
  <c r="P172" i="67"/>
  <c r="Y167" i="67"/>
  <c r="Z126" i="67"/>
  <c r="P119" i="67"/>
  <c r="I113" i="67"/>
  <c r="P113" i="67" s="1"/>
  <c r="N90" i="67"/>
  <c r="V136" i="67"/>
  <c r="P84" i="67"/>
  <c r="P77" i="67"/>
  <c r="N33" i="67"/>
  <c r="Z216" i="67"/>
  <c r="N87" i="67"/>
  <c r="X65" i="67"/>
  <c r="P31" i="67"/>
  <c r="P46" i="67"/>
  <c r="N65" i="67"/>
  <c r="Y136" i="67"/>
  <c r="V53" i="67"/>
  <c r="I118" i="67"/>
  <c r="P118" i="67" s="1"/>
  <c r="N80" i="67"/>
  <c r="I169" i="67"/>
  <c r="P169" i="67" s="1"/>
  <c r="R48" i="67"/>
  <c r="I230" i="67"/>
  <c r="P230" i="67" s="1"/>
  <c r="I266" i="67"/>
  <c r="P266" i="67" s="1"/>
  <c r="P237" i="67"/>
  <c r="N150" i="67"/>
  <c r="N173" i="67"/>
  <c r="Y147" i="67"/>
  <c r="Z125" i="67"/>
  <c r="S112" i="67"/>
  <c r="I90" i="67"/>
  <c r="P90" i="67" s="1"/>
  <c r="I238" i="67"/>
  <c r="I81" i="67"/>
  <c r="P81" i="67" s="1"/>
  <c r="I75" i="67"/>
  <c r="P75" i="67" s="1"/>
  <c r="I28" i="67"/>
  <c r="P28" i="67" s="1"/>
  <c r="Y117" i="67"/>
  <c r="Y100" i="67"/>
  <c r="N70" i="67"/>
  <c r="X71" i="67"/>
  <c r="N67" i="67"/>
  <c r="Y65" i="67"/>
  <c r="S48" i="67"/>
  <c r="P25" i="67"/>
  <c r="I168" i="67"/>
  <c r="P168" i="67" s="1"/>
  <c r="N66" i="67"/>
  <c r="V117" i="67"/>
  <c r="N29" i="67"/>
  <c r="I166" i="67"/>
  <c r="P166" i="67" s="1"/>
  <c r="I137" i="67"/>
  <c r="P137" i="67" s="1"/>
  <c r="P72" i="67"/>
  <c r="N169" i="67"/>
  <c r="P67" i="66"/>
  <c r="Z67" i="66" s="1"/>
  <c r="R224" i="70"/>
  <c r="I224" i="70"/>
  <c r="I261" i="70"/>
  <c r="P261" i="70" s="1"/>
  <c r="I48" i="70"/>
  <c r="R48" i="70"/>
  <c r="P163" i="70"/>
  <c r="S258" i="70"/>
  <c r="V136" i="70"/>
  <c r="P44" i="70"/>
  <c r="I54" i="70"/>
  <c r="R53" i="70"/>
  <c r="U211" i="70"/>
  <c r="P211" i="70"/>
  <c r="Z211" i="70" s="1"/>
  <c r="I219" i="70"/>
  <c r="S216" i="70"/>
  <c r="V224" i="70"/>
  <c r="I242" i="70"/>
  <c r="R242" i="70"/>
  <c r="P221" i="70"/>
  <c r="S214" i="70"/>
  <c r="I214" i="70"/>
  <c r="R135" i="70"/>
  <c r="I135" i="70"/>
  <c r="I114" i="70"/>
  <c r="P114" i="70" s="1"/>
  <c r="I76" i="70"/>
  <c r="R76" i="70"/>
  <c r="P43" i="70"/>
  <c r="S169" i="70"/>
  <c r="W42" i="70"/>
  <c r="P133" i="70"/>
  <c r="Z133" i="70" s="1"/>
  <c r="U133" i="70"/>
  <c r="S112" i="70"/>
  <c r="S95" i="70"/>
  <c r="I89" i="70"/>
  <c r="P89" i="70" s="1"/>
  <c r="P21" i="70"/>
  <c r="U132" i="70"/>
  <c r="P132" i="70"/>
  <c r="Z132" i="70" s="1"/>
  <c r="I71" i="70"/>
  <c r="R71" i="70"/>
  <c r="Y71" i="70"/>
  <c r="I26" i="70"/>
  <c r="R26" i="70"/>
  <c r="U8" i="70"/>
  <c r="P8" i="70"/>
  <c r="Z8" i="70" s="1"/>
  <c r="I119" i="70"/>
  <c r="P119" i="70" s="1"/>
  <c r="R117" i="70"/>
  <c r="P111" i="70"/>
  <c r="Z111" i="70" s="1"/>
  <c r="U111" i="70"/>
  <c r="I95" i="70"/>
  <c r="R82" i="70"/>
  <c r="S53" i="70"/>
  <c r="P49" i="70"/>
  <c r="U234" i="70"/>
  <c r="P234" i="70"/>
  <c r="T199" i="70"/>
  <c r="P258" i="70"/>
  <c r="S224" i="70"/>
  <c r="P206" i="70"/>
  <c r="P153" i="70"/>
  <c r="Z153" i="70" s="1"/>
  <c r="U153" i="70"/>
  <c r="I165" i="70"/>
  <c r="P165" i="70" s="1"/>
  <c r="V154" i="70"/>
  <c r="Z126" i="70"/>
  <c r="X67" i="70"/>
  <c r="S42" i="70"/>
  <c r="I42" i="70"/>
  <c r="V106" i="70"/>
  <c r="W157" i="70"/>
  <c r="V147" i="70"/>
  <c r="R147" i="70"/>
  <c r="I147" i="70"/>
  <c r="W112" i="70"/>
  <c r="Y95" i="70"/>
  <c r="I31" i="70"/>
  <c r="P31" i="70" s="1"/>
  <c r="I30" i="70"/>
  <c r="P30" i="70" s="1"/>
  <c r="I29" i="70"/>
  <c r="P29" i="70" s="1"/>
  <c r="I28" i="70"/>
  <c r="P28" i="70" s="1"/>
  <c r="I27" i="70"/>
  <c r="P27" i="70" s="1"/>
  <c r="R21" i="70"/>
  <c r="W258" i="70"/>
  <c r="P203" i="70"/>
  <c r="R162" i="70"/>
  <c r="U162" i="70" s="1"/>
  <c r="S136" i="70"/>
  <c r="P121" i="70"/>
  <c r="I85" i="70"/>
  <c r="P85" i="70" s="1"/>
  <c r="X71" i="70"/>
  <c r="P52" i="70"/>
  <c r="I25" i="70"/>
  <c r="P25" i="70" s="1"/>
  <c r="P104" i="70"/>
  <c r="I87" i="70"/>
  <c r="P87" i="70" s="1"/>
  <c r="R95" i="70"/>
  <c r="T147" i="70"/>
  <c r="I148" i="70"/>
  <c r="P148" i="70" s="1"/>
  <c r="S106" i="70"/>
  <c r="I106" i="70"/>
  <c r="P247" i="70"/>
  <c r="P237" i="70"/>
  <c r="R234" i="70"/>
  <c r="R258" i="70"/>
  <c r="Y224" i="70"/>
  <c r="W100" i="70"/>
  <c r="R229" i="70"/>
  <c r="I229" i="70"/>
  <c r="P220" i="70"/>
  <c r="S154" i="70"/>
  <c r="I154" i="70"/>
  <c r="U141" i="70"/>
  <c r="P141" i="70"/>
  <c r="Z141" i="70" s="1"/>
  <c r="U126" i="70"/>
  <c r="I67" i="70"/>
  <c r="R67" i="70"/>
  <c r="U198" i="70"/>
  <c r="P198" i="70"/>
  <c r="Z198" i="70" s="1"/>
  <c r="I113" i="70"/>
  <c r="P113" i="70" s="1"/>
  <c r="W162" i="70"/>
  <c r="X147" i="70"/>
  <c r="W147" i="70"/>
  <c r="R136" i="70"/>
  <c r="I136" i="70"/>
  <c r="P122" i="70"/>
  <c r="R112" i="70"/>
  <c r="I112" i="70"/>
  <c r="Y112" i="70"/>
  <c r="S65" i="70"/>
  <c r="U65" i="70" s="1"/>
  <c r="I56" i="70"/>
  <c r="P56" i="70" s="1"/>
  <c r="U199" i="70"/>
  <c r="P110" i="70"/>
  <c r="Y82" i="70"/>
  <c r="I75" i="70"/>
  <c r="P75" i="70" s="1"/>
  <c r="S71" i="70"/>
  <c r="I58" i="70"/>
  <c r="P58" i="70" s="1"/>
  <c r="P45" i="70"/>
  <c r="S26" i="70"/>
  <c r="P108" i="70"/>
  <c r="I66" i="70"/>
  <c r="P66" i="70" s="1"/>
  <c r="I65" i="70"/>
  <c r="P65" i="70" s="1"/>
  <c r="P75" i="69"/>
  <c r="P165" i="69"/>
  <c r="I86" i="69"/>
  <c r="P86" i="69" s="1"/>
  <c r="P112" i="69"/>
  <c r="I135" i="69"/>
  <c r="P135" i="69" s="1"/>
  <c r="P201" i="69"/>
  <c r="I156" i="69"/>
  <c r="P156" i="69" s="1"/>
  <c r="P199" i="69"/>
  <c r="P102" i="69"/>
  <c r="I161" i="69"/>
  <c r="P161" i="69" s="1"/>
  <c r="P136" i="69"/>
  <c r="P166" i="69"/>
  <c r="P147" i="69"/>
  <c r="P49" i="69"/>
  <c r="P62" i="69"/>
  <c r="I27" i="69"/>
  <c r="P27" i="69" s="1"/>
  <c r="I235" i="69"/>
  <c r="P235" i="69" s="1"/>
  <c r="P45" i="69"/>
  <c r="P74" i="69"/>
  <c r="I87" i="69"/>
  <c r="P87" i="69" s="1"/>
  <c r="P55" i="69"/>
  <c r="P30" i="69"/>
  <c r="I88" i="69"/>
  <c r="P88" i="69" s="1"/>
  <c r="P28" i="69"/>
  <c r="I151" i="69"/>
  <c r="P151" i="69" s="1"/>
  <c r="I65" i="69"/>
  <c r="P65" i="69" s="1"/>
  <c r="I258" i="69"/>
  <c r="P258" i="69" s="1"/>
  <c r="P90" i="69"/>
  <c r="P59" i="69"/>
  <c r="I21" i="69"/>
  <c r="P21" i="69" s="1"/>
  <c r="P246" i="68"/>
  <c r="S229" i="68"/>
  <c r="I157" i="68"/>
  <c r="S157" i="68"/>
  <c r="R162" i="68"/>
  <c r="P151" i="68"/>
  <c r="U135" i="68"/>
  <c r="P135" i="68"/>
  <c r="Z135" i="68" s="1"/>
  <c r="T71" i="68"/>
  <c r="V117" i="68"/>
  <c r="U42" i="68"/>
  <c r="P141" i="68"/>
  <c r="Z141" i="68" s="1"/>
  <c r="U141" i="68"/>
  <c r="I235" i="68"/>
  <c r="P235" i="68" s="1"/>
  <c r="R234" i="68"/>
  <c r="U198" i="68"/>
  <c r="P198" i="68"/>
  <c r="Z198" i="68" s="1"/>
  <c r="U153" i="68"/>
  <c r="P153" i="68"/>
  <c r="Z153" i="68" s="1"/>
  <c r="V147" i="68"/>
  <c r="V136" i="68"/>
  <c r="T82" i="68"/>
  <c r="I148" i="68"/>
  <c r="P148" i="68" s="1"/>
  <c r="Y21" i="68"/>
  <c r="R246" i="68"/>
  <c r="I248" i="68"/>
  <c r="P248" i="68" s="1"/>
  <c r="S214" i="68"/>
  <c r="I214" i="68"/>
  <c r="I258" i="68"/>
  <c r="R258" i="68"/>
  <c r="V95" i="68"/>
  <c r="I261" i="68"/>
  <c r="P261" i="68" s="1"/>
  <c r="I149" i="68"/>
  <c r="P149" i="68" s="1"/>
  <c r="R147" i="68"/>
  <c r="I147" i="68"/>
  <c r="P112" i="68"/>
  <c r="U112" i="68"/>
  <c r="U93" i="68"/>
  <c r="P93" i="68"/>
  <c r="Z93" i="68" s="1"/>
  <c r="X82" i="68"/>
  <c r="P229" i="68"/>
  <c r="S100" i="68"/>
  <c r="I66" i="68"/>
  <c r="P66" i="68" s="1"/>
  <c r="P136" i="68"/>
  <c r="S71" i="68"/>
  <c r="P70" i="68"/>
  <c r="P57" i="68"/>
  <c r="S42" i="68"/>
  <c r="I75" i="68"/>
  <c r="P75" i="68" s="1"/>
  <c r="R59" i="68"/>
  <c r="I59" i="68"/>
  <c r="Y169" i="68"/>
  <c r="T147" i="68"/>
  <c r="I82" i="68"/>
  <c r="R112" i="68"/>
  <c r="I140" i="68"/>
  <c r="P140" i="68" s="1"/>
  <c r="P48" i="68"/>
  <c r="I84" i="68"/>
  <c r="P84" i="68" s="1"/>
  <c r="I21" i="68"/>
  <c r="R21" i="68"/>
  <c r="Y67" i="68"/>
  <c r="U126" i="68"/>
  <c r="P126" i="68"/>
  <c r="Z126" i="68" s="1"/>
  <c r="Y71" i="68"/>
  <c r="P119" i="68"/>
  <c r="P27" i="68"/>
  <c r="I216" i="68"/>
  <c r="S216" i="68"/>
  <c r="I71" i="68"/>
  <c r="P53" i="68"/>
  <c r="S234" i="68"/>
  <c r="I259" i="68"/>
  <c r="P259" i="68" s="1"/>
  <c r="X258" i="68"/>
  <c r="I242" i="68"/>
  <c r="R242" i="68"/>
  <c r="I165" i="68"/>
  <c r="P165" i="68" s="1"/>
  <c r="S147" i="68"/>
  <c r="I234" i="68"/>
  <c r="R154" i="68"/>
  <c r="I154" i="68"/>
  <c r="W147" i="68"/>
  <c r="R229" i="68"/>
  <c r="P205" i="68"/>
  <c r="Y100" i="68"/>
  <c r="R82" i="68"/>
  <c r="W42" i="68"/>
  <c r="I200" i="68"/>
  <c r="T199" i="68"/>
  <c r="R136" i="68"/>
  <c r="P160" i="68"/>
  <c r="X71" i="68"/>
  <c r="P23" i="68"/>
  <c r="P240" i="68"/>
  <c r="U240" i="68"/>
  <c r="Z240" i="68" s="1"/>
  <c r="I33" i="68"/>
  <c r="P33" i="68" s="1"/>
  <c r="P219" i="68"/>
  <c r="T59" i="68"/>
  <c r="S82" i="68"/>
  <c r="R117" i="68"/>
  <c r="R100" i="68"/>
  <c r="U47" i="68"/>
  <c r="P47" i="68"/>
  <c r="Z47" i="68" s="1"/>
  <c r="R48" i="68"/>
  <c r="P42" i="68"/>
  <c r="W21" i="68"/>
  <c r="U53" i="67"/>
  <c r="I251" i="67"/>
  <c r="R251" i="67"/>
  <c r="I219" i="67"/>
  <c r="S219" i="67"/>
  <c r="P221" i="67"/>
  <c r="U221" i="67"/>
  <c r="R234" i="67"/>
  <c r="I234" i="67"/>
  <c r="P96" i="67"/>
  <c r="R71" i="67"/>
  <c r="I71" i="67"/>
  <c r="I65" i="67"/>
  <c r="R65" i="67"/>
  <c r="Y67" i="67"/>
  <c r="R247" i="67"/>
  <c r="I247" i="67"/>
  <c r="X263" i="67"/>
  <c r="W112" i="67"/>
  <c r="S162" i="67"/>
  <c r="I162" i="67"/>
  <c r="N101" i="67"/>
  <c r="I229" i="67"/>
  <c r="R229" i="67"/>
  <c r="N149" i="67"/>
  <c r="X147" i="67"/>
  <c r="I95" i="67"/>
  <c r="R95" i="67"/>
  <c r="P236" i="67"/>
  <c r="P141" i="67"/>
  <c r="Z141" i="67" s="1"/>
  <c r="U141" i="67"/>
  <c r="N114" i="67"/>
  <c r="N96" i="67"/>
  <c r="U93" i="67"/>
  <c r="P93" i="67"/>
  <c r="Z93" i="67" s="1"/>
  <c r="N92" i="67"/>
  <c r="N84" i="67"/>
  <c r="X76" i="67"/>
  <c r="Y42" i="67"/>
  <c r="S234" i="67"/>
  <c r="Y234" i="67"/>
  <c r="I78" i="67"/>
  <c r="P78" i="67" s="1"/>
  <c r="P17" i="67"/>
  <c r="S95" i="67"/>
  <c r="S106" i="67"/>
  <c r="I82" i="67"/>
  <c r="R82" i="67"/>
  <c r="I69" i="67"/>
  <c r="P69" i="67" s="1"/>
  <c r="N168" i="67"/>
  <c r="W167" i="67"/>
  <c r="P45" i="67"/>
  <c r="I43" i="67"/>
  <c r="S42" i="67"/>
  <c r="Y26" i="67"/>
  <c r="U21" i="67"/>
  <c r="P21" i="67"/>
  <c r="P106" i="67"/>
  <c r="R76" i="67"/>
  <c r="P231" i="67"/>
  <c r="I265" i="67"/>
  <c r="P265" i="67" s="1"/>
  <c r="R239" i="67"/>
  <c r="I239" i="67"/>
  <c r="I253" i="67"/>
  <c r="P253" i="67" s="1"/>
  <c r="S263" i="67"/>
  <c r="S203" i="67"/>
  <c r="I203" i="67"/>
  <c r="N170" i="67"/>
  <c r="P170" i="67"/>
  <c r="W229" i="67"/>
  <c r="N147" i="67"/>
  <c r="V147" i="67"/>
  <c r="U126" i="67"/>
  <c r="I107" i="67"/>
  <c r="P107" i="67" s="1"/>
  <c r="V95" i="67"/>
  <c r="N95" i="67"/>
  <c r="N238" i="67"/>
  <c r="U158" i="67"/>
  <c r="P158" i="67"/>
  <c r="Z158" i="67" s="1"/>
  <c r="N135" i="67"/>
  <c r="P109" i="67"/>
  <c r="P103" i="67"/>
  <c r="N98" i="67"/>
  <c r="P70" i="67"/>
  <c r="S12" i="67"/>
  <c r="I14" i="67"/>
  <c r="I235" i="67"/>
  <c r="P235" i="67" s="1"/>
  <c r="W234" i="67"/>
  <c r="U135" i="67"/>
  <c r="P135" i="67"/>
  <c r="Z135" i="67" s="1"/>
  <c r="R117" i="67"/>
  <c r="I117" i="67"/>
  <c r="P102" i="67"/>
  <c r="I89" i="67"/>
  <c r="P89" i="67" s="1"/>
  <c r="I87" i="67"/>
  <c r="P87" i="67" s="1"/>
  <c r="Z37" i="67"/>
  <c r="I27" i="67"/>
  <c r="P27" i="67" s="1"/>
  <c r="X82" i="67"/>
  <c r="S26" i="67"/>
  <c r="S21" i="67"/>
  <c r="S167" i="67"/>
  <c r="I66" i="67"/>
  <c r="P66" i="67" s="1"/>
  <c r="V82" i="67"/>
  <c r="S67" i="67"/>
  <c r="V42" i="67"/>
  <c r="V65" i="67"/>
  <c r="U153" i="67"/>
  <c r="P153" i="67"/>
  <c r="Z153" i="67" s="1"/>
  <c r="V203" i="67"/>
  <c r="N203" i="67"/>
  <c r="W76" i="67"/>
  <c r="N76" i="67"/>
  <c r="I26" i="67"/>
  <c r="R26" i="67"/>
  <c r="P24" i="67"/>
  <c r="S247" i="67"/>
  <c r="I263" i="67"/>
  <c r="R263" i="67"/>
  <c r="P225" i="67"/>
  <c r="S221" i="67"/>
  <c r="R112" i="67"/>
  <c r="I112" i="67"/>
  <c r="I248" i="67"/>
  <c r="P248" i="67" s="1"/>
  <c r="W162" i="67"/>
  <c r="N162" i="67"/>
  <c r="N229" i="67"/>
  <c r="V229" i="67"/>
  <c r="S229" i="67"/>
  <c r="I149" i="67"/>
  <c r="P149" i="67" s="1"/>
  <c r="I147" i="67"/>
  <c r="R147" i="67"/>
  <c r="I115" i="67"/>
  <c r="P115" i="67" s="1"/>
  <c r="X95" i="67"/>
  <c r="P238" i="67"/>
  <c r="N263" i="67"/>
  <c r="R167" i="67"/>
  <c r="W100" i="67"/>
  <c r="P79" i="67"/>
  <c r="S76" i="67"/>
  <c r="V234" i="67"/>
  <c r="N234" i="67"/>
  <c r="W174" i="67"/>
  <c r="V112" i="67"/>
  <c r="S71" i="67"/>
  <c r="W71" i="67"/>
  <c r="N71" i="67"/>
  <c r="Y21" i="67"/>
  <c r="S53" i="67"/>
  <c r="V26" i="67"/>
  <c r="P100" i="67"/>
  <c r="U100" i="67"/>
  <c r="Y82" i="67"/>
  <c r="W82" i="67"/>
  <c r="I67" i="67"/>
  <c r="R67" i="67"/>
  <c r="I64" i="67"/>
  <c r="P64" i="67" s="1"/>
  <c r="S64" i="67"/>
  <c r="U64" i="67" s="1"/>
  <c r="Z64" i="67" s="1"/>
  <c r="I29" i="67"/>
  <c r="P29" i="67" s="1"/>
  <c r="W26" i="67"/>
  <c r="P8" i="67"/>
  <c r="Z8" i="67" s="1"/>
  <c r="U8" i="67"/>
  <c r="I111" i="67"/>
  <c r="S111" i="67"/>
  <c r="I76" i="67"/>
  <c r="V67" i="67"/>
  <c r="P47" i="66"/>
  <c r="Z47" i="66" s="1"/>
  <c r="U47" i="66"/>
  <c r="U141" i="66"/>
  <c r="P141" i="66"/>
  <c r="Z141" i="66" s="1"/>
  <c r="U37" i="66"/>
  <c r="P37" i="66"/>
  <c r="Z37" i="66" s="1"/>
  <c r="U263" i="66"/>
  <c r="P263" i="66"/>
  <c r="Z263" i="66" s="1"/>
  <c r="P215" i="66"/>
  <c r="Z215" i="66" s="1"/>
  <c r="U215" i="66"/>
  <c r="U106" i="66"/>
  <c r="P106" i="66"/>
  <c r="Z106" i="66" s="1"/>
  <c r="P251" i="66"/>
  <c r="Z251" i="66" s="1"/>
  <c r="U251" i="66"/>
  <c r="U48" i="66"/>
  <c r="P48" i="66"/>
  <c r="Z48" i="66" s="1"/>
  <c r="P112" i="66"/>
  <c r="Z112" i="66" s="1"/>
  <c r="U112" i="66"/>
  <c r="U111" i="66"/>
  <c r="P111" i="66"/>
  <c r="Z111" i="66" s="1"/>
  <c r="P14" i="66"/>
  <c r="Z12" i="66" s="1"/>
  <c r="U12" i="66"/>
  <c r="P167" i="66"/>
  <c r="Z167" i="66" s="1"/>
  <c r="U167" i="66"/>
  <c r="U158" i="66"/>
  <c r="P158" i="66"/>
  <c r="Z158" i="66" s="1"/>
  <c r="U147" i="66"/>
  <c r="P147" i="66"/>
  <c r="Z147" i="66" s="1"/>
  <c r="P153" i="66"/>
  <c r="Z153" i="66" s="1"/>
  <c r="U153" i="66"/>
  <c r="P126" i="66"/>
  <c r="Z126" i="66" s="1"/>
  <c r="U126" i="66"/>
  <c r="P53" i="66"/>
  <c r="Z53" i="66" s="1"/>
  <c r="U53" i="66"/>
  <c r="U48" i="67" l="1"/>
  <c r="U67" i="68"/>
  <c r="Z136" i="67"/>
  <c r="U76" i="68"/>
  <c r="U111" i="68"/>
  <c r="U229" i="68"/>
  <c r="Z65" i="68"/>
  <c r="U100" i="70"/>
  <c r="U106" i="67"/>
  <c r="U100" i="68"/>
  <c r="P69" i="68"/>
  <c r="Z67" i="68" s="1"/>
  <c r="Z59" i="70"/>
  <c r="U246" i="70"/>
  <c r="Z246" i="70"/>
  <c r="Z199" i="70"/>
  <c r="Z65" i="70"/>
  <c r="U157" i="70"/>
  <c r="P159" i="70"/>
  <c r="Z157" i="70" s="1"/>
  <c r="Z162" i="70"/>
  <c r="Z21" i="70"/>
  <c r="U21" i="70"/>
  <c r="U162" i="68"/>
  <c r="Z162" i="68" s="1"/>
  <c r="Z106" i="68"/>
  <c r="Z42" i="68"/>
  <c r="Z76" i="68"/>
  <c r="U117" i="68"/>
  <c r="U53" i="68"/>
  <c r="Z112" i="68"/>
  <c r="U95" i="68"/>
  <c r="Z53" i="68"/>
  <c r="Z229" i="68"/>
  <c r="P95" i="68"/>
  <c r="Z95" i="68" s="1"/>
  <c r="Z246" i="68"/>
  <c r="Z48" i="68"/>
  <c r="Z224" i="68"/>
  <c r="Z26" i="68"/>
  <c r="U48" i="68"/>
  <c r="U224" i="68"/>
  <c r="Z221" i="67"/>
  <c r="Z100" i="67"/>
  <c r="U136" i="67"/>
  <c r="U167" i="67"/>
  <c r="U136" i="70"/>
  <c r="P136" i="70"/>
  <c r="Z136" i="70" s="1"/>
  <c r="U147" i="70"/>
  <c r="P147" i="70"/>
  <c r="Z147" i="70" s="1"/>
  <c r="Z100" i="70"/>
  <c r="P71" i="70"/>
  <c r="Z71" i="70" s="1"/>
  <c r="U71" i="70"/>
  <c r="P219" i="70"/>
  <c r="Z216" i="70" s="1"/>
  <c r="U216" i="70"/>
  <c r="P112" i="70"/>
  <c r="Z112" i="70" s="1"/>
  <c r="U112" i="70"/>
  <c r="U229" i="70"/>
  <c r="P229" i="70"/>
  <c r="Z229" i="70" s="1"/>
  <c r="U117" i="70"/>
  <c r="U82" i="70"/>
  <c r="P42" i="70"/>
  <c r="Z42" i="70" s="1"/>
  <c r="U42" i="70"/>
  <c r="U26" i="70"/>
  <c r="P26" i="70"/>
  <c r="Z26" i="70" s="1"/>
  <c r="P135" i="70"/>
  <c r="Z135" i="70" s="1"/>
  <c r="U135" i="70"/>
  <c r="U242" i="70"/>
  <c r="P242" i="70"/>
  <c r="Z242" i="70" s="1"/>
  <c r="P54" i="70"/>
  <c r="Z53" i="70" s="1"/>
  <c r="U53" i="70"/>
  <c r="P224" i="70"/>
  <c r="Z224" i="70" s="1"/>
  <c r="U224" i="70"/>
  <c r="U67" i="70"/>
  <c r="P67" i="70"/>
  <c r="Z67" i="70" s="1"/>
  <c r="U154" i="70"/>
  <c r="P154" i="70"/>
  <c r="Z154" i="70" s="1"/>
  <c r="Z117" i="70"/>
  <c r="Z82" i="70"/>
  <c r="Z258" i="70"/>
  <c r="Z234" i="70"/>
  <c r="U106" i="70"/>
  <c r="P106" i="70"/>
  <c r="Z106" i="70" s="1"/>
  <c r="U258" i="70"/>
  <c r="U95" i="70"/>
  <c r="P95" i="70"/>
  <c r="Z95" i="70" s="1"/>
  <c r="U76" i="70"/>
  <c r="P76" i="70"/>
  <c r="Z76" i="70" s="1"/>
  <c r="U214" i="70"/>
  <c r="P214" i="70"/>
  <c r="Z214" i="70" s="1"/>
  <c r="P48" i="70"/>
  <c r="Z48" i="70" s="1"/>
  <c r="U48" i="70"/>
  <c r="U234" i="68"/>
  <c r="P234" i="68"/>
  <c r="Z234" i="68" s="1"/>
  <c r="U154" i="68"/>
  <c r="P154" i="68"/>
  <c r="Z154" i="68" s="1"/>
  <c r="U242" i="68"/>
  <c r="P242" i="68"/>
  <c r="Z242" i="68" s="1"/>
  <c r="P21" i="68"/>
  <c r="Z21" i="68" s="1"/>
  <c r="U21" i="68"/>
  <c r="U82" i="68"/>
  <c r="P82" i="68"/>
  <c r="Z82" i="68" s="1"/>
  <c r="U59" i="68"/>
  <c r="P59" i="68"/>
  <c r="Z59" i="68" s="1"/>
  <c r="Z136" i="68"/>
  <c r="P147" i="68"/>
  <c r="Z147" i="68" s="1"/>
  <c r="U147" i="68"/>
  <c r="U26" i="68"/>
  <c r="Z117" i="68"/>
  <c r="P200" i="68"/>
  <c r="Z199" i="68" s="1"/>
  <c r="U199" i="68"/>
  <c r="U216" i="68"/>
  <c r="P216" i="68"/>
  <c r="Z216" i="68" s="1"/>
  <c r="U136" i="68"/>
  <c r="U157" i="68"/>
  <c r="P157" i="68"/>
  <c r="Z157" i="68" s="1"/>
  <c r="U71" i="68"/>
  <c r="P71" i="68"/>
  <c r="Z71" i="68" s="1"/>
  <c r="Z100" i="68"/>
  <c r="P258" i="68"/>
  <c r="Z258" i="68" s="1"/>
  <c r="U258" i="68"/>
  <c r="U246" i="68"/>
  <c r="U214" i="68"/>
  <c r="P214" i="68"/>
  <c r="Z214" i="68" s="1"/>
  <c r="U111" i="67"/>
  <c r="P111" i="67"/>
  <c r="Z111" i="67" s="1"/>
  <c r="U67" i="67"/>
  <c r="P67" i="67"/>
  <c r="Z67" i="67" s="1"/>
  <c r="U263" i="67"/>
  <c r="P263" i="67"/>
  <c r="Z263" i="67" s="1"/>
  <c r="P147" i="67"/>
  <c r="Z147" i="67" s="1"/>
  <c r="U147" i="67"/>
  <c r="P112" i="67"/>
  <c r="Z112" i="67" s="1"/>
  <c r="U112" i="67"/>
  <c r="U239" i="67"/>
  <c r="P239" i="67"/>
  <c r="Z239" i="67" s="1"/>
  <c r="U95" i="67"/>
  <c r="P95" i="67"/>
  <c r="Z95" i="67" s="1"/>
  <c r="U229" i="67"/>
  <c r="P229" i="67"/>
  <c r="Z229" i="67" s="1"/>
  <c r="P65" i="67"/>
  <c r="Z65" i="67" s="1"/>
  <c r="U65" i="67"/>
  <c r="U234" i="67"/>
  <c r="P234" i="67"/>
  <c r="Z234" i="67" s="1"/>
  <c r="U117" i="67"/>
  <c r="P117" i="67"/>
  <c r="Z117" i="67" s="1"/>
  <c r="U71" i="67"/>
  <c r="P71" i="67"/>
  <c r="Z71" i="67" s="1"/>
  <c r="U26" i="67"/>
  <c r="P26" i="67"/>
  <c r="Z26" i="67" s="1"/>
  <c r="Z106" i="67"/>
  <c r="Z167" i="67"/>
  <c r="U82" i="67"/>
  <c r="P82" i="67"/>
  <c r="Z82" i="67" s="1"/>
  <c r="P251" i="67"/>
  <c r="Z251" i="67" s="1"/>
  <c r="U251" i="67"/>
  <c r="U76" i="67"/>
  <c r="P76" i="67"/>
  <c r="Z76" i="67" s="1"/>
  <c r="U12" i="67"/>
  <c r="P14" i="67"/>
  <c r="Z12" i="67" s="1"/>
  <c r="U203" i="67"/>
  <c r="P203" i="67"/>
  <c r="Z203" i="67" s="1"/>
  <c r="Z21" i="67"/>
  <c r="P43" i="67"/>
  <c r="Z42" i="67" s="1"/>
  <c r="U42" i="67"/>
  <c r="U162" i="67"/>
  <c r="P162" i="67"/>
  <c r="Z162" i="67" s="1"/>
  <c r="U247" i="67"/>
  <c r="P247" i="67"/>
  <c r="Z247" i="67" s="1"/>
  <c r="U219" i="67"/>
  <c r="Z219" i="67" s="1"/>
  <c r="P219" i="67"/>
  <c r="J595" i="65" l="1"/>
  <c r="J594" i="65"/>
  <c r="J593" i="65"/>
  <c r="J592" i="65"/>
  <c r="J591" i="65"/>
  <c r="J590" i="65"/>
  <c r="J589" i="65"/>
  <c r="J588" i="65"/>
  <c r="J587" i="65"/>
  <c r="J586" i="65"/>
  <c r="J585" i="65"/>
  <c r="J584" i="65"/>
  <c r="J583" i="65"/>
  <c r="J582" i="65"/>
  <c r="J581" i="65"/>
  <c r="J580" i="65"/>
  <c r="J579" i="65"/>
  <c r="J578" i="65"/>
  <c r="J577" i="65"/>
  <c r="J576" i="65"/>
  <c r="J575" i="65"/>
  <c r="J574" i="65"/>
  <c r="J573" i="65"/>
  <c r="J572" i="65"/>
  <c r="J571" i="65"/>
  <c r="J570" i="65"/>
  <c r="J569" i="65"/>
  <c r="J568" i="65"/>
  <c r="J567" i="65"/>
  <c r="J566" i="65"/>
  <c r="J565" i="65"/>
  <c r="J564" i="65"/>
  <c r="J563" i="65"/>
  <c r="J562" i="65"/>
  <c r="J561" i="65"/>
  <c r="J560" i="65"/>
  <c r="J559" i="65"/>
  <c r="J558" i="65"/>
  <c r="J557" i="65"/>
  <c r="J556" i="65"/>
  <c r="J555" i="65"/>
  <c r="J554" i="65"/>
  <c r="J553" i="65"/>
  <c r="J552" i="65"/>
  <c r="J551" i="65"/>
  <c r="J550" i="65"/>
  <c r="J549" i="65"/>
  <c r="J548" i="65"/>
  <c r="J547" i="65"/>
  <c r="J546" i="65"/>
  <c r="J545" i="65"/>
  <c r="J544" i="65"/>
  <c r="J543" i="65"/>
  <c r="J542" i="65"/>
  <c r="J541" i="65"/>
  <c r="J540" i="65"/>
  <c r="J539" i="65"/>
  <c r="J538" i="65"/>
  <c r="J537" i="65"/>
  <c r="J536" i="65"/>
  <c r="J535" i="65"/>
  <c r="J534" i="65"/>
  <c r="J533" i="65"/>
  <c r="J532" i="65"/>
  <c r="J531" i="65"/>
  <c r="J530" i="65"/>
  <c r="J529" i="65"/>
  <c r="J528" i="65"/>
  <c r="J527" i="65"/>
  <c r="J526" i="65"/>
  <c r="J525" i="65"/>
  <c r="J524" i="65"/>
  <c r="J523" i="65"/>
  <c r="J522" i="65"/>
  <c r="J521" i="65"/>
  <c r="J520" i="65"/>
  <c r="J519" i="65"/>
  <c r="J518" i="65"/>
  <c r="J517" i="65"/>
  <c r="J516" i="65"/>
  <c r="J515" i="65"/>
  <c r="J514" i="65"/>
  <c r="J513" i="65"/>
  <c r="J512" i="65"/>
  <c r="J511" i="65"/>
  <c r="J510" i="65"/>
  <c r="J509" i="65"/>
  <c r="J508" i="65"/>
  <c r="J507" i="65"/>
  <c r="J506" i="65"/>
  <c r="J505" i="65"/>
  <c r="J504" i="65"/>
  <c r="J503" i="65"/>
  <c r="J502" i="65"/>
  <c r="J501" i="65"/>
  <c r="J500" i="65"/>
  <c r="J499" i="65"/>
  <c r="J498" i="65"/>
  <c r="J497" i="65"/>
  <c r="J496" i="65"/>
  <c r="J495" i="65"/>
  <c r="J494" i="65"/>
  <c r="J493" i="65"/>
  <c r="J492" i="65"/>
  <c r="J491" i="65"/>
  <c r="J490" i="65"/>
  <c r="J489" i="65"/>
  <c r="J488" i="65"/>
  <c r="J487" i="65"/>
  <c r="J486" i="65"/>
  <c r="J485" i="65"/>
  <c r="J484" i="65"/>
  <c r="J483" i="65"/>
  <c r="J482" i="65"/>
  <c r="J481" i="65"/>
  <c r="J480" i="65"/>
  <c r="J479" i="65"/>
  <c r="J478" i="65"/>
  <c r="J477" i="65"/>
  <c r="J476" i="65"/>
  <c r="J475" i="65"/>
  <c r="J474" i="65"/>
  <c r="J473" i="65"/>
  <c r="J472" i="65"/>
  <c r="J471" i="65"/>
  <c r="J470" i="65"/>
  <c r="J469" i="65"/>
  <c r="J468" i="65"/>
  <c r="J467" i="65"/>
  <c r="J466" i="65"/>
  <c r="J465" i="65"/>
  <c r="J464" i="65"/>
  <c r="J463" i="65"/>
  <c r="J462" i="65"/>
  <c r="J461" i="65"/>
  <c r="J460" i="65"/>
  <c r="J459" i="65"/>
  <c r="J458" i="65"/>
  <c r="J457" i="65"/>
  <c r="J456" i="65"/>
  <c r="J455" i="65"/>
  <c r="J454" i="65"/>
  <c r="J453" i="65"/>
  <c r="J452" i="65"/>
  <c r="J451" i="65"/>
  <c r="J450" i="65"/>
  <c r="J449" i="65"/>
  <c r="J448" i="65"/>
  <c r="J447" i="65"/>
  <c r="J446" i="65"/>
  <c r="J445" i="65"/>
  <c r="J444" i="65"/>
  <c r="J443" i="65"/>
  <c r="J442" i="65"/>
  <c r="J441" i="65"/>
  <c r="J440" i="65"/>
  <c r="J439" i="65"/>
  <c r="J438" i="65"/>
  <c r="J437" i="65"/>
  <c r="L433" i="65"/>
  <c r="L432" i="65"/>
  <c r="L431" i="65"/>
  <c r="L430" i="65"/>
  <c r="L429" i="65"/>
  <c r="L428" i="65"/>
  <c r="L427" i="65"/>
  <c r="L426" i="65"/>
  <c r="L425" i="65"/>
  <c r="L424" i="65"/>
  <c r="L423" i="65"/>
  <c r="L422" i="65"/>
  <c r="L421" i="65"/>
  <c r="L420" i="65"/>
  <c r="L419" i="65"/>
  <c r="L418" i="65"/>
  <c r="L417" i="65"/>
  <c r="L416" i="65"/>
  <c r="L415" i="65"/>
  <c r="L414" i="65"/>
  <c r="L413" i="65"/>
  <c r="L412" i="65"/>
  <c r="L411" i="65"/>
  <c r="L410" i="65"/>
  <c r="L409" i="65"/>
  <c r="L408" i="65"/>
  <c r="L407" i="65"/>
  <c r="L406" i="65"/>
  <c r="L405" i="65"/>
  <c r="L404" i="65"/>
  <c r="L403" i="65"/>
  <c r="L402" i="65"/>
  <c r="L401" i="65"/>
  <c r="L400" i="65"/>
  <c r="L399" i="65"/>
  <c r="L398" i="65"/>
  <c r="L397" i="65"/>
  <c r="L396" i="65"/>
  <c r="L395" i="65"/>
  <c r="L394" i="65"/>
  <c r="L393" i="65"/>
  <c r="L392" i="65"/>
  <c r="L391" i="65"/>
  <c r="L390" i="65"/>
  <c r="L389" i="65"/>
  <c r="L388" i="65"/>
  <c r="L387" i="65"/>
  <c r="L386" i="65"/>
  <c r="L385" i="65"/>
  <c r="L384" i="65"/>
  <c r="L383" i="65"/>
  <c r="L382" i="65"/>
  <c r="L381" i="65"/>
  <c r="L380" i="65"/>
  <c r="L379" i="65"/>
  <c r="L378" i="65"/>
  <c r="L377" i="65"/>
  <c r="L376" i="65"/>
  <c r="L375" i="65"/>
  <c r="L374" i="65"/>
  <c r="L373" i="65"/>
  <c r="L372" i="65"/>
  <c r="L371" i="65"/>
  <c r="L370" i="65"/>
  <c r="L369" i="65"/>
  <c r="L368" i="65"/>
  <c r="L367" i="65"/>
  <c r="L366" i="65"/>
  <c r="L365" i="65"/>
  <c r="L364" i="65"/>
  <c r="L363" i="65"/>
  <c r="L362" i="65"/>
  <c r="L361" i="65"/>
  <c r="L360" i="65"/>
  <c r="L359" i="65"/>
  <c r="L358" i="65"/>
  <c r="L357" i="65"/>
  <c r="L356" i="65"/>
  <c r="L355" i="65"/>
  <c r="L354" i="65"/>
  <c r="L353" i="65"/>
  <c r="L352" i="65"/>
  <c r="L351" i="65"/>
  <c r="L350" i="65"/>
  <c r="L349" i="65"/>
  <c r="L348" i="65"/>
  <c r="L347" i="65"/>
  <c r="L346" i="65"/>
  <c r="L345" i="65"/>
  <c r="L344" i="65"/>
  <c r="L343" i="65"/>
  <c r="L342" i="65"/>
  <c r="L341" i="65"/>
  <c r="L340" i="65"/>
  <c r="L339" i="65"/>
  <c r="L338" i="65"/>
  <c r="L337" i="65"/>
  <c r="L336" i="65"/>
  <c r="L335" i="65"/>
  <c r="L334" i="65"/>
  <c r="L333" i="65"/>
  <c r="L332" i="65"/>
  <c r="L331" i="65"/>
  <c r="L330" i="65"/>
  <c r="L329" i="65"/>
  <c r="L328" i="65"/>
  <c r="L327" i="65"/>
  <c r="L326" i="65"/>
  <c r="L325" i="65"/>
  <c r="L324" i="65"/>
  <c r="L323" i="65"/>
  <c r="L322" i="65"/>
  <c r="L321" i="65"/>
  <c r="L320" i="65"/>
  <c r="L319" i="65"/>
  <c r="L318" i="65"/>
  <c r="L317" i="65"/>
  <c r="L316" i="65"/>
  <c r="L315" i="65"/>
  <c r="L314" i="65"/>
  <c r="L313" i="65"/>
  <c r="L312" i="65"/>
  <c r="L311" i="65"/>
  <c r="L310" i="65"/>
  <c r="L309" i="65"/>
  <c r="L308" i="65"/>
  <c r="L307" i="65"/>
  <c r="L306" i="65"/>
  <c r="L305" i="65"/>
  <c r="L304" i="65"/>
  <c r="L303" i="65"/>
  <c r="L302" i="65"/>
  <c r="L301" i="65"/>
  <c r="L300" i="65"/>
  <c r="L299" i="65"/>
  <c r="L298" i="65"/>
  <c r="L297" i="65"/>
  <c r="L296" i="65"/>
  <c r="L295" i="65"/>
  <c r="L294" i="65"/>
  <c r="L293" i="65"/>
  <c r="L292" i="65"/>
  <c r="L291" i="65"/>
  <c r="L290" i="65"/>
  <c r="L289" i="65"/>
  <c r="L288" i="65"/>
  <c r="L287" i="65"/>
  <c r="L286" i="65"/>
  <c r="L285" i="65"/>
  <c r="L284" i="65"/>
  <c r="L283" i="65"/>
  <c r="L282" i="65"/>
  <c r="L281" i="65"/>
  <c r="L280" i="65"/>
  <c r="L279" i="65"/>
  <c r="L278" i="65"/>
  <c r="L277" i="65"/>
  <c r="L276" i="65"/>
  <c r="L275" i="65"/>
  <c r="L274" i="65"/>
  <c r="E267" i="65"/>
  <c r="K267" i="65" s="1"/>
  <c r="N267" i="65" s="1"/>
  <c r="E266" i="65"/>
  <c r="K266" i="65" s="1"/>
  <c r="E265" i="65"/>
  <c r="K265" i="65" s="1"/>
  <c r="E264" i="65"/>
  <c r="K264" i="65" s="1"/>
  <c r="Y263" i="65"/>
  <c r="V263" i="65"/>
  <c r="T263" i="65"/>
  <c r="E263" i="65"/>
  <c r="K263" i="65" s="1"/>
  <c r="N262" i="65"/>
  <c r="I262" i="65"/>
  <c r="P262" i="65" s="1"/>
  <c r="N261" i="65"/>
  <c r="I261" i="65"/>
  <c r="P261" i="65" s="1"/>
  <c r="N260" i="65"/>
  <c r="I260" i="65"/>
  <c r="P260" i="65" s="1"/>
  <c r="N259" i="65"/>
  <c r="I259" i="65"/>
  <c r="P259" i="65" s="1"/>
  <c r="N258" i="65"/>
  <c r="I258" i="65"/>
  <c r="P258" i="65" s="1"/>
  <c r="N257" i="65"/>
  <c r="I257" i="65"/>
  <c r="P257" i="65" s="1"/>
  <c r="Y256" i="65"/>
  <c r="X256" i="65"/>
  <c r="W256" i="65"/>
  <c r="V256" i="65"/>
  <c r="T256" i="65"/>
  <c r="S256" i="65"/>
  <c r="R256" i="65"/>
  <c r="N256" i="65"/>
  <c r="I256" i="65"/>
  <c r="E255" i="65"/>
  <c r="E254" i="65"/>
  <c r="F254" i="65" s="1"/>
  <c r="E253" i="65"/>
  <c r="K253" i="65" s="1"/>
  <c r="N253" i="65" s="1"/>
  <c r="E252" i="65"/>
  <c r="K252" i="65" s="1"/>
  <c r="N252" i="65" s="1"/>
  <c r="Y251" i="65"/>
  <c r="X251" i="65"/>
  <c r="V251" i="65"/>
  <c r="T251" i="65"/>
  <c r="E251" i="65"/>
  <c r="K251" i="65" s="1"/>
  <c r="E250" i="65"/>
  <c r="K250" i="65" s="1"/>
  <c r="N250" i="65" s="1"/>
  <c r="E249" i="65"/>
  <c r="E248" i="65"/>
  <c r="K248" i="65" s="1"/>
  <c r="N248" i="65" s="1"/>
  <c r="Y247" i="65"/>
  <c r="X247" i="65"/>
  <c r="V247" i="65"/>
  <c r="T247" i="65"/>
  <c r="E247" i="65"/>
  <c r="N246" i="65"/>
  <c r="I246" i="65"/>
  <c r="P246" i="65" s="1"/>
  <c r="E245" i="65"/>
  <c r="K245" i="65" s="1"/>
  <c r="N245" i="65" s="1"/>
  <c r="N244" i="65"/>
  <c r="I244" i="65"/>
  <c r="P244" i="65" s="1"/>
  <c r="E244" i="65"/>
  <c r="E243" i="65"/>
  <c r="O243" i="65" s="1"/>
  <c r="E242" i="65"/>
  <c r="E241" i="65"/>
  <c r="E240" i="65"/>
  <c r="O240" i="65" s="1"/>
  <c r="X239" i="65"/>
  <c r="W239" i="65"/>
  <c r="T239" i="65"/>
  <c r="E239" i="65"/>
  <c r="J239" i="65" s="1"/>
  <c r="N239" i="65" s="1"/>
  <c r="E238" i="65"/>
  <c r="O238" i="65" s="1"/>
  <c r="F237" i="65"/>
  <c r="E237" i="65"/>
  <c r="O237" i="65" s="1"/>
  <c r="E236" i="65"/>
  <c r="E235" i="65"/>
  <c r="J235" i="65" s="1"/>
  <c r="H234" i="65"/>
  <c r="T234" i="65" s="1"/>
  <c r="E234" i="65"/>
  <c r="J234" i="65" s="1"/>
  <c r="E233" i="65"/>
  <c r="G233" i="65" s="1"/>
  <c r="E232" i="65"/>
  <c r="J232" i="65" s="1"/>
  <c r="E231" i="65"/>
  <c r="G231" i="65" s="1"/>
  <c r="E230" i="65"/>
  <c r="O230" i="65" s="1"/>
  <c r="X229" i="65"/>
  <c r="T229" i="65"/>
  <c r="E229" i="65"/>
  <c r="G229" i="65" s="1"/>
  <c r="E228" i="65"/>
  <c r="E227" i="65"/>
  <c r="E226" i="65"/>
  <c r="E225" i="65"/>
  <c r="E224" i="65"/>
  <c r="J224" i="65" s="1"/>
  <c r="N224" i="65" s="1"/>
  <c r="E223" i="65"/>
  <c r="E222" i="65"/>
  <c r="J222" i="65" s="1"/>
  <c r="N222" i="65" s="1"/>
  <c r="Y221" i="65"/>
  <c r="X221" i="65"/>
  <c r="W221" i="65"/>
  <c r="T221" i="65"/>
  <c r="R221" i="65"/>
  <c r="E221" i="65"/>
  <c r="G221" i="65" s="1"/>
  <c r="I221" i="65" s="1"/>
  <c r="O220" i="65"/>
  <c r="K220" i="65"/>
  <c r="J220" i="65"/>
  <c r="N220" i="65" s="1"/>
  <c r="H220" i="65"/>
  <c r="G220" i="65"/>
  <c r="F220" i="65"/>
  <c r="R220" i="65" s="1"/>
  <c r="X219" i="65"/>
  <c r="W219" i="65"/>
  <c r="T219" i="65"/>
  <c r="R219" i="65"/>
  <c r="E219" i="65"/>
  <c r="O219" i="65" s="1"/>
  <c r="Y219" i="65" s="1"/>
  <c r="O218" i="65"/>
  <c r="J218" i="65"/>
  <c r="N218" i="65" s="1"/>
  <c r="F218" i="65"/>
  <c r="I218" i="65" s="1"/>
  <c r="O217" i="65"/>
  <c r="J217" i="65"/>
  <c r="N217" i="65" s="1"/>
  <c r="F217" i="65"/>
  <c r="I217" i="65" s="1"/>
  <c r="P217" i="65" s="1"/>
  <c r="O216" i="65"/>
  <c r="J216" i="65"/>
  <c r="N216" i="65" s="1"/>
  <c r="F216" i="65"/>
  <c r="I216" i="65" s="1"/>
  <c r="V215" i="65"/>
  <c r="R215" i="65"/>
  <c r="O215" i="65"/>
  <c r="Y215" i="65" s="1"/>
  <c r="M215" i="65"/>
  <c r="K215" i="65"/>
  <c r="W215" i="65" s="1"/>
  <c r="H215" i="65"/>
  <c r="G215" i="65"/>
  <c r="S215" i="65" s="1"/>
  <c r="N214" i="65"/>
  <c r="I214" i="65"/>
  <c r="P214" i="65" s="1"/>
  <c r="N213" i="65"/>
  <c r="I213" i="65"/>
  <c r="P213" i="65" s="1"/>
  <c r="N212" i="65"/>
  <c r="I212" i="65"/>
  <c r="P212" i="65" s="1"/>
  <c r="N211" i="65"/>
  <c r="I211" i="65"/>
  <c r="P211" i="65" s="1"/>
  <c r="E211" i="65"/>
  <c r="N210" i="65"/>
  <c r="I210" i="65"/>
  <c r="P210" i="65" s="1"/>
  <c r="E210" i="65"/>
  <c r="N209" i="65"/>
  <c r="I209" i="65"/>
  <c r="P209" i="65" s="1"/>
  <c r="E209" i="65"/>
  <c r="N208" i="65"/>
  <c r="I208" i="65"/>
  <c r="P208" i="65" s="1"/>
  <c r="E208" i="65"/>
  <c r="N207" i="65"/>
  <c r="I207" i="65"/>
  <c r="P207" i="65" s="1"/>
  <c r="E207" i="65"/>
  <c r="N206" i="65"/>
  <c r="I206" i="65"/>
  <c r="P206" i="65" s="1"/>
  <c r="E206" i="65"/>
  <c r="N205" i="65"/>
  <c r="I205" i="65"/>
  <c r="P205" i="65" s="1"/>
  <c r="E205" i="65"/>
  <c r="N204" i="65"/>
  <c r="I204" i="65"/>
  <c r="P204" i="65" s="1"/>
  <c r="E204" i="65"/>
  <c r="Y203" i="65"/>
  <c r="K203" i="65"/>
  <c r="W203" i="65" s="1"/>
  <c r="F203" i="65"/>
  <c r="R203" i="65" s="1"/>
  <c r="E203" i="65"/>
  <c r="N202" i="65"/>
  <c r="E202" i="65"/>
  <c r="P201" i="65"/>
  <c r="I201" i="65"/>
  <c r="E201" i="65"/>
  <c r="K201" i="65" s="1"/>
  <c r="N201" i="65" s="1"/>
  <c r="P200" i="65"/>
  <c r="I200" i="65"/>
  <c r="E200" i="65"/>
  <c r="K200" i="65" s="1"/>
  <c r="N200" i="65" s="1"/>
  <c r="P199" i="65"/>
  <c r="I199" i="65"/>
  <c r="E199" i="65"/>
  <c r="K199" i="65" s="1"/>
  <c r="N199" i="65" s="1"/>
  <c r="P198" i="65"/>
  <c r="I198" i="65"/>
  <c r="E198" i="65"/>
  <c r="P197" i="65"/>
  <c r="I197" i="65"/>
  <c r="E197" i="65"/>
  <c r="K197" i="65" s="1"/>
  <c r="N197" i="65" s="1"/>
  <c r="P196" i="65"/>
  <c r="I196" i="65"/>
  <c r="E196" i="65"/>
  <c r="O196" i="65" s="1"/>
  <c r="P195" i="65"/>
  <c r="I195" i="65"/>
  <c r="E195" i="65"/>
  <c r="K195" i="65" s="1"/>
  <c r="N195" i="65" s="1"/>
  <c r="P194" i="65"/>
  <c r="I194" i="65"/>
  <c r="E194" i="65"/>
  <c r="P193" i="65"/>
  <c r="I193" i="65"/>
  <c r="E193" i="65"/>
  <c r="K193" i="65" s="1"/>
  <c r="N193" i="65" s="1"/>
  <c r="P192" i="65"/>
  <c r="I192" i="65"/>
  <c r="E192" i="65"/>
  <c r="G192" i="65" s="1"/>
  <c r="P191" i="65"/>
  <c r="I191" i="65"/>
  <c r="E191" i="65"/>
  <c r="P190" i="65"/>
  <c r="I190" i="65"/>
  <c r="E190" i="65"/>
  <c r="N189" i="65"/>
  <c r="E189" i="65"/>
  <c r="N188" i="65"/>
  <c r="E188" i="65"/>
  <c r="N187" i="65"/>
  <c r="E187" i="65"/>
  <c r="N186" i="65"/>
  <c r="E186" i="65"/>
  <c r="N185" i="65"/>
  <c r="E185" i="65"/>
  <c r="P184" i="65"/>
  <c r="I184" i="65"/>
  <c r="E184" i="65"/>
  <c r="O184" i="65" s="1"/>
  <c r="N183" i="65"/>
  <c r="E183" i="65"/>
  <c r="N182" i="65"/>
  <c r="E182" i="65"/>
  <c r="P181" i="65"/>
  <c r="I181" i="65"/>
  <c r="E181" i="65"/>
  <c r="G181" i="65" s="1"/>
  <c r="P180" i="65"/>
  <c r="I180" i="65"/>
  <c r="E180" i="65"/>
  <c r="K180" i="65" s="1"/>
  <c r="N180" i="65" s="1"/>
  <c r="N179" i="65"/>
  <c r="E179" i="65"/>
  <c r="N178" i="65"/>
  <c r="E178" i="65"/>
  <c r="P177" i="65"/>
  <c r="I177" i="65"/>
  <c r="E177" i="65"/>
  <c r="O177" i="65" s="1"/>
  <c r="N176" i="65"/>
  <c r="E176" i="65"/>
  <c r="P175" i="65"/>
  <c r="I175" i="65"/>
  <c r="E175" i="65"/>
  <c r="K175" i="65" s="1"/>
  <c r="N175" i="65" s="1"/>
  <c r="X174" i="65"/>
  <c r="V174" i="65"/>
  <c r="T174" i="65"/>
  <c r="R174" i="65"/>
  <c r="N174" i="65"/>
  <c r="E174" i="65"/>
  <c r="E173" i="65"/>
  <c r="O173" i="65" s="1"/>
  <c r="E172" i="65"/>
  <c r="M172" i="65" s="1"/>
  <c r="E171" i="65"/>
  <c r="E170" i="65"/>
  <c r="E169" i="65"/>
  <c r="G169" i="65" s="1"/>
  <c r="E168" i="65"/>
  <c r="K168" i="65" s="1"/>
  <c r="V167" i="65"/>
  <c r="E167" i="65"/>
  <c r="E166" i="65"/>
  <c r="E165" i="65"/>
  <c r="G165" i="65" s="1"/>
  <c r="I165" i="65" s="1"/>
  <c r="E164" i="65"/>
  <c r="M164" i="65" s="1"/>
  <c r="E163" i="65"/>
  <c r="G163" i="65" s="1"/>
  <c r="I163" i="65" s="1"/>
  <c r="Y162" i="65"/>
  <c r="V162" i="65"/>
  <c r="E162" i="65"/>
  <c r="N161" i="65"/>
  <c r="I161" i="65"/>
  <c r="P161" i="65" s="1"/>
  <c r="E161" i="65"/>
  <c r="P160" i="65"/>
  <c r="N160" i="65"/>
  <c r="I160" i="65"/>
  <c r="E160" i="65"/>
  <c r="Y159" i="65"/>
  <c r="X159" i="65"/>
  <c r="W159" i="65"/>
  <c r="V159" i="65"/>
  <c r="T159" i="65"/>
  <c r="S159" i="65"/>
  <c r="R159" i="65"/>
  <c r="N159" i="65"/>
  <c r="I159" i="65"/>
  <c r="E159" i="65"/>
  <c r="O158" i="65"/>
  <c r="Y158" i="65" s="1"/>
  <c r="K158" i="65"/>
  <c r="W158" i="65" s="1"/>
  <c r="G158" i="65"/>
  <c r="S158" i="65" s="1"/>
  <c r="F158" i="65"/>
  <c r="R158" i="65" s="1"/>
  <c r="N157" i="65"/>
  <c r="K157" i="65"/>
  <c r="G157" i="65"/>
  <c r="F157" i="65"/>
  <c r="K156" i="65"/>
  <c r="N156" i="65" s="1"/>
  <c r="G156" i="65"/>
  <c r="F156" i="65"/>
  <c r="K155" i="65"/>
  <c r="N155" i="65" s="1"/>
  <c r="F155" i="65"/>
  <c r="I155" i="65" s="1"/>
  <c r="P155" i="65" s="1"/>
  <c r="K154" i="65"/>
  <c r="N154" i="65" s="1"/>
  <c r="F154" i="65"/>
  <c r="I154" i="65" s="1"/>
  <c r="P154" i="65" s="1"/>
  <c r="Y153" i="65"/>
  <c r="X153" i="65"/>
  <c r="V153" i="65"/>
  <c r="K153" i="65"/>
  <c r="H153" i="65"/>
  <c r="F153" i="65"/>
  <c r="N152" i="65"/>
  <c r="I152" i="65"/>
  <c r="P152" i="65" s="1"/>
  <c r="E152" i="65"/>
  <c r="E151" i="65"/>
  <c r="M151" i="65" s="1"/>
  <c r="E150" i="65"/>
  <c r="O150" i="65" s="1"/>
  <c r="E149" i="65"/>
  <c r="E148" i="65"/>
  <c r="K148" i="65" s="1"/>
  <c r="E147" i="65"/>
  <c r="G147" i="65" s="1"/>
  <c r="N146" i="65"/>
  <c r="I146" i="65"/>
  <c r="P146" i="65" s="1"/>
  <c r="E146" i="65"/>
  <c r="O145" i="65"/>
  <c r="J145" i="65"/>
  <c r="N145" i="65" s="1"/>
  <c r="G145" i="65"/>
  <c r="F145" i="65"/>
  <c r="O144" i="65"/>
  <c r="J144" i="65"/>
  <c r="N144" i="65" s="1"/>
  <c r="G144" i="65"/>
  <c r="F144" i="65"/>
  <c r="O143" i="65"/>
  <c r="J143" i="65"/>
  <c r="N143" i="65" s="1"/>
  <c r="G143" i="65"/>
  <c r="F143" i="65"/>
  <c r="O142" i="65"/>
  <c r="J142" i="65"/>
  <c r="N142" i="65" s="1"/>
  <c r="G142" i="65"/>
  <c r="F142" i="65"/>
  <c r="X141" i="65"/>
  <c r="W141" i="65"/>
  <c r="T141" i="65"/>
  <c r="O141" i="65"/>
  <c r="J141" i="65"/>
  <c r="G141" i="65"/>
  <c r="F141" i="65"/>
  <c r="E140" i="65"/>
  <c r="F140" i="65" s="1"/>
  <c r="E139" i="65"/>
  <c r="E138" i="65"/>
  <c r="F138" i="65" s="1"/>
  <c r="E137" i="65"/>
  <c r="F137" i="65" s="1"/>
  <c r="X136" i="65"/>
  <c r="W136" i="65"/>
  <c r="T136" i="65"/>
  <c r="E136" i="65"/>
  <c r="O136" i="65" s="1"/>
  <c r="E135" i="65"/>
  <c r="J135" i="65" s="1"/>
  <c r="V135" i="65" s="1"/>
  <c r="Z134" i="65"/>
  <c r="Y134" i="65"/>
  <c r="X134" i="65"/>
  <c r="W134" i="65"/>
  <c r="V134" i="65"/>
  <c r="U134" i="65"/>
  <c r="T134" i="65"/>
  <c r="S134" i="65"/>
  <c r="R134" i="65"/>
  <c r="P134" i="65"/>
  <c r="N134" i="65"/>
  <c r="I134" i="65"/>
  <c r="E134" i="65"/>
  <c r="F134" i="65" s="1"/>
  <c r="S133" i="65"/>
  <c r="N133" i="65"/>
  <c r="G133" i="65"/>
  <c r="F133" i="65"/>
  <c r="R133" i="65" s="1"/>
  <c r="N132" i="65"/>
  <c r="F132" i="65"/>
  <c r="E132" i="65"/>
  <c r="G132" i="65" s="1"/>
  <c r="S132" i="65" s="1"/>
  <c r="N131" i="65"/>
  <c r="I131" i="65"/>
  <c r="P131" i="65" s="1"/>
  <c r="O130" i="65"/>
  <c r="J130" i="65"/>
  <c r="N130" i="65" s="1"/>
  <c r="G130" i="65"/>
  <c r="F130" i="65"/>
  <c r="O129" i="65"/>
  <c r="J129" i="65"/>
  <c r="N129" i="65" s="1"/>
  <c r="G129" i="65"/>
  <c r="F129" i="65"/>
  <c r="O128" i="65"/>
  <c r="J128" i="65"/>
  <c r="N128" i="65" s="1"/>
  <c r="G128" i="65"/>
  <c r="F128" i="65"/>
  <c r="O127" i="65"/>
  <c r="J127" i="65"/>
  <c r="N127" i="65" s="1"/>
  <c r="G127" i="65"/>
  <c r="F127" i="65"/>
  <c r="X126" i="65"/>
  <c r="W126" i="65"/>
  <c r="T126" i="65"/>
  <c r="O126" i="65"/>
  <c r="J126" i="65"/>
  <c r="N126" i="65" s="1"/>
  <c r="G126" i="65"/>
  <c r="F126" i="65"/>
  <c r="I126" i="65" s="1"/>
  <c r="Y125" i="65"/>
  <c r="M125" i="65"/>
  <c r="X125" i="65" s="1"/>
  <c r="J125" i="65"/>
  <c r="H125" i="65"/>
  <c r="T125" i="65" s="1"/>
  <c r="E125" i="65"/>
  <c r="K125" i="65" s="1"/>
  <c r="W125" i="65" s="1"/>
  <c r="E124" i="65"/>
  <c r="O124" i="65" s="1"/>
  <c r="E123" i="65"/>
  <c r="O123" i="65" s="1"/>
  <c r="E122" i="65"/>
  <c r="O122" i="65" s="1"/>
  <c r="E121" i="65"/>
  <c r="O121" i="65" s="1"/>
  <c r="E120" i="65"/>
  <c r="O120" i="65" s="1"/>
  <c r="E119" i="65"/>
  <c r="O119" i="65" s="1"/>
  <c r="E118" i="65"/>
  <c r="O118" i="65" s="1"/>
  <c r="X117" i="65"/>
  <c r="W117" i="65"/>
  <c r="H117" i="65"/>
  <c r="T117" i="65" s="1"/>
  <c r="F117" i="65"/>
  <c r="E117" i="65"/>
  <c r="J117" i="65" s="1"/>
  <c r="N117" i="65" s="1"/>
  <c r="E116" i="65"/>
  <c r="E115" i="65"/>
  <c r="O115" i="65" s="1"/>
  <c r="K114" i="65"/>
  <c r="E114" i="65"/>
  <c r="J114" i="65" s="1"/>
  <c r="E113" i="65"/>
  <c r="J113" i="65" s="1"/>
  <c r="X112" i="65"/>
  <c r="E112" i="65"/>
  <c r="J112" i="65" s="1"/>
  <c r="N111" i="65"/>
  <c r="E111" i="65"/>
  <c r="G111" i="65" s="1"/>
  <c r="S111" i="65" s="1"/>
  <c r="F110" i="65"/>
  <c r="E110" i="65"/>
  <c r="F109" i="65"/>
  <c r="E109" i="65"/>
  <c r="O109" i="65" s="1"/>
  <c r="G108" i="65"/>
  <c r="F108" i="65"/>
  <c r="E108" i="65"/>
  <c r="J108" i="65" s="1"/>
  <c r="N108" i="65" s="1"/>
  <c r="J107" i="65"/>
  <c r="N107" i="65" s="1"/>
  <c r="G107" i="65"/>
  <c r="F107" i="65"/>
  <c r="E107" i="65"/>
  <c r="O107" i="65" s="1"/>
  <c r="X106" i="65"/>
  <c r="W106" i="65"/>
  <c r="T106" i="65"/>
  <c r="F106" i="65"/>
  <c r="E106" i="65"/>
  <c r="O106" i="65" s="1"/>
  <c r="N105" i="65"/>
  <c r="I105" i="65"/>
  <c r="P105" i="65" s="1"/>
  <c r="E105" i="65"/>
  <c r="E104" i="65"/>
  <c r="O104" i="65" s="1"/>
  <c r="E103" i="65"/>
  <c r="E102" i="65"/>
  <c r="G102" i="65" s="1"/>
  <c r="I102" i="65" s="1"/>
  <c r="E101" i="65"/>
  <c r="M101" i="65" s="1"/>
  <c r="X100" i="65" s="1"/>
  <c r="T100" i="65"/>
  <c r="E100" i="65"/>
  <c r="J100" i="65" s="1"/>
  <c r="E99" i="65"/>
  <c r="E98" i="65"/>
  <c r="E97" i="65"/>
  <c r="O97" i="65" s="1"/>
  <c r="E96" i="65"/>
  <c r="O96" i="65" s="1"/>
  <c r="W95" i="65"/>
  <c r="E95" i="65"/>
  <c r="G95" i="65" s="1"/>
  <c r="N94" i="65"/>
  <c r="E94" i="65"/>
  <c r="S93" i="65"/>
  <c r="O93" i="65"/>
  <c r="Y93" i="65" s="1"/>
  <c r="N93" i="65"/>
  <c r="G93" i="65"/>
  <c r="F93" i="65"/>
  <c r="I93" i="65" s="1"/>
  <c r="E92" i="65"/>
  <c r="G92" i="65" s="1"/>
  <c r="F91" i="65"/>
  <c r="E91" i="65"/>
  <c r="H91" i="65" s="1"/>
  <c r="E90" i="65"/>
  <c r="E89" i="65"/>
  <c r="H89" i="65" s="1"/>
  <c r="E88" i="65"/>
  <c r="H88" i="65" s="1"/>
  <c r="E87" i="65"/>
  <c r="H87" i="65" s="1"/>
  <c r="E86" i="65"/>
  <c r="J86" i="65" s="1"/>
  <c r="E85" i="65"/>
  <c r="O85" i="65" s="1"/>
  <c r="E84" i="65"/>
  <c r="E83" i="65"/>
  <c r="O83" i="65" s="1"/>
  <c r="E82" i="65"/>
  <c r="O82" i="65" s="1"/>
  <c r="E81" i="65"/>
  <c r="K80" i="65"/>
  <c r="F80" i="65"/>
  <c r="E80" i="65"/>
  <c r="G80" i="65" s="1"/>
  <c r="E79" i="65"/>
  <c r="E78" i="65"/>
  <c r="K78" i="65" s="1"/>
  <c r="E77" i="65"/>
  <c r="T76" i="65"/>
  <c r="J76" i="65"/>
  <c r="V76" i="65" s="1"/>
  <c r="E76" i="65"/>
  <c r="G76" i="65" s="1"/>
  <c r="E75" i="65"/>
  <c r="O75" i="65" s="1"/>
  <c r="E74" i="65"/>
  <c r="H74" i="65" s="1"/>
  <c r="E73" i="65"/>
  <c r="F73" i="65" s="1"/>
  <c r="E72" i="65"/>
  <c r="M72" i="65" s="1"/>
  <c r="V71" i="65"/>
  <c r="E71" i="65"/>
  <c r="M71" i="65" s="1"/>
  <c r="E70" i="65"/>
  <c r="E69" i="65"/>
  <c r="J69" i="65" s="1"/>
  <c r="M68" i="65"/>
  <c r="H68" i="65"/>
  <c r="T67" i="65" s="1"/>
  <c r="F68" i="65"/>
  <c r="I68" i="65" s="1"/>
  <c r="E68" i="65"/>
  <c r="G68" i="65" s="1"/>
  <c r="E67" i="65"/>
  <c r="O67" i="65" s="1"/>
  <c r="E66" i="65"/>
  <c r="G66" i="65" s="1"/>
  <c r="W65" i="65"/>
  <c r="E65" i="65"/>
  <c r="G65" i="65" s="1"/>
  <c r="Y64" i="65"/>
  <c r="X64" i="65"/>
  <c r="V64" i="65"/>
  <c r="T64" i="65"/>
  <c r="F64" i="65"/>
  <c r="R64" i="65" s="1"/>
  <c r="E64" i="65"/>
  <c r="K64" i="65" s="1"/>
  <c r="N63" i="65"/>
  <c r="I63" i="65"/>
  <c r="P63" i="65" s="1"/>
  <c r="E63" i="65"/>
  <c r="N62" i="65"/>
  <c r="I62" i="65"/>
  <c r="P62" i="65" s="1"/>
  <c r="E62" i="65"/>
  <c r="N61" i="65"/>
  <c r="I61" i="65"/>
  <c r="P61" i="65" s="1"/>
  <c r="E61" i="65"/>
  <c r="N60" i="65"/>
  <c r="I60" i="65"/>
  <c r="P60" i="65" s="1"/>
  <c r="E60" i="65"/>
  <c r="N59" i="65"/>
  <c r="I59" i="65"/>
  <c r="P59" i="65" s="1"/>
  <c r="E59" i="65"/>
  <c r="E58" i="65"/>
  <c r="G58" i="65" s="1"/>
  <c r="E57" i="65"/>
  <c r="F57" i="65" s="1"/>
  <c r="E56" i="65"/>
  <c r="J56" i="65" s="1"/>
  <c r="N56" i="65" s="1"/>
  <c r="E55" i="65"/>
  <c r="F55" i="65" s="1"/>
  <c r="E54" i="65"/>
  <c r="G54" i="65" s="1"/>
  <c r="Y53" i="65"/>
  <c r="X53" i="65"/>
  <c r="W53" i="65"/>
  <c r="T53" i="65"/>
  <c r="E53" i="65"/>
  <c r="G53" i="65" s="1"/>
  <c r="E52" i="65"/>
  <c r="F52" i="65" s="1"/>
  <c r="G51" i="65"/>
  <c r="E51" i="65"/>
  <c r="K51" i="65" s="1"/>
  <c r="N51" i="65" s="1"/>
  <c r="E50" i="65"/>
  <c r="F50" i="65" s="1"/>
  <c r="E49" i="65"/>
  <c r="G49" i="65" s="1"/>
  <c r="Y48" i="65"/>
  <c r="X48" i="65"/>
  <c r="V48" i="65"/>
  <c r="T48" i="65"/>
  <c r="E48" i="65"/>
  <c r="G48" i="65" s="1"/>
  <c r="O47" i="65"/>
  <c r="Y47" i="65" s="1"/>
  <c r="J47" i="65"/>
  <c r="N47" i="65" s="1"/>
  <c r="G47" i="65"/>
  <c r="S47" i="65" s="1"/>
  <c r="F47" i="65"/>
  <c r="R47" i="65" s="1"/>
  <c r="E46" i="65"/>
  <c r="O46" i="65" s="1"/>
  <c r="E45" i="65"/>
  <c r="O45" i="65" s="1"/>
  <c r="E44" i="65"/>
  <c r="K44" i="65" s="1"/>
  <c r="E43" i="65"/>
  <c r="O43" i="65" s="1"/>
  <c r="X42" i="65"/>
  <c r="T42" i="65"/>
  <c r="R42" i="65"/>
  <c r="E42" i="65"/>
  <c r="K42" i="65" s="1"/>
  <c r="J41" i="65"/>
  <c r="N41" i="65" s="1"/>
  <c r="F41" i="65"/>
  <c r="I41" i="65" s="1"/>
  <c r="J40" i="65"/>
  <c r="N40" i="65" s="1"/>
  <c r="F40" i="65"/>
  <c r="I40" i="65" s="1"/>
  <c r="J39" i="65"/>
  <c r="N39" i="65" s="1"/>
  <c r="F39" i="65"/>
  <c r="I39" i="65" s="1"/>
  <c r="J38" i="65"/>
  <c r="N38" i="65" s="1"/>
  <c r="F38" i="65"/>
  <c r="I38" i="65" s="1"/>
  <c r="Y37" i="65"/>
  <c r="X37" i="65"/>
  <c r="W37" i="65"/>
  <c r="T37" i="65"/>
  <c r="S37" i="65"/>
  <c r="J37" i="65"/>
  <c r="N37" i="65" s="1"/>
  <c r="F37" i="65"/>
  <c r="I37" i="65" s="1"/>
  <c r="N36" i="65"/>
  <c r="E36" i="65"/>
  <c r="P36" i="65" s="1"/>
  <c r="N35" i="65"/>
  <c r="E35" i="65"/>
  <c r="P35" i="65" s="1"/>
  <c r="N34" i="65"/>
  <c r="E34" i="65"/>
  <c r="P34" i="65" s="1"/>
  <c r="Z34" i="65" s="1"/>
  <c r="E33" i="65"/>
  <c r="M33" i="65" s="1"/>
  <c r="N32" i="65"/>
  <c r="E32" i="65"/>
  <c r="E31" i="65"/>
  <c r="E30" i="65"/>
  <c r="G30" i="65" s="1"/>
  <c r="E29" i="65"/>
  <c r="G29" i="65" s="1"/>
  <c r="E28" i="65"/>
  <c r="J28" i="65" s="1"/>
  <c r="E27" i="65"/>
  <c r="J27" i="65" s="1"/>
  <c r="T26" i="65"/>
  <c r="E26" i="65"/>
  <c r="O26" i="65" s="1"/>
  <c r="E25" i="65"/>
  <c r="K25" i="65" s="1"/>
  <c r="N25" i="65" s="1"/>
  <c r="E24" i="65"/>
  <c r="O24" i="65" s="1"/>
  <c r="J23" i="65"/>
  <c r="V21" i="65" s="1"/>
  <c r="E23" i="65"/>
  <c r="G23" i="65" s="1"/>
  <c r="E22" i="65"/>
  <c r="K22" i="65" s="1"/>
  <c r="N22" i="65" s="1"/>
  <c r="X21" i="65"/>
  <c r="T21" i="65"/>
  <c r="E21" i="65"/>
  <c r="F21" i="65" s="1"/>
  <c r="N20" i="65"/>
  <c r="E20" i="65"/>
  <c r="E19" i="65"/>
  <c r="G19" i="65" s="1"/>
  <c r="N18" i="65"/>
  <c r="E18" i="65"/>
  <c r="E17" i="65"/>
  <c r="K17" i="65" s="1"/>
  <c r="N17" i="65" s="1"/>
  <c r="E16" i="65"/>
  <c r="G16" i="65" s="1"/>
  <c r="E15" i="65"/>
  <c r="F15" i="65" s="1"/>
  <c r="E14" i="65"/>
  <c r="K14" i="65" s="1"/>
  <c r="N14" i="65" s="1"/>
  <c r="N13" i="65"/>
  <c r="E13" i="65"/>
  <c r="Y12" i="65"/>
  <c r="X12" i="65"/>
  <c r="V12" i="65"/>
  <c r="T12" i="65"/>
  <c r="N12" i="65"/>
  <c r="E12" i="65"/>
  <c r="O11" i="65"/>
  <c r="J11" i="65"/>
  <c r="N11" i="65" s="1"/>
  <c r="H11" i="65"/>
  <c r="G11" i="65"/>
  <c r="F11" i="65"/>
  <c r="O10" i="65"/>
  <c r="J10" i="65"/>
  <c r="N10" i="65" s="1"/>
  <c r="H10" i="65"/>
  <c r="G10" i="65"/>
  <c r="F10" i="65"/>
  <c r="I10" i="65" s="1"/>
  <c r="P10" i="65" s="1"/>
  <c r="O9" i="65"/>
  <c r="J9" i="65"/>
  <c r="N9" i="65" s="1"/>
  <c r="H9" i="65"/>
  <c r="G9" i="65"/>
  <c r="F9" i="65"/>
  <c r="X8" i="65"/>
  <c r="O8" i="65"/>
  <c r="K8" i="65"/>
  <c r="W8" i="65" s="1"/>
  <c r="J8" i="65"/>
  <c r="H8" i="65"/>
  <c r="F8" i="65"/>
  <c r="O7" i="65"/>
  <c r="Y7" i="65" s="1"/>
  <c r="N7" i="65"/>
  <c r="F7" i="65"/>
  <c r="R7" i="65" s="1"/>
  <c r="N8" i="65" l="1"/>
  <c r="I80" i="65"/>
  <c r="I220" i="65"/>
  <c r="Y141" i="65"/>
  <c r="R37" i="65"/>
  <c r="P39" i="65"/>
  <c r="I127" i="65"/>
  <c r="P127" i="65" s="1"/>
  <c r="N215" i="65"/>
  <c r="I7" i="65"/>
  <c r="P7" i="65" s="1"/>
  <c r="Z7" i="65" s="1"/>
  <c r="Y8" i="65"/>
  <c r="P40" i="65"/>
  <c r="F83" i="65"/>
  <c r="S153" i="65"/>
  <c r="P220" i="65"/>
  <c r="I108" i="65"/>
  <c r="V47" i="65"/>
  <c r="I107" i="65"/>
  <c r="I130" i="65"/>
  <c r="P130" i="65" s="1"/>
  <c r="S141" i="65"/>
  <c r="S126" i="65"/>
  <c r="G104" i="65"/>
  <c r="I104" i="65" s="1"/>
  <c r="K102" i="65"/>
  <c r="N102" i="65" s="1"/>
  <c r="I142" i="65"/>
  <c r="I156" i="65"/>
  <c r="P156" i="65" s="1"/>
  <c r="F169" i="65"/>
  <c r="I169" i="65" s="1"/>
  <c r="O229" i="65"/>
  <c r="P38" i="65"/>
  <c r="I141" i="65"/>
  <c r="P141" i="65" s="1"/>
  <c r="I157" i="65"/>
  <c r="P157" i="65" s="1"/>
  <c r="N158" i="65"/>
  <c r="K192" i="65"/>
  <c r="N192" i="65" s="1"/>
  <c r="K83" i="65"/>
  <c r="R93" i="65"/>
  <c r="O102" i="65"/>
  <c r="V141" i="65"/>
  <c r="I144" i="65"/>
  <c r="P144" i="65" s="1"/>
  <c r="Y216" i="65"/>
  <c r="J243" i="65"/>
  <c r="N243" i="65" s="1"/>
  <c r="R106" i="65"/>
  <c r="N141" i="65"/>
  <c r="R216" i="65"/>
  <c r="V216" i="65"/>
  <c r="S8" i="65"/>
  <c r="T8" i="65"/>
  <c r="I9" i="65"/>
  <c r="P9" i="65" s="1"/>
  <c r="I47" i="65"/>
  <c r="U47" i="65" s="1"/>
  <c r="P126" i="65"/>
  <c r="U159" i="65"/>
  <c r="X215" i="65"/>
  <c r="F235" i="65"/>
  <c r="I11" i="65"/>
  <c r="P11" i="65" s="1"/>
  <c r="J104" i="65"/>
  <c r="Y126" i="65"/>
  <c r="I158" i="65"/>
  <c r="U158" i="65" s="1"/>
  <c r="F124" i="65"/>
  <c r="I129" i="65"/>
  <c r="P129" i="65" s="1"/>
  <c r="G252" i="65"/>
  <c r="O86" i="65"/>
  <c r="M234" i="65"/>
  <c r="O73" i="65"/>
  <c r="F82" i="65"/>
  <c r="M89" i="65"/>
  <c r="F101" i="65"/>
  <c r="F118" i="65"/>
  <c r="G199" i="65"/>
  <c r="F234" i="65"/>
  <c r="O234" i="65"/>
  <c r="F248" i="65"/>
  <c r="K19" i="65"/>
  <c r="N19" i="65" s="1"/>
  <c r="K21" i="65"/>
  <c r="G24" i="65"/>
  <c r="G26" i="65"/>
  <c r="O30" i="65"/>
  <c r="K45" i="65"/>
  <c r="F49" i="65"/>
  <c r="O68" i="65"/>
  <c r="O80" i="65"/>
  <c r="K82" i="65"/>
  <c r="G86" i="65"/>
  <c r="M87" i="65"/>
  <c r="H97" i="65"/>
  <c r="K100" i="65"/>
  <c r="G113" i="65"/>
  <c r="G137" i="65"/>
  <c r="M147" i="65"/>
  <c r="G224" i="65"/>
  <c r="I224" i="65" s="1"/>
  <c r="P224" i="65" s="1"/>
  <c r="G234" i="65"/>
  <c r="G239" i="65"/>
  <c r="G248" i="65"/>
  <c r="F253" i="65"/>
  <c r="M265" i="65"/>
  <c r="F86" i="65"/>
  <c r="G97" i="65"/>
  <c r="K24" i="65"/>
  <c r="N24" i="65" s="1"/>
  <c r="J26" i="65"/>
  <c r="M86" i="65"/>
  <c r="H96" i="65"/>
  <c r="F243" i="65"/>
  <c r="F252" i="65"/>
  <c r="I252" i="65" s="1"/>
  <c r="P252" i="65" s="1"/>
  <c r="G253" i="65"/>
  <c r="K74" i="65"/>
  <c r="O78" i="65"/>
  <c r="O117" i="65"/>
  <c r="Y117" i="65" s="1"/>
  <c r="G219" i="65"/>
  <c r="S219" i="65" s="1"/>
  <c r="J229" i="65"/>
  <c r="K231" i="65"/>
  <c r="K234" i="65"/>
  <c r="F239" i="65"/>
  <c r="G243" i="65"/>
  <c r="F28" i="65"/>
  <c r="K43" i="65"/>
  <c r="F48" i="65"/>
  <c r="I48" i="65" s="1"/>
  <c r="G50" i="65"/>
  <c r="I50" i="65" s="1"/>
  <c r="J65" i="65"/>
  <c r="M67" i="65"/>
  <c r="J68" i="65"/>
  <c r="H72" i="65"/>
  <c r="G74" i="65"/>
  <c r="F75" i="65"/>
  <c r="F78" i="65"/>
  <c r="H86" i="65"/>
  <c r="M88" i="65"/>
  <c r="F92" i="65"/>
  <c r="M95" i="65"/>
  <c r="J96" i="65"/>
  <c r="O100" i="65"/>
  <c r="G112" i="65"/>
  <c r="G117" i="65"/>
  <c r="I117" i="65" s="1"/>
  <c r="F122" i="65"/>
  <c r="F135" i="65"/>
  <c r="R135" i="65" s="1"/>
  <c r="O137" i="65"/>
  <c r="G140" i="65"/>
  <c r="I140" i="65" s="1"/>
  <c r="H148" i="65"/>
  <c r="F151" i="65"/>
  <c r="G173" i="65"/>
  <c r="K181" i="65"/>
  <c r="N181" i="65" s="1"/>
  <c r="G195" i="65"/>
  <c r="G200" i="65"/>
  <c r="O232" i="65"/>
  <c r="J238" i="65"/>
  <c r="I245" i="65"/>
  <c r="P245" i="65" s="1"/>
  <c r="F14" i="65"/>
  <c r="K29" i="65"/>
  <c r="J42" i="65"/>
  <c r="N42" i="65" s="1"/>
  <c r="O44" i="65"/>
  <c r="F54" i="65"/>
  <c r="I54" i="65" s="1"/>
  <c r="G56" i="65"/>
  <c r="K28" i="65"/>
  <c r="N28" i="65" s="1"/>
  <c r="F30" i="65"/>
  <c r="I30" i="65" s="1"/>
  <c r="K50" i="65"/>
  <c r="N50" i="65" s="1"/>
  <c r="G55" i="65"/>
  <c r="I55" i="65" s="1"/>
  <c r="H75" i="65"/>
  <c r="G78" i="65"/>
  <c r="K86" i="65"/>
  <c r="G87" i="65"/>
  <c r="O88" i="65"/>
  <c r="J109" i="65"/>
  <c r="N109" i="65" s="1"/>
  <c r="I111" i="65"/>
  <c r="U111" i="65" s="1"/>
  <c r="F120" i="65"/>
  <c r="O140" i="65"/>
  <c r="K173" i="65"/>
  <c r="Z174" i="65"/>
  <c r="J221" i="65"/>
  <c r="N221" i="65" s="1"/>
  <c r="J231" i="65"/>
  <c r="N231" i="65" s="1"/>
  <c r="K254" i="65"/>
  <c r="N254" i="65" s="1"/>
  <c r="M264" i="65"/>
  <c r="N264" i="65" s="1"/>
  <c r="M266" i="65"/>
  <c r="N266" i="65" s="1"/>
  <c r="K191" i="65"/>
  <c r="N191" i="65" s="1"/>
  <c r="G191" i="65"/>
  <c r="M203" i="65"/>
  <c r="X203" i="65" s="1"/>
  <c r="G203" i="65"/>
  <c r="S203" i="65" s="1"/>
  <c r="H203" i="65"/>
  <c r="T203" i="65" s="1"/>
  <c r="K15" i="65"/>
  <c r="N15" i="65" s="1"/>
  <c r="F17" i="65"/>
  <c r="F22" i="65"/>
  <c r="F23" i="65"/>
  <c r="I23" i="65" s="1"/>
  <c r="O28" i="65"/>
  <c r="F33" i="65"/>
  <c r="O42" i="65"/>
  <c r="Y42" i="65" s="1"/>
  <c r="K46" i="65"/>
  <c r="J55" i="65"/>
  <c r="N55" i="65" s="1"/>
  <c r="G64" i="65"/>
  <c r="S64" i="65" s="1"/>
  <c r="U64" i="65" s="1"/>
  <c r="K68" i="65"/>
  <c r="G69" i="65"/>
  <c r="O74" i="65"/>
  <c r="M74" i="65"/>
  <c r="F74" i="65"/>
  <c r="F76" i="65"/>
  <c r="I76" i="65" s="1"/>
  <c r="H90" i="65"/>
  <c r="M90" i="65"/>
  <c r="G90" i="65"/>
  <c r="O98" i="65"/>
  <c r="H98" i="65"/>
  <c r="F98" i="65"/>
  <c r="J98" i="65"/>
  <c r="F139" i="65"/>
  <c r="O139" i="65"/>
  <c r="G139" i="65"/>
  <c r="G177" i="65"/>
  <c r="K177" i="65"/>
  <c r="N177" i="65" s="1"/>
  <c r="G196" i="65"/>
  <c r="K196" i="65"/>
  <c r="N196" i="65" s="1"/>
  <c r="K164" i="65"/>
  <c r="N164" i="65" s="1"/>
  <c r="G164" i="65"/>
  <c r="F164" i="65"/>
  <c r="M167" i="65"/>
  <c r="H167" i="65"/>
  <c r="T167" i="65" s="1"/>
  <c r="F167" i="65"/>
  <c r="K167" i="65"/>
  <c r="G17" i="65"/>
  <c r="G22" i="65"/>
  <c r="O23" i="65"/>
  <c r="M69" i="65"/>
  <c r="O72" i="65"/>
  <c r="G72" i="65"/>
  <c r="M99" i="65"/>
  <c r="G99" i="65"/>
  <c r="F99" i="65"/>
  <c r="H99" i="65"/>
  <c r="O171" i="65"/>
  <c r="G171" i="65"/>
  <c r="F171" i="65"/>
  <c r="K171" i="65"/>
  <c r="J203" i="65"/>
  <c r="V203" i="65" s="1"/>
  <c r="G241" i="65"/>
  <c r="F241" i="65"/>
  <c r="J241" i="65"/>
  <c r="N241" i="65" s="1"/>
  <c r="K247" i="65"/>
  <c r="G247" i="65"/>
  <c r="F247" i="65"/>
  <c r="K23" i="65"/>
  <c r="N23" i="65" s="1"/>
  <c r="O76" i="65"/>
  <c r="M76" i="65"/>
  <c r="K76" i="65"/>
  <c r="J110" i="65"/>
  <c r="N110" i="65" s="1"/>
  <c r="O110" i="65"/>
  <c r="K33" i="65"/>
  <c r="G14" i="65"/>
  <c r="K16" i="65"/>
  <c r="N16" i="65" s="1"/>
  <c r="F19" i="65"/>
  <c r="I19" i="65" s="1"/>
  <c r="O22" i="65"/>
  <c r="G28" i="65"/>
  <c r="K30" i="65"/>
  <c r="G42" i="65"/>
  <c r="I42" i="65" s="1"/>
  <c r="F51" i="65"/>
  <c r="I51" i="65" s="1"/>
  <c r="P51" i="65" s="1"/>
  <c r="F53" i="65"/>
  <c r="F56" i="65"/>
  <c r="F58" i="65"/>
  <c r="I58" i="65" s="1"/>
  <c r="N64" i="65"/>
  <c r="W64" i="65"/>
  <c r="F72" i="65"/>
  <c r="H73" i="65"/>
  <c r="J99" i="65"/>
  <c r="J116" i="65"/>
  <c r="G116" i="65"/>
  <c r="H166" i="65"/>
  <c r="T162" i="65" s="1"/>
  <c r="G166" i="65"/>
  <c r="M166" i="65"/>
  <c r="X162" i="65" s="1"/>
  <c r="O241" i="65"/>
  <c r="J82" i="65"/>
  <c r="J83" i="65"/>
  <c r="P102" i="65"/>
  <c r="G114" i="65"/>
  <c r="O138" i="65"/>
  <c r="J147" i="65"/>
  <c r="G148" i="65"/>
  <c r="O148" i="65"/>
  <c r="G150" i="65"/>
  <c r="K163" i="65"/>
  <c r="N163" i="65" s="1"/>
  <c r="K165" i="65"/>
  <c r="N165" i="65" s="1"/>
  <c r="O200" i="65"/>
  <c r="K235" i="65"/>
  <c r="N235" i="65" s="1"/>
  <c r="N265" i="65"/>
  <c r="G82" i="65"/>
  <c r="M82" i="65"/>
  <c r="G83" i="65"/>
  <c r="M83" i="65"/>
  <c r="M91" i="65"/>
  <c r="K92" i="65"/>
  <c r="J97" i="65"/>
  <c r="K101" i="65"/>
  <c r="O114" i="65"/>
  <c r="G135" i="65"/>
  <c r="S135" i="65" s="1"/>
  <c r="J148" i="65"/>
  <c r="N148" i="65" s="1"/>
  <c r="K150" i="65"/>
  <c r="K151" i="65"/>
  <c r="M169" i="65"/>
  <c r="O181" i="65"/>
  <c r="O192" i="65"/>
  <c r="J219" i="65"/>
  <c r="G235" i="65"/>
  <c r="O235" i="65"/>
  <c r="G237" i="65"/>
  <c r="I237" i="65" s="1"/>
  <c r="F264" i="65"/>
  <c r="F265" i="65"/>
  <c r="F266" i="65"/>
  <c r="F267" i="65"/>
  <c r="M78" i="65"/>
  <c r="N78" i="65" s="1"/>
  <c r="H82" i="65"/>
  <c r="H83" i="65"/>
  <c r="F88" i="65"/>
  <c r="F89" i="65"/>
  <c r="O91" i="65"/>
  <c r="O92" i="65"/>
  <c r="F96" i="65"/>
  <c r="F97" i="65"/>
  <c r="M97" i="65"/>
  <c r="F100" i="65"/>
  <c r="O111" i="65"/>
  <c r="Y111" i="65" s="1"/>
  <c r="F114" i="65"/>
  <c r="I114" i="65" s="1"/>
  <c r="P114" i="65" s="1"/>
  <c r="F119" i="65"/>
  <c r="F121" i="65"/>
  <c r="F123" i="65"/>
  <c r="F125" i="65"/>
  <c r="R125" i="65" s="1"/>
  <c r="I132" i="65"/>
  <c r="G134" i="65"/>
  <c r="K135" i="65"/>
  <c r="W135" i="65" s="1"/>
  <c r="F136" i="65"/>
  <c r="G138" i="65"/>
  <c r="I138" i="65" s="1"/>
  <c r="F148" i="65"/>
  <c r="M148" i="65"/>
  <c r="F150" i="65"/>
  <c r="M150" i="65"/>
  <c r="O169" i="65"/>
  <c r="U174" i="65"/>
  <c r="G222" i="65"/>
  <c r="I222" i="65" s="1"/>
  <c r="P222" i="65" s="1"/>
  <c r="K237" i="65"/>
  <c r="N237" i="65" s="1"/>
  <c r="O239" i="65"/>
  <c r="G254" i="65"/>
  <c r="I254" i="65" s="1"/>
  <c r="G264" i="65"/>
  <c r="G265" i="65"/>
  <c r="G266" i="65"/>
  <c r="G267" i="65"/>
  <c r="P142" i="65"/>
  <c r="S65" i="65"/>
  <c r="K70" i="65"/>
  <c r="F70" i="65"/>
  <c r="N153" i="65"/>
  <c r="W153" i="65"/>
  <c r="M170" i="65"/>
  <c r="F170" i="65"/>
  <c r="O170" i="65"/>
  <c r="G170" i="65"/>
  <c r="K170" i="65"/>
  <c r="T215" i="65"/>
  <c r="I215" i="65"/>
  <c r="V8" i="65"/>
  <c r="O25" i="65"/>
  <c r="K31" i="65"/>
  <c r="F31" i="65"/>
  <c r="O31" i="65"/>
  <c r="I49" i="65"/>
  <c r="G70" i="65"/>
  <c r="O79" i="65"/>
  <c r="K79" i="65"/>
  <c r="F79" i="65"/>
  <c r="M81" i="65"/>
  <c r="F81" i="65"/>
  <c r="O81" i="65"/>
  <c r="G81" i="65"/>
  <c r="K81" i="65"/>
  <c r="O84" i="65"/>
  <c r="J84" i="65"/>
  <c r="F84" i="65"/>
  <c r="M84" i="65"/>
  <c r="G84" i="65"/>
  <c r="M85" i="65"/>
  <c r="G85" i="65"/>
  <c r="F85" i="65"/>
  <c r="O108" i="65"/>
  <c r="N114" i="65"/>
  <c r="G242" i="65"/>
  <c r="F242" i="65"/>
  <c r="J242" i="65"/>
  <c r="N242" i="65" s="1"/>
  <c r="O242" i="65"/>
  <c r="U7" i="65"/>
  <c r="J66" i="65"/>
  <c r="F66" i="65"/>
  <c r="H66" i="65"/>
  <c r="T65" i="65" s="1"/>
  <c r="O66" i="65"/>
  <c r="O70" i="65"/>
  <c r="P108" i="65"/>
  <c r="W263" i="65"/>
  <c r="F25" i="65"/>
  <c r="K27" i="65"/>
  <c r="N27" i="65" s="1"/>
  <c r="F27" i="65"/>
  <c r="U37" i="65"/>
  <c r="P37" i="65"/>
  <c r="P41" i="65"/>
  <c r="G52" i="65"/>
  <c r="S48" i="65" s="1"/>
  <c r="G57" i="65"/>
  <c r="I57" i="65" s="1"/>
  <c r="K67" i="65"/>
  <c r="F67" i="65"/>
  <c r="K71" i="65"/>
  <c r="F71" i="65"/>
  <c r="H71" i="65"/>
  <c r="O71" i="65"/>
  <c r="I8" i="65"/>
  <c r="R8" i="65"/>
  <c r="G15" i="65"/>
  <c r="I15" i="65" s="1"/>
  <c r="O21" i="65"/>
  <c r="G25" i="65"/>
  <c r="K26" i="65"/>
  <c r="G27" i="65"/>
  <c r="O27" i="65"/>
  <c r="G31" i="65"/>
  <c r="K52" i="65"/>
  <c r="N52" i="65" s="1"/>
  <c r="J57" i="65"/>
  <c r="N57" i="65" s="1"/>
  <c r="G67" i="65"/>
  <c r="J70" i="65"/>
  <c r="G71" i="65"/>
  <c r="M77" i="65"/>
  <c r="F77" i="65"/>
  <c r="O77" i="65"/>
  <c r="G77" i="65"/>
  <c r="K77" i="65"/>
  <c r="N77" i="65" s="1"/>
  <c r="G79" i="65"/>
  <c r="H84" i="65"/>
  <c r="H85" i="65"/>
  <c r="U93" i="65"/>
  <c r="P93" i="65"/>
  <c r="Z93" i="65" s="1"/>
  <c r="H115" i="65"/>
  <c r="T112" i="65" s="1"/>
  <c r="J115" i="65"/>
  <c r="F115" i="65"/>
  <c r="K115" i="65"/>
  <c r="G115" i="65"/>
  <c r="V126" i="65"/>
  <c r="M149" i="65"/>
  <c r="H149" i="65"/>
  <c r="O149" i="65"/>
  <c r="J149" i="65"/>
  <c r="F149" i="65"/>
  <c r="K149" i="65"/>
  <c r="G149" i="65"/>
  <c r="R153" i="65"/>
  <c r="M236" i="65"/>
  <c r="X234" i="65" s="1"/>
  <c r="F236" i="65"/>
  <c r="K236" i="65"/>
  <c r="G236" i="65"/>
  <c r="J236" i="65"/>
  <c r="O236" i="65"/>
  <c r="F16" i="65"/>
  <c r="I16" i="65" s="1"/>
  <c r="G21" i="65"/>
  <c r="F24" i="65"/>
  <c r="F26" i="65"/>
  <c r="O29" i="65"/>
  <c r="M29" i="65"/>
  <c r="X26" i="65" s="1"/>
  <c r="F29" i="65"/>
  <c r="I29" i="65" s="1"/>
  <c r="J31" i="65"/>
  <c r="V37" i="65"/>
  <c r="J43" i="65"/>
  <c r="G43" i="65"/>
  <c r="J44" i="65"/>
  <c r="N44" i="65" s="1"/>
  <c r="G44" i="65"/>
  <c r="I44" i="65" s="1"/>
  <c r="P44" i="65" s="1"/>
  <c r="J45" i="65"/>
  <c r="N45" i="65" s="1"/>
  <c r="G45" i="65"/>
  <c r="I45" i="65" s="1"/>
  <c r="J46" i="65"/>
  <c r="G46" i="65"/>
  <c r="I46" i="65" s="1"/>
  <c r="O65" i="65"/>
  <c r="M65" i="65"/>
  <c r="F65" i="65"/>
  <c r="M66" i="65"/>
  <c r="J67" i="65"/>
  <c r="K69" i="65"/>
  <c r="F69" i="65"/>
  <c r="O69" i="65"/>
  <c r="M70" i="65"/>
  <c r="M79" i="65"/>
  <c r="K84" i="65"/>
  <c r="J85" i="65"/>
  <c r="G110" i="65"/>
  <c r="I110" i="65" s="1"/>
  <c r="V125" i="65"/>
  <c r="N125" i="65"/>
  <c r="J30" i="65"/>
  <c r="J33" i="65"/>
  <c r="O33" i="65"/>
  <c r="K48" i="65"/>
  <c r="K49" i="65"/>
  <c r="N49" i="65" s="1"/>
  <c r="J53" i="65"/>
  <c r="J54" i="65"/>
  <c r="N54" i="65" s="1"/>
  <c r="J58" i="65"/>
  <c r="N58" i="65" s="1"/>
  <c r="K72" i="65"/>
  <c r="N72" i="65" s="1"/>
  <c r="M73" i="65"/>
  <c r="G73" i="65"/>
  <c r="I73" i="65" s="1"/>
  <c r="K73" i="65"/>
  <c r="M75" i="65"/>
  <c r="G75" i="65"/>
  <c r="K75" i="65"/>
  <c r="G89" i="65"/>
  <c r="O89" i="65"/>
  <c r="N100" i="65"/>
  <c r="O103" i="65"/>
  <c r="G103" i="65"/>
  <c r="I103" i="65" s="1"/>
  <c r="K103" i="65"/>
  <c r="N103" i="65" s="1"/>
  <c r="G109" i="65"/>
  <c r="I109" i="65" s="1"/>
  <c r="K113" i="65"/>
  <c r="N113" i="65" s="1"/>
  <c r="F113" i="65"/>
  <c r="I113" i="65" s="1"/>
  <c r="O113" i="65"/>
  <c r="K116" i="65"/>
  <c r="F116" i="65"/>
  <c r="O116" i="65"/>
  <c r="I133" i="65"/>
  <c r="P133" i="65" s="1"/>
  <c r="Z133" i="65" s="1"/>
  <c r="J137" i="65"/>
  <c r="N137" i="65" s="1"/>
  <c r="J138" i="65"/>
  <c r="N138" i="65" s="1"/>
  <c r="J139" i="65"/>
  <c r="N139" i="65" s="1"/>
  <c r="J140" i="65"/>
  <c r="N140" i="65" s="1"/>
  <c r="P159" i="65"/>
  <c r="Z159" i="65" s="1"/>
  <c r="G172" i="65"/>
  <c r="O172" i="65"/>
  <c r="F172" i="65"/>
  <c r="K172" i="65"/>
  <c r="N172" i="65" s="1"/>
  <c r="K184" i="65"/>
  <c r="N184" i="65" s="1"/>
  <c r="G184" i="65"/>
  <c r="U216" i="65"/>
  <c r="P216" i="65"/>
  <c r="G240" i="65"/>
  <c r="F240" i="65"/>
  <c r="J240" i="65"/>
  <c r="N240" i="65" s="1"/>
  <c r="U245" i="65"/>
  <c r="N251" i="65"/>
  <c r="G255" i="65"/>
  <c r="K255" i="65"/>
  <c r="N255" i="65" s="1"/>
  <c r="F255" i="65"/>
  <c r="U256" i="65"/>
  <c r="P256" i="65"/>
  <c r="Z256" i="65" s="1"/>
  <c r="G33" i="65"/>
  <c r="M80" i="65"/>
  <c r="N80" i="65" s="1"/>
  <c r="O87" i="65"/>
  <c r="J87" i="65"/>
  <c r="F87" i="65"/>
  <c r="K87" i="65"/>
  <c r="K88" i="65"/>
  <c r="G88" i="65"/>
  <c r="J88" i="65"/>
  <c r="J89" i="65"/>
  <c r="O90" i="65"/>
  <c r="J90" i="65"/>
  <c r="F90" i="65"/>
  <c r="K90" i="65"/>
  <c r="K91" i="65"/>
  <c r="G91" i="65"/>
  <c r="I91" i="65" s="1"/>
  <c r="J91" i="65"/>
  <c r="M92" i="65"/>
  <c r="H92" i="65"/>
  <c r="I92" i="65" s="1"/>
  <c r="J92" i="65"/>
  <c r="H95" i="65"/>
  <c r="J95" i="65"/>
  <c r="F95" i="65"/>
  <c r="O95" i="65"/>
  <c r="P107" i="65"/>
  <c r="O112" i="65"/>
  <c r="K112" i="65"/>
  <c r="F112" i="65"/>
  <c r="R126" i="65"/>
  <c r="I128" i="65"/>
  <c r="P128" i="65" s="1"/>
  <c r="I137" i="65"/>
  <c r="R141" i="65"/>
  <c r="I143" i="65"/>
  <c r="P143" i="65" s="1"/>
  <c r="O168" i="65"/>
  <c r="M168" i="65"/>
  <c r="N168" i="65" s="1"/>
  <c r="F168" i="65"/>
  <c r="G168" i="65"/>
  <c r="O180" i="65"/>
  <c r="G180" i="65"/>
  <c r="K190" i="65"/>
  <c r="N190" i="65" s="1"/>
  <c r="O190" i="65"/>
  <c r="G190" i="65"/>
  <c r="K194" i="65"/>
  <c r="N194" i="65" s="1"/>
  <c r="O194" i="65"/>
  <c r="G194" i="65"/>
  <c r="K198" i="65"/>
  <c r="N198" i="65" s="1"/>
  <c r="O198" i="65"/>
  <c r="G198" i="65"/>
  <c r="G223" i="65"/>
  <c r="I223" i="65" s="1"/>
  <c r="J223" i="65"/>
  <c r="N223" i="65" s="1"/>
  <c r="K230" i="65"/>
  <c r="N230" i="65" s="1"/>
  <c r="F230" i="65"/>
  <c r="G230" i="65"/>
  <c r="G96" i="65"/>
  <c r="I96" i="65" s="1"/>
  <c r="M96" i="65"/>
  <c r="N96" i="65" s="1"/>
  <c r="G98" i="65"/>
  <c r="M98" i="65"/>
  <c r="N98" i="65" s="1"/>
  <c r="O99" i="65"/>
  <c r="G100" i="65"/>
  <c r="J101" i="65"/>
  <c r="O101" i="65"/>
  <c r="K104" i="65"/>
  <c r="J106" i="65"/>
  <c r="J118" i="65"/>
  <c r="J119" i="65"/>
  <c r="N119" i="65" s="1"/>
  <c r="J120" i="65"/>
  <c r="N120" i="65" s="1"/>
  <c r="J121" i="65"/>
  <c r="N121" i="65" s="1"/>
  <c r="J122" i="65"/>
  <c r="N122" i="65" s="1"/>
  <c r="J123" i="65"/>
  <c r="N123" i="65" s="1"/>
  <c r="J124" i="65"/>
  <c r="N124" i="65" s="1"/>
  <c r="J136" i="65"/>
  <c r="T153" i="65"/>
  <c r="I153" i="65"/>
  <c r="G162" i="65"/>
  <c r="K162" i="65"/>
  <c r="J226" i="65"/>
  <c r="N226" i="65" s="1"/>
  <c r="G226" i="65"/>
  <c r="I226" i="65" s="1"/>
  <c r="F249" i="65"/>
  <c r="K249" i="65"/>
  <c r="N249" i="65" s="1"/>
  <c r="G249" i="65"/>
  <c r="F251" i="65"/>
  <c r="G251" i="65"/>
  <c r="M263" i="65"/>
  <c r="F263" i="65"/>
  <c r="G263" i="65"/>
  <c r="G101" i="65"/>
  <c r="G106" i="65"/>
  <c r="G118" i="65"/>
  <c r="G119" i="65"/>
  <c r="G120" i="65"/>
  <c r="G121" i="65"/>
  <c r="G122" i="65"/>
  <c r="I122" i="65" s="1"/>
  <c r="G123" i="65"/>
  <c r="G124" i="65"/>
  <c r="G125" i="65"/>
  <c r="S125" i="65" s="1"/>
  <c r="G136" i="65"/>
  <c r="I145" i="65"/>
  <c r="P145" i="65" s="1"/>
  <c r="K147" i="65"/>
  <c r="F147" i="65"/>
  <c r="O147" i="65"/>
  <c r="G227" i="65"/>
  <c r="I227" i="65" s="1"/>
  <c r="J227" i="65"/>
  <c r="N227" i="65" s="1"/>
  <c r="G232" i="65"/>
  <c r="K232" i="65"/>
  <c r="N232" i="65" s="1"/>
  <c r="F232" i="65"/>
  <c r="K238" i="65"/>
  <c r="F238" i="65"/>
  <c r="G238" i="65"/>
  <c r="G250" i="65"/>
  <c r="F250" i="65"/>
  <c r="J151" i="65"/>
  <c r="O151" i="65"/>
  <c r="K166" i="65"/>
  <c r="N166" i="65" s="1"/>
  <c r="O167" i="65"/>
  <c r="K169" i="65"/>
  <c r="M173" i="65"/>
  <c r="F173" i="65"/>
  <c r="P218" i="65"/>
  <c r="G225" i="65"/>
  <c r="I225" i="65" s="1"/>
  <c r="J225" i="65"/>
  <c r="N225" i="65" s="1"/>
  <c r="K233" i="65"/>
  <c r="F233" i="65"/>
  <c r="I233" i="65" s="1"/>
  <c r="J233" i="65"/>
  <c r="O233" i="65"/>
  <c r="J150" i="65"/>
  <c r="G151" i="65"/>
  <c r="G167" i="65"/>
  <c r="M171" i="65"/>
  <c r="O175" i="65"/>
  <c r="G175" i="65"/>
  <c r="O191" i="65"/>
  <c r="O193" i="65"/>
  <c r="G193" i="65"/>
  <c r="O195" i="65"/>
  <c r="O197" i="65"/>
  <c r="G197" i="65"/>
  <c r="O199" i="65"/>
  <c r="O201" i="65"/>
  <c r="G201" i="65"/>
  <c r="J228" i="65"/>
  <c r="N228" i="65" s="1"/>
  <c r="G228" i="65"/>
  <c r="I228" i="65" s="1"/>
  <c r="O231" i="65"/>
  <c r="F231" i="65"/>
  <c r="I231" i="65" s="1"/>
  <c r="W245" i="65"/>
  <c r="N247" i="65"/>
  <c r="K229" i="65"/>
  <c r="F229" i="65"/>
  <c r="N234" i="65"/>
  <c r="N104" i="65" l="1"/>
  <c r="P110" i="65"/>
  <c r="I234" i="65"/>
  <c r="I219" i="65"/>
  <c r="P219" i="65" s="1"/>
  <c r="R136" i="65"/>
  <c r="I139" i="65"/>
  <c r="W21" i="65"/>
  <c r="I150" i="65"/>
  <c r="P150" i="65" s="1"/>
  <c r="I69" i="65"/>
  <c r="P69" i="65" s="1"/>
  <c r="N46" i="65"/>
  <c r="I170" i="65"/>
  <c r="P50" i="65"/>
  <c r="I243" i="65"/>
  <c r="P243" i="65" s="1"/>
  <c r="I266" i="65"/>
  <c r="I173" i="65"/>
  <c r="I124" i="65"/>
  <c r="P124" i="65" s="1"/>
  <c r="I116" i="65"/>
  <c r="I235" i="65"/>
  <c r="P235" i="65" s="1"/>
  <c r="N82" i="65"/>
  <c r="I101" i="65"/>
  <c r="I74" i="65"/>
  <c r="P74" i="65" s="1"/>
  <c r="R100" i="65"/>
  <c r="P111" i="65"/>
  <c r="Z111" i="65" s="1"/>
  <c r="N21" i="65"/>
  <c r="N171" i="65"/>
  <c r="I121" i="65"/>
  <c r="X263" i="65"/>
  <c r="N30" i="65"/>
  <c r="P47" i="65"/>
  <c r="Z47" i="65" s="1"/>
  <c r="N81" i="65"/>
  <c r="N74" i="65"/>
  <c r="P16" i="65"/>
  <c r="W12" i="65"/>
  <c r="N151" i="65"/>
  <c r="P158" i="65"/>
  <c r="Z158" i="65" s="1"/>
  <c r="N89" i="65"/>
  <c r="N75" i="65"/>
  <c r="N69" i="65"/>
  <c r="S112" i="65"/>
  <c r="N99" i="65"/>
  <c r="P117" i="65"/>
  <c r="Z37" i="65"/>
  <c r="Y239" i="65"/>
  <c r="I166" i="65"/>
  <c r="P166" i="65" s="1"/>
  <c r="V229" i="65"/>
  <c r="Z126" i="65"/>
  <c r="I22" i="65"/>
  <c r="P22" i="65" s="1"/>
  <c r="P55" i="65"/>
  <c r="Y234" i="65"/>
  <c r="I83" i="65"/>
  <c r="P83" i="65" s="1"/>
  <c r="I97" i="65"/>
  <c r="P46" i="65"/>
  <c r="I264" i="65"/>
  <c r="P140" i="65"/>
  <c r="I239" i="65"/>
  <c r="I253" i="65"/>
  <c r="P253" i="65" s="1"/>
  <c r="N170" i="65"/>
  <c r="N86" i="65"/>
  <c r="Z64" i="65"/>
  <c r="P266" i="65"/>
  <c r="I120" i="65"/>
  <c r="P120" i="65" s="1"/>
  <c r="I75" i="65"/>
  <c r="P75" i="65" s="1"/>
  <c r="N83" i="65"/>
  <c r="I248" i="65"/>
  <c r="P248" i="65" s="1"/>
  <c r="N150" i="65"/>
  <c r="P221" i="65"/>
  <c r="N238" i="65"/>
  <c r="I123" i="65"/>
  <c r="P123" i="65" s="1"/>
  <c r="I87" i="65"/>
  <c r="Y67" i="65"/>
  <c r="V234" i="65"/>
  <c r="X147" i="65"/>
  <c r="P138" i="65"/>
  <c r="I82" i="65"/>
  <c r="P82" i="65" s="1"/>
  <c r="P19" i="65"/>
  <c r="N203" i="65"/>
  <c r="W42" i="65"/>
  <c r="N147" i="65"/>
  <c r="I118" i="65"/>
  <c r="P226" i="65"/>
  <c r="I100" i="65"/>
  <c r="P100" i="65" s="1"/>
  <c r="I88" i="65"/>
  <c r="N43" i="65"/>
  <c r="Y71" i="65"/>
  <c r="P264" i="65"/>
  <c r="S82" i="65"/>
  <c r="I56" i="65"/>
  <c r="P56" i="65" s="1"/>
  <c r="N68" i="65"/>
  <c r="I78" i="65"/>
  <c r="P78" i="65" s="1"/>
  <c r="I86" i="65"/>
  <c r="P86" i="65" s="1"/>
  <c r="P169" i="65"/>
  <c r="S239" i="65"/>
  <c r="X67" i="65"/>
  <c r="I135" i="65"/>
  <c r="P68" i="65"/>
  <c r="Y229" i="65"/>
  <c r="I151" i="65"/>
  <c r="P151" i="65" s="1"/>
  <c r="N173" i="65"/>
  <c r="I250" i="65"/>
  <c r="P250" i="65" s="1"/>
  <c r="Y100" i="65"/>
  <c r="S229" i="65"/>
  <c r="Z141" i="65"/>
  <c r="T95" i="65"/>
  <c r="N91" i="65"/>
  <c r="I90" i="65"/>
  <c r="N88" i="65"/>
  <c r="I240" i="65"/>
  <c r="Z216" i="65"/>
  <c r="P109" i="65"/>
  <c r="P45" i="65"/>
  <c r="N31" i="65"/>
  <c r="T147" i="65"/>
  <c r="S26" i="65"/>
  <c r="T71" i="65"/>
  <c r="W67" i="65"/>
  <c r="S53" i="65"/>
  <c r="I242" i="65"/>
  <c r="P242" i="65" s="1"/>
  <c r="I148" i="65"/>
  <c r="P148" i="65" s="1"/>
  <c r="I28" i="65"/>
  <c r="P28" i="65" s="1"/>
  <c r="I14" i="65"/>
  <c r="P14" i="65" s="1"/>
  <c r="N76" i="65"/>
  <c r="I171" i="65"/>
  <c r="P171" i="65" s="1"/>
  <c r="I119" i="65"/>
  <c r="P119" i="65" s="1"/>
  <c r="S247" i="65"/>
  <c r="N33" i="65"/>
  <c r="P76" i="65"/>
  <c r="P42" i="65"/>
  <c r="N167" i="65"/>
  <c r="P231" i="65"/>
  <c r="S167" i="65"/>
  <c r="P173" i="65"/>
  <c r="I232" i="65"/>
  <c r="P232" i="65" s="1"/>
  <c r="P227" i="65"/>
  <c r="I172" i="65"/>
  <c r="P172" i="65" s="1"/>
  <c r="I89" i="65"/>
  <c r="P89" i="65" s="1"/>
  <c r="Y26" i="65"/>
  <c r="V65" i="65"/>
  <c r="I52" i="65"/>
  <c r="P52" i="65" s="1"/>
  <c r="P254" i="65"/>
  <c r="I17" i="65"/>
  <c r="P17" i="65" s="1"/>
  <c r="I53" i="65"/>
  <c r="P53" i="65" s="1"/>
  <c r="R53" i="65"/>
  <c r="I203" i="65"/>
  <c r="P203" i="65" s="1"/>
  <c r="Z203" i="65" s="1"/>
  <c r="S234" i="65"/>
  <c r="S221" i="65"/>
  <c r="N169" i="65"/>
  <c r="I98" i="65"/>
  <c r="P98" i="65" s="1"/>
  <c r="I64" i="65"/>
  <c r="P64" i="65" s="1"/>
  <c r="W229" i="65"/>
  <c r="P228" i="65"/>
  <c r="S263" i="65"/>
  <c r="P237" i="65"/>
  <c r="W174" i="65"/>
  <c r="P137" i="65"/>
  <c r="I33" i="65"/>
  <c r="P33" i="65" s="1"/>
  <c r="P97" i="65"/>
  <c r="N73" i="65"/>
  <c r="R117" i="65"/>
  <c r="X76" i="65"/>
  <c r="N236" i="65"/>
  <c r="W100" i="65"/>
  <c r="T82" i="65"/>
  <c r="N97" i="65"/>
  <c r="I72" i="65"/>
  <c r="P72" i="65" s="1"/>
  <c r="I247" i="65"/>
  <c r="P247" i="65" s="1"/>
  <c r="I241" i="65"/>
  <c r="P241" i="65" s="1"/>
  <c r="P165" i="65"/>
  <c r="P223" i="65"/>
  <c r="P139" i="65"/>
  <c r="P88" i="65"/>
  <c r="P163" i="65"/>
  <c r="N116" i="65"/>
  <c r="X71" i="65"/>
  <c r="S76" i="65"/>
  <c r="S71" i="65"/>
  <c r="W26" i="65"/>
  <c r="P57" i="65"/>
  <c r="Y106" i="65"/>
  <c r="N84" i="65"/>
  <c r="W76" i="65"/>
  <c r="P49" i="65"/>
  <c r="P170" i="65"/>
  <c r="N26" i="65"/>
  <c r="N219" i="65"/>
  <c r="V219" i="65"/>
  <c r="Y136" i="65"/>
  <c r="R48" i="65"/>
  <c r="I99" i="65"/>
  <c r="P99" i="65" s="1"/>
  <c r="P23" i="65"/>
  <c r="P132" i="65"/>
  <c r="Z132" i="65" s="1"/>
  <c r="U132" i="65"/>
  <c r="I265" i="65"/>
  <c r="P265" i="65" s="1"/>
  <c r="R162" i="65"/>
  <c r="I164" i="65"/>
  <c r="P164" i="65" s="1"/>
  <c r="W251" i="65"/>
  <c r="W82" i="65"/>
  <c r="I236" i="65"/>
  <c r="P236" i="65" s="1"/>
  <c r="V112" i="65"/>
  <c r="I66" i="65"/>
  <c r="Y82" i="65"/>
  <c r="P30" i="65"/>
  <c r="I267" i="65"/>
  <c r="P267" i="65" s="1"/>
  <c r="N135" i="65"/>
  <c r="P121" i="65"/>
  <c r="P15" i="65"/>
  <c r="I147" i="65"/>
  <c r="R147" i="65"/>
  <c r="R263" i="65"/>
  <c r="I263" i="65"/>
  <c r="N118" i="65"/>
  <c r="V117" i="65"/>
  <c r="N101" i="65"/>
  <c r="V100" i="65"/>
  <c r="N95" i="65"/>
  <c r="V95" i="65"/>
  <c r="W48" i="65"/>
  <c r="N48" i="65"/>
  <c r="U126" i="65"/>
  <c r="S95" i="65"/>
  <c r="I27" i="65"/>
  <c r="P27" i="65" s="1"/>
  <c r="I125" i="65"/>
  <c r="P125" i="65" s="1"/>
  <c r="S174" i="65"/>
  <c r="W234" i="65"/>
  <c r="X167" i="65"/>
  <c r="V136" i="65"/>
  <c r="N136" i="65"/>
  <c r="S147" i="65"/>
  <c r="P96" i="65"/>
  <c r="P87" i="65"/>
  <c r="P73" i="65"/>
  <c r="S117" i="65"/>
  <c r="N85" i="65"/>
  <c r="I65" i="65"/>
  <c r="R65" i="65"/>
  <c r="P29" i="65"/>
  <c r="I24" i="65"/>
  <c r="P24" i="65" s="1"/>
  <c r="R21" i="65"/>
  <c r="I149" i="65"/>
  <c r="P149" i="65" s="1"/>
  <c r="I115" i="65"/>
  <c r="P115" i="65" s="1"/>
  <c r="P80" i="65"/>
  <c r="Y76" i="65"/>
  <c r="N70" i="65"/>
  <c r="I71" i="65"/>
  <c r="R71" i="65"/>
  <c r="I167" i="65"/>
  <c r="P104" i="65"/>
  <c r="U125" i="65"/>
  <c r="Z125" i="65" s="1"/>
  <c r="I81" i="65"/>
  <c r="P81" i="65" s="1"/>
  <c r="R12" i="65"/>
  <c r="P54" i="65"/>
  <c r="S12" i="65"/>
  <c r="X95" i="65"/>
  <c r="P239" i="65"/>
  <c r="S106" i="65"/>
  <c r="I106" i="65"/>
  <c r="N229" i="65"/>
  <c r="S42" i="65"/>
  <c r="I43" i="65"/>
  <c r="I26" i="65"/>
  <c r="R26" i="65"/>
  <c r="P101" i="65"/>
  <c r="N79" i="65"/>
  <c r="P48" i="65"/>
  <c r="R239" i="65"/>
  <c r="U219" i="65"/>
  <c r="W147" i="65"/>
  <c r="P153" i="65"/>
  <c r="Z153" i="65" s="1"/>
  <c r="U153" i="65"/>
  <c r="V106" i="65"/>
  <c r="N106" i="65"/>
  <c r="S100" i="65"/>
  <c r="I230" i="65"/>
  <c r="P230" i="65" s="1"/>
  <c r="I112" i="65"/>
  <c r="R112" i="65"/>
  <c r="P90" i="65"/>
  <c r="P240" i="65"/>
  <c r="Y174" i="65"/>
  <c r="N233" i="65"/>
  <c r="U221" i="65"/>
  <c r="R234" i="65"/>
  <c r="S251" i="65"/>
  <c r="I249" i="65"/>
  <c r="W162" i="65"/>
  <c r="N162" i="65"/>
  <c r="I168" i="65"/>
  <c r="P168" i="65" s="1"/>
  <c r="W112" i="65"/>
  <c r="N112" i="65"/>
  <c r="Y95" i="65"/>
  <c r="N92" i="65"/>
  <c r="P91" i="65"/>
  <c r="N90" i="65"/>
  <c r="N87" i="65"/>
  <c r="I255" i="65"/>
  <c r="P255" i="65" s="1"/>
  <c r="P113" i="65"/>
  <c r="P103" i="65"/>
  <c r="N53" i="65"/>
  <c r="V53" i="65"/>
  <c r="X65" i="65"/>
  <c r="S21" i="65"/>
  <c r="I21" i="65"/>
  <c r="V147" i="65"/>
  <c r="N149" i="65"/>
  <c r="N115" i="65"/>
  <c r="I77" i="65"/>
  <c r="R76" i="65"/>
  <c r="S67" i="65"/>
  <c r="P8" i="65"/>
  <c r="Z8" i="65" s="1"/>
  <c r="U8" i="65"/>
  <c r="W71" i="65"/>
  <c r="N71" i="65"/>
  <c r="V26" i="65"/>
  <c r="R167" i="65"/>
  <c r="P66" i="65"/>
  <c r="I85" i="65"/>
  <c r="P85" i="65" s="1"/>
  <c r="X82" i="65"/>
  <c r="I31" i="65"/>
  <c r="P31" i="65" s="1"/>
  <c r="U53" i="65"/>
  <c r="P92" i="65"/>
  <c r="N29" i="65"/>
  <c r="U141" i="65"/>
  <c r="R229" i="65"/>
  <c r="I229" i="65"/>
  <c r="W247" i="65"/>
  <c r="V239" i="65"/>
  <c r="P233" i="65"/>
  <c r="P225" i="65"/>
  <c r="Y167" i="65"/>
  <c r="R247" i="65"/>
  <c r="I238" i="65"/>
  <c r="P238" i="65" s="1"/>
  <c r="P234" i="65"/>
  <c r="Y147" i="65"/>
  <c r="S136" i="65"/>
  <c r="I136" i="65"/>
  <c r="P122" i="65"/>
  <c r="P118" i="65"/>
  <c r="R251" i="65"/>
  <c r="I251" i="65"/>
  <c r="S162" i="65"/>
  <c r="I162" i="65"/>
  <c r="Y112" i="65"/>
  <c r="I95" i="65"/>
  <c r="R95" i="65"/>
  <c r="Z245" i="65"/>
  <c r="V221" i="65"/>
  <c r="P116" i="65"/>
  <c r="V82" i="65"/>
  <c r="N67" i="65"/>
  <c r="V67" i="65"/>
  <c r="Y65" i="65"/>
  <c r="U135" i="65"/>
  <c r="P135" i="65"/>
  <c r="Z135" i="65" s="1"/>
  <c r="N65" i="65"/>
  <c r="Y21" i="65"/>
  <c r="I67" i="65"/>
  <c r="R67" i="65"/>
  <c r="I25" i="65"/>
  <c r="P25" i="65" s="1"/>
  <c r="N263" i="65"/>
  <c r="N66" i="65"/>
  <c r="W167" i="65"/>
  <c r="I84" i="65"/>
  <c r="P84" i="65" s="1"/>
  <c r="R82" i="65"/>
  <c r="I79" i="65"/>
  <c r="P79" i="65" s="1"/>
  <c r="P215" i="65"/>
  <c r="Z215" i="65" s="1"/>
  <c r="U215" i="65"/>
  <c r="I70" i="65"/>
  <c r="P70" i="65" s="1"/>
  <c r="V42" i="65"/>
  <c r="P58" i="65"/>
  <c r="U203" i="65" l="1"/>
  <c r="Z12" i="65"/>
  <c r="U100" i="65"/>
  <c r="Z221" i="65"/>
  <c r="Z53" i="65"/>
  <c r="U117" i="65"/>
  <c r="Z219" i="65"/>
  <c r="U12" i="65"/>
  <c r="Z48" i="65"/>
  <c r="U48" i="65"/>
  <c r="Z117" i="65"/>
  <c r="U234" i="65"/>
  <c r="U239" i="65"/>
  <c r="Z100" i="65"/>
  <c r="U95" i="65"/>
  <c r="P95" i="65"/>
  <c r="Z95" i="65" s="1"/>
  <c r="P77" i="65"/>
  <c r="Z76" i="65" s="1"/>
  <c r="U76" i="65"/>
  <c r="P21" i="65"/>
  <c r="Z21" i="65" s="1"/>
  <c r="U21" i="65"/>
  <c r="P249" i="65"/>
  <c r="Z247" i="65" s="1"/>
  <c r="U247" i="65"/>
  <c r="U71" i="65"/>
  <c r="P71" i="65"/>
  <c r="Z71" i="65" s="1"/>
  <c r="U147" i="65"/>
  <c r="P147" i="65"/>
  <c r="Z147" i="65" s="1"/>
  <c r="U67" i="65"/>
  <c r="P67" i="65"/>
  <c r="Z67" i="65" s="1"/>
  <c r="U162" i="65"/>
  <c r="P162" i="65"/>
  <c r="Z162" i="65" s="1"/>
  <c r="U229" i="65"/>
  <c r="P229" i="65"/>
  <c r="Z229" i="65" s="1"/>
  <c r="P112" i="65"/>
  <c r="Z112" i="65" s="1"/>
  <c r="U112" i="65"/>
  <c r="Z239" i="65"/>
  <c r="U82" i="65"/>
  <c r="P263" i="65"/>
  <c r="Z263" i="65" s="1"/>
  <c r="U263" i="65"/>
  <c r="P26" i="65"/>
  <c r="Z26" i="65" s="1"/>
  <c r="U26" i="65"/>
  <c r="U106" i="65"/>
  <c r="P106" i="65"/>
  <c r="Z106" i="65" s="1"/>
  <c r="P167" i="65"/>
  <c r="Z167" i="65" s="1"/>
  <c r="U167" i="65"/>
  <c r="P65" i="65"/>
  <c r="Z65" i="65" s="1"/>
  <c r="U65" i="65"/>
  <c r="Z82" i="65"/>
  <c r="P251" i="65"/>
  <c r="Z251" i="65" s="1"/>
  <c r="U251" i="65"/>
  <c r="U136" i="65"/>
  <c r="P136" i="65"/>
  <c r="Z136" i="65" s="1"/>
  <c r="Z234" i="65"/>
  <c r="P43" i="65"/>
  <c r="Z42" i="65" s="1"/>
  <c r="U42" i="65"/>
  <c r="D120" i="44" l="1"/>
  <c r="G98" i="44"/>
  <c r="Y102" i="41"/>
  <c r="H24" i="44" l="1"/>
  <c r="Q186" i="56" l="1"/>
  <c r="Q185" i="56"/>
  <c r="Q184" i="56"/>
  <c r="Q183" i="56"/>
  <c r="Q182" i="56"/>
  <c r="Q181" i="56"/>
  <c r="Q180" i="56"/>
  <c r="M49" i="45"/>
  <c r="D135" i="44"/>
  <c r="G103" i="44"/>
  <c r="U50" i="44"/>
  <c r="Y106" i="41"/>
  <c r="Y50" i="41"/>
  <c r="Q133" i="55" l="1"/>
  <c r="Q132" i="55"/>
  <c r="Q130" i="55"/>
  <c r="Q128" i="55"/>
  <c r="Q127" i="55"/>
  <c r="Q130" i="56" l="1"/>
  <c r="Q128" i="56"/>
  <c r="Q127" i="56"/>
  <c r="Q132" i="56"/>
  <c r="Q133" i="56"/>
  <c r="Q70" i="55" l="1"/>
  <c r="Q69" i="55"/>
  <c r="Q70" i="56"/>
  <c r="Q69" i="56"/>
  <c r="S70" i="49"/>
  <c r="R70" i="49"/>
  <c r="K70" i="49"/>
  <c r="I70" i="49"/>
  <c r="F70" i="49"/>
  <c r="N70" i="49" s="1"/>
  <c r="S69" i="49"/>
  <c r="R69" i="49"/>
  <c r="K69" i="49"/>
  <c r="F69" i="49"/>
  <c r="Q69" i="49" s="1"/>
  <c r="N503" i="48"/>
  <c r="S70" i="48"/>
  <c r="R70" i="48"/>
  <c r="K70" i="48"/>
  <c r="F70" i="48"/>
  <c r="I70" i="48" s="1"/>
  <c r="S69" i="48"/>
  <c r="R69" i="48"/>
  <c r="K69" i="48"/>
  <c r="F69" i="48"/>
  <c r="I69" i="48" s="1"/>
  <c r="S70" i="47"/>
  <c r="R70" i="47"/>
  <c r="N70" i="47"/>
  <c r="K70" i="47"/>
  <c r="G70" i="47"/>
  <c r="F70" i="47"/>
  <c r="Q70" i="47" s="1"/>
  <c r="S69" i="47"/>
  <c r="R69" i="47"/>
  <c r="K69" i="47"/>
  <c r="F69" i="47"/>
  <c r="N69" i="47" s="1"/>
  <c r="R70" i="46"/>
  <c r="F70" i="46"/>
  <c r="Q70" i="46" s="1"/>
  <c r="R69" i="46"/>
  <c r="F69" i="46"/>
  <c r="N69" i="46" s="1"/>
  <c r="I70" i="46" l="1"/>
  <c r="G70" i="46"/>
  <c r="H70" i="46"/>
  <c r="N70" i="46"/>
  <c r="H70" i="49"/>
  <c r="H69" i="47"/>
  <c r="H70" i="47"/>
  <c r="K70" i="46"/>
  <c r="S70" i="46" s="1"/>
  <c r="I69" i="47"/>
  <c r="I70" i="47"/>
  <c r="I69" i="49"/>
  <c r="Q70" i="49"/>
  <c r="AE69" i="49" s="1"/>
  <c r="Q69" i="47"/>
  <c r="H69" i="46"/>
  <c r="I69" i="46"/>
  <c r="Q69" i="46"/>
  <c r="G69" i="49"/>
  <c r="N69" i="49"/>
  <c r="H69" i="49"/>
  <c r="G70" i="49"/>
  <c r="G69" i="48"/>
  <c r="N69" i="48"/>
  <c r="H69" i="48"/>
  <c r="Q69" i="48"/>
  <c r="G70" i="48"/>
  <c r="N70" i="48"/>
  <c r="H70" i="48"/>
  <c r="Q70" i="48"/>
  <c r="G69" i="47"/>
  <c r="G69" i="46"/>
  <c r="P296" i="56"/>
  <c r="P295" i="56"/>
  <c r="AC293" i="56" s="1"/>
  <c r="P294" i="56"/>
  <c r="X293" i="56"/>
  <c r="W293" i="56"/>
  <c r="P293" i="56"/>
  <c r="Q292" i="56"/>
  <c r="O292" i="56"/>
  <c r="N292" i="56"/>
  <c r="Q291" i="56"/>
  <c r="P291" i="56"/>
  <c r="O291" i="56"/>
  <c r="N291" i="56"/>
  <c r="Q290" i="56"/>
  <c r="P290" i="56"/>
  <c r="O290" i="56"/>
  <c r="N290" i="56"/>
  <c r="Q289" i="56"/>
  <c r="P289" i="56"/>
  <c r="O289" i="56"/>
  <c r="Q288" i="56"/>
  <c r="P288" i="56"/>
  <c r="O288" i="56"/>
  <c r="N288" i="56"/>
  <c r="Q287" i="56"/>
  <c r="P287" i="56"/>
  <c r="O287" i="56"/>
  <c r="N287" i="56"/>
  <c r="Z286" i="56"/>
  <c r="Y286" i="56"/>
  <c r="X286" i="56"/>
  <c r="W286" i="56"/>
  <c r="V286" i="56"/>
  <c r="U286" i="56"/>
  <c r="T286" i="56"/>
  <c r="S286" i="56"/>
  <c r="Q286" i="56"/>
  <c r="P286" i="56"/>
  <c r="O286" i="56"/>
  <c r="N286" i="56"/>
  <c r="Z281" i="56"/>
  <c r="Y281" i="56"/>
  <c r="X281" i="56"/>
  <c r="W281" i="56"/>
  <c r="V281" i="56"/>
  <c r="U281" i="56"/>
  <c r="T281" i="56"/>
  <c r="S281" i="56"/>
  <c r="Q280" i="56"/>
  <c r="P280" i="56"/>
  <c r="I280" i="56"/>
  <c r="Q279" i="56"/>
  <c r="P279" i="56"/>
  <c r="I279" i="56"/>
  <c r="Q278" i="56"/>
  <c r="P278" i="56"/>
  <c r="I278" i="56"/>
  <c r="X277" i="56"/>
  <c r="W277" i="56"/>
  <c r="Q277" i="56"/>
  <c r="P277" i="56"/>
  <c r="I277" i="56"/>
  <c r="Q276" i="56"/>
  <c r="Q275" i="56"/>
  <c r="Z274" i="56"/>
  <c r="Y274" i="56"/>
  <c r="Q274" i="56"/>
  <c r="P272" i="56"/>
  <c r="Q270" i="56"/>
  <c r="P270" i="56"/>
  <c r="O270" i="56"/>
  <c r="N270" i="56"/>
  <c r="Q269" i="56"/>
  <c r="P269" i="56"/>
  <c r="O269" i="56"/>
  <c r="N269" i="56"/>
  <c r="Q268" i="56"/>
  <c r="P268" i="56"/>
  <c r="O268" i="56"/>
  <c r="N268" i="56"/>
  <c r="Q267" i="56"/>
  <c r="P267" i="56"/>
  <c r="O267" i="56"/>
  <c r="N267" i="56"/>
  <c r="Z266" i="56"/>
  <c r="Y266" i="56"/>
  <c r="V266" i="56"/>
  <c r="U266" i="56"/>
  <c r="T266" i="56"/>
  <c r="S266" i="56"/>
  <c r="Q266" i="56"/>
  <c r="P266" i="56"/>
  <c r="O266" i="56"/>
  <c r="N266" i="56"/>
  <c r="Q265" i="56"/>
  <c r="O265" i="56"/>
  <c r="N265" i="56"/>
  <c r="Q264" i="56"/>
  <c r="O264" i="56"/>
  <c r="N264" i="56"/>
  <c r="Q263" i="56"/>
  <c r="O263" i="56"/>
  <c r="N263" i="56"/>
  <c r="Q262" i="56"/>
  <c r="O262" i="56"/>
  <c r="N262" i="56"/>
  <c r="Z261" i="56"/>
  <c r="Y261" i="56"/>
  <c r="V261" i="56"/>
  <c r="U261" i="56"/>
  <c r="T261" i="56"/>
  <c r="S261" i="56"/>
  <c r="Q261" i="56"/>
  <c r="O261" i="56"/>
  <c r="N261" i="56"/>
  <c r="P260" i="56"/>
  <c r="O260" i="56"/>
  <c r="N260" i="56"/>
  <c r="P259" i="56"/>
  <c r="O259" i="56"/>
  <c r="N259" i="56"/>
  <c r="P258" i="56"/>
  <c r="O258" i="56"/>
  <c r="N258" i="56"/>
  <c r="P257" i="56"/>
  <c r="O257" i="56"/>
  <c r="N257" i="56"/>
  <c r="X256" i="56"/>
  <c r="W256" i="56"/>
  <c r="V256" i="56"/>
  <c r="U256" i="56"/>
  <c r="T256" i="56"/>
  <c r="S256" i="56"/>
  <c r="P256" i="56"/>
  <c r="O256" i="56"/>
  <c r="N256" i="56"/>
  <c r="Q255" i="56"/>
  <c r="P255" i="56"/>
  <c r="O255" i="56"/>
  <c r="N255" i="56"/>
  <c r="Q254" i="56"/>
  <c r="P254" i="56"/>
  <c r="O254" i="56"/>
  <c r="N254" i="56"/>
  <c r="Q253" i="56"/>
  <c r="P253" i="56"/>
  <c r="O253" i="56"/>
  <c r="N253" i="56"/>
  <c r="Q252" i="56"/>
  <c r="P252" i="56"/>
  <c r="O252" i="56"/>
  <c r="N252" i="56"/>
  <c r="Q251" i="56"/>
  <c r="P251" i="56"/>
  <c r="O251" i="56"/>
  <c r="N251" i="56"/>
  <c r="Q250" i="56"/>
  <c r="P250" i="56"/>
  <c r="O250" i="56"/>
  <c r="N250" i="56"/>
  <c r="Q249" i="56"/>
  <c r="P249" i="56"/>
  <c r="O249" i="56"/>
  <c r="N249" i="56"/>
  <c r="Z248" i="56"/>
  <c r="Y248" i="56"/>
  <c r="X248" i="56"/>
  <c r="W248" i="56"/>
  <c r="V248" i="56"/>
  <c r="U248" i="56"/>
  <c r="T248" i="56"/>
  <c r="S248" i="56"/>
  <c r="Q248" i="56"/>
  <c r="P248" i="56"/>
  <c r="O248" i="56"/>
  <c r="AB248" i="56" s="1"/>
  <c r="N248" i="56"/>
  <c r="AA248" i="56" s="1"/>
  <c r="S247" i="56"/>
  <c r="N247" i="56"/>
  <c r="AA247" i="56" s="1"/>
  <c r="F247" i="56"/>
  <c r="T247" i="56" s="1"/>
  <c r="AB246" i="56"/>
  <c r="G246" i="56"/>
  <c r="V246" i="56" s="1"/>
  <c r="T243" i="56"/>
  <c r="S243" i="56"/>
  <c r="AA242" i="56"/>
  <c r="T242" i="56"/>
  <c r="N242" i="56"/>
  <c r="O238" i="56"/>
  <c r="N238" i="56"/>
  <c r="O237" i="56"/>
  <c r="N237" i="56"/>
  <c r="O236" i="56"/>
  <c r="N236" i="56"/>
  <c r="O235" i="56"/>
  <c r="N235" i="56"/>
  <c r="O234" i="56"/>
  <c r="N234" i="56"/>
  <c r="O233" i="56"/>
  <c r="N233" i="56"/>
  <c r="O232" i="56"/>
  <c r="AB230" i="56" s="1"/>
  <c r="N232" i="56"/>
  <c r="AA230" i="56" s="1"/>
  <c r="O231" i="56"/>
  <c r="N231" i="56"/>
  <c r="V230" i="56"/>
  <c r="U230" i="56"/>
  <c r="T230" i="56"/>
  <c r="Q229" i="56"/>
  <c r="AD228" i="56" s="1"/>
  <c r="P229" i="56"/>
  <c r="AC228" i="56"/>
  <c r="Z228" i="56"/>
  <c r="Y228" i="56"/>
  <c r="Q228" i="56"/>
  <c r="Q227" i="56"/>
  <c r="O227" i="56"/>
  <c r="Q226" i="56"/>
  <c r="Q225" i="56"/>
  <c r="Q224" i="56"/>
  <c r="Q223" i="56"/>
  <c r="Q222" i="56"/>
  <c r="Q221" i="56"/>
  <c r="Q220" i="56"/>
  <c r="Q219" i="56"/>
  <c r="Q218" i="56"/>
  <c r="Q217" i="56"/>
  <c r="Q216" i="56"/>
  <c r="Q215" i="56"/>
  <c r="P214" i="56"/>
  <c r="Q213" i="56"/>
  <c r="P213" i="56"/>
  <c r="P212" i="56"/>
  <c r="Q211" i="56"/>
  <c r="P211" i="56"/>
  <c r="P210" i="56"/>
  <c r="P209" i="56"/>
  <c r="P208" i="56"/>
  <c r="Q207" i="56"/>
  <c r="P207" i="56"/>
  <c r="P206" i="56"/>
  <c r="Q205" i="56"/>
  <c r="P205" i="56"/>
  <c r="O205" i="56"/>
  <c r="Q204" i="56"/>
  <c r="P204" i="56"/>
  <c r="O204" i="56"/>
  <c r="N204" i="56"/>
  <c r="Q203" i="56"/>
  <c r="P203" i="56"/>
  <c r="O203" i="56"/>
  <c r="N203" i="56"/>
  <c r="O202" i="56"/>
  <c r="N202" i="56"/>
  <c r="O201" i="56"/>
  <c r="N201" i="56"/>
  <c r="O200" i="56"/>
  <c r="N200" i="56"/>
  <c r="Q199" i="56"/>
  <c r="O199" i="56"/>
  <c r="N199" i="56"/>
  <c r="Q198" i="56"/>
  <c r="O198" i="56"/>
  <c r="N198" i="56"/>
  <c r="Q197" i="56"/>
  <c r="P197" i="56"/>
  <c r="O197" i="56"/>
  <c r="N197" i="56"/>
  <c r="Q196" i="56"/>
  <c r="O196" i="56"/>
  <c r="N196" i="56"/>
  <c r="Q195" i="56"/>
  <c r="O195" i="56"/>
  <c r="N195" i="56"/>
  <c r="Q194" i="56"/>
  <c r="P194" i="56"/>
  <c r="O194" i="56"/>
  <c r="N194" i="56"/>
  <c r="Q193" i="56"/>
  <c r="P193" i="56"/>
  <c r="O193" i="56"/>
  <c r="N193" i="56"/>
  <c r="Q192" i="56"/>
  <c r="O192" i="56"/>
  <c r="N192" i="56"/>
  <c r="Q191" i="56"/>
  <c r="O191" i="56"/>
  <c r="N191" i="56"/>
  <c r="Q190" i="56"/>
  <c r="P190" i="56"/>
  <c r="O190" i="56"/>
  <c r="N190" i="56"/>
  <c r="Q189" i="56"/>
  <c r="O189" i="56"/>
  <c r="N189" i="56"/>
  <c r="P188" i="56"/>
  <c r="O188" i="56"/>
  <c r="N188" i="56"/>
  <c r="Z187" i="56"/>
  <c r="Y187" i="56"/>
  <c r="X187" i="56"/>
  <c r="W187" i="56"/>
  <c r="V187" i="56"/>
  <c r="U187" i="56"/>
  <c r="T187" i="56"/>
  <c r="S187" i="56"/>
  <c r="Q187" i="56"/>
  <c r="O187" i="56"/>
  <c r="N187" i="56"/>
  <c r="P186" i="56"/>
  <c r="O186" i="56"/>
  <c r="N186" i="56"/>
  <c r="P185" i="56"/>
  <c r="O185" i="56"/>
  <c r="N185" i="56"/>
  <c r="P184" i="56"/>
  <c r="O184" i="56"/>
  <c r="N184" i="56"/>
  <c r="P183" i="56"/>
  <c r="O183" i="56"/>
  <c r="N183" i="56"/>
  <c r="P182" i="56"/>
  <c r="O182" i="56"/>
  <c r="N182" i="56"/>
  <c r="P181" i="56"/>
  <c r="O181" i="56"/>
  <c r="N181" i="56"/>
  <c r="Z180" i="56"/>
  <c r="Y180" i="56"/>
  <c r="X180" i="56"/>
  <c r="W180" i="56"/>
  <c r="V180" i="56"/>
  <c r="U180" i="56"/>
  <c r="T180" i="56"/>
  <c r="S180" i="56"/>
  <c r="AD180" i="56"/>
  <c r="P180" i="56"/>
  <c r="O180" i="56"/>
  <c r="N180" i="56"/>
  <c r="Q179" i="56"/>
  <c r="O179" i="56"/>
  <c r="N179" i="56"/>
  <c r="I179" i="56"/>
  <c r="Q178" i="56"/>
  <c r="O178" i="56"/>
  <c r="N178" i="56"/>
  <c r="I178" i="56"/>
  <c r="Q177" i="56"/>
  <c r="O177" i="56"/>
  <c r="N177" i="56"/>
  <c r="I177" i="56"/>
  <c r="Q176" i="56"/>
  <c r="O176" i="56"/>
  <c r="N176" i="56"/>
  <c r="I176" i="56"/>
  <c r="Q175" i="56"/>
  <c r="I175" i="56"/>
  <c r="X174" i="56"/>
  <c r="W174" i="56"/>
  <c r="V174" i="56"/>
  <c r="U174" i="56"/>
  <c r="T174" i="56"/>
  <c r="S174" i="56"/>
  <c r="Q174" i="56"/>
  <c r="O174" i="56"/>
  <c r="N174" i="56"/>
  <c r="I174" i="56"/>
  <c r="Q173" i="56"/>
  <c r="P173" i="56"/>
  <c r="O173" i="56"/>
  <c r="Q172" i="56"/>
  <c r="P172" i="56"/>
  <c r="O172" i="56"/>
  <c r="N172" i="56"/>
  <c r="Z171" i="56"/>
  <c r="Y171" i="56"/>
  <c r="X171" i="56"/>
  <c r="W171" i="56"/>
  <c r="V171" i="56"/>
  <c r="T171" i="56"/>
  <c r="S171" i="56"/>
  <c r="Q171" i="56"/>
  <c r="P171" i="56"/>
  <c r="O171" i="56"/>
  <c r="N171" i="56"/>
  <c r="AA171" i="56" s="1"/>
  <c r="N169" i="56"/>
  <c r="N168" i="56"/>
  <c r="N167" i="56"/>
  <c r="N166" i="56"/>
  <c r="T165" i="56"/>
  <c r="S165" i="56"/>
  <c r="N165" i="56"/>
  <c r="N163" i="56"/>
  <c r="AA158" i="56" s="1"/>
  <c r="F163" i="56"/>
  <c r="N162" i="56"/>
  <c r="X158" i="56"/>
  <c r="W158" i="56"/>
  <c r="V158" i="56"/>
  <c r="U158" i="56"/>
  <c r="T158" i="56"/>
  <c r="S158" i="56"/>
  <c r="N158" i="56"/>
  <c r="N156" i="56"/>
  <c r="N155" i="56"/>
  <c r="N154" i="56"/>
  <c r="N153" i="56"/>
  <c r="T152" i="56"/>
  <c r="S152" i="56"/>
  <c r="N152" i="56"/>
  <c r="Q151" i="56"/>
  <c r="G151" i="56"/>
  <c r="Q150" i="56"/>
  <c r="G150" i="56"/>
  <c r="Q149" i="56"/>
  <c r="G149" i="56"/>
  <c r="Q148" i="56"/>
  <c r="G148" i="56"/>
  <c r="Q147" i="56"/>
  <c r="G147" i="56"/>
  <c r="Z146" i="56"/>
  <c r="Y146" i="56"/>
  <c r="X146" i="56"/>
  <c r="W146" i="56"/>
  <c r="Q146" i="56"/>
  <c r="AD146" i="56" s="1"/>
  <c r="X145" i="56"/>
  <c r="W145" i="56"/>
  <c r="V145" i="56"/>
  <c r="U145" i="56"/>
  <c r="T145" i="56"/>
  <c r="S145" i="56"/>
  <c r="P145" i="56"/>
  <c r="AC145" i="56" s="1"/>
  <c r="O145" i="56"/>
  <c r="AB145" i="56" s="1"/>
  <c r="N145" i="56"/>
  <c r="AA145" i="56" s="1"/>
  <c r="Q144" i="56"/>
  <c r="P144" i="56"/>
  <c r="T143" i="56"/>
  <c r="N143" i="56"/>
  <c r="AA143" i="56" s="1"/>
  <c r="Z142" i="56"/>
  <c r="Y142" i="56"/>
  <c r="V142" i="56"/>
  <c r="U142" i="56"/>
  <c r="T142" i="56"/>
  <c r="Q142" i="56"/>
  <c r="AD142" i="56" s="1"/>
  <c r="P142" i="56"/>
  <c r="AC142" i="56" s="1"/>
  <c r="O142" i="56"/>
  <c r="AB142" i="56" s="1"/>
  <c r="N142" i="56"/>
  <c r="N140" i="56"/>
  <c r="N139" i="56"/>
  <c r="N138" i="56"/>
  <c r="N137" i="56"/>
  <c r="T136" i="56"/>
  <c r="S136" i="56"/>
  <c r="N136" i="56"/>
  <c r="X135" i="56"/>
  <c r="W135" i="56"/>
  <c r="P135" i="56"/>
  <c r="AC135" i="56" s="1"/>
  <c r="Q134" i="56"/>
  <c r="P134" i="56"/>
  <c r="O134" i="56"/>
  <c r="N134" i="56"/>
  <c r="P133" i="56"/>
  <c r="O133" i="56"/>
  <c r="N133" i="56"/>
  <c r="P132" i="56"/>
  <c r="O132" i="56"/>
  <c r="N132" i="56"/>
  <c r="Q131" i="56"/>
  <c r="P131" i="56"/>
  <c r="O131" i="56"/>
  <c r="N131" i="56"/>
  <c r="P130" i="56"/>
  <c r="O130" i="56"/>
  <c r="N130" i="56"/>
  <c r="Q129" i="56"/>
  <c r="P129" i="56"/>
  <c r="O129" i="56"/>
  <c r="N129" i="56"/>
  <c r="P128" i="56"/>
  <c r="O128" i="56"/>
  <c r="N128" i="56"/>
  <c r="Z127" i="56"/>
  <c r="Y127" i="56"/>
  <c r="X127" i="56"/>
  <c r="W127" i="56"/>
  <c r="V127" i="56"/>
  <c r="U127" i="56"/>
  <c r="T127" i="56"/>
  <c r="S127" i="56"/>
  <c r="P127" i="56"/>
  <c r="O127" i="56"/>
  <c r="N127" i="56"/>
  <c r="Q126" i="56"/>
  <c r="O126" i="56"/>
  <c r="N126" i="56"/>
  <c r="Q125" i="56"/>
  <c r="O125" i="56"/>
  <c r="N125" i="56"/>
  <c r="O124" i="56"/>
  <c r="N124" i="56"/>
  <c r="Q123" i="56"/>
  <c r="O123" i="56"/>
  <c r="N123" i="56"/>
  <c r="AA122" i="56" s="1"/>
  <c r="V122" i="56"/>
  <c r="U122" i="56"/>
  <c r="T122" i="56"/>
  <c r="S122" i="56"/>
  <c r="Q122" i="56"/>
  <c r="O122" i="56"/>
  <c r="N122" i="56"/>
  <c r="AA121" i="56"/>
  <c r="V121" i="56"/>
  <c r="U121" i="56"/>
  <c r="T121" i="56"/>
  <c r="O121" i="56"/>
  <c r="AB121" i="56" s="1"/>
  <c r="N121" i="56"/>
  <c r="O120" i="56"/>
  <c r="O119" i="56"/>
  <c r="O118" i="56"/>
  <c r="O117" i="56"/>
  <c r="V116" i="56"/>
  <c r="U116" i="56"/>
  <c r="O116" i="56"/>
  <c r="Q114" i="56"/>
  <c r="P114" i="56"/>
  <c r="O114" i="56"/>
  <c r="Q113" i="56"/>
  <c r="P113" i="56"/>
  <c r="O113" i="56"/>
  <c r="N113" i="56"/>
  <c r="Q112" i="56"/>
  <c r="P112" i="56"/>
  <c r="O112" i="56"/>
  <c r="N112" i="56"/>
  <c r="Q111" i="56"/>
  <c r="P111" i="56"/>
  <c r="O111" i="56"/>
  <c r="N111" i="56"/>
  <c r="Z110" i="56"/>
  <c r="Y110" i="56"/>
  <c r="X110" i="56"/>
  <c r="W110" i="56"/>
  <c r="V110" i="56"/>
  <c r="U110" i="56"/>
  <c r="T110" i="56"/>
  <c r="S110" i="56"/>
  <c r="Q110" i="56"/>
  <c r="P110" i="56"/>
  <c r="O110" i="56"/>
  <c r="N110" i="56"/>
  <c r="AA110" i="56" s="1"/>
  <c r="P109" i="56"/>
  <c r="P108" i="56"/>
  <c r="P107" i="56"/>
  <c r="P106" i="56"/>
  <c r="X105" i="56"/>
  <c r="W105" i="56"/>
  <c r="P105" i="56"/>
  <c r="Q104" i="56"/>
  <c r="V103" i="56"/>
  <c r="T103" i="56"/>
  <c r="N103" i="56"/>
  <c r="T102" i="56"/>
  <c r="N102" i="56"/>
  <c r="Z91" i="56"/>
  <c r="Y91" i="56"/>
  <c r="X91" i="56"/>
  <c r="W91" i="56"/>
  <c r="V91" i="56"/>
  <c r="U91" i="56"/>
  <c r="Q90" i="56"/>
  <c r="N90" i="56"/>
  <c r="G90" i="56"/>
  <c r="Q89" i="56"/>
  <c r="P89" i="56"/>
  <c r="N89" i="56"/>
  <c r="G89" i="56"/>
  <c r="Q88" i="56"/>
  <c r="P88" i="56"/>
  <c r="N88" i="56"/>
  <c r="G88" i="56"/>
  <c r="Q87" i="56"/>
  <c r="P87" i="56"/>
  <c r="N87" i="56"/>
  <c r="G87" i="56"/>
  <c r="Q86" i="56"/>
  <c r="P86" i="56"/>
  <c r="N86" i="56"/>
  <c r="G86" i="56"/>
  <c r="AC85" i="56"/>
  <c r="AB85" i="56"/>
  <c r="Z85" i="56"/>
  <c r="Y85" i="56"/>
  <c r="X85" i="56"/>
  <c r="W85" i="56"/>
  <c r="T85" i="56"/>
  <c r="S85" i="56"/>
  <c r="Q85" i="56"/>
  <c r="N85" i="56"/>
  <c r="G85" i="56"/>
  <c r="Q84" i="56"/>
  <c r="P84" i="56"/>
  <c r="O84" i="56"/>
  <c r="N84" i="56"/>
  <c r="Q83" i="56"/>
  <c r="P83" i="56"/>
  <c r="O83" i="56"/>
  <c r="N83" i="56"/>
  <c r="Q82" i="56"/>
  <c r="P82" i="56"/>
  <c r="O82" i="56"/>
  <c r="N82" i="56"/>
  <c r="Q81" i="56"/>
  <c r="P81" i="56"/>
  <c r="O81" i="56"/>
  <c r="N81" i="56"/>
  <c r="Z80" i="56"/>
  <c r="Y80" i="56"/>
  <c r="X80" i="56"/>
  <c r="W80" i="56"/>
  <c r="V80" i="56"/>
  <c r="U80" i="56"/>
  <c r="T80" i="56"/>
  <c r="S80" i="56"/>
  <c r="Q80" i="56"/>
  <c r="P80" i="56"/>
  <c r="AC80" i="56" s="1"/>
  <c r="O80" i="56"/>
  <c r="N80" i="56"/>
  <c r="Q78" i="56"/>
  <c r="Q77" i="56"/>
  <c r="Q76" i="56"/>
  <c r="Z75" i="56"/>
  <c r="Y75" i="56"/>
  <c r="Q75" i="56"/>
  <c r="Q74" i="56"/>
  <c r="P74" i="56"/>
  <c r="O74" i="56"/>
  <c r="N74" i="56"/>
  <c r="Q73" i="56"/>
  <c r="P73" i="56"/>
  <c r="O73" i="56"/>
  <c r="N73" i="56"/>
  <c r="Q72" i="56"/>
  <c r="P72" i="56"/>
  <c r="O72" i="56"/>
  <c r="N72" i="56"/>
  <c r="Z71" i="56"/>
  <c r="Y71" i="56"/>
  <c r="X71" i="56"/>
  <c r="W71" i="56"/>
  <c r="V71" i="56"/>
  <c r="U71" i="56"/>
  <c r="T71" i="56"/>
  <c r="S71" i="56"/>
  <c r="Q71" i="56"/>
  <c r="P71" i="56"/>
  <c r="O71" i="56"/>
  <c r="N71" i="56"/>
  <c r="AA71" i="56" s="1"/>
  <c r="P70" i="56"/>
  <c r="O70" i="56"/>
  <c r="N70" i="56"/>
  <c r="Z69" i="56"/>
  <c r="Y69" i="56"/>
  <c r="X69" i="56"/>
  <c r="W69" i="56"/>
  <c r="V69" i="56"/>
  <c r="U69" i="56"/>
  <c r="T69" i="56"/>
  <c r="S69" i="56"/>
  <c r="AD69" i="56"/>
  <c r="P69" i="56"/>
  <c r="O69" i="56"/>
  <c r="N69" i="56"/>
  <c r="AD68" i="56"/>
  <c r="Z68" i="56"/>
  <c r="Y68" i="56"/>
  <c r="V68" i="56"/>
  <c r="T68" i="56"/>
  <c r="Q68" i="56"/>
  <c r="P68" i="56"/>
  <c r="AC68" i="56" s="1"/>
  <c r="O68" i="56"/>
  <c r="N68" i="56"/>
  <c r="AA68" i="56" s="1"/>
  <c r="Q67" i="56"/>
  <c r="P67" i="56"/>
  <c r="O67" i="56"/>
  <c r="N67" i="56"/>
  <c r="Q66" i="56"/>
  <c r="P66" i="56"/>
  <c r="O66" i="56"/>
  <c r="N66" i="56"/>
  <c r="Q65" i="56"/>
  <c r="P65" i="56"/>
  <c r="O65" i="56"/>
  <c r="N65" i="56"/>
  <c r="Q64" i="56"/>
  <c r="P64" i="56"/>
  <c r="O64" i="56"/>
  <c r="N64" i="56"/>
  <c r="Z63" i="56"/>
  <c r="Y63" i="56"/>
  <c r="X63" i="56"/>
  <c r="W63" i="56"/>
  <c r="V63" i="56"/>
  <c r="U63" i="56"/>
  <c r="T63" i="56"/>
  <c r="S63" i="56"/>
  <c r="Q63" i="56"/>
  <c r="AD63" i="56" s="1"/>
  <c r="P63" i="56"/>
  <c r="O63" i="56"/>
  <c r="N63" i="56"/>
  <c r="P61" i="56"/>
  <c r="P60" i="56"/>
  <c r="P59" i="56"/>
  <c r="P58" i="56"/>
  <c r="P57" i="56"/>
  <c r="X56" i="56"/>
  <c r="W56" i="56"/>
  <c r="T56" i="56"/>
  <c r="P56" i="56"/>
  <c r="Q55" i="56"/>
  <c r="P55" i="56"/>
  <c r="Q54" i="56"/>
  <c r="Q53" i="56"/>
  <c r="P53" i="56"/>
  <c r="O53" i="56"/>
  <c r="N53" i="56"/>
  <c r="N52" i="56"/>
  <c r="N51" i="56"/>
  <c r="Q50" i="56"/>
  <c r="P50" i="56"/>
  <c r="O50" i="56"/>
  <c r="N50" i="56"/>
  <c r="Z48" i="56"/>
  <c r="Y48" i="56"/>
  <c r="X48" i="56"/>
  <c r="W48" i="56"/>
  <c r="V48" i="56"/>
  <c r="U48" i="56"/>
  <c r="T48" i="56"/>
  <c r="S48" i="56"/>
  <c r="Q48" i="56"/>
  <c r="P48" i="56"/>
  <c r="O48" i="56"/>
  <c r="N48" i="56"/>
  <c r="N47" i="56"/>
  <c r="AA47" i="56" s="1"/>
  <c r="Q46" i="56"/>
  <c r="O46" i="56"/>
  <c r="N46" i="56"/>
  <c r="Q45" i="56"/>
  <c r="O45" i="56"/>
  <c r="N45" i="56"/>
  <c r="Q44" i="56"/>
  <c r="O44" i="56"/>
  <c r="N44" i="56"/>
  <c r="Q43" i="56"/>
  <c r="O43" i="56"/>
  <c r="N43" i="56"/>
  <c r="Z42" i="56"/>
  <c r="Y42" i="56"/>
  <c r="V42" i="56"/>
  <c r="U42" i="56"/>
  <c r="T42" i="56"/>
  <c r="S42" i="56"/>
  <c r="Q42" i="56"/>
  <c r="O42" i="56"/>
  <c r="N42" i="56"/>
  <c r="N41" i="56"/>
  <c r="AA41" i="56" s="1"/>
  <c r="Q40" i="56"/>
  <c r="Q39" i="56"/>
  <c r="AD38" i="56" s="1"/>
  <c r="O39" i="56"/>
  <c r="Z38" i="56"/>
  <c r="Y38" i="56"/>
  <c r="X38" i="56"/>
  <c r="V38" i="56"/>
  <c r="T38" i="56"/>
  <c r="Q38" i="56"/>
  <c r="N36" i="56"/>
  <c r="N35" i="56"/>
  <c r="N34" i="56"/>
  <c r="N33" i="56"/>
  <c r="P32" i="56"/>
  <c r="O32" i="56"/>
  <c r="AB30" i="56" s="1"/>
  <c r="N32" i="56"/>
  <c r="N31" i="56"/>
  <c r="Z30" i="56"/>
  <c r="Y30" i="56"/>
  <c r="X30" i="56"/>
  <c r="W30" i="56"/>
  <c r="V30" i="56"/>
  <c r="U30" i="56"/>
  <c r="T30" i="56"/>
  <c r="S30" i="56"/>
  <c r="N30" i="56"/>
  <c r="O29" i="56"/>
  <c r="N29" i="56"/>
  <c r="O28" i="56"/>
  <c r="N28" i="56"/>
  <c r="O27" i="56"/>
  <c r="N27" i="56"/>
  <c r="O26" i="56"/>
  <c r="N26" i="56"/>
  <c r="V25" i="56"/>
  <c r="T25" i="56"/>
  <c r="S25" i="56"/>
  <c r="O25" i="56"/>
  <c r="N25" i="56"/>
  <c r="T24" i="56"/>
  <c r="S24" i="56"/>
  <c r="N24" i="56"/>
  <c r="AA24" i="56" s="1"/>
  <c r="N23" i="56"/>
  <c r="P22" i="56"/>
  <c r="Q20" i="56"/>
  <c r="P20" i="56"/>
  <c r="N20" i="56"/>
  <c r="Q19" i="56"/>
  <c r="P19" i="56"/>
  <c r="N19" i="56"/>
  <c r="Q18" i="56"/>
  <c r="P18" i="56"/>
  <c r="N18" i="56"/>
  <c r="Q17" i="56"/>
  <c r="P17" i="56"/>
  <c r="AC15" i="56" s="1"/>
  <c r="N17" i="56"/>
  <c r="N16" i="56"/>
  <c r="Z15" i="56"/>
  <c r="Y15" i="56"/>
  <c r="X15" i="56"/>
  <c r="W15" i="56"/>
  <c r="T15" i="56"/>
  <c r="S15" i="56"/>
  <c r="Q15" i="56"/>
  <c r="N15" i="56"/>
  <c r="Q13" i="56"/>
  <c r="Q12" i="56"/>
  <c r="Q11" i="56"/>
  <c r="Q10" i="56"/>
  <c r="Q9" i="56"/>
  <c r="Q8" i="56"/>
  <c r="Z7" i="56"/>
  <c r="Y7" i="56"/>
  <c r="T7" i="56"/>
  <c r="Q7" i="56"/>
  <c r="N7" i="56"/>
  <c r="P296" i="55"/>
  <c r="P295" i="55"/>
  <c r="P294" i="55"/>
  <c r="X293" i="55"/>
  <c r="W293" i="55"/>
  <c r="P293" i="55"/>
  <c r="Q292" i="55"/>
  <c r="O292" i="55"/>
  <c r="N292" i="55"/>
  <c r="Q291" i="55"/>
  <c r="P291" i="55"/>
  <c r="O291" i="55"/>
  <c r="N291" i="55"/>
  <c r="Q290" i="55"/>
  <c r="P290" i="55"/>
  <c r="O290" i="55"/>
  <c r="N290" i="55"/>
  <c r="Q289" i="55"/>
  <c r="P289" i="55"/>
  <c r="O289" i="55"/>
  <c r="Q288" i="55"/>
  <c r="P288" i="55"/>
  <c r="O288" i="55"/>
  <c r="N288" i="55"/>
  <c r="Q287" i="55"/>
  <c r="P287" i="55"/>
  <c r="O287" i="55"/>
  <c r="N287" i="55"/>
  <c r="Z286" i="55"/>
  <c r="Y286" i="55"/>
  <c r="X286" i="55"/>
  <c r="W286" i="55"/>
  <c r="V286" i="55"/>
  <c r="U286" i="55"/>
  <c r="T286" i="55"/>
  <c r="S286" i="55"/>
  <c r="Q286" i="55"/>
  <c r="P286" i="55"/>
  <c r="O286" i="55"/>
  <c r="N286" i="55"/>
  <c r="Z281" i="55"/>
  <c r="Y281" i="55"/>
  <c r="X281" i="55"/>
  <c r="W281" i="55"/>
  <c r="V281" i="55"/>
  <c r="U281" i="55"/>
  <c r="T281" i="55"/>
  <c r="S281" i="55"/>
  <c r="Q280" i="55"/>
  <c r="P280" i="55"/>
  <c r="I280" i="55"/>
  <c r="Q279" i="55"/>
  <c r="P279" i="55"/>
  <c r="I279" i="55"/>
  <c r="Q278" i="55"/>
  <c r="P278" i="55"/>
  <c r="I278" i="55"/>
  <c r="X277" i="55"/>
  <c r="W277" i="55"/>
  <c r="Q277" i="55"/>
  <c r="P277" i="55"/>
  <c r="I277" i="55"/>
  <c r="Q276" i="55"/>
  <c r="Q275" i="55"/>
  <c r="Z274" i="55"/>
  <c r="Y274" i="55"/>
  <c r="Q274" i="55"/>
  <c r="P272" i="55"/>
  <c r="Q270" i="55"/>
  <c r="P270" i="55"/>
  <c r="O270" i="55"/>
  <c r="N270" i="55"/>
  <c r="Q269" i="55"/>
  <c r="P269" i="55"/>
  <c r="O269" i="55"/>
  <c r="N269" i="55"/>
  <c r="Q268" i="55"/>
  <c r="P268" i="55"/>
  <c r="O268" i="55"/>
  <c r="N268" i="55"/>
  <c r="Q267" i="55"/>
  <c r="P267" i="55"/>
  <c r="O267" i="55"/>
  <c r="N267" i="55"/>
  <c r="Z266" i="55"/>
  <c r="Y266" i="55"/>
  <c r="V266" i="55"/>
  <c r="U266" i="55"/>
  <c r="T266" i="55"/>
  <c r="S266" i="55"/>
  <c r="Q266" i="55"/>
  <c r="P266" i="55"/>
  <c r="O266" i="55"/>
  <c r="N266" i="55"/>
  <c r="Q265" i="55"/>
  <c r="O265" i="55"/>
  <c r="N265" i="55"/>
  <c r="Q264" i="55"/>
  <c r="O264" i="55"/>
  <c r="N264" i="55"/>
  <c r="Q263" i="55"/>
  <c r="O263" i="55"/>
  <c r="N263" i="55"/>
  <c r="Q262" i="55"/>
  <c r="O262" i="55"/>
  <c r="N262" i="55"/>
  <c r="Z261" i="55"/>
  <c r="Y261" i="55"/>
  <c r="V261" i="55"/>
  <c r="U261" i="55"/>
  <c r="T261" i="55"/>
  <c r="S261" i="55"/>
  <c r="Q261" i="55"/>
  <c r="O261" i="55"/>
  <c r="N261" i="55"/>
  <c r="P260" i="55"/>
  <c r="O260" i="55"/>
  <c r="N260" i="55"/>
  <c r="P259" i="55"/>
  <c r="O259" i="55"/>
  <c r="N259" i="55"/>
  <c r="P258" i="55"/>
  <c r="O258" i="55"/>
  <c r="N258" i="55"/>
  <c r="P257" i="55"/>
  <c r="O257" i="55"/>
  <c r="N257" i="55"/>
  <c r="X256" i="55"/>
  <c r="W256" i="55"/>
  <c r="V256" i="55"/>
  <c r="U256" i="55"/>
  <c r="T256" i="55"/>
  <c r="S256" i="55"/>
  <c r="P256" i="55"/>
  <c r="O256" i="55"/>
  <c r="N256" i="55"/>
  <c r="Q255" i="55"/>
  <c r="P255" i="55"/>
  <c r="O255" i="55"/>
  <c r="N255" i="55"/>
  <c r="Q254" i="55"/>
  <c r="P254" i="55"/>
  <c r="O254" i="55"/>
  <c r="N254" i="55"/>
  <c r="Q253" i="55"/>
  <c r="P253" i="55"/>
  <c r="O253" i="55"/>
  <c r="N253" i="55"/>
  <c r="Q252" i="55"/>
  <c r="P252" i="55"/>
  <c r="O252" i="55"/>
  <c r="N252" i="55"/>
  <c r="Q251" i="55"/>
  <c r="P251" i="55"/>
  <c r="O251" i="55"/>
  <c r="N251" i="55"/>
  <c r="Q250" i="55"/>
  <c r="P250" i="55"/>
  <c r="O250" i="55"/>
  <c r="N250" i="55"/>
  <c r="Q249" i="55"/>
  <c r="P249" i="55"/>
  <c r="O249" i="55"/>
  <c r="N249" i="55"/>
  <c r="Z248" i="55"/>
  <c r="Y248" i="55"/>
  <c r="X248" i="55"/>
  <c r="W248" i="55"/>
  <c r="V248" i="55"/>
  <c r="U248" i="55"/>
  <c r="T248" i="55"/>
  <c r="S248" i="55"/>
  <c r="Q248" i="55"/>
  <c r="AD248" i="55" s="1"/>
  <c r="P248" i="55"/>
  <c r="O248" i="55"/>
  <c r="N248" i="55"/>
  <c r="N247" i="55"/>
  <c r="AA247" i="55" s="1"/>
  <c r="F247" i="55"/>
  <c r="T247" i="55" s="1"/>
  <c r="AB246" i="55"/>
  <c r="G246" i="55"/>
  <c r="V246" i="55" s="1"/>
  <c r="T243" i="55"/>
  <c r="S243" i="55"/>
  <c r="T242" i="55"/>
  <c r="N242" i="55"/>
  <c r="AA242" i="55" s="1"/>
  <c r="O238" i="55"/>
  <c r="N238" i="55"/>
  <c r="O237" i="55"/>
  <c r="N237" i="55"/>
  <c r="O236" i="55"/>
  <c r="N236" i="55"/>
  <c r="O235" i="55"/>
  <c r="N235" i="55"/>
  <c r="O234" i="55"/>
  <c r="N234" i="55"/>
  <c r="O233" i="55"/>
  <c r="N233" i="55"/>
  <c r="O232" i="55"/>
  <c r="N232" i="55"/>
  <c r="O231" i="55"/>
  <c r="N231" i="55"/>
  <c r="V230" i="55"/>
  <c r="U230" i="55"/>
  <c r="T230" i="55"/>
  <c r="Q229" i="55"/>
  <c r="AD228" i="55" s="1"/>
  <c r="P229" i="55"/>
  <c r="AC228" i="55" s="1"/>
  <c r="Z228" i="55"/>
  <c r="Y228" i="55"/>
  <c r="Q228" i="55"/>
  <c r="Q227" i="55"/>
  <c r="O227" i="55"/>
  <c r="Q226" i="55"/>
  <c r="Q225" i="55"/>
  <c r="Q224" i="55"/>
  <c r="Q223" i="55"/>
  <c r="Q222" i="55"/>
  <c r="Q221" i="55"/>
  <c r="Q220" i="55"/>
  <c r="Q219" i="55"/>
  <c r="Q218" i="55"/>
  <c r="Q217" i="55"/>
  <c r="Q216" i="55"/>
  <c r="Q215" i="55"/>
  <c r="P214" i="55"/>
  <c r="Q213" i="55"/>
  <c r="P213" i="55"/>
  <c r="P212" i="55"/>
  <c r="Q211" i="55"/>
  <c r="P211" i="55"/>
  <c r="P210" i="55"/>
  <c r="P209" i="55"/>
  <c r="P208" i="55"/>
  <c r="Q207" i="55"/>
  <c r="P207" i="55"/>
  <c r="P206" i="55"/>
  <c r="Q205" i="55"/>
  <c r="P205" i="55"/>
  <c r="O205" i="55"/>
  <c r="Q204" i="55"/>
  <c r="P204" i="55"/>
  <c r="O204" i="55"/>
  <c r="N204" i="55"/>
  <c r="Q203" i="55"/>
  <c r="P203" i="55"/>
  <c r="O203" i="55"/>
  <c r="N203" i="55"/>
  <c r="O202" i="55"/>
  <c r="N202" i="55"/>
  <c r="O201" i="55"/>
  <c r="N201" i="55"/>
  <c r="O200" i="55"/>
  <c r="N200" i="55"/>
  <c r="Q199" i="55"/>
  <c r="O199" i="55"/>
  <c r="N199" i="55"/>
  <c r="Q198" i="55"/>
  <c r="O198" i="55"/>
  <c r="N198" i="55"/>
  <c r="Q197" i="55"/>
  <c r="P197" i="55"/>
  <c r="O197" i="55"/>
  <c r="N197" i="55"/>
  <c r="Q196" i="55"/>
  <c r="O196" i="55"/>
  <c r="N196" i="55"/>
  <c r="Q195" i="55"/>
  <c r="O195" i="55"/>
  <c r="N195" i="55"/>
  <c r="Q194" i="55"/>
  <c r="P194" i="55"/>
  <c r="O194" i="55"/>
  <c r="N194" i="55"/>
  <c r="Q193" i="55"/>
  <c r="P193" i="55"/>
  <c r="O193" i="55"/>
  <c r="N193" i="55"/>
  <c r="Q192" i="55"/>
  <c r="O192" i="55"/>
  <c r="N192" i="55"/>
  <c r="Q191" i="55"/>
  <c r="O191" i="55"/>
  <c r="N191" i="55"/>
  <c r="Q190" i="55"/>
  <c r="P190" i="55"/>
  <c r="O190" i="55"/>
  <c r="N190" i="55"/>
  <c r="Q189" i="55"/>
  <c r="O189" i="55"/>
  <c r="N189" i="55"/>
  <c r="P188" i="55"/>
  <c r="O188" i="55"/>
  <c r="N188" i="55"/>
  <c r="Z187" i="55"/>
  <c r="Y187" i="55"/>
  <c r="X187" i="55"/>
  <c r="W187" i="55"/>
  <c r="V187" i="55"/>
  <c r="U187" i="55"/>
  <c r="T187" i="55"/>
  <c r="S187" i="55"/>
  <c r="Q187" i="55"/>
  <c r="O187" i="55"/>
  <c r="N187" i="55"/>
  <c r="Q186" i="55"/>
  <c r="P186" i="55"/>
  <c r="O186" i="55"/>
  <c r="N186" i="55"/>
  <c r="Q185" i="55"/>
  <c r="P185" i="55"/>
  <c r="O185" i="55"/>
  <c r="N185" i="55"/>
  <c r="Q184" i="55"/>
  <c r="P184" i="55"/>
  <c r="O184" i="55"/>
  <c r="N184" i="55"/>
  <c r="Q183" i="55"/>
  <c r="P183" i="55"/>
  <c r="O183" i="55"/>
  <c r="N183" i="55"/>
  <c r="Q182" i="55"/>
  <c r="P182" i="55"/>
  <c r="O182" i="55"/>
  <c r="N182" i="55"/>
  <c r="Q181" i="55"/>
  <c r="P181" i="55"/>
  <c r="O181" i="55"/>
  <c r="N181" i="55"/>
  <c r="Z180" i="55"/>
  <c r="Y180" i="55"/>
  <c r="X180" i="55"/>
  <c r="W180" i="55"/>
  <c r="V180" i="55"/>
  <c r="U180" i="55"/>
  <c r="T180" i="55"/>
  <c r="S180" i="55"/>
  <c r="Q180" i="55"/>
  <c r="P180" i="55"/>
  <c r="O180" i="55"/>
  <c r="AB180" i="55" s="1"/>
  <c r="N180" i="55"/>
  <c r="Q179" i="55"/>
  <c r="O179" i="55"/>
  <c r="N179" i="55"/>
  <c r="I179" i="55"/>
  <c r="Q178" i="55"/>
  <c r="O178" i="55"/>
  <c r="N178" i="55"/>
  <c r="I178" i="55"/>
  <c r="Q177" i="55"/>
  <c r="O177" i="55"/>
  <c r="N177" i="55"/>
  <c r="I177" i="55"/>
  <c r="Q176" i="55"/>
  <c r="O176" i="55"/>
  <c r="N176" i="55"/>
  <c r="I176" i="55"/>
  <c r="Q175" i="55"/>
  <c r="I175" i="55"/>
  <c r="X174" i="55"/>
  <c r="W174" i="55"/>
  <c r="V174" i="55"/>
  <c r="U174" i="55"/>
  <c r="T174" i="55"/>
  <c r="S174" i="55"/>
  <c r="Q174" i="55"/>
  <c r="AD174" i="55" s="1"/>
  <c r="O174" i="55"/>
  <c r="AB174" i="55" s="1"/>
  <c r="N174" i="55"/>
  <c r="I174" i="55"/>
  <c r="Q173" i="55"/>
  <c r="P173" i="55"/>
  <c r="O173" i="55"/>
  <c r="Q172" i="55"/>
  <c r="P172" i="55"/>
  <c r="O172" i="55"/>
  <c r="N172" i="55"/>
  <c r="Z171" i="55"/>
  <c r="Y171" i="55"/>
  <c r="X171" i="55"/>
  <c r="W171" i="55"/>
  <c r="V171" i="55"/>
  <c r="T171" i="55"/>
  <c r="S171" i="55"/>
  <c r="Q171" i="55"/>
  <c r="P171" i="55"/>
  <c r="O171" i="55"/>
  <c r="N171" i="55"/>
  <c r="N169" i="55"/>
  <c r="N168" i="55"/>
  <c r="N167" i="55"/>
  <c r="N166" i="55"/>
  <c r="T165" i="55"/>
  <c r="S165" i="55"/>
  <c r="N165" i="55"/>
  <c r="N163" i="55"/>
  <c r="F163" i="55"/>
  <c r="T158" i="55" s="1"/>
  <c r="N162" i="55"/>
  <c r="X158" i="55"/>
  <c r="W158" i="55"/>
  <c r="V158" i="55"/>
  <c r="U158" i="55"/>
  <c r="N158" i="55"/>
  <c r="N156" i="55"/>
  <c r="N155" i="55"/>
  <c r="N154" i="55"/>
  <c r="N153" i="55"/>
  <c r="T152" i="55"/>
  <c r="S152" i="55"/>
  <c r="N152" i="55"/>
  <c r="Q151" i="55"/>
  <c r="G151" i="55"/>
  <c r="Q150" i="55"/>
  <c r="G150" i="55"/>
  <c r="Q149" i="55"/>
  <c r="G149" i="55"/>
  <c r="Q148" i="55"/>
  <c r="G148" i="55"/>
  <c r="Q147" i="55"/>
  <c r="G147" i="55"/>
  <c r="Z146" i="55"/>
  <c r="Y146" i="55"/>
  <c r="X146" i="55"/>
  <c r="W146" i="55"/>
  <c r="Q146" i="55"/>
  <c r="X145" i="55"/>
  <c r="W145" i="55"/>
  <c r="V145" i="55"/>
  <c r="U145" i="55"/>
  <c r="T145" i="55"/>
  <c r="S145" i="55"/>
  <c r="P145" i="55"/>
  <c r="AC145" i="55" s="1"/>
  <c r="O145" i="55"/>
  <c r="AB145" i="55" s="1"/>
  <c r="N145" i="55"/>
  <c r="AA145" i="55" s="1"/>
  <c r="Q144" i="55"/>
  <c r="P144" i="55"/>
  <c r="T143" i="55"/>
  <c r="N143" i="55"/>
  <c r="AA143" i="55" s="1"/>
  <c r="Z142" i="55"/>
  <c r="Y142" i="55"/>
  <c r="V142" i="55"/>
  <c r="U142" i="55"/>
  <c r="T142" i="55"/>
  <c r="Q142" i="55"/>
  <c r="AD142" i="55" s="1"/>
  <c r="P142" i="55"/>
  <c r="AC142" i="55" s="1"/>
  <c r="O142" i="55"/>
  <c r="AB142" i="55" s="1"/>
  <c r="N142" i="55"/>
  <c r="N140" i="55"/>
  <c r="N139" i="55"/>
  <c r="N138" i="55"/>
  <c r="N137" i="55"/>
  <c r="T136" i="55"/>
  <c r="S136" i="55"/>
  <c r="N136" i="55"/>
  <c r="X135" i="55"/>
  <c r="W135" i="55"/>
  <c r="P135" i="55"/>
  <c r="AC135" i="55" s="1"/>
  <c r="Q134" i="55"/>
  <c r="P134" i="55"/>
  <c r="O134" i="55"/>
  <c r="N134" i="55"/>
  <c r="P133" i="55"/>
  <c r="O133" i="55"/>
  <c r="N133" i="55"/>
  <c r="P132" i="55"/>
  <c r="O132" i="55"/>
  <c r="N132" i="55"/>
  <c r="Q131" i="55"/>
  <c r="P131" i="55"/>
  <c r="O131" i="55"/>
  <c r="N131" i="55"/>
  <c r="P130" i="55"/>
  <c r="O130" i="55"/>
  <c r="N130" i="55"/>
  <c r="Q129" i="55"/>
  <c r="P129" i="55"/>
  <c r="O129" i="55"/>
  <c r="N129" i="55"/>
  <c r="P128" i="55"/>
  <c r="O128" i="55"/>
  <c r="N128" i="55"/>
  <c r="Z127" i="55"/>
  <c r="Y127" i="55"/>
  <c r="X127" i="55"/>
  <c r="W127" i="55"/>
  <c r="V127" i="55"/>
  <c r="U127" i="55"/>
  <c r="T127" i="55"/>
  <c r="S127" i="55"/>
  <c r="P127" i="55"/>
  <c r="O127" i="55"/>
  <c r="N127" i="55"/>
  <c r="Q126" i="55"/>
  <c r="O126" i="55"/>
  <c r="N126" i="55"/>
  <c r="Q125" i="55"/>
  <c r="O125" i="55"/>
  <c r="N125" i="55"/>
  <c r="O124" i="55"/>
  <c r="N124" i="55"/>
  <c r="Q123" i="55"/>
  <c r="O123" i="55"/>
  <c r="N123" i="55"/>
  <c r="V122" i="55"/>
  <c r="U122" i="55"/>
  <c r="T122" i="55"/>
  <c r="S122" i="55"/>
  <c r="Q122" i="55"/>
  <c r="O122" i="55"/>
  <c r="N122" i="55"/>
  <c r="V121" i="55"/>
  <c r="U121" i="55"/>
  <c r="T121" i="55"/>
  <c r="O121" i="55"/>
  <c r="AB121" i="55" s="1"/>
  <c r="N121" i="55"/>
  <c r="AA121" i="55" s="1"/>
  <c r="O120" i="55"/>
  <c r="O119" i="55"/>
  <c r="O118" i="55"/>
  <c r="O117" i="55"/>
  <c r="V116" i="55"/>
  <c r="U116" i="55"/>
  <c r="O116" i="55"/>
  <c r="Q114" i="55"/>
  <c r="P114" i="55"/>
  <c r="O114" i="55"/>
  <c r="Q113" i="55"/>
  <c r="P113" i="55"/>
  <c r="O113" i="55"/>
  <c r="N113" i="55"/>
  <c r="Q112" i="55"/>
  <c r="P112" i="55"/>
  <c r="O112" i="55"/>
  <c r="N112" i="55"/>
  <c r="Q111" i="55"/>
  <c r="P111" i="55"/>
  <c r="O111" i="55"/>
  <c r="N111" i="55"/>
  <c r="Z110" i="55"/>
  <c r="Y110" i="55"/>
  <c r="X110" i="55"/>
  <c r="W110" i="55"/>
  <c r="V110" i="55"/>
  <c r="U110" i="55"/>
  <c r="T110" i="55"/>
  <c r="S110" i="55"/>
  <c r="Q110" i="55"/>
  <c r="P110" i="55"/>
  <c r="O110" i="55"/>
  <c r="N110" i="55"/>
  <c r="AA110" i="55" s="1"/>
  <c r="P109" i="55"/>
  <c r="P108" i="55"/>
  <c r="P107" i="55"/>
  <c r="P106" i="55"/>
  <c r="X105" i="55"/>
  <c r="W105" i="55"/>
  <c r="P105" i="55"/>
  <c r="Q104" i="55"/>
  <c r="V103" i="55"/>
  <c r="T103" i="55"/>
  <c r="N103" i="55"/>
  <c r="T102" i="55"/>
  <c r="N102" i="55"/>
  <c r="Z91" i="55"/>
  <c r="Y91" i="55"/>
  <c r="X91" i="55"/>
  <c r="W91" i="55"/>
  <c r="V91" i="55"/>
  <c r="U91" i="55"/>
  <c r="Q90" i="55"/>
  <c r="N90" i="55"/>
  <c r="G90" i="55"/>
  <c r="Q89" i="55"/>
  <c r="P89" i="55"/>
  <c r="N89" i="55"/>
  <c r="G89" i="55"/>
  <c r="Q88" i="55"/>
  <c r="P88" i="55"/>
  <c r="N88" i="55"/>
  <c r="G88" i="55"/>
  <c r="Q87" i="55"/>
  <c r="P87" i="55"/>
  <c r="N87" i="55"/>
  <c r="G87" i="55"/>
  <c r="Q86" i="55"/>
  <c r="P86" i="55"/>
  <c r="N86" i="55"/>
  <c r="G86" i="55"/>
  <c r="AB85" i="55"/>
  <c r="Z85" i="55"/>
  <c r="Y85" i="55"/>
  <c r="X85" i="55"/>
  <c r="W85" i="55"/>
  <c r="T85" i="55"/>
  <c r="S85" i="55"/>
  <c r="Q85" i="55"/>
  <c r="N85" i="55"/>
  <c r="G85" i="55"/>
  <c r="Q84" i="55"/>
  <c r="P84" i="55"/>
  <c r="O84" i="55"/>
  <c r="N84" i="55"/>
  <c r="Q83" i="55"/>
  <c r="P83" i="55"/>
  <c r="O83" i="55"/>
  <c r="N83" i="55"/>
  <c r="Q82" i="55"/>
  <c r="P82" i="55"/>
  <c r="O82" i="55"/>
  <c r="N82" i="55"/>
  <c r="Q81" i="55"/>
  <c r="P81" i="55"/>
  <c r="O81" i="55"/>
  <c r="N81" i="55"/>
  <c r="Z80" i="55"/>
  <c r="Y80" i="55"/>
  <c r="X80" i="55"/>
  <c r="W80" i="55"/>
  <c r="V80" i="55"/>
  <c r="U80" i="55"/>
  <c r="T80" i="55"/>
  <c r="S80" i="55"/>
  <c r="Q80" i="55"/>
  <c r="AD80" i="55" s="1"/>
  <c r="P80" i="55"/>
  <c r="AC80" i="55" s="1"/>
  <c r="O80" i="55"/>
  <c r="AB80" i="55" s="1"/>
  <c r="N80" i="55"/>
  <c r="Q78" i="55"/>
  <c r="Q77" i="55"/>
  <c r="Q76" i="55"/>
  <c r="Z75" i="55"/>
  <c r="Y75" i="55"/>
  <c r="Q75" i="55"/>
  <c r="Q74" i="55"/>
  <c r="P74" i="55"/>
  <c r="O74" i="55"/>
  <c r="N74" i="55"/>
  <c r="Q73" i="55"/>
  <c r="P73" i="55"/>
  <c r="O73" i="55"/>
  <c r="N73" i="55"/>
  <c r="Q72" i="55"/>
  <c r="P72" i="55"/>
  <c r="O72" i="55"/>
  <c r="N72" i="55"/>
  <c r="Z71" i="55"/>
  <c r="Y71" i="55"/>
  <c r="X71" i="55"/>
  <c r="W71" i="55"/>
  <c r="V71" i="55"/>
  <c r="U71" i="55"/>
  <c r="T71" i="55"/>
  <c r="S71" i="55"/>
  <c r="Q71" i="55"/>
  <c r="P71" i="55"/>
  <c r="AC71" i="55" s="1"/>
  <c r="O71" i="55"/>
  <c r="AB71" i="55" s="1"/>
  <c r="N71" i="55"/>
  <c r="AA71" i="55" s="1"/>
  <c r="P70" i="55"/>
  <c r="O70" i="55"/>
  <c r="N70" i="55"/>
  <c r="Z69" i="55"/>
  <c r="Y69" i="55"/>
  <c r="X69" i="55"/>
  <c r="W69" i="55"/>
  <c r="V69" i="55"/>
  <c r="U69" i="55"/>
  <c r="T69" i="55"/>
  <c r="S69" i="55"/>
  <c r="AD69" i="55"/>
  <c r="P69" i="55"/>
  <c r="O69" i="55"/>
  <c r="AB69" i="55" s="1"/>
  <c r="N69" i="55"/>
  <c r="AA69" i="55" s="1"/>
  <c r="Z68" i="55"/>
  <c r="Y68" i="55"/>
  <c r="V68" i="55"/>
  <c r="T68" i="55"/>
  <c r="Q68" i="55"/>
  <c r="AD68" i="55" s="1"/>
  <c r="P68" i="55"/>
  <c r="AC68" i="55" s="1"/>
  <c r="O68" i="55"/>
  <c r="N68" i="55"/>
  <c r="AA68" i="55" s="1"/>
  <c r="Q67" i="55"/>
  <c r="P67" i="55"/>
  <c r="O67" i="55"/>
  <c r="N67" i="55"/>
  <c r="Q66" i="55"/>
  <c r="P66" i="55"/>
  <c r="O66" i="55"/>
  <c r="N66" i="55"/>
  <c r="Q65" i="55"/>
  <c r="P65" i="55"/>
  <c r="O65" i="55"/>
  <c r="N65" i="55"/>
  <c r="Q64" i="55"/>
  <c r="P64" i="55"/>
  <c r="O64" i="55"/>
  <c r="N64" i="55"/>
  <c r="Z63" i="55"/>
  <c r="Y63" i="55"/>
  <c r="X63" i="55"/>
  <c r="W63" i="55"/>
  <c r="V63" i="55"/>
  <c r="U63" i="55"/>
  <c r="T63" i="55"/>
  <c r="S63" i="55"/>
  <c r="Q63" i="55"/>
  <c r="AD63" i="55" s="1"/>
  <c r="P63" i="55"/>
  <c r="AC63" i="55" s="1"/>
  <c r="O63" i="55"/>
  <c r="AB63" i="55" s="1"/>
  <c r="N63" i="55"/>
  <c r="P61" i="55"/>
  <c r="P60" i="55"/>
  <c r="P59" i="55"/>
  <c r="P58" i="55"/>
  <c r="P57" i="55"/>
  <c r="X56" i="55"/>
  <c r="W56" i="55"/>
  <c r="T56" i="55"/>
  <c r="P56" i="55"/>
  <c r="Q55" i="55"/>
  <c r="P55" i="55"/>
  <c r="Q54" i="55"/>
  <c r="Q53" i="55"/>
  <c r="P53" i="55"/>
  <c r="O53" i="55"/>
  <c r="N53" i="55"/>
  <c r="N52" i="55"/>
  <c r="N51" i="55"/>
  <c r="Q50" i="55"/>
  <c r="P50" i="55"/>
  <c r="O50" i="55"/>
  <c r="N50" i="55"/>
  <c r="Z48" i="55"/>
  <c r="Y48" i="55"/>
  <c r="X48" i="55"/>
  <c r="W48" i="55"/>
  <c r="V48" i="55"/>
  <c r="U48" i="55"/>
  <c r="T48" i="55"/>
  <c r="S48" i="55"/>
  <c r="Q48" i="55"/>
  <c r="P48" i="55"/>
  <c r="O48" i="55"/>
  <c r="N48" i="55"/>
  <c r="N47" i="55"/>
  <c r="AA47" i="55" s="1"/>
  <c r="Q46" i="55"/>
  <c r="O46" i="55"/>
  <c r="N46" i="55"/>
  <c r="Q45" i="55"/>
  <c r="O45" i="55"/>
  <c r="N45" i="55"/>
  <c r="Q44" i="55"/>
  <c r="O44" i="55"/>
  <c r="N44" i="55"/>
  <c r="Q43" i="55"/>
  <c r="O43" i="55"/>
  <c r="N43" i="55"/>
  <c r="Z42" i="55"/>
  <c r="Y42" i="55"/>
  <c r="V42" i="55"/>
  <c r="U42" i="55"/>
  <c r="T42" i="55"/>
  <c r="S42" i="55"/>
  <c r="Q42" i="55"/>
  <c r="O42" i="55"/>
  <c r="N42" i="55"/>
  <c r="N41" i="55"/>
  <c r="AA41" i="55" s="1"/>
  <c r="Q40" i="55"/>
  <c r="Q39" i="55"/>
  <c r="AD38" i="55" s="1"/>
  <c r="O39" i="55"/>
  <c r="Z38" i="55"/>
  <c r="Y38" i="55"/>
  <c r="X38" i="55"/>
  <c r="V38" i="55"/>
  <c r="T38" i="55"/>
  <c r="Q38" i="55"/>
  <c r="N36" i="55"/>
  <c r="N35" i="55"/>
  <c r="N34" i="55"/>
  <c r="N33" i="55"/>
  <c r="P32" i="55"/>
  <c r="O32" i="55"/>
  <c r="AB30" i="55" s="1"/>
  <c r="N32" i="55"/>
  <c r="N31" i="55"/>
  <c r="Z30" i="55"/>
  <c r="Y30" i="55"/>
  <c r="X30" i="55"/>
  <c r="W30" i="55"/>
  <c r="V30" i="55"/>
  <c r="U30" i="55"/>
  <c r="T30" i="55"/>
  <c r="S30" i="55"/>
  <c r="N30" i="55"/>
  <c r="O29" i="55"/>
  <c r="N29" i="55"/>
  <c r="O28" i="55"/>
  <c r="N28" i="55"/>
  <c r="O27" i="55"/>
  <c r="N27" i="55"/>
  <c r="O26" i="55"/>
  <c r="N26" i="55"/>
  <c r="V25" i="55"/>
  <c r="T25" i="55"/>
  <c r="S25" i="55"/>
  <c r="O25" i="55"/>
  <c r="N25" i="55"/>
  <c r="T24" i="55"/>
  <c r="S24" i="55"/>
  <c r="N24" i="55"/>
  <c r="AA24" i="55" s="1"/>
  <c r="N23" i="55"/>
  <c r="P22" i="55"/>
  <c r="Q20" i="55"/>
  <c r="P20" i="55"/>
  <c r="N20" i="55"/>
  <c r="Q19" i="55"/>
  <c r="P19" i="55"/>
  <c r="N19" i="55"/>
  <c r="Q18" i="55"/>
  <c r="P18" i="55"/>
  <c r="N18" i="55"/>
  <c r="Q17" i="55"/>
  <c r="P17" i="55"/>
  <c r="N17" i="55"/>
  <c r="N16" i="55"/>
  <c r="Z15" i="55"/>
  <c r="Y15" i="55"/>
  <c r="X15" i="55"/>
  <c r="W15" i="55"/>
  <c r="T15" i="55"/>
  <c r="S15" i="55"/>
  <c r="Q15" i="55"/>
  <c r="N15" i="55"/>
  <c r="Q13" i="55"/>
  <c r="Q12" i="55"/>
  <c r="Q11" i="55"/>
  <c r="Q10" i="55"/>
  <c r="Q9" i="55"/>
  <c r="Q8" i="55"/>
  <c r="Z7" i="55"/>
  <c r="Y7" i="55"/>
  <c r="T7" i="55"/>
  <c r="Q7" i="55"/>
  <c r="N7" i="55"/>
  <c r="N533" i="54"/>
  <c r="N507" i="54"/>
  <c r="N500" i="54"/>
  <c r="N499" i="54"/>
  <c r="N531" i="54"/>
  <c r="N524" i="54"/>
  <c r="N508" i="54"/>
  <c r="N525" i="54"/>
  <c r="N504" i="54"/>
  <c r="N502" i="54"/>
  <c r="N503" i="54"/>
  <c r="N519" i="54"/>
  <c r="N521" i="54"/>
  <c r="N532" i="54"/>
  <c r="N526" i="54"/>
  <c r="N523" i="54"/>
  <c r="N527" i="54"/>
  <c r="N515" i="54"/>
  <c r="N511" i="54"/>
  <c r="N513" i="54"/>
  <c r="N506" i="54"/>
  <c r="N530" i="54"/>
  <c r="N522" i="54"/>
  <c r="N517" i="54"/>
  <c r="N516" i="54"/>
  <c r="N509" i="54"/>
  <c r="N505" i="54"/>
  <c r="N501" i="54"/>
  <c r="N514" i="54"/>
  <c r="N518" i="54"/>
  <c r="N529" i="54"/>
  <c r="N512" i="54"/>
  <c r="N510" i="54"/>
  <c r="N528" i="54"/>
  <c r="N520" i="54"/>
  <c r="H608" i="53"/>
  <c r="H509" i="53"/>
  <c r="H624" i="53"/>
  <c r="H553" i="53"/>
  <c r="H622" i="53"/>
  <c r="H658" i="53"/>
  <c r="H612" i="53"/>
  <c r="H503" i="53"/>
  <c r="H682" i="53"/>
  <c r="H669" i="53"/>
  <c r="H672" i="53"/>
  <c r="H633" i="53"/>
  <c r="H661" i="53"/>
  <c r="H652" i="53"/>
  <c r="H649" i="53"/>
  <c r="H626" i="53"/>
  <c r="H665" i="53"/>
  <c r="H675" i="53"/>
  <c r="H650" i="53"/>
  <c r="H651" i="53"/>
  <c r="H668" i="53"/>
  <c r="H674" i="53"/>
  <c r="H531" i="53"/>
  <c r="H543" i="53"/>
  <c r="H571" i="53"/>
  <c r="H601" i="53"/>
  <c r="H589" i="53"/>
  <c r="H664" i="53"/>
  <c r="H640" i="53"/>
  <c r="H662" i="53"/>
  <c r="H685" i="53"/>
  <c r="H687" i="53"/>
  <c r="H655" i="53"/>
  <c r="H504" i="53"/>
  <c r="H501" i="53"/>
  <c r="H518" i="53"/>
  <c r="H506" i="53"/>
  <c r="H502" i="53"/>
  <c r="H505" i="53"/>
  <c r="H510" i="53"/>
  <c r="H511" i="53"/>
  <c r="H620" i="53"/>
  <c r="H609" i="53"/>
  <c r="H618" i="53"/>
  <c r="H606" i="53"/>
  <c r="H630" i="53"/>
  <c r="H610" i="53"/>
  <c r="H611" i="53"/>
  <c r="H647" i="53"/>
  <c r="H639" i="53"/>
  <c r="H683" i="53"/>
  <c r="H680" i="53"/>
  <c r="H679" i="53"/>
  <c r="H676" i="53"/>
  <c r="H681" i="53"/>
  <c r="H635" i="53"/>
  <c r="H636" i="53"/>
  <c r="H653" i="53"/>
  <c r="H666" i="53"/>
  <c r="H678" i="53"/>
  <c r="H637" i="53"/>
  <c r="H656" i="53"/>
  <c r="H645" i="53"/>
  <c r="H654" i="53"/>
  <c r="H634" i="53"/>
  <c r="H629" i="53"/>
  <c r="H623" i="53"/>
  <c r="H614" i="53"/>
  <c r="H663" i="53"/>
  <c r="H667" i="53"/>
  <c r="H641" i="53"/>
  <c r="H659" i="53"/>
  <c r="H642" i="53"/>
  <c r="H542" i="53"/>
  <c r="H586" i="53"/>
  <c r="H584" i="53"/>
  <c r="H605" i="53"/>
  <c r="H563" i="53"/>
  <c r="H534" i="53"/>
  <c r="H500" i="53"/>
  <c r="H544" i="53"/>
  <c r="H516" i="53"/>
  <c r="H524" i="53"/>
  <c r="H527" i="53"/>
  <c r="H565" i="53"/>
  <c r="H548" i="53"/>
  <c r="H574" i="53"/>
  <c r="H600" i="53"/>
  <c r="H632" i="53"/>
  <c r="H595" i="53"/>
  <c r="H540" i="53"/>
  <c r="H530" i="53"/>
  <c r="H646" i="53"/>
  <c r="H523" i="53"/>
  <c r="H561" i="53"/>
  <c r="H514" i="53"/>
  <c r="H581" i="53"/>
  <c r="H517" i="53"/>
  <c r="H558" i="53"/>
  <c r="H621" i="53"/>
  <c r="H619" i="53"/>
  <c r="H638" i="53"/>
  <c r="H590" i="53"/>
  <c r="H598" i="53"/>
  <c r="H613" i="53"/>
  <c r="H616" i="53"/>
  <c r="H617" i="53"/>
  <c r="H597" i="53"/>
  <c r="H588" i="53"/>
  <c r="H592" i="53"/>
  <c r="H556" i="53"/>
  <c r="H560" i="53"/>
  <c r="H539" i="53"/>
  <c r="H594" i="53"/>
  <c r="H603" i="53"/>
  <c r="H602" i="53"/>
  <c r="H604" i="53"/>
  <c r="H596" i="53"/>
  <c r="H599" i="53"/>
  <c r="H582" i="53"/>
  <c r="H526" i="53"/>
  <c r="H536" i="53"/>
  <c r="H559" i="53"/>
  <c r="H528" i="53"/>
  <c r="H572" i="53"/>
  <c r="H532" i="53"/>
  <c r="H576" i="53"/>
  <c r="H537" i="53"/>
  <c r="H557" i="53"/>
  <c r="H587" i="53"/>
  <c r="H549" i="53"/>
  <c r="H545" i="53"/>
  <c r="H564" i="53"/>
  <c r="H535" i="53"/>
  <c r="H577" i="53"/>
  <c r="H541" i="53"/>
  <c r="H547" i="53"/>
  <c r="H552" i="53"/>
  <c r="H570" i="53"/>
  <c r="H580" i="53"/>
  <c r="H550" i="53"/>
  <c r="H551" i="53"/>
  <c r="H546" i="53"/>
  <c r="H575" i="53"/>
  <c r="H533" i="53"/>
  <c r="H538" i="53"/>
  <c r="H583" i="53"/>
  <c r="H555" i="53"/>
  <c r="H573" i="53"/>
  <c r="H562" i="53"/>
  <c r="H554" i="53"/>
  <c r="H512" i="53"/>
  <c r="H508" i="53"/>
  <c r="H513" i="53"/>
  <c r="H525" i="53"/>
  <c r="H521" i="53"/>
  <c r="H519" i="53"/>
  <c r="H515" i="53"/>
  <c r="H507" i="53"/>
  <c r="H529" i="53"/>
  <c r="H520" i="53"/>
  <c r="H625" i="53"/>
  <c r="H579" i="53"/>
  <c r="H591" i="53"/>
  <c r="H578" i="53"/>
  <c r="H607" i="53"/>
  <c r="H670" i="53"/>
  <c r="H686" i="53"/>
  <c r="H673" i="53"/>
  <c r="H615" i="53"/>
  <c r="H684" i="53"/>
  <c r="H648" i="53"/>
  <c r="H677" i="53"/>
  <c r="H643" i="53"/>
  <c r="H657" i="53"/>
  <c r="H671" i="53"/>
  <c r="H585" i="53"/>
  <c r="H593" i="53"/>
  <c r="H522" i="53"/>
  <c r="H566" i="53"/>
  <c r="H567" i="53"/>
  <c r="H568" i="53"/>
  <c r="H569" i="53"/>
  <c r="H644" i="53"/>
  <c r="H631" i="53"/>
  <c r="H628" i="53"/>
  <c r="H660" i="53"/>
  <c r="H627" i="53"/>
  <c r="M621" i="49"/>
  <c r="M539" i="49"/>
  <c r="M646" i="49"/>
  <c r="M584" i="49"/>
  <c r="M622" i="49"/>
  <c r="M691" i="49"/>
  <c r="M642" i="49"/>
  <c r="M521" i="49"/>
  <c r="M536" i="49"/>
  <c r="M528" i="49"/>
  <c r="M508" i="49"/>
  <c r="M506" i="49"/>
  <c r="M500" i="49"/>
  <c r="M501" i="49"/>
  <c r="M499" i="49"/>
  <c r="M507" i="49"/>
  <c r="M503" i="49"/>
  <c r="M502" i="49"/>
  <c r="M690" i="49"/>
  <c r="M688" i="49"/>
  <c r="M692" i="49"/>
  <c r="M684" i="49"/>
  <c r="M685" i="49"/>
  <c r="M654" i="49"/>
  <c r="M664" i="49"/>
  <c r="M647" i="49"/>
  <c r="M649" i="49"/>
  <c r="M678" i="49"/>
  <c r="M665" i="49"/>
  <c r="M666" i="49"/>
  <c r="M675" i="49"/>
  <c r="M676" i="49"/>
  <c r="M537" i="49"/>
  <c r="M547" i="49"/>
  <c r="M540" i="49"/>
  <c r="M554" i="49"/>
  <c r="M552" i="49"/>
  <c r="M677" i="49"/>
  <c r="M650" i="49"/>
  <c r="M648" i="49"/>
  <c r="M682" i="49"/>
  <c r="M689" i="49"/>
  <c r="M640" i="49"/>
  <c r="M524" i="49"/>
  <c r="M511" i="49"/>
  <c r="M523" i="49"/>
  <c r="M510" i="49"/>
  <c r="M504" i="49"/>
  <c r="M517" i="49"/>
  <c r="M519" i="49"/>
  <c r="M520" i="49"/>
  <c r="M629" i="49"/>
  <c r="M623" i="49"/>
  <c r="M656" i="49"/>
  <c r="M639" i="49"/>
  <c r="M630" i="49"/>
  <c r="M617" i="49"/>
  <c r="M618" i="49"/>
  <c r="M631" i="49"/>
  <c r="M641" i="49"/>
  <c r="M695" i="49"/>
  <c r="M694" i="49"/>
  <c r="M686" i="49"/>
  <c r="M693" i="49"/>
  <c r="M696" i="49"/>
  <c r="M651" i="49"/>
  <c r="M652" i="49"/>
  <c r="M662" i="49"/>
  <c r="M660" i="49"/>
  <c r="M674" i="49"/>
  <c r="M653" i="49"/>
  <c r="M636" i="49"/>
  <c r="M679" i="49"/>
  <c r="M645" i="49"/>
  <c r="M627" i="49"/>
  <c r="M637" i="49"/>
  <c r="M624" i="49"/>
  <c r="M625" i="49"/>
  <c r="M635" i="49"/>
  <c r="M673" i="49"/>
  <c r="M634" i="49"/>
  <c r="M667" i="49"/>
  <c r="M655" i="49"/>
  <c r="M601" i="49"/>
  <c r="M599" i="49"/>
  <c r="M591" i="49"/>
  <c r="M609" i="49"/>
  <c r="M556" i="49"/>
  <c r="M581" i="49"/>
  <c r="M527" i="49"/>
  <c r="M544" i="49"/>
  <c r="M576" i="49"/>
  <c r="M585" i="49"/>
  <c r="M538" i="49"/>
  <c r="M553" i="49"/>
  <c r="M559" i="49"/>
  <c r="M589" i="49"/>
  <c r="M595" i="49"/>
  <c r="M613" i="49"/>
  <c r="M588" i="49"/>
  <c r="M550" i="49"/>
  <c r="M526" i="49"/>
  <c r="M602" i="49"/>
  <c r="M530" i="49"/>
  <c r="M532" i="49"/>
  <c r="M513" i="49"/>
  <c r="M533" i="49"/>
  <c r="M522" i="49"/>
  <c r="M534" i="49"/>
  <c r="M671" i="49"/>
  <c r="M680" i="49"/>
  <c r="M687" i="49"/>
  <c r="M683" i="49"/>
  <c r="M661" i="49"/>
  <c r="M638" i="49"/>
  <c r="M633" i="49"/>
  <c r="M628" i="49"/>
  <c r="M612" i="49"/>
  <c r="M616" i="49"/>
  <c r="M614" i="49"/>
  <c r="M607" i="49"/>
  <c r="M586" i="49"/>
  <c r="M600" i="49"/>
  <c r="M603" i="49"/>
  <c r="M610" i="49"/>
  <c r="M592" i="49"/>
  <c r="M608" i="49"/>
  <c r="M583" i="49"/>
  <c r="M605" i="49"/>
  <c r="M604" i="49"/>
  <c r="M548" i="49"/>
  <c r="M541" i="49"/>
  <c r="M562" i="49"/>
  <c r="M551" i="49"/>
  <c r="M567" i="49"/>
  <c r="M543" i="49"/>
  <c r="M597" i="49"/>
  <c r="M573" i="49"/>
  <c r="M574" i="49"/>
  <c r="M587" i="49"/>
  <c r="M575" i="49"/>
  <c r="M572" i="49"/>
  <c r="M545" i="49"/>
  <c r="M565" i="49"/>
  <c r="M582" i="49"/>
  <c r="M542" i="49"/>
  <c r="M561" i="49"/>
  <c r="M555" i="49"/>
  <c r="M590" i="49"/>
  <c r="M580" i="49"/>
  <c r="M558" i="49"/>
  <c r="M578" i="49"/>
  <c r="M557" i="49"/>
  <c r="M564" i="49"/>
  <c r="M563" i="49"/>
  <c r="M546" i="49"/>
  <c r="M566" i="49"/>
  <c r="M549" i="49"/>
  <c r="M560" i="49"/>
  <c r="M593" i="49"/>
  <c r="M594" i="49"/>
  <c r="M529" i="49"/>
  <c r="M531" i="49"/>
  <c r="M509" i="49"/>
  <c r="M518" i="49"/>
  <c r="M516" i="49"/>
  <c r="M514" i="49"/>
  <c r="M512" i="49"/>
  <c r="M505" i="49"/>
  <c r="M525" i="49"/>
  <c r="M515" i="49"/>
  <c r="M611" i="49"/>
  <c r="M596" i="49"/>
  <c r="M598" i="49"/>
  <c r="M606" i="49"/>
  <c r="M615" i="49"/>
  <c r="M619" i="49"/>
  <c r="M672" i="49"/>
  <c r="M632" i="49"/>
  <c r="M644" i="49"/>
  <c r="M669" i="49"/>
  <c r="M659" i="49"/>
  <c r="M681" i="49"/>
  <c r="M620" i="49"/>
  <c r="M657" i="49"/>
  <c r="M670" i="49"/>
  <c r="M579" i="49"/>
  <c r="M577" i="49"/>
  <c r="M535" i="49"/>
  <c r="M568" i="49"/>
  <c r="M569" i="49"/>
  <c r="M570" i="49"/>
  <c r="M571" i="49"/>
  <c r="M643" i="49"/>
  <c r="M663" i="49"/>
  <c r="M626" i="49"/>
  <c r="M668" i="49"/>
  <c r="M658" i="49"/>
  <c r="R495" i="54"/>
  <c r="S495" i="54" s="1"/>
  <c r="M495" i="54"/>
  <c r="R494" i="54"/>
  <c r="S494" i="54" s="1"/>
  <c r="M494" i="54"/>
  <c r="R493" i="54"/>
  <c r="S493" i="54" s="1"/>
  <c r="M493" i="54"/>
  <c r="R492" i="54"/>
  <c r="S492" i="54" s="1"/>
  <c r="M492" i="54"/>
  <c r="R491" i="54"/>
  <c r="S491" i="54" s="1"/>
  <c r="M491" i="54"/>
  <c r="R490" i="54"/>
  <c r="S490" i="54" s="1"/>
  <c r="M490" i="54"/>
  <c r="R489" i="54"/>
  <c r="S489" i="54" s="1"/>
  <c r="M489" i="54"/>
  <c r="N488" i="54"/>
  <c r="M488" i="54"/>
  <c r="N487" i="54"/>
  <c r="M487" i="54"/>
  <c r="N486" i="54"/>
  <c r="M486" i="54"/>
  <c r="N485" i="54"/>
  <c r="M485" i="54"/>
  <c r="N484" i="54"/>
  <c r="M484" i="54"/>
  <c r="N483" i="54"/>
  <c r="M483" i="54"/>
  <c r="N482" i="54"/>
  <c r="M482" i="54"/>
  <c r="N481" i="54"/>
  <c r="M481" i="54"/>
  <c r="N480" i="54"/>
  <c r="M480" i="54"/>
  <c r="N479" i="54"/>
  <c r="M479" i="54"/>
  <c r="N478" i="54"/>
  <c r="M478" i="54"/>
  <c r="N477" i="54"/>
  <c r="M477" i="54"/>
  <c r="N476" i="54"/>
  <c r="M476" i="54"/>
  <c r="N475" i="54"/>
  <c r="M475" i="54"/>
  <c r="N474" i="54"/>
  <c r="M474" i="54"/>
  <c r="N473" i="54"/>
  <c r="M473" i="54"/>
  <c r="N472" i="54"/>
  <c r="M472" i="54"/>
  <c r="N471" i="54"/>
  <c r="M471" i="54"/>
  <c r="N470" i="54"/>
  <c r="M470" i="54"/>
  <c r="N469" i="54"/>
  <c r="M469" i="54"/>
  <c r="N468" i="54"/>
  <c r="M468" i="54"/>
  <c r="N467" i="54"/>
  <c r="M467" i="54"/>
  <c r="N466" i="54"/>
  <c r="M466" i="54"/>
  <c r="N465" i="54"/>
  <c r="M465" i="54"/>
  <c r="N464" i="54"/>
  <c r="M464" i="54"/>
  <c r="N463" i="54"/>
  <c r="M463" i="54"/>
  <c r="N462" i="54"/>
  <c r="M462" i="54"/>
  <c r="N461" i="54"/>
  <c r="M461" i="54"/>
  <c r="N460" i="54"/>
  <c r="M460" i="54"/>
  <c r="N459" i="54"/>
  <c r="M459" i="54"/>
  <c r="N458" i="54"/>
  <c r="M458" i="54"/>
  <c r="N457" i="54"/>
  <c r="M457" i="54"/>
  <c r="N456" i="54"/>
  <c r="M456" i="54"/>
  <c r="N455" i="54"/>
  <c r="M455" i="54"/>
  <c r="N454" i="54"/>
  <c r="M454" i="54"/>
  <c r="N453" i="54"/>
  <c r="M453" i="54"/>
  <c r="N452" i="54"/>
  <c r="M452" i="54"/>
  <c r="N451" i="54"/>
  <c r="M451" i="54"/>
  <c r="N450" i="54"/>
  <c r="M450" i="54"/>
  <c r="N449" i="54"/>
  <c r="M449" i="54"/>
  <c r="N448" i="54"/>
  <c r="M448" i="54"/>
  <c r="N447" i="54"/>
  <c r="M447" i="54"/>
  <c r="N446" i="54"/>
  <c r="M446" i="54"/>
  <c r="N445" i="54"/>
  <c r="M445" i="54"/>
  <c r="N444" i="54"/>
  <c r="M444" i="54"/>
  <c r="N443" i="54"/>
  <c r="M443" i="54"/>
  <c r="N442" i="54"/>
  <c r="M442" i="54"/>
  <c r="N441" i="54"/>
  <c r="M441" i="54"/>
  <c r="N440" i="54"/>
  <c r="M440" i="54"/>
  <c r="N439" i="54"/>
  <c r="M439" i="54"/>
  <c r="N438" i="54"/>
  <c r="M438" i="54"/>
  <c r="N437" i="54"/>
  <c r="M437" i="54"/>
  <c r="N436" i="54"/>
  <c r="M436" i="54"/>
  <c r="N435" i="54"/>
  <c r="M435" i="54"/>
  <c r="N434" i="54"/>
  <c r="M434" i="54"/>
  <c r="N433" i="54"/>
  <c r="M433" i="54"/>
  <c r="N432" i="54"/>
  <c r="M432" i="54"/>
  <c r="N431" i="54"/>
  <c r="M431" i="54"/>
  <c r="N430" i="54"/>
  <c r="M430" i="54"/>
  <c r="N429" i="54"/>
  <c r="M429" i="54"/>
  <c r="N428" i="54"/>
  <c r="M428" i="54"/>
  <c r="N427" i="54"/>
  <c r="M427" i="54"/>
  <c r="N426" i="54"/>
  <c r="M426" i="54"/>
  <c r="N425" i="54"/>
  <c r="M425" i="54"/>
  <c r="N424" i="54"/>
  <c r="M424" i="54"/>
  <c r="N423" i="54"/>
  <c r="M423" i="54"/>
  <c r="N422" i="54"/>
  <c r="M422" i="54"/>
  <c r="N421" i="54"/>
  <c r="M421" i="54"/>
  <c r="N420" i="54"/>
  <c r="M420" i="54"/>
  <c r="N419" i="54"/>
  <c r="M419" i="54"/>
  <c r="N418" i="54"/>
  <c r="M418" i="54"/>
  <c r="N417" i="54"/>
  <c r="M417" i="54"/>
  <c r="N416" i="54"/>
  <c r="M416" i="54"/>
  <c r="N415" i="54"/>
  <c r="M415" i="54"/>
  <c r="N414" i="54"/>
  <c r="M414" i="54"/>
  <c r="N413" i="54"/>
  <c r="M413" i="54"/>
  <c r="N412" i="54"/>
  <c r="M412" i="54"/>
  <c r="N411" i="54"/>
  <c r="M411" i="54"/>
  <c r="N410" i="54"/>
  <c r="M410" i="54"/>
  <c r="N409" i="54"/>
  <c r="M409" i="54"/>
  <c r="N408" i="54"/>
  <c r="M408" i="54"/>
  <c r="N407" i="54"/>
  <c r="M407" i="54"/>
  <c r="N406" i="54"/>
  <c r="M406" i="54"/>
  <c r="N405" i="54"/>
  <c r="M405" i="54"/>
  <c r="N404" i="54"/>
  <c r="M404" i="54"/>
  <c r="N403" i="54"/>
  <c r="M403" i="54"/>
  <c r="N402" i="54"/>
  <c r="M402" i="54"/>
  <c r="N401" i="54"/>
  <c r="M401" i="54"/>
  <c r="N400" i="54"/>
  <c r="M400" i="54"/>
  <c r="N399" i="54"/>
  <c r="M399" i="54"/>
  <c r="N398" i="54"/>
  <c r="M398" i="54"/>
  <c r="N397" i="54"/>
  <c r="M397" i="54"/>
  <c r="N396" i="54"/>
  <c r="M396" i="54"/>
  <c r="N395" i="54"/>
  <c r="M395" i="54"/>
  <c r="N394" i="54"/>
  <c r="M394" i="54"/>
  <c r="N393" i="54"/>
  <c r="M393" i="54"/>
  <c r="N392" i="54"/>
  <c r="M392" i="54"/>
  <c r="N391" i="54"/>
  <c r="M391" i="54"/>
  <c r="N390" i="54"/>
  <c r="M390" i="54"/>
  <c r="N389" i="54"/>
  <c r="M389" i="54"/>
  <c r="N388" i="54"/>
  <c r="M388" i="54"/>
  <c r="N387" i="54"/>
  <c r="M387" i="54"/>
  <c r="N386" i="54"/>
  <c r="M386" i="54"/>
  <c r="N385" i="54"/>
  <c r="M385" i="54"/>
  <c r="N384" i="54"/>
  <c r="M384" i="54"/>
  <c r="N383" i="54"/>
  <c r="M383" i="54"/>
  <c r="N382" i="54"/>
  <c r="M382" i="54"/>
  <c r="N381" i="54"/>
  <c r="M381" i="54"/>
  <c r="N380" i="54"/>
  <c r="M380" i="54"/>
  <c r="N379" i="54"/>
  <c r="M379" i="54"/>
  <c r="N378" i="54"/>
  <c r="M378" i="54"/>
  <c r="N377" i="54"/>
  <c r="M377" i="54"/>
  <c r="N376" i="54"/>
  <c r="M376" i="54"/>
  <c r="N375" i="54"/>
  <c r="M375" i="54"/>
  <c r="N374" i="54"/>
  <c r="M374" i="54"/>
  <c r="N373" i="54"/>
  <c r="M373" i="54"/>
  <c r="N372" i="54"/>
  <c r="M372" i="54"/>
  <c r="N371" i="54"/>
  <c r="M371" i="54"/>
  <c r="N370" i="54"/>
  <c r="M370" i="54"/>
  <c r="N369" i="54"/>
  <c r="M369" i="54"/>
  <c r="N368" i="54"/>
  <c r="M368" i="54"/>
  <c r="N367" i="54"/>
  <c r="M367" i="54"/>
  <c r="N366" i="54"/>
  <c r="M366" i="54"/>
  <c r="N365" i="54"/>
  <c r="M365" i="54"/>
  <c r="N364" i="54"/>
  <c r="M364" i="54"/>
  <c r="N363" i="54"/>
  <c r="M363" i="54"/>
  <c r="N362" i="54"/>
  <c r="M362" i="54"/>
  <c r="N361" i="54"/>
  <c r="M361" i="54"/>
  <c r="N360" i="54"/>
  <c r="M360" i="54"/>
  <c r="N359" i="54"/>
  <c r="M359" i="54"/>
  <c r="N358" i="54"/>
  <c r="M358" i="54"/>
  <c r="N357" i="54"/>
  <c r="M357" i="54"/>
  <c r="N356" i="54"/>
  <c r="M356" i="54"/>
  <c r="N355" i="54"/>
  <c r="M355" i="54"/>
  <c r="N354" i="54"/>
  <c r="M354" i="54"/>
  <c r="N353" i="54"/>
  <c r="M353" i="54"/>
  <c r="N352" i="54"/>
  <c r="M352" i="54"/>
  <c r="N351" i="54"/>
  <c r="M351" i="54"/>
  <c r="N350" i="54"/>
  <c r="M350" i="54"/>
  <c r="N349" i="54"/>
  <c r="M349" i="54"/>
  <c r="N348" i="54"/>
  <c r="M348" i="54"/>
  <c r="N347" i="54"/>
  <c r="M347" i="54"/>
  <c r="N346" i="54"/>
  <c r="M346" i="54"/>
  <c r="N345" i="54"/>
  <c r="M345" i="54"/>
  <c r="N344" i="54"/>
  <c r="M344" i="54"/>
  <c r="N343" i="54"/>
  <c r="M343" i="54"/>
  <c r="N342" i="54"/>
  <c r="M342" i="54"/>
  <c r="N341" i="54"/>
  <c r="M341" i="54"/>
  <c r="N340" i="54"/>
  <c r="M340" i="54"/>
  <c r="N339" i="54"/>
  <c r="M339" i="54"/>
  <c r="N338" i="54"/>
  <c r="M338" i="54"/>
  <c r="N337" i="54"/>
  <c r="M337" i="54"/>
  <c r="N336" i="54"/>
  <c r="M336" i="54"/>
  <c r="N335" i="54"/>
  <c r="M335" i="54"/>
  <c r="N334" i="54"/>
  <c r="M334" i="54"/>
  <c r="N333" i="54"/>
  <c r="M333" i="54"/>
  <c r="N332" i="54"/>
  <c r="M332" i="54"/>
  <c r="N331" i="54"/>
  <c r="M331" i="54"/>
  <c r="N330" i="54"/>
  <c r="M330" i="54"/>
  <c r="N329" i="54"/>
  <c r="M329" i="54"/>
  <c r="N328" i="54"/>
  <c r="M328" i="54"/>
  <c r="N327" i="54"/>
  <c r="M327" i="54"/>
  <c r="N326" i="54"/>
  <c r="M326" i="54"/>
  <c r="N325" i="54"/>
  <c r="M325" i="54"/>
  <c r="N324" i="54"/>
  <c r="M324" i="54"/>
  <c r="N323" i="54"/>
  <c r="M323" i="54"/>
  <c r="R322" i="54"/>
  <c r="S322" i="54" s="1"/>
  <c r="R321" i="54"/>
  <c r="S321" i="54" s="1"/>
  <c r="R320" i="54"/>
  <c r="S320" i="54" s="1"/>
  <c r="N319" i="54"/>
  <c r="M319" i="54"/>
  <c r="N318" i="54"/>
  <c r="M318" i="54"/>
  <c r="N317" i="54"/>
  <c r="M317" i="54"/>
  <c r="N316" i="54"/>
  <c r="M316" i="54"/>
  <c r="N315" i="54"/>
  <c r="M315" i="54"/>
  <c r="N314" i="54"/>
  <c r="M314" i="54"/>
  <c r="N313" i="54"/>
  <c r="M313" i="54"/>
  <c r="N312" i="54"/>
  <c r="M312" i="54"/>
  <c r="N311" i="54"/>
  <c r="M311" i="54"/>
  <c r="N310" i="54"/>
  <c r="M310" i="54"/>
  <c r="N309" i="54"/>
  <c r="M309" i="54"/>
  <c r="N308" i="54"/>
  <c r="M308" i="54"/>
  <c r="N307" i="54"/>
  <c r="M307" i="54"/>
  <c r="N306" i="54"/>
  <c r="M306" i="54"/>
  <c r="N305" i="54"/>
  <c r="M305" i="54"/>
  <c r="R304" i="54"/>
  <c r="S304" i="54" s="1"/>
  <c r="R303" i="54"/>
  <c r="S303" i="54" s="1"/>
  <c r="R302" i="54"/>
  <c r="S302" i="54" s="1"/>
  <c r="R301" i="54"/>
  <c r="S301" i="54" s="1"/>
  <c r="R300" i="54"/>
  <c r="S300" i="54" s="1"/>
  <c r="R299" i="54"/>
  <c r="S299" i="54" s="1"/>
  <c r="R298" i="54"/>
  <c r="S298" i="54" s="1"/>
  <c r="S293" i="54"/>
  <c r="R293" i="54"/>
  <c r="K293" i="54"/>
  <c r="F293" i="54"/>
  <c r="S292" i="54"/>
  <c r="R292" i="54"/>
  <c r="K292" i="54"/>
  <c r="F292" i="54"/>
  <c r="N292" i="54" s="1"/>
  <c r="S291" i="54"/>
  <c r="R291" i="54"/>
  <c r="K291" i="54"/>
  <c r="F291" i="54"/>
  <c r="Z290" i="54"/>
  <c r="W290" i="54"/>
  <c r="S290" i="54"/>
  <c r="R290" i="54"/>
  <c r="AF290" i="54" s="1"/>
  <c r="K290" i="54"/>
  <c r="F290" i="54"/>
  <c r="N290" i="54" s="1"/>
  <c r="K289" i="54"/>
  <c r="S289" i="54" s="1"/>
  <c r="K288" i="54"/>
  <c r="S288" i="54" s="1"/>
  <c r="K287" i="54"/>
  <c r="S287" i="54" s="1"/>
  <c r="K286" i="54"/>
  <c r="S286" i="54" s="1"/>
  <c r="K285" i="54"/>
  <c r="S285" i="54" s="1"/>
  <c r="K284" i="54"/>
  <c r="S284" i="54" s="1"/>
  <c r="AD283" i="54"/>
  <c r="AB283" i="54"/>
  <c r="W283" i="54"/>
  <c r="V283" i="54"/>
  <c r="U283" i="54"/>
  <c r="K283" i="54"/>
  <c r="S283" i="54" s="1"/>
  <c r="R282" i="54"/>
  <c r="F282" i="54"/>
  <c r="N282" i="54" s="1"/>
  <c r="R281" i="54"/>
  <c r="F281" i="54"/>
  <c r="H281" i="54" s="1"/>
  <c r="R280" i="54"/>
  <c r="F280" i="54"/>
  <c r="R279" i="54"/>
  <c r="F279" i="54"/>
  <c r="N279" i="54" s="1"/>
  <c r="AE278" i="54"/>
  <c r="AD278" i="54"/>
  <c r="AC278" i="54"/>
  <c r="AA278" i="54"/>
  <c r="Z278" i="54"/>
  <c r="X278" i="54"/>
  <c r="W278" i="54"/>
  <c r="R278" i="54"/>
  <c r="F278" i="54"/>
  <c r="G278" i="54" s="1"/>
  <c r="F277" i="54"/>
  <c r="F276" i="54"/>
  <c r="G276" i="54" s="1"/>
  <c r="F275" i="54"/>
  <c r="L275" i="54" s="1"/>
  <c r="AE274" i="54"/>
  <c r="AD274" i="54"/>
  <c r="AC274" i="54"/>
  <c r="AB274" i="54"/>
  <c r="W274" i="54"/>
  <c r="F274" i="54"/>
  <c r="J274" i="54" s="1"/>
  <c r="F273" i="54"/>
  <c r="F272" i="54"/>
  <c r="AE271" i="54"/>
  <c r="AA271" i="54"/>
  <c r="Z271" i="54"/>
  <c r="V271" i="54"/>
  <c r="F271" i="54"/>
  <c r="O271" i="54" s="1"/>
  <c r="R270" i="54"/>
  <c r="K270" i="54"/>
  <c r="S270" i="54" s="1"/>
  <c r="R269" i="54"/>
  <c r="K269" i="54"/>
  <c r="F269" i="54"/>
  <c r="N269" i="54" s="1"/>
  <c r="AB269" i="54" s="1"/>
  <c r="R268" i="54"/>
  <c r="K268" i="54"/>
  <c r="S268" i="54" s="1"/>
  <c r="F268" i="54"/>
  <c r="F267" i="54"/>
  <c r="F266" i="54"/>
  <c r="F265" i="54"/>
  <c r="M265" i="54" s="1"/>
  <c r="F264" i="54"/>
  <c r="J264" i="54" s="1"/>
  <c r="AE263" i="54"/>
  <c r="AD263" i="54"/>
  <c r="AC263" i="54"/>
  <c r="AB263" i="54"/>
  <c r="W263" i="54"/>
  <c r="F263" i="54"/>
  <c r="L263" i="54" s="1"/>
  <c r="F262" i="54"/>
  <c r="J262" i="54" s="1"/>
  <c r="G261" i="54"/>
  <c r="F261" i="54"/>
  <c r="J261" i="54" s="1"/>
  <c r="F260" i="54"/>
  <c r="G260" i="54" s="1"/>
  <c r="F259" i="54"/>
  <c r="AE258" i="54"/>
  <c r="AD258" i="54"/>
  <c r="AC258" i="54"/>
  <c r="AB258" i="54"/>
  <c r="I258" i="54"/>
  <c r="W258" i="54" s="1"/>
  <c r="F258" i="54"/>
  <c r="F257" i="54"/>
  <c r="L257" i="54" s="1"/>
  <c r="F256" i="54"/>
  <c r="F255" i="54"/>
  <c r="L255" i="54" s="1"/>
  <c r="F254" i="54"/>
  <c r="N254" i="54" s="1"/>
  <c r="AE253" i="54"/>
  <c r="AD253" i="54"/>
  <c r="W253" i="54"/>
  <c r="U253" i="54"/>
  <c r="F253" i="54"/>
  <c r="M253" i="54" s="1"/>
  <c r="R252" i="54"/>
  <c r="F252" i="54"/>
  <c r="H252" i="54" s="1"/>
  <c r="K252" i="54" s="1"/>
  <c r="S252" i="54" s="1"/>
  <c r="R251" i="54"/>
  <c r="F251" i="54"/>
  <c r="H251" i="54" s="1"/>
  <c r="K251" i="54" s="1"/>
  <c r="S251" i="54" s="1"/>
  <c r="R250" i="54"/>
  <c r="F250" i="54"/>
  <c r="H250" i="54" s="1"/>
  <c r="K250" i="54" s="1"/>
  <c r="S250" i="54" s="1"/>
  <c r="R249" i="54"/>
  <c r="F249" i="54"/>
  <c r="H249" i="54" s="1"/>
  <c r="K249" i="54" s="1"/>
  <c r="S249" i="54" s="1"/>
  <c r="R248" i="54"/>
  <c r="F248" i="54"/>
  <c r="H248" i="54" s="1"/>
  <c r="K248" i="54" s="1"/>
  <c r="S248" i="54" s="1"/>
  <c r="R247" i="54"/>
  <c r="F247" i="54"/>
  <c r="H247" i="54" s="1"/>
  <c r="K247" i="54" s="1"/>
  <c r="S247" i="54" s="1"/>
  <c r="R246" i="54"/>
  <c r="F246" i="54"/>
  <c r="H246" i="54" s="1"/>
  <c r="K246" i="54" s="1"/>
  <c r="S246" i="54" s="1"/>
  <c r="AE245" i="54"/>
  <c r="AD245" i="54"/>
  <c r="AC245" i="54"/>
  <c r="AB245" i="54"/>
  <c r="AA245" i="54"/>
  <c r="Z245" i="54"/>
  <c r="X245" i="54"/>
  <c r="W245" i="54"/>
  <c r="U245" i="54"/>
  <c r="R245" i="54"/>
  <c r="F245" i="54"/>
  <c r="H245" i="54" s="1"/>
  <c r="K245" i="54" s="1"/>
  <c r="S245" i="54" s="1"/>
  <c r="R244" i="54"/>
  <c r="N244" i="54"/>
  <c r="L244" i="54"/>
  <c r="I244" i="54"/>
  <c r="H244" i="54"/>
  <c r="G244" i="54"/>
  <c r="U244" i="54" s="1"/>
  <c r="AD243" i="54"/>
  <c r="AB243" i="54"/>
  <c r="W243" i="54"/>
  <c r="U243" i="54"/>
  <c r="R243" i="54"/>
  <c r="AF243" i="54" s="1"/>
  <c r="F243" i="54"/>
  <c r="R242" i="54"/>
  <c r="L242" i="54"/>
  <c r="G242" i="54"/>
  <c r="K242" i="54" s="1"/>
  <c r="R241" i="54"/>
  <c r="L241" i="54"/>
  <c r="G241" i="54"/>
  <c r="K241" i="54" s="1"/>
  <c r="R240" i="54"/>
  <c r="L240" i="54"/>
  <c r="G240" i="54"/>
  <c r="Z239" i="54"/>
  <c r="U239" i="54"/>
  <c r="R239" i="54"/>
  <c r="AF239" i="54" s="1"/>
  <c r="P239" i="54"/>
  <c r="AD239" i="54" s="1"/>
  <c r="N239" i="54"/>
  <c r="AB239" i="54" s="1"/>
  <c r="I239" i="54"/>
  <c r="W239" i="54" s="1"/>
  <c r="H239" i="54"/>
  <c r="R238" i="54"/>
  <c r="K238" i="54"/>
  <c r="S238" i="54" s="1"/>
  <c r="R237" i="54"/>
  <c r="K237" i="54"/>
  <c r="S237" i="54" s="1"/>
  <c r="R236" i="54"/>
  <c r="K236" i="54"/>
  <c r="S236" i="54" s="1"/>
  <c r="R235" i="54"/>
  <c r="K235" i="54"/>
  <c r="S235" i="54" s="1"/>
  <c r="F235" i="54"/>
  <c r="R234" i="54"/>
  <c r="K234" i="54"/>
  <c r="S234" i="54" s="1"/>
  <c r="F234" i="54"/>
  <c r="R233" i="54"/>
  <c r="K233" i="54"/>
  <c r="S233" i="54" s="1"/>
  <c r="F233" i="54"/>
  <c r="R232" i="54"/>
  <c r="K232" i="54"/>
  <c r="S232" i="54" s="1"/>
  <c r="F232" i="54"/>
  <c r="R231" i="54"/>
  <c r="K231" i="54"/>
  <c r="S231" i="54" s="1"/>
  <c r="F231" i="54"/>
  <c r="R230" i="54"/>
  <c r="K230" i="54"/>
  <c r="S230" i="54" s="1"/>
  <c r="F230" i="54"/>
  <c r="R229" i="54"/>
  <c r="K229" i="54"/>
  <c r="S229" i="54" s="1"/>
  <c r="F229" i="54"/>
  <c r="R228" i="54"/>
  <c r="K228" i="54"/>
  <c r="S228" i="54" s="1"/>
  <c r="F228" i="54"/>
  <c r="R227" i="54"/>
  <c r="K227" i="54"/>
  <c r="S227" i="54" s="1"/>
  <c r="F227" i="54"/>
  <c r="R226" i="54"/>
  <c r="AF225" i="54" s="1"/>
  <c r="N226" i="54"/>
  <c r="AB225" i="54" s="1"/>
  <c r="F226" i="54"/>
  <c r="AE225" i="54"/>
  <c r="AC225" i="54"/>
  <c r="AA225" i="54"/>
  <c r="X225" i="54"/>
  <c r="U225" i="54"/>
  <c r="R225" i="54"/>
  <c r="F225" i="54"/>
  <c r="H225" i="54" s="1"/>
  <c r="K225" i="54" s="1"/>
  <c r="F224" i="54"/>
  <c r="F223" i="54"/>
  <c r="F222" i="54"/>
  <c r="F221" i="54"/>
  <c r="H221" i="54" s="1"/>
  <c r="F220" i="54"/>
  <c r="F219" i="54"/>
  <c r="O219" i="54" s="1"/>
  <c r="F218" i="54"/>
  <c r="F217" i="54"/>
  <c r="O217" i="54" s="1"/>
  <c r="F216" i="54"/>
  <c r="F215" i="54"/>
  <c r="F214" i="54"/>
  <c r="F213" i="54"/>
  <c r="N213" i="54" s="1"/>
  <c r="F212" i="54"/>
  <c r="O212" i="54" s="1"/>
  <c r="F211" i="54"/>
  <c r="F210" i="54"/>
  <c r="F209" i="54"/>
  <c r="F208" i="54"/>
  <c r="F207" i="54"/>
  <c r="F206" i="54"/>
  <c r="F205" i="54"/>
  <c r="F204" i="54"/>
  <c r="F203" i="54"/>
  <c r="F202" i="54"/>
  <c r="F201" i="54"/>
  <c r="O201" i="54" s="1"/>
  <c r="F200" i="54"/>
  <c r="F199" i="54"/>
  <c r="F198" i="54"/>
  <c r="F197" i="54"/>
  <c r="F196" i="54"/>
  <c r="F195" i="54"/>
  <c r="F194" i="54"/>
  <c r="F193" i="54"/>
  <c r="F192" i="54"/>
  <c r="F191" i="54"/>
  <c r="F190" i="54"/>
  <c r="F189" i="54"/>
  <c r="F188" i="54"/>
  <c r="F187" i="54"/>
  <c r="F186" i="54"/>
  <c r="F185" i="54"/>
  <c r="AE184" i="54"/>
  <c r="AD184" i="54"/>
  <c r="AA184" i="54"/>
  <c r="Z184" i="54"/>
  <c r="W184" i="54"/>
  <c r="U184" i="54"/>
  <c r="F184" i="54"/>
  <c r="F183" i="54"/>
  <c r="I183" i="54" s="1"/>
  <c r="F182" i="54"/>
  <c r="F181" i="54"/>
  <c r="H181" i="54" s="1"/>
  <c r="F180" i="54"/>
  <c r="J180" i="54" s="1"/>
  <c r="R180" i="54" s="1"/>
  <c r="F179" i="54"/>
  <c r="F178" i="54"/>
  <c r="L178" i="54" s="1"/>
  <c r="AE177" i="54"/>
  <c r="AC177" i="54"/>
  <c r="AB177" i="54"/>
  <c r="F177" i="54"/>
  <c r="I177" i="54" s="1"/>
  <c r="F176" i="54"/>
  <c r="H176" i="54" s="1"/>
  <c r="F175" i="54"/>
  <c r="F174" i="54"/>
  <c r="F173" i="54"/>
  <c r="F172" i="54"/>
  <c r="AE171" i="54"/>
  <c r="AD171" i="54"/>
  <c r="AA171" i="54"/>
  <c r="Z171" i="54"/>
  <c r="W171" i="54"/>
  <c r="U171" i="54"/>
  <c r="F171" i="54"/>
  <c r="F170" i="54"/>
  <c r="L170" i="54" s="1"/>
  <c r="F169" i="54"/>
  <c r="J169" i="54" s="1"/>
  <c r="AE168" i="54"/>
  <c r="AD168" i="54"/>
  <c r="AC168" i="54"/>
  <c r="N168" i="54"/>
  <c r="AB168" i="54" s="1"/>
  <c r="F168" i="54"/>
  <c r="G168" i="54" s="1"/>
  <c r="R167" i="54"/>
  <c r="AF167" i="54" s="1"/>
  <c r="N167" i="54"/>
  <c r="AB167" i="54" s="1"/>
  <c r="H167" i="54"/>
  <c r="V167" i="54" s="1"/>
  <c r="G167" i="54"/>
  <c r="R166" i="54"/>
  <c r="N166" i="54"/>
  <c r="H166" i="54"/>
  <c r="G166" i="54"/>
  <c r="R165" i="54"/>
  <c r="N165" i="54"/>
  <c r="H165" i="54"/>
  <c r="G165" i="54"/>
  <c r="R164" i="54"/>
  <c r="N164" i="54"/>
  <c r="G164" i="54"/>
  <c r="K164" i="54" s="1"/>
  <c r="R163" i="54"/>
  <c r="N163" i="54"/>
  <c r="G163" i="54"/>
  <c r="K163" i="54" s="1"/>
  <c r="AD162" i="54"/>
  <c r="Z162" i="54"/>
  <c r="R162" i="54"/>
  <c r="N162" i="54"/>
  <c r="I162" i="54"/>
  <c r="W162" i="54" s="1"/>
  <c r="G162" i="54"/>
  <c r="F161" i="54"/>
  <c r="L161" i="54" s="1"/>
  <c r="F160" i="54"/>
  <c r="L160" i="54" s="1"/>
  <c r="F159" i="54"/>
  <c r="F158" i="54"/>
  <c r="AC157" i="54"/>
  <c r="M157" i="54"/>
  <c r="AA157" i="54" s="1"/>
  <c r="F157" i="54"/>
  <c r="G157" i="54" s="1"/>
  <c r="R156" i="54"/>
  <c r="K156" i="54"/>
  <c r="S156" i="54" s="1"/>
  <c r="F156" i="54"/>
  <c r="R155" i="54"/>
  <c r="L155" i="54"/>
  <c r="H155" i="54"/>
  <c r="G155" i="54"/>
  <c r="R154" i="54"/>
  <c r="L154" i="54"/>
  <c r="H154" i="54"/>
  <c r="G154" i="54"/>
  <c r="R153" i="54"/>
  <c r="L153" i="54"/>
  <c r="H153" i="54"/>
  <c r="G153" i="54"/>
  <c r="R152" i="54"/>
  <c r="L152" i="54"/>
  <c r="H152" i="54"/>
  <c r="G152" i="54"/>
  <c r="AD151" i="54"/>
  <c r="AB151" i="54"/>
  <c r="W151" i="54"/>
  <c r="R151" i="54"/>
  <c r="L151" i="54"/>
  <c r="H151" i="54"/>
  <c r="G151" i="54"/>
  <c r="R150" i="54"/>
  <c r="F150" i="54"/>
  <c r="R149" i="54"/>
  <c r="F149" i="54"/>
  <c r="R148" i="54"/>
  <c r="F148" i="54"/>
  <c r="G148" i="54" s="1"/>
  <c r="K148" i="54" s="1"/>
  <c r="S148" i="54" s="1"/>
  <c r="R147" i="54"/>
  <c r="F147" i="54"/>
  <c r="N147" i="54" s="1"/>
  <c r="R146" i="54"/>
  <c r="F146" i="54"/>
  <c r="G146" i="54" s="1"/>
  <c r="K146" i="54" s="1"/>
  <c r="S146" i="54" s="1"/>
  <c r="AE145" i="54"/>
  <c r="AD145" i="54"/>
  <c r="AC145" i="54"/>
  <c r="AA145" i="54"/>
  <c r="Z145" i="54"/>
  <c r="X145" i="54"/>
  <c r="W145" i="54"/>
  <c r="V145" i="54"/>
  <c r="R145" i="54"/>
  <c r="F145" i="54"/>
  <c r="N145" i="54" s="1"/>
  <c r="R144" i="54"/>
  <c r="F144" i="54"/>
  <c r="L144" i="54" s="1"/>
  <c r="Z144" i="54" s="1"/>
  <c r="AE143" i="54"/>
  <c r="AD143" i="54"/>
  <c r="AC143" i="54"/>
  <c r="AB143" i="54"/>
  <c r="AA143" i="54"/>
  <c r="Z143" i="54"/>
  <c r="X143" i="54"/>
  <c r="W143" i="54"/>
  <c r="R143" i="54"/>
  <c r="AF143" i="54" s="1"/>
  <c r="F143" i="54"/>
  <c r="H143" i="54" s="1"/>
  <c r="V143" i="54" s="1"/>
  <c r="R142" i="54"/>
  <c r="H142" i="54"/>
  <c r="V142" i="54" s="1"/>
  <c r="G142" i="54"/>
  <c r="R141" i="54"/>
  <c r="G141" i="54"/>
  <c r="F141" i="54"/>
  <c r="H141" i="54" s="1"/>
  <c r="V141" i="54" s="1"/>
  <c r="R140" i="54"/>
  <c r="K140" i="54"/>
  <c r="S140" i="54" s="1"/>
  <c r="R139" i="54"/>
  <c r="L139" i="54"/>
  <c r="H139" i="54"/>
  <c r="G139" i="54"/>
  <c r="R138" i="54"/>
  <c r="L138" i="54"/>
  <c r="H138" i="54"/>
  <c r="G138" i="54"/>
  <c r="R137" i="54"/>
  <c r="L137" i="54"/>
  <c r="H137" i="54"/>
  <c r="G137" i="54"/>
  <c r="R136" i="54"/>
  <c r="L136" i="54"/>
  <c r="H136" i="54"/>
  <c r="G136" i="54"/>
  <c r="AD135" i="54"/>
  <c r="AB135" i="54"/>
  <c r="W135" i="54"/>
  <c r="R135" i="54"/>
  <c r="L135" i="54"/>
  <c r="H135" i="54"/>
  <c r="G135" i="54"/>
  <c r="R134" i="54"/>
  <c r="AF134" i="54" s="1"/>
  <c r="P134" i="54"/>
  <c r="AD134" i="54" s="1"/>
  <c r="L134" i="54"/>
  <c r="Z134" i="54" s="1"/>
  <c r="I134" i="54"/>
  <c r="W134" i="54" s="1"/>
  <c r="F134" i="54"/>
  <c r="G134" i="54" s="1"/>
  <c r="U134" i="54" s="1"/>
  <c r="F133" i="54"/>
  <c r="G133" i="54" s="1"/>
  <c r="F132" i="54"/>
  <c r="F131" i="54"/>
  <c r="F130" i="54"/>
  <c r="M130" i="54" s="1"/>
  <c r="F129" i="54"/>
  <c r="H129" i="54" s="1"/>
  <c r="F128" i="54"/>
  <c r="F127" i="54"/>
  <c r="L127" i="54" s="1"/>
  <c r="AE126" i="54"/>
  <c r="AD126" i="54"/>
  <c r="AC126" i="54"/>
  <c r="AB126" i="54"/>
  <c r="I126" i="54"/>
  <c r="W126" i="54" s="1"/>
  <c r="F126" i="54"/>
  <c r="F125" i="54"/>
  <c r="N125" i="54" s="1"/>
  <c r="F124" i="54"/>
  <c r="O124" i="54" s="1"/>
  <c r="F123" i="54"/>
  <c r="O123" i="54" s="1"/>
  <c r="F122" i="54"/>
  <c r="N122" i="54" s="1"/>
  <c r="F121" i="54"/>
  <c r="P121" i="54" s="1"/>
  <c r="R120" i="54"/>
  <c r="AF120" i="54" s="1"/>
  <c r="F120" i="54"/>
  <c r="H120" i="54" s="1"/>
  <c r="R119" i="54"/>
  <c r="G119" i="54"/>
  <c r="F119" i="54"/>
  <c r="H119" i="54" s="1"/>
  <c r="R118" i="54"/>
  <c r="G118" i="54"/>
  <c r="F118" i="54"/>
  <c r="R117" i="54"/>
  <c r="G117" i="54"/>
  <c r="F117" i="54"/>
  <c r="R116" i="54"/>
  <c r="G116" i="54"/>
  <c r="F116" i="54"/>
  <c r="AD115" i="54"/>
  <c r="AB115" i="54"/>
  <c r="W115" i="54"/>
  <c r="R115" i="54"/>
  <c r="G115" i="54"/>
  <c r="F115" i="54"/>
  <c r="R114" i="54"/>
  <c r="K114" i="54"/>
  <c r="S114" i="54" s="1"/>
  <c r="F114" i="54"/>
  <c r="F113" i="54"/>
  <c r="N113" i="54" s="1"/>
  <c r="F112" i="54"/>
  <c r="H112" i="54" s="1"/>
  <c r="F111" i="54"/>
  <c r="F110" i="54"/>
  <c r="M110" i="54" s="1"/>
  <c r="W109" i="54"/>
  <c r="Q109" i="54"/>
  <c r="F109" i="54"/>
  <c r="R108" i="54"/>
  <c r="F108" i="54"/>
  <c r="I108" i="54" s="1"/>
  <c r="R107" i="54"/>
  <c r="F107" i="54"/>
  <c r="R106" i="54"/>
  <c r="F106" i="54"/>
  <c r="R105" i="54"/>
  <c r="F105" i="54"/>
  <c r="P105" i="54" s="1"/>
  <c r="AB104" i="54"/>
  <c r="R104" i="54"/>
  <c r="F104" i="54"/>
  <c r="L104" i="54" s="1"/>
  <c r="AE103" i="54"/>
  <c r="AD103" i="54"/>
  <c r="AC103" i="54"/>
  <c r="AA103" i="54"/>
  <c r="Z103" i="54"/>
  <c r="W103" i="54"/>
  <c r="F103" i="54"/>
  <c r="R102" i="54"/>
  <c r="AF102" i="54" s="1"/>
  <c r="H102" i="54"/>
  <c r="V102" i="54" s="1"/>
  <c r="G102" i="54"/>
  <c r="F101" i="54"/>
  <c r="H101" i="54" s="1"/>
  <c r="F100" i="54"/>
  <c r="F99" i="54"/>
  <c r="F98" i="54"/>
  <c r="F97" i="54"/>
  <c r="H97" i="54" s="1"/>
  <c r="F96" i="54"/>
  <c r="O96" i="54" s="1"/>
  <c r="F95" i="54"/>
  <c r="F94" i="54"/>
  <c r="P94" i="54" s="1"/>
  <c r="F93" i="54"/>
  <c r="J93" i="54" s="1"/>
  <c r="F92" i="54"/>
  <c r="AE91" i="54"/>
  <c r="F91" i="54"/>
  <c r="M91" i="54" s="1"/>
  <c r="F90" i="54"/>
  <c r="F89" i="54"/>
  <c r="L89" i="54" s="1"/>
  <c r="F88" i="54"/>
  <c r="F87" i="54"/>
  <c r="J87" i="54" s="1"/>
  <c r="F86" i="54"/>
  <c r="L86" i="54" s="1"/>
  <c r="AC85" i="54"/>
  <c r="AB85" i="54"/>
  <c r="W85" i="54"/>
  <c r="F85" i="54"/>
  <c r="F84" i="54"/>
  <c r="J84" i="54" s="1"/>
  <c r="F83" i="54"/>
  <c r="G83" i="54" s="1"/>
  <c r="F82" i="54"/>
  <c r="M82" i="54" s="1"/>
  <c r="F81" i="54"/>
  <c r="AE80" i="54"/>
  <c r="AD80" i="54"/>
  <c r="Z80" i="54"/>
  <c r="F80" i="54"/>
  <c r="F79" i="54"/>
  <c r="F78" i="54"/>
  <c r="J78" i="54" s="1"/>
  <c r="F77" i="54"/>
  <c r="F76" i="54"/>
  <c r="J76" i="54" s="1"/>
  <c r="AE75" i="54"/>
  <c r="AD75" i="54"/>
  <c r="AA75" i="54"/>
  <c r="Z75" i="54"/>
  <c r="W75" i="54"/>
  <c r="U75" i="54"/>
  <c r="F75" i="54"/>
  <c r="F74" i="54"/>
  <c r="AG73" i="54"/>
  <c r="F73" i="54"/>
  <c r="L73" i="54" s="1"/>
  <c r="P72" i="54"/>
  <c r="I72" i="54"/>
  <c r="W71" i="54" s="1"/>
  <c r="F72" i="54"/>
  <c r="J72" i="54" s="1"/>
  <c r="R72" i="54" s="1"/>
  <c r="AE71" i="54"/>
  <c r="AC71" i="54"/>
  <c r="AA71" i="54"/>
  <c r="F71" i="54"/>
  <c r="R70" i="54"/>
  <c r="K70" i="54"/>
  <c r="S70" i="54" s="1"/>
  <c r="AE69" i="54"/>
  <c r="AD69" i="54"/>
  <c r="AC69" i="54"/>
  <c r="AB69" i="54"/>
  <c r="AA69" i="54"/>
  <c r="Z69" i="54"/>
  <c r="X69" i="54"/>
  <c r="W69" i="54"/>
  <c r="V69" i="54"/>
  <c r="U69" i="54"/>
  <c r="R69" i="54"/>
  <c r="K69" i="54"/>
  <c r="S69" i="54" s="1"/>
  <c r="AE68" i="54"/>
  <c r="AD68" i="54"/>
  <c r="AC68" i="54"/>
  <c r="AA68" i="54"/>
  <c r="Z68" i="54"/>
  <c r="X68" i="54"/>
  <c r="W68" i="54"/>
  <c r="R68" i="54"/>
  <c r="AF68" i="54" s="1"/>
  <c r="G68" i="54"/>
  <c r="F68" i="54"/>
  <c r="H68" i="54" s="1"/>
  <c r="V68" i="54" s="1"/>
  <c r="R67" i="54"/>
  <c r="F67" i="54"/>
  <c r="G67" i="54" s="1"/>
  <c r="K67" i="54" s="1"/>
  <c r="R66" i="54"/>
  <c r="F66" i="54"/>
  <c r="G66" i="54" s="1"/>
  <c r="K66" i="54" s="1"/>
  <c r="R65" i="54"/>
  <c r="F65" i="54"/>
  <c r="G65" i="54" s="1"/>
  <c r="R64" i="54"/>
  <c r="F64" i="54"/>
  <c r="AE63" i="54"/>
  <c r="AC63" i="54"/>
  <c r="AA63" i="54"/>
  <c r="Z63" i="54"/>
  <c r="X63" i="54"/>
  <c r="V63" i="54"/>
  <c r="R63" i="54"/>
  <c r="F63" i="54"/>
  <c r="R62" i="54"/>
  <c r="F62" i="54"/>
  <c r="H62" i="54" s="1"/>
  <c r="R61" i="54"/>
  <c r="F61" i="54"/>
  <c r="G61" i="54" s="1"/>
  <c r="R60" i="54"/>
  <c r="F60" i="54"/>
  <c r="R59" i="54"/>
  <c r="F59" i="54"/>
  <c r="L59" i="54" s="1"/>
  <c r="R58" i="54"/>
  <c r="F58" i="54"/>
  <c r="AD57" i="54"/>
  <c r="AB57" i="54"/>
  <c r="W57" i="54"/>
  <c r="R57" i="54"/>
  <c r="F57" i="54"/>
  <c r="R56" i="54"/>
  <c r="F56" i="54"/>
  <c r="R55" i="54"/>
  <c r="H55" i="54"/>
  <c r="F55" i="54"/>
  <c r="R54" i="54"/>
  <c r="F54" i="54"/>
  <c r="H54" i="54" s="1"/>
  <c r="R53" i="54"/>
  <c r="F53" i="54"/>
  <c r="H53" i="54" s="1"/>
  <c r="R52" i="54"/>
  <c r="F52" i="54"/>
  <c r="AE51" i="54"/>
  <c r="AD51" i="54"/>
  <c r="AC51" i="54"/>
  <c r="AA51" i="54"/>
  <c r="Z51" i="54"/>
  <c r="X51" i="54"/>
  <c r="W51" i="54"/>
  <c r="R51" i="54"/>
  <c r="F51" i="54"/>
  <c r="R50" i="54"/>
  <c r="AF50" i="54" s="1"/>
  <c r="L50" i="54"/>
  <c r="Z50" i="54" s="1"/>
  <c r="H50" i="54"/>
  <c r="V50" i="54" s="1"/>
  <c r="G50" i="54"/>
  <c r="F49" i="54"/>
  <c r="F48" i="54"/>
  <c r="L48" i="54" s="1"/>
  <c r="F47" i="54"/>
  <c r="J47" i="54" s="1"/>
  <c r="F46" i="54"/>
  <c r="L46" i="54" s="1"/>
  <c r="AE45" i="54"/>
  <c r="AD45" i="54"/>
  <c r="W45" i="54"/>
  <c r="V45" i="54"/>
  <c r="F45" i="54"/>
  <c r="R44" i="54"/>
  <c r="L44" i="54"/>
  <c r="G44" i="54"/>
  <c r="K44" i="54" s="1"/>
  <c r="R43" i="54"/>
  <c r="L43" i="54"/>
  <c r="G43" i="54"/>
  <c r="K43" i="54" s="1"/>
  <c r="R42" i="54"/>
  <c r="L42" i="54"/>
  <c r="G42" i="54"/>
  <c r="K42" i="54" s="1"/>
  <c r="R41" i="54"/>
  <c r="L41" i="54"/>
  <c r="G41" i="54"/>
  <c r="K41" i="54" s="1"/>
  <c r="AD40" i="54"/>
  <c r="AB40" i="54"/>
  <c r="W40" i="54"/>
  <c r="V40" i="54"/>
  <c r="R40" i="54"/>
  <c r="L40" i="54"/>
  <c r="G40" i="54"/>
  <c r="F39" i="54"/>
  <c r="S39" i="54" s="1"/>
  <c r="F38" i="54"/>
  <c r="S38" i="54" s="1"/>
  <c r="F37" i="54"/>
  <c r="S37" i="54" s="1"/>
  <c r="AG37" i="54" s="1"/>
  <c r="J36" i="54"/>
  <c r="F36" i="54"/>
  <c r="F35" i="54"/>
  <c r="H35" i="54" s="1"/>
  <c r="F34" i="54"/>
  <c r="O34" i="54" s="1"/>
  <c r="F33" i="54"/>
  <c r="J33" i="54" s="1"/>
  <c r="F32" i="54"/>
  <c r="F31" i="54"/>
  <c r="F30" i="54"/>
  <c r="O30" i="54" s="1"/>
  <c r="AE29" i="54"/>
  <c r="AD29" i="54"/>
  <c r="F29" i="54"/>
  <c r="R28" i="54"/>
  <c r="F28" i="54"/>
  <c r="N28" i="54" s="1"/>
  <c r="R27" i="54"/>
  <c r="F27" i="54"/>
  <c r="N27" i="54" s="1"/>
  <c r="R26" i="54"/>
  <c r="L26" i="54"/>
  <c r="F26" i="54"/>
  <c r="H26" i="54" s="1"/>
  <c r="R25" i="54"/>
  <c r="F25" i="54"/>
  <c r="G25" i="54" s="1"/>
  <c r="AE24" i="54"/>
  <c r="AD24" i="54"/>
  <c r="AA24" i="54"/>
  <c r="Z24" i="54"/>
  <c r="W24" i="54"/>
  <c r="F24" i="54"/>
  <c r="J24" i="54" s="1"/>
  <c r="X24" i="54" s="1"/>
  <c r="R23" i="54"/>
  <c r="K23" i="54"/>
  <c r="S23" i="54" s="1"/>
  <c r="F23" i="54"/>
  <c r="R22" i="54"/>
  <c r="K22" i="54"/>
  <c r="S22" i="54" s="1"/>
  <c r="F22" i="54"/>
  <c r="R21" i="54"/>
  <c r="K21" i="54"/>
  <c r="S21" i="54" s="1"/>
  <c r="F21" i="54"/>
  <c r="R20" i="54"/>
  <c r="F20" i="54"/>
  <c r="H20" i="54" s="1"/>
  <c r="R19" i="54"/>
  <c r="F19" i="54"/>
  <c r="R18" i="54"/>
  <c r="F18" i="54"/>
  <c r="R17" i="54"/>
  <c r="F17" i="54"/>
  <c r="L17" i="54" s="1"/>
  <c r="R16" i="54"/>
  <c r="K16" i="54"/>
  <c r="S16" i="54" s="1"/>
  <c r="F16" i="54"/>
  <c r="AE15" i="54"/>
  <c r="AD15" i="54"/>
  <c r="AC15" i="54"/>
  <c r="AB15" i="54"/>
  <c r="AA15" i="54"/>
  <c r="X15" i="54"/>
  <c r="W15" i="54"/>
  <c r="R15" i="54"/>
  <c r="F15" i="54"/>
  <c r="L15" i="54" s="1"/>
  <c r="AE14" i="54"/>
  <c r="AD14" i="54"/>
  <c r="AC14" i="54"/>
  <c r="AB14" i="54"/>
  <c r="I14" i="54"/>
  <c r="W14" i="54" s="1"/>
  <c r="H14" i="54"/>
  <c r="V14" i="54" s="1"/>
  <c r="F14" i="54"/>
  <c r="L14" i="54" s="1"/>
  <c r="Z14" i="54" s="1"/>
  <c r="F13" i="54"/>
  <c r="S13" i="54" s="1"/>
  <c r="F12" i="54"/>
  <c r="S12" i="54" s="1"/>
  <c r="F11" i="54"/>
  <c r="S11" i="54" s="1"/>
  <c r="F10" i="54"/>
  <c r="S10" i="54" s="1"/>
  <c r="F9" i="54"/>
  <c r="S9" i="54" s="1"/>
  <c r="F8" i="54"/>
  <c r="S8" i="54" s="1"/>
  <c r="U7" i="54"/>
  <c r="F7" i="54"/>
  <c r="S7" i="54" s="1"/>
  <c r="R495" i="53"/>
  <c r="S495" i="53" s="1"/>
  <c r="M495" i="53"/>
  <c r="R494" i="53"/>
  <c r="S494" i="53" s="1"/>
  <c r="M494" i="53"/>
  <c r="R493" i="53"/>
  <c r="S493" i="53" s="1"/>
  <c r="M493" i="53"/>
  <c r="R492" i="53"/>
  <c r="S492" i="53" s="1"/>
  <c r="M492" i="53"/>
  <c r="R491" i="53"/>
  <c r="S491" i="53" s="1"/>
  <c r="M491" i="53"/>
  <c r="R490" i="53"/>
  <c r="S490" i="53" s="1"/>
  <c r="M490" i="53"/>
  <c r="R489" i="53"/>
  <c r="S489" i="53" s="1"/>
  <c r="M489" i="53"/>
  <c r="N488" i="53"/>
  <c r="M488" i="53"/>
  <c r="N487" i="53"/>
  <c r="M487" i="53"/>
  <c r="N486" i="53"/>
  <c r="M486" i="53"/>
  <c r="N485" i="53"/>
  <c r="M485" i="53"/>
  <c r="N484" i="53"/>
  <c r="M484" i="53"/>
  <c r="N483" i="53"/>
  <c r="M483" i="53"/>
  <c r="N482" i="53"/>
  <c r="M482" i="53"/>
  <c r="N481" i="53"/>
  <c r="M481" i="53"/>
  <c r="N480" i="53"/>
  <c r="M480" i="53"/>
  <c r="N479" i="53"/>
  <c r="M479" i="53"/>
  <c r="N478" i="53"/>
  <c r="M478" i="53"/>
  <c r="N477" i="53"/>
  <c r="M477" i="53"/>
  <c r="N476" i="53"/>
  <c r="M476" i="53"/>
  <c r="N475" i="53"/>
  <c r="M475" i="53"/>
  <c r="N474" i="53"/>
  <c r="M474" i="53"/>
  <c r="N473" i="53"/>
  <c r="M473" i="53"/>
  <c r="N472" i="53"/>
  <c r="M472" i="53"/>
  <c r="N471" i="53"/>
  <c r="M471" i="53"/>
  <c r="N470" i="53"/>
  <c r="M470" i="53"/>
  <c r="N469" i="53"/>
  <c r="M469" i="53"/>
  <c r="N468" i="53"/>
  <c r="M468" i="53"/>
  <c r="N467" i="53"/>
  <c r="M467" i="53"/>
  <c r="N466" i="53"/>
  <c r="M466" i="53"/>
  <c r="N465" i="53"/>
  <c r="M465" i="53"/>
  <c r="N464" i="53"/>
  <c r="M464" i="53"/>
  <c r="N463" i="53"/>
  <c r="M463" i="53"/>
  <c r="N462" i="53"/>
  <c r="M462" i="53"/>
  <c r="N461" i="53"/>
  <c r="M461" i="53"/>
  <c r="N460" i="53"/>
  <c r="M460" i="53"/>
  <c r="N459" i="53"/>
  <c r="M459" i="53"/>
  <c r="N458" i="53"/>
  <c r="M458" i="53"/>
  <c r="N457" i="53"/>
  <c r="M457" i="53"/>
  <c r="N456" i="53"/>
  <c r="M456" i="53"/>
  <c r="N455" i="53"/>
  <c r="M455" i="53"/>
  <c r="N454" i="53"/>
  <c r="M454" i="53"/>
  <c r="N453" i="53"/>
  <c r="M453" i="53"/>
  <c r="N452" i="53"/>
  <c r="M452" i="53"/>
  <c r="N451" i="53"/>
  <c r="M451" i="53"/>
  <c r="N450" i="53"/>
  <c r="M450" i="53"/>
  <c r="N449" i="53"/>
  <c r="M449" i="53"/>
  <c r="N448" i="53"/>
  <c r="M448" i="53"/>
  <c r="N447" i="53"/>
  <c r="M447" i="53"/>
  <c r="N446" i="53"/>
  <c r="M446" i="53"/>
  <c r="N445" i="53"/>
  <c r="M445" i="53"/>
  <c r="N444" i="53"/>
  <c r="M444" i="53"/>
  <c r="N443" i="53"/>
  <c r="M443" i="53"/>
  <c r="N442" i="53"/>
  <c r="M442" i="53"/>
  <c r="N441" i="53"/>
  <c r="M441" i="53"/>
  <c r="N440" i="53"/>
  <c r="M440" i="53"/>
  <c r="N439" i="53"/>
  <c r="M439" i="53"/>
  <c r="N438" i="53"/>
  <c r="M438" i="53"/>
  <c r="N437" i="53"/>
  <c r="M437" i="53"/>
  <c r="N436" i="53"/>
  <c r="M436" i="53"/>
  <c r="N435" i="53"/>
  <c r="M435" i="53"/>
  <c r="N434" i="53"/>
  <c r="M434" i="53"/>
  <c r="N433" i="53"/>
  <c r="M433" i="53"/>
  <c r="N432" i="53"/>
  <c r="M432" i="53"/>
  <c r="N431" i="53"/>
  <c r="M431" i="53"/>
  <c r="N430" i="53"/>
  <c r="M430" i="53"/>
  <c r="N429" i="53"/>
  <c r="M429" i="53"/>
  <c r="N428" i="53"/>
  <c r="M428" i="53"/>
  <c r="N427" i="53"/>
  <c r="M427" i="53"/>
  <c r="N426" i="53"/>
  <c r="M426" i="53"/>
  <c r="N425" i="53"/>
  <c r="M425" i="53"/>
  <c r="N424" i="53"/>
  <c r="M424" i="53"/>
  <c r="N423" i="53"/>
  <c r="M423" i="53"/>
  <c r="N422" i="53"/>
  <c r="M422" i="53"/>
  <c r="N421" i="53"/>
  <c r="M421" i="53"/>
  <c r="N420" i="53"/>
  <c r="M420" i="53"/>
  <c r="N419" i="53"/>
  <c r="M419" i="53"/>
  <c r="N418" i="53"/>
  <c r="M418" i="53"/>
  <c r="N417" i="53"/>
  <c r="M417" i="53"/>
  <c r="N416" i="53"/>
  <c r="M416" i="53"/>
  <c r="N415" i="53"/>
  <c r="M415" i="53"/>
  <c r="N414" i="53"/>
  <c r="M414" i="53"/>
  <c r="N413" i="53"/>
  <c r="M413" i="53"/>
  <c r="N412" i="53"/>
  <c r="M412" i="53"/>
  <c r="N411" i="53"/>
  <c r="M411" i="53"/>
  <c r="N410" i="53"/>
  <c r="M410" i="53"/>
  <c r="N409" i="53"/>
  <c r="M409" i="53"/>
  <c r="N408" i="53"/>
  <c r="M408" i="53"/>
  <c r="N407" i="53"/>
  <c r="M407" i="53"/>
  <c r="N406" i="53"/>
  <c r="M406" i="53"/>
  <c r="N405" i="53"/>
  <c r="M405" i="53"/>
  <c r="N404" i="53"/>
  <c r="M404" i="53"/>
  <c r="N403" i="53"/>
  <c r="M403" i="53"/>
  <c r="N402" i="53"/>
  <c r="M402" i="53"/>
  <c r="N401" i="53"/>
  <c r="M401" i="53"/>
  <c r="N400" i="53"/>
  <c r="M400" i="53"/>
  <c r="N399" i="53"/>
  <c r="M399" i="53"/>
  <c r="N398" i="53"/>
  <c r="M398" i="53"/>
  <c r="N397" i="53"/>
  <c r="M397" i="53"/>
  <c r="N396" i="53"/>
  <c r="M396" i="53"/>
  <c r="N395" i="53"/>
  <c r="M395" i="53"/>
  <c r="N394" i="53"/>
  <c r="M394" i="53"/>
  <c r="N393" i="53"/>
  <c r="M393" i="53"/>
  <c r="N392" i="53"/>
  <c r="M392" i="53"/>
  <c r="N391" i="53"/>
  <c r="M391" i="53"/>
  <c r="N390" i="53"/>
  <c r="M390" i="53"/>
  <c r="N389" i="53"/>
  <c r="M389" i="53"/>
  <c r="N388" i="53"/>
  <c r="M388" i="53"/>
  <c r="N387" i="53"/>
  <c r="M387" i="53"/>
  <c r="N386" i="53"/>
  <c r="M386" i="53"/>
  <c r="N385" i="53"/>
  <c r="M385" i="53"/>
  <c r="N384" i="53"/>
  <c r="M384" i="53"/>
  <c r="N383" i="53"/>
  <c r="M383" i="53"/>
  <c r="N382" i="53"/>
  <c r="M382" i="53"/>
  <c r="N381" i="53"/>
  <c r="M381" i="53"/>
  <c r="N380" i="53"/>
  <c r="M380" i="53"/>
  <c r="N379" i="53"/>
  <c r="M379" i="53"/>
  <c r="N378" i="53"/>
  <c r="M378" i="53"/>
  <c r="N377" i="53"/>
  <c r="M377" i="53"/>
  <c r="N376" i="53"/>
  <c r="M376" i="53"/>
  <c r="N375" i="53"/>
  <c r="M375" i="53"/>
  <c r="N374" i="53"/>
  <c r="M374" i="53"/>
  <c r="N373" i="53"/>
  <c r="M373" i="53"/>
  <c r="N372" i="53"/>
  <c r="M372" i="53"/>
  <c r="N371" i="53"/>
  <c r="M371" i="53"/>
  <c r="N370" i="53"/>
  <c r="M370" i="53"/>
  <c r="N369" i="53"/>
  <c r="M369" i="53"/>
  <c r="N368" i="53"/>
  <c r="M368" i="53"/>
  <c r="N367" i="53"/>
  <c r="M367" i="53"/>
  <c r="N366" i="53"/>
  <c r="M366" i="53"/>
  <c r="N365" i="53"/>
  <c r="M365" i="53"/>
  <c r="N364" i="53"/>
  <c r="M364" i="53"/>
  <c r="N363" i="53"/>
  <c r="M363" i="53"/>
  <c r="N362" i="53"/>
  <c r="M362" i="53"/>
  <c r="N361" i="53"/>
  <c r="M361" i="53"/>
  <c r="N360" i="53"/>
  <c r="M360" i="53"/>
  <c r="N359" i="53"/>
  <c r="M359" i="53"/>
  <c r="N358" i="53"/>
  <c r="M358" i="53"/>
  <c r="N357" i="53"/>
  <c r="M357" i="53"/>
  <c r="N356" i="53"/>
  <c r="M356" i="53"/>
  <c r="N355" i="53"/>
  <c r="M355" i="53"/>
  <c r="N354" i="53"/>
  <c r="M354" i="53"/>
  <c r="N353" i="53"/>
  <c r="M353" i="53"/>
  <c r="N352" i="53"/>
  <c r="M352" i="53"/>
  <c r="N351" i="53"/>
  <c r="M351" i="53"/>
  <c r="N350" i="53"/>
  <c r="M350" i="53"/>
  <c r="N349" i="53"/>
  <c r="M349" i="53"/>
  <c r="N348" i="53"/>
  <c r="M348" i="53"/>
  <c r="N347" i="53"/>
  <c r="M347" i="53"/>
  <c r="N346" i="53"/>
  <c r="M346" i="53"/>
  <c r="N345" i="53"/>
  <c r="M345" i="53"/>
  <c r="N344" i="53"/>
  <c r="M344" i="53"/>
  <c r="N343" i="53"/>
  <c r="M343" i="53"/>
  <c r="N342" i="53"/>
  <c r="M342" i="53"/>
  <c r="N341" i="53"/>
  <c r="M341" i="53"/>
  <c r="N340" i="53"/>
  <c r="M340" i="53"/>
  <c r="N339" i="53"/>
  <c r="M339" i="53"/>
  <c r="N338" i="53"/>
  <c r="M338" i="53"/>
  <c r="N337" i="53"/>
  <c r="M337" i="53"/>
  <c r="N336" i="53"/>
  <c r="M336" i="53"/>
  <c r="N335" i="53"/>
  <c r="M335" i="53"/>
  <c r="N334" i="53"/>
  <c r="M334" i="53"/>
  <c r="N333" i="53"/>
  <c r="M333" i="53"/>
  <c r="N332" i="53"/>
  <c r="M332" i="53"/>
  <c r="N331" i="53"/>
  <c r="M331" i="53"/>
  <c r="N330" i="53"/>
  <c r="M330" i="53"/>
  <c r="N329" i="53"/>
  <c r="M329" i="53"/>
  <c r="N328" i="53"/>
  <c r="M328" i="53"/>
  <c r="N327" i="53"/>
  <c r="M327" i="53"/>
  <c r="N326" i="53"/>
  <c r="M326" i="53"/>
  <c r="N325" i="53"/>
  <c r="M325" i="53"/>
  <c r="N324" i="53"/>
  <c r="M324" i="53"/>
  <c r="N323" i="53"/>
  <c r="M323" i="53"/>
  <c r="R322" i="53"/>
  <c r="S322" i="53" s="1"/>
  <c r="R321" i="53"/>
  <c r="S321" i="53" s="1"/>
  <c r="R320" i="53"/>
  <c r="S320" i="53" s="1"/>
  <c r="N319" i="53"/>
  <c r="M319" i="53"/>
  <c r="N318" i="53"/>
  <c r="M318" i="53"/>
  <c r="N317" i="53"/>
  <c r="M317" i="53"/>
  <c r="N316" i="53"/>
  <c r="M316" i="53"/>
  <c r="N315" i="53"/>
  <c r="M315" i="53"/>
  <c r="N314" i="53"/>
  <c r="M314" i="53"/>
  <c r="N313" i="53"/>
  <c r="M313" i="53"/>
  <c r="N312" i="53"/>
  <c r="M312" i="53"/>
  <c r="N311" i="53"/>
  <c r="M311" i="53"/>
  <c r="N310" i="53"/>
  <c r="M310" i="53"/>
  <c r="N309" i="53"/>
  <c r="M309" i="53"/>
  <c r="N308" i="53"/>
  <c r="M308" i="53"/>
  <c r="N307" i="53"/>
  <c r="M307" i="53"/>
  <c r="N306" i="53"/>
  <c r="M306" i="53"/>
  <c r="N305" i="53"/>
  <c r="M305" i="53"/>
  <c r="R304" i="53"/>
  <c r="S304" i="53" s="1"/>
  <c r="R303" i="53"/>
  <c r="S303" i="53" s="1"/>
  <c r="R302" i="53"/>
  <c r="S302" i="53" s="1"/>
  <c r="R301" i="53"/>
  <c r="S301" i="53" s="1"/>
  <c r="R300" i="53"/>
  <c r="S300" i="53" s="1"/>
  <c r="R299" i="53"/>
  <c r="S299" i="53" s="1"/>
  <c r="R298" i="53"/>
  <c r="S298" i="53" s="1"/>
  <c r="S293" i="53"/>
  <c r="R293" i="53"/>
  <c r="F293" i="53"/>
  <c r="S292" i="53"/>
  <c r="R292" i="53"/>
  <c r="F292" i="53"/>
  <c r="N292" i="53" s="1"/>
  <c r="S291" i="53"/>
  <c r="R291" i="53"/>
  <c r="F291" i="53"/>
  <c r="Z290" i="53"/>
  <c r="W290" i="53"/>
  <c r="S290" i="53"/>
  <c r="R290" i="53"/>
  <c r="AF290" i="53" s="1"/>
  <c r="F290" i="53"/>
  <c r="N290" i="53" s="1"/>
  <c r="S289" i="53"/>
  <c r="S288" i="53"/>
  <c r="S287" i="53"/>
  <c r="S286" i="53"/>
  <c r="S285" i="53"/>
  <c r="S284" i="53"/>
  <c r="AD283" i="53"/>
  <c r="AB283" i="53"/>
  <c r="W283" i="53"/>
  <c r="V283" i="53"/>
  <c r="U283" i="53"/>
  <c r="S283" i="53"/>
  <c r="R282" i="53"/>
  <c r="F282" i="53"/>
  <c r="N282" i="53" s="1"/>
  <c r="S282" i="53" s="1"/>
  <c r="R281" i="53"/>
  <c r="F281" i="53"/>
  <c r="N281" i="53" s="1"/>
  <c r="R280" i="53"/>
  <c r="F280" i="53"/>
  <c r="R279" i="53"/>
  <c r="F279" i="53"/>
  <c r="N279" i="53" s="1"/>
  <c r="AE278" i="53"/>
  <c r="AD278" i="53"/>
  <c r="AC278" i="53"/>
  <c r="AA278" i="53"/>
  <c r="Z278" i="53"/>
  <c r="X278" i="53"/>
  <c r="W278" i="53"/>
  <c r="R278" i="53"/>
  <c r="F278" i="53"/>
  <c r="N278" i="53" s="1"/>
  <c r="F277" i="53"/>
  <c r="M276" i="53"/>
  <c r="F276" i="53"/>
  <c r="F275" i="53"/>
  <c r="L275" i="53" s="1"/>
  <c r="AE274" i="53"/>
  <c r="AD274" i="53"/>
  <c r="AC274" i="53"/>
  <c r="AB274" i="53"/>
  <c r="W274" i="53"/>
  <c r="F274" i="53"/>
  <c r="L274" i="53" s="1"/>
  <c r="F273" i="53"/>
  <c r="F272" i="53"/>
  <c r="AE271" i="53"/>
  <c r="AA271" i="53"/>
  <c r="Z271" i="53"/>
  <c r="V271" i="53"/>
  <c r="F271" i="53"/>
  <c r="O271" i="53" s="1"/>
  <c r="R270" i="53"/>
  <c r="S270" i="53"/>
  <c r="R269" i="53"/>
  <c r="F269" i="53"/>
  <c r="N269" i="53" s="1"/>
  <c r="AB269" i="53" s="1"/>
  <c r="R268" i="53"/>
  <c r="S268" i="53"/>
  <c r="F268" i="53"/>
  <c r="M267" i="53"/>
  <c r="L267" i="53"/>
  <c r="F267" i="53"/>
  <c r="F266" i="53"/>
  <c r="M266" i="53" s="1"/>
  <c r="F265" i="53"/>
  <c r="M265" i="53" s="1"/>
  <c r="F264" i="53"/>
  <c r="AE263" i="53"/>
  <c r="AD263" i="53"/>
  <c r="AC263" i="53"/>
  <c r="AB263" i="53"/>
  <c r="W263" i="53"/>
  <c r="F263" i="53"/>
  <c r="L263" i="53" s="1"/>
  <c r="M262" i="53"/>
  <c r="R262" i="53" s="1"/>
  <c r="F262" i="53"/>
  <c r="F261" i="53"/>
  <c r="F260" i="53"/>
  <c r="L260" i="53" s="1"/>
  <c r="F259" i="53"/>
  <c r="L259" i="53" s="1"/>
  <c r="AE258" i="53"/>
  <c r="AD258" i="53"/>
  <c r="AC258" i="53"/>
  <c r="AB258" i="53"/>
  <c r="W258" i="53"/>
  <c r="F258" i="53"/>
  <c r="F257" i="53"/>
  <c r="N257" i="53" s="1"/>
  <c r="F256" i="53"/>
  <c r="F255" i="53"/>
  <c r="O255" i="53" s="1"/>
  <c r="F254" i="53"/>
  <c r="N254" i="53" s="1"/>
  <c r="AE253" i="53"/>
  <c r="AD253" i="53"/>
  <c r="W253" i="53"/>
  <c r="U253" i="53"/>
  <c r="F253" i="53"/>
  <c r="M253" i="53" s="1"/>
  <c r="S252" i="53"/>
  <c r="R252" i="53"/>
  <c r="F252" i="53"/>
  <c r="R251" i="53"/>
  <c r="S251" i="53"/>
  <c r="F251" i="53"/>
  <c r="R250" i="53"/>
  <c r="F250" i="53"/>
  <c r="S250" i="53" s="1"/>
  <c r="S249" i="53"/>
  <c r="R249" i="53"/>
  <c r="F249" i="53"/>
  <c r="R248" i="53"/>
  <c r="F248" i="53"/>
  <c r="S248" i="53" s="1"/>
  <c r="R247" i="53"/>
  <c r="S247" i="53"/>
  <c r="F247" i="53"/>
  <c r="R246" i="53"/>
  <c r="F246" i="53"/>
  <c r="S246" i="53" s="1"/>
  <c r="AE245" i="53"/>
  <c r="AD245" i="53"/>
  <c r="AC245" i="53"/>
  <c r="AB245" i="53"/>
  <c r="AA245" i="53"/>
  <c r="Z245" i="53"/>
  <c r="X245" i="53"/>
  <c r="W245" i="53"/>
  <c r="U245" i="53"/>
  <c r="R245" i="53"/>
  <c r="S245" i="53"/>
  <c r="F245" i="53"/>
  <c r="V245" i="53" s="1"/>
  <c r="R244" i="53"/>
  <c r="N244" i="53"/>
  <c r="L244" i="53"/>
  <c r="U244" i="53"/>
  <c r="AD243" i="53"/>
  <c r="AB243" i="53"/>
  <c r="W243" i="53"/>
  <c r="U243" i="53"/>
  <c r="R243" i="53"/>
  <c r="AF243" i="53" s="1"/>
  <c r="F243" i="53"/>
  <c r="R242" i="53"/>
  <c r="L242" i="53"/>
  <c r="S242" i="53" s="1"/>
  <c r="R241" i="53"/>
  <c r="L241" i="53"/>
  <c r="S241" i="53" s="1"/>
  <c r="R240" i="53"/>
  <c r="L240" i="53"/>
  <c r="U240" i="53"/>
  <c r="Z239" i="53"/>
  <c r="U239" i="53"/>
  <c r="R239" i="53"/>
  <c r="AF239" i="53" s="1"/>
  <c r="P239" i="53"/>
  <c r="AD239" i="53" s="1"/>
  <c r="N239" i="53"/>
  <c r="AB239" i="53" s="1"/>
  <c r="W239" i="53"/>
  <c r="R238" i="53"/>
  <c r="S238" i="53"/>
  <c r="R237" i="53"/>
  <c r="S237" i="53"/>
  <c r="S236" i="53"/>
  <c r="R236" i="53"/>
  <c r="S235" i="53"/>
  <c r="R235" i="53"/>
  <c r="F235" i="53"/>
  <c r="S234" i="53"/>
  <c r="R234" i="53"/>
  <c r="F234" i="53"/>
  <c r="S233" i="53"/>
  <c r="R233" i="53"/>
  <c r="F233" i="53"/>
  <c r="S232" i="53"/>
  <c r="R232" i="53"/>
  <c r="F232" i="53"/>
  <c r="S231" i="53"/>
  <c r="R231" i="53"/>
  <c r="F231" i="53"/>
  <c r="S230" i="53"/>
  <c r="R230" i="53"/>
  <c r="F230" i="53"/>
  <c r="S229" i="53"/>
  <c r="R229" i="53"/>
  <c r="F229" i="53"/>
  <c r="S228" i="53"/>
  <c r="R228" i="53"/>
  <c r="F228" i="53"/>
  <c r="S227" i="53"/>
  <c r="R227" i="53"/>
  <c r="F227" i="53"/>
  <c r="R226" i="53"/>
  <c r="AF225" i="53" s="1"/>
  <c r="N226" i="53"/>
  <c r="AB225" i="53" s="1"/>
  <c r="F226" i="53"/>
  <c r="AE225" i="53"/>
  <c r="AC225" i="53"/>
  <c r="AA225" i="53"/>
  <c r="X225" i="53"/>
  <c r="U225" i="53"/>
  <c r="R225" i="53"/>
  <c r="F225" i="53"/>
  <c r="L225" i="53" s="1"/>
  <c r="S225" i="53" s="1"/>
  <c r="F224" i="53"/>
  <c r="N224" i="53" s="1"/>
  <c r="F223" i="53"/>
  <c r="N223" i="53" s="1"/>
  <c r="F222" i="53"/>
  <c r="N222" i="53" s="1"/>
  <c r="O221" i="53"/>
  <c r="R221" i="53" s="1"/>
  <c r="F221" i="53"/>
  <c r="N221" i="53" s="1"/>
  <c r="O220" i="53"/>
  <c r="R220" i="53" s="1"/>
  <c r="F220" i="53"/>
  <c r="N220" i="53" s="1"/>
  <c r="O219" i="53"/>
  <c r="R219" i="53" s="1"/>
  <c r="F219" i="53"/>
  <c r="N219" i="53" s="1"/>
  <c r="F218" i="53"/>
  <c r="N218" i="53" s="1"/>
  <c r="F217" i="53"/>
  <c r="N217" i="53" s="1"/>
  <c r="F216" i="53"/>
  <c r="N216" i="53" s="1"/>
  <c r="F215" i="53"/>
  <c r="N215" i="53" s="1"/>
  <c r="F214" i="53"/>
  <c r="N214" i="53" s="1"/>
  <c r="F213" i="53"/>
  <c r="N213" i="53" s="1"/>
  <c r="O212" i="53"/>
  <c r="R212" i="53" s="1"/>
  <c r="F212" i="53"/>
  <c r="N212" i="53" s="1"/>
  <c r="F211" i="53"/>
  <c r="F210" i="53"/>
  <c r="F209" i="53"/>
  <c r="F208" i="53"/>
  <c r="N208" i="53" s="1"/>
  <c r="F207" i="53"/>
  <c r="F206" i="53"/>
  <c r="F205" i="53"/>
  <c r="F204" i="53"/>
  <c r="F203" i="53"/>
  <c r="F202" i="53"/>
  <c r="N202" i="53" s="1"/>
  <c r="F201" i="53"/>
  <c r="O201" i="53" s="1"/>
  <c r="F200" i="53"/>
  <c r="N200" i="53" s="1"/>
  <c r="F199" i="53"/>
  <c r="F198" i="53"/>
  <c r="F197" i="53"/>
  <c r="F196" i="53"/>
  <c r="F195" i="53"/>
  <c r="N195" i="53" s="1"/>
  <c r="F194" i="53"/>
  <c r="F193" i="53"/>
  <c r="N193" i="53" s="1"/>
  <c r="F192" i="53"/>
  <c r="F191" i="53"/>
  <c r="N191" i="53" s="1"/>
  <c r="F190" i="53"/>
  <c r="F189" i="53"/>
  <c r="N189" i="53" s="1"/>
  <c r="F188" i="53"/>
  <c r="F187" i="53"/>
  <c r="N187" i="53" s="1"/>
  <c r="F186" i="53"/>
  <c r="F185" i="53"/>
  <c r="AE184" i="53"/>
  <c r="AD184" i="53"/>
  <c r="AA184" i="53"/>
  <c r="Z184" i="53"/>
  <c r="W184" i="53"/>
  <c r="U184" i="53"/>
  <c r="F184" i="53"/>
  <c r="F183" i="53"/>
  <c r="R183" i="53" s="1"/>
  <c r="F182" i="53"/>
  <c r="R181" i="53"/>
  <c r="F181" i="53"/>
  <c r="R180" i="53"/>
  <c r="F180" i="53"/>
  <c r="L180" i="53" s="1"/>
  <c r="M179" i="53"/>
  <c r="F179" i="53"/>
  <c r="F178" i="53"/>
  <c r="L178" i="53" s="1"/>
  <c r="AE177" i="53"/>
  <c r="AC177" i="53"/>
  <c r="AB177" i="53"/>
  <c r="R177" i="53"/>
  <c r="F177" i="53"/>
  <c r="O176" i="53"/>
  <c r="F176" i="53"/>
  <c r="N175" i="53"/>
  <c r="F175" i="53"/>
  <c r="F174" i="53"/>
  <c r="F173" i="53"/>
  <c r="N173" i="53" s="1"/>
  <c r="F172" i="53"/>
  <c r="AE171" i="53"/>
  <c r="AD171" i="53"/>
  <c r="AA171" i="53"/>
  <c r="Z171" i="53"/>
  <c r="W171" i="53"/>
  <c r="U171" i="53"/>
  <c r="F171" i="53"/>
  <c r="F170" i="53"/>
  <c r="L170" i="53" s="1"/>
  <c r="F169" i="53"/>
  <c r="AE168" i="53"/>
  <c r="AD168" i="53"/>
  <c r="AC168" i="53"/>
  <c r="N168" i="53"/>
  <c r="AB168" i="53" s="1"/>
  <c r="F168" i="53"/>
  <c r="L168" i="53" s="1"/>
  <c r="V167" i="53"/>
  <c r="U167" i="53"/>
  <c r="R167" i="53"/>
  <c r="AF167" i="53" s="1"/>
  <c r="N167" i="53"/>
  <c r="AB167" i="53" s="1"/>
  <c r="R166" i="53"/>
  <c r="N166" i="53"/>
  <c r="S166" i="53" s="1"/>
  <c r="R165" i="53"/>
  <c r="N165" i="53"/>
  <c r="S165" i="53" s="1"/>
  <c r="R164" i="53"/>
  <c r="N164" i="53"/>
  <c r="S164" i="53" s="1"/>
  <c r="R163" i="53"/>
  <c r="N163" i="53"/>
  <c r="S163" i="53" s="1"/>
  <c r="AD162" i="53"/>
  <c r="Z162" i="53"/>
  <c r="W162" i="53"/>
  <c r="V162" i="53"/>
  <c r="R162" i="53"/>
  <c r="N162" i="53"/>
  <c r="U162" i="53"/>
  <c r="F161" i="53"/>
  <c r="Q161" i="53" s="1"/>
  <c r="R161" i="53" s="1"/>
  <c r="F160" i="53"/>
  <c r="L160" i="53" s="1"/>
  <c r="F159" i="53"/>
  <c r="Q159" i="53" s="1"/>
  <c r="R159" i="53" s="1"/>
  <c r="Q158" i="53"/>
  <c r="R158" i="53" s="1"/>
  <c r="P158" i="53"/>
  <c r="F158" i="53"/>
  <c r="AC157" i="53"/>
  <c r="M157" i="53"/>
  <c r="AA157" i="53" s="1"/>
  <c r="F157" i="53"/>
  <c r="P157" i="53" s="1"/>
  <c r="S156" i="53"/>
  <c r="R156" i="53"/>
  <c r="F156" i="53"/>
  <c r="R155" i="53"/>
  <c r="L155" i="53"/>
  <c r="S155" i="53" s="1"/>
  <c r="R154" i="53"/>
  <c r="L154" i="53"/>
  <c r="S154" i="53" s="1"/>
  <c r="R153" i="53"/>
  <c r="L153" i="53"/>
  <c r="S153" i="53" s="1"/>
  <c r="R152" i="53"/>
  <c r="L152" i="53"/>
  <c r="S152" i="53"/>
  <c r="AD151" i="53"/>
  <c r="AB151" i="53"/>
  <c r="W151" i="53"/>
  <c r="R151" i="53"/>
  <c r="L151" i="53"/>
  <c r="R150" i="53"/>
  <c r="F150" i="53"/>
  <c r="N150" i="53" s="1"/>
  <c r="R149" i="53"/>
  <c r="F149" i="53"/>
  <c r="R148" i="53"/>
  <c r="S148" i="53"/>
  <c r="F148" i="53"/>
  <c r="R147" i="53"/>
  <c r="F147" i="53"/>
  <c r="N147" i="53" s="1"/>
  <c r="R146" i="53"/>
  <c r="S146" i="53"/>
  <c r="F146" i="53"/>
  <c r="AE145" i="53"/>
  <c r="AD145" i="53"/>
  <c r="AC145" i="53"/>
  <c r="AA145" i="53"/>
  <c r="Z145" i="53"/>
  <c r="X145" i="53"/>
  <c r="W145" i="53"/>
  <c r="V145" i="53"/>
  <c r="R145" i="53"/>
  <c r="F145" i="53"/>
  <c r="N145" i="53" s="1"/>
  <c r="V144" i="53"/>
  <c r="R144" i="53"/>
  <c r="U144" i="53"/>
  <c r="F144" i="53"/>
  <c r="L144" i="53" s="1"/>
  <c r="AE143" i="53"/>
  <c r="AD143" i="53"/>
  <c r="AC143" i="53"/>
  <c r="AB143" i="53"/>
  <c r="AA143" i="53"/>
  <c r="Z143" i="53"/>
  <c r="X143" i="53"/>
  <c r="W143" i="53"/>
  <c r="R143" i="53"/>
  <c r="AF143" i="53" s="1"/>
  <c r="F143" i="53"/>
  <c r="V143" i="53" s="1"/>
  <c r="R142" i="53"/>
  <c r="V142" i="53"/>
  <c r="Y141" i="53"/>
  <c r="R141" i="53"/>
  <c r="S141" i="53"/>
  <c r="AG141" i="53" s="1"/>
  <c r="V141" i="53"/>
  <c r="F141" i="53"/>
  <c r="S140" i="53"/>
  <c r="R140" i="53"/>
  <c r="R139" i="53"/>
  <c r="L139" i="53"/>
  <c r="S139" i="53" s="1"/>
  <c r="R138" i="53"/>
  <c r="L138" i="53"/>
  <c r="S138" i="53" s="1"/>
  <c r="R137" i="53"/>
  <c r="L137" i="53"/>
  <c r="S137" i="53" s="1"/>
  <c r="R136" i="53"/>
  <c r="L136" i="53"/>
  <c r="S136" i="53" s="1"/>
  <c r="AD135" i="53"/>
  <c r="AB135" i="53"/>
  <c r="W135" i="53"/>
  <c r="R135" i="53"/>
  <c r="L135" i="53"/>
  <c r="R134" i="53"/>
  <c r="AF134" i="53" s="1"/>
  <c r="P134" i="53"/>
  <c r="AD134" i="53" s="1"/>
  <c r="L134" i="53"/>
  <c r="Z134" i="53" s="1"/>
  <c r="W134" i="53"/>
  <c r="F134" i="53"/>
  <c r="U134" i="53" s="1"/>
  <c r="F133" i="53"/>
  <c r="F132" i="53"/>
  <c r="M132" i="53" s="1"/>
  <c r="F131" i="53"/>
  <c r="L131" i="53" s="1"/>
  <c r="F130" i="53"/>
  <c r="L130" i="53" s="1"/>
  <c r="F129" i="53"/>
  <c r="F128" i="53"/>
  <c r="F127" i="53"/>
  <c r="L127" i="53" s="1"/>
  <c r="AE126" i="53"/>
  <c r="AD126" i="53"/>
  <c r="AC126" i="53"/>
  <c r="AB126" i="53"/>
  <c r="W126" i="53"/>
  <c r="F126" i="53"/>
  <c r="M126" i="53" s="1"/>
  <c r="F125" i="53"/>
  <c r="N125" i="53" s="1"/>
  <c r="O124" i="53"/>
  <c r="F124" i="53"/>
  <c r="Q123" i="53"/>
  <c r="F123" i="53"/>
  <c r="N123" i="53" s="1"/>
  <c r="F122" i="53"/>
  <c r="O122" i="53" s="1"/>
  <c r="F121" i="53"/>
  <c r="P121" i="53" s="1"/>
  <c r="R120" i="53"/>
  <c r="AF120" i="53" s="1"/>
  <c r="F120" i="53"/>
  <c r="R119" i="53"/>
  <c r="F119" i="53"/>
  <c r="R118" i="53"/>
  <c r="F118" i="53"/>
  <c r="L118" i="53" s="1"/>
  <c r="S118" i="53" s="1"/>
  <c r="R117" i="53"/>
  <c r="L117" i="53"/>
  <c r="F117" i="53"/>
  <c r="R116" i="53"/>
  <c r="F116" i="53"/>
  <c r="AD115" i="53"/>
  <c r="AB115" i="53"/>
  <c r="W115" i="53"/>
  <c r="R115" i="53"/>
  <c r="AF115" i="53" s="1"/>
  <c r="F115" i="53"/>
  <c r="R114" i="53"/>
  <c r="S114" i="53"/>
  <c r="F114" i="53"/>
  <c r="M113" i="53"/>
  <c r="F113" i="53"/>
  <c r="L113" i="53" s="1"/>
  <c r="F112" i="53"/>
  <c r="M112" i="53" s="1"/>
  <c r="F111" i="53"/>
  <c r="N111" i="53" s="1"/>
  <c r="F110" i="53"/>
  <c r="M110" i="53" s="1"/>
  <c r="W109" i="53"/>
  <c r="Q109" i="53"/>
  <c r="N109" i="53"/>
  <c r="M109" i="53"/>
  <c r="F109" i="53"/>
  <c r="O109" i="53" s="1"/>
  <c r="R108" i="53"/>
  <c r="F108" i="53"/>
  <c r="R107" i="53"/>
  <c r="F107" i="53"/>
  <c r="R106" i="53"/>
  <c r="P106" i="53"/>
  <c r="F106" i="53"/>
  <c r="R105" i="53"/>
  <c r="F105" i="53"/>
  <c r="L105" i="53" s="1"/>
  <c r="AB104" i="53"/>
  <c r="R104" i="53"/>
  <c r="AF104" i="53" s="1"/>
  <c r="F104" i="53"/>
  <c r="L104" i="53" s="1"/>
  <c r="AE103" i="53"/>
  <c r="AD103" i="53"/>
  <c r="AC103" i="53"/>
  <c r="AA103" i="53"/>
  <c r="Z103" i="53"/>
  <c r="W103" i="53"/>
  <c r="F103" i="53"/>
  <c r="V102" i="53"/>
  <c r="R102" i="53"/>
  <c r="AF102" i="53" s="1"/>
  <c r="M101" i="53"/>
  <c r="F101" i="53"/>
  <c r="P101" i="53" s="1"/>
  <c r="F100" i="53"/>
  <c r="P100" i="53" s="1"/>
  <c r="F99" i="53"/>
  <c r="P99" i="53" s="1"/>
  <c r="F98" i="53"/>
  <c r="P98" i="53" s="1"/>
  <c r="M97" i="53"/>
  <c r="F97" i="53"/>
  <c r="N97" i="53" s="1"/>
  <c r="F96" i="53"/>
  <c r="O96" i="53" s="1"/>
  <c r="N95" i="53"/>
  <c r="F95" i="53"/>
  <c r="O95" i="53" s="1"/>
  <c r="F94" i="53"/>
  <c r="F93" i="53"/>
  <c r="F92" i="53"/>
  <c r="AE91" i="53"/>
  <c r="M91" i="53"/>
  <c r="F91" i="53"/>
  <c r="N91" i="53" s="1"/>
  <c r="F90" i="53"/>
  <c r="L90" i="53" s="1"/>
  <c r="F89" i="53"/>
  <c r="L89" i="53" s="1"/>
  <c r="F88" i="53"/>
  <c r="L88" i="53" s="1"/>
  <c r="F87" i="53"/>
  <c r="Q87" i="53" s="1"/>
  <c r="F86" i="53"/>
  <c r="L86" i="53" s="1"/>
  <c r="AC85" i="53"/>
  <c r="AB85" i="53"/>
  <c r="W85" i="53"/>
  <c r="L85" i="53"/>
  <c r="F85" i="53"/>
  <c r="N84" i="53"/>
  <c r="F84" i="53"/>
  <c r="F83" i="53"/>
  <c r="N83" i="53" s="1"/>
  <c r="F82" i="53"/>
  <c r="O82" i="53" s="1"/>
  <c r="F81" i="53"/>
  <c r="AE80" i="53"/>
  <c r="AD80" i="53"/>
  <c r="Z80" i="53"/>
  <c r="F80" i="53"/>
  <c r="F79" i="53"/>
  <c r="O79" i="53" s="1"/>
  <c r="F78" i="53"/>
  <c r="O78" i="53" s="1"/>
  <c r="F77" i="53"/>
  <c r="O77" i="53" s="1"/>
  <c r="F76" i="53"/>
  <c r="O76" i="53" s="1"/>
  <c r="AE75" i="53"/>
  <c r="AD75" i="53"/>
  <c r="AA75" i="53"/>
  <c r="Z75" i="53"/>
  <c r="W75" i="53"/>
  <c r="U75" i="53"/>
  <c r="F75" i="53"/>
  <c r="N75" i="53" s="1"/>
  <c r="F74" i="53"/>
  <c r="AG73" i="53"/>
  <c r="R73" i="53"/>
  <c r="F73" i="53"/>
  <c r="L73" i="53" s="1"/>
  <c r="P72" i="53"/>
  <c r="F72" i="53"/>
  <c r="R72" i="53" s="1"/>
  <c r="AE71" i="53"/>
  <c r="AC71" i="53"/>
  <c r="AA71" i="53"/>
  <c r="W71" i="53"/>
  <c r="F71" i="53"/>
  <c r="R70" i="53"/>
  <c r="S70" i="53"/>
  <c r="AE69" i="53"/>
  <c r="AD69" i="53"/>
  <c r="AC69" i="53"/>
  <c r="AB69" i="53"/>
  <c r="AA69" i="53"/>
  <c r="Z69" i="53"/>
  <c r="X69" i="53"/>
  <c r="W69" i="53"/>
  <c r="V69" i="53"/>
  <c r="U69" i="53"/>
  <c r="Y69" i="53" s="1"/>
  <c r="R69" i="53"/>
  <c r="S69" i="53"/>
  <c r="AE68" i="53"/>
  <c r="AD68" i="53"/>
  <c r="AC68" i="53"/>
  <c r="AA68" i="53"/>
  <c r="Z68" i="53"/>
  <c r="X68" i="53"/>
  <c r="W68" i="53"/>
  <c r="R68" i="53"/>
  <c r="AF68" i="53" s="1"/>
  <c r="F68" i="53"/>
  <c r="V68" i="53" s="1"/>
  <c r="R67" i="53"/>
  <c r="F67" i="53"/>
  <c r="N67" i="53" s="1"/>
  <c r="S67" i="53" s="1"/>
  <c r="R66" i="53"/>
  <c r="F66" i="53"/>
  <c r="N66" i="53" s="1"/>
  <c r="R65" i="53"/>
  <c r="F65" i="53"/>
  <c r="R64" i="53"/>
  <c r="F64" i="53"/>
  <c r="N64" i="53" s="1"/>
  <c r="S64" i="53" s="1"/>
  <c r="AE63" i="53"/>
  <c r="AC63" i="53"/>
  <c r="AA63" i="53"/>
  <c r="Z63" i="53"/>
  <c r="X63" i="53"/>
  <c r="V63" i="53"/>
  <c r="R63" i="53"/>
  <c r="F63" i="53"/>
  <c r="N63" i="53" s="1"/>
  <c r="R62" i="53"/>
  <c r="L62" i="53"/>
  <c r="F62" i="53"/>
  <c r="R61" i="53"/>
  <c r="F61" i="53"/>
  <c r="R60" i="53"/>
  <c r="F60" i="53"/>
  <c r="L60" i="53" s="1"/>
  <c r="S60" i="53" s="1"/>
  <c r="R59" i="53"/>
  <c r="F59" i="53"/>
  <c r="L59" i="53" s="1"/>
  <c r="R58" i="53"/>
  <c r="F58" i="53"/>
  <c r="L58" i="53" s="1"/>
  <c r="S58" i="53" s="1"/>
  <c r="AD57" i="53"/>
  <c r="AB57" i="53"/>
  <c r="W57" i="53"/>
  <c r="R57" i="53"/>
  <c r="F57" i="53"/>
  <c r="L57" i="53" s="1"/>
  <c r="S57" i="53" s="1"/>
  <c r="R56" i="53"/>
  <c r="N56" i="53"/>
  <c r="F56" i="53"/>
  <c r="R55" i="53"/>
  <c r="F55" i="53"/>
  <c r="N55" i="53" s="1"/>
  <c r="S55" i="53" s="1"/>
  <c r="R54" i="53"/>
  <c r="F54" i="53"/>
  <c r="N54" i="53" s="1"/>
  <c r="R53" i="53"/>
  <c r="F53" i="53"/>
  <c r="R52" i="53"/>
  <c r="F52" i="53"/>
  <c r="N52" i="53" s="1"/>
  <c r="AE51" i="53"/>
  <c r="AD51" i="53"/>
  <c r="AC51" i="53"/>
  <c r="AA51" i="53"/>
  <c r="Z51" i="53"/>
  <c r="X51" i="53"/>
  <c r="W51" i="53"/>
  <c r="R51" i="53"/>
  <c r="AF51" i="53" s="1"/>
  <c r="F51" i="53"/>
  <c r="N51" i="53" s="1"/>
  <c r="V50" i="53"/>
  <c r="R50" i="53"/>
  <c r="AF50" i="53" s="1"/>
  <c r="L50" i="53"/>
  <c r="Z50" i="53" s="1"/>
  <c r="F49" i="53"/>
  <c r="O49" i="53" s="1"/>
  <c r="F48" i="53"/>
  <c r="L48" i="53" s="1"/>
  <c r="F47" i="53"/>
  <c r="O47" i="53" s="1"/>
  <c r="O46" i="53"/>
  <c r="L46" i="53"/>
  <c r="F46" i="53"/>
  <c r="AE45" i="53"/>
  <c r="AD45" i="53"/>
  <c r="W45" i="53"/>
  <c r="V45" i="53"/>
  <c r="F45" i="53"/>
  <c r="L45" i="53" s="1"/>
  <c r="R44" i="53"/>
  <c r="L44" i="53"/>
  <c r="S44" i="53" s="1"/>
  <c r="R43" i="53"/>
  <c r="L43" i="53"/>
  <c r="S43" i="53" s="1"/>
  <c r="R42" i="53"/>
  <c r="L42" i="53"/>
  <c r="S42" i="53" s="1"/>
  <c r="R41" i="53"/>
  <c r="L41" i="53"/>
  <c r="S41" i="53" s="1"/>
  <c r="AD40" i="53"/>
  <c r="AB40" i="53"/>
  <c r="W40" i="53"/>
  <c r="V40" i="53"/>
  <c r="U40" i="53"/>
  <c r="R40" i="53"/>
  <c r="AF40" i="53" s="1"/>
  <c r="L40" i="53"/>
  <c r="S39" i="53"/>
  <c r="F39" i="53"/>
  <c r="S38" i="53"/>
  <c r="F38" i="53"/>
  <c r="F37" i="53"/>
  <c r="S37" i="53" s="1"/>
  <c r="AG37" i="53" s="1"/>
  <c r="F36" i="53"/>
  <c r="O36" i="53" s="1"/>
  <c r="R36" i="53" s="1"/>
  <c r="F35" i="53"/>
  <c r="O35" i="53" s="1"/>
  <c r="O34" i="53"/>
  <c r="F34" i="53"/>
  <c r="O33" i="53"/>
  <c r="F33" i="53"/>
  <c r="F32" i="53"/>
  <c r="F31" i="53"/>
  <c r="N31" i="53" s="1"/>
  <c r="N30" i="53"/>
  <c r="M30" i="53"/>
  <c r="L30" i="53"/>
  <c r="F30" i="53"/>
  <c r="O30" i="53" s="1"/>
  <c r="AE29" i="53"/>
  <c r="AD29" i="53"/>
  <c r="W29" i="53"/>
  <c r="F29" i="53"/>
  <c r="O29" i="53" s="1"/>
  <c r="R28" i="53"/>
  <c r="F28" i="53"/>
  <c r="N28" i="53" s="1"/>
  <c r="R27" i="53"/>
  <c r="N27" i="53"/>
  <c r="S27" i="53" s="1"/>
  <c r="F27" i="53"/>
  <c r="R26" i="53"/>
  <c r="L26" i="53"/>
  <c r="F26" i="53"/>
  <c r="R25" i="53"/>
  <c r="F25" i="53"/>
  <c r="N25" i="53" s="1"/>
  <c r="AE24" i="53"/>
  <c r="AD24" i="53"/>
  <c r="AA24" i="53"/>
  <c r="Z24" i="53"/>
  <c r="X24" i="53"/>
  <c r="W24" i="53"/>
  <c r="V24" i="53"/>
  <c r="F24" i="53"/>
  <c r="R23" i="53"/>
  <c r="S23" i="53"/>
  <c r="F23" i="53"/>
  <c r="R22" i="53"/>
  <c r="S22" i="53"/>
  <c r="F22" i="53"/>
  <c r="R21" i="53"/>
  <c r="S21" i="53"/>
  <c r="F21" i="53"/>
  <c r="R20" i="53"/>
  <c r="F20" i="53"/>
  <c r="R19" i="53"/>
  <c r="F19" i="53"/>
  <c r="L19" i="53" s="1"/>
  <c r="R18" i="53"/>
  <c r="F18" i="53"/>
  <c r="L18" i="53" s="1"/>
  <c r="S18" i="53" s="1"/>
  <c r="R17" i="53"/>
  <c r="F17" i="53"/>
  <c r="L17" i="53" s="1"/>
  <c r="R16" i="53"/>
  <c r="S16" i="53"/>
  <c r="F16" i="53"/>
  <c r="AE15" i="53"/>
  <c r="AD15" i="53"/>
  <c r="AC15" i="53"/>
  <c r="AB15" i="53"/>
  <c r="AA15" i="53"/>
  <c r="X15" i="53"/>
  <c r="W15" i="53"/>
  <c r="R15" i="53"/>
  <c r="F15" i="53"/>
  <c r="L15" i="53" s="1"/>
  <c r="AE14" i="53"/>
  <c r="AD14" i="53"/>
  <c r="AC14" i="53"/>
  <c r="AB14" i="53"/>
  <c r="W14" i="53"/>
  <c r="V14" i="53"/>
  <c r="F14" i="53"/>
  <c r="L14" i="53" s="1"/>
  <c r="Z14" i="53" s="1"/>
  <c r="S13" i="53"/>
  <c r="F13" i="53"/>
  <c r="F12" i="53"/>
  <c r="S12" i="53" s="1"/>
  <c r="F11" i="53"/>
  <c r="S11" i="53" s="1"/>
  <c r="F10" i="53"/>
  <c r="S10" i="53" s="1"/>
  <c r="F9" i="53"/>
  <c r="S9" i="53" s="1"/>
  <c r="F8" i="53"/>
  <c r="S8" i="53" s="1"/>
  <c r="U7" i="53"/>
  <c r="F7" i="53"/>
  <c r="S7" i="53" s="1"/>
  <c r="M495" i="49"/>
  <c r="M494" i="49"/>
  <c r="M493" i="49"/>
  <c r="M492" i="49"/>
  <c r="M491" i="49"/>
  <c r="M490" i="49"/>
  <c r="M489" i="49"/>
  <c r="M305" i="49"/>
  <c r="N305" i="49"/>
  <c r="M306" i="49"/>
  <c r="N306" i="49"/>
  <c r="M307" i="49"/>
  <c r="N307" i="49"/>
  <c r="M308" i="49"/>
  <c r="N308" i="49"/>
  <c r="M309" i="49"/>
  <c r="N309" i="49"/>
  <c r="M310" i="49"/>
  <c r="N310" i="49"/>
  <c r="M311" i="49"/>
  <c r="N311" i="49"/>
  <c r="M312" i="49"/>
  <c r="N312" i="49"/>
  <c r="M313" i="49"/>
  <c r="N313" i="49"/>
  <c r="M314" i="49"/>
  <c r="N314" i="49"/>
  <c r="M315" i="49"/>
  <c r="N315" i="49"/>
  <c r="M316" i="49"/>
  <c r="N316" i="49"/>
  <c r="M317" i="49"/>
  <c r="N317" i="49"/>
  <c r="M318" i="49"/>
  <c r="N318" i="49"/>
  <c r="M319" i="49"/>
  <c r="N319" i="49"/>
  <c r="M323" i="49"/>
  <c r="N323" i="49"/>
  <c r="M324" i="49"/>
  <c r="N324" i="49"/>
  <c r="M325" i="49"/>
  <c r="N325" i="49"/>
  <c r="M326" i="49"/>
  <c r="N326" i="49"/>
  <c r="M327" i="49"/>
  <c r="N327" i="49"/>
  <c r="M328" i="49"/>
  <c r="N328" i="49"/>
  <c r="M329" i="49"/>
  <c r="N329" i="49"/>
  <c r="M330" i="49"/>
  <c r="N330" i="49"/>
  <c r="M331" i="49"/>
  <c r="N331" i="49"/>
  <c r="M332" i="49"/>
  <c r="N332" i="49"/>
  <c r="M333" i="49"/>
  <c r="N333" i="49"/>
  <c r="M334" i="49"/>
  <c r="N334" i="49"/>
  <c r="M335" i="49"/>
  <c r="N335" i="49"/>
  <c r="M336" i="49"/>
  <c r="N336" i="49"/>
  <c r="M337" i="49"/>
  <c r="N337" i="49"/>
  <c r="M338" i="49"/>
  <c r="N338" i="49"/>
  <c r="M339" i="49"/>
  <c r="N339" i="49"/>
  <c r="M340" i="49"/>
  <c r="N340" i="49"/>
  <c r="M341" i="49"/>
  <c r="N341" i="49"/>
  <c r="M342" i="49"/>
  <c r="N342" i="49"/>
  <c r="M343" i="49"/>
  <c r="N343" i="49"/>
  <c r="M344" i="49"/>
  <c r="N344" i="49"/>
  <c r="M345" i="49"/>
  <c r="N345" i="49"/>
  <c r="M346" i="49"/>
  <c r="N346" i="49"/>
  <c r="M347" i="49"/>
  <c r="N347" i="49"/>
  <c r="M348" i="49"/>
  <c r="N348" i="49"/>
  <c r="M349" i="49"/>
  <c r="N349" i="49"/>
  <c r="M350" i="49"/>
  <c r="N350" i="49"/>
  <c r="M351" i="49"/>
  <c r="N351" i="49"/>
  <c r="M352" i="49"/>
  <c r="N352" i="49"/>
  <c r="M353" i="49"/>
  <c r="N353" i="49"/>
  <c r="M354" i="49"/>
  <c r="N354" i="49"/>
  <c r="M355" i="49"/>
  <c r="N355" i="49"/>
  <c r="M356" i="49"/>
  <c r="N356" i="49"/>
  <c r="M357" i="49"/>
  <c r="N357" i="49"/>
  <c r="M358" i="49"/>
  <c r="N358" i="49"/>
  <c r="M359" i="49"/>
  <c r="N359" i="49"/>
  <c r="M360" i="49"/>
  <c r="N360" i="49"/>
  <c r="M361" i="49"/>
  <c r="N361" i="49"/>
  <c r="M362" i="49"/>
  <c r="N362" i="49"/>
  <c r="M363" i="49"/>
  <c r="N363" i="49"/>
  <c r="M364" i="49"/>
  <c r="N364" i="49"/>
  <c r="M365" i="49"/>
  <c r="N365" i="49"/>
  <c r="M366" i="49"/>
  <c r="N366" i="49"/>
  <c r="M367" i="49"/>
  <c r="N367" i="49"/>
  <c r="M368" i="49"/>
  <c r="N368" i="49"/>
  <c r="M369" i="49"/>
  <c r="N369" i="49"/>
  <c r="M370" i="49"/>
  <c r="N370" i="49"/>
  <c r="M371" i="49"/>
  <c r="N371" i="49"/>
  <c r="M372" i="49"/>
  <c r="N372" i="49"/>
  <c r="M373" i="49"/>
  <c r="N373" i="49"/>
  <c r="M374" i="49"/>
  <c r="N374" i="49"/>
  <c r="M375" i="49"/>
  <c r="N375" i="49"/>
  <c r="M376" i="49"/>
  <c r="N376" i="49"/>
  <c r="M377" i="49"/>
  <c r="N377" i="49"/>
  <c r="M378" i="49"/>
  <c r="N378" i="49"/>
  <c r="M379" i="49"/>
  <c r="N379" i="49"/>
  <c r="M380" i="49"/>
  <c r="N380" i="49"/>
  <c r="M381" i="49"/>
  <c r="N381" i="49"/>
  <c r="M382" i="49"/>
  <c r="N382" i="49"/>
  <c r="M383" i="49"/>
  <c r="N383" i="49"/>
  <c r="M384" i="49"/>
  <c r="N384" i="49"/>
  <c r="M385" i="49"/>
  <c r="N385" i="49"/>
  <c r="M386" i="49"/>
  <c r="N386" i="49"/>
  <c r="M387" i="49"/>
  <c r="N387" i="49"/>
  <c r="M388" i="49"/>
  <c r="N388" i="49"/>
  <c r="M389" i="49"/>
  <c r="N389" i="49"/>
  <c r="M390" i="49"/>
  <c r="N390" i="49"/>
  <c r="M391" i="49"/>
  <c r="N391" i="49"/>
  <c r="M392" i="49"/>
  <c r="N392" i="49"/>
  <c r="M393" i="49"/>
  <c r="N393" i="49"/>
  <c r="M394" i="49"/>
  <c r="N394" i="49"/>
  <c r="M395" i="49"/>
  <c r="N395" i="49"/>
  <c r="M396" i="49"/>
  <c r="N396" i="49"/>
  <c r="M397" i="49"/>
  <c r="N397" i="49"/>
  <c r="M398" i="49"/>
  <c r="N398" i="49"/>
  <c r="M399" i="49"/>
  <c r="N399" i="49"/>
  <c r="M400" i="49"/>
  <c r="N400" i="49"/>
  <c r="M401" i="49"/>
  <c r="N401" i="49"/>
  <c r="M402" i="49"/>
  <c r="N402" i="49"/>
  <c r="M403" i="49"/>
  <c r="N403" i="49"/>
  <c r="M404" i="49"/>
  <c r="N404" i="49"/>
  <c r="M405" i="49"/>
  <c r="N405" i="49"/>
  <c r="M406" i="49"/>
  <c r="N406" i="49"/>
  <c r="M407" i="49"/>
  <c r="N407" i="49"/>
  <c r="M408" i="49"/>
  <c r="N408" i="49"/>
  <c r="M409" i="49"/>
  <c r="N409" i="49"/>
  <c r="M410" i="49"/>
  <c r="N410" i="49"/>
  <c r="M411" i="49"/>
  <c r="N411" i="49"/>
  <c r="M412" i="49"/>
  <c r="N412" i="49"/>
  <c r="M413" i="49"/>
  <c r="N413" i="49"/>
  <c r="M414" i="49"/>
  <c r="N414" i="49"/>
  <c r="M415" i="49"/>
  <c r="N415" i="49"/>
  <c r="M416" i="49"/>
  <c r="N416" i="49"/>
  <c r="M417" i="49"/>
  <c r="N417" i="49"/>
  <c r="M418" i="49"/>
  <c r="N418" i="49"/>
  <c r="M419" i="49"/>
  <c r="N419" i="49"/>
  <c r="M420" i="49"/>
  <c r="N420" i="49"/>
  <c r="M421" i="49"/>
  <c r="N421" i="49"/>
  <c r="M422" i="49"/>
  <c r="N422" i="49"/>
  <c r="M423" i="49"/>
  <c r="N423" i="49"/>
  <c r="M424" i="49"/>
  <c r="N424" i="49"/>
  <c r="M425" i="49"/>
  <c r="N425" i="49"/>
  <c r="M426" i="49"/>
  <c r="N426" i="49"/>
  <c r="M427" i="49"/>
  <c r="N427" i="49"/>
  <c r="M428" i="49"/>
  <c r="N428" i="49"/>
  <c r="M429" i="49"/>
  <c r="N429" i="49"/>
  <c r="M430" i="49"/>
  <c r="N430" i="49"/>
  <c r="M431" i="49"/>
  <c r="N431" i="49"/>
  <c r="M432" i="49"/>
  <c r="N432" i="49"/>
  <c r="M433" i="49"/>
  <c r="N433" i="49"/>
  <c r="M434" i="49"/>
  <c r="N434" i="49"/>
  <c r="M435" i="49"/>
  <c r="N435" i="49"/>
  <c r="M436" i="49"/>
  <c r="N436" i="49"/>
  <c r="M437" i="49"/>
  <c r="N437" i="49"/>
  <c r="M438" i="49"/>
  <c r="N438" i="49"/>
  <c r="M439" i="49"/>
  <c r="N439" i="49"/>
  <c r="M440" i="49"/>
  <c r="N440" i="49"/>
  <c r="M441" i="49"/>
  <c r="N441" i="49"/>
  <c r="M442" i="49"/>
  <c r="N442" i="49"/>
  <c r="M443" i="49"/>
  <c r="N443" i="49"/>
  <c r="M444" i="49"/>
  <c r="N444" i="49"/>
  <c r="M445" i="49"/>
  <c r="N445" i="49"/>
  <c r="M446" i="49"/>
  <c r="N446" i="49"/>
  <c r="M447" i="49"/>
  <c r="N447" i="49"/>
  <c r="M448" i="49"/>
  <c r="N448" i="49"/>
  <c r="M449" i="49"/>
  <c r="N449" i="49"/>
  <c r="M450" i="49"/>
  <c r="N450" i="49"/>
  <c r="M451" i="49"/>
  <c r="N451" i="49"/>
  <c r="M452" i="49"/>
  <c r="N452" i="49"/>
  <c r="M453" i="49"/>
  <c r="N453" i="49"/>
  <c r="M454" i="49"/>
  <c r="N454" i="49"/>
  <c r="M455" i="49"/>
  <c r="N455" i="49"/>
  <c r="M456" i="49"/>
  <c r="N456" i="49"/>
  <c r="M457" i="49"/>
  <c r="N457" i="49"/>
  <c r="M458" i="49"/>
  <c r="N458" i="49"/>
  <c r="M459" i="49"/>
  <c r="N459" i="49"/>
  <c r="M460" i="49"/>
  <c r="N460" i="49"/>
  <c r="M461" i="49"/>
  <c r="N461" i="49"/>
  <c r="M462" i="49"/>
  <c r="N462" i="49"/>
  <c r="M463" i="49"/>
  <c r="N463" i="49"/>
  <c r="M464" i="49"/>
  <c r="N464" i="49"/>
  <c r="M465" i="49"/>
  <c r="N465" i="49"/>
  <c r="M466" i="49"/>
  <c r="N466" i="49"/>
  <c r="M467" i="49"/>
  <c r="N467" i="49"/>
  <c r="M468" i="49"/>
  <c r="N468" i="49"/>
  <c r="M469" i="49"/>
  <c r="N469" i="49"/>
  <c r="M470" i="49"/>
  <c r="N470" i="49"/>
  <c r="M471" i="49"/>
  <c r="N471" i="49"/>
  <c r="M472" i="49"/>
  <c r="N472" i="49"/>
  <c r="M473" i="49"/>
  <c r="N473" i="49"/>
  <c r="M474" i="49"/>
  <c r="N474" i="49"/>
  <c r="M475" i="49"/>
  <c r="N475" i="49"/>
  <c r="M476" i="49"/>
  <c r="N476" i="49"/>
  <c r="M477" i="49"/>
  <c r="N477" i="49"/>
  <c r="M478" i="49"/>
  <c r="N478" i="49"/>
  <c r="M479" i="49"/>
  <c r="N479" i="49"/>
  <c r="M480" i="49"/>
  <c r="N480" i="49"/>
  <c r="M481" i="49"/>
  <c r="N481" i="49"/>
  <c r="M482" i="49"/>
  <c r="N482" i="49"/>
  <c r="M483" i="49"/>
  <c r="N483" i="49"/>
  <c r="M484" i="49"/>
  <c r="N484" i="49"/>
  <c r="M485" i="49"/>
  <c r="N485" i="49"/>
  <c r="M486" i="49"/>
  <c r="N486" i="49"/>
  <c r="M487" i="49"/>
  <c r="N487" i="49"/>
  <c r="M488" i="49"/>
  <c r="N488" i="49"/>
  <c r="R495" i="49"/>
  <c r="S495" i="49" s="1"/>
  <c r="R494" i="49"/>
  <c r="S494" i="49" s="1"/>
  <c r="R493" i="49"/>
  <c r="S493" i="49" s="1"/>
  <c r="R492" i="49"/>
  <c r="S492" i="49" s="1"/>
  <c r="R491" i="49"/>
  <c r="S491" i="49" s="1"/>
  <c r="R490" i="49"/>
  <c r="S490" i="49" s="1"/>
  <c r="R489" i="49"/>
  <c r="S489" i="49" s="1"/>
  <c r="R322" i="49"/>
  <c r="S322" i="49" s="1"/>
  <c r="R321" i="49"/>
  <c r="S321" i="49" s="1"/>
  <c r="R320" i="49"/>
  <c r="S320" i="49" s="1"/>
  <c r="R299" i="49"/>
  <c r="S299" i="49" s="1"/>
  <c r="R300" i="49"/>
  <c r="S300" i="49" s="1"/>
  <c r="R301" i="49"/>
  <c r="S301" i="49" s="1"/>
  <c r="R302" i="49"/>
  <c r="S302" i="49" s="1"/>
  <c r="R303" i="49"/>
  <c r="S303" i="49" s="1"/>
  <c r="R304" i="49"/>
  <c r="S304" i="49" s="1"/>
  <c r="R298" i="49"/>
  <c r="S298" i="49" s="1"/>
  <c r="S293" i="49"/>
  <c r="R293" i="49"/>
  <c r="K293" i="49"/>
  <c r="F293" i="49"/>
  <c r="H293" i="49" s="1"/>
  <c r="S292" i="49"/>
  <c r="R292" i="49"/>
  <c r="K292" i="49"/>
  <c r="F292" i="49"/>
  <c r="H292" i="49" s="1"/>
  <c r="S291" i="49"/>
  <c r="R291" i="49"/>
  <c r="K291" i="49"/>
  <c r="F291" i="49"/>
  <c r="G291" i="49" s="1"/>
  <c r="Z290" i="49"/>
  <c r="W290" i="49"/>
  <c r="S290" i="49"/>
  <c r="R290" i="49"/>
  <c r="AF290" i="49" s="1"/>
  <c r="K290" i="49"/>
  <c r="F290" i="49"/>
  <c r="N290" i="49" s="1"/>
  <c r="K289" i="49"/>
  <c r="S289" i="49" s="1"/>
  <c r="K288" i="49"/>
  <c r="S288" i="49" s="1"/>
  <c r="K287" i="49"/>
  <c r="S287" i="49" s="1"/>
  <c r="K286" i="49"/>
  <c r="S286" i="49" s="1"/>
  <c r="K285" i="49"/>
  <c r="S285" i="49" s="1"/>
  <c r="K284" i="49"/>
  <c r="S284" i="49" s="1"/>
  <c r="AD283" i="49"/>
  <c r="AB283" i="49"/>
  <c r="W283" i="49"/>
  <c r="V283" i="49"/>
  <c r="U283" i="49"/>
  <c r="K283" i="49"/>
  <c r="S283" i="49" s="1"/>
  <c r="R282" i="49"/>
  <c r="F282" i="49"/>
  <c r="R281" i="49"/>
  <c r="F281" i="49"/>
  <c r="N281" i="49" s="1"/>
  <c r="R280" i="49"/>
  <c r="F280" i="49"/>
  <c r="G280" i="49" s="1"/>
  <c r="R279" i="49"/>
  <c r="F279" i="49"/>
  <c r="N279" i="49" s="1"/>
  <c r="AE278" i="49"/>
  <c r="AD278" i="49"/>
  <c r="AC278" i="49"/>
  <c r="AA278" i="49"/>
  <c r="Z278" i="49"/>
  <c r="X278" i="49"/>
  <c r="W278" i="49"/>
  <c r="R278" i="49"/>
  <c r="F278" i="49"/>
  <c r="F277" i="49"/>
  <c r="F276" i="49"/>
  <c r="L276" i="49" s="1"/>
  <c r="F275" i="49"/>
  <c r="J275" i="49" s="1"/>
  <c r="AE274" i="49"/>
  <c r="AD274" i="49"/>
  <c r="AC274" i="49"/>
  <c r="AB274" i="49"/>
  <c r="W274" i="49"/>
  <c r="F274" i="49"/>
  <c r="M274" i="49" s="1"/>
  <c r="F273" i="49"/>
  <c r="N273" i="49" s="1"/>
  <c r="F272" i="49"/>
  <c r="N272" i="49" s="1"/>
  <c r="AE271" i="49"/>
  <c r="AA271" i="49"/>
  <c r="Z271" i="49"/>
  <c r="V271" i="49"/>
  <c r="F271" i="49"/>
  <c r="N271" i="49" s="1"/>
  <c r="R270" i="49"/>
  <c r="K270" i="49"/>
  <c r="S270" i="49" s="1"/>
  <c r="R269" i="49"/>
  <c r="K269" i="49"/>
  <c r="Y269" i="49" s="1"/>
  <c r="F269" i="49"/>
  <c r="N269" i="49" s="1"/>
  <c r="AB269" i="49" s="1"/>
  <c r="R268" i="49"/>
  <c r="K268" i="49"/>
  <c r="S268" i="49" s="1"/>
  <c r="F268" i="49"/>
  <c r="F267" i="49"/>
  <c r="J267" i="49" s="1"/>
  <c r="F266" i="49"/>
  <c r="G266" i="49" s="1"/>
  <c r="F265" i="49"/>
  <c r="L265" i="49" s="1"/>
  <c r="F264" i="49"/>
  <c r="AE263" i="49"/>
  <c r="AD263" i="49"/>
  <c r="AC263" i="49"/>
  <c r="AB263" i="49"/>
  <c r="W263" i="49"/>
  <c r="F263" i="49"/>
  <c r="H263" i="49" s="1"/>
  <c r="F262" i="49"/>
  <c r="J262" i="49" s="1"/>
  <c r="G261" i="49"/>
  <c r="F261" i="49"/>
  <c r="J261" i="49" s="1"/>
  <c r="F260" i="49"/>
  <c r="F259" i="49"/>
  <c r="L259" i="49" s="1"/>
  <c r="AE258" i="49"/>
  <c r="AD258" i="49"/>
  <c r="AC258" i="49"/>
  <c r="AB258" i="49"/>
  <c r="I258" i="49"/>
  <c r="W258" i="49" s="1"/>
  <c r="F258" i="49"/>
  <c r="J258" i="49" s="1"/>
  <c r="F257" i="49"/>
  <c r="M257" i="49" s="1"/>
  <c r="F256" i="49"/>
  <c r="O256" i="49" s="1"/>
  <c r="F255" i="49"/>
  <c r="L255" i="49" s="1"/>
  <c r="F254" i="49"/>
  <c r="N254" i="49" s="1"/>
  <c r="AE253" i="49"/>
  <c r="AD253" i="49"/>
  <c r="W253" i="49"/>
  <c r="U253" i="49"/>
  <c r="F253" i="49"/>
  <c r="R252" i="49"/>
  <c r="F252" i="49"/>
  <c r="H252" i="49" s="1"/>
  <c r="K252" i="49" s="1"/>
  <c r="S252" i="49" s="1"/>
  <c r="R251" i="49"/>
  <c r="F251" i="49"/>
  <c r="H251" i="49" s="1"/>
  <c r="K251" i="49" s="1"/>
  <c r="S251" i="49" s="1"/>
  <c r="R250" i="49"/>
  <c r="F250" i="49"/>
  <c r="H250" i="49" s="1"/>
  <c r="K250" i="49" s="1"/>
  <c r="S250" i="49" s="1"/>
  <c r="R249" i="49"/>
  <c r="F249" i="49"/>
  <c r="H249" i="49" s="1"/>
  <c r="K249" i="49" s="1"/>
  <c r="S249" i="49" s="1"/>
  <c r="R248" i="49"/>
  <c r="F248" i="49"/>
  <c r="H248" i="49" s="1"/>
  <c r="K248" i="49" s="1"/>
  <c r="S248" i="49" s="1"/>
  <c r="R247" i="49"/>
  <c r="F247" i="49"/>
  <c r="H247" i="49" s="1"/>
  <c r="K247" i="49" s="1"/>
  <c r="S247" i="49" s="1"/>
  <c r="R246" i="49"/>
  <c r="F246" i="49"/>
  <c r="H246" i="49" s="1"/>
  <c r="K246" i="49" s="1"/>
  <c r="S246" i="49" s="1"/>
  <c r="AE245" i="49"/>
  <c r="AD245" i="49"/>
  <c r="AC245" i="49"/>
  <c r="AB245" i="49"/>
  <c r="AA245" i="49"/>
  <c r="Z245" i="49"/>
  <c r="X245" i="49"/>
  <c r="W245" i="49"/>
  <c r="U245" i="49"/>
  <c r="R245" i="49"/>
  <c r="F245" i="49"/>
  <c r="H245" i="49" s="1"/>
  <c r="K245" i="49" s="1"/>
  <c r="S245" i="49" s="1"/>
  <c r="R244" i="49"/>
  <c r="N244" i="49"/>
  <c r="L244" i="49"/>
  <c r="I244" i="49"/>
  <c r="H244" i="49"/>
  <c r="G244" i="49"/>
  <c r="U244" i="49" s="1"/>
  <c r="AD243" i="49"/>
  <c r="AB243" i="49"/>
  <c r="W243" i="49"/>
  <c r="U243" i="49"/>
  <c r="R243" i="49"/>
  <c r="AF243" i="49" s="1"/>
  <c r="F243" i="49"/>
  <c r="L243" i="49" s="1"/>
  <c r="Z243" i="49" s="1"/>
  <c r="R242" i="49"/>
  <c r="L242" i="49"/>
  <c r="G242" i="49"/>
  <c r="R241" i="49"/>
  <c r="L241" i="49"/>
  <c r="G241" i="49"/>
  <c r="K241" i="49" s="1"/>
  <c r="R240" i="49"/>
  <c r="L240" i="49"/>
  <c r="G240" i="49"/>
  <c r="K240" i="49" s="1"/>
  <c r="Z239" i="49"/>
  <c r="U239" i="49"/>
  <c r="R239" i="49"/>
  <c r="AF239" i="49" s="1"/>
  <c r="P239" i="49"/>
  <c r="AD239" i="49" s="1"/>
  <c r="N239" i="49"/>
  <c r="AB239" i="49" s="1"/>
  <c r="I239" i="49"/>
  <c r="H239" i="49"/>
  <c r="V239" i="49" s="1"/>
  <c r="R238" i="49"/>
  <c r="K238" i="49"/>
  <c r="S238" i="49" s="1"/>
  <c r="R237" i="49"/>
  <c r="K237" i="49"/>
  <c r="S237" i="49" s="1"/>
  <c r="R236" i="49"/>
  <c r="K236" i="49"/>
  <c r="S236" i="49" s="1"/>
  <c r="R235" i="49"/>
  <c r="K235" i="49"/>
  <c r="S235" i="49" s="1"/>
  <c r="F235" i="49"/>
  <c r="R234" i="49"/>
  <c r="K234" i="49"/>
  <c r="S234" i="49" s="1"/>
  <c r="F234" i="49"/>
  <c r="R233" i="49"/>
  <c r="K233" i="49"/>
  <c r="S233" i="49" s="1"/>
  <c r="F233" i="49"/>
  <c r="R232" i="49"/>
  <c r="K232" i="49"/>
  <c r="S232" i="49" s="1"/>
  <c r="F232" i="49"/>
  <c r="R231" i="49"/>
  <c r="K231" i="49"/>
  <c r="S231" i="49" s="1"/>
  <c r="F231" i="49"/>
  <c r="R230" i="49"/>
  <c r="K230" i="49"/>
  <c r="S230" i="49" s="1"/>
  <c r="F230" i="49"/>
  <c r="R229" i="49"/>
  <c r="K229" i="49"/>
  <c r="S229" i="49" s="1"/>
  <c r="F229" i="49"/>
  <c r="R228" i="49"/>
  <c r="K228" i="49"/>
  <c r="S228" i="49" s="1"/>
  <c r="F228" i="49"/>
  <c r="R227" i="49"/>
  <c r="K227" i="49"/>
  <c r="S227" i="49" s="1"/>
  <c r="F227" i="49"/>
  <c r="R226" i="49"/>
  <c r="AF225" i="49" s="1"/>
  <c r="N226" i="49"/>
  <c r="AB225" i="49" s="1"/>
  <c r="F226" i="49"/>
  <c r="AE225" i="49"/>
  <c r="AC225" i="49"/>
  <c r="AA225" i="49"/>
  <c r="X225" i="49"/>
  <c r="U225" i="49"/>
  <c r="R225" i="49"/>
  <c r="F225" i="49"/>
  <c r="L225" i="49" s="1"/>
  <c r="F224" i="49"/>
  <c r="F223" i="49"/>
  <c r="H223" i="49" s="1"/>
  <c r="F222" i="49"/>
  <c r="N222" i="49" s="1"/>
  <c r="F221" i="49"/>
  <c r="N221" i="49" s="1"/>
  <c r="F220" i="49"/>
  <c r="N220" i="49" s="1"/>
  <c r="F219" i="49"/>
  <c r="N219" i="49" s="1"/>
  <c r="F218" i="49"/>
  <c r="N218" i="49" s="1"/>
  <c r="F217" i="49"/>
  <c r="F216" i="49"/>
  <c r="O216" i="49" s="1"/>
  <c r="F215" i="49"/>
  <c r="H215" i="49" s="1"/>
  <c r="F214" i="49"/>
  <c r="F213" i="49"/>
  <c r="N213" i="49" s="1"/>
  <c r="F212" i="49"/>
  <c r="N212" i="49" s="1"/>
  <c r="F211" i="49"/>
  <c r="F210" i="49"/>
  <c r="O210" i="49" s="1"/>
  <c r="F209" i="49"/>
  <c r="F208" i="49"/>
  <c r="F207" i="49"/>
  <c r="F206" i="49"/>
  <c r="F205" i="49"/>
  <c r="F204" i="49"/>
  <c r="F203" i="49"/>
  <c r="F202" i="49"/>
  <c r="N202" i="49" s="1"/>
  <c r="F201" i="49"/>
  <c r="N201" i="49" s="1"/>
  <c r="F200" i="49"/>
  <c r="N200" i="49" s="1"/>
  <c r="F199" i="49"/>
  <c r="F198" i="49"/>
  <c r="F197" i="49"/>
  <c r="F196" i="49"/>
  <c r="O196" i="49" s="1"/>
  <c r="F195" i="49"/>
  <c r="N195" i="49" s="1"/>
  <c r="F194" i="49"/>
  <c r="F193" i="49"/>
  <c r="O193" i="49" s="1"/>
  <c r="F192" i="49"/>
  <c r="N192" i="49" s="1"/>
  <c r="F191" i="49"/>
  <c r="F190" i="49"/>
  <c r="F189" i="49"/>
  <c r="H189" i="49" s="1"/>
  <c r="F188" i="49"/>
  <c r="N188" i="49" s="1"/>
  <c r="F187" i="49"/>
  <c r="F186" i="49"/>
  <c r="F185" i="49"/>
  <c r="AE184" i="49"/>
  <c r="AD184" i="49"/>
  <c r="AA184" i="49"/>
  <c r="Z184" i="49"/>
  <c r="W184" i="49"/>
  <c r="U184" i="49"/>
  <c r="F184" i="49"/>
  <c r="J184" i="49" s="1"/>
  <c r="F183" i="49"/>
  <c r="J183" i="49" s="1"/>
  <c r="R183" i="49" s="1"/>
  <c r="F182" i="49"/>
  <c r="I182" i="49" s="1"/>
  <c r="F181" i="49"/>
  <c r="J181" i="49" s="1"/>
  <c r="R181" i="49" s="1"/>
  <c r="F180" i="49"/>
  <c r="L180" i="49" s="1"/>
  <c r="F179" i="49"/>
  <c r="I179" i="49" s="1"/>
  <c r="F178" i="49"/>
  <c r="J178" i="49" s="1"/>
  <c r="R178" i="49" s="1"/>
  <c r="AE177" i="49"/>
  <c r="AC177" i="49"/>
  <c r="AB177" i="49"/>
  <c r="F177" i="49"/>
  <c r="I177" i="49" s="1"/>
  <c r="F176" i="49"/>
  <c r="N176" i="49" s="1"/>
  <c r="F175" i="49"/>
  <c r="N175" i="49" s="1"/>
  <c r="F174" i="49"/>
  <c r="N174" i="49" s="1"/>
  <c r="F173" i="49"/>
  <c r="N173" i="49" s="1"/>
  <c r="F172" i="49"/>
  <c r="N172" i="49" s="1"/>
  <c r="AE171" i="49"/>
  <c r="AD171" i="49"/>
  <c r="AA171" i="49"/>
  <c r="Z171" i="49"/>
  <c r="W171" i="49"/>
  <c r="U171" i="49"/>
  <c r="F171" i="49"/>
  <c r="H171" i="49" s="1"/>
  <c r="F170" i="49"/>
  <c r="L170" i="49" s="1"/>
  <c r="F169" i="49"/>
  <c r="J169" i="49" s="1"/>
  <c r="AE168" i="49"/>
  <c r="AD168" i="49"/>
  <c r="AC168" i="49"/>
  <c r="N168" i="49"/>
  <c r="AB168" i="49" s="1"/>
  <c r="F168" i="49"/>
  <c r="R167" i="49"/>
  <c r="AF167" i="49" s="1"/>
  <c r="N167" i="49"/>
  <c r="AB167" i="49" s="1"/>
  <c r="H167" i="49"/>
  <c r="G167" i="49"/>
  <c r="U167" i="49" s="1"/>
  <c r="R166" i="49"/>
  <c r="N166" i="49"/>
  <c r="H166" i="49"/>
  <c r="G166" i="49"/>
  <c r="R165" i="49"/>
  <c r="N165" i="49"/>
  <c r="H165" i="49"/>
  <c r="G165" i="49"/>
  <c r="R164" i="49"/>
  <c r="N164" i="49"/>
  <c r="G164" i="49"/>
  <c r="K164" i="49" s="1"/>
  <c r="R163" i="49"/>
  <c r="N163" i="49"/>
  <c r="G163" i="49"/>
  <c r="K163" i="49" s="1"/>
  <c r="AD162" i="49"/>
  <c r="Z162" i="49"/>
  <c r="R162" i="49"/>
  <c r="N162" i="49"/>
  <c r="I162" i="49"/>
  <c r="W162" i="49" s="1"/>
  <c r="G162" i="49"/>
  <c r="F161" i="49"/>
  <c r="Q161" i="49" s="1"/>
  <c r="F160" i="49"/>
  <c r="F159" i="49"/>
  <c r="F158" i="49"/>
  <c r="AC157" i="49"/>
  <c r="M157" i="49"/>
  <c r="AA157" i="49" s="1"/>
  <c r="F157" i="49"/>
  <c r="P157" i="49" s="1"/>
  <c r="R156" i="49"/>
  <c r="K156" i="49"/>
  <c r="S156" i="49" s="1"/>
  <c r="F156" i="49"/>
  <c r="R155" i="49"/>
  <c r="L155" i="49"/>
  <c r="H155" i="49"/>
  <c r="G155" i="49"/>
  <c r="R154" i="49"/>
  <c r="L154" i="49"/>
  <c r="H154" i="49"/>
  <c r="G154" i="49"/>
  <c r="R153" i="49"/>
  <c r="L153" i="49"/>
  <c r="H153" i="49"/>
  <c r="G153" i="49"/>
  <c r="R152" i="49"/>
  <c r="L152" i="49"/>
  <c r="H152" i="49"/>
  <c r="G152" i="49"/>
  <c r="AD151" i="49"/>
  <c r="AB151" i="49"/>
  <c r="W151" i="49"/>
  <c r="R151" i="49"/>
  <c r="L151" i="49"/>
  <c r="H151" i="49"/>
  <c r="G151" i="49"/>
  <c r="R150" i="49"/>
  <c r="F150" i="49"/>
  <c r="R149" i="49"/>
  <c r="F149" i="49"/>
  <c r="R148" i="49"/>
  <c r="F148" i="49"/>
  <c r="G148" i="49" s="1"/>
  <c r="K148" i="49" s="1"/>
  <c r="S148" i="49" s="1"/>
  <c r="R147" i="49"/>
  <c r="F147" i="49"/>
  <c r="G147" i="49" s="1"/>
  <c r="K147" i="49" s="1"/>
  <c r="R146" i="49"/>
  <c r="F146" i="49"/>
  <c r="G146" i="49" s="1"/>
  <c r="K146" i="49" s="1"/>
  <c r="S146" i="49" s="1"/>
  <c r="AE145" i="49"/>
  <c r="AD145" i="49"/>
  <c r="AC145" i="49"/>
  <c r="AA145" i="49"/>
  <c r="Z145" i="49"/>
  <c r="X145" i="49"/>
  <c r="W145" i="49"/>
  <c r="V145" i="49"/>
  <c r="R145" i="49"/>
  <c r="F145" i="49"/>
  <c r="R144" i="49"/>
  <c r="F144" i="49"/>
  <c r="N144" i="49" s="1"/>
  <c r="AB144" i="49" s="1"/>
  <c r="AE143" i="49"/>
  <c r="AD143" i="49"/>
  <c r="AC143" i="49"/>
  <c r="AB143" i="49"/>
  <c r="AA143" i="49"/>
  <c r="Z143" i="49"/>
  <c r="X143" i="49"/>
  <c r="W143" i="49"/>
  <c r="R143" i="49"/>
  <c r="AF143" i="49" s="1"/>
  <c r="F143" i="49"/>
  <c r="H143" i="49" s="1"/>
  <c r="V143" i="49" s="1"/>
  <c r="R142" i="49"/>
  <c r="H142" i="49"/>
  <c r="V142" i="49" s="1"/>
  <c r="G142" i="49"/>
  <c r="R141" i="49"/>
  <c r="G141" i="49"/>
  <c r="F141" i="49"/>
  <c r="H141" i="49" s="1"/>
  <c r="V141" i="49" s="1"/>
  <c r="R140" i="49"/>
  <c r="K140" i="49"/>
  <c r="S140" i="49" s="1"/>
  <c r="R139" i="49"/>
  <c r="L139" i="49"/>
  <c r="H139" i="49"/>
  <c r="G139" i="49"/>
  <c r="R138" i="49"/>
  <c r="L138" i="49"/>
  <c r="H138" i="49"/>
  <c r="G138" i="49"/>
  <c r="R137" i="49"/>
  <c r="L137" i="49"/>
  <c r="H137" i="49"/>
  <c r="G137" i="49"/>
  <c r="R136" i="49"/>
  <c r="L136" i="49"/>
  <c r="H136" i="49"/>
  <c r="G136" i="49"/>
  <c r="AD135" i="49"/>
  <c r="AB135" i="49"/>
  <c r="W135" i="49"/>
  <c r="R135" i="49"/>
  <c r="L135" i="49"/>
  <c r="H135" i="49"/>
  <c r="G135" i="49"/>
  <c r="R134" i="49"/>
  <c r="AF134" i="49" s="1"/>
  <c r="P134" i="49"/>
  <c r="AD134" i="49" s="1"/>
  <c r="L134" i="49"/>
  <c r="Z134" i="49" s="1"/>
  <c r="I134" i="49"/>
  <c r="W134" i="49" s="1"/>
  <c r="F134" i="49"/>
  <c r="G134" i="49" s="1"/>
  <c r="U134" i="49" s="1"/>
  <c r="F133" i="49"/>
  <c r="J133" i="49" s="1"/>
  <c r="F132" i="49"/>
  <c r="F131" i="49"/>
  <c r="F130" i="49"/>
  <c r="L130" i="49" s="1"/>
  <c r="F129" i="49"/>
  <c r="L129" i="49" s="1"/>
  <c r="F128" i="49"/>
  <c r="F127" i="49"/>
  <c r="AE126" i="49"/>
  <c r="AD126" i="49"/>
  <c r="AC126" i="49"/>
  <c r="AB126" i="49"/>
  <c r="I126" i="49"/>
  <c r="W126" i="49" s="1"/>
  <c r="F126" i="49"/>
  <c r="F125" i="49"/>
  <c r="N125" i="49" s="1"/>
  <c r="F124" i="49"/>
  <c r="O124" i="49" s="1"/>
  <c r="F123" i="49"/>
  <c r="J123" i="49" s="1"/>
  <c r="F122" i="49"/>
  <c r="N122" i="49" s="1"/>
  <c r="F121" i="49"/>
  <c r="J121" i="49" s="1"/>
  <c r="R120" i="49"/>
  <c r="AF120" i="49" s="1"/>
  <c r="F120" i="49"/>
  <c r="H120" i="49" s="1"/>
  <c r="R119" i="49"/>
  <c r="G119" i="49"/>
  <c r="F119" i="49"/>
  <c r="H119" i="49" s="1"/>
  <c r="R118" i="49"/>
  <c r="G118" i="49"/>
  <c r="F118" i="49"/>
  <c r="R117" i="49"/>
  <c r="G117" i="49"/>
  <c r="F117" i="49"/>
  <c r="L117" i="49" s="1"/>
  <c r="R116" i="49"/>
  <c r="G116" i="49"/>
  <c r="F116" i="49"/>
  <c r="L116" i="49" s="1"/>
  <c r="AD115" i="49"/>
  <c r="AB115" i="49"/>
  <c r="W115" i="49"/>
  <c r="R115" i="49"/>
  <c r="G115" i="49"/>
  <c r="F115" i="49"/>
  <c r="R114" i="49"/>
  <c r="K114" i="49"/>
  <c r="S114" i="49" s="1"/>
  <c r="F114" i="49"/>
  <c r="F113" i="49"/>
  <c r="L113" i="49" s="1"/>
  <c r="F112" i="49"/>
  <c r="F111" i="49"/>
  <c r="F110" i="49"/>
  <c r="L110" i="49" s="1"/>
  <c r="W109" i="49"/>
  <c r="Q109" i="49"/>
  <c r="F109" i="49"/>
  <c r="N109" i="49" s="1"/>
  <c r="R108" i="49"/>
  <c r="F108" i="49"/>
  <c r="G108" i="49" s="1"/>
  <c r="R107" i="49"/>
  <c r="F107" i="49"/>
  <c r="P107" i="49" s="1"/>
  <c r="R106" i="49"/>
  <c r="F106" i="49"/>
  <c r="L106" i="49" s="1"/>
  <c r="R105" i="49"/>
  <c r="F105" i="49"/>
  <c r="AB104" i="49"/>
  <c r="R104" i="49"/>
  <c r="F104" i="49"/>
  <c r="AE103" i="49"/>
  <c r="AD103" i="49"/>
  <c r="AC103" i="49"/>
  <c r="AA103" i="49"/>
  <c r="Z103" i="49"/>
  <c r="W103" i="49"/>
  <c r="F103" i="49"/>
  <c r="J103" i="49" s="1"/>
  <c r="X103" i="49" s="1"/>
  <c r="R102" i="49"/>
  <c r="AF102" i="49" s="1"/>
  <c r="H102" i="49"/>
  <c r="V102" i="49" s="1"/>
  <c r="G102" i="49"/>
  <c r="F101" i="49"/>
  <c r="J101" i="49" s="1"/>
  <c r="F100" i="49"/>
  <c r="F99" i="49"/>
  <c r="J99" i="49" s="1"/>
  <c r="F98" i="49"/>
  <c r="I98" i="49" s="1"/>
  <c r="F97" i="49"/>
  <c r="I97" i="49" s="1"/>
  <c r="F96" i="49"/>
  <c r="I96" i="49" s="1"/>
  <c r="F95" i="49"/>
  <c r="F94" i="49"/>
  <c r="M94" i="49" s="1"/>
  <c r="F93" i="49"/>
  <c r="I93" i="49" s="1"/>
  <c r="F92" i="49"/>
  <c r="O92" i="49" s="1"/>
  <c r="AE91" i="49"/>
  <c r="F91" i="49"/>
  <c r="J91" i="49" s="1"/>
  <c r="F90" i="49"/>
  <c r="L90" i="49" s="1"/>
  <c r="F89" i="49"/>
  <c r="J89" i="49" s="1"/>
  <c r="F88" i="49"/>
  <c r="L88" i="49" s="1"/>
  <c r="F87" i="49"/>
  <c r="J87" i="49" s="1"/>
  <c r="F86" i="49"/>
  <c r="M86" i="49" s="1"/>
  <c r="AC85" i="49"/>
  <c r="AB85" i="49"/>
  <c r="W85" i="49"/>
  <c r="F85" i="49"/>
  <c r="Q85" i="49" s="1"/>
  <c r="F84" i="49"/>
  <c r="F83" i="49"/>
  <c r="F82" i="49"/>
  <c r="F81" i="49"/>
  <c r="Z80" i="49"/>
  <c r="F80" i="49"/>
  <c r="F79" i="49"/>
  <c r="N79" i="49" s="1"/>
  <c r="F78" i="49"/>
  <c r="N78" i="49" s="1"/>
  <c r="F77" i="49"/>
  <c r="N77" i="49" s="1"/>
  <c r="F76" i="49"/>
  <c r="N76" i="49" s="1"/>
  <c r="AE75" i="49"/>
  <c r="AD75" i="49"/>
  <c r="AA75" i="49"/>
  <c r="Z75" i="49"/>
  <c r="W75" i="49"/>
  <c r="U75" i="49"/>
  <c r="F75" i="49"/>
  <c r="N75" i="49" s="1"/>
  <c r="F74" i="49"/>
  <c r="H74" i="49" s="1"/>
  <c r="AG73" i="49"/>
  <c r="F73" i="49"/>
  <c r="P73" i="49" s="1"/>
  <c r="P72" i="49"/>
  <c r="I72" i="49"/>
  <c r="W71" i="49" s="1"/>
  <c r="F72" i="49"/>
  <c r="G72" i="49" s="1"/>
  <c r="AE71" i="49"/>
  <c r="AC71" i="49"/>
  <c r="AA71" i="49"/>
  <c r="F71" i="49"/>
  <c r="N71" i="49" s="1"/>
  <c r="AD69" i="49"/>
  <c r="AC69" i="49"/>
  <c r="AB69" i="49"/>
  <c r="AA69" i="49"/>
  <c r="Z69" i="49"/>
  <c r="X69" i="49"/>
  <c r="W69" i="49"/>
  <c r="AF69" i="49"/>
  <c r="AE68" i="49"/>
  <c r="AD68" i="49"/>
  <c r="AC68" i="49"/>
  <c r="AA68" i="49"/>
  <c r="Z68" i="49"/>
  <c r="X68" i="49"/>
  <c r="W68" i="49"/>
  <c r="R68" i="49"/>
  <c r="AF68" i="49" s="1"/>
  <c r="G68" i="49"/>
  <c r="F68" i="49"/>
  <c r="N68" i="49" s="1"/>
  <c r="AB68" i="49" s="1"/>
  <c r="R67" i="49"/>
  <c r="F67" i="49"/>
  <c r="G67" i="49" s="1"/>
  <c r="K67" i="49" s="1"/>
  <c r="R66" i="49"/>
  <c r="F66" i="49"/>
  <c r="N66" i="49" s="1"/>
  <c r="R65" i="49"/>
  <c r="F65" i="49"/>
  <c r="I65" i="49" s="1"/>
  <c r="W63" i="49" s="1"/>
  <c r="R64" i="49"/>
  <c r="F64" i="49"/>
  <c r="G64" i="49" s="1"/>
  <c r="K64" i="49" s="1"/>
  <c r="AE63" i="49"/>
  <c r="AC63" i="49"/>
  <c r="AA63" i="49"/>
  <c r="Z63" i="49"/>
  <c r="X63" i="49"/>
  <c r="V63" i="49"/>
  <c r="R63" i="49"/>
  <c r="F63" i="49"/>
  <c r="G63" i="49" s="1"/>
  <c r="R62" i="49"/>
  <c r="F62" i="49"/>
  <c r="L62" i="49" s="1"/>
  <c r="R61" i="49"/>
  <c r="F61" i="49"/>
  <c r="L61" i="49" s="1"/>
  <c r="R60" i="49"/>
  <c r="F60" i="49"/>
  <c r="H60" i="49" s="1"/>
  <c r="R59" i="49"/>
  <c r="F59" i="49"/>
  <c r="G59" i="49" s="1"/>
  <c r="R58" i="49"/>
  <c r="F58" i="49"/>
  <c r="L58" i="49" s="1"/>
  <c r="AD57" i="49"/>
  <c r="AB57" i="49"/>
  <c r="W57" i="49"/>
  <c r="R57" i="49"/>
  <c r="F57" i="49"/>
  <c r="L57" i="49" s="1"/>
  <c r="R56" i="49"/>
  <c r="F56" i="49"/>
  <c r="N56" i="49" s="1"/>
  <c r="R55" i="49"/>
  <c r="H55" i="49"/>
  <c r="F55" i="49"/>
  <c r="G55" i="49" s="1"/>
  <c r="R54" i="49"/>
  <c r="F54" i="49"/>
  <c r="G54" i="49" s="1"/>
  <c r="R53" i="49"/>
  <c r="F53" i="49"/>
  <c r="N53" i="49" s="1"/>
  <c r="R52" i="49"/>
  <c r="F52" i="49"/>
  <c r="G52" i="49" s="1"/>
  <c r="AE51" i="49"/>
  <c r="AD51" i="49"/>
  <c r="AC51" i="49"/>
  <c r="AA51" i="49"/>
  <c r="Z51" i="49"/>
  <c r="X51" i="49"/>
  <c r="W51" i="49"/>
  <c r="R51" i="49"/>
  <c r="F51" i="49"/>
  <c r="G51" i="49" s="1"/>
  <c r="R50" i="49"/>
  <c r="AF50" i="49" s="1"/>
  <c r="L50" i="49"/>
  <c r="Z50" i="49" s="1"/>
  <c r="H50" i="49"/>
  <c r="V50" i="49" s="1"/>
  <c r="G50" i="49"/>
  <c r="U50" i="49" s="1"/>
  <c r="F49" i="49"/>
  <c r="M49" i="49" s="1"/>
  <c r="F48" i="49"/>
  <c r="O48" i="49" s="1"/>
  <c r="F47" i="49"/>
  <c r="M47" i="49" s="1"/>
  <c r="F46" i="49"/>
  <c r="O46" i="49" s="1"/>
  <c r="AE45" i="49"/>
  <c r="AD45" i="49"/>
  <c r="W45" i="49"/>
  <c r="V45" i="49"/>
  <c r="F45" i="49"/>
  <c r="N45" i="49" s="1"/>
  <c r="R44" i="49"/>
  <c r="L44" i="49"/>
  <c r="G44" i="49"/>
  <c r="K44" i="49" s="1"/>
  <c r="R43" i="49"/>
  <c r="L43" i="49"/>
  <c r="G43" i="49"/>
  <c r="K43" i="49" s="1"/>
  <c r="R42" i="49"/>
  <c r="L42" i="49"/>
  <c r="G42" i="49"/>
  <c r="K42" i="49" s="1"/>
  <c r="R41" i="49"/>
  <c r="L41" i="49"/>
  <c r="G41" i="49"/>
  <c r="K41" i="49" s="1"/>
  <c r="AD40" i="49"/>
  <c r="AB40" i="49"/>
  <c r="W40" i="49"/>
  <c r="V40" i="49"/>
  <c r="R40" i="49"/>
  <c r="L40" i="49"/>
  <c r="G40" i="49"/>
  <c r="K40" i="49" s="1"/>
  <c r="F39" i="49"/>
  <c r="S39" i="49" s="1"/>
  <c r="F38" i="49"/>
  <c r="S38" i="49" s="1"/>
  <c r="F37" i="49"/>
  <c r="S37" i="49" s="1"/>
  <c r="AG37" i="49" s="1"/>
  <c r="J36" i="49"/>
  <c r="F36" i="49"/>
  <c r="L36" i="49" s="1"/>
  <c r="F35" i="49"/>
  <c r="L35" i="49" s="1"/>
  <c r="F34" i="49"/>
  <c r="O34" i="49" s="1"/>
  <c r="F33" i="49"/>
  <c r="N33" i="49" s="1"/>
  <c r="F32" i="49"/>
  <c r="O32" i="49" s="1"/>
  <c r="R32" i="49" s="1"/>
  <c r="F31" i="49"/>
  <c r="N31" i="49" s="1"/>
  <c r="F30" i="49"/>
  <c r="AE29" i="49"/>
  <c r="AD29" i="49"/>
  <c r="F29" i="49"/>
  <c r="M29" i="49" s="1"/>
  <c r="R28" i="49"/>
  <c r="F28" i="49"/>
  <c r="G28" i="49" s="1"/>
  <c r="R27" i="49"/>
  <c r="F27" i="49"/>
  <c r="R26" i="49"/>
  <c r="L26" i="49"/>
  <c r="F26" i="49"/>
  <c r="H26" i="49" s="1"/>
  <c r="R25" i="49"/>
  <c r="F25" i="49"/>
  <c r="N25" i="49" s="1"/>
  <c r="AE24" i="49"/>
  <c r="AD24" i="49"/>
  <c r="AA24" i="49"/>
  <c r="Z24" i="49"/>
  <c r="W24" i="49"/>
  <c r="F24" i="49"/>
  <c r="R23" i="49"/>
  <c r="K23" i="49"/>
  <c r="S23" i="49" s="1"/>
  <c r="F23" i="49"/>
  <c r="R22" i="49"/>
  <c r="K22" i="49"/>
  <c r="S22" i="49" s="1"/>
  <c r="F22" i="49"/>
  <c r="R21" i="49"/>
  <c r="K21" i="49"/>
  <c r="S21" i="49" s="1"/>
  <c r="F21" i="49"/>
  <c r="R20" i="49"/>
  <c r="F20" i="49"/>
  <c r="L20" i="49" s="1"/>
  <c r="R19" i="49"/>
  <c r="F19" i="49"/>
  <c r="G19" i="49" s="1"/>
  <c r="R18" i="49"/>
  <c r="F18" i="49"/>
  <c r="H18" i="49" s="1"/>
  <c r="R17" i="49"/>
  <c r="F17" i="49"/>
  <c r="G17" i="49" s="1"/>
  <c r="R16" i="49"/>
  <c r="K16" i="49"/>
  <c r="S16" i="49" s="1"/>
  <c r="F16" i="49"/>
  <c r="AE15" i="49"/>
  <c r="AD15" i="49"/>
  <c r="AC15" i="49"/>
  <c r="AB15" i="49"/>
  <c r="AA15" i="49"/>
  <c r="X15" i="49"/>
  <c r="W15" i="49"/>
  <c r="R15" i="49"/>
  <c r="F15" i="49"/>
  <c r="G15" i="49" s="1"/>
  <c r="AE14" i="49"/>
  <c r="AD14" i="49"/>
  <c r="AC14" i="49"/>
  <c r="AB14" i="49"/>
  <c r="I14" i="49"/>
  <c r="W14" i="49" s="1"/>
  <c r="H14" i="49"/>
  <c r="V14" i="49" s="1"/>
  <c r="F14" i="49"/>
  <c r="J14" i="49" s="1"/>
  <c r="F13" i="49"/>
  <c r="S13" i="49" s="1"/>
  <c r="F12" i="49"/>
  <c r="S12" i="49" s="1"/>
  <c r="F11" i="49"/>
  <c r="S11" i="49" s="1"/>
  <c r="F10" i="49"/>
  <c r="S10" i="49" s="1"/>
  <c r="F9" i="49"/>
  <c r="S9" i="49" s="1"/>
  <c r="F8" i="49"/>
  <c r="S8" i="49" s="1"/>
  <c r="U7" i="49"/>
  <c r="F7" i="49"/>
  <c r="S7" i="49" s="1"/>
  <c r="N534" i="48"/>
  <c r="N508" i="48"/>
  <c r="N501" i="48"/>
  <c r="N500" i="48"/>
  <c r="N528" i="48"/>
  <c r="N532" i="48"/>
  <c r="N509" i="48"/>
  <c r="N525" i="48"/>
  <c r="N507" i="48"/>
  <c r="N505" i="48"/>
  <c r="N519" i="48"/>
  <c r="N524" i="48"/>
  <c r="N533" i="48"/>
  <c r="N527" i="48"/>
  <c r="N526" i="48"/>
  <c r="N530" i="48"/>
  <c r="N518" i="48"/>
  <c r="N515" i="48"/>
  <c r="N516" i="48"/>
  <c r="N506" i="48"/>
  <c r="N522" i="48"/>
  <c r="N523" i="48"/>
  <c r="N521" i="48"/>
  <c r="N511" i="48"/>
  <c r="N510" i="48"/>
  <c r="N504" i="48"/>
  <c r="N502" i="48"/>
  <c r="N512" i="48"/>
  <c r="N517" i="48"/>
  <c r="N531" i="48"/>
  <c r="N514" i="48"/>
  <c r="N513" i="48"/>
  <c r="N529" i="48"/>
  <c r="N520" i="48"/>
  <c r="H689" i="47"/>
  <c r="H690" i="47"/>
  <c r="H691" i="47"/>
  <c r="H692" i="47"/>
  <c r="H693" i="47"/>
  <c r="H694" i="47"/>
  <c r="H501" i="47"/>
  <c r="H682" i="47"/>
  <c r="H658" i="47"/>
  <c r="H653" i="47"/>
  <c r="H629" i="47"/>
  <c r="H663" i="47"/>
  <c r="H650" i="47"/>
  <c r="H647" i="47"/>
  <c r="H626" i="47"/>
  <c r="H677" i="47"/>
  <c r="H685" i="47"/>
  <c r="H648" i="47"/>
  <c r="H649" i="47"/>
  <c r="H669" i="47"/>
  <c r="H681" i="47"/>
  <c r="H695" i="47"/>
  <c r="H696" i="47"/>
  <c r="H697" i="47"/>
  <c r="H528" i="47"/>
  <c r="H540" i="47"/>
  <c r="H572" i="47"/>
  <c r="H604" i="47"/>
  <c r="H597" i="47"/>
  <c r="H643" i="47"/>
  <c r="H630" i="47"/>
  <c r="H642" i="47"/>
  <c r="H686" i="47"/>
  <c r="H665" i="47"/>
  <c r="H612" i="47"/>
  <c r="H515" i="47"/>
  <c r="H507" i="47"/>
  <c r="H526" i="47"/>
  <c r="H514" i="47"/>
  <c r="H503" i="47"/>
  <c r="H510" i="47"/>
  <c r="H502" i="47"/>
  <c r="H504" i="47"/>
  <c r="H622" i="47"/>
  <c r="H610" i="47"/>
  <c r="H617" i="47"/>
  <c r="H607" i="47"/>
  <c r="H646" i="47"/>
  <c r="H614" i="47"/>
  <c r="H615" i="47"/>
  <c r="H664" i="47"/>
  <c r="H660" i="47"/>
  <c r="H678" i="47"/>
  <c r="H683" i="47"/>
  <c r="H679" i="47"/>
  <c r="H674" i="47"/>
  <c r="H684" i="47"/>
  <c r="H633" i="47"/>
  <c r="H634" i="47"/>
  <c r="H645" i="47"/>
  <c r="H656" i="47"/>
  <c r="H675" i="47"/>
  <c r="H635" i="47"/>
  <c r="H651" i="47"/>
  <c r="H655" i="47"/>
  <c r="H654" i="47"/>
  <c r="H639" i="47"/>
  <c r="H640" i="47"/>
  <c r="H625" i="47"/>
  <c r="H619" i="47"/>
  <c r="H666" i="47"/>
  <c r="H671" i="47"/>
  <c r="H661" i="47"/>
  <c r="H668" i="47"/>
  <c r="H657" i="47"/>
  <c r="H531" i="47"/>
  <c r="H591" i="47"/>
  <c r="H589" i="47"/>
  <c r="H611" i="47"/>
  <c r="H569" i="47"/>
  <c r="H608" i="47"/>
  <c r="H500" i="47"/>
  <c r="H584" i="47"/>
  <c r="H527" i="47"/>
  <c r="H562" i="47"/>
  <c r="H536" i="47"/>
  <c r="H538" i="47"/>
  <c r="H542" i="47"/>
  <c r="H577" i="47"/>
  <c r="H605" i="47"/>
  <c r="H627" i="47"/>
  <c r="H590" i="47"/>
  <c r="H576" i="47"/>
  <c r="H680" i="47"/>
  <c r="H687" i="47"/>
  <c r="H521" i="47"/>
  <c r="H561" i="47"/>
  <c r="H511" i="47"/>
  <c r="H585" i="47"/>
  <c r="H513" i="47"/>
  <c r="H557" i="47"/>
  <c r="H616" i="47"/>
  <c r="H606" i="47"/>
  <c r="H618" i="47"/>
  <c r="H571" i="47"/>
  <c r="H554" i="47"/>
  <c r="H624" i="47"/>
  <c r="H613" i="47"/>
  <c r="H609" i="47"/>
  <c r="H601" i="47"/>
  <c r="H596" i="47"/>
  <c r="H599" i="47"/>
  <c r="H555" i="47"/>
  <c r="H559" i="47"/>
  <c r="H537" i="47"/>
  <c r="H560" i="47"/>
  <c r="H594" i="47"/>
  <c r="H593" i="47"/>
  <c r="H600" i="47"/>
  <c r="H574" i="47"/>
  <c r="H587" i="47"/>
  <c r="H541" i="47"/>
  <c r="H523" i="47"/>
  <c r="H533" i="47"/>
  <c r="H558" i="47"/>
  <c r="H524" i="47"/>
  <c r="H578" i="47"/>
  <c r="H529" i="47"/>
  <c r="H581" i="47"/>
  <c r="H534" i="47"/>
  <c r="H556" i="47"/>
  <c r="H595" i="47"/>
  <c r="H546" i="47"/>
  <c r="H543" i="47"/>
  <c r="H570" i="47"/>
  <c r="H532" i="47"/>
  <c r="H582" i="47"/>
  <c r="H539" i="47"/>
  <c r="H545" i="47"/>
  <c r="H549" i="47"/>
  <c r="H573" i="47"/>
  <c r="H583" i="47"/>
  <c r="H547" i="47"/>
  <c r="H548" i="47"/>
  <c r="H544" i="47"/>
  <c r="H580" i="47"/>
  <c r="H530" i="47"/>
  <c r="H535" i="47"/>
  <c r="H586" i="47"/>
  <c r="H553" i="47"/>
  <c r="H579" i="47"/>
  <c r="H568" i="47"/>
  <c r="H552" i="47"/>
  <c r="H508" i="47"/>
  <c r="H506" i="47"/>
  <c r="H509" i="47"/>
  <c r="H522" i="47"/>
  <c r="H518" i="47"/>
  <c r="H516" i="47"/>
  <c r="H512" i="47"/>
  <c r="H505" i="47"/>
  <c r="H525" i="47"/>
  <c r="H517" i="47"/>
  <c r="H659" i="47"/>
  <c r="H550" i="47"/>
  <c r="H575" i="47"/>
  <c r="H563" i="47"/>
  <c r="H588" i="47"/>
  <c r="H621" i="47"/>
  <c r="H676" i="47"/>
  <c r="H638" i="47"/>
  <c r="H628" i="47"/>
  <c r="H670" i="47"/>
  <c r="H620" i="47"/>
  <c r="H673" i="47"/>
  <c r="H637" i="47"/>
  <c r="H662" i="47"/>
  <c r="H672" i="47"/>
  <c r="H592" i="47"/>
  <c r="H623" i="47"/>
  <c r="H519" i="47"/>
  <c r="H564" i="47"/>
  <c r="H565" i="47"/>
  <c r="H566" i="47"/>
  <c r="H567" i="47"/>
  <c r="H652" i="47"/>
  <c r="H632" i="47"/>
  <c r="H631" i="47"/>
  <c r="H667" i="47"/>
  <c r="H636" i="47"/>
  <c r="H598" i="47"/>
  <c r="H644" i="47"/>
  <c r="H641" i="47"/>
  <c r="H551" i="47"/>
  <c r="H603" i="47"/>
  <c r="H520" i="47"/>
  <c r="H602" i="47"/>
  <c r="H688" i="47"/>
  <c r="M625" i="46"/>
  <c r="M651" i="46"/>
  <c r="M616" i="46"/>
  <c r="M577" i="46"/>
  <c r="M626" i="46"/>
  <c r="M587" i="46"/>
  <c r="M633" i="46"/>
  <c r="M693" i="46"/>
  <c r="M627" i="46"/>
  <c r="M519" i="46"/>
  <c r="M536" i="46"/>
  <c r="M524" i="46"/>
  <c r="M508" i="46"/>
  <c r="M506" i="46"/>
  <c r="M501" i="46"/>
  <c r="M502" i="46"/>
  <c r="M500" i="46"/>
  <c r="M507" i="46"/>
  <c r="M504" i="46"/>
  <c r="M503" i="46"/>
  <c r="M685" i="46"/>
  <c r="M671" i="46"/>
  <c r="M683" i="46"/>
  <c r="M661" i="46"/>
  <c r="M670" i="46"/>
  <c r="M677" i="46"/>
  <c r="M665" i="46"/>
  <c r="M682" i="46"/>
  <c r="M691" i="46"/>
  <c r="M678" i="46"/>
  <c r="M679" i="46"/>
  <c r="M689" i="46"/>
  <c r="M690" i="46"/>
  <c r="M537" i="46"/>
  <c r="M545" i="46"/>
  <c r="M538" i="46"/>
  <c r="M551" i="46"/>
  <c r="M550" i="46"/>
  <c r="M659" i="46"/>
  <c r="M647" i="46"/>
  <c r="M650" i="46"/>
  <c r="M687" i="46"/>
  <c r="M639" i="46"/>
  <c r="M624" i="46"/>
  <c r="M532" i="46"/>
  <c r="M522" i="46"/>
  <c r="M530" i="46"/>
  <c r="M521" i="46"/>
  <c r="M514" i="46"/>
  <c r="M528" i="46"/>
  <c r="M511" i="46"/>
  <c r="M517" i="46"/>
  <c r="M618" i="46"/>
  <c r="M614" i="46"/>
  <c r="M634" i="46"/>
  <c r="M621" i="46"/>
  <c r="M643" i="46"/>
  <c r="M628" i="46"/>
  <c r="M629" i="46"/>
  <c r="M644" i="46"/>
  <c r="M664" i="46"/>
  <c r="M695" i="46"/>
  <c r="M696" i="46"/>
  <c r="M692" i="46"/>
  <c r="M694" i="46"/>
  <c r="M697" i="46"/>
  <c r="M656" i="46"/>
  <c r="M657" i="46"/>
  <c r="M675" i="46"/>
  <c r="M673" i="46"/>
  <c r="M680" i="46"/>
  <c r="M658" i="46"/>
  <c r="M640" i="46"/>
  <c r="M672" i="46"/>
  <c r="M662" i="46"/>
  <c r="M630" i="46"/>
  <c r="M652" i="46"/>
  <c r="M631" i="46"/>
  <c r="M635" i="46"/>
  <c r="M646" i="46"/>
  <c r="M688" i="46"/>
  <c r="M653" i="46"/>
  <c r="M686" i="46"/>
  <c r="M676" i="46"/>
  <c r="M603" i="46"/>
  <c r="M598" i="46"/>
  <c r="M594" i="46"/>
  <c r="M613" i="46"/>
  <c r="M554" i="46"/>
  <c r="M610" i="46"/>
  <c r="M526" i="46"/>
  <c r="M552" i="46"/>
  <c r="M584" i="46"/>
  <c r="M602" i="46"/>
  <c r="M547" i="46"/>
  <c r="M541" i="46"/>
  <c r="M561" i="46"/>
  <c r="M593" i="46"/>
  <c r="M596" i="46"/>
  <c r="M609" i="46"/>
  <c r="M590" i="46"/>
  <c r="M579" i="46"/>
  <c r="M654" i="46"/>
  <c r="M527" i="46"/>
  <c r="M531" i="46"/>
  <c r="M512" i="46"/>
  <c r="M533" i="46"/>
  <c r="M520" i="46"/>
  <c r="M534" i="46"/>
  <c r="M637" i="46"/>
  <c r="M648" i="46"/>
  <c r="M668" i="46"/>
  <c r="M641" i="46"/>
  <c r="M619" i="46"/>
  <c r="M660" i="46"/>
  <c r="M638" i="46"/>
  <c r="M623" i="46"/>
  <c r="M615" i="46"/>
  <c r="M622" i="46"/>
  <c r="M617" i="46"/>
  <c r="M611" i="46"/>
  <c r="M588" i="46"/>
  <c r="M600" i="46"/>
  <c r="M556" i="46"/>
  <c r="M604" i="46"/>
  <c r="M571" i="46"/>
  <c r="M606" i="46"/>
  <c r="M580" i="46"/>
  <c r="M586" i="46"/>
  <c r="M592" i="46"/>
  <c r="M546" i="46"/>
  <c r="M539" i="46"/>
  <c r="M560" i="46"/>
  <c r="M549" i="46"/>
  <c r="M572" i="46"/>
  <c r="M542" i="46"/>
  <c r="M599" i="46"/>
  <c r="M574" i="46"/>
  <c r="M575" i="46"/>
  <c r="M589" i="46"/>
  <c r="M576" i="46"/>
  <c r="M573" i="46"/>
  <c r="M543" i="46"/>
  <c r="M564" i="46"/>
  <c r="M585" i="46"/>
  <c r="M540" i="46"/>
  <c r="M559" i="46"/>
  <c r="M553" i="46"/>
  <c r="M591" i="46"/>
  <c r="M582" i="46"/>
  <c r="M557" i="46"/>
  <c r="M578" i="46"/>
  <c r="M555" i="46"/>
  <c r="M563" i="46"/>
  <c r="M562" i="46"/>
  <c r="M544" i="46"/>
  <c r="M570" i="46"/>
  <c r="M548" i="46"/>
  <c r="M558" i="46"/>
  <c r="M595" i="46"/>
  <c r="M597" i="46"/>
  <c r="M525" i="46"/>
  <c r="M529" i="46"/>
  <c r="M509" i="46"/>
  <c r="M518" i="46"/>
  <c r="M516" i="46"/>
  <c r="M513" i="46"/>
  <c r="M510" i="46"/>
  <c r="M505" i="46"/>
  <c r="M523" i="46"/>
  <c r="M515" i="46"/>
  <c r="M632" i="46"/>
  <c r="M583" i="46"/>
  <c r="M565" i="46"/>
  <c r="M608" i="46"/>
  <c r="M605" i="46"/>
  <c r="M601" i="46"/>
  <c r="M649" i="46"/>
  <c r="M612" i="46"/>
  <c r="M667" i="46"/>
  <c r="M645" i="46"/>
  <c r="M655" i="46"/>
  <c r="M684" i="46"/>
  <c r="M636" i="46"/>
  <c r="M666" i="46"/>
  <c r="M681" i="46"/>
  <c r="M581" i="46"/>
  <c r="M607" i="46"/>
  <c r="M535" i="46"/>
  <c r="M566" i="46"/>
  <c r="M567" i="46"/>
  <c r="M568" i="46"/>
  <c r="M569" i="46"/>
  <c r="M642" i="46"/>
  <c r="M669" i="46"/>
  <c r="M620" i="46"/>
  <c r="M674" i="46"/>
  <c r="M663" i="46"/>
  <c r="R379" i="49" l="1"/>
  <c r="S379" i="49" s="1"/>
  <c r="M45" i="53"/>
  <c r="O112" i="53"/>
  <c r="O213" i="53"/>
  <c r="R213" i="53" s="1"/>
  <c r="O31" i="53"/>
  <c r="L47" i="53"/>
  <c r="Z45" i="53" s="1"/>
  <c r="N73" i="53"/>
  <c r="S73" i="53" s="1"/>
  <c r="M83" i="53"/>
  <c r="P96" i="53"/>
  <c r="M122" i="53"/>
  <c r="Q125" i="53"/>
  <c r="L157" i="53"/>
  <c r="L159" i="53"/>
  <c r="O223" i="53"/>
  <c r="R223" i="53" s="1"/>
  <c r="AB286" i="56"/>
  <c r="P159" i="53"/>
  <c r="AD71" i="55"/>
  <c r="AA127" i="55"/>
  <c r="AA63" i="56"/>
  <c r="AD85" i="56"/>
  <c r="AB110" i="56"/>
  <c r="AA174" i="56"/>
  <c r="U246" i="56"/>
  <c r="AC248" i="56"/>
  <c r="AC256" i="56"/>
  <c r="AA266" i="56"/>
  <c r="M82" i="53"/>
  <c r="L96" i="53"/>
  <c r="M98" i="53"/>
  <c r="M125" i="53"/>
  <c r="R125" i="53" s="1"/>
  <c r="AA25" i="56"/>
  <c r="L91" i="53"/>
  <c r="L95" i="53"/>
  <c r="L97" i="53"/>
  <c r="P105" i="53"/>
  <c r="L110" i="53"/>
  <c r="M123" i="53"/>
  <c r="O215" i="53"/>
  <c r="R215" i="53" s="1"/>
  <c r="O224" i="53"/>
  <c r="R224" i="53" s="1"/>
  <c r="AD127" i="55"/>
  <c r="AD180" i="55"/>
  <c r="AB248" i="55"/>
  <c r="AA42" i="56"/>
  <c r="AD48" i="56"/>
  <c r="AB63" i="56"/>
  <c r="AD127" i="56"/>
  <c r="AB174" i="56"/>
  <c r="AA187" i="56"/>
  <c r="AD248" i="56"/>
  <c r="AC277" i="56"/>
  <c r="AD286" i="56"/>
  <c r="V69" i="49"/>
  <c r="R431" i="49"/>
  <c r="S431" i="49" s="1"/>
  <c r="R312" i="49"/>
  <c r="S312" i="49" s="1"/>
  <c r="N121" i="53"/>
  <c r="AB121" i="53" s="1"/>
  <c r="N45" i="53"/>
  <c r="S45" i="53" s="1"/>
  <c r="N96" i="53"/>
  <c r="AA63" i="55"/>
  <c r="AC248" i="55"/>
  <c r="AC63" i="56"/>
  <c r="AA80" i="56"/>
  <c r="AA85" i="56"/>
  <c r="AD110" i="56"/>
  <c r="AB127" i="56"/>
  <c r="AD174" i="56"/>
  <c r="AB187" i="56"/>
  <c r="AC266" i="56"/>
  <c r="R367" i="49"/>
  <c r="S367" i="49" s="1"/>
  <c r="M29" i="53"/>
  <c r="M89" i="53"/>
  <c r="R89" i="53" s="1"/>
  <c r="L98" i="53"/>
  <c r="O217" i="53"/>
  <c r="R217" i="53" s="1"/>
  <c r="L257" i="53"/>
  <c r="U85" i="56"/>
  <c r="K69" i="46"/>
  <c r="S69" i="46" s="1"/>
  <c r="L49" i="53"/>
  <c r="O75" i="53"/>
  <c r="M88" i="53"/>
  <c r="R88" i="53" s="1"/>
  <c r="P91" i="53"/>
  <c r="P95" i="53"/>
  <c r="P97" i="53"/>
  <c r="L109" i="53"/>
  <c r="L183" i="53"/>
  <c r="S183" i="53" s="1"/>
  <c r="O216" i="53"/>
  <c r="R216" i="53" s="1"/>
  <c r="AA15" i="56"/>
  <c r="AB80" i="56"/>
  <c r="AA165" i="56"/>
  <c r="AD266" i="56"/>
  <c r="G81" i="49"/>
  <c r="P81" i="49"/>
  <c r="N81" i="49"/>
  <c r="I81" i="49"/>
  <c r="Q81" i="49"/>
  <c r="O81" i="49"/>
  <c r="J81" i="49"/>
  <c r="H81" i="49"/>
  <c r="N72" i="53"/>
  <c r="M99" i="53"/>
  <c r="O113" i="53"/>
  <c r="P123" i="53"/>
  <c r="P125" i="53"/>
  <c r="M131" i="53"/>
  <c r="R131" i="53" s="1"/>
  <c r="N160" i="53"/>
  <c r="S244" i="53"/>
  <c r="M259" i="53"/>
  <c r="R259" i="53" s="1"/>
  <c r="M263" i="53"/>
  <c r="P271" i="53"/>
  <c r="M275" i="53"/>
  <c r="R275" i="53" s="1"/>
  <c r="AA180" i="55"/>
  <c r="V85" i="56"/>
  <c r="AC110" i="56"/>
  <c r="AD122" i="56"/>
  <c r="AA127" i="56"/>
  <c r="AC171" i="56"/>
  <c r="AB180" i="56"/>
  <c r="AA261" i="56"/>
  <c r="AC286" i="56"/>
  <c r="Q82" i="49"/>
  <c r="G82" i="49"/>
  <c r="O82" i="49"/>
  <c r="I82" i="49"/>
  <c r="P82" i="49"/>
  <c r="N82" i="49"/>
  <c r="J82" i="49"/>
  <c r="H82" i="49"/>
  <c r="M126" i="49"/>
  <c r="J126" i="49"/>
  <c r="AC69" i="55"/>
  <c r="AD171" i="56"/>
  <c r="Z174" i="56"/>
  <c r="AC180" i="56"/>
  <c r="AB261" i="56"/>
  <c r="Q83" i="49"/>
  <c r="P83" i="49"/>
  <c r="O83" i="49"/>
  <c r="N83" i="49"/>
  <c r="J83" i="49"/>
  <c r="H83" i="49"/>
  <c r="G83" i="49"/>
  <c r="I83" i="49"/>
  <c r="L36" i="53"/>
  <c r="N68" i="53"/>
  <c r="AB68" i="53" s="1"/>
  <c r="L100" i="53"/>
  <c r="N122" i="53"/>
  <c r="L132" i="53"/>
  <c r="L161" i="53"/>
  <c r="M168" i="53"/>
  <c r="O214" i="53"/>
  <c r="R214" i="53" s="1"/>
  <c r="O218" i="53"/>
  <c r="R218" i="53" s="1"/>
  <c r="O222" i="53"/>
  <c r="R222" i="53" s="1"/>
  <c r="L255" i="53"/>
  <c r="L266" i="53"/>
  <c r="S266" i="53" s="1"/>
  <c r="AB127" i="55"/>
  <c r="AC180" i="55"/>
  <c r="AA248" i="55"/>
  <c r="AB25" i="56"/>
  <c r="AA48" i="56"/>
  <c r="AA69" i="56"/>
  <c r="AB71" i="56"/>
  <c r="AD80" i="56"/>
  <c r="AC127" i="56"/>
  <c r="AA152" i="56"/>
  <c r="AC187" i="56"/>
  <c r="AD261" i="56"/>
  <c r="AD274" i="56"/>
  <c r="Q84" i="49"/>
  <c r="J84" i="49"/>
  <c r="I84" i="49"/>
  <c r="H84" i="49"/>
  <c r="G84" i="49"/>
  <c r="P84" i="49"/>
  <c r="O84" i="49"/>
  <c r="N84" i="49"/>
  <c r="N36" i="53"/>
  <c r="O45" i="53"/>
  <c r="M100" i="53"/>
  <c r="R100" i="53" s="1"/>
  <c r="N157" i="53"/>
  <c r="N161" i="53"/>
  <c r="AC127" i="55"/>
  <c r="AD7" i="56"/>
  <c r="AB42" i="56"/>
  <c r="AB48" i="56"/>
  <c r="AC56" i="56"/>
  <c r="AB69" i="56"/>
  <c r="AC71" i="56"/>
  <c r="U146" i="56"/>
  <c r="AA256" i="56"/>
  <c r="G80" i="49"/>
  <c r="J80" i="49"/>
  <c r="Q80" i="49"/>
  <c r="AE80" i="49" s="1"/>
  <c r="P80" i="49"/>
  <c r="O80" i="49"/>
  <c r="N80" i="49"/>
  <c r="I80" i="49"/>
  <c r="H80" i="49"/>
  <c r="Q157" i="53"/>
  <c r="P161" i="53"/>
  <c r="AA80" i="55"/>
  <c r="AC85" i="55"/>
  <c r="AD42" i="56"/>
  <c r="AC48" i="56"/>
  <c r="AC69" i="56"/>
  <c r="AD71" i="56"/>
  <c r="AA136" i="56"/>
  <c r="AB256" i="56"/>
  <c r="L29" i="53"/>
  <c r="S29" i="53" s="1"/>
  <c r="P73" i="53"/>
  <c r="L87" i="53"/>
  <c r="S87" i="53" s="1"/>
  <c r="L101" i="53"/>
  <c r="M121" i="53"/>
  <c r="L123" i="53"/>
  <c r="L125" i="53"/>
  <c r="M130" i="53"/>
  <c r="R130" i="53" s="1"/>
  <c r="N144" i="53"/>
  <c r="AB144" i="53" s="1"/>
  <c r="P290" i="53"/>
  <c r="R314" i="53"/>
  <c r="S314" i="53" s="1"/>
  <c r="R318" i="53"/>
  <c r="S318" i="53" s="1"/>
  <c r="AD75" i="56"/>
  <c r="AB116" i="56"/>
  <c r="M87" i="53"/>
  <c r="R87" i="53" s="1"/>
  <c r="AD15" i="56"/>
  <c r="AA30" i="56"/>
  <c r="AB122" i="56"/>
  <c r="AB171" i="56"/>
  <c r="AB266" i="56"/>
  <c r="AA286" i="56"/>
  <c r="N29" i="53"/>
  <c r="P63" i="53"/>
  <c r="AD63" i="53" s="1"/>
  <c r="L72" i="53"/>
  <c r="N82" i="53"/>
  <c r="P87" i="53"/>
  <c r="L99" i="53"/>
  <c r="N113" i="53"/>
  <c r="O123" i="53"/>
  <c r="O125" i="53"/>
  <c r="N271" i="53"/>
  <c r="AC105" i="56"/>
  <c r="Y174" i="56"/>
  <c r="AA180" i="56"/>
  <c r="AD187" i="56"/>
  <c r="Z277" i="56"/>
  <c r="AD277" i="56"/>
  <c r="S213" i="53"/>
  <c r="S219" i="53"/>
  <c r="S221" i="53"/>
  <c r="S223" i="53"/>
  <c r="R443" i="49"/>
  <c r="S443" i="49" s="1"/>
  <c r="R341" i="49"/>
  <c r="S341" i="49" s="1"/>
  <c r="R469" i="49"/>
  <c r="S469" i="49" s="1"/>
  <c r="R457" i="49"/>
  <c r="S457" i="49" s="1"/>
  <c r="R405" i="49"/>
  <c r="S405" i="49" s="1"/>
  <c r="R393" i="49"/>
  <c r="S393" i="49" s="1"/>
  <c r="R416" i="49"/>
  <c r="S416" i="49" s="1"/>
  <c r="R352" i="49"/>
  <c r="S352" i="49" s="1"/>
  <c r="R484" i="49"/>
  <c r="S484" i="49" s="1"/>
  <c r="R478" i="49"/>
  <c r="S478" i="49" s="1"/>
  <c r="R472" i="49"/>
  <c r="S472" i="49" s="1"/>
  <c r="R464" i="49"/>
  <c r="S464" i="49" s="1"/>
  <c r="R432" i="49"/>
  <c r="S432" i="49" s="1"/>
  <c r="R400" i="49"/>
  <c r="S400" i="49" s="1"/>
  <c r="R384" i="49"/>
  <c r="S384" i="49" s="1"/>
  <c r="R317" i="49"/>
  <c r="S317" i="49" s="1"/>
  <c r="R488" i="49"/>
  <c r="S488" i="49" s="1"/>
  <c r="R486" i="49"/>
  <c r="S486" i="49" s="1"/>
  <c r="R482" i="49"/>
  <c r="S482" i="49" s="1"/>
  <c r="R480" i="49"/>
  <c r="S480" i="49" s="1"/>
  <c r="R476" i="49"/>
  <c r="S476" i="49" s="1"/>
  <c r="R474" i="49"/>
  <c r="S474" i="49" s="1"/>
  <c r="R470" i="49"/>
  <c r="S470" i="49" s="1"/>
  <c r="R448" i="49"/>
  <c r="S448" i="49" s="1"/>
  <c r="R368" i="49"/>
  <c r="S368" i="49" s="1"/>
  <c r="R307" i="49"/>
  <c r="S307" i="49" s="1"/>
  <c r="R487" i="49"/>
  <c r="S487" i="49" s="1"/>
  <c r="R485" i="49"/>
  <c r="S485" i="49" s="1"/>
  <c r="R481" i="49"/>
  <c r="S481" i="49" s="1"/>
  <c r="R479" i="49"/>
  <c r="S479" i="49" s="1"/>
  <c r="R475" i="49"/>
  <c r="S475" i="49" s="1"/>
  <c r="R473" i="49"/>
  <c r="S473" i="49" s="1"/>
  <c r="R471" i="49"/>
  <c r="S471" i="49" s="1"/>
  <c r="R465" i="49"/>
  <c r="S465" i="49" s="1"/>
  <c r="R463" i="49"/>
  <c r="S463" i="49" s="1"/>
  <c r="R459" i="49"/>
  <c r="S459" i="49" s="1"/>
  <c r="R455" i="49"/>
  <c r="S455" i="49" s="1"/>
  <c r="R453" i="49"/>
  <c r="S453" i="49" s="1"/>
  <c r="R449" i="49"/>
  <c r="S449" i="49" s="1"/>
  <c r="R447" i="49"/>
  <c r="S447" i="49" s="1"/>
  <c r="R441" i="49"/>
  <c r="S441" i="49" s="1"/>
  <c r="R439" i="49"/>
  <c r="S439" i="49" s="1"/>
  <c r="R437" i="49"/>
  <c r="S437" i="49" s="1"/>
  <c r="R433" i="49"/>
  <c r="S433" i="49" s="1"/>
  <c r="R427" i="49"/>
  <c r="S427" i="49" s="1"/>
  <c r="R425" i="49"/>
  <c r="S425" i="49" s="1"/>
  <c r="R423" i="49"/>
  <c r="S423" i="49" s="1"/>
  <c r="R421" i="49"/>
  <c r="S421" i="49" s="1"/>
  <c r="R417" i="49"/>
  <c r="S417" i="49" s="1"/>
  <c r="R415" i="49"/>
  <c r="S415" i="49" s="1"/>
  <c r="R411" i="49"/>
  <c r="S411" i="49" s="1"/>
  <c r="R409" i="49"/>
  <c r="S409" i="49" s="1"/>
  <c r="R407" i="49"/>
  <c r="S407" i="49" s="1"/>
  <c r="R401" i="49"/>
  <c r="S401" i="49" s="1"/>
  <c r="R399" i="49"/>
  <c r="S399" i="49" s="1"/>
  <c r="R395" i="49"/>
  <c r="S395" i="49" s="1"/>
  <c r="R391" i="49"/>
  <c r="S391" i="49" s="1"/>
  <c r="R389" i="49"/>
  <c r="S389" i="49" s="1"/>
  <c r="R385" i="49"/>
  <c r="S385" i="49" s="1"/>
  <c r="R383" i="49"/>
  <c r="S383" i="49" s="1"/>
  <c r="R377" i="49"/>
  <c r="S377" i="49" s="1"/>
  <c r="R375" i="49"/>
  <c r="S375" i="49" s="1"/>
  <c r="R373" i="49"/>
  <c r="S373" i="49" s="1"/>
  <c r="R369" i="49"/>
  <c r="S369" i="49" s="1"/>
  <c r="R363" i="49"/>
  <c r="S363" i="49" s="1"/>
  <c r="R361" i="49"/>
  <c r="S361" i="49" s="1"/>
  <c r="R359" i="49"/>
  <c r="S359" i="49" s="1"/>
  <c r="R357" i="49"/>
  <c r="S357" i="49" s="1"/>
  <c r="R353" i="49"/>
  <c r="S353" i="49" s="1"/>
  <c r="R351" i="49"/>
  <c r="S351" i="49" s="1"/>
  <c r="R347" i="49"/>
  <c r="S347" i="49" s="1"/>
  <c r="R345" i="49"/>
  <c r="S345" i="49" s="1"/>
  <c r="R343" i="49"/>
  <c r="S343" i="49" s="1"/>
  <c r="R333" i="49"/>
  <c r="S333" i="49" s="1"/>
  <c r="R325" i="49"/>
  <c r="S325" i="49" s="1"/>
  <c r="R323" i="49"/>
  <c r="S323" i="49" s="1"/>
  <c r="R316" i="49"/>
  <c r="S316" i="49" s="1"/>
  <c r="R308" i="49"/>
  <c r="S308" i="49" s="1"/>
  <c r="U69" i="49"/>
  <c r="R30" i="53"/>
  <c r="S66" i="53"/>
  <c r="S105" i="53"/>
  <c r="S17" i="53"/>
  <c r="S36" i="53"/>
  <c r="R45" i="53"/>
  <c r="AF63" i="53"/>
  <c r="S72" i="53"/>
  <c r="R323" i="53"/>
  <c r="S323" i="53" s="1"/>
  <c r="R325" i="53"/>
  <c r="S325" i="53" s="1"/>
  <c r="AG69" i="53"/>
  <c r="AC75" i="53"/>
  <c r="Z240" i="53"/>
  <c r="S218" i="53"/>
  <c r="R307" i="53"/>
  <c r="S307" i="53" s="1"/>
  <c r="R311" i="53"/>
  <c r="S311" i="53" s="1"/>
  <c r="R315" i="53"/>
  <c r="S315" i="53" s="1"/>
  <c r="R352" i="53"/>
  <c r="S352" i="53" s="1"/>
  <c r="R360" i="53"/>
  <c r="S360" i="53" s="1"/>
  <c r="R362" i="53"/>
  <c r="S362" i="53" s="1"/>
  <c r="R370" i="53"/>
  <c r="S370" i="53" s="1"/>
  <c r="R382" i="53"/>
  <c r="S382" i="53" s="1"/>
  <c r="R392" i="53"/>
  <c r="S392" i="53" s="1"/>
  <c r="R394" i="53"/>
  <c r="S394" i="53" s="1"/>
  <c r="Z40" i="53"/>
  <c r="S113" i="53"/>
  <c r="Z144" i="53"/>
  <c r="AG7" i="53"/>
  <c r="R331" i="53"/>
  <c r="S331" i="53" s="1"/>
  <c r="R343" i="53"/>
  <c r="S343" i="53" s="1"/>
  <c r="R345" i="53"/>
  <c r="S345" i="53" s="1"/>
  <c r="R396" i="53"/>
  <c r="S396" i="53" s="1"/>
  <c r="R402" i="53"/>
  <c r="S402" i="53" s="1"/>
  <c r="R414" i="53"/>
  <c r="S414" i="53" s="1"/>
  <c r="R424" i="53"/>
  <c r="S424" i="53" s="1"/>
  <c r="R426" i="53"/>
  <c r="S426" i="53" s="1"/>
  <c r="R434" i="53"/>
  <c r="S434" i="53" s="1"/>
  <c r="R446" i="53"/>
  <c r="S446" i="53" s="1"/>
  <c r="R456" i="53"/>
  <c r="S456" i="53" s="1"/>
  <c r="R458" i="53"/>
  <c r="S458" i="53" s="1"/>
  <c r="R466" i="53"/>
  <c r="S466" i="53" s="1"/>
  <c r="R476" i="53"/>
  <c r="S476" i="53" s="1"/>
  <c r="R478" i="53"/>
  <c r="S478" i="53" s="1"/>
  <c r="R484" i="53"/>
  <c r="S484" i="53" s="1"/>
  <c r="R488" i="53"/>
  <c r="S488" i="53" s="1"/>
  <c r="Z85" i="53"/>
  <c r="Z151" i="53"/>
  <c r="R324" i="53"/>
  <c r="S324" i="53" s="1"/>
  <c r="R328" i="53"/>
  <c r="S328" i="53" s="1"/>
  <c r="R330" i="53"/>
  <c r="S330" i="53" s="1"/>
  <c r="R353" i="53"/>
  <c r="S353" i="53" s="1"/>
  <c r="R375" i="53"/>
  <c r="S375" i="53" s="1"/>
  <c r="R377" i="53"/>
  <c r="S377" i="53" s="1"/>
  <c r="R385" i="53"/>
  <c r="S385" i="53" s="1"/>
  <c r="R387" i="53"/>
  <c r="S387" i="53" s="1"/>
  <c r="R389" i="53"/>
  <c r="S389" i="53" s="1"/>
  <c r="AF240" i="53"/>
  <c r="R306" i="53"/>
  <c r="S306" i="53" s="1"/>
  <c r="R332" i="53"/>
  <c r="S332" i="53" s="1"/>
  <c r="R338" i="53"/>
  <c r="S338" i="53" s="1"/>
  <c r="R350" i="53"/>
  <c r="S350" i="53" s="1"/>
  <c r="R407" i="53"/>
  <c r="S407" i="53" s="1"/>
  <c r="R409" i="53"/>
  <c r="S409" i="53" s="1"/>
  <c r="R417" i="53"/>
  <c r="S417" i="53" s="1"/>
  <c r="R439" i="53"/>
  <c r="S439" i="53" s="1"/>
  <c r="R441" i="53"/>
  <c r="S441" i="53" s="1"/>
  <c r="R449" i="53"/>
  <c r="S449" i="53" s="1"/>
  <c r="R467" i="53"/>
  <c r="S467" i="53" s="1"/>
  <c r="R471" i="53"/>
  <c r="S471" i="53" s="1"/>
  <c r="R473" i="53"/>
  <c r="S473" i="53" s="1"/>
  <c r="R479" i="53"/>
  <c r="S479" i="53" s="1"/>
  <c r="R481" i="53"/>
  <c r="S481" i="53" s="1"/>
  <c r="R483" i="49"/>
  <c r="S483" i="49" s="1"/>
  <c r="R477" i="49"/>
  <c r="S477" i="49" s="1"/>
  <c r="R467" i="49"/>
  <c r="S467" i="49" s="1"/>
  <c r="R461" i="49"/>
  <c r="S461" i="49" s="1"/>
  <c r="R451" i="49"/>
  <c r="S451" i="49" s="1"/>
  <c r="R445" i="49"/>
  <c r="S445" i="49" s="1"/>
  <c r="R435" i="49"/>
  <c r="S435" i="49" s="1"/>
  <c r="R429" i="49"/>
  <c r="S429" i="49" s="1"/>
  <c r="R419" i="49"/>
  <c r="S419" i="49" s="1"/>
  <c r="R413" i="49"/>
  <c r="S413" i="49" s="1"/>
  <c r="R403" i="49"/>
  <c r="S403" i="49" s="1"/>
  <c r="R397" i="49"/>
  <c r="S397" i="49" s="1"/>
  <c r="R387" i="49"/>
  <c r="S387" i="49" s="1"/>
  <c r="R381" i="49"/>
  <c r="S381" i="49" s="1"/>
  <c r="R371" i="49"/>
  <c r="S371" i="49" s="1"/>
  <c r="R365" i="49"/>
  <c r="S365" i="49" s="1"/>
  <c r="R355" i="49"/>
  <c r="S355" i="49" s="1"/>
  <c r="R349" i="49"/>
  <c r="S349" i="49" s="1"/>
  <c r="R337" i="49"/>
  <c r="S337" i="49" s="1"/>
  <c r="R329" i="49"/>
  <c r="S329" i="49" s="1"/>
  <c r="R468" i="49"/>
  <c r="S468" i="49" s="1"/>
  <c r="R466" i="49"/>
  <c r="S466" i="49" s="1"/>
  <c r="R462" i="49"/>
  <c r="S462" i="49" s="1"/>
  <c r="R460" i="49"/>
  <c r="S460" i="49" s="1"/>
  <c r="R458" i="49"/>
  <c r="S458" i="49" s="1"/>
  <c r="R456" i="49"/>
  <c r="S456" i="49" s="1"/>
  <c r="R454" i="49"/>
  <c r="S454" i="49" s="1"/>
  <c r="R452" i="49"/>
  <c r="S452" i="49" s="1"/>
  <c r="R450" i="49"/>
  <c r="S450" i="49" s="1"/>
  <c r="R446" i="49"/>
  <c r="S446" i="49" s="1"/>
  <c r="R444" i="49"/>
  <c r="S444" i="49" s="1"/>
  <c r="R442" i="49"/>
  <c r="S442" i="49" s="1"/>
  <c r="R440" i="49"/>
  <c r="S440" i="49" s="1"/>
  <c r="R438" i="49"/>
  <c r="S438" i="49" s="1"/>
  <c r="R436" i="49"/>
  <c r="S436" i="49" s="1"/>
  <c r="R434" i="49"/>
  <c r="S434" i="49" s="1"/>
  <c r="R430" i="49"/>
  <c r="S430" i="49" s="1"/>
  <c r="R428" i="49"/>
  <c r="S428" i="49" s="1"/>
  <c r="R426" i="49"/>
  <c r="S426" i="49" s="1"/>
  <c r="R424" i="49"/>
  <c r="S424" i="49" s="1"/>
  <c r="R422" i="49"/>
  <c r="S422" i="49" s="1"/>
  <c r="R420" i="49"/>
  <c r="S420" i="49" s="1"/>
  <c r="R418" i="49"/>
  <c r="S418" i="49" s="1"/>
  <c r="R414" i="49"/>
  <c r="S414" i="49" s="1"/>
  <c r="R412" i="49"/>
  <c r="S412" i="49" s="1"/>
  <c r="R410" i="49"/>
  <c r="S410" i="49" s="1"/>
  <c r="R408" i="49"/>
  <c r="S408" i="49" s="1"/>
  <c r="R406" i="49"/>
  <c r="S406" i="49" s="1"/>
  <c r="R404" i="49"/>
  <c r="S404" i="49" s="1"/>
  <c r="R402" i="49"/>
  <c r="S402" i="49" s="1"/>
  <c r="R398" i="49"/>
  <c r="S398" i="49" s="1"/>
  <c r="R396" i="49"/>
  <c r="S396" i="49" s="1"/>
  <c r="R394" i="49"/>
  <c r="S394" i="49" s="1"/>
  <c r="R392" i="49"/>
  <c r="S392" i="49" s="1"/>
  <c r="R390" i="49"/>
  <c r="S390" i="49" s="1"/>
  <c r="R388" i="49"/>
  <c r="S388" i="49" s="1"/>
  <c r="R386" i="49"/>
  <c r="S386" i="49" s="1"/>
  <c r="R382" i="49"/>
  <c r="S382" i="49" s="1"/>
  <c r="R380" i="49"/>
  <c r="S380" i="49" s="1"/>
  <c r="R378" i="49"/>
  <c r="S378" i="49" s="1"/>
  <c r="R376" i="49"/>
  <c r="S376" i="49" s="1"/>
  <c r="R374" i="49"/>
  <c r="S374" i="49" s="1"/>
  <c r="R372" i="49"/>
  <c r="S372" i="49" s="1"/>
  <c r="R370" i="49"/>
  <c r="S370" i="49" s="1"/>
  <c r="R366" i="49"/>
  <c r="S366" i="49" s="1"/>
  <c r="R364" i="49"/>
  <c r="S364" i="49" s="1"/>
  <c r="R362" i="49"/>
  <c r="S362" i="49" s="1"/>
  <c r="R360" i="49"/>
  <c r="S360" i="49" s="1"/>
  <c r="R358" i="49"/>
  <c r="S358" i="49" s="1"/>
  <c r="R356" i="49"/>
  <c r="S356" i="49" s="1"/>
  <c r="R354" i="49"/>
  <c r="S354" i="49" s="1"/>
  <c r="R350" i="49"/>
  <c r="S350" i="49" s="1"/>
  <c r="R348" i="49"/>
  <c r="S348" i="49" s="1"/>
  <c r="R346" i="49"/>
  <c r="S346" i="49" s="1"/>
  <c r="R344" i="49"/>
  <c r="S344" i="49" s="1"/>
  <c r="R342" i="49"/>
  <c r="S342" i="49" s="1"/>
  <c r="R340" i="49"/>
  <c r="S340" i="49" s="1"/>
  <c r="R338" i="49"/>
  <c r="S338" i="49" s="1"/>
  <c r="R336" i="49"/>
  <c r="S336" i="49" s="1"/>
  <c r="R334" i="49"/>
  <c r="S334" i="49" s="1"/>
  <c r="R332" i="49"/>
  <c r="S332" i="49" s="1"/>
  <c r="R330" i="49"/>
  <c r="S330" i="49" s="1"/>
  <c r="R328" i="49"/>
  <c r="S328" i="49" s="1"/>
  <c r="R326" i="49"/>
  <c r="S326" i="49" s="1"/>
  <c r="R324" i="49"/>
  <c r="S324" i="49" s="1"/>
  <c r="R319" i="49"/>
  <c r="S319" i="49" s="1"/>
  <c r="R315" i="49"/>
  <c r="S315" i="49" s="1"/>
  <c r="R313" i="49"/>
  <c r="S313" i="49" s="1"/>
  <c r="R311" i="49"/>
  <c r="S311" i="49" s="1"/>
  <c r="R309" i="49"/>
  <c r="S309" i="49" s="1"/>
  <c r="R305" i="49"/>
  <c r="S305" i="49" s="1"/>
  <c r="V146" i="56"/>
  <c r="Y277" i="56"/>
  <c r="AA30" i="55"/>
  <c r="AA286" i="55"/>
  <c r="AC15" i="55"/>
  <c r="AB42" i="55"/>
  <c r="AA158" i="55"/>
  <c r="AB230" i="55"/>
  <c r="AA122" i="55"/>
  <c r="Y174" i="55"/>
  <c r="AA187" i="55"/>
  <c r="U246" i="55"/>
  <c r="AA256" i="55"/>
  <c r="AA261" i="55"/>
  <c r="S247" i="55"/>
  <c r="AA266" i="55"/>
  <c r="AD85" i="55"/>
  <c r="U146" i="55"/>
  <c r="AD15" i="55"/>
  <c r="AD110" i="55"/>
  <c r="AA171" i="55"/>
  <c r="Z174" i="55"/>
  <c r="AC256" i="55"/>
  <c r="AD274" i="55"/>
  <c r="AD277" i="55"/>
  <c r="AB286" i="55"/>
  <c r="AA48" i="55"/>
  <c r="U85" i="55"/>
  <c r="AB116" i="55"/>
  <c r="AD146" i="55"/>
  <c r="V146" i="55"/>
  <c r="AA152" i="55"/>
  <c r="S158" i="55"/>
  <c r="AB171" i="55"/>
  <c r="AB266" i="55"/>
  <c r="Z277" i="55"/>
  <c r="AB48" i="55"/>
  <c r="AA85" i="55"/>
  <c r="AC187" i="55"/>
  <c r="AC266" i="55"/>
  <c r="AD266" i="55"/>
  <c r="AA15" i="55"/>
  <c r="AB25" i="55"/>
  <c r="AD48" i="55"/>
  <c r="AD122" i="55"/>
  <c r="AA165" i="55"/>
  <c r="AC171" i="55"/>
  <c r="AB256" i="55"/>
  <c r="AD7" i="55"/>
  <c r="AA42" i="55"/>
  <c r="AC56" i="55"/>
  <c r="AD75" i="55"/>
  <c r="AC105" i="55"/>
  <c r="AB110" i="55"/>
  <c r="AA136" i="55"/>
  <c r="AD171" i="55"/>
  <c r="AB187" i="55"/>
  <c r="AB261" i="55"/>
  <c r="AC277" i="55"/>
  <c r="AC286" i="55"/>
  <c r="AC293" i="55"/>
  <c r="AA25" i="55"/>
  <c r="AD42" i="55"/>
  <c r="AC48" i="55"/>
  <c r="AC110" i="55"/>
  <c r="AB122" i="55"/>
  <c r="AA174" i="55"/>
  <c r="AD187" i="55"/>
  <c r="AA230" i="55"/>
  <c r="AD261" i="55"/>
  <c r="AD286" i="55"/>
  <c r="V85" i="55"/>
  <c r="Y277" i="55"/>
  <c r="N278" i="54"/>
  <c r="H275" i="54"/>
  <c r="M276" i="54"/>
  <c r="M262" i="54"/>
  <c r="R262" i="54" s="1"/>
  <c r="J271" i="54"/>
  <c r="R271" i="54" s="1"/>
  <c r="J275" i="54"/>
  <c r="P125" i="54"/>
  <c r="S241" i="54"/>
  <c r="N271" i="54"/>
  <c r="I96" i="54"/>
  <c r="L123" i="54"/>
  <c r="G271" i="54"/>
  <c r="H278" i="54"/>
  <c r="K278" i="54" s="1"/>
  <c r="K50" i="54"/>
  <c r="S50" i="54" s="1"/>
  <c r="AG50" i="54" s="1"/>
  <c r="I125" i="54"/>
  <c r="K137" i="54"/>
  <c r="S137" i="54" s="1"/>
  <c r="N67" i="54"/>
  <c r="S67" i="54" s="1"/>
  <c r="H89" i="54"/>
  <c r="R328" i="54"/>
  <c r="S328" i="54" s="1"/>
  <c r="R330" i="54"/>
  <c r="S330" i="54" s="1"/>
  <c r="R340" i="54"/>
  <c r="S340" i="54" s="1"/>
  <c r="R342" i="54"/>
  <c r="S342" i="54" s="1"/>
  <c r="R350" i="54"/>
  <c r="S350" i="54" s="1"/>
  <c r="R364" i="54"/>
  <c r="S364" i="54" s="1"/>
  <c r="R370" i="54"/>
  <c r="S370" i="54" s="1"/>
  <c r="U40" i="54"/>
  <c r="J89" i="54"/>
  <c r="J157" i="54"/>
  <c r="O176" i="54"/>
  <c r="I180" i="54"/>
  <c r="H15" i="54"/>
  <c r="S43" i="54"/>
  <c r="J73" i="54"/>
  <c r="R73" i="54" s="1"/>
  <c r="H125" i="54"/>
  <c r="M168" i="54"/>
  <c r="S242" i="54"/>
  <c r="G30" i="54"/>
  <c r="O35" i="54"/>
  <c r="N84" i="54"/>
  <c r="Q123" i="54"/>
  <c r="P161" i="54"/>
  <c r="H213" i="54"/>
  <c r="L225" i="54"/>
  <c r="S225" i="54" s="1"/>
  <c r="J255" i="54"/>
  <c r="G15" i="54"/>
  <c r="N30" i="54"/>
  <c r="S41" i="54"/>
  <c r="N68" i="54"/>
  <c r="AB68" i="54" s="1"/>
  <c r="H73" i="54"/>
  <c r="M83" i="54"/>
  <c r="G89" i="54"/>
  <c r="H96" i="54"/>
  <c r="M101" i="54"/>
  <c r="H123" i="54"/>
  <c r="K136" i="54"/>
  <c r="S136" i="54" s="1"/>
  <c r="H144" i="54"/>
  <c r="V144" i="54" s="1"/>
  <c r="N160" i="54"/>
  <c r="Z240" i="54"/>
  <c r="K244" i="54"/>
  <c r="S244" i="54" s="1"/>
  <c r="O255" i="54"/>
  <c r="N257" i="54"/>
  <c r="N281" i="54"/>
  <c r="H83" i="54"/>
  <c r="J133" i="54"/>
  <c r="K138" i="54"/>
  <c r="S138" i="54" s="1"/>
  <c r="H290" i="54"/>
  <c r="H30" i="54"/>
  <c r="AF51" i="54"/>
  <c r="I83" i="54"/>
  <c r="G123" i="54"/>
  <c r="J213" i="54"/>
  <c r="H282" i="54"/>
  <c r="R375" i="54"/>
  <c r="S375" i="54" s="1"/>
  <c r="R377" i="54"/>
  <c r="S377" i="54" s="1"/>
  <c r="R379" i="54"/>
  <c r="S379" i="54" s="1"/>
  <c r="R381" i="54"/>
  <c r="S381" i="54" s="1"/>
  <c r="R399" i="54"/>
  <c r="S399" i="54" s="1"/>
  <c r="R439" i="54"/>
  <c r="S439" i="54" s="1"/>
  <c r="R441" i="54"/>
  <c r="S441" i="54" s="1"/>
  <c r="R443" i="54"/>
  <c r="S443" i="54" s="1"/>
  <c r="R445" i="54"/>
  <c r="S445" i="54" s="1"/>
  <c r="R449" i="54"/>
  <c r="S449" i="54" s="1"/>
  <c r="R451" i="54"/>
  <c r="S451" i="54" s="1"/>
  <c r="R453" i="54"/>
  <c r="S453" i="54" s="1"/>
  <c r="R463" i="54"/>
  <c r="S463" i="54" s="1"/>
  <c r="R471" i="54"/>
  <c r="S471" i="54" s="1"/>
  <c r="R473" i="54"/>
  <c r="S473" i="54" s="1"/>
  <c r="R475" i="54"/>
  <c r="S475" i="54" s="1"/>
  <c r="O36" i="54"/>
  <c r="R36" i="54" s="1"/>
  <c r="I36" i="54"/>
  <c r="N36" i="54"/>
  <c r="H36" i="54"/>
  <c r="N63" i="54"/>
  <c r="P63" i="54"/>
  <c r="AD63" i="54" s="1"/>
  <c r="G63" i="54"/>
  <c r="K63" i="54" s="1"/>
  <c r="H95" i="54"/>
  <c r="G95" i="54"/>
  <c r="J187" i="54"/>
  <c r="N187" i="54"/>
  <c r="J195" i="54"/>
  <c r="N195" i="54"/>
  <c r="H31" i="54"/>
  <c r="N31" i="54"/>
  <c r="J31" i="54"/>
  <c r="G36" i="54"/>
  <c r="N45" i="54"/>
  <c r="M45" i="54"/>
  <c r="N66" i="54"/>
  <c r="S66" i="54" s="1"/>
  <c r="L95" i="54"/>
  <c r="P99" i="54"/>
  <c r="I99" i="54"/>
  <c r="H99" i="54"/>
  <c r="M109" i="54"/>
  <c r="H109" i="54"/>
  <c r="H117" i="54"/>
  <c r="K117" i="54" s="1"/>
  <c r="L117" i="54"/>
  <c r="L131" i="54"/>
  <c r="H131" i="54"/>
  <c r="G131" i="54"/>
  <c r="Q158" i="54"/>
  <c r="P158" i="54"/>
  <c r="H158" i="54"/>
  <c r="J158" i="54"/>
  <c r="J224" i="54"/>
  <c r="O224" i="54"/>
  <c r="O31" i="54"/>
  <c r="K40" i="54"/>
  <c r="S40" i="54" s="1"/>
  <c r="J45" i="54"/>
  <c r="N54" i="54"/>
  <c r="H58" i="54"/>
  <c r="L58" i="54"/>
  <c r="G58" i="54"/>
  <c r="H91" i="54"/>
  <c r="G91" i="54"/>
  <c r="P95" i="54"/>
  <c r="L97" i="54"/>
  <c r="I97" i="54"/>
  <c r="L99" i="54"/>
  <c r="J131" i="54"/>
  <c r="P159" i="54"/>
  <c r="H159" i="54"/>
  <c r="N189" i="54"/>
  <c r="J189" i="54"/>
  <c r="N193" i="54"/>
  <c r="J193" i="54"/>
  <c r="N215" i="54"/>
  <c r="O215" i="54"/>
  <c r="H215" i="54"/>
  <c r="J215" i="54"/>
  <c r="L118" i="54"/>
  <c r="H118" i="54"/>
  <c r="K118" i="54" s="1"/>
  <c r="J191" i="54"/>
  <c r="N191" i="54"/>
  <c r="L267" i="54"/>
  <c r="M267" i="54"/>
  <c r="H87" i="54"/>
  <c r="G87" i="54"/>
  <c r="J126" i="54"/>
  <c r="G126" i="54"/>
  <c r="J208" i="54"/>
  <c r="N208" i="54"/>
  <c r="N220" i="54"/>
  <c r="O220" i="54"/>
  <c r="H220" i="54"/>
  <c r="J220" i="54"/>
  <c r="I32" i="54"/>
  <c r="G32" i="54"/>
  <c r="L36" i="54"/>
  <c r="L85" i="54"/>
  <c r="G85" i="54"/>
  <c r="P87" i="54"/>
  <c r="M113" i="54"/>
  <c r="J113" i="54"/>
  <c r="M126" i="54"/>
  <c r="L130" i="54"/>
  <c r="J130" i="54"/>
  <c r="R130" i="54" s="1"/>
  <c r="G130" i="54"/>
  <c r="M131" i="54"/>
  <c r="K151" i="54"/>
  <c r="S151" i="54" s="1"/>
  <c r="O216" i="54"/>
  <c r="H216" i="54"/>
  <c r="L266" i="54"/>
  <c r="H266" i="54"/>
  <c r="J266" i="54"/>
  <c r="R372" i="54"/>
  <c r="S372" i="54" s="1"/>
  <c r="R416" i="54"/>
  <c r="S416" i="54" s="1"/>
  <c r="R470" i="54"/>
  <c r="S470" i="54" s="1"/>
  <c r="R478" i="54"/>
  <c r="S478" i="54" s="1"/>
  <c r="J30" i="54"/>
  <c r="Z40" i="54"/>
  <c r="S44" i="54"/>
  <c r="N73" i="54"/>
  <c r="N96" i="54"/>
  <c r="AF115" i="54"/>
  <c r="M125" i="54"/>
  <c r="K141" i="54"/>
  <c r="S141" i="54" s="1"/>
  <c r="AG141" i="54" s="1"/>
  <c r="J177" i="54"/>
  <c r="R177" i="54" s="1"/>
  <c r="G180" i="54"/>
  <c r="O213" i="54"/>
  <c r="J263" i="54"/>
  <c r="G264" i="54"/>
  <c r="R323" i="54"/>
  <c r="S323" i="54" s="1"/>
  <c r="R325" i="54"/>
  <c r="S325" i="54" s="1"/>
  <c r="R343" i="54"/>
  <c r="S343" i="54" s="1"/>
  <c r="R345" i="54"/>
  <c r="S345" i="54" s="1"/>
  <c r="R347" i="54"/>
  <c r="S347" i="54" s="1"/>
  <c r="R349" i="54"/>
  <c r="S349" i="54" s="1"/>
  <c r="R353" i="54"/>
  <c r="S353" i="54" s="1"/>
  <c r="R355" i="54"/>
  <c r="S355" i="54" s="1"/>
  <c r="R357" i="54"/>
  <c r="S357" i="54" s="1"/>
  <c r="R359" i="54"/>
  <c r="S359" i="54" s="1"/>
  <c r="R361" i="54"/>
  <c r="S361" i="54" s="1"/>
  <c r="R480" i="54"/>
  <c r="S480" i="54" s="1"/>
  <c r="R488" i="54"/>
  <c r="S488" i="54" s="1"/>
  <c r="R374" i="54"/>
  <c r="S374" i="54" s="1"/>
  <c r="R384" i="54"/>
  <c r="S384" i="54" s="1"/>
  <c r="R424" i="54"/>
  <c r="S424" i="54" s="1"/>
  <c r="R426" i="54"/>
  <c r="S426" i="54" s="1"/>
  <c r="R468" i="54"/>
  <c r="S468" i="54" s="1"/>
  <c r="M30" i="54"/>
  <c r="AF40" i="54"/>
  <c r="S42" i="54"/>
  <c r="M89" i="54"/>
  <c r="G96" i="54"/>
  <c r="P96" i="54"/>
  <c r="G125" i="54"/>
  <c r="O125" i="54"/>
  <c r="G144" i="54"/>
  <c r="K153" i="54"/>
  <c r="S153" i="54" s="1"/>
  <c r="K155" i="54"/>
  <c r="S155" i="54" s="1"/>
  <c r="H180" i="54"/>
  <c r="G282" i="54"/>
  <c r="G290" i="54"/>
  <c r="R477" i="54"/>
  <c r="S477" i="54" s="1"/>
  <c r="O29" i="54"/>
  <c r="J29" i="54"/>
  <c r="M29" i="54"/>
  <c r="N55" i="54"/>
  <c r="G55" i="54"/>
  <c r="K55" i="54" s="1"/>
  <c r="N64" i="54"/>
  <c r="G64" i="54"/>
  <c r="K64" i="54" s="1"/>
  <c r="L72" i="54"/>
  <c r="J77" i="54"/>
  <c r="O77" i="54"/>
  <c r="P98" i="54"/>
  <c r="H98" i="54"/>
  <c r="L98" i="54"/>
  <c r="P100" i="54"/>
  <c r="L100" i="54"/>
  <c r="I100" i="54"/>
  <c r="K165" i="54"/>
  <c r="S165" i="54" s="1"/>
  <c r="V162" i="54"/>
  <c r="J173" i="54"/>
  <c r="N173" i="54"/>
  <c r="N218" i="54"/>
  <c r="J218" i="54"/>
  <c r="O218" i="54"/>
  <c r="N222" i="54"/>
  <c r="J222" i="54"/>
  <c r="O222" i="54"/>
  <c r="H222" i="54"/>
  <c r="G19" i="54"/>
  <c r="L19" i="54"/>
  <c r="G29" i="54"/>
  <c r="N29" i="54"/>
  <c r="J34" i="54"/>
  <c r="J46" i="54"/>
  <c r="G52" i="54"/>
  <c r="N52" i="54"/>
  <c r="H57" i="54"/>
  <c r="L57" i="54"/>
  <c r="L60" i="54"/>
  <c r="G60" i="54"/>
  <c r="G72" i="54"/>
  <c r="N72" i="54"/>
  <c r="N75" i="54"/>
  <c r="H75" i="54"/>
  <c r="O82" i="54"/>
  <c r="H82" i="54"/>
  <c r="N82" i="54"/>
  <c r="G98" i="54"/>
  <c r="H100" i="54"/>
  <c r="H105" i="54"/>
  <c r="L105" i="54"/>
  <c r="I107" i="54"/>
  <c r="G107" i="54"/>
  <c r="M112" i="54"/>
  <c r="N121" i="54"/>
  <c r="H121" i="54"/>
  <c r="J121" i="54"/>
  <c r="O122" i="54"/>
  <c r="I122" i="54"/>
  <c r="G122" i="54"/>
  <c r="M132" i="54"/>
  <c r="L132" i="54"/>
  <c r="K152" i="54"/>
  <c r="S152" i="54" s="1"/>
  <c r="K154" i="54"/>
  <c r="S154" i="54" s="1"/>
  <c r="G179" i="54"/>
  <c r="I179" i="54"/>
  <c r="J179" i="54"/>
  <c r="J200" i="54"/>
  <c r="N200" i="54"/>
  <c r="N214" i="54"/>
  <c r="O214" i="54"/>
  <c r="J214" i="54"/>
  <c r="H218" i="54"/>
  <c r="N223" i="54"/>
  <c r="J223" i="54"/>
  <c r="O223" i="54"/>
  <c r="M259" i="54"/>
  <c r="G259" i="54"/>
  <c r="J259" i="54"/>
  <c r="L274" i="54"/>
  <c r="AF15" i="54"/>
  <c r="L18" i="54"/>
  <c r="G18" i="54"/>
  <c r="N25" i="54"/>
  <c r="H29" i="54"/>
  <c r="O46" i="54"/>
  <c r="G51" i="54"/>
  <c r="H51" i="54"/>
  <c r="G57" i="54"/>
  <c r="H60" i="54"/>
  <c r="AF63" i="54"/>
  <c r="H72" i="54"/>
  <c r="J75" i="54"/>
  <c r="O78" i="54"/>
  <c r="R78" i="54" s="1"/>
  <c r="G82" i="54"/>
  <c r="L88" i="54"/>
  <c r="H88" i="54"/>
  <c r="M88" i="54"/>
  <c r="L90" i="54"/>
  <c r="G90" i="54"/>
  <c r="I98" i="54"/>
  <c r="M100" i="54"/>
  <c r="G105" i="54"/>
  <c r="I106" i="54"/>
  <c r="P106" i="54"/>
  <c r="G106" i="54"/>
  <c r="O109" i="54"/>
  <c r="J109" i="54"/>
  <c r="L109" i="54"/>
  <c r="N109" i="54"/>
  <c r="L110" i="54"/>
  <c r="O112" i="54"/>
  <c r="I121" i="54"/>
  <c r="J122" i="54"/>
  <c r="Y141" i="54"/>
  <c r="J159" i="54"/>
  <c r="L159" i="54"/>
  <c r="Q159" i="54"/>
  <c r="Q161" i="54"/>
  <c r="N161" i="54"/>
  <c r="G161" i="54"/>
  <c r="J161" i="54"/>
  <c r="U162" i="54"/>
  <c r="K162" i="54"/>
  <c r="M179" i="54"/>
  <c r="H214" i="54"/>
  <c r="N219" i="54"/>
  <c r="H219" i="54"/>
  <c r="H223" i="54"/>
  <c r="H259" i="54"/>
  <c r="R407" i="54"/>
  <c r="S407" i="54" s="1"/>
  <c r="R409" i="54"/>
  <c r="S409" i="54" s="1"/>
  <c r="R411" i="54"/>
  <c r="S411" i="54" s="1"/>
  <c r="R413" i="54"/>
  <c r="S413" i="54" s="1"/>
  <c r="R428" i="54"/>
  <c r="S428" i="54" s="1"/>
  <c r="R434" i="54"/>
  <c r="S434" i="54" s="1"/>
  <c r="G17" i="54"/>
  <c r="H17" i="54"/>
  <c r="H18" i="54"/>
  <c r="H24" i="54"/>
  <c r="V24" i="54" s="1"/>
  <c r="H27" i="54"/>
  <c r="G27" i="54"/>
  <c r="L29" i="54"/>
  <c r="O33" i="54"/>
  <c r="L45" i="54"/>
  <c r="O45" i="54"/>
  <c r="G45" i="54"/>
  <c r="O47" i="54"/>
  <c r="L47" i="54"/>
  <c r="O49" i="54"/>
  <c r="L49" i="54"/>
  <c r="N51" i="54"/>
  <c r="G56" i="54"/>
  <c r="N56" i="54"/>
  <c r="L62" i="54"/>
  <c r="O75" i="54"/>
  <c r="O76" i="54"/>
  <c r="R76" i="54" s="1"/>
  <c r="J79" i="54"/>
  <c r="O79" i="54"/>
  <c r="I82" i="54"/>
  <c r="J88" i="54"/>
  <c r="N91" i="54"/>
  <c r="I91" i="54"/>
  <c r="L91" i="54"/>
  <c r="P91" i="54"/>
  <c r="M98" i="54"/>
  <c r="P101" i="54"/>
  <c r="I101" i="54"/>
  <c r="L101" i="54"/>
  <c r="I105" i="54"/>
  <c r="H106" i="54"/>
  <c r="G109" i="54"/>
  <c r="J111" i="54"/>
  <c r="N111" i="54"/>
  <c r="M121" i="54"/>
  <c r="M122" i="54"/>
  <c r="J129" i="54"/>
  <c r="K139" i="54"/>
  <c r="S139" i="54" s="1"/>
  <c r="P157" i="54"/>
  <c r="N157" i="54"/>
  <c r="H157" i="54"/>
  <c r="L157" i="54"/>
  <c r="Q157" i="54"/>
  <c r="G159" i="54"/>
  <c r="H161" i="54"/>
  <c r="L168" i="54"/>
  <c r="J168" i="54"/>
  <c r="J183" i="54"/>
  <c r="R183" i="54" s="1"/>
  <c r="H183" i="54"/>
  <c r="G183" i="54"/>
  <c r="L183" i="54"/>
  <c r="N212" i="54"/>
  <c r="H212" i="54"/>
  <c r="J212" i="54"/>
  <c r="R212" i="54" s="1"/>
  <c r="J219" i="54"/>
  <c r="R219" i="54" s="1"/>
  <c r="L259" i="54"/>
  <c r="R417" i="54"/>
  <c r="S417" i="54" s="1"/>
  <c r="R419" i="54"/>
  <c r="S419" i="54" s="1"/>
  <c r="R421" i="54"/>
  <c r="S421" i="54" s="1"/>
  <c r="R436" i="54"/>
  <c r="S436" i="54" s="1"/>
  <c r="R438" i="54"/>
  <c r="S438" i="54" s="1"/>
  <c r="R446" i="54"/>
  <c r="S446" i="54" s="1"/>
  <c r="L30" i="54"/>
  <c r="K68" i="54"/>
  <c r="Y69" i="54"/>
  <c r="AG69" i="54" s="1"/>
  <c r="P73" i="54"/>
  <c r="N83" i="54"/>
  <c r="Q87" i="54"/>
  <c r="L87" i="54"/>
  <c r="M87" i="54"/>
  <c r="O95" i="54"/>
  <c r="I95" i="54"/>
  <c r="N95" i="54"/>
  <c r="N97" i="54"/>
  <c r="M97" i="54"/>
  <c r="G97" i="54"/>
  <c r="P97" i="54"/>
  <c r="L113" i="54"/>
  <c r="O113" i="54"/>
  <c r="H113" i="54"/>
  <c r="K119" i="54"/>
  <c r="N123" i="54"/>
  <c r="P123" i="54"/>
  <c r="I123" i="54"/>
  <c r="M123" i="54"/>
  <c r="G150" i="54"/>
  <c r="K150" i="54" s="1"/>
  <c r="N150" i="54"/>
  <c r="J175" i="54"/>
  <c r="N175" i="54"/>
  <c r="J202" i="54"/>
  <c r="N202" i="54"/>
  <c r="N217" i="54"/>
  <c r="J217" i="54"/>
  <c r="R217" i="54" s="1"/>
  <c r="H217" i="54"/>
  <c r="N221" i="54"/>
  <c r="O221" i="54"/>
  <c r="J221" i="54"/>
  <c r="N224" i="54"/>
  <c r="H224" i="54"/>
  <c r="V245" i="54"/>
  <c r="Y245" i="54" s="1"/>
  <c r="AG245" i="54" s="1"/>
  <c r="J260" i="54"/>
  <c r="L260" i="54"/>
  <c r="H260" i="54"/>
  <c r="M263" i="54"/>
  <c r="G263" i="54"/>
  <c r="H263" i="54"/>
  <c r="R306" i="54"/>
  <c r="S306" i="54" s="1"/>
  <c r="R386" i="54"/>
  <c r="S386" i="54" s="1"/>
  <c r="R392" i="54"/>
  <c r="S392" i="54" s="1"/>
  <c r="R394" i="54"/>
  <c r="S394" i="54" s="1"/>
  <c r="L96" i="54"/>
  <c r="M99" i="54"/>
  <c r="AF104" i="54"/>
  <c r="L125" i="54"/>
  <c r="Q125" i="54"/>
  <c r="N144" i="54"/>
  <c r="AB144" i="54" s="1"/>
  <c r="Z151" i="54"/>
  <c r="K166" i="54"/>
  <c r="S166" i="54" s="1"/>
  <c r="K167" i="54"/>
  <c r="Y167" i="54" s="1"/>
  <c r="U167" i="54"/>
  <c r="I181" i="54"/>
  <c r="J181" i="54"/>
  <c r="R181" i="54" s="1"/>
  <c r="N216" i="54"/>
  <c r="J216" i="54"/>
  <c r="AF240" i="54"/>
  <c r="M266" i="54"/>
  <c r="G266" i="54"/>
  <c r="M275" i="54"/>
  <c r="G275" i="54"/>
  <c r="R332" i="54"/>
  <c r="S332" i="54" s="1"/>
  <c r="R334" i="54"/>
  <c r="S334" i="54" s="1"/>
  <c r="R338" i="54"/>
  <c r="S338" i="54" s="1"/>
  <c r="R367" i="54"/>
  <c r="S367" i="54" s="1"/>
  <c r="R369" i="54"/>
  <c r="S369" i="54" s="1"/>
  <c r="R376" i="54"/>
  <c r="S376" i="54" s="1"/>
  <c r="R378" i="54"/>
  <c r="S378" i="54" s="1"/>
  <c r="R396" i="54"/>
  <c r="S396" i="54" s="1"/>
  <c r="R398" i="54"/>
  <c r="S398" i="54" s="1"/>
  <c r="R402" i="54"/>
  <c r="S402" i="54" s="1"/>
  <c r="S163" i="54"/>
  <c r="S164" i="54"/>
  <c r="L180" i="54"/>
  <c r="K239" i="54"/>
  <c r="Y239" i="54" s="1"/>
  <c r="U240" i="54"/>
  <c r="AF245" i="54"/>
  <c r="P271" i="54"/>
  <c r="AF278" i="54"/>
  <c r="P290" i="54"/>
  <c r="R307" i="54"/>
  <c r="S307" i="54" s="1"/>
  <c r="R311" i="54"/>
  <c r="S311" i="54" s="1"/>
  <c r="R315" i="54"/>
  <c r="S315" i="54" s="1"/>
  <c r="R317" i="54"/>
  <c r="S317" i="54" s="1"/>
  <c r="R335" i="54"/>
  <c r="S335" i="54" s="1"/>
  <c r="R352" i="54"/>
  <c r="S352" i="54" s="1"/>
  <c r="R360" i="54"/>
  <c r="S360" i="54" s="1"/>
  <c r="R362" i="54"/>
  <c r="S362" i="54" s="1"/>
  <c r="R382" i="54"/>
  <c r="S382" i="54" s="1"/>
  <c r="R385" i="54"/>
  <c r="S385" i="54" s="1"/>
  <c r="R387" i="54"/>
  <c r="S387" i="54" s="1"/>
  <c r="R389" i="54"/>
  <c r="S389" i="54" s="1"/>
  <c r="R404" i="54"/>
  <c r="S404" i="54" s="1"/>
  <c r="R406" i="54"/>
  <c r="S406" i="54" s="1"/>
  <c r="R414" i="54"/>
  <c r="S414" i="54" s="1"/>
  <c r="R431" i="54"/>
  <c r="S431" i="54" s="1"/>
  <c r="R448" i="54"/>
  <c r="S448" i="54" s="1"/>
  <c r="R456" i="54"/>
  <c r="S456" i="54" s="1"/>
  <c r="R460" i="54"/>
  <c r="S460" i="54" s="1"/>
  <c r="R466" i="54"/>
  <c r="S466" i="54" s="1"/>
  <c r="R481" i="54"/>
  <c r="S481" i="54" s="1"/>
  <c r="R483" i="54"/>
  <c r="S483" i="54" s="1"/>
  <c r="R485" i="54"/>
  <c r="S485" i="54" s="1"/>
  <c r="R327" i="54"/>
  <c r="S327" i="54" s="1"/>
  <c r="R391" i="54"/>
  <c r="S391" i="54" s="1"/>
  <c r="R337" i="54"/>
  <c r="S337" i="54" s="1"/>
  <c r="R344" i="54"/>
  <c r="S344" i="54" s="1"/>
  <c r="R346" i="54"/>
  <c r="S346" i="54" s="1"/>
  <c r="R366" i="54"/>
  <c r="S366" i="54" s="1"/>
  <c r="R329" i="54"/>
  <c r="S329" i="54" s="1"/>
  <c r="R354" i="54"/>
  <c r="S354" i="54" s="1"/>
  <c r="R393" i="54"/>
  <c r="S393" i="54" s="1"/>
  <c r="R318" i="54"/>
  <c r="S318" i="54" s="1"/>
  <c r="R401" i="54"/>
  <c r="S401" i="54" s="1"/>
  <c r="R408" i="54"/>
  <c r="S408" i="54" s="1"/>
  <c r="R425" i="54"/>
  <c r="S425" i="54" s="1"/>
  <c r="R430" i="54"/>
  <c r="S430" i="54" s="1"/>
  <c r="R433" i="54"/>
  <c r="S433" i="54" s="1"/>
  <c r="R442" i="54"/>
  <c r="S442" i="54" s="1"/>
  <c r="R450" i="54"/>
  <c r="S450" i="54" s="1"/>
  <c r="R455" i="54"/>
  <c r="S455" i="54" s="1"/>
  <c r="R474" i="54"/>
  <c r="S474" i="54" s="1"/>
  <c r="R482" i="54"/>
  <c r="S482" i="54" s="1"/>
  <c r="R308" i="54"/>
  <c r="S308" i="54" s="1"/>
  <c r="R310" i="54"/>
  <c r="S310" i="54" s="1"/>
  <c r="R319" i="54"/>
  <c r="S319" i="54" s="1"/>
  <c r="R324" i="54"/>
  <c r="S324" i="54" s="1"/>
  <c r="R326" i="54"/>
  <c r="S326" i="54" s="1"/>
  <c r="R331" i="54"/>
  <c r="S331" i="54" s="1"/>
  <c r="R333" i="54"/>
  <c r="S333" i="54" s="1"/>
  <c r="R336" i="54"/>
  <c r="S336" i="54" s="1"/>
  <c r="R339" i="54"/>
  <c r="S339" i="54" s="1"/>
  <c r="R341" i="54"/>
  <c r="S341" i="54" s="1"/>
  <c r="R348" i="54"/>
  <c r="S348" i="54" s="1"/>
  <c r="R351" i="54"/>
  <c r="S351" i="54" s="1"/>
  <c r="R356" i="54"/>
  <c r="S356" i="54" s="1"/>
  <c r="R358" i="54"/>
  <c r="S358" i="54" s="1"/>
  <c r="R363" i="54"/>
  <c r="S363" i="54" s="1"/>
  <c r="R365" i="54"/>
  <c r="S365" i="54" s="1"/>
  <c r="R368" i="54"/>
  <c r="S368" i="54" s="1"/>
  <c r="R371" i="54"/>
  <c r="S371" i="54" s="1"/>
  <c r="R373" i="54"/>
  <c r="S373" i="54" s="1"/>
  <c r="R380" i="54"/>
  <c r="S380" i="54" s="1"/>
  <c r="R383" i="54"/>
  <c r="S383" i="54" s="1"/>
  <c r="R388" i="54"/>
  <c r="S388" i="54" s="1"/>
  <c r="R390" i="54"/>
  <c r="S390" i="54" s="1"/>
  <c r="R395" i="54"/>
  <c r="S395" i="54" s="1"/>
  <c r="R397" i="54"/>
  <c r="S397" i="54" s="1"/>
  <c r="R400" i="54"/>
  <c r="S400" i="54" s="1"/>
  <c r="R403" i="54"/>
  <c r="S403" i="54" s="1"/>
  <c r="R405" i="54"/>
  <c r="S405" i="54" s="1"/>
  <c r="R412" i="54"/>
  <c r="S412" i="54" s="1"/>
  <c r="R415" i="54"/>
  <c r="S415" i="54" s="1"/>
  <c r="R420" i="54"/>
  <c r="S420" i="54" s="1"/>
  <c r="R422" i="54"/>
  <c r="S422" i="54" s="1"/>
  <c r="R427" i="54"/>
  <c r="S427" i="54" s="1"/>
  <c r="R429" i="54"/>
  <c r="S429" i="54" s="1"/>
  <c r="R432" i="54"/>
  <c r="S432" i="54" s="1"/>
  <c r="R435" i="54"/>
  <c r="S435" i="54" s="1"/>
  <c r="R437" i="54"/>
  <c r="S437" i="54" s="1"/>
  <c r="R444" i="54"/>
  <c r="S444" i="54" s="1"/>
  <c r="R447" i="54"/>
  <c r="S447" i="54" s="1"/>
  <c r="R452" i="54"/>
  <c r="S452" i="54" s="1"/>
  <c r="R454" i="54"/>
  <c r="S454" i="54" s="1"/>
  <c r="R459" i="54"/>
  <c r="S459" i="54" s="1"/>
  <c r="R461" i="54"/>
  <c r="S461" i="54" s="1"/>
  <c r="R464" i="54"/>
  <c r="S464" i="54" s="1"/>
  <c r="R467" i="54"/>
  <c r="S467" i="54" s="1"/>
  <c r="R469" i="54"/>
  <c r="S469" i="54" s="1"/>
  <c r="R476" i="54"/>
  <c r="S476" i="54" s="1"/>
  <c r="R479" i="54"/>
  <c r="S479" i="54" s="1"/>
  <c r="R484" i="54"/>
  <c r="S484" i="54" s="1"/>
  <c r="R486" i="54"/>
  <c r="S486" i="54" s="1"/>
  <c r="R410" i="54"/>
  <c r="S410" i="54" s="1"/>
  <c r="R418" i="54"/>
  <c r="S418" i="54" s="1"/>
  <c r="R423" i="54"/>
  <c r="S423" i="54" s="1"/>
  <c r="R440" i="54"/>
  <c r="S440" i="54" s="1"/>
  <c r="R457" i="54"/>
  <c r="S457" i="54" s="1"/>
  <c r="R462" i="54"/>
  <c r="S462" i="54" s="1"/>
  <c r="R465" i="54"/>
  <c r="S465" i="54" s="1"/>
  <c r="R472" i="54"/>
  <c r="S472" i="54" s="1"/>
  <c r="R487" i="54"/>
  <c r="S487" i="54" s="1"/>
  <c r="R314" i="54"/>
  <c r="S314" i="54" s="1"/>
  <c r="R458" i="54"/>
  <c r="S458" i="54" s="1"/>
  <c r="R349" i="53"/>
  <c r="S349" i="53" s="1"/>
  <c r="R367" i="53"/>
  <c r="S367" i="53" s="1"/>
  <c r="R372" i="53"/>
  <c r="S372" i="53" s="1"/>
  <c r="R411" i="53"/>
  <c r="S411" i="53" s="1"/>
  <c r="R335" i="53"/>
  <c r="S335" i="53" s="1"/>
  <c r="R340" i="53"/>
  <c r="S340" i="53" s="1"/>
  <c r="R342" i="53"/>
  <c r="S342" i="53" s="1"/>
  <c r="R379" i="53"/>
  <c r="S379" i="53" s="1"/>
  <c r="R381" i="53"/>
  <c r="S381" i="53" s="1"/>
  <c r="R399" i="53"/>
  <c r="S399" i="53" s="1"/>
  <c r="R404" i="53"/>
  <c r="S404" i="53" s="1"/>
  <c r="R406" i="53"/>
  <c r="S406" i="53" s="1"/>
  <c r="R347" i="53"/>
  <c r="S347" i="53" s="1"/>
  <c r="R374" i="53"/>
  <c r="S374" i="53" s="1"/>
  <c r="R355" i="53"/>
  <c r="S355" i="53" s="1"/>
  <c r="R357" i="53"/>
  <c r="S357" i="53" s="1"/>
  <c r="R364" i="53"/>
  <c r="S364" i="53" s="1"/>
  <c r="R384" i="53"/>
  <c r="S384" i="53" s="1"/>
  <c r="R413" i="53"/>
  <c r="S413" i="53" s="1"/>
  <c r="R419" i="53"/>
  <c r="S419" i="53" s="1"/>
  <c r="R421" i="53"/>
  <c r="S421" i="53" s="1"/>
  <c r="R431" i="53"/>
  <c r="S431" i="53" s="1"/>
  <c r="R436" i="53"/>
  <c r="S436" i="53" s="1"/>
  <c r="R443" i="53"/>
  <c r="S443" i="53" s="1"/>
  <c r="R445" i="53"/>
  <c r="S445" i="53" s="1"/>
  <c r="R451" i="53"/>
  <c r="S451" i="53" s="1"/>
  <c r="R460" i="53"/>
  <c r="S460" i="53" s="1"/>
  <c r="R463" i="53"/>
  <c r="S463" i="53" s="1"/>
  <c r="R470" i="53"/>
  <c r="S470" i="53" s="1"/>
  <c r="R477" i="53"/>
  <c r="S477" i="53" s="1"/>
  <c r="R480" i="53"/>
  <c r="S480" i="53" s="1"/>
  <c r="R485" i="53"/>
  <c r="S485" i="53" s="1"/>
  <c r="R308" i="53"/>
  <c r="S308" i="53" s="1"/>
  <c r="R310" i="53"/>
  <c r="S310" i="53" s="1"/>
  <c r="R319" i="53"/>
  <c r="S319" i="53" s="1"/>
  <c r="R326" i="53"/>
  <c r="S326" i="53" s="1"/>
  <c r="R333" i="53"/>
  <c r="S333" i="53" s="1"/>
  <c r="R336" i="53"/>
  <c r="S336" i="53" s="1"/>
  <c r="R339" i="53"/>
  <c r="S339" i="53" s="1"/>
  <c r="R341" i="53"/>
  <c r="S341" i="53" s="1"/>
  <c r="R348" i="53"/>
  <c r="S348" i="53" s="1"/>
  <c r="R351" i="53"/>
  <c r="S351" i="53" s="1"/>
  <c r="R356" i="53"/>
  <c r="S356" i="53" s="1"/>
  <c r="R358" i="53"/>
  <c r="S358" i="53" s="1"/>
  <c r="R363" i="53"/>
  <c r="S363" i="53" s="1"/>
  <c r="R365" i="53"/>
  <c r="S365" i="53" s="1"/>
  <c r="R368" i="53"/>
  <c r="S368" i="53" s="1"/>
  <c r="R371" i="53"/>
  <c r="S371" i="53" s="1"/>
  <c r="R373" i="53"/>
  <c r="S373" i="53" s="1"/>
  <c r="R380" i="53"/>
  <c r="S380" i="53" s="1"/>
  <c r="R383" i="53"/>
  <c r="S383" i="53" s="1"/>
  <c r="R388" i="53"/>
  <c r="S388" i="53" s="1"/>
  <c r="R390" i="53"/>
  <c r="S390" i="53" s="1"/>
  <c r="R395" i="53"/>
  <c r="S395" i="53" s="1"/>
  <c r="R397" i="53"/>
  <c r="S397" i="53" s="1"/>
  <c r="R400" i="53"/>
  <c r="S400" i="53" s="1"/>
  <c r="R403" i="53"/>
  <c r="S403" i="53" s="1"/>
  <c r="R405" i="53"/>
  <c r="S405" i="53" s="1"/>
  <c r="R412" i="53"/>
  <c r="S412" i="53" s="1"/>
  <c r="R415" i="53"/>
  <c r="S415" i="53" s="1"/>
  <c r="R420" i="53"/>
  <c r="S420" i="53" s="1"/>
  <c r="R422" i="53"/>
  <c r="S422" i="53" s="1"/>
  <c r="R427" i="53"/>
  <c r="S427" i="53" s="1"/>
  <c r="R429" i="53"/>
  <c r="S429" i="53" s="1"/>
  <c r="R432" i="53"/>
  <c r="S432" i="53" s="1"/>
  <c r="R435" i="53"/>
  <c r="S435" i="53" s="1"/>
  <c r="R437" i="53"/>
  <c r="S437" i="53" s="1"/>
  <c r="R444" i="53"/>
  <c r="S444" i="53" s="1"/>
  <c r="R447" i="53"/>
  <c r="S447" i="53" s="1"/>
  <c r="R452" i="53"/>
  <c r="S452" i="53" s="1"/>
  <c r="R454" i="53"/>
  <c r="S454" i="53" s="1"/>
  <c r="R459" i="53"/>
  <c r="S459" i="53" s="1"/>
  <c r="R461" i="53"/>
  <c r="S461" i="53" s="1"/>
  <c r="R464" i="53"/>
  <c r="S464" i="53" s="1"/>
  <c r="R469" i="53"/>
  <c r="S469" i="53" s="1"/>
  <c r="R486" i="53"/>
  <c r="S486" i="53" s="1"/>
  <c r="R416" i="53"/>
  <c r="S416" i="53" s="1"/>
  <c r="R428" i="53"/>
  <c r="S428" i="53" s="1"/>
  <c r="R438" i="53"/>
  <c r="S438" i="53" s="1"/>
  <c r="R448" i="53"/>
  <c r="S448" i="53" s="1"/>
  <c r="R453" i="53"/>
  <c r="S453" i="53" s="1"/>
  <c r="R468" i="53"/>
  <c r="S468" i="53" s="1"/>
  <c r="R475" i="53"/>
  <c r="S475" i="53" s="1"/>
  <c r="R483" i="53"/>
  <c r="S483" i="53" s="1"/>
  <c r="R317" i="53"/>
  <c r="S317" i="53" s="1"/>
  <c r="R327" i="53"/>
  <c r="S327" i="53" s="1"/>
  <c r="R329" i="53"/>
  <c r="S329" i="53" s="1"/>
  <c r="R334" i="53"/>
  <c r="S334" i="53" s="1"/>
  <c r="R337" i="53"/>
  <c r="S337" i="53" s="1"/>
  <c r="R344" i="53"/>
  <c r="S344" i="53" s="1"/>
  <c r="R346" i="53"/>
  <c r="S346" i="53" s="1"/>
  <c r="R354" i="53"/>
  <c r="S354" i="53" s="1"/>
  <c r="R359" i="53"/>
  <c r="S359" i="53" s="1"/>
  <c r="R361" i="53"/>
  <c r="S361" i="53" s="1"/>
  <c r="R366" i="53"/>
  <c r="S366" i="53" s="1"/>
  <c r="R369" i="53"/>
  <c r="S369" i="53" s="1"/>
  <c r="R376" i="53"/>
  <c r="S376" i="53" s="1"/>
  <c r="R378" i="53"/>
  <c r="S378" i="53" s="1"/>
  <c r="R386" i="53"/>
  <c r="S386" i="53" s="1"/>
  <c r="R391" i="53"/>
  <c r="S391" i="53" s="1"/>
  <c r="R393" i="53"/>
  <c r="S393" i="53" s="1"/>
  <c r="R398" i="53"/>
  <c r="S398" i="53" s="1"/>
  <c r="R401" i="53"/>
  <c r="S401" i="53" s="1"/>
  <c r="R408" i="53"/>
  <c r="S408" i="53" s="1"/>
  <c r="R410" i="53"/>
  <c r="S410" i="53" s="1"/>
  <c r="R418" i="53"/>
  <c r="S418" i="53" s="1"/>
  <c r="R423" i="53"/>
  <c r="S423" i="53" s="1"/>
  <c r="R425" i="53"/>
  <c r="S425" i="53" s="1"/>
  <c r="R430" i="53"/>
  <c r="S430" i="53" s="1"/>
  <c r="R433" i="53"/>
  <c r="S433" i="53" s="1"/>
  <c r="R440" i="53"/>
  <c r="S440" i="53" s="1"/>
  <c r="R442" i="53"/>
  <c r="S442" i="53" s="1"/>
  <c r="R450" i="53"/>
  <c r="S450" i="53" s="1"/>
  <c r="R455" i="53"/>
  <c r="S455" i="53" s="1"/>
  <c r="R457" i="53"/>
  <c r="S457" i="53" s="1"/>
  <c r="R462" i="53"/>
  <c r="S462" i="53" s="1"/>
  <c r="R465" i="53"/>
  <c r="S465" i="53" s="1"/>
  <c r="R472" i="53"/>
  <c r="S472" i="53" s="1"/>
  <c r="R474" i="53"/>
  <c r="S474" i="53" s="1"/>
  <c r="R482" i="53"/>
  <c r="S482" i="53" s="1"/>
  <c r="R487" i="53"/>
  <c r="S487" i="53" s="1"/>
  <c r="AF278" i="53"/>
  <c r="AF15" i="53"/>
  <c r="AF245" i="53"/>
  <c r="R339" i="49"/>
  <c r="S339" i="49" s="1"/>
  <c r="R335" i="49"/>
  <c r="S335" i="49" s="1"/>
  <c r="R331" i="49"/>
  <c r="S331" i="49" s="1"/>
  <c r="R327" i="49"/>
  <c r="S327" i="49" s="1"/>
  <c r="R318" i="49"/>
  <c r="S318" i="49" s="1"/>
  <c r="R314" i="49"/>
  <c r="S314" i="49" s="1"/>
  <c r="R310" i="49"/>
  <c r="S310" i="49" s="1"/>
  <c r="R306" i="49"/>
  <c r="S306" i="49" s="1"/>
  <c r="AG7" i="54"/>
  <c r="K120" i="54"/>
  <c r="V120" i="54"/>
  <c r="N74" i="54"/>
  <c r="H74" i="54"/>
  <c r="L74" i="54"/>
  <c r="G74" i="54"/>
  <c r="H115" i="54"/>
  <c r="K115" i="54" s="1"/>
  <c r="L115" i="54"/>
  <c r="H116" i="54"/>
  <c r="K116" i="54" s="1"/>
  <c r="L116" i="54"/>
  <c r="U135" i="54"/>
  <c r="K135" i="54"/>
  <c r="H226" i="54"/>
  <c r="P226" i="54"/>
  <c r="AD225" i="54" s="1"/>
  <c r="I226" i="54"/>
  <c r="W225" i="54" s="1"/>
  <c r="J273" i="54"/>
  <c r="N273" i="54"/>
  <c r="G273" i="54"/>
  <c r="G20" i="54"/>
  <c r="K20" i="54" s="1"/>
  <c r="G26" i="54"/>
  <c r="K26" i="54" s="1"/>
  <c r="G28" i="54"/>
  <c r="G59" i="54"/>
  <c r="J14" i="54"/>
  <c r="N26" i="54"/>
  <c r="N92" i="54"/>
  <c r="I92" i="54"/>
  <c r="L92" i="54"/>
  <c r="H92" i="54"/>
  <c r="O92" i="54"/>
  <c r="M94" i="54"/>
  <c r="I94" i="54"/>
  <c r="L94" i="54"/>
  <c r="H94" i="54"/>
  <c r="J103" i="54"/>
  <c r="H103" i="54"/>
  <c r="V103" i="54" s="1"/>
  <c r="G103" i="54"/>
  <c r="N149" i="54"/>
  <c r="G149" i="54"/>
  <c r="K149" i="54" s="1"/>
  <c r="J174" i="54"/>
  <c r="N174" i="54"/>
  <c r="N184" i="54"/>
  <c r="J184" i="54"/>
  <c r="O210" i="54"/>
  <c r="H210" i="54"/>
  <c r="J210" i="54"/>
  <c r="L243" i="54"/>
  <c r="Z243" i="54" s="1"/>
  <c r="H243" i="54"/>
  <c r="G293" i="54"/>
  <c r="N293" i="54"/>
  <c r="G14" i="54"/>
  <c r="M49" i="54"/>
  <c r="G53" i="54"/>
  <c r="H61" i="54"/>
  <c r="K61" i="54" s="1"/>
  <c r="I65" i="54"/>
  <c r="W63" i="54" s="1"/>
  <c r="P71" i="54"/>
  <c r="J71" i="54"/>
  <c r="L71" i="54"/>
  <c r="J74" i="54"/>
  <c r="R74" i="54" s="1"/>
  <c r="N80" i="54"/>
  <c r="I80" i="54"/>
  <c r="M80" i="54"/>
  <c r="H80" i="54"/>
  <c r="O80" i="54"/>
  <c r="N81" i="54"/>
  <c r="I81" i="54"/>
  <c r="M81" i="54"/>
  <c r="H81" i="54"/>
  <c r="O81" i="54"/>
  <c r="P86" i="54"/>
  <c r="J86" i="54"/>
  <c r="M86" i="54"/>
  <c r="H86" i="54"/>
  <c r="Q86" i="54"/>
  <c r="G92" i="54"/>
  <c r="P92" i="54"/>
  <c r="G94" i="54"/>
  <c r="M128" i="54"/>
  <c r="H128" i="54"/>
  <c r="J128" i="54"/>
  <c r="V135" i="54"/>
  <c r="N171" i="54"/>
  <c r="J171" i="54"/>
  <c r="J172" i="54"/>
  <c r="N172" i="54"/>
  <c r="H174" i="54"/>
  <c r="H184" i="54"/>
  <c r="O186" i="54"/>
  <c r="H186" i="54"/>
  <c r="J186" i="54"/>
  <c r="O188" i="54"/>
  <c r="H188" i="54"/>
  <c r="J188" i="54"/>
  <c r="O190" i="54"/>
  <c r="H190" i="54"/>
  <c r="J190" i="54"/>
  <c r="O192" i="54"/>
  <c r="H192" i="54"/>
  <c r="J192" i="54"/>
  <c r="O194" i="54"/>
  <c r="H194" i="54"/>
  <c r="J194" i="54"/>
  <c r="O196" i="54"/>
  <c r="H196" i="54"/>
  <c r="J196" i="54"/>
  <c r="N210" i="54"/>
  <c r="L226" i="54"/>
  <c r="Z225" i="54" s="1"/>
  <c r="M258" i="54"/>
  <c r="L258" i="54"/>
  <c r="H258" i="54"/>
  <c r="J258" i="54"/>
  <c r="N272" i="54"/>
  <c r="G272" i="54"/>
  <c r="P272" i="54"/>
  <c r="I272" i="54"/>
  <c r="W271" i="54" s="1"/>
  <c r="O272" i="54"/>
  <c r="O273" i="54"/>
  <c r="H293" i="54"/>
  <c r="M14" i="54"/>
  <c r="AA14" i="54" s="1"/>
  <c r="N24" i="54"/>
  <c r="AB24" i="54" s="1"/>
  <c r="H28" i="54"/>
  <c r="L33" i="54"/>
  <c r="G33" i="54"/>
  <c r="M33" i="54"/>
  <c r="M34" i="54"/>
  <c r="H34" i="54"/>
  <c r="L34" i="54"/>
  <c r="N35" i="54"/>
  <c r="J35" i="54"/>
  <c r="L35" i="54"/>
  <c r="M47" i="54"/>
  <c r="M48" i="54"/>
  <c r="G48" i="54"/>
  <c r="N48" i="54"/>
  <c r="G49" i="54"/>
  <c r="N49" i="54"/>
  <c r="U50" i="54"/>
  <c r="G54" i="54"/>
  <c r="K54" i="54" s="1"/>
  <c r="H56" i="54"/>
  <c r="H59" i="54"/>
  <c r="U68" i="54"/>
  <c r="Y68" i="54" s="1"/>
  <c r="AF69" i="54"/>
  <c r="G71" i="54"/>
  <c r="N71" i="54"/>
  <c r="H76" i="54"/>
  <c r="K76" i="54" s="1"/>
  <c r="H77" i="54"/>
  <c r="H78" i="54"/>
  <c r="K78" i="54" s="1"/>
  <c r="H79" i="54"/>
  <c r="G80" i="54"/>
  <c r="G81" i="54"/>
  <c r="M84" i="54"/>
  <c r="H84" i="54"/>
  <c r="G84" i="54"/>
  <c r="O84" i="54"/>
  <c r="G86" i="54"/>
  <c r="J92" i="54"/>
  <c r="M93" i="54"/>
  <c r="R93" i="54" s="1"/>
  <c r="I93" i="54"/>
  <c r="L93" i="54"/>
  <c r="H93" i="54"/>
  <c r="N93" i="54"/>
  <c r="J94" i="54"/>
  <c r="U102" i="54"/>
  <c r="K102" i="54"/>
  <c r="N103" i="54"/>
  <c r="AB103" i="54" s="1"/>
  <c r="N110" i="54"/>
  <c r="J110" i="54"/>
  <c r="P110" i="54"/>
  <c r="AD109" i="54" s="1"/>
  <c r="O110" i="54"/>
  <c r="H110" i="54"/>
  <c r="Q110" i="54"/>
  <c r="AE109" i="54" s="1"/>
  <c r="P124" i="54"/>
  <c r="L124" i="54"/>
  <c r="H124" i="54"/>
  <c r="N124" i="54"/>
  <c r="I124" i="54"/>
  <c r="M124" i="54"/>
  <c r="G124" i="54"/>
  <c r="Q124" i="54"/>
  <c r="J127" i="54"/>
  <c r="H127" i="54"/>
  <c r="M127" i="54"/>
  <c r="G127" i="54"/>
  <c r="G128" i="54"/>
  <c r="J132" i="54"/>
  <c r="H132" i="54"/>
  <c r="K142" i="54"/>
  <c r="S142" i="54" s="1"/>
  <c r="AG142" i="54" s="1"/>
  <c r="U142" i="54"/>
  <c r="G145" i="54"/>
  <c r="G147" i="54"/>
  <c r="K147" i="54" s="1"/>
  <c r="S147" i="54" s="1"/>
  <c r="AF151" i="54"/>
  <c r="P160" i="54"/>
  <c r="J160" i="54"/>
  <c r="Q160" i="54"/>
  <c r="H160" i="54"/>
  <c r="G170" i="54"/>
  <c r="I170" i="54"/>
  <c r="W168" i="54" s="1"/>
  <c r="M170" i="54"/>
  <c r="H170" i="54"/>
  <c r="H171" i="54"/>
  <c r="H172" i="54"/>
  <c r="O174" i="54"/>
  <c r="I178" i="54"/>
  <c r="J178" i="54"/>
  <c r="H178" i="54"/>
  <c r="L182" i="54"/>
  <c r="H182" i="54"/>
  <c r="I182" i="54"/>
  <c r="M182" i="54"/>
  <c r="G182" i="54"/>
  <c r="O184" i="54"/>
  <c r="N186" i="54"/>
  <c r="N188" i="54"/>
  <c r="N190" i="54"/>
  <c r="N192" i="54"/>
  <c r="N194" i="54"/>
  <c r="N196" i="54"/>
  <c r="J201" i="54"/>
  <c r="R201" i="54" s="1"/>
  <c r="N201" i="54"/>
  <c r="O204" i="54"/>
  <c r="H204" i="54"/>
  <c r="J204" i="54"/>
  <c r="V239" i="54"/>
  <c r="K240" i="54"/>
  <c r="O256" i="54"/>
  <c r="N256" i="54"/>
  <c r="H256" i="54"/>
  <c r="L256" i="54"/>
  <c r="J256" i="54"/>
  <c r="G258" i="54"/>
  <c r="Y269" i="54"/>
  <c r="AG269" i="54" s="1"/>
  <c r="S269" i="54"/>
  <c r="J272" i="54"/>
  <c r="P273" i="54"/>
  <c r="M277" i="54"/>
  <c r="H277" i="54"/>
  <c r="J277" i="54"/>
  <c r="G277" i="54"/>
  <c r="P291" i="54"/>
  <c r="G291" i="54"/>
  <c r="N291" i="54"/>
  <c r="H19" i="54"/>
  <c r="L20" i="54"/>
  <c r="G24" i="54"/>
  <c r="O24" i="54"/>
  <c r="H25" i="54"/>
  <c r="K25" i="54" s="1"/>
  <c r="L31" i="54"/>
  <c r="G31" i="54"/>
  <c r="M31" i="54"/>
  <c r="O32" i="54"/>
  <c r="H32" i="54"/>
  <c r="N32" i="54"/>
  <c r="H33" i="54"/>
  <c r="N33" i="54"/>
  <c r="G34" i="54"/>
  <c r="N34" i="54"/>
  <c r="G35" i="54"/>
  <c r="K35" i="54" s="1"/>
  <c r="M35" i="54"/>
  <c r="M46" i="54"/>
  <c r="G46" i="54"/>
  <c r="N46" i="54"/>
  <c r="G47" i="54"/>
  <c r="K47" i="54" s="1"/>
  <c r="N47" i="54"/>
  <c r="J48" i="54"/>
  <c r="O48" i="54"/>
  <c r="J49" i="54"/>
  <c r="H52" i="54"/>
  <c r="N53" i="54"/>
  <c r="AF57" i="54"/>
  <c r="L61" i="54"/>
  <c r="G62" i="54"/>
  <c r="K62" i="54" s="1"/>
  <c r="N65" i="54"/>
  <c r="H71" i="54"/>
  <c r="P74" i="54"/>
  <c r="N76" i="54"/>
  <c r="N77" i="54"/>
  <c r="N78" i="54"/>
  <c r="N79" i="54"/>
  <c r="J80" i="54"/>
  <c r="J81" i="54"/>
  <c r="I84" i="54"/>
  <c r="P85" i="54"/>
  <c r="J85" i="54"/>
  <c r="M85" i="54"/>
  <c r="H85" i="54"/>
  <c r="Q85" i="54"/>
  <c r="P90" i="54"/>
  <c r="J90" i="54"/>
  <c r="M90" i="54"/>
  <c r="H90" i="54"/>
  <c r="Q90" i="54"/>
  <c r="G93" i="54"/>
  <c r="P93" i="54"/>
  <c r="P104" i="54"/>
  <c r="H104" i="54"/>
  <c r="I104" i="54"/>
  <c r="G104" i="54"/>
  <c r="G110" i="54"/>
  <c r="N112" i="54"/>
  <c r="J112" i="54"/>
  <c r="L112" i="54"/>
  <c r="U115" i="54"/>
  <c r="L119" i="54"/>
  <c r="J124" i="54"/>
  <c r="L128" i="54"/>
  <c r="G132" i="54"/>
  <c r="AF135" i="54"/>
  <c r="G143" i="54"/>
  <c r="AF145" i="54"/>
  <c r="U151" i="54"/>
  <c r="G160" i="54"/>
  <c r="AB162" i="54"/>
  <c r="J170" i="54"/>
  <c r="O171" i="54"/>
  <c r="O172" i="54"/>
  <c r="J176" i="54"/>
  <c r="N176" i="54"/>
  <c r="G178" i="54"/>
  <c r="J182" i="54"/>
  <c r="H201" i="54"/>
  <c r="N204" i="54"/>
  <c r="M256" i="54"/>
  <c r="J267" i="54"/>
  <c r="H267" i="54"/>
  <c r="G267" i="54"/>
  <c r="J276" i="54"/>
  <c r="H276" i="54"/>
  <c r="L276" i="54"/>
  <c r="L277" i="54"/>
  <c r="H291" i="54"/>
  <c r="J83" i="54"/>
  <c r="O83" i="54"/>
  <c r="J99" i="54"/>
  <c r="N99" i="54"/>
  <c r="J100" i="54"/>
  <c r="N100" i="54"/>
  <c r="J101" i="54"/>
  <c r="N101" i="54"/>
  <c r="L108" i="54"/>
  <c r="G108" i="54"/>
  <c r="P108" i="54"/>
  <c r="O111" i="54"/>
  <c r="N158" i="54"/>
  <c r="I158" i="54"/>
  <c r="AF162" i="54"/>
  <c r="M169" i="54"/>
  <c r="H169" i="54"/>
  <c r="L169" i="54"/>
  <c r="O173" i="54"/>
  <c r="O175" i="54"/>
  <c r="L177" i="54"/>
  <c r="H177" i="54"/>
  <c r="O200" i="54"/>
  <c r="O202" i="54"/>
  <c r="O208" i="54"/>
  <c r="L253" i="54"/>
  <c r="O253" i="54"/>
  <c r="J253" i="54"/>
  <c r="N253" i="54"/>
  <c r="O254" i="54"/>
  <c r="H254" i="54"/>
  <c r="L265" i="54"/>
  <c r="G265" i="54"/>
  <c r="H265" i="54"/>
  <c r="M274" i="54"/>
  <c r="R274" i="54" s="1"/>
  <c r="H274" i="54"/>
  <c r="G279" i="54"/>
  <c r="H279" i="54"/>
  <c r="H280" i="54"/>
  <c r="N280" i="54"/>
  <c r="Y283" i="54"/>
  <c r="AG283" i="54" s="1"/>
  <c r="P292" i="54"/>
  <c r="G292" i="54"/>
  <c r="G73" i="54"/>
  <c r="J82" i="54"/>
  <c r="G88" i="54"/>
  <c r="J91" i="54"/>
  <c r="J95" i="54"/>
  <c r="J96" i="54"/>
  <c r="R96" i="54" s="1"/>
  <c r="J97" i="54"/>
  <c r="J98" i="54"/>
  <c r="G99" i="54"/>
  <c r="G100" i="54"/>
  <c r="G101" i="54"/>
  <c r="L106" i="54"/>
  <c r="P107" i="54"/>
  <c r="H107" i="54"/>
  <c r="L107" i="54"/>
  <c r="H108" i="54"/>
  <c r="H111" i="54"/>
  <c r="O121" i="54"/>
  <c r="G121" i="54"/>
  <c r="L121" i="54"/>
  <c r="Q121" i="54"/>
  <c r="P122" i="54"/>
  <c r="L122" i="54"/>
  <c r="H122" i="54"/>
  <c r="Q122" i="54"/>
  <c r="L126" i="54"/>
  <c r="H126" i="54"/>
  <c r="L129" i="54"/>
  <c r="G129" i="54"/>
  <c r="M129" i="54"/>
  <c r="M133" i="54"/>
  <c r="H133" i="54"/>
  <c r="L133" i="54"/>
  <c r="H134" i="54"/>
  <c r="N134" i="54"/>
  <c r="AB134" i="54" s="1"/>
  <c r="Z135" i="54"/>
  <c r="V151" i="54"/>
  <c r="G158" i="54"/>
  <c r="L158" i="54"/>
  <c r="N159" i="54"/>
  <c r="I159" i="54"/>
  <c r="G169" i="54"/>
  <c r="H173" i="54"/>
  <c r="H175" i="54"/>
  <c r="G177" i="54"/>
  <c r="P177" i="54"/>
  <c r="AD177" i="54" s="1"/>
  <c r="L179" i="54"/>
  <c r="H179" i="54"/>
  <c r="G181" i="54"/>
  <c r="L181" i="54"/>
  <c r="O187" i="54"/>
  <c r="H187" i="54"/>
  <c r="O189" i="54"/>
  <c r="H189" i="54"/>
  <c r="O191" i="54"/>
  <c r="H191" i="54"/>
  <c r="O193" i="54"/>
  <c r="H193" i="54"/>
  <c r="O195" i="54"/>
  <c r="H195" i="54"/>
  <c r="H200" i="54"/>
  <c r="H202" i="54"/>
  <c r="H208" i="54"/>
  <c r="H253" i="54"/>
  <c r="J254" i="54"/>
  <c r="M257" i="54"/>
  <c r="H257" i="54"/>
  <c r="O257" i="54"/>
  <c r="J257" i="54"/>
  <c r="M260" i="54"/>
  <c r="L262" i="54"/>
  <c r="G262" i="54"/>
  <c r="H262" i="54"/>
  <c r="J265" i="54"/>
  <c r="G274" i="54"/>
  <c r="G280" i="54"/>
  <c r="G281" i="54"/>
  <c r="K281" i="54" s="1"/>
  <c r="H292" i="54"/>
  <c r="R312" i="54"/>
  <c r="S312" i="54" s="1"/>
  <c r="J123" i="54"/>
  <c r="J125" i="54"/>
  <c r="M255" i="54"/>
  <c r="H255" i="54"/>
  <c r="N255" i="54"/>
  <c r="M261" i="54"/>
  <c r="R261" i="54" s="1"/>
  <c r="H261" i="54"/>
  <c r="K261" i="54" s="1"/>
  <c r="L261" i="54"/>
  <c r="M264" i="54"/>
  <c r="H264" i="54"/>
  <c r="L264" i="54"/>
  <c r="R305" i="54"/>
  <c r="S305" i="54" s="1"/>
  <c r="R309" i="54"/>
  <c r="S309" i="54" s="1"/>
  <c r="R313" i="54"/>
  <c r="S313" i="54" s="1"/>
  <c r="R316" i="54"/>
  <c r="S316" i="54" s="1"/>
  <c r="S56" i="53"/>
  <c r="V120" i="53"/>
  <c r="V157" i="53"/>
  <c r="Y40" i="53"/>
  <c r="S50" i="53"/>
  <c r="AG50" i="53" s="1"/>
  <c r="Y50" i="53"/>
  <c r="S95" i="53"/>
  <c r="U15" i="53"/>
  <c r="S15" i="53"/>
  <c r="U63" i="53"/>
  <c r="N74" i="53"/>
  <c r="L74" i="53"/>
  <c r="N92" i="53"/>
  <c r="L92" i="53"/>
  <c r="O92" i="53"/>
  <c r="AC91" i="53" s="1"/>
  <c r="M94" i="53"/>
  <c r="L94" i="53"/>
  <c r="V103" i="53"/>
  <c r="L115" i="53"/>
  <c r="L116" i="53"/>
  <c r="S116" i="53" s="1"/>
  <c r="S151" i="53"/>
  <c r="AG151" i="53" s="1"/>
  <c r="Y151" i="53"/>
  <c r="N174" i="53"/>
  <c r="N184" i="53"/>
  <c r="L243" i="53"/>
  <c r="Z243" i="53" s="1"/>
  <c r="N273" i="53"/>
  <c r="N293" i="53"/>
  <c r="N26" i="53"/>
  <c r="P94" i="53"/>
  <c r="W121" i="53"/>
  <c r="U135" i="53"/>
  <c r="Y144" i="53"/>
  <c r="N149" i="53"/>
  <c r="AB145" i="53" s="1"/>
  <c r="O210" i="53"/>
  <c r="P226" i="53"/>
  <c r="AD225" i="53" s="1"/>
  <c r="W225" i="53"/>
  <c r="Y239" i="53"/>
  <c r="S239" i="53"/>
  <c r="AG239" i="53" s="1"/>
  <c r="R271" i="53"/>
  <c r="X271" i="53"/>
  <c r="S28" i="53"/>
  <c r="R29" i="53"/>
  <c r="M49" i="53"/>
  <c r="R49" i="53" s="1"/>
  <c r="S51" i="53"/>
  <c r="S63" i="53"/>
  <c r="W63" i="53"/>
  <c r="P71" i="53"/>
  <c r="L71" i="53"/>
  <c r="R74" i="53"/>
  <c r="R75" i="53"/>
  <c r="R76" i="53"/>
  <c r="R77" i="53"/>
  <c r="R78" i="53"/>
  <c r="R79" i="53"/>
  <c r="N80" i="53"/>
  <c r="W80" i="53"/>
  <c r="M80" i="53"/>
  <c r="O80" i="53"/>
  <c r="N81" i="53"/>
  <c r="M81" i="53"/>
  <c r="O81" i="53"/>
  <c r="P86" i="53"/>
  <c r="M86" i="53"/>
  <c r="Q86" i="53"/>
  <c r="P92" i="53"/>
  <c r="R109" i="53"/>
  <c r="M128" i="53"/>
  <c r="R128" i="53" s="1"/>
  <c r="S130" i="53"/>
  <c r="V135" i="53"/>
  <c r="Y167" i="53"/>
  <c r="S167" i="53"/>
  <c r="AG167" i="53" s="1"/>
  <c r="N171" i="53"/>
  <c r="N172" i="53"/>
  <c r="S180" i="53"/>
  <c r="O186" i="53"/>
  <c r="R186" i="53" s="1"/>
  <c r="O188" i="53"/>
  <c r="R188" i="53" s="1"/>
  <c r="O190" i="53"/>
  <c r="R190" i="53" s="1"/>
  <c r="O192" i="53"/>
  <c r="R192" i="53" s="1"/>
  <c r="O194" i="53"/>
  <c r="R194" i="53" s="1"/>
  <c r="O196" i="53"/>
  <c r="R196" i="53" s="1"/>
  <c r="N210" i="53"/>
  <c r="S212" i="53"/>
  <c r="S220" i="53"/>
  <c r="L226" i="53"/>
  <c r="Z225" i="53" s="1"/>
  <c r="M258" i="53"/>
  <c r="L258" i="53"/>
  <c r="N272" i="53"/>
  <c r="P272" i="53"/>
  <c r="W271" i="53"/>
  <c r="O272" i="53"/>
  <c r="O273" i="53"/>
  <c r="M14" i="53"/>
  <c r="AA14" i="53" s="1"/>
  <c r="N24" i="53"/>
  <c r="AB24" i="53" s="1"/>
  <c r="L33" i="53"/>
  <c r="M33" i="53"/>
  <c r="R33" i="53" s="1"/>
  <c r="M34" i="53"/>
  <c r="R34" i="53" s="1"/>
  <c r="L34" i="53"/>
  <c r="N35" i="53"/>
  <c r="L35" i="53"/>
  <c r="M47" i="53"/>
  <c r="R47" i="53" s="1"/>
  <c r="M48" i="53"/>
  <c r="N48" i="53"/>
  <c r="N49" i="53"/>
  <c r="U50" i="53"/>
  <c r="S54" i="53"/>
  <c r="V57" i="53"/>
  <c r="U68" i="53"/>
  <c r="Y68" i="53" s="1"/>
  <c r="AF69" i="53"/>
  <c r="N71" i="53"/>
  <c r="S75" i="53"/>
  <c r="M84" i="53"/>
  <c r="O84" i="53"/>
  <c r="M93" i="53"/>
  <c r="L93" i="53"/>
  <c r="N93" i="53"/>
  <c r="R94" i="53"/>
  <c r="U102" i="53"/>
  <c r="N103" i="53"/>
  <c r="AB103" i="53" s="1"/>
  <c r="AA109" i="53"/>
  <c r="N110" i="53"/>
  <c r="P110" i="53"/>
  <c r="AD109" i="53" s="1"/>
  <c r="O110" i="53"/>
  <c r="V109" i="53"/>
  <c r="Q110" i="53"/>
  <c r="AE109" i="53" s="1"/>
  <c r="P124" i="53"/>
  <c r="L124" i="53"/>
  <c r="N124" i="53"/>
  <c r="M124" i="53"/>
  <c r="Q124" i="53"/>
  <c r="R126" i="53"/>
  <c r="M127" i="53"/>
  <c r="R132" i="53"/>
  <c r="S142" i="53"/>
  <c r="AG142" i="53" s="1"/>
  <c r="U142" i="53"/>
  <c r="S147" i="53"/>
  <c r="AF151" i="53"/>
  <c r="R157" i="53"/>
  <c r="P160" i="53"/>
  <c r="Q160" i="53"/>
  <c r="AE157" i="53" s="1"/>
  <c r="Y162" i="53"/>
  <c r="S162" i="53"/>
  <c r="AG162" i="53" s="1"/>
  <c r="W168" i="53"/>
  <c r="M170" i="53"/>
  <c r="O174" i="53"/>
  <c r="W177" i="53"/>
  <c r="L182" i="53"/>
  <c r="M182" i="53"/>
  <c r="AA177" i="53" s="1"/>
  <c r="O184" i="53"/>
  <c r="N186" i="53"/>
  <c r="N188" i="53"/>
  <c r="N190" i="53"/>
  <c r="N192" i="53"/>
  <c r="N194" i="53"/>
  <c r="N196" i="53"/>
  <c r="R201" i="53"/>
  <c r="N201" i="53"/>
  <c r="S201" i="53" s="1"/>
  <c r="O204" i="53"/>
  <c r="R204" i="53" s="1"/>
  <c r="S214" i="53"/>
  <c r="V239" i="53"/>
  <c r="Y245" i="53"/>
  <c r="AG245" i="53" s="1"/>
  <c r="O256" i="53"/>
  <c r="N256" i="53"/>
  <c r="L256" i="53"/>
  <c r="S263" i="53"/>
  <c r="Y269" i="53"/>
  <c r="AG269" i="53" s="1"/>
  <c r="S269" i="53"/>
  <c r="R272" i="53"/>
  <c r="P273" i="53"/>
  <c r="M277" i="53"/>
  <c r="R277" i="53" s="1"/>
  <c r="P291" i="53"/>
  <c r="N291" i="53"/>
  <c r="S19" i="53"/>
  <c r="L20" i="53"/>
  <c r="Z15" i="53" s="1"/>
  <c r="O24" i="53"/>
  <c r="S25" i="53"/>
  <c r="S30" i="53"/>
  <c r="L31" i="53"/>
  <c r="M31" i="53"/>
  <c r="O32" i="53"/>
  <c r="V29" i="53"/>
  <c r="N32" i="53"/>
  <c r="N33" i="53"/>
  <c r="N34" i="53"/>
  <c r="M35" i="53"/>
  <c r="S40" i="53"/>
  <c r="AG40" i="53" s="1"/>
  <c r="M46" i="53"/>
  <c r="N46" i="53"/>
  <c r="N47" i="53"/>
  <c r="O48" i="53"/>
  <c r="N53" i="53"/>
  <c r="AB51" i="53" s="1"/>
  <c r="AF57" i="53"/>
  <c r="L61" i="53"/>
  <c r="S61" i="53" s="1"/>
  <c r="N65" i="53"/>
  <c r="AB63" i="53" s="1"/>
  <c r="P74" i="53"/>
  <c r="X75" i="53"/>
  <c r="N76" i="53"/>
  <c r="S76" i="53" s="1"/>
  <c r="N77" i="53"/>
  <c r="S77" i="53" s="1"/>
  <c r="N78" i="53"/>
  <c r="S78" i="53" s="1"/>
  <c r="N79" i="53"/>
  <c r="P85" i="53"/>
  <c r="M85" i="53"/>
  <c r="Q85" i="53"/>
  <c r="P90" i="53"/>
  <c r="M90" i="53"/>
  <c r="Q90" i="53"/>
  <c r="P93" i="53"/>
  <c r="P104" i="53"/>
  <c r="W104" i="53"/>
  <c r="U109" i="53"/>
  <c r="N112" i="53"/>
  <c r="L112" i="53"/>
  <c r="Z109" i="53" s="1"/>
  <c r="U115" i="53"/>
  <c r="L119" i="53"/>
  <c r="S119" i="53" s="1"/>
  <c r="L128" i="53"/>
  <c r="S132" i="53"/>
  <c r="AF135" i="53"/>
  <c r="AF145" i="53"/>
  <c r="S150" i="53"/>
  <c r="U151" i="53"/>
  <c r="AB162" i="53"/>
  <c r="S168" i="53"/>
  <c r="O171" i="53"/>
  <c r="O172" i="53"/>
  <c r="R176" i="53"/>
  <c r="N176" i="53"/>
  <c r="S178" i="53"/>
  <c r="R179" i="53"/>
  <c r="N204" i="53"/>
  <c r="S216" i="53"/>
  <c r="M256" i="53"/>
  <c r="R267" i="53"/>
  <c r="X274" i="53"/>
  <c r="R276" i="53"/>
  <c r="L276" i="53"/>
  <c r="L277" i="53"/>
  <c r="S278" i="53"/>
  <c r="O83" i="53"/>
  <c r="R99" i="53"/>
  <c r="N99" i="53"/>
  <c r="N100" i="53"/>
  <c r="R101" i="53"/>
  <c r="N101" i="53"/>
  <c r="S101" i="53" s="1"/>
  <c r="L108" i="53"/>
  <c r="P108" i="53"/>
  <c r="S109" i="53"/>
  <c r="O111" i="53"/>
  <c r="R111" i="53" s="1"/>
  <c r="R113" i="53"/>
  <c r="S117" i="53"/>
  <c r="X121" i="53"/>
  <c r="N158" i="53"/>
  <c r="S161" i="53"/>
  <c r="AF162" i="53"/>
  <c r="M169" i="53"/>
  <c r="R169" i="53" s="1"/>
  <c r="L169" i="53"/>
  <c r="Z168" i="53" s="1"/>
  <c r="O173" i="53"/>
  <c r="R173" i="53" s="1"/>
  <c r="O175" i="53"/>
  <c r="R175" i="53" s="1"/>
  <c r="L177" i="53"/>
  <c r="O200" i="53"/>
  <c r="R200" i="53" s="1"/>
  <c r="O202" i="53"/>
  <c r="R202" i="53" s="1"/>
  <c r="O208" i="53"/>
  <c r="R208" i="53" s="1"/>
  <c r="L253" i="53"/>
  <c r="O253" i="53"/>
  <c r="N253" i="53"/>
  <c r="O254" i="53"/>
  <c r="S259" i="53"/>
  <c r="L265" i="53"/>
  <c r="R266" i="53"/>
  <c r="M274" i="53"/>
  <c r="V274" i="53"/>
  <c r="N280" i="53"/>
  <c r="AB278" i="53" s="1"/>
  <c r="Y283" i="53"/>
  <c r="AG283" i="53" s="1"/>
  <c r="P292" i="53"/>
  <c r="U290" i="53"/>
  <c r="Y290" i="53" s="1"/>
  <c r="AG290" i="53" s="1"/>
  <c r="R82" i="53"/>
  <c r="R95" i="53"/>
  <c r="R96" i="53"/>
  <c r="L106" i="53"/>
  <c r="P107" i="53"/>
  <c r="L107" i="53"/>
  <c r="O121" i="53"/>
  <c r="L121" i="53"/>
  <c r="Q121" i="53"/>
  <c r="P122" i="53"/>
  <c r="L122" i="53"/>
  <c r="Q122" i="53"/>
  <c r="R122" i="53" s="1"/>
  <c r="L126" i="53"/>
  <c r="L129" i="53"/>
  <c r="M129" i="53"/>
  <c r="R129" i="53" s="1"/>
  <c r="M133" i="53"/>
  <c r="R133" i="53" s="1"/>
  <c r="L133" i="53"/>
  <c r="N134" i="53"/>
  <c r="AB134" i="53" s="1"/>
  <c r="Z135" i="53"/>
  <c r="V151" i="53"/>
  <c r="S157" i="53"/>
  <c r="L158" i="53"/>
  <c r="Z157" i="53" s="1"/>
  <c r="N159" i="53"/>
  <c r="X168" i="53"/>
  <c r="R168" i="53"/>
  <c r="P177" i="53"/>
  <c r="AD177" i="53" s="1"/>
  <c r="L179" i="53"/>
  <c r="S179" i="53" s="1"/>
  <c r="L181" i="53"/>
  <c r="O187" i="53"/>
  <c r="R187" i="53" s="1"/>
  <c r="O189" i="53"/>
  <c r="S189" i="53" s="1"/>
  <c r="O191" i="53"/>
  <c r="R191" i="53" s="1"/>
  <c r="O193" i="53"/>
  <c r="S193" i="53" s="1"/>
  <c r="O195" i="53"/>
  <c r="R195" i="53" s="1"/>
  <c r="S202" i="53"/>
  <c r="M257" i="53"/>
  <c r="O257" i="53"/>
  <c r="M260" i="53"/>
  <c r="L262" i="53"/>
  <c r="X263" i="53"/>
  <c r="R263" i="53"/>
  <c r="R265" i="53"/>
  <c r="S271" i="53"/>
  <c r="S281" i="53"/>
  <c r="V290" i="53"/>
  <c r="R312" i="53"/>
  <c r="S312" i="53" s="1"/>
  <c r="M255" i="53"/>
  <c r="N255" i="53"/>
  <c r="M261" i="53"/>
  <c r="R261" i="53" s="1"/>
  <c r="L261" i="53"/>
  <c r="M264" i="53"/>
  <c r="V263" i="53"/>
  <c r="L264" i="53"/>
  <c r="S275" i="53"/>
  <c r="R305" i="53"/>
  <c r="S305" i="53" s="1"/>
  <c r="R309" i="53"/>
  <c r="S309" i="53" s="1"/>
  <c r="R313" i="53"/>
  <c r="S313" i="53" s="1"/>
  <c r="R316" i="53"/>
  <c r="S316" i="53" s="1"/>
  <c r="N47" i="49"/>
  <c r="O47" i="49"/>
  <c r="S44" i="49"/>
  <c r="K153" i="49"/>
  <c r="S153" i="49" s="1"/>
  <c r="K155" i="49"/>
  <c r="S155" i="49" s="1"/>
  <c r="J212" i="49"/>
  <c r="H116" i="49"/>
  <c r="K116" i="49" s="1"/>
  <c r="S116" i="49" s="1"/>
  <c r="H117" i="49"/>
  <c r="K117" i="49" s="1"/>
  <c r="S117" i="49" s="1"/>
  <c r="J129" i="49"/>
  <c r="H58" i="49"/>
  <c r="K137" i="49"/>
  <c r="S137" i="49" s="1"/>
  <c r="J195" i="49"/>
  <c r="P291" i="49"/>
  <c r="L94" i="49"/>
  <c r="O113" i="49"/>
  <c r="H122" i="49"/>
  <c r="O219" i="49"/>
  <c r="O221" i="49"/>
  <c r="O255" i="49"/>
  <c r="G262" i="49"/>
  <c r="G265" i="49"/>
  <c r="I92" i="49"/>
  <c r="L122" i="49"/>
  <c r="N161" i="49"/>
  <c r="H261" i="49"/>
  <c r="K261" i="49" s="1"/>
  <c r="H262" i="49"/>
  <c r="H265" i="49"/>
  <c r="S42" i="49"/>
  <c r="J47" i="49"/>
  <c r="G58" i="49"/>
  <c r="H59" i="49"/>
  <c r="K59" i="49" s="1"/>
  <c r="K166" i="49"/>
  <c r="S166" i="49" s="1"/>
  <c r="J192" i="49"/>
  <c r="H195" i="49"/>
  <c r="H212" i="49"/>
  <c r="O218" i="49"/>
  <c r="O220" i="49"/>
  <c r="L262" i="49"/>
  <c r="J265" i="49"/>
  <c r="J77" i="49"/>
  <c r="G85" i="49"/>
  <c r="H103" i="49"/>
  <c r="V103" i="49" s="1"/>
  <c r="G107" i="49"/>
  <c r="G181" i="49"/>
  <c r="G183" i="49"/>
  <c r="H184" i="49"/>
  <c r="K184" i="49" s="1"/>
  <c r="H188" i="49"/>
  <c r="Y283" i="49"/>
  <c r="AG283" i="49" s="1"/>
  <c r="H32" i="49"/>
  <c r="J34" i="49"/>
  <c r="N36" i="49"/>
  <c r="AB75" i="49"/>
  <c r="J76" i="49"/>
  <c r="H85" i="49"/>
  <c r="L93" i="49"/>
  <c r="I106" i="49"/>
  <c r="P125" i="49"/>
  <c r="H183" i="49"/>
  <c r="N184" i="49"/>
  <c r="J188" i="49"/>
  <c r="O215" i="49"/>
  <c r="H218" i="49"/>
  <c r="H219" i="49"/>
  <c r="H220" i="49"/>
  <c r="H221" i="49"/>
  <c r="H222" i="49"/>
  <c r="Z240" i="49"/>
  <c r="H255" i="49"/>
  <c r="N293" i="49"/>
  <c r="I32" i="49"/>
  <c r="Z40" i="49"/>
  <c r="O76" i="49"/>
  <c r="J78" i="49"/>
  <c r="J85" i="49"/>
  <c r="N96" i="49"/>
  <c r="S163" i="49"/>
  <c r="I183" i="49"/>
  <c r="H192" i="49"/>
  <c r="J213" i="49"/>
  <c r="J218" i="49"/>
  <c r="J219" i="49"/>
  <c r="J220" i="49"/>
  <c r="J221" i="49"/>
  <c r="J222" i="49"/>
  <c r="J255" i="49"/>
  <c r="O272" i="49"/>
  <c r="J131" i="49"/>
  <c r="H131" i="49"/>
  <c r="G131" i="49"/>
  <c r="N194" i="49"/>
  <c r="J194" i="49"/>
  <c r="H194" i="49"/>
  <c r="L226" i="49"/>
  <c r="Z225" i="49" s="1"/>
  <c r="H226" i="49"/>
  <c r="V225" i="49" s="1"/>
  <c r="AB162" i="49"/>
  <c r="N24" i="49"/>
  <c r="AB24" i="49" s="1"/>
  <c r="O24" i="49"/>
  <c r="AC24" i="49" s="1"/>
  <c r="I95" i="49"/>
  <c r="N95" i="49"/>
  <c r="J95" i="49"/>
  <c r="J159" i="49"/>
  <c r="G159" i="49"/>
  <c r="Q159" i="49"/>
  <c r="L168" i="49"/>
  <c r="J168" i="49"/>
  <c r="G168" i="49"/>
  <c r="N191" i="49"/>
  <c r="J191" i="49"/>
  <c r="H191" i="49"/>
  <c r="M30" i="49"/>
  <c r="N30" i="49"/>
  <c r="N27" i="49"/>
  <c r="H27" i="49"/>
  <c r="AF104" i="49"/>
  <c r="N190" i="49"/>
  <c r="J190" i="49"/>
  <c r="H190" i="49"/>
  <c r="O190" i="49"/>
  <c r="N35" i="49"/>
  <c r="AF63" i="49"/>
  <c r="AF40" i="49"/>
  <c r="S43" i="49"/>
  <c r="H62" i="49"/>
  <c r="J72" i="49"/>
  <c r="R72" i="49" s="1"/>
  <c r="H77" i="49"/>
  <c r="H78" i="49"/>
  <c r="P85" i="49"/>
  <c r="H92" i="49"/>
  <c r="G103" i="49"/>
  <c r="U103" i="49" s="1"/>
  <c r="M110" i="49"/>
  <c r="H125" i="49"/>
  <c r="H129" i="49"/>
  <c r="J130" i="49"/>
  <c r="N147" i="49"/>
  <c r="S147" i="49" s="1"/>
  <c r="K152" i="49"/>
  <c r="S152" i="49" s="1"/>
  <c r="H157" i="49"/>
  <c r="H161" i="49"/>
  <c r="K165" i="49"/>
  <c r="S165" i="49" s="1"/>
  <c r="M170" i="49"/>
  <c r="H213" i="49"/>
  <c r="K239" i="49"/>
  <c r="S239" i="49" s="1"/>
  <c r="AG239" i="49" s="1"/>
  <c r="M265" i="49"/>
  <c r="H279" i="49"/>
  <c r="N280" i="49"/>
  <c r="O77" i="49"/>
  <c r="P92" i="49"/>
  <c r="R103" i="49"/>
  <c r="AF103" i="49" s="1"/>
  <c r="N157" i="49"/>
  <c r="P161" i="49"/>
  <c r="K244" i="49"/>
  <c r="S244" i="49" s="1"/>
  <c r="H254" i="49"/>
  <c r="O79" i="49"/>
  <c r="P87" i="49"/>
  <c r="G125" i="49"/>
  <c r="G130" i="49"/>
  <c r="H134" i="49"/>
  <c r="V134" i="49" s="1"/>
  <c r="Y134" i="49" s="1"/>
  <c r="G157" i="49"/>
  <c r="G161" i="49"/>
  <c r="J254" i="49"/>
  <c r="G258" i="49"/>
  <c r="S269" i="49"/>
  <c r="G271" i="49"/>
  <c r="G279" i="49"/>
  <c r="H280" i="49"/>
  <c r="K280" i="49" s="1"/>
  <c r="G292" i="49"/>
  <c r="K120" i="49"/>
  <c r="Y120" i="49" s="1"/>
  <c r="V120" i="49"/>
  <c r="AG7" i="49"/>
  <c r="AF15" i="49"/>
  <c r="N26" i="49"/>
  <c r="I104" i="49"/>
  <c r="H104" i="49"/>
  <c r="L104" i="49"/>
  <c r="L112" i="49"/>
  <c r="H112" i="49"/>
  <c r="J112" i="49"/>
  <c r="H15" i="49"/>
  <c r="K15" i="49" s="1"/>
  <c r="G26" i="49"/>
  <c r="K26" i="49" s="1"/>
  <c r="L34" i="49"/>
  <c r="H35" i="49"/>
  <c r="U40" i="49"/>
  <c r="J49" i="49"/>
  <c r="G53" i="49"/>
  <c r="H54" i="49"/>
  <c r="K54" i="49" s="1"/>
  <c r="G71" i="49"/>
  <c r="G73" i="49"/>
  <c r="Q86" i="49"/>
  <c r="P86" i="49"/>
  <c r="H86" i="49"/>
  <c r="J86" i="49"/>
  <c r="M112" i="49"/>
  <c r="G150" i="49"/>
  <c r="K150" i="49" s="1"/>
  <c r="N150" i="49"/>
  <c r="K154" i="49"/>
  <c r="S154" i="49" s="1"/>
  <c r="N214" i="49"/>
  <c r="J214" i="49"/>
  <c r="O214" i="49"/>
  <c r="AF240" i="49"/>
  <c r="H243" i="49"/>
  <c r="K243" i="49" s="1"/>
  <c r="N278" i="49"/>
  <c r="H278" i="49"/>
  <c r="G282" i="49"/>
  <c r="N282" i="49"/>
  <c r="L14" i="49"/>
  <c r="Z14" i="49" s="1"/>
  <c r="G20" i="49"/>
  <c r="H24" i="49"/>
  <c r="V24" i="49" s="1"/>
  <c r="J29" i="49"/>
  <c r="N32" i="49"/>
  <c r="G34" i="49"/>
  <c r="M34" i="49"/>
  <c r="J35" i="49"/>
  <c r="I36" i="49"/>
  <c r="N49" i="49"/>
  <c r="AF51" i="49"/>
  <c r="H53" i="49"/>
  <c r="H57" i="49"/>
  <c r="N67" i="49"/>
  <c r="S67" i="49" s="1"/>
  <c r="H68" i="49"/>
  <c r="V68" i="49" s="1"/>
  <c r="H71" i="49"/>
  <c r="P71" i="49"/>
  <c r="N72" i="49"/>
  <c r="J73" i="49"/>
  <c r="R73" i="49" s="1"/>
  <c r="H79" i="49"/>
  <c r="G86" i="49"/>
  <c r="Q90" i="49"/>
  <c r="M90" i="49"/>
  <c r="G90" i="49"/>
  <c r="P90" i="49"/>
  <c r="H90" i="49"/>
  <c r="P94" i="49"/>
  <c r="H94" i="49"/>
  <c r="I94" i="49"/>
  <c r="M98" i="49"/>
  <c r="P104" i="49"/>
  <c r="G110" i="49"/>
  <c r="N111" i="49"/>
  <c r="H111" i="49"/>
  <c r="J111" i="49"/>
  <c r="N112" i="49"/>
  <c r="P124" i="49"/>
  <c r="Q124" i="49"/>
  <c r="G124" i="49"/>
  <c r="H124" i="49"/>
  <c r="K162" i="49"/>
  <c r="V162" i="49"/>
  <c r="G178" i="49"/>
  <c r="N186" i="49"/>
  <c r="H186" i="49"/>
  <c r="J186" i="49"/>
  <c r="G14" i="49"/>
  <c r="K14" i="49" s="1"/>
  <c r="Y14" i="49" s="1"/>
  <c r="M14" i="49"/>
  <c r="AA14" i="49" s="1"/>
  <c r="H17" i="49"/>
  <c r="K17" i="49" s="1"/>
  <c r="H20" i="49"/>
  <c r="J24" i="49"/>
  <c r="X24" i="49" s="1"/>
  <c r="G27" i="49"/>
  <c r="H28" i="49"/>
  <c r="K28" i="49" s="1"/>
  <c r="N29" i="49"/>
  <c r="J30" i="49"/>
  <c r="G32" i="49"/>
  <c r="H34" i="49"/>
  <c r="N34" i="49"/>
  <c r="M35" i="49"/>
  <c r="S41" i="49"/>
  <c r="O49" i="49"/>
  <c r="K55" i="49"/>
  <c r="AF57" i="49"/>
  <c r="G62" i="49"/>
  <c r="N63" i="49"/>
  <c r="N64" i="49"/>
  <c r="S64" i="49" s="1"/>
  <c r="J71" i="49"/>
  <c r="R71" i="49" s="1"/>
  <c r="H72" i="49"/>
  <c r="H76" i="49"/>
  <c r="O78" i="49"/>
  <c r="J79" i="49"/>
  <c r="L86" i="49"/>
  <c r="J90" i="49"/>
  <c r="N93" i="49"/>
  <c r="M93" i="49"/>
  <c r="G93" i="49"/>
  <c r="P93" i="49"/>
  <c r="H93" i="49"/>
  <c r="G94" i="49"/>
  <c r="J97" i="49"/>
  <c r="M97" i="49"/>
  <c r="P106" i="49"/>
  <c r="G106" i="49"/>
  <c r="H106" i="49"/>
  <c r="I107" i="49"/>
  <c r="H107" i="49"/>
  <c r="L107" i="49"/>
  <c r="O111" i="49"/>
  <c r="H118" i="49"/>
  <c r="K118" i="49" s="1"/>
  <c r="L118" i="49"/>
  <c r="L124" i="49"/>
  <c r="V135" i="49"/>
  <c r="K138" i="49"/>
  <c r="S138" i="49" s="1"/>
  <c r="K139" i="49"/>
  <c r="S139" i="49" s="1"/>
  <c r="L144" i="49"/>
  <c r="Z144" i="49" s="1"/>
  <c r="G144" i="49"/>
  <c r="U144" i="49" s="1"/>
  <c r="H144" i="49"/>
  <c r="V144" i="49" s="1"/>
  <c r="N149" i="49"/>
  <c r="G149" i="49"/>
  <c r="K149" i="49" s="1"/>
  <c r="G170" i="49"/>
  <c r="H170" i="49"/>
  <c r="I170" i="49"/>
  <c r="W168" i="49" s="1"/>
  <c r="O186" i="49"/>
  <c r="N189" i="49"/>
  <c r="J189" i="49"/>
  <c r="O189" i="49"/>
  <c r="N193" i="49"/>
  <c r="H193" i="49"/>
  <c r="J193" i="49"/>
  <c r="R193" i="49" s="1"/>
  <c r="N215" i="49"/>
  <c r="J215" i="49"/>
  <c r="K215" i="49" s="1"/>
  <c r="H225" i="49"/>
  <c r="K225" i="49" s="1"/>
  <c r="S225" i="49" s="1"/>
  <c r="W239" i="49"/>
  <c r="L71" i="49"/>
  <c r="J177" i="49"/>
  <c r="R177" i="49" s="1"/>
  <c r="P177" i="49"/>
  <c r="AD177" i="49" s="1"/>
  <c r="J180" i="49"/>
  <c r="R180" i="49" s="1"/>
  <c r="H180" i="49"/>
  <c r="I180" i="49"/>
  <c r="N187" i="49"/>
  <c r="H187" i="49"/>
  <c r="J187" i="49"/>
  <c r="N217" i="49"/>
  <c r="H217" i="49"/>
  <c r="J217" i="49"/>
  <c r="N224" i="49"/>
  <c r="J224" i="49"/>
  <c r="O224" i="49"/>
  <c r="L257" i="49"/>
  <c r="O257" i="49"/>
  <c r="H257" i="49"/>
  <c r="J257" i="49"/>
  <c r="O45" i="49"/>
  <c r="G57" i="49"/>
  <c r="G104" i="49"/>
  <c r="O110" i="49"/>
  <c r="N110" i="49"/>
  <c r="H110" i="49"/>
  <c r="P110" i="49"/>
  <c r="AD109" i="49" s="1"/>
  <c r="J110" i="49"/>
  <c r="Q110" i="49"/>
  <c r="AE109" i="49" s="1"/>
  <c r="L115" i="49"/>
  <c r="H115" i="49"/>
  <c r="K115" i="49" s="1"/>
  <c r="U162" i="49"/>
  <c r="G180" i="49"/>
  <c r="N196" i="49"/>
  <c r="J196" i="49"/>
  <c r="R196" i="49" s="1"/>
  <c r="O204" i="49"/>
  <c r="J204" i="49"/>
  <c r="J210" i="49"/>
  <c r="R210" i="49" s="1"/>
  <c r="O217" i="49"/>
  <c r="H224" i="49"/>
  <c r="O187" i="49"/>
  <c r="H196" i="49"/>
  <c r="H204" i="49"/>
  <c r="H214" i="49"/>
  <c r="N216" i="49"/>
  <c r="H216" i="49"/>
  <c r="J216" i="49"/>
  <c r="R216" i="49" s="1"/>
  <c r="N223" i="49"/>
  <c r="J223" i="49"/>
  <c r="K223" i="49" s="1"/>
  <c r="O223" i="49"/>
  <c r="H256" i="49"/>
  <c r="L256" i="49"/>
  <c r="N257" i="49"/>
  <c r="J266" i="49"/>
  <c r="H266" i="49"/>
  <c r="M266" i="49"/>
  <c r="J272" i="49"/>
  <c r="P272" i="49"/>
  <c r="G272" i="49"/>
  <c r="I272" i="49"/>
  <c r="W271" i="49" s="1"/>
  <c r="AB271" i="49"/>
  <c r="H275" i="49"/>
  <c r="G278" i="49"/>
  <c r="H282" i="49"/>
  <c r="M85" i="49"/>
  <c r="G92" i="49"/>
  <c r="N92" i="49"/>
  <c r="K102" i="49"/>
  <c r="Y102" i="49" s="1"/>
  <c r="N103" i="49"/>
  <c r="AB103" i="49" s="1"/>
  <c r="AF115" i="49"/>
  <c r="G122" i="49"/>
  <c r="P122" i="49"/>
  <c r="O125" i="49"/>
  <c r="M131" i="49"/>
  <c r="N134" i="49"/>
  <c r="AB134" i="49" s="1"/>
  <c r="AF151" i="49"/>
  <c r="L157" i="49"/>
  <c r="L161" i="49"/>
  <c r="O192" i="49"/>
  <c r="O195" i="49"/>
  <c r="N255" i="49"/>
  <c r="J263" i="49"/>
  <c r="G263" i="49"/>
  <c r="L85" i="49"/>
  <c r="L92" i="49"/>
  <c r="O122" i="49"/>
  <c r="L125" i="49"/>
  <c r="M129" i="49"/>
  <c r="M130" i="49"/>
  <c r="L131" i="49"/>
  <c r="J157" i="49"/>
  <c r="Q157" i="49"/>
  <c r="J161" i="49"/>
  <c r="R161" i="49" s="1"/>
  <c r="M168" i="49"/>
  <c r="L183" i="49"/>
  <c r="O188" i="49"/>
  <c r="O191" i="49"/>
  <c r="O194" i="49"/>
  <c r="O212" i="49"/>
  <c r="O213" i="49"/>
  <c r="O222" i="49"/>
  <c r="O254" i="49"/>
  <c r="M255" i="49"/>
  <c r="M258" i="49"/>
  <c r="R258" i="49" s="1"/>
  <c r="L261" i="49"/>
  <c r="M261" i="49"/>
  <c r="R261" i="49" s="1"/>
  <c r="M262" i="49"/>
  <c r="R262" i="49" s="1"/>
  <c r="N292" i="49"/>
  <c r="X14" i="49"/>
  <c r="Y40" i="49"/>
  <c r="K63" i="49"/>
  <c r="L19" i="49"/>
  <c r="L48" i="49"/>
  <c r="N52" i="49"/>
  <c r="L74" i="49"/>
  <c r="N91" i="49"/>
  <c r="M100" i="49"/>
  <c r="I100" i="49"/>
  <c r="L100" i="49"/>
  <c r="H100" i="49"/>
  <c r="N100" i="49"/>
  <c r="U102" i="49"/>
  <c r="J132" i="49"/>
  <c r="M132" i="49"/>
  <c r="H132" i="49"/>
  <c r="G132" i="49"/>
  <c r="N158" i="49"/>
  <c r="I158" i="49"/>
  <c r="L158" i="49"/>
  <c r="H158" i="49"/>
  <c r="J158" i="49"/>
  <c r="V167" i="49"/>
  <c r="K167" i="49"/>
  <c r="G25" i="49"/>
  <c r="G33" i="49"/>
  <c r="L33" i="49"/>
  <c r="L45" i="49"/>
  <c r="G46" i="49"/>
  <c r="M46" i="49"/>
  <c r="G48" i="49"/>
  <c r="M48" i="49"/>
  <c r="N55" i="49"/>
  <c r="G56" i="49"/>
  <c r="L60" i="49"/>
  <c r="G61" i="49"/>
  <c r="G74" i="49"/>
  <c r="Q87" i="49"/>
  <c r="P100" i="49"/>
  <c r="K119" i="49"/>
  <c r="I123" i="49"/>
  <c r="J127" i="49"/>
  <c r="M127" i="49"/>
  <c r="H127" i="49"/>
  <c r="L127" i="49"/>
  <c r="G143" i="49"/>
  <c r="G158" i="49"/>
  <c r="P160" i="49"/>
  <c r="J160" i="49"/>
  <c r="N160" i="49"/>
  <c r="H160" i="49"/>
  <c r="L160" i="49"/>
  <c r="O253" i="49"/>
  <c r="J253" i="49"/>
  <c r="N253" i="49"/>
  <c r="H253" i="49"/>
  <c r="M253" i="49"/>
  <c r="L253" i="49"/>
  <c r="L15" i="49"/>
  <c r="L17" i="49"/>
  <c r="G18" i="49"/>
  <c r="K18" i="49" s="1"/>
  <c r="H19" i="49"/>
  <c r="H25" i="49"/>
  <c r="N28" i="49"/>
  <c r="G29" i="49"/>
  <c r="L29" i="49"/>
  <c r="G30" i="49"/>
  <c r="L30" i="49"/>
  <c r="H31" i="49"/>
  <c r="M31" i="49"/>
  <c r="H33" i="49"/>
  <c r="M33" i="49"/>
  <c r="O35" i="49"/>
  <c r="G36" i="49"/>
  <c r="G45" i="49"/>
  <c r="M45" i="49"/>
  <c r="J46" i="49"/>
  <c r="N46" i="49"/>
  <c r="L47" i="49"/>
  <c r="J48" i="49"/>
  <c r="N48" i="49"/>
  <c r="L49" i="49"/>
  <c r="K50" i="49"/>
  <c r="H51" i="49"/>
  <c r="H52" i="49"/>
  <c r="K52" i="49" s="1"/>
  <c r="N54" i="49"/>
  <c r="H56" i="49"/>
  <c r="L59" i="49"/>
  <c r="G60" i="49"/>
  <c r="K60" i="49" s="1"/>
  <c r="H61" i="49"/>
  <c r="P63" i="49"/>
  <c r="AD63" i="49" s="1"/>
  <c r="G66" i="49"/>
  <c r="K66" i="49" s="1"/>
  <c r="S66" i="49" s="1"/>
  <c r="J88" i="49"/>
  <c r="M88" i="49"/>
  <c r="H88" i="49"/>
  <c r="M99" i="49"/>
  <c r="R99" i="49" s="1"/>
  <c r="I99" i="49"/>
  <c r="L99" i="49"/>
  <c r="H99" i="49"/>
  <c r="N99" i="49"/>
  <c r="J100" i="49"/>
  <c r="M101" i="49"/>
  <c r="R101" i="49" s="1"/>
  <c r="I101" i="49"/>
  <c r="L101" i="49"/>
  <c r="H101" i="49"/>
  <c r="N101" i="49"/>
  <c r="P105" i="49"/>
  <c r="H105" i="49"/>
  <c r="L105" i="49"/>
  <c r="G105" i="49"/>
  <c r="M109" i="49"/>
  <c r="H109" i="49"/>
  <c r="L109" i="49"/>
  <c r="G109" i="49"/>
  <c r="O109" i="49"/>
  <c r="N113" i="49"/>
  <c r="J113" i="49"/>
  <c r="M113" i="49"/>
  <c r="H113" i="49"/>
  <c r="L119" i="49"/>
  <c r="Q121" i="49"/>
  <c r="M121" i="49"/>
  <c r="I121" i="49"/>
  <c r="P121" i="49"/>
  <c r="L121" i="49"/>
  <c r="H121" i="49"/>
  <c r="N121" i="49"/>
  <c r="G127" i="49"/>
  <c r="Z135" i="49"/>
  <c r="G145" i="49"/>
  <c r="N145" i="49"/>
  <c r="V151" i="49"/>
  <c r="P158" i="49"/>
  <c r="G160" i="49"/>
  <c r="J208" i="49"/>
  <c r="O208" i="49"/>
  <c r="H208" i="49"/>
  <c r="N208" i="49"/>
  <c r="V245" i="49"/>
  <c r="Y245" i="49" s="1"/>
  <c r="AG245" i="49" s="1"/>
  <c r="O31" i="49"/>
  <c r="O33" i="49"/>
  <c r="L46" i="49"/>
  <c r="N51" i="49"/>
  <c r="P74" i="49"/>
  <c r="J74" i="49"/>
  <c r="L91" i="49"/>
  <c r="H91" i="49"/>
  <c r="P91" i="49"/>
  <c r="G91" i="49"/>
  <c r="I108" i="49"/>
  <c r="P108" i="49"/>
  <c r="H108" i="49"/>
  <c r="P123" i="49"/>
  <c r="L123" i="49"/>
  <c r="H123" i="49"/>
  <c r="O123" i="49"/>
  <c r="G123" i="49"/>
  <c r="N123" i="49"/>
  <c r="M128" i="49"/>
  <c r="H128" i="49"/>
  <c r="L128" i="49"/>
  <c r="G128" i="49"/>
  <c r="J128" i="49"/>
  <c r="L264" i="49"/>
  <c r="G264" i="49"/>
  <c r="J264" i="49"/>
  <c r="H264" i="49"/>
  <c r="M264" i="49"/>
  <c r="L277" i="49"/>
  <c r="G277" i="49"/>
  <c r="J277" i="49"/>
  <c r="M277" i="49"/>
  <c r="H277" i="49"/>
  <c r="L18" i="49"/>
  <c r="O29" i="49"/>
  <c r="O30" i="49"/>
  <c r="G31" i="49"/>
  <c r="L31" i="49"/>
  <c r="O36" i="49"/>
  <c r="R36" i="49" s="1"/>
  <c r="G65" i="49"/>
  <c r="K65" i="49" s="1"/>
  <c r="N74" i="49"/>
  <c r="M87" i="49"/>
  <c r="H87" i="49"/>
  <c r="L87" i="49"/>
  <c r="G87" i="49"/>
  <c r="I91" i="49"/>
  <c r="L96" i="49"/>
  <c r="H96" i="49"/>
  <c r="P96" i="49"/>
  <c r="G96" i="49"/>
  <c r="O96" i="49"/>
  <c r="L98" i="49"/>
  <c r="H98" i="49"/>
  <c r="G98" i="49"/>
  <c r="P98" i="49"/>
  <c r="G100" i="49"/>
  <c r="Q123" i="49"/>
  <c r="L132" i="49"/>
  <c r="L179" i="49"/>
  <c r="H179" i="49"/>
  <c r="G179" i="49"/>
  <c r="M179" i="49"/>
  <c r="J179" i="49"/>
  <c r="L182" i="49"/>
  <c r="H182" i="49"/>
  <c r="G182" i="49"/>
  <c r="M182" i="49"/>
  <c r="J182" i="49"/>
  <c r="G24" i="49"/>
  <c r="H29" i="49"/>
  <c r="H30" i="49"/>
  <c r="J31" i="49"/>
  <c r="J33" i="49"/>
  <c r="G35" i="49"/>
  <c r="H36" i="49"/>
  <c r="S40" i="49"/>
  <c r="J45" i="49"/>
  <c r="G47" i="49"/>
  <c r="G49" i="49"/>
  <c r="N65" i="49"/>
  <c r="U68" i="49"/>
  <c r="L72" i="49"/>
  <c r="N73" i="49"/>
  <c r="H73" i="49"/>
  <c r="L73" i="49"/>
  <c r="J75" i="49"/>
  <c r="O75" i="49"/>
  <c r="H75" i="49"/>
  <c r="G88" i="49"/>
  <c r="M89" i="49"/>
  <c r="R89" i="49" s="1"/>
  <c r="H89" i="49"/>
  <c r="L89" i="49"/>
  <c r="G89" i="49"/>
  <c r="M91" i="49"/>
  <c r="R91" i="49" s="1"/>
  <c r="L95" i="49"/>
  <c r="H95" i="49"/>
  <c r="P95" i="49"/>
  <c r="G95" i="49"/>
  <c r="O95" i="49"/>
  <c r="J96" i="49"/>
  <c r="L97" i="49"/>
  <c r="H97" i="49"/>
  <c r="P97" i="49"/>
  <c r="G97" i="49"/>
  <c r="N97" i="49"/>
  <c r="J98" i="49"/>
  <c r="G99" i="49"/>
  <c r="P99" i="49"/>
  <c r="G101" i="49"/>
  <c r="P101" i="49"/>
  <c r="I105" i="49"/>
  <c r="L108" i="49"/>
  <c r="J109" i="49"/>
  <c r="U115" i="49"/>
  <c r="G121" i="49"/>
  <c r="O121" i="49"/>
  <c r="M123" i="49"/>
  <c r="Z151" i="49"/>
  <c r="Q158" i="49"/>
  <c r="Q160" i="49"/>
  <c r="J171" i="49"/>
  <c r="O171" i="49"/>
  <c r="N171" i="49"/>
  <c r="AB171" i="49" s="1"/>
  <c r="K242" i="49"/>
  <c r="S242" i="49" s="1"/>
  <c r="U240" i="49"/>
  <c r="M260" i="49"/>
  <c r="H260" i="49"/>
  <c r="J260" i="49"/>
  <c r="L260" i="49"/>
  <c r="G260" i="49"/>
  <c r="J92" i="49"/>
  <c r="R92" i="49" s="1"/>
  <c r="J93" i="49"/>
  <c r="J94" i="49"/>
  <c r="R94" i="49" s="1"/>
  <c r="O112" i="49"/>
  <c r="I122" i="49"/>
  <c r="M122" i="49"/>
  <c r="Q122" i="49"/>
  <c r="I124" i="49"/>
  <c r="M124" i="49"/>
  <c r="M133" i="49"/>
  <c r="R133" i="49" s="1"/>
  <c r="H133" i="49"/>
  <c r="L133" i="49"/>
  <c r="G133" i="49"/>
  <c r="AF135" i="49"/>
  <c r="K141" i="49"/>
  <c r="N159" i="49"/>
  <c r="I159" i="49"/>
  <c r="L159" i="49"/>
  <c r="H159" i="49"/>
  <c r="P159" i="49"/>
  <c r="M169" i="49"/>
  <c r="R169" i="49" s="1"/>
  <c r="H169" i="49"/>
  <c r="L169" i="49"/>
  <c r="G169" i="49"/>
  <c r="J172" i="49"/>
  <c r="O172" i="49"/>
  <c r="H172" i="49"/>
  <c r="J173" i="49"/>
  <c r="O173" i="49"/>
  <c r="H173" i="49"/>
  <c r="J174" i="49"/>
  <c r="O174" i="49"/>
  <c r="H174" i="49"/>
  <c r="J175" i="49"/>
  <c r="O175" i="49"/>
  <c r="H175" i="49"/>
  <c r="J176" i="49"/>
  <c r="O176" i="49"/>
  <c r="H176" i="49"/>
  <c r="L177" i="49"/>
  <c r="H177" i="49"/>
  <c r="G177" i="49"/>
  <c r="O184" i="49"/>
  <c r="J200" i="49"/>
  <c r="O200" i="49"/>
  <c r="H200" i="49"/>
  <c r="J201" i="49"/>
  <c r="O201" i="49"/>
  <c r="H201" i="49"/>
  <c r="J202" i="49"/>
  <c r="O202" i="49"/>
  <c r="H202" i="49"/>
  <c r="S241" i="49"/>
  <c r="AF278" i="49"/>
  <c r="J122" i="49"/>
  <c r="J124" i="49"/>
  <c r="N124" i="49"/>
  <c r="L126" i="49"/>
  <c r="H126" i="49"/>
  <c r="G126" i="49"/>
  <c r="U135" i="49"/>
  <c r="K135" i="49"/>
  <c r="K136" i="49"/>
  <c r="S136" i="49" s="1"/>
  <c r="K142" i="49"/>
  <c r="S142" i="49" s="1"/>
  <c r="AG142" i="49" s="1"/>
  <c r="U142" i="49"/>
  <c r="AF145" i="49"/>
  <c r="U151" i="49"/>
  <c r="K151" i="49"/>
  <c r="AF162" i="49"/>
  <c r="S164" i="49"/>
  <c r="I178" i="49"/>
  <c r="L178" i="49"/>
  <c r="H178" i="49"/>
  <c r="I181" i="49"/>
  <c r="L181" i="49"/>
  <c r="H181" i="49"/>
  <c r="I125" i="49"/>
  <c r="M125" i="49"/>
  <c r="Q125" i="49"/>
  <c r="J170" i="49"/>
  <c r="N204" i="49"/>
  <c r="N210" i="49"/>
  <c r="J259" i="49"/>
  <c r="H259" i="49"/>
  <c r="M259" i="49"/>
  <c r="G259" i="49"/>
  <c r="M276" i="49"/>
  <c r="H276" i="49"/>
  <c r="J276" i="49"/>
  <c r="G276" i="49"/>
  <c r="H290" i="49"/>
  <c r="P290" i="49"/>
  <c r="G290" i="49"/>
  <c r="J125" i="49"/>
  <c r="G129" i="49"/>
  <c r="H210" i="49"/>
  <c r="S240" i="49"/>
  <c r="AG269" i="49"/>
  <c r="L274" i="49"/>
  <c r="G274" i="49"/>
  <c r="J274" i="49"/>
  <c r="H274" i="49"/>
  <c r="H281" i="49"/>
  <c r="G281" i="49"/>
  <c r="H291" i="49"/>
  <c r="N291" i="49"/>
  <c r="P226" i="49"/>
  <c r="AD225" i="49" s="1"/>
  <c r="I226" i="49"/>
  <c r="L263" i="49"/>
  <c r="M267" i="49"/>
  <c r="R267" i="49" s="1"/>
  <c r="H267" i="49"/>
  <c r="L267" i="49"/>
  <c r="P273" i="49"/>
  <c r="J273" i="49"/>
  <c r="O273" i="49"/>
  <c r="L275" i="49"/>
  <c r="AF245" i="49"/>
  <c r="N256" i="49"/>
  <c r="J256" i="49"/>
  <c r="M256" i="49"/>
  <c r="L258" i="49"/>
  <c r="H258" i="49"/>
  <c r="M263" i="49"/>
  <c r="L266" i="49"/>
  <c r="G267" i="49"/>
  <c r="P271" i="49"/>
  <c r="J271" i="49"/>
  <c r="O271" i="49"/>
  <c r="G273" i="49"/>
  <c r="G275" i="49"/>
  <c r="M275" i="49"/>
  <c r="P292" i="49"/>
  <c r="G293" i="49"/>
  <c r="R76" i="49" l="1"/>
  <c r="Y69" i="49"/>
  <c r="AG69" i="49" s="1"/>
  <c r="R81" i="49"/>
  <c r="S88" i="53"/>
  <c r="AD157" i="53"/>
  <c r="AG68" i="53"/>
  <c r="S215" i="53"/>
  <c r="S224" i="53"/>
  <c r="S217" i="53"/>
  <c r="R82" i="49"/>
  <c r="S159" i="53"/>
  <c r="AA121" i="53"/>
  <c r="S89" i="53"/>
  <c r="S278" i="54"/>
  <c r="K80" i="49"/>
  <c r="S80" i="49" s="1"/>
  <c r="S131" i="53"/>
  <c r="S222" i="53"/>
  <c r="S68" i="53"/>
  <c r="K275" i="54"/>
  <c r="AC45" i="53"/>
  <c r="S144" i="53"/>
  <c r="AG144" i="53" s="1"/>
  <c r="AD80" i="49"/>
  <c r="R84" i="49"/>
  <c r="R83" i="49"/>
  <c r="R85" i="49"/>
  <c r="R128" i="49"/>
  <c r="R80" i="49"/>
  <c r="K82" i="49"/>
  <c r="S82" i="49" s="1"/>
  <c r="K83" i="49"/>
  <c r="S83" i="49" s="1"/>
  <c r="S173" i="53"/>
  <c r="K84" i="49"/>
  <c r="S84" i="49" s="1"/>
  <c r="S133" i="53"/>
  <c r="K81" i="49"/>
  <c r="S81" i="49" s="1"/>
  <c r="R47" i="49"/>
  <c r="Z274" i="53"/>
  <c r="K213" i="49"/>
  <c r="S213" i="49" s="1"/>
  <c r="K194" i="49"/>
  <c r="S194" i="49" s="1"/>
  <c r="AA253" i="53"/>
  <c r="S210" i="53"/>
  <c r="S255" i="53"/>
  <c r="S48" i="53"/>
  <c r="S86" i="53"/>
  <c r="Z253" i="53"/>
  <c r="Z57" i="53"/>
  <c r="S264" i="53"/>
  <c r="Z104" i="53"/>
  <c r="AD290" i="53"/>
  <c r="AB45" i="53"/>
  <c r="S122" i="53"/>
  <c r="AB290" i="53"/>
  <c r="S124" i="53"/>
  <c r="R110" i="53"/>
  <c r="AB71" i="53"/>
  <c r="AC271" i="53"/>
  <c r="AB271" i="53"/>
  <c r="S195" i="53"/>
  <c r="S191" i="53"/>
  <c r="S187" i="53"/>
  <c r="Z121" i="53"/>
  <c r="Z177" i="53"/>
  <c r="AB157" i="53"/>
  <c r="AC171" i="53"/>
  <c r="AD85" i="53"/>
  <c r="AB75" i="53"/>
  <c r="S182" i="53"/>
  <c r="Z29" i="53"/>
  <c r="R189" i="53"/>
  <c r="R255" i="53"/>
  <c r="R193" i="53"/>
  <c r="AB253" i="53"/>
  <c r="AA168" i="53"/>
  <c r="S175" i="53"/>
  <c r="AD121" i="53"/>
  <c r="AD91" i="53"/>
  <c r="AE85" i="53"/>
  <c r="R84" i="53"/>
  <c r="R129" i="54"/>
  <c r="R208" i="54"/>
  <c r="Y50" i="54"/>
  <c r="R275" i="54"/>
  <c r="R216" i="54"/>
  <c r="K183" i="54"/>
  <c r="S183" i="54" s="1"/>
  <c r="R79" i="54"/>
  <c r="R214" i="54"/>
  <c r="S64" i="54"/>
  <c r="R131" i="54"/>
  <c r="K157" i="54"/>
  <c r="S157" i="54" s="1"/>
  <c r="R193" i="54"/>
  <c r="R89" i="54"/>
  <c r="K15" i="54"/>
  <c r="S15" i="54" s="1"/>
  <c r="K30" i="54"/>
  <c r="S30" i="54" s="1"/>
  <c r="K271" i="54"/>
  <c r="S271" i="54" s="1"/>
  <c r="Z109" i="54"/>
  <c r="R31" i="54"/>
  <c r="S25" i="54"/>
  <c r="K202" i="54"/>
  <c r="S202" i="54" s="1"/>
  <c r="R170" i="54"/>
  <c r="R200" i="54"/>
  <c r="R189" i="54"/>
  <c r="K100" i="54"/>
  <c r="S100" i="54" s="1"/>
  <c r="R82" i="54"/>
  <c r="K60" i="54"/>
  <c r="S60" i="54" s="1"/>
  <c r="R259" i="54"/>
  <c r="R215" i="54"/>
  <c r="R157" i="54"/>
  <c r="K129" i="54"/>
  <c r="S129" i="54" s="1"/>
  <c r="K111" i="54"/>
  <c r="S111" i="54" s="1"/>
  <c r="K276" i="54"/>
  <c r="S276" i="54" s="1"/>
  <c r="R84" i="54"/>
  <c r="W121" i="54"/>
  <c r="Y40" i="54"/>
  <c r="K89" i="54"/>
  <c r="S89" i="54" s="1"/>
  <c r="K159" i="54"/>
  <c r="S159" i="54" s="1"/>
  <c r="AD121" i="54"/>
  <c r="K107" i="54"/>
  <c r="S107" i="54" s="1"/>
  <c r="AB63" i="54"/>
  <c r="K45" i="54"/>
  <c r="S45" i="54" s="1"/>
  <c r="K282" i="54"/>
  <c r="S282" i="54" s="1"/>
  <c r="R263" i="54"/>
  <c r="K255" i="54"/>
  <c r="S255" i="54" s="1"/>
  <c r="R95" i="54"/>
  <c r="K73" i="54"/>
  <c r="S73" i="54" s="1"/>
  <c r="R202" i="54"/>
  <c r="AA168" i="54"/>
  <c r="R182" i="54"/>
  <c r="K52" i="54"/>
  <c r="S52" i="54" s="1"/>
  <c r="AG68" i="54"/>
  <c r="S167" i="54"/>
  <c r="AG167" i="54" s="1"/>
  <c r="AC91" i="54"/>
  <c r="K224" i="54"/>
  <c r="S224" i="54" s="1"/>
  <c r="K130" i="54"/>
  <c r="S130" i="54" s="1"/>
  <c r="R113" i="54"/>
  <c r="R255" i="54"/>
  <c r="K133" i="54"/>
  <c r="S133" i="54" s="1"/>
  <c r="V278" i="54"/>
  <c r="R99" i="54"/>
  <c r="V157" i="54"/>
  <c r="K128" i="54"/>
  <c r="S128" i="54" s="1"/>
  <c r="K79" i="54"/>
  <c r="S79" i="54" s="1"/>
  <c r="K217" i="54"/>
  <c r="S217" i="54" s="1"/>
  <c r="S150" i="54"/>
  <c r="K113" i="54"/>
  <c r="S113" i="54" s="1"/>
  <c r="S68" i="54"/>
  <c r="K51" i="54"/>
  <c r="S51" i="54" s="1"/>
  <c r="R223" i="54"/>
  <c r="K179" i="54"/>
  <c r="S179" i="54" s="1"/>
  <c r="K72" i="54"/>
  <c r="S72" i="54" s="1"/>
  <c r="K180" i="54"/>
  <c r="S180" i="54" s="1"/>
  <c r="S118" i="54"/>
  <c r="R220" i="54"/>
  <c r="R224" i="54"/>
  <c r="K213" i="54"/>
  <c r="S213" i="54" s="1"/>
  <c r="R34" i="54"/>
  <c r="K191" i="54"/>
  <c r="S191" i="54" s="1"/>
  <c r="K187" i="54"/>
  <c r="S187" i="54" s="1"/>
  <c r="AB278" i="54"/>
  <c r="AB51" i="54"/>
  <c r="R48" i="54"/>
  <c r="X271" i="54"/>
  <c r="R175" i="54"/>
  <c r="S281" i="54"/>
  <c r="K208" i="54"/>
  <c r="S208" i="54" s="1"/>
  <c r="R191" i="54"/>
  <c r="R187" i="54"/>
  <c r="R111" i="54"/>
  <c r="R267" i="54"/>
  <c r="S62" i="54"/>
  <c r="S54" i="54"/>
  <c r="U57" i="54"/>
  <c r="K266" i="54"/>
  <c r="S266" i="54" s="1"/>
  <c r="K56" i="54"/>
  <c r="S56" i="54" s="1"/>
  <c r="R109" i="54"/>
  <c r="R75" i="54"/>
  <c r="W29" i="54"/>
  <c r="R126" i="54"/>
  <c r="K58" i="54"/>
  <c r="S58" i="54" s="1"/>
  <c r="K36" i="54"/>
  <c r="S36" i="54" s="1"/>
  <c r="K280" i="54"/>
  <c r="S280" i="54" s="1"/>
  <c r="K189" i="54"/>
  <c r="S189" i="54" s="1"/>
  <c r="R133" i="54"/>
  <c r="Z253" i="54"/>
  <c r="R101" i="54"/>
  <c r="S63" i="54"/>
  <c r="R266" i="54"/>
  <c r="K106" i="54"/>
  <c r="S106" i="54" s="1"/>
  <c r="R179" i="54"/>
  <c r="K161" i="54"/>
  <c r="S161" i="54" s="1"/>
  <c r="AA109" i="54"/>
  <c r="R222" i="54"/>
  <c r="R77" i="54"/>
  <c r="R213" i="54"/>
  <c r="Z85" i="54"/>
  <c r="K87" i="54"/>
  <c r="S87" i="54" s="1"/>
  <c r="AG40" i="54"/>
  <c r="K131" i="54"/>
  <c r="S131" i="54" s="1"/>
  <c r="S117" i="54"/>
  <c r="K33" i="54"/>
  <c r="S33" i="54" s="1"/>
  <c r="AA121" i="54"/>
  <c r="Z263" i="54"/>
  <c r="K195" i="54"/>
  <c r="S195" i="54" s="1"/>
  <c r="AD85" i="54"/>
  <c r="K190" i="54"/>
  <c r="S190" i="54" s="1"/>
  <c r="R174" i="54"/>
  <c r="K263" i="54"/>
  <c r="S263" i="54" s="1"/>
  <c r="K75" i="54"/>
  <c r="S75" i="54" s="1"/>
  <c r="R195" i="54"/>
  <c r="K173" i="54"/>
  <c r="S173" i="54" s="1"/>
  <c r="R173" i="54"/>
  <c r="AA177" i="54"/>
  <c r="K192" i="54"/>
  <c r="S192" i="54" s="1"/>
  <c r="R128" i="54"/>
  <c r="S61" i="54"/>
  <c r="Z91" i="54"/>
  <c r="R273" i="54"/>
  <c r="Y151" i="54"/>
  <c r="Y162" i="54"/>
  <c r="R159" i="54"/>
  <c r="K259" i="54"/>
  <c r="S259" i="54" s="1"/>
  <c r="R218" i="54"/>
  <c r="R29" i="54"/>
  <c r="U144" i="54"/>
  <c r="K144" i="54"/>
  <c r="Y144" i="54" s="1"/>
  <c r="K220" i="54"/>
  <c r="S220" i="54" s="1"/>
  <c r="K215" i="54"/>
  <c r="S215" i="54" s="1"/>
  <c r="AB157" i="54"/>
  <c r="K90" i="54"/>
  <c r="S90" i="54" s="1"/>
  <c r="AE85" i="54"/>
  <c r="V75" i="54"/>
  <c r="K31" i="54"/>
  <c r="S31" i="54" s="1"/>
  <c r="R92" i="54"/>
  <c r="K216" i="54"/>
  <c r="S216" i="54" s="1"/>
  <c r="R158" i="54"/>
  <c r="K193" i="54"/>
  <c r="S193" i="54" s="1"/>
  <c r="W104" i="54"/>
  <c r="AA29" i="54"/>
  <c r="AD290" i="54"/>
  <c r="R132" i="54"/>
  <c r="K124" i="54"/>
  <c r="S124" i="54" s="1"/>
  <c r="AD91" i="54"/>
  <c r="AB145" i="54"/>
  <c r="AG151" i="54"/>
  <c r="K260" i="54"/>
  <c r="S260" i="54" s="1"/>
  <c r="R87" i="54"/>
  <c r="X168" i="54"/>
  <c r="AD157" i="54"/>
  <c r="U109" i="54"/>
  <c r="R45" i="54"/>
  <c r="K27" i="54"/>
  <c r="S27" i="54" s="1"/>
  <c r="S55" i="54"/>
  <c r="R30" i="54"/>
  <c r="AA126" i="54"/>
  <c r="K96" i="54"/>
  <c r="S96" i="54" s="1"/>
  <c r="K219" i="54"/>
  <c r="S219" i="54" s="1"/>
  <c r="S275" i="54"/>
  <c r="R260" i="54"/>
  <c r="R122" i="54"/>
  <c r="U263" i="54"/>
  <c r="Z177" i="54"/>
  <c r="K109" i="54"/>
  <c r="S109" i="54" s="1"/>
  <c r="R100" i="54"/>
  <c r="R83" i="54"/>
  <c r="Z274" i="54"/>
  <c r="R169" i="54"/>
  <c r="X75" i="54"/>
  <c r="R46" i="54"/>
  <c r="K29" i="54"/>
  <c r="S29" i="54" s="1"/>
  <c r="Z15" i="54"/>
  <c r="K222" i="54"/>
  <c r="S222" i="54" s="1"/>
  <c r="K170" i="54"/>
  <c r="S170" i="54" s="1"/>
  <c r="AE157" i="54"/>
  <c r="X157" i="54"/>
  <c r="K196" i="54"/>
  <c r="S196" i="54" s="1"/>
  <c r="K194" i="54"/>
  <c r="S194" i="54" s="1"/>
  <c r="K92" i="54"/>
  <c r="S92" i="54" s="1"/>
  <c r="AD71" i="54"/>
  <c r="K210" i="54"/>
  <c r="S26" i="54"/>
  <c r="AC45" i="54"/>
  <c r="AC75" i="54"/>
  <c r="Z45" i="54"/>
  <c r="K17" i="54"/>
  <c r="S17" i="54" s="1"/>
  <c r="K262" i="54"/>
  <c r="S262" i="54" s="1"/>
  <c r="R257" i="54"/>
  <c r="R254" i="54"/>
  <c r="K200" i="54"/>
  <c r="S200" i="54" s="1"/>
  <c r="K181" i="54"/>
  <c r="S181" i="54" s="1"/>
  <c r="R168" i="54"/>
  <c r="Z157" i="54"/>
  <c r="K122" i="54"/>
  <c r="S122" i="54" s="1"/>
  <c r="Z121" i="54"/>
  <c r="Z104" i="54"/>
  <c r="U290" i="54"/>
  <c r="Z168" i="54"/>
  <c r="V290" i="54"/>
  <c r="S119" i="54"/>
  <c r="Z57" i="54"/>
  <c r="R49" i="54"/>
  <c r="S47" i="54"/>
  <c r="AA45" i="54"/>
  <c r="AB29" i="54"/>
  <c r="K214" i="54"/>
  <c r="S214" i="54" s="1"/>
  <c r="W177" i="54"/>
  <c r="S162" i="54"/>
  <c r="AG162" i="54" s="1"/>
  <c r="R94" i="54"/>
  <c r="S78" i="54"/>
  <c r="V57" i="54"/>
  <c r="X29" i="54"/>
  <c r="AA80" i="54"/>
  <c r="S20" i="54"/>
  <c r="S239" i="54"/>
  <c r="AG239" i="54" s="1"/>
  <c r="S116" i="54"/>
  <c r="K212" i="54"/>
  <c r="S212" i="54" s="1"/>
  <c r="K223" i="54"/>
  <c r="S223" i="54" s="1"/>
  <c r="R161" i="54"/>
  <c r="K168" i="54"/>
  <c r="S168" i="54" s="1"/>
  <c r="R125" i="54"/>
  <c r="K175" i="54"/>
  <c r="S175" i="54" s="1"/>
  <c r="K88" i="54"/>
  <c r="S88" i="54" s="1"/>
  <c r="W157" i="54"/>
  <c r="K132" i="54"/>
  <c r="S132" i="54" s="1"/>
  <c r="K110" i="54"/>
  <c r="S110" i="54" s="1"/>
  <c r="AB75" i="54"/>
  <c r="V71" i="54"/>
  <c r="AB45" i="54"/>
  <c r="K34" i="54"/>
  <c r="S34" i="54" s="1"/>
  <c r="Z29" i="54"/>
  <c r="AB290" i="54"/>
  <c r="K277" i="54"/>
  <c r="S277" i="54" s="1"/>
  <c r="K256" i="54"/>
  <c r="S256" i="54" s="1"/>
  <c r="R204" i="54"/>
  <c r="AB121" i="54"/>
  <c r="AA91" i="54"/>
  <c r="K77" i="54"/>
  <c r="S77" i="54" s="1"/>
  <c r="R47" i="54"/>
  <c r="R33" i="54"/>
  <c r="AC271" i="54"/>
  <c r="AB271" i="54"/>
  <c r="K188" i="54"/>
  <c r="S188" i="54" s="1"/>
  <c r="K186" i="54"/>
  <c r="S186" i="54" s="1"/>
  <c r="Z71" i="54"/>
  <c r="K83" i="54"/>
  <c r="S83" i="54" s="1"/>
  <c r="K59" i="54"/>
  <c r="S59" i="54" s="1"/>
  <c r="Z115" i="54"/>
  <c r="U63" i="54"/>
  <c r="Y63" i="54" s="1"/>
  <c r="R221" i="54"/>
  <c r="R88" i="54"/>
  <c r="K221" i="54"/>
  <c r="S221" i="54" s="1"/>
  <c r="K105" i="54"/>
  <c r="S105" i="54" s="1"/>
  <c r="K57" i="54"/>
  <c r="S57" i="54" s="1"/>
  <c r="K18" i="54"/>
  <c r="S18" i="54" s="1"/>
  <c r="K218" i="54"/>
  <c r="S218" i="54" s="1"/>
  <c r="K98" i="54"/>
  <c r="S98" i="54" s="1"/>
  <c r="R98" i="54"/>
  <c r="X91" i="54"/>
  <c r="R91" i="54"/>
  <c r="K91" i="54"/>
  <c r="S91" i="54" s="1"/>
  <c r="V243" i="54"/>
  <c r="K243" i="54"/>
  <c r="X14" i="54"/>
  <c r="R14" i="54"/>
  <c r="AF14" i="54" s="1"/>
  <c r="K253" i="54"/>
  <c r="S253" i="54" s="1"/>
  <c r="V253" i="54"/>
  <c r="R276" i="54"/>
  <c r="X274" i="54"/>
  <c r="K19" i="54"/>
  <c r="S19" i="54" s="1"/>
  <c r="V15" i="54"/>
  <c r="R178" i="54"/>
  <c r="X177" i="54"/>
  <c r="K171" i="54"/>
  <c r="S171" i="54" s="1"/>
  <c r="V171" i="54"/>
  <c r="R127" i="54"/>
  <c r="X126" i="54"/>
  <c r="Z258" i="54"/>
  <c r="Y135" i="54"/>
  <c r="S135" i="54"/>
  <c r="AG135" i="54" s="1"/>
  <c r="K125" i="54"/>
  <c r="S125" i="54" s="1"/>
  <c r="R264" i="54"/>
  <c r="AA263" i="54"/>
  <c r="R123" i="54"/>
  <c r="X121" i="54"/>
  <c r="K279" i="54"/>
  <c r="S279" i="54" s="1"/>
  <c r="U278" i="54"/>
  <c r="K254" i="54"/>
  <c r="S254" i="54" s="1"/>
  <c r="AC253" i="54"/>
  <c r="V177" i="54"/>
  <c r="V109" i="54"/>
  <c r="V104" i="54"/>
  <c r="X85" i="54"/>
  <c r="R85" i="54"/>
  <c r="X80" i="54"/>
  <c r="R80" i="54"/>
  <c r="V29" i="54"/>
  <c r="K32" i="54"/>
  <c r="S32" i="54" s="1"/>
  <c r="AC24" i="54"/>
  <c r="R24" i="54"/>
  <c r="AF24" i="54" s="1"/>
  <c r="AC184" i="54"/>
  <c r="X45" i="54"/>
  <c r="U177" i="54"/>
  <c r="K177" i="54"/>
  <c r="S177" i="54" s="1"/>
  <c r="K143" i="54"/>
  <c r="U143" i="54"/>
  <c r="AB91" i="54"/>
  <c r="Y120" i="54"/>
  <c r="S120" i="54"/>
  <c r="AG120" i="54" s="1"/>
  <c r="V263" i="54"/>
  <c r="K264" i="54"/>
  <c r="S264" i="54" s="1"/>
  <c r="R265" i="54"/>
  <c r="X263" i="54"/>
  <c r="K158" i="54"/>
  <c r="S158" i="54" s="1"/>
  <c r="U157" i="54"/>
  <c r="AE121" i="54"/>
  <c r="K99" i="54"/>
  <c r="S99" i="54" s="1"/>
  <c r="V274" i="54"/>
  <c r="K265" i="54"/>
  <c r="S265" i="54" s="1"/>
  <c r="R176" i="54"/>
  <c r="K176" i="54"/>
  <c r="S176" i="54" s="1"/>
  <c r="V121" i="54"/>
  <c r="R112" i="54"/>
  <c r="K112" i="54"/>
  <c r="S112" i="54" s="1"/>
  <c r="X109" i="54"/>
  <c r="AD104" i="54"/>
  <c r="K46" i="54"/>
  <c r="S46" i="54" s="1"/>
  <c r="U45" i="54"/>
  <c r="AC29" i="54"/>
  <c r="R32" i="54"/>
  <c r="Y240" i="54"/>
  <c r="S240" i="54"/>
  <c r="AG240" i="54" s="1"/>
  <c r="K123" i="54"/>
  <c r="S123" i="54" s="1"/>
  <c r="AC109" i="54"/>
  <c r="K85" i="54"/>
  <c r="S85" i="54" s="1"/>
  <c r="K53" i="54"/>
  <c r="S53" i="54" s="1"/>
  <c r="U51" i="54"/>
  <c r="K95" i="54"/>
  <c r="S95" i="54" s="1"/>
  <c r="K182" i="54"/>
  <c r="S182" i="54" s="1"/>
  <c r="K86" i="54"/>
  <c r="S86" i="54" s="1"/>
  <c r="K48" i="54"/>
  <c r="S48" i="54" s="1"/>
  <c r="K184" i="54"/>
  <c r="V184" i="54"/>
  <c r="W80" i="54"/>
  <c r="W91" i="54"/>
  <c r="K65" i="54"/>
  <c r="S65" i="54" s="1"/>
  <c r="U274" i="54"/>
  <c r="K274" i="54"/>
  <c r="S274" i="54" s="1"/>
  <c r="K257" i="54"/>
  <c r="S257" i="54" s="1"/>
  <c r="V126" i="54"/>
  <c r="K121" i="54"/>
  <c r="S121" i="54" s="1"/>
  <c r="U121" i="54"/>
  <c r="K101" i="54"/>
  <c r="S101" i="54" s="1"/>
  <c r="K97" i="54"/>
  <c r="S97" i="54" s="1"/>
  <c r="R97" i="54"/>
  <c r="AA274" i="54"/>
  <c r="AB253" i="54"/>
  <c r="K108" i="54"/>
  <c r="S108" i="54" s="1"/>
  <c r="K201" i="54"/>
  <c r="S201" i="54" s="1"/>
  <c r="K178" i="54"/>
  <c r="S178" i="54" s="1"/>
  <c r="AC171" i="54"/>
  <c r="U104" i="54"/>
  <c r="K104" i="54"/>
  <c r="S104" i="54" s="1"/>
  <c r="V85" i="54"/>
  <c r="S35" i="54"/>
  <c r="U29" i="54"/>
  <c r="U24" i="54"/>
  <c r="K24" i="54"/>
  <c r="R277" i="54"/>
  <c r="R272" i="54"/>
  <c r="U258" i="54"/>
  <c r="K258" i="54"/>
  <c r="S258" i="54" s="1"/>
  <c r="K204" i="54"/>
  <c r="S204" i="54" s="1"/>
  <c r="K126" i="54"/>
  <c r="S126" i="54" s="1"/>
  <c r="R110" i="54"/>
  <c r="Y102" i="54"/>
  <c r="S102" i="54"/>
  <c r="AG102" i="54" s="1"/>
  <c r="K81" i="54"/>
  <c r="S81" i="54" s="1"/>
  <c r="AB71" i="54"/>
  <c r="AD271" i="54"/>
  <c r="X258" i="54"/>
  <c r="R258" i="54"/>
  <c r="R196" i="54"/>
  <c r="R194" i="54"/>
  <c r="R192" i="54"/>
  <c r="R190" i="54"/>
  <c r="R188" i="54"/>
  <c r="R186" i="54"/>
  <c r="X171" i="54"/>
  <c r="R171" i="54"/>
  <c r="Y115" i="54"/>
  <c r="S115" i="54"/>
  <c r="R86" i="54"/>
  <c r="AC80" i="54"/>
  <c r="AB80" i="54"/>
  <c r="R210" i="54"/>
  <c r="AB184" i="54"/>
  <c r="S149" i="54"/>
  <c r="K226" i="54"/>
  <c r="S226" i="54" s="1"/>
  <c r="V225" i="54"/>
  <c r="Y225" i="54" s="1"/>
  <c r="AG225" i="54" s="1"/>
  <c r="V115" i="54"/>
  <c r="K74" i="54"/>
  <c r="S74" i="54" s="1"/>
  <c r="R160" i="54"/>
  <c r="K127" i="54"/>
  <c r="S127" i="54" s="1"/>
  <c r="AA258" i="54"/>
  <c r="R172" i="54"/>
  <c r="X184" i="54"/>
  <c r="R184" i="54"/>
  <c r="X103" i="54"/>
  <c r="R103" i="54"/>
  <c r="AF103" i="54" s="1"/>
  <c r="S261" i="54"/>
  <c r="U168" i="54"/>
  <c r="K169" i="54"/>
  <c r="S169" i="54" s="1"/>
  <c r="V134" i="54"/>
  <c r="Y134" i="54" s="1"/>
  <c r="AG134" i="54" s="1"/>
  <c r="K134" i="54"/>
  <c r="S134" i="54" s="1"/>
  <c r="Z126" i="54"/>
  <c r="AC121" i="54"/>
  <c r="R121" i="54"/>
  <c r="R253" i="54"/>
  <c r="X253" i="54"/>
  <c r="V168" i="54"/>
  <c r="K267" i="54"/>
  <c r="S267" i="54" s="1"/>
  <c r="K160" i="54"/>
  <c r="S160" i="54" s="1"/>
  <c r="R124" i="54"/>
  <c r="K93" i="54"/>
  <c r="S93" i="54" s="1"/>
  <c r="R90" i="54"/>
  <c r="AA85" i="54"/>
  <c r="R81" i="54"/>
  <c r="R256" i="54"/>
  <c r="K172" i="54"/>
  <c r="S172" i="54" s="1"/>
  <c r="U145" i="54"/>
  <c r="Y145" i="54" s="1"/>
  <c r="K145" i="54"/>
  <c r="S145" i="54" s="1"/>
  <c r="U126" i="54"/>
  <c r="AB109" i="54"/>
  <c r="U91" i="54"/>
  <c r="K84" i="54"/>
  <c r="S84" i="54" s="1"/>
  <c r="U80" i="54"/>
  <c r="K80" i="54"/>
  <c r="S80" i="54" s="1"/>
  <c r="S76" i="54"/>
  <c r="U71" i="54"/>
  <c r="K71" i="54"/>
  <c r="S71" i="54" s="1"/>
  <c r="K49" i="54"/>
  <c r="S49" i="54" s="1"/>
  <c r="R35" i="54"/>
  <c r="K272" i="54"/>
  <c r="S272" i="54" s="1"/>
  <c r="U271" i="54"/>
  <c r="V258" i="54"/>
  <c r="K174" i="54"/>
  <c r="S174" i="54" s="1"/>
  <c r="AB171" i="54"/>
  <c r="K94" i="54"/>
  <c r="S94" i="54" s="1"/>
  <c r="V80" i="54"/>
  <c r="R71" i="54"/>
  <c r="AF71" i="54" s="1"/>
  <c r="X71" i="54"/>
  <c r="U14" i="54"/>
  <c r="K14" i="54"/>
  <c r="AA253" i="54"/>
  <c r="S210" i="54"/>
  <c r="U103" i="54"/>
  <c r="K103" i="54"/>
  <c r="V91" i="54"/>
  <c r="U85" i="54"/>
  <c r="U15" i="54"/>
  <c r="K28" i="54"/>
  <c r="S28" i="54" s="1"/>
  <c r="K273" i="54"/>
  <c r="S273" i="54" s="1"/>
  <c r="K82" i="54"/>
  <c r="S82" i="54" s="1"/>
  <c r="V51" i="54"/>
  <c r="S98" i="53"/>
  <c r="R98" i="53"/>
  <c r="S127" i="53"/>
  <c r="U126" i="53"/>
  <c r="Y126" i="53" s="1"/>
  <c r="S158" i="53"/>
  <c r="U157" i="53"/>
  <c r="V126" i="53"/>
  <c r="S126" i="53"/>
  <c r="S121" i="53"/>
  <c r="U121" i="53"/>
  <c r="V278" i="53"/>
  <c r="U143" i="53"/>
  <c r="AC29" i="53"/>
  <c r="R32" i="53"/>
  <c r="R160" i="53"/>
  <c r="AF157" i="53" s="1"/>
  <c r="X157" i="53"/>
  <c r="AA126" i="53"/>
  <c r="AA91" i="53"/>
  <c r="R93" i="53"/>
  <c r="U85" i="53"/>
  <c r="V243" i="53"/>
  <c r="R264" i="53"/>
  <c r="AF263" i="53" s="1"/>
  <c r="AA263" i="53"/>
  <c r="R123" i="53"/>
  <c r="S123" i="53"/>
  <c r="S280" i="53"/>
  <c r="S257" i="53"/>
  <c r="S208" i="53"/>
  <c r="S276" i="53"/>
  <c r="S106" i="53"/>
  <c r="AD104" i="53"/>
  <c r="S90" i="53"/>
  <c r="V75" i="53"/>
  <c r="Y75" i="53" s="1"/>
  <c r="R48" i="53"/>
  <c r="X45" i="53"/>
  <c r="S46" i="53"/>
  <c r="U45" i="53"/>
  <c r="Y45" i="53" s="1"/>
  <c r="S35" i="53"/>
  <c r="AA29" i="53"/>
  <c r="R31" i="53"/>
  <c r="U29" i="53"/>
  <c r="Y29" i="53" s="1"/>
  <c r="U24" i="53"/>
  <c r="S256" i="53"/>
  <c r="Y240" i="53"/>
  <c r="S240" i="53"/>
  <c r="AG240" i="53" s="1"/>
  <c r="S33" i="53"/>
  <c r="S273" i="53"/>
  <c r="S107" i="53"/>
  <c r="AB91" i="53"/>
  <c r="S65" i="53"/>
  <c r="X91" i="53"/>
  <c r="R91" i="53"/>
  <c r="S91" i="53"/>
  <c r="AA274" i="53"/>
  <c r="R274" i="53"/>
  <c r="AF274" i="53" s="1"/>
  <c r="S108" i="53"/>
  <c r="S277" i="53"/>
  <c r="AC109" i="53"/>
  <c r="S53" i="53"/>
  <c r="U51" i="53"/>
  <c r="S253" i="53"/>
  <c r="V253" i="53"/>
  <c r="Y253" i="53" s="1"/>
  <c r="R97" i="53"/>
  <c r="S97" i="53"/>
  <c r="AC24" i="53"/>
  <c r="R24" i="53"/>
  <c r="AF24" i="53" s="1"/>
  <c r="U274" i="53"/>
  <c r="Y274" i="53" s="1"/>
  <c r="S274" i="53"/>
  <c r="R260" i="53"/>
  <c r="S260" i="53"/>
  <c r="S265" i="53"/>
  <c r="U263" i="53"/>
  <c r="Y263" i="53" s="1"/>
  <c r="V121" i="53"/>
  <c r="R112" i="53"/>
  <c r="AF109" i="53" s="1"/>
  <c r="S112" i="53"/>
  <c r="U104" i="53"/>
  <c r="S104" i="53"/>
  <c r="V85" i="53"/>
  <c r="S85" i="53"/>
  <c r="S62" i="53"/>
  <c r="U57" i="53"/>
  <c r="Y57" i="53" s="1"/>
  <c r="AG57" i="53" s="1"/>
  <c r="S52" i="53"/>
  <c r="V51" i="53"/>
  <c r="AA45" i="53"/>
  <c r="R46" i="53"/>
  <c r="AF45" i="53" s="1"/>
  <c r="AB29" i="53"/>
  <c r="AA258" i="53"/>
  <c r="V184" i="53"/>
  <c r="R172" i="53"/>
  <c r="S92" i="53"/>
  <c r="U91" i="53"/>
  <c r="AF29" i="53"/>
  <c r="U14" i="53"/>
  <c r="U258" i="53"/>
  <c r="S258" i="53"/>
  <c r="S204" i="53"/>
  <c r="R92" i="53"/>
  <c r="X171" i="53"/>
  <c r="R171" i="53"/>
  <c r="Y115" i="53"/>
  <c r="S115" i="53"/>
  <c r="AG115" i="53" s="1"/>
  <c r="R86" i="53"/>
  <c r="AC80" i="53"/>
  <c r="U103" i="53"/>
  <c r="V91" i="53"/>
  <c r="S32" i="53"/>
  <c r="S261" i="53"/>
  <c r="U168" i="53"/>
  <c r="Y168" i="53" s="1"/>
  <c r="S169" i="53"/>
  <c r="V134" i="53"/>
  <c r="Y134" i="53" s="1"/>
  <c r="AG134" i="53" s="1"/>
  <c r="S134" i="53"/>
  <c r="S262" i="53"/>
  <c r="R257" i="53"/>
  <c r="R254" i="53"/>
  <c r="S200" i="53"/>
  <c r="S181" i="53"/>
  <c r="U177" i="53"/>
  <c r="S177" i="53"/>
  <c r="AF168" i="53"/>
  <c r="S129" i="53"/>
  <c r="AE121" i="53"/>
  <c r="S111" i="53"/>
  <c r="S99" i="53"/>
  <c r="S279" i="53"/>
  <c r="U278" i="53"/>
  <c r="S254" i="53"/>
  <c r="AC253" i="53"/>
  <c r="V177" i="53"/>
  <c r="V104" i="53"/>
  <c r="X85" i="53"/>
  <c r="R85" i="53"/>
  <c r="X80" i="53"/>
  <c r="R80" i="53"/>
  <c r="V71" i="53"/>
  <c r="S34" i="53"/>
  <c r="AC184" i="53"/>
  <c r="R178" i="53"/>
  <c r="X177" i="53"/>
  <c r="S171" i="53"/>
  <c r="V171" i="53"/>
  <c r="Y171" i="53" s="1"/>
  <c r="S170" i="53"/>
  <c r="S128" i="53"/>
  <c r="R127" i="53"/>
  <c r="AF126" i="53" s="1"/>
  <c r="X126" i="53"/>
  <c r="S79" i="53"/>
  <c r="Z258" i="53"/>
  <c r="AA80" i="53"/>
  <c r="AD71" i="53"/>
  <c r="S59" i="53"/>
  <c r="S20" i="53"/>
  <c r="R210" i="53"/>
  <c r="S149" i="53"/>
  <c r="AB184" i="53"/>
  <c r="X103" i="53"/>
  <c r="R103" i="53"/>
  <c r="AF103" i="53" s="1"/>
  <c r="W91" i="53"/>
  <c r="S74" i="53"/>
  <c r="Y63" i="53"/>
  <c r="AG63" i="53" s="1"/>
  <c r="S82" i="53"/>
  <c r="V15" i="53"/>
  <c r="Y15" i="53" s="1"/>
  <c r="AG15" i="53" s="1"/>
  <c r="X109" i="53"/>
  <c r="Y109" i="53" s="1"/>
  <c r="S96" i="53"/>
  <c r="Y102" i="53"/>
  <c r="S102" i="53"/>
  <c r="AG102" i="53" s="1"/>
  <c r="S81" i="53"/>
  <c r="AD271" i="53"/>
  <c r="X258" i="53"/>
  <c r="R258" i="53"/>
  <c r="AB80" i="53"/>
  <c r="Z71" i="53"/>
  <c r="AF271" i="53"/>
  <c r="Z115" i="53"/>
  <c r="Z263" i="53"/>
  <c r="Z126" i="53"/>
  <c r="AC121" i="53"/>
  <c r="R121" i="53"/>
  <c r="S100" i="53"/>
  <c r="R253" i="53"/>
  <c r="AF253" i="53" s="1"/>
  <c r="X253" i="53"/>
  <c r="V168" i="53"/>
  <c r="W157" i="53"/>
  <c r="R83" i="53"/>
  <c r="S267" i="53"/>
  <c r="R182" i="53"/>
  <c r="R170" i="53"/>
  <c r="S160" i="53"/>
  <c r="R124" i="53"/>
  <c r="S110" i="53"/>
  <c r="S93" i="53"/>
  <c r="R90" i="53"/>
  <c r="AA85" i="53"/>
  <c r="R81" i="53"/>
  <c r="S47" i="53"/>
  <c r="S31" i="53"/>
  <c r="R256" i="53"/>
  <c r="S172" i="53"/>
  <c r="U145" i="53"/>
  <c r="Y145" i="53" s="1"/>
  <c r="AG145" i="53" s="1"/>
  <c r="S145" i="53"/>
  <c r="AB109" i="53"/>
  <c r="S84" i="53"/>
  <c r="U80" i="53"/>
  <c r="Y80" i="53" s="1"/>
  <c r="S80" i="53"/>
  <c r="U71" i="53"/>
  <c r="S71" i="53"/>
  <c r="S49" i="53"/>
  <c r="R35" i="53"/>
  <c r="S272" i="53"/>
  <c r="U271" i="53"/>
  <c r="Y271" i="53" s="1"/>
  <c r="V258" i="53"/>
  <c r="S196" i="53"/>
  <c r="S194" i="53"/>
  <c r="S192" i="53"/>
  <c r="S190" i="53"/>
  <c r="S188" i="53"/>
  <c r="S186" i="53"/>
  <c r="S174" i="53"/>
  <c r="AB171" i="53"/>
  <c r="S94" i="53"/>
  <c r="V80" i="53"/>
  <c r="AF75" i="53"/>
  <c r="R71" i="53"/>
  <c r="AF71" i="53" s="1"/>
  <c r="X71" i="53"/>
  <c r="S26" i="53"/>
  <c r="S226" i="53"/>
  <c r="V225" i="53"/>
  <c r="Y225" i="53" s="1"/>
  <c r="AG225" i="53" s="1"/>
  <c r="S176" i="53"/>
  <c r="Y135" i="53"/>
  <c r="S135" i="53"/>
  <c r="AG135" i="53" s="1"/>
  <c r="R273" i="53"/>
  <c r="X184" i="53"/>
  <c r="R184" i="53"/>
  <c r="R174" i="53"/>
  <c r="V115" i="53"/>
  <c r="Z91" i="53"/>
  <c r="S83" i="53"/>
  <c r="X14" i="53"/>
  <c r="R14" i="53"/>
  <c r="AF14" i="53" s="1"/>
  <c r="S125" i="53"/>
  <c r="Y120" i="53"/>
  <c r="S120" i="53"/>
  <c r="AG120" i="53" s="1"/>
  <c r="X29" i="53"/>
  <c r="K47" i="49"/>
  <c r="S47" i="49" s="1"/>
  <c r="R212" i="49"/>
  <c r="R192" i="49"/>
  <c r="K76" i="49"/>
  <c r="S76" i="49" s="1"/>
  <c r="Z168" i="49"/>
  <c r="S120" i="49"/>
  <c r="AG120" i="49" s="1"/>
  <c r="R222" i="49"/>
  <c r="R191" i="49"/>
  <c r="K78" i="49"/>
  <c r="S78" i="49" s="1"/>
  <c r="K168" i="49"/>
  <c r="S168" i="49" s="1"/>
  <c r="K131" i="49"/>
  <c r="S131" i="49" s="1"/>
  <c r="K255" i="49"/>
  <c r="S255" i="49" s="1"/>
  <c r="R219" i="49"/>
  <c r="K222" i="49"/>
  <c r="S222" i="49" s="1"/>
  <c r="K218" i="49"/>
  <c r="S218" i="49" s="1"/>
  <c r="K188" i="49"/>
  <c r="S188" i="49" s="1"/>
  <c r="K212" i="49"/>
  <c r="S212" i="49" s="1"/>
  <c r="K195" i="49"/>
  <c r="S195" i="49" s="1"/>
  <c r="R93" i="49"/>
  <c r="R95" i="49"/>
  <c r="K72" i="49"/>
  <c r="S72" i="49" s="1"/>
  <c r="Y239" i="49"/>
  <c r="Z57" i="49"/>
  <c r="K214" i="49"/>
  <c r="S214" i="49" s="1"/>
  <c r="R34" i="49"/>
  <c r="AD71" i="49"/>
  <c r="K204" i="49"/>
  <c r="S204" i="49" s="1"/>
  <c r="R49" i="49"/>
  <c r="R221" i="49"/>
  <c r="K134" i="49"/>
  <c r="S134" i="49" s="1"/>
  <c r="V168" i="49"/>
  <c r="R194" i="49"/>
  <c r="R131" i="49"/>
  <c r="R220" i="49"/>
  <c r="K192" i="49"/>
  <c r="S192" i="49" s="1"/>
  <c r="K219" i="49"/>
  <c r="S219" i="49" s="1"/>
  <c r="K262" i="49"/>
  <c r="S262" i="49" s="1"/>
  <c r="AA274" i="49"/>
  <c r="K271" i="49"/>
  <c r="S271" i="49" s="1"/>
  <c r="R213" i="49"/>
  <c r="R188" i="49"/>
  <c r="R129" i="49"/>
  <c r="R195" i="49"/>
  <c r="K190" i="49"/>
  <c r="S190" i="49" s="1"/>
  <c r="K191" i="49"/>
  <c r="S191" i="49" s="1"/>
  <c r="K221" i="49"/>
  <c r="S221" i="49" s="1"/>
  <c r="K58" i="49"/>
  <c r="S58" i="49" s="1"/>
  <c r="Z109" i="49"/>
  <c r="K263" i="49"/>
  <c r="S263" i="49" s="1"/>
  <c r="R257" i="49"/>
  <c r="S280" i="49"/>
  <c r="K157" i="49"/>
  <c r="S157" i="49" s="1"/>
  <c r="K183" i="49"/>
  <c r="S183" i="49" s="1"/>
  <c r="K85" i="49"/>
  <c r="S85" i="49" s="1"/>
  <c r="V57" i="49"/>
  <c r="S54" i="49"/>
  <c r="AB45" i="49"/>
  <c r="V15" i="49"/>
  <c r="AB253" i="49"/>
  <c r="K25" i="49"/>
  <c r="S25" i="49" s="1"/>
  <c r="K57" i="49"/>
  <c r="S57" i="49" s="1"/>
  <c r="K107" i="49"/>
  <c r="S107" i="49" s="1"/>
  <c r="K111" i="49"/>
  <c r="S111" i="49" s="1"/>
  <c r="R35" i="49"/>
  <c r="AB278" i="49"/>
  <c r="K77" i="49"/>
  <c r="S77" i="49" s="1"/>
  <c r="R159" i="49"/>
  <c r="R218" i="49"/>
  <c r="R14" i="49"/>
  <c r="AF14" i="49" s="1"/>
  <c r="K220" i="49"/>
  <c r="S220" i="49" s="1"/>
  <c r="K278" i="49"/>
  <c r="S278" i="49" s="1"/>
  <c r="K129" i="49"/>
  <c r="S129" i="49" s="1"/>
  <c r="R255" i="49"/>
  <c r="R170" i="49"/>
  <c r="R201" i="49"/>
  <c r="S184" i="49"/>
  <c r="K176" i="49"/>
  <c r="S176" i="49" s="1"/>
  <c r="R174" i="49"/>
  <c r="K172" i="49"/>
  <c r="S172" i="49" s="1"/>
  <c r="AC75" i="49"/>
  <c r="AB71" i="49"/>
  <c r="S60" i="49"/>
  <c r="U14" i="49"/>
  <c r="R272" i="49"/>
  <c r="R204" i="49"/>
  <c r="R126" i="49"/>
  <c r="K187" i="49"/>
  <c r="S187" i="49" s="1"/>
  <c r="S215" i="49"/>
  <c r="K62" i="49"/>
  <c r="S62" i="49" s="1"/>
  <c r="S28" i="49"/>
  <c r="K94" i="49"/>
  <c r="S94" i="49" s="1"/>
  <c r="K86" i="49"/>
  <c r="S86" i="49" s="1"/>
  <c r="K265" i="49"/>
  <c r="S265" i="49" s="1"/>
  <c r="V274" i="49"/>
  <c r="W177" i="49"/>
  <c r="K173" i="49"/>
  <c r="S173" i="49" s="1"/>
  <c r="K103" i="49"/>
  <c r="S103" i="49" s="1"/>
  <c r="AG103" i="49" s="1"/>
  <c r="X177" i="49"/>
  <c r="AC29" i="49"/>
  <c r="R277" i="49"/>
  <c r="K108" i="49"/>
  <c r="S108" i="49" s="1"/>
  <c r="S55" i="49"/>
  <c r="K180" i="49"/>
  <c r="S180" i="49" s="1"/>
  <c r="U71" i="49"/>
  <c r="K279" i="49"/>
  <c r="S279" i="49" s="1"/>
  <c r="K276" i="49"/>
  <c r="S276" i="49" s="1"/>
  <c r="R265" i="49"/>
  <c r="V243" i="49"/>
  <c r="AG40" i="49"/>
  <c r="K182" i="49"/>
  <c r="S182" i="49" s="1"/>
  <c r="R24" i="49"/>
  <c r="AF24" i="49" s="1"/>
  <c r="K32" i="49"/>
  <c r="S32" i="49" s="1"/>
  <c r="AG134" i="49"/>
  <c r="R77" i="49"/>
  <c r="AD85" i="49"/>
  <c r="V85" i="49"/>
  <c r="R78" i="49"/>
  <c r="W29" i="49"/>
  <c r="R273" i="49"/>
  <c r="U157" i="49"/>
  <c r="S118" i="49"/>
  <c r="K186" i="49"/>
  <c r="S186" i="49" s="1"/>
  <c r="R86" i="49"/>
  <c r="Z258" i="49"/>
  <c r="R215" i="49"/>
  <c r="K260" i="49"/>
  <c r="S260" i="49" s="1"/>
  <c r="AA258" i="49"/>
  <c r="K101" i="49"/>
  <c r="S101" i="49" s="1"/>
  <c r="V80" i="49"/>
  <c r="K179" i="49"/>
  <c r="S179" i="49" s="1"/>
  <c r="Z104" i="49"/>
  <c r="R48" i="49"/>
  <c r="S15" i="49"/>
  <c r="R157" i="49"/>
  <c r="K266" i="49"/>
  <c r="S266" i="49" s="1"/>
  <c r="R223" i="49"/>
  <c r="K27" i="49"/>
  <c r="S27" i="49" s="1"/>
  <c r="S26" i="49"/>
  <c r="K112" i="49"/>
  <c r="S112" i="49" s="1"/>
  <c r="K130" i="49"/>
  <c r="S130" i="49" s="1"/>
  <c r="K254" i="49"/>
  <c r="S254" i="49" s="1"/>
  <c r="R190" i="49"/>
  <c r="V263" i="49"/>
  <c r="AC80" i="49"/>
  <c r="AB63" i="49"/>
  <c r="R31" i="49"/>
  <c r="AA177" i="49"/>
  <c r="AA85" i="49"/>
  <c r="AD104" i="49"/>
  <c r="R224" i="49"/>
  <c r="R90" i="49"/>
  <c r="Y162" i="49"/>
  <c r="K267" i="49"/>
  <c r="S267" i="49" s="1"/>
  <c r="AC271" i="49"/>
  <c r="U278" i="49"/>
  <c r="K181" i="49"/>
  <c r="S181" i="49" s="1"/>
  <c r="AE157" i="49"/>
  <c r="AA80" i="49"/>
  <c r="R30" i="49"/>
  <c r="AB145" i="49"/>
  <c r="Z115" i="49"/>
  <c r="AB109" i="49"/>
  <c r="V104" i="49"/>
  <c r="K74" i="49"/>
  <c r="S74" i="49" s="1"/>
  <c r="K56" i="49"/>
  <c r="S56" i="49" s="1"/>
  <c r="K33" i="49"/>
  <c r="S33" i="49" s="1"/>
  <c r="R254" i="49"/>
  <c r="R168" i="49"/>
  <c r="S223" i="49"/>
  <c r="K196" i="49"/>
  <c r="S196" i="49" s="1"/>
  <c r="K224" i="49"/>
  <c r="S224" i="49" s="1"/>
  <c r="AC45" i="49"/>
  <c r="R217" i="49"/>
  <c r="S149" i="49"/>
  <c r="R110" i="49"/>
  <c r="R266" i="49"/>
  <c r="Y240" i="49"/>
  <c r="K144" i="49"/>
  <c r="S144" i="49" s="1"/>
  <c r="AG144" i="49" s="1"/>
  <c r="S162" i="49"/>
  <c r="AG162" i="49" s="1"/>
  <c r="R123" i="49"/>
  <c r="V71" i="49"/>
  <c r="Z253" i="49"/>
  <c r="K46" i="49"/>
  <c r="S46" i="49" s="1"/>
  <c r="AB80" i="49"/>
  <c r="U63" i="49"/>
  <c r="Y63" i="49" s="1"/>
  <c r="S59" i="49"/>
  <c r="V115" i="49"/>
  <c r="K104" i="49"/>
  <c r="S104" i="49" s="1"/>
  <c r="R97" i="49"/>
  <c r="K272" i="49"/>
  <c r="S272" i="49" s="1"/>
  <c r="V258" i="49"/>
  <c r="AB290" i="49"/>
  <c r="K125" i="49"/>
  <c r="S125" i="49" s="1"/>
  <c r="X184" i="49"/>
  <c r="K178" i="49"/>
  <c r="S178" i="49" s="1"/>
  <c r="X168" i="49"/>
  <c r="K124" i="49"/>
  <c r="S124" i="49" s="1"/>
  <c r="R98" i="49"/>
  <c r="K95" i="49"/>
  <c r="S95" i="49" s="1"/>
  <c r="K92" i="49"/>
  <c r="S92" i="49" s="1"/>
  <c r="Z85" i="49"/>
  <c r="X85" i="49"/>
  <c r="Z71" i="49"/>
  <c r="Y68" i="49"/>
  <c r="AG68" i="49" s="1"/>
  <c r="K123" i="49"/>
  <c r="S123" i="49" s="1"/>
  <c r="K127" i="49"/>
  <c r="S127" i="49" s="1"/>
  <c r="AA126" i="49"/>
  <c r="K132" i="49"/>
  <c r="S132" i="49" s="1"/>
  <c r="S14" i="49"/>
  <c r="AG14" i="49" s="1"/>
  <c r="R187" i="49"/>
  <c r="K193" i="49"/>
  <c r="S193" i="49" s="1"/>
  <c r="K189" i="49"/>
  <c r="S189" i="49" s="1"/>
  <c r="R189" i="49"/>
  <c r="AB29" i="49"/>
  <c r="R186" i="49"/>
  <c r="R111" i="49"/>
  <c r="K20" i="49"/>
  <c r="S20" i="49" s="1"/>
  <c r="K282" i="49"/>
  <c r="S282" i="49" s="1"/>
  <c r="K53" i="49"/>
  <c r="S53" i="49" s="1"/>
  <c r="R87" i="49"/>
  <c r="K275" i="49"/>
  <c r="S275" i="49" s="1"/>
  <c r="S261" i="49"/>
  <c r="K210" i="49"/>
  <c r="S210" i="49" s="1"/>
  <c r="R124" i="49"/>
  <c r="K216" i="49"/>
  <c r="S216" i="49" s="1"/>
  <c r="W104" i="49"/>
  <c r="K49" i="49"/>
  <c r="S49" i="49" s="1"/>
  <c r="R100" i="49"/>
  <c r="S52" i="49"/>
  <c r="S18" i="49"/>
  <c r="AE85" i="49"/>
  <c r="R130" i="49"/>
  <c r="K79" i="49"/>
  <c r="S79" i="49" s="1"/>
  <c r="R79" i="49"/>
  <c r="R214" i="49"/>
  <c r="K71" i="49"/>
  <c r="S71" i="49" s="1"/>
  <c r="V278" i="49"/>
  <c r="AG240" i="49"/>
  <c r="V290" i="49"/>
  <c r="R276" i="49"/>
  <c r="AB184" i="49"/>
  <c r="K161" i="49"/>
  <c r="S161" i="49" s="1"/>
  <c r="V126" i="49"/>
  <c r="R122" i="49"/>
  <c r="Z157" i="49"/>
  <c r="K133" i="49"/>
  <c r="S133" i="49" s="1"/>
  <c r="K122" i="49"/>
  <c r="S122" i="49" s="1"/>
  <c r="AC121" i="49"/>
  <c r="S102" i="49"/>
  <c r="AG102" i="49" s="1"/>
  <c r="K68" i="49"/>
  <c r="S68" i="49" s="1"/>
  <c r="K35" i="49"/>
  <c r="S35" i="49" s="1"/>
  <c r="R182" i="49"/>
  <c r="K100" i="49"/>
  <c r="S100" i="49" s="1"/>
  <c r="K31" i="49"/>
  <c r="S31" i="49" s="1"/>
  <c r="AD157" i="49"/>
  <c r="V121" i="49"/>
  <c r="R121" i="49"/>
  <c r="K113" i="49"/>
  <c r="S113" i="49" s="1"/>
  <c r="K110" i="49"/>
  <c r="S110" i="49" s="1"/>
  <c r="V51" i="49"/>
  <c r="AA45" i="49"/>
  <c r="AA29" i="49"/>
  <c r="S17" i="49"/>
  <c r="AC253" i="49"/>
  <c r="AB157" i="49"/>
  <c r="K19" i="49"/>
  <c r="S19" i="49" s="1"/>
  <c r="K257" i="49"/>
  <c r="S257" i="49" s="1"/>
  <c r="K217" i="49"/>
  <c r="S217" i="49" s="1"/>
  <c r="K106" i="49"/>
  <c r="S106" i="49" s="1"/>
  <c r="K90" i="49"/>
  <c r="S90" i="49" s="1"/>
  <c r="K34" i="49"/>
  <c r="S34" i="49" s="1"/>
  <c r="S150" i="49"/>
  <c r="R259" i="49"/>
  <c r="X258" i="49"/>
  <c r="U126" i="49"/>
  <c r="K126" i="49"/>
  <c r="S126" i="49" s="1"/>
  <c r="AC171" i="49"/>
  <c r="K87" i="49"/>
  <c r="S87" i="49" s="1"/>
  <c r="U85" i="49"/>
  <c r="K91" i="49"/>
  <c r="S91" i="49" s="1"/>
  <c r="U91" i="49"/>
  <c r="AB121" i="49"/>
  <c r="K105" i="49"/>
  <c r="S105" i="49" s="1"/>
  <c r="W157" i="49"/>
  <c r="S63" i="49"/>
  <c r="Z263" i="49"/>
  <c r="U274" i="49"/>
  <c r="K274" i="49"/>
  <c r="S274" i="49" s="1"/>
  <c r="K259" i="49"/>
  <c r="S259" i="49" s="1"/>
  <c r="R202" i="49"/>
  <c r="K200" i="49"/>
  <c r="S200" i="49" s="1"/>
  <c r="V184" i="49"/>
  <c r="U177" i="49"/>
  <c r="K177" i="49"/>
  <c r="S177" i="49" s="1"/>
  <c r="R175" i="49"/>
  <c r="X80" i="49"/>
  <c r="X171" i="49"/>
  <c r="R171" i="49"/>
  <c r="R109" i="49"/>
  <c r="X109" i="49"/>
  <c r="AA91" i="49"/>
  <c r="K277" i="49"/>
  <c r="S277" i="49" s="1"/>
  <c r="R264" i="49"/>
  <c r="X263" i="49"/>
  <c r="AD91" i="49"/>
  <c r="R74" i="49"/>
  <c r="AF71" i="49" s="1"/>
  <c r="X71" i="49"/>
  <c r="R208" i="49"/>
  <c r="R112" i="49"/>
  <c r="U45" i="49"/>
  <c r="K45" i="49"/>
  <c r="S45" i="49" s="1"/>
  <c r="K30" i="49"/>
  <c r="S30" i="49" s="1"/>
  <c r="R158" i="49"/>
  <c r="K73" i="49"/>
  <c r="S73" i="49" s="1"/>
  <c r="K51" i="49"/>
  <c r="S51" i="49" s="1"/>
  <c r="K273" i="49"/>
  <c r="S273" i="49" s="1"/>
  <c r="AD271" i="49"/>
  <c r="AA263" i="49"/>
  <c r="R256" i="49"/>
  <c r="K256" i="49"/>
  <c r="S256" i="49" s="1"/>
  <c r="R275" i="49"/>
  <c r="R263" i="49"/>
  <c r="Z274" i="49"/>
  <c r="K258" i="49"/>
  <c r="S258" i="49" s="1"/>
  <c r="U290" i="49"/>
  <c r="Z126" i="49"/>
  <c r="K201" i="49"/>
  <c r="S201" i="49" s="1"/>
  <c r="V177" i="49"/>
  <c r="R176" i="49"/>
  <c r="K174" i="49"/>
  <c r="S174" i="49" s="1"/>
  <c r="R172" i="49"/>
  <c r="K159" i="49"/>
  <c r="S159" i="49" s="1"/>
  <c r="R260" i="49"/>
  <c r="S243" i="49"/>
  <c r="Y243" i="49"/>
  <c r="AG243" i="49" s="1"/>
  <c r="U121" i="49"/>
  <c r="K121" i="49"/>
  <c r="S121" i="49" s="1"/>
  <c r="K97" i="49"/>
  <c r="S97" i="49" s="1"/>
  <c r="R96" i="49"/>
  <c r="R75" i="49"/>
  <c r="X75" i="49"/>
  <c r="R45" i="49"/>
  <c r="X45" i="49"/>
  <c r="R33" i="49"/>
  <c r="U24" i="49"/>
  <c r="K24" i="49"/>
  <c r="K98" i="49"/>
  <c r="S98" i="49" s="1"/>
  <c r="K96" i="49"/>
  <c r="S96" i="49" s="1"/>
  <c r="U263" i="49"/>
  <c r="K264" i="49"/>
  <c r="S264" i="49" s="1"/>
  <c r="V91" i="49"/>
  <c r="AA168" i="49"/>
  <c r="Z121" i="49"/>
  <c r="AE121" i="49"/>
  <c r="V109" i="49"/>
  <c r="W80" i="49"/>
  <c r="K36" i="49"/>
  <c r="S36" i="49" s="1"/>
  <c r="R29" i="49"/>
  <c r="Z15" i="49"/>
  <c r="AA253" i="49"/>
  <c r="K158" i="49"/>
  <c r="S158" i="49" s="1"/>
  <c r="K61" i="49"/>
  <c r="S61" i="49" s="1"/>
  <c r="Z45" i="49"/>
  <c r="K171" i="49"/>
  <c r="S171" i="49" s="1"/>
  <c r="V157" i="49"/>
  <c r="U51" i="49"/>
  <c r="X274" i="49"/>
  <c r="R274" i="49"/>
  <c r="AC184" i="49"/>
  <c r="U80" i="49"/>
  <c r="V75" i="49"/>
  <c r="K75" i="49"/>
  <c r="S75" i="49" s="1"/>
  <c r="W121" i="49"/>
  <c r="U109" i="49"/>
  <c r="K109" i="49"/>
  <c r="S109" i="49" s="1"/>
  <c r="K29" i="49"/>
  <c r="S29" i="49" s="1"/>
  <c r="U29" i="49"/>
  <c r="R160" i="49"/>
  <c r="X121" i="49"/>
  <c r="R271" i="49"/>
  <c r="X271" i="49"/>
  <c r="R125" i="49"/>
  <c r="X157" i="49"/>
  <c r="Y135" i="49"/>
  <c r="S135" i="49"/>
  <c r="AG135" i="49" s="1"/>
  <c r="Y141" i="49"/>
  <c r="S141" i="49"/>
  <c r="AG141" i="49" s="1"/>
  <c r="V29" i="49"/>
  <c r="V171" i="49"/>
  <c r="AA121" i="49"/>
  <c r="R88" i="49"/>
  <c r="S50" i="49"/>
  <c r="AG50" i="49" s="1"/>
  <c r="Y50" i="49"/>
  <c r="X253" i="49"/>
  <c r="R253" i="49"/>
  <c r="K143" i="49"/>
  <c r="U143" i="49"/>
  <c r="R127" i="49"/>
  <c r="W225" i="49"/>
  <c r="Y225" i="49" s="1"/>
  <c r="AG225" i="49" s="1"/>
  <c r="K226" i="49"/>
  <c r="S226" i="49" s="1"/>
  <c r="K281" i="49"/>
  <c r="S281" i="49" s="1"/>
  <c r="U258" i="49"/>
  <c r="AD290" i="49"/>
  <c r="R184" i="49"/>
  <c r="K170" i="49"/>
  <c r="S170" i="49" s="1"/>
  <c r="S151" i="49"/>
  <c r="AG151" i="49" s="1"/>
  <c r="Y151" i="49"/>
  <c r="K202" i="49"/>
  <c r="S202" i="49" s="1"/>
  <c r="R200" i="49"/>
  <c r="Z177" i="49"/>
  <c r="K175" i="49"/>
  <c r="S175" i="49" s="1"/>
  <c r="R173" i="49"/>
  <c r="K169" i="49"/>
  <c r="S169" i="49" s="1"/>
  <c r="U168" i="49"/>
  <c r="U271" i="49"/>
  <c r="Y115" i="49"/>
  <c r="S115" i="49"/>
  <c r="K99" i="49"/>
  <c r="S99" i="49" s="1"/>
  <c r="AC91" i="49"/>
  <c r="K89" i="49"/>
  <c r="S89" i="49" s="1"/>
  <c r="K88" i="49"/>
  <c r="S88" i="49" s="1"/>
  <c r="R179" i="49"/>
  <c r="U104" i="49"/>
  <c r="W91" i="49"/>
  <c r="S65" i="49"/>
  <c r="K128" i="49"/>
  <c r="S128" i="49" s="1"/>
  <c r="K93" i="49"/>
  <c r="S93" i="49" s="1"/>
  <c r="Z91" i="49"/>
  <c r="AB51" i="49"/>
  <c r="K208" i="49"/>
  <c r="S208" i="49" s="1"/>
  <c r="K160" i="49"/>
  <c r="S160" i="49" s="1"/>
  <c r="U145" i="49"/>
  <c r="Y145" i="49" s="1"/>
  <c r="K145" i="49"/>
  <c r="S145" i="49" s="1"/>
  <c r="X126" i="49"/>
  <c r="AD121" i="49"/>
  <c r="R113" i="49"/>
  <c r="AC109" i="49"/>
  <c r="AA109" i="49"/>
  <c r="R46" i="49"/>
  <c r="Z29" i="49"/>
  <c r="V253" i="49"/>
  <c r="K253" i="49"/>
  <c r="S253" i="49" s="1"/>
  <c r="S119" i="49"/>
  <c r="K48" i="49"/>
  <c r="S48" i="49" s="1"/>
  <c r="Y167" i="49"/>
  <c r="S167" i="49"/>
  <c r="AG167" i="49" s="1"/>
  <c r="R132" i="49"/>
  <c r="AB91" i="49"/>
  <c r="X29" i="49"/>
  <c r="U57" i="49"/>
  <c r="X91" i="49"/>
  <c r="U15" i="49"/>
  <c r="AG80" i="53" l="1"/>
  <c r="AG75" i="53"/>
  <c r="AG109" i="53"/>
  <c r="AG45" i="53"/>
  <c r="AG271" i="53"/>
  <c r="AG168" i="53"/>
  <c r="AG274" i="53"/>
  <c r="Y15" i="54"/>
  <c r="AG15" i="54" s="1"/>
  <c r="AG63" i="54"/>
  <c r="AF75" i="54"/>
  <c r="Y278" i="54"/>
  <c r="AG278" i="54" s="1"/>
  <c r="Y57" i="54"/>
  <c r="AG57" i="54" s="1"/>
  <c r="Y75" i="54"/>
  <c r="AG75" i="54" s="1"/>
  <c r="AG145" i="54"/>
  <c r="Y157" i="54"/>
  <c r="AG157" i="54" s="1"/>
  <c r="AF109" i="54"/>
  <c r="Y274" i="54"/>
  <c r="AG274" i="54" s="1"/>
  <c r="AF258" i="54"/>
  <c r="AF271" i="54"/>
  <c r="Y29" i="54"/>
  <c r="AG29" i="54" s="1"/>
  <c r="AF168" i="54"/>
  <c r="Y271" i="54"/>
  <c r="AG271" i="54" s="1"/>
  <c r="AG115" i="54"/>
  <c r="AF126" i="54"/>
  <c r="AF177" i="54"/>
  <c r="S144" i="54"/>
  <c r="AG144" i="54" s="1"/>
  <c r="Y51" i="54"/>
  <c r="AG51" i="54" s="1"/>
  <c r="Y85" i="54"/>
  <c r="AG85" i="54" s="1"/>
  <c r="Y109" i="54"/>
  <c r="AG109" i="54" s="1"/>
  <c r="AF171" i="54"/>
  <c r="Y258" i="54"/>
  <c r="AG258" i="54" s="1"/>
  <c r="Y177" i="54"/>
  <c r="AG177" i="54" s="1"/>
  <c r="AF263" i="54"/>
  <c r="Y168" i="54"/>
  <c r="AG168" i="54" s="1"/>
  <c r="Y126" i="54"/>
  <c r="AG126" i="54" s="1"/>
  <c r="AF29" i="54"/>
  <c r="AF45" i="54"/>
  <c r="AF274" i="54"/>
  <c r="AF157" i="54"/>
  <c r="Y263" i="54"/>
  <c r="AG263" i="54" s="1"/>
  <c r="AF80" i="54"/>
  <c r="Y290" i="54"/>
  <c r="AG290" i="54" s="1"/>
  <c r="Y80" i="54"/>
  <c r="AG80" i="54" s="1"/>
  <c r="Y143" i="54"/>
  <c r="S143" i="54"/>
  <c r="AG143" i="54" s="1"/>
  <c r="Y71" i="54"/>
  <c r="AG71" i="54" s="1"/>
  <c r="AF253" i="54"/>
  <c r="Y104" i="54"/>
  <c r="AG104" i="54" s="1"/>
  <c r="Y171" i="54"/>
  <c r="AG171" i="54" s="1"/>
  <c r="Y253" i="54"/>
  <c r="AG253" i="54" s="1"/>
  <c r="S243" i="54"/>
  <c r="Y243" i="54"/>
  <c r="AG243" i="54" s="1"/>
  <c r="Y91" i="54"/>
  <c r="AG91" i="54" s="1"/>
  <c r="AF121" i="54"/>
  <c r="AF85" i="54"/>
  <c r="AF91" i="54"/>
  <c r="S103" i="54"/>
  <c r="AG103" i="54" s="1"/>
  <c r="Y103" i="54"/>
  <c r="Y14" i="54"/>
  <c r="S14" i="54"/>
  <c r="AG14" i="54" s="1"/>
  <c r="AF184" i="54"/>
  <c r="Y24" i="54"/>
  <c r="S24" i="54"/>
  <c r="AG24" i="54" s="1"/>
  <c r="Y121" i="54"/>
  <c r="AG121" i="54" s="1"/>
  <c r="S184" i="54"/>
  <c r="AG184" i="54" s="1"/>
  <c r="Y184" i="54"/>
  <c r="Y45" i="54"/>
  <c r="AG45" i="54" s="1"/>
  <c r="AF85" i="53"/>
  <c r="AF91" i="53"/>
  <c r="Y143" i="53"/>
  <c r="S143" i="53"/>
  <c r="AG143" i="53" s="1"/>
  <c r="AF171" i="53"/>
  <c r="AG253" i="53"/>
  <c r="S243" i="53"/>
  <c r="Y243" i="53"/>
  <c r="AG243" i="53" s="1"/>
  <c r="Y71" i="53"/>
  <c r="AG71" i="53" s="1"/>
  <c r="AF121" i="53"/>
  <c r="AF177" i="53"/>
  <c r="AF80" i="53"/>
  <c r="Y278" i="53"/>
  <c r="AG278" i="53" s="1"/>
  <c r="Y177" i="53"/>
  <c r="AG177" i="53" s="1"/>
  <c r="Y258" i="53"/>
  <c r="AG258" i="53" s="1"/>
  <c r="Y91" i="53"/>
  <c r="AG91" i="53" s="1"/>
  <c r="S184" i="53"/>
  <c r="AG184" i="53" s="1"/>
  <c r="Y184" i="53"/>
  <c r="Y104" i="53"/>
  <c r="AG104" i="53" s="1"/>
  <c r="AG263" i="53"/>
  <c r="Y24" i="53"/>
  <c r="S24" i="53"/>
  <c r="AG24" i="53" s="1"/>
  <c r="Y121" i="53"/>
  <c r="AG121" i="53" s="1"/>
  <c r="Y157" i="53"/>
  <c r="AG157" i="53" s="1"/>
  <c r="AG29" i="53"/>
  <c r="AG126" i="53"/>
  <c r="AF184" i="53"/>
  <c r="AF258" i="53"/>
  <c r="AG171" i="53"/>
  <c r="S103" i="53"/>
  <c r="AG103" i="53" s="1"/>
  <c r="Y103" i="53"/>
  <c r="Y14" i="53"/>
  <c r="S14" i="53"/>
  <c r="AG14" i="53" s="1"/>
  <c r="Y51" i="53"/>
  <c r="AG51" i="53" s="1"/>
  <c r="Y85" i="53"/>
  <c r="AG85" i="53" s="1"/>
  <c r="AF168" i="49"/>
  <c r="Y290" i="49"/>
  <c r="AG290" i="49" s="1"/>
  <c r="AF75" i="49"/>
  <c r="Y57" i="49"/>
  <c r="AG57" i="49" s="1"/>
  <c r="AF177" i="49"/>
  <c r="AG63" i="49"/>
  <c r="Y15" i="49"/>
  <c r="AG15" i="49" s="1"/>
  <c r="Y144" i="49"/>
  <c r="Y103" i="49"/>
  <c r="AG145" i="49"/>
  <c r="AF271" i="49"/>
  <c r="Y71" i="49"/>
  <c r="AG71" i="49" s="1"/>
  <c r="Y171" i="49"/>
  <c r="AG171" i="49" s="1"/>
  <c r="AF121" i="49"/>
  <c r="Y75" i="49"/>
  <c r="AG75" i="49" s="1"/>
  <c r="AF274" i="49"/>
  <c r="Y177" i="49"/>
  <c r="AG177" i="49" s="1"/>
  <c r="Y253" i="49"/>
  <c r="AG253" i="49" s="1"/>
  <c r="AF85" i="49"/>
  <c r="AF91" i="49"/>
  <c r="AF263" i="49"/>
  <c r="AF80" i="49"/>
  <c r="Y278" i="49"/>
  <c r="AG278" i="49" s="1"/>
  <c r="AF29" i="49"/>
  <c r="AF126" i="49"/>
  <c r="Y258" i="49"/>
  <c r="AG258" i="49" s="1"/>
  <c r="Y263" i="49"/>
  <c r="AG263" i="49" s="1"/>
  <c r="Y85" i="49"/>
  <c r="AG85" i="49" s="1"/>
  <c r="AF253" i="49"/>
  <c r="Y51" i="49"/>
  <c r="AG51" i="49" s="1"/>
  <c r="AF184" i="49"/>
  <c r="Y157" i="49"/>
  <c r="AG157" i="49" s="1"/>
  <c r="AG115" i="49"/>
  <c r="AF258" i="49"/>
  <c r="Y104" i="49"/>
  <c r="AG104" i="49" s="1"/>
  <c r="Y168" i="49"/>
  <c r="AG168" i="49" s="1"/>
  <c r="AG184" i="49"/>
  <c r="Y143" i="49"/>
  <c r="S143" i="49"/>
  <c r="AG143" i="49" s="1"/>
  <c r="AF109" i="49"/>
  <c r="Y184" i="49"/>
  <c r="Y109" i="49"/>
  <c r="AG109" i="49" s="1"/>
  <c r="Y80" i="49"/>
  <c r="AG80" i="49" s="1"/>
  <c r="AF157" i="49"/>
  <c r="Y45" i="49"/>
  <c r="AG45" i="49" s="1"/>
  <c r="AF171" i="49"/>
  <c r="Y274" i="49"/>
  <c r="AG274" i="49" s="1"/>
  <c r="Y126" i="49"/>
  <c r="AG126" i="49" s="1"/>
  <c r="Y24" i="49"/>
  <c r="S24" i="49"/>
  <c r="AG24" i="49" s="1"/>
  <c r="AF45" i="49"/>
  <c r="Y271" i="49"/>
  <c r="AG271" i="49" s="1"/>
  <c r="Y29" i="49"/>
  <c r="AG29" i="49" s="1"/>
  <c r="Y121" i="49"/>
  <c r="AG121" i="49" s="1"/>
  <c r="Y91" i="49"/>
  <c r="AG91" i="49" s="1"/>
  <c r="M495" i="48" l="1"/>
  <c r="S495" i="48" s="1"/>
  <c r="T495" i="48" s="1"/>
  <c r="M494" i="48"/>
  <c r="S494" i="48" s="1"/>
  <c r="T494" i="48" s="1"/>
  <c r="M493" i="48"/>
  <c r="S493" i="48" s="1"/>
  <c r="T493" i="48" s="1"/>
  <c r="M492" i="48"/>
  <c r="S492" i="48" s="1"/>
  <c r="T492" i="48" s="1"/>
  <c r="M491" i="48"/>
  <c r="S491" i="48" s="1"/>
  <c r="T491" i="48" s="1"/>
  <c r="M490" i="48"/>
  <c r="S490" i="48" s="1"/>
  <c r="T490" i="48" s="1"/>
  <c r="M489" i="48"/>
  <c r="S489" i="48" s="1"/>
  <c r="T489" i="48" s="1"/>
  <c r="N488" i="48"/>
  <c r="M488" i="48"/>
  <c r="N487" i="48"/>
  <c r="M487" i="48"/>
  <c r="N486" i="48"/>
  <c r="M486" i="48"/>
  <c r="N485" i="48"/>
  <c r="M485" i="48"/>
  <c r="N484" i="48"/>
  <c r="M484" i="48"/>
  <c r="N483" i="48"/>
  <c r="M483" i="48"/>
  <c r="N482" i="48"/>
  <c r="M482" i="48"/>
  <c r="N481" i="48"/>
  <c r="M481" i="48"/>
  <c r="N480" i="48"/>
  <c r="M480" i="48"/>
  <c r="N479" i="48"/>
  <c r="M479" i="48"/>
  <c r="N478" i="48"/>
  <c r="M478" i="48"/>
  <c r="N477" i="48"/>
  <c r="M477" i="48"/>
  <c r="N476" i="48"/>
  <c r="M476" i="48"/>
  <c r="N475" i="48"/>
  <c r="M475" i="48"/>
  <c r="N474" i="48"/>
  <c r="M474" i="48"/>
  <c r="N473" i="48"/>
  <c r="M473" i="48"/>
  <c r="N472" i="48"/>
  <c r="M472" i="48"/>
  <c r="N471" i="48"/>
  <c r="M471" i="48"/>
  <c r="N470" i="48"/>
  <c r="M470" i="48"/>
  <c r="N469" i="48"/>
  <c r="M469" i="48"/>
  <c r="N468" i="48"/>
  <c r="M468" i="48"/>
  <c r="N467" i="48"/>
  <c r="M467" i="48"/>
  <c r="N466" i="48"/>
  <c r="M466" i="48"/>
  <c r="N465" i="48"/>
  <c r="M465" i="48"/>
  <c r="N464" i="48"/>
  <c r="M464" i="48"/>
  <c r="N463" i="48"/>
  <c r="M463" i="48"/>
  <c r="N462" i="48"/>
  <c r="M462" i="48"/>
  <c r="N461" i="48"/>
  <c r="M461" i="48"/>
  <c r="N460" i="48"/>
  <c r="M460" i="48"/>
  <c r="N459" i="48"/>
  <c r="M459" i="48"/>
  <c r="N458" i="48"/>
  <c r="M458" i="48"/>
  <c r="N457" i="48"/>
  <c r="M457" i="48"/>
  <c r="N456" i="48"/>
  <c r="M456" i="48"/>
  <c r="N455" i="48"/>
  <c r="M455" i="48"/>
  <c r="N454" i="48"/>
  <c r="M454" i="48"/>
  <c r="N453" i="48"/>
  <c r="M453" i="48"/>
  <c r="N452" i="48"/>
  <c r="M452" i="48"/>
  <c r="N451" i="48"/>
  <c r="M451" i="48"/>
  <c r="N450" i="48"/>
  <c r="M450" i="48"/>
  <c r="N449" i="48"/>
  <c r="M449" i="48"/>
  <c r="N448" i="48"/>
  <c r="M448" i="48"/>
  <c r="N447" i="48"/>
  <c r="M447" i="48"/>
  <c r="N446" i="48"/>
  <c r="M446" i="48"/>
  <c r="N445" i="48"/>
  <c r="M445" i="48"/>
  <c r="N444" i="48"/>
  <c r="M444" i="48"/>
  <c r="N443" i="48"/>
  <c r="M443" i="48"/>
  <c r="N442" i="48"/>
  <c r="M442" i="48"/>
  <c r="N441" i="48"/>
  <c r="M441" i="48"/>
  <c r="N440" i="48"/>
  <c r="M440" i="48"/>
  <c r="N439" i="48"/>
  <c r="M439" i="48"/>
  <c r="N438" i="48"/>
  <c r="M438" i="48"/>
  <c r="N437" i="48"/>
  <c r="M437" i="48"/>
  <c r="N436" i="48"/>
  <c r="M436" i="48"/>
  <c r="N435" i="48"/>
  <c r="M435" i="48"/>
  <c r="N434" i="48"/>
  <c r="M434" i="48"/>
  <c r="N433" i="48"/>
  <c r="M433" i="48"/>
  <c r="N432" i="48"/>
  <c r="M432" i="48"/>
  <c r="N431" i="48"/>
  <c r="M431" i="48"/>
  <c r="N430" i="48"/>
  <c r="M430" i="48"/>
  <c r="N429" i="48"/>
  <c r="M429" i="48"/>
  <c r="N428" i="48"/>
  <c r="M428" i="48"/>
  <c r="N427" i="48"/>
  <c r="M427" i="48"/>
  <c r="N426" i="48"/>
  <c r="M426" i="48"/>
  <c r="N425" i="48"/>
  <c r="M425" i="48"/>
  <c r="N424" i="48"/>
  <c r="M424" i="48"/>
  <c r="N423" i="48"/>
  <c r="M423" i="48"/>
  <c r="N422" i="48"/>
  <c r="M422" i="48"/>
  <c r="N421" i="48"/>
  <c r="M421" i="48"/>
  <c r="N420" i="48"/>
  <c r="M420" i="48"/>
  <c r="N419" i="48"/>
  <c r="M419" i="48"/>
  <c r="N418" i="48"/>
  <c r="M418" i="48"/>
  <c r="N417" i="48"/>
  <c r="M417" i="48"/>
  <c r="N416" i="48"/>
  <c r="M416" i="48"/>
  <c r="N415" i="48"/>
  <c r="M415" i="48"/>
  <c r="N414" i="48"/>
  <c r="M414" i="48"/>
  <c r="N413" i="48"/>
  <c r="M413" i="48"/>
  <c r="N412" i="48"/>
  <c r="M412" i="48"/>
  <c r="N411" i="48"/>
  <c r="M411" i="48"/>
  <c r="N410" i="48"/>
  <c r="M410" i="48"/>
  <c r="N409" i="48"/>
  <c r="M409" i="48"/>
  <c r="N408" i="48"/>
  <c r="M408" i="48"/>
  <c r="N407" i="48"/>
  <c r="M407" i="48"/>
  <c r="N406" i="48"/>
  <c r="M406" i="48"/>
  <c r="N405" i="48"/>
  <c r="M405" i="48"/>
  <c r="N404" i="48"/>
  <c r="M404" i="48"/>
  <c r="N403" i="48"/>
  <c r="M403" i="48"/>
  <c r="N402" i="48"/>
  <c r="M402" i="48"/>
  <c r="N401" i="48"/>
  <c r="M401" i="48"/>
  <c r="N400" i="48"/>
  <c r="M400" i="48"/>
  <c r="N399" i="48"/>
  <c r="M399" i="48"/>
  <c r="N398" i="48"/>
  <c r="M398" i="48"/>
  <c r="N397" i="48"/>
  <c r="M397" i="48"/>
  <c r="N396" i="48"/>
  <c r="M396" i="48"/>
  <c r="N395" i="48"/>
  <c r="M395" i="48"/>
  <c r="N394" i="48"/>
  <c r="M394" i="48"/>
  <c r="N393" i="48"/>
  <c r="M393" i="48"/>
  <c r="N392" i="48"/>
  <c r="M392" i="48"/>
  <c r="N391" i="48"/>
  <c r="M391" i="48"/>
  <c r="N390" i="48"/>
  <c r="M390" i="48"/>
  <c r="N389" i="48"/>
  <c r="M389" i="48"/>
  <c r="N388" i="48"/>
  <c r="M388" i="48"/>
  <c r="N387" i="48"/>
  <c r="M387" i="48"/>
  <c r="N386" i="48"/>
  <c r="M386" i="48"/>
  <c r="N385" i="48"/>
  <c r="M385" i="48"/>
  <c r="N384" i="48"/>
  <c r="M384" i="48"/>
  <c r="N383" i="48"/>
  <c r="M383" i="48"/>
  <c r="N382" i="48"/>
  <c r="M382" i="48"/>
  <c r="N381" i="48"/>
  <c r="M381" i="48"/>
  <c r="N380" i="48"/>
  <c r="M380" i="48"/>
  <c r="N379" i="48"/>
  <c r="M379" i="48"/>
  <c r="N378" i="48"/>
  <c r="M378" i="48"/>
  <c r="N377" i="48"/>
  <c r="M377" i="48"/>
  <c r="N376" i="48"/>
  <c r="M376" i="48"/>
  <c r="N375" i="48"/>
  <c r="M375" i="48"/>
  <c r="N374" i="48"/>
  <c r="M374" i="48"/>
  <c r="N373" i="48"/>
  <c r="M373" i="48"/>
  <c r="N372" i="48"/>
  <c r="M372" i="48"/>
  <c r="N371" i="48"/>
  <c r="M371" i="48"/>
  <c r="N370" i="48"/>
  <c r="M370" i="48"/>
  <c r="N369" i="48"/>
  <c r="M369" i="48"/>
  <c r="N368" i="48"/>
  <c r="M368" i="48"/>
  <c r="N367" i="48"/>
  <c r="M367" i="48"/>
  <c r="N366" i="48"/>
  <c r="M366" i="48"/>
  <c r="N365" i="48"/>
  <c r="M365" i="48"/>
  <c r="N364" i="48"/>
  <c r="M364" i="48"/>
  <c r="N363" i="48"/>
  <c r="M363" i="48"/>
  <c r="N362" i="48"/>
  <c r="M362" i="48"/>
  <c r="N361" i="48"/>
  <c r="M361" i="48"/>
  <c r="N360" i="48"/>
  <c r="M360" i="48"/>
  <c r="N359" i="48"/>
  <c r="M359" i="48"/>
  <c r="N358" i="48"/>
  <c r="M358" i="48"/>
  <c r="N357" i="48"/>
  <c r="M357" i="48"/>
  <c r="N356" i="48"/>
  <c r="M356" i="48"/>
  <c r="N355" i="48"/>
  <c r="M355" i="48"/>
  <c r="N354" i="48"/>
  <c r="M354" i="48"/>
  <c r="N353" i="48"/>
  <c r="M353" i="48"/>
  <c r="N352" i="48"/>
  <c r="M352" i="48"/>
  <c r="N351" i="48"/>
  <c r="M351" i="48"/>
  <c r="N350" i="48"/>
  <c r="M350" i="48"/>
  <c r="N349" i="48"/>
  <c r="M349" i="48"/>
  <c r="N348" i="48"/>
  <c r="M348" i="48"/>
  <c r="N347" i="48"/>
  <c r="M347" i="48"/>
  <c r="N346" i="48"/>
  <c r="M346" i="48"/>
  <c r="N345" i="48"/>
  <c r="M345" i="48"/>
  <c r="N344" i="48"/>
  <c r="M344" i="48"/>
  <c r="N343" i="48"/>
  <c r="M343" i="48"/>
  <c r="N342" i="48"/>
  <c r="M342" i="48"/>
  <c r="N341" i="48"/>
  <c r="M341" i="48"/>
  <c r="N340" i="48"/>
  <c r="M340" i="48"/>
  <c r="N339" i="48"/>
  <c r="M339" i="48"/>
  <c r="N338" i="48"/>
  <c r="M338" i="48"/>
  <c r="N337" i="48"/>
  <c r="M337" i="48"/>
  <c r="N336" i="48"/>
  <c r="M336" i="48"/>
  <c r="N335" i="48"/>
  <c r="M335" i="48"/>
  <c r="N334" i="48"/>
  <c r="M334" i="48"/>
  <c r="N333" i="48"/>
  <c r="M333" i="48"/>
  <c r="N332" i="48"/>
  <c r="M332" i="48"/>
  <c r="N331" i="48"/>
  <c r="M331" i="48"/>
  <c r="N330" i="48"/>
  <c r="M330" i="48"/>
  <c r="N329" i="48"/>
  <c r="M329" i="48"/>
  <c r="N328" i="48"/>
  <c r="M328" i="48"/>
  <c r="N327" i="48"/>
  <c r="M327" i="48"/>
  <c r="N326" i="48"/>
  <c r="M326" i="48"/>
  <c r="N325" i="48"/>
  <c r="M325" i="48"/>
  <c r="N324" i="48"/>
  <c r="M324" i="48"/>
  <c r="N323" i="48"/>
  <c r="M323" i="48"/>
  <c r="S322" i="48"/>
  <c r="T322" i="48" s="1"/>
  <c r="S321" i="48"/>
  <c r="T321" i="48" s="1"/>
  <c r="S320" i="48"/>
  <c r="T320" i="48" s="1"/>
  <c r="N319" i="48"/>
  <c r="M319" i="48"/>
  <c r="N318" i="48"/>
  <c r="M318" i="48"/>
  <c r="N317" i="48"/>
  <c r="M317" i="48"/>
  <c r="N316" i="48"/>
  <c r="M316" i="48"/>
  <c r="N315" i="48"/>
  <c r="M315" i="48"/>
  <c r="N314" i="48"/>
  <c r="M314" i="48"/>
  <c r="N313" i="48"/>
  <c r="M313" i="48"/>
  <c r="N312" i="48"/>
  <c r="M312" i="48"/>
  <c r="N311" i="48"/>
  <c r="M311" i="48"/>
  <c r="N310" i="48"/>
  <c r="M310" i="48"/>
  <c r="N309" i="48"/>
  <c r="M309" i="48"/>
  <c r="N308" i="48"/>
  <c r="M308" i="48"/>
  <c r="N307" i="48"/>
  <c r="M307" i="48"/>
  <c r="N306" i="48"/>
  <c r="M306" i="48"/>
  <c r="N305" i="48"/>
  <c r="M305" i="48"/>
  <c r="S304" i="48"/>
  <c r="T304" i="48" s="1"/>
  <c r="S303" i="48"/>
  <c r="T303" i="48" s="1"/>
  <c r="S302" i="48"/>
  <c r="T302" i="48" s="1"/>
  <c r="S301" i="48"/>
  <c r="T301" i="48" s="1"/>
  <c r="S300" i="48"/>
  <c r="T300" i="48" s="1"/>
  <c r="S299" i="48"/>
  <c r="T299" i="48" s="1"/>
  <c r="S298" i="48"/>
  <c r="T298" i="48" s="1"/>
  <c r="S293" i="48"/>
  <c r="R293" i="48"/>
  <c r="K293" i="48"/>
  <c r="F293" i="48"/>
  <c r="S292" i="48"/>
  <c r="R292" i="48"/>
  <c r="K292" i="48"/>
  <c r="F292" i="48"/>
  <c r="P292" i="48" s="1"/>
  <c r="S291" i="48"/>
  <c r="R291" i="48"/>
  <c r="K291" i="48"/>
  <c r="F291" i="48"/>
  <c r="H291" i="48" s="1"/>
  <c r="Z290" i="48"/>
  <c r="W290" i="48"/>
  <c r="S290" i="48"/>
  <c r="R290" i="48"/>
  <c r="AF290" i="48" s="1"/>
  <c r="K290" i="48"/>
  <c r="F290" i="48"/>
  <c r="N290" i="48" s="1"/>
  <c r="K289" i="48"/>
  <c r="S289" i="48" s="1"/>
  <c r="K288" i="48"/>
  <c r="S288" i="48" s="1"/>
  <c r="K287" i="48"/>
  <c r="S287" i="48" s="1"/>
  <c r="K286" i="48"/>
  <c r="S286" i="48" s="1"/>
  <c r="K285" i="48"/>
  <c r="S285" i="48" s="1"/>
  <c r="K284" i="48"/>
  <c r="S284" i="48" s="1"/>
  <c r="AD283" i="48"/>
  <c r="AB283" i="48"/>
  <c r="W283" i="48"/>
  <c r="V283" i="48"/>
  <c r="U283" i="48"/>
  <c r="K283" i="48"/>
  <c r="S283" i="48" s="1"/>
  <c r="R282" i="48"/>
  <c r="F282" i="48"/>
  <c r="G282" i="48" s="1"/>
  <c r="R281" i="48"/>
  <c r="F281" i="48"/>
  <c r="G281" i="48" s="1"/>
  <c r="R280" i="48"/>
  <c r="F280" i="48"/>
  <c r="R279" i="48"/>
  <c r="F279" i="48"/>
  <c r="N279" i="48" s="1"/>
  <c r="AE278" i="48"/>
  <c r="AD278" i="48"/>
  <c r="AC278" i="48"/>
  <c r="AA278" i="48"/>
  <c r="Z278" i="48"/>
  <c r="X278" i="48"/>
  <c r="W278" i="48"/>
  <c r="R278" i="48"/>
  <c r="F278" i="48"/>
  <c r="N278" i="48" s="1"/>
  <c r="F277" i="48"/>
  <c r="H277" i="48" s="1"/>
  <c r="F276" i="48"/>
  <c r="F275" i="48"/>
  <c r="M275" i="48" s="1"/>
  <c r="AE274" i="48"/>
  <c r="AD274" i="48"/>
  <c r="AC274" i="48"/>
  <c r="AB274" i="48"/>
  <c r="W274" i="48"/>
  <c r="F274" i="48"/>
  <c r="H274" i="48" s="1"/>
  <c r="F273" i="48"/>
  <c r="F272" i="48"/>
  <c r="AE271" i="48"/>
  <c r="AA271" i="48"/>
  <c r="V271" i="48"/>
  <c r="L271" i="48"/>
  <c r="Z271" i="48" s="1"/>
  <c r="F271" i="48"/>
  <c r="N271" i="48" s="1"/>
  <c r="R270" i="48"/>
  <c r="K270" i="48"/>
  <c r="S270" i="48" s="1"/>
  <c r="R269" i="48"/>
  <c r="K269" i="48"/>
  <c r="F269" i="48"/>
  <c r="N269" i="48" s="1"/>
  <c r="AB269" i="48" s="1"/>
  <c r="R268" i="48"/>
  <c r="K268" i="48"/>
  <c r="S268" i="48" s="1"/>
  <c r="F268" i="48"/>
  <c r="F267" i="48"/>
  <c r="F266" i="48"/>
  <c r="L266" i="48" s="1"/>
  <c r="F265" i="48"/>
  <c r="L265" i="48" s="1"/>
  <c r="F264" i="48"/>
  <c r="AE263" i="48"/>
  <c r="AD263" i="48"/>
  <c r="AC263" i="48"/>
  <c r="AB263" i="48"/>
  <c r="W263" i="48"/>
  <c r="F263" i="48"/>
  <c r="L263" i="48" s="1"/>
  <c r="F262" i="48"/>
  <c r="L262" i="48" s="1"/>
  <c r="G261" i="48"/>
  <c r="F261" i="48"/>
  <c r="F260" i="48"/>
  <c r="F259" i="48"/>
  <c r="AE258" i="48"/>
  <c r="AD258" i="48"/>
  <c r="AC258" i="48"/>
  <c r="AB258" i="48"/>
  <c r="I258" i="48"/>
  <c r="W258" i="48" s="1"/>
  <c r="F258" i="48"/>
  <c r="J258" i="48" s="1"/>
  <c r="F257" i="48"/>
  <c r="L257" i="48" s="1"/>
  <c r="F256" i="48"/>
  <c r="F255" i="48"/>
  <c r="L255" i="48" s="1"/>
  <c r="F254" i="48"/>
  <c r="N254" i="48" s="1"/>
  <c r="AE253" i="48"/>
  <c r="AD253" i="48"/>
  <c r="W253" i="48"/>
  <c r="U253" i="48"/>
  <c r="F253" i="48"/>
  <c r="R252" i="48"/>
  <c r="F252" i="48"/>
  <c r="H252" i="48" s="1"/>
  <c r="K252" i="48" s="1"/>
  <c r="S252" i="48" s="1"/>
  <c r="R251" i="48"/>
  <c r="F251" i="48"/>
  <c r="H251" i="48" s="1"/>
  <c r="K251" i="48" s="1"/>
  <c r="S251" i="48" s="1"/>
  <c r="R250" i="48"/>
  <c r="F250" i="48"/>
  <c r="H250" i="48" s="1"/>
  <c r="K250" i="48" s="1"/>
  <c r="S250" i="48" s="1"/>
  <c r="R249" i="48"/>
  <c r="F249" i="48"/>
  <c r="H249" i="48" s="1"/>
  <c r="K249" i="48" s="1"/>
  <c r="S249" i="48" s="1"/>
  <c r="R248" i="48"/>
  <c r="F248" i="48"/>
  <c r="H248" i="48" s="1"/>
  <c r="K248" i="48" s="1"/>
  <c r="S248" i="48" s="1"/>
  <c r="R247" i="48"/>
  <c r="F247" i="48"/>
  <c r="H247" i="48" s="1"/>
  <c r="K247" i="48" s="1"/>
  <c r="S247" i="48" s="1"/>
  <c r="R246" i="48"/>
  <c r="F246" i="48"/>
  <c r="H246" i="48" s="1"/>
  <c r="K246" i="48" s="1"/>
  <c r="S246" i="48" s="1"/>
  <c r="AE245" i="48"/>
  <c r="AD245" i="48"/>
  <c r="AC245" i="48"/>
  <c r="AB245" i="48"/>
  <c r="AA245" i="48"/>
  <c r="Z245" i="48"/>
  <c r="X245" i="48"/>
  <c r="W245" i="48"/>
  <c r="U245" i="48"/>
  <c r="R245" i="48"/>
  <c r="F245" i="48"/>
  <c r="H245" i="48" s="1"/>
  <c r="R244" i="48"/>
  <c r="N244" i="48"/>
  <c r="L244" i="48"/>
  <c r="I244" i="48"/>
  <c r="H244" i="48"/>
  <c r="G244" i="48"/>
  <c r="U244" i="48" s="1"/>
  <c r="AD243" i="48"/>
  <c r="AB243" i="48"/>
  <c r="W243" i="48"/>
  <c r="U243" i="48"/>
  <c r="R243" i="48"/>
  <c r="AF243" i="48" s="1"/>
  <c r="F243" i="48"/>
  <c r="L243" i="48" s="1"/>
  <c r="Z243" i="48" s="1"/>
  <c r="R242" i="48"/>
  <c r="L242" i="48"/>
  <c r="G242" i="48"/>
  <c r="K242" i="48" s="1"/>
  <c r="R241" i="48"/>
  <c r="L241" i="48"/>
  <c r="G241" i="48"/>
  <c r="K241" i="48" s="1"/>
  <c r="R240" i="48"/>
  <c r="L240" i="48"/>
  <c r="G240" i="48"/>
  <c r="K240" i="48" s="1"/>
  <c r="Z239" i="48"/>
  <c r="U239" i="48"/>
  <c r="R239" i="48"/>
  <c r="AF239" i="48" s="1"/>
  <c r="P239" i="48"/>
  <c r="AD239" i="48" s="1"/>
  <c r="N239" i="48"/>
  <c r="AB239" i="48" s="1"/>
  <c r="I239" i="48"/>
  <c r="W239" i="48" s="1"/>
  <c r="H239" i="48"/>
  <c r="V239" i="48" s="1"/>
  <c r="R238" i="48"/>
  <c r="K238" i="48"/>
  <c r="S238" i="48" s="1"/>
  <c r="R237" i="48"/>
  <c r="K237" i="48"/>
  <c r="S237" i="48" s="1"/>
  <c r="R236" i="48"/>
  <c r="K236" i="48"/>
  <c r="S236" i="48" s="1"/>
  <c r="R235" i="48"/>
  <c r="K235" i="48"/>
  <c r="S235" i="48" s="1"/>
  <c r="F235" i="48"/>
  <c r="R234" i="48"/>
  <c r="K234" i="48"/>
  <c r="S234" i="48" s="1"/>
  <c r="F234" i="48"/>
  <c r="R233" i="48"/>
  <c r="K233" i="48"/>
  <c r="S233" i="48" s="1"/>
  <c r="F233" i="48"/>
  <c r="R232" i="48"/>
  <c r="K232" i="48"/>
  <c r="S232" i="48" s="1"/>
  <c r="F232" i="48"/>
  <c r="R231" i="48"/>
  <c r="K231" i="48"/>
  <c r="S231" i="48" s="1"/>
  <c r="F231" i="48"/>
  <c r="R230" i="48"/>
  <c r="K230" i="48"/>
  <c r="S230" i="48" s="1"/>
  <c r="F230" i="48"/>
  <c r="R229" i="48"/>
  <c r="K229" i="48"/>
  <c r="S229" i="48" s="1"/>
  <c r="F229" i="48"/>
  <c r="R228" i="48"/>
  <c r="K228" i="48"/>
  <c r="S228" i="48" s="1"/>
  <c r="F228" i="48"/>
  <c r="K227" i="48"/>
  <c r="S227" i="48" s="1"/>
  <c r="F227" i="48"/>
  <c r="R226" i="48"/>
  <c r="AF225" i="48" s="1"/>
  <c r="N226" i="48"/>
  <c r="AB225" i="48" s="1"/>
  <c r="G226" i="48"/>
  <c r="U225" i="48" s="1"/>
  <c r="F226" i="48"/>
  <c r="H226" i="48" s="1"/>
  <c r="V225" i="48" s="1"/>
  <c r="AE225" i="48"/>
  <c r="AC225" i="48"/>
  <c r="AA225" i="48"/>
  <c r="X225" i="48"/>
  <c r="R225" i="48"/>
  <c r="F225" i="48"/>
  <c r="H225" i="48" s="1"/>
  <c r="K225" i="48" s="1"/>
  <c r="F224" i="48"/>
  <c r="N224" i="48" s="1"/>
  <c r="F223" i="48"/>
  <c r="F222" i="48"/>
  <c r="N222" i="48" s="1"/>
  <c r="F221" i="48"/>
  <c r="F220" i="48"/>
  <c r="F219" i="48"/>
  <c r="J219" i="48" s="1"/>
  <c r="F218" i="48"/>
  <c r="F217" i="48"/>
  <c r="J217" i="48" s="1"/>
  <c r="F216" i="48"/>
  <c r="N216" i="48" s="1"/>
  <c r="F215" i="48"/>
  <c r="F214" i="48"/>
  <c r="N214" i="48" s="1"/>
  <c r="F213" i="48"/>
  <c r="F212" i="48"/>
  <c r="F211" i="48"/>
  <c r="F210" i="48"/>
  <c r="J210" i="48" s="1"/>
  <c r="F209" i="48"/>
  <c r="F208" i="48"/>
  <c r="O208" i="48" s="1"/>
  <c r="F207" i="48"/>
  <c r="F206" i="48"/>
  <c r="F205" i="48"/>
  <c r="F204" i="48"/>
  <c r="J204" i="48" s="1"/>
  <c r="F203" i="48"/>
  <c r="F202" i="48"/>
  <c r="F201" i="48"/>
  <c r="F200" i="48"/>
  <c r="N200" i="48" s="1"/>
  <c r="F199" i="48"/>
  <c r="F198" i="48"/>
  <c r="F197" i="48"/>
  <c r="F196" i="48"/>
  <c r="J196" i="48" s="1"/>
  <c r="F195" i="48"/>
  <c r="F194" i="48"/>
  <c r="J194" i="48" s="1"/>
  <c r="F193" i="48"/>
  <c r="J193" i="48" s="1"/>
  <c r="F192" i="48"/>
  <c r="N192" i="48" s="1"/>
  <c r="F191" i="48"/>
  <c r="J191" i="48" s="1"/>
  <c r="F190" i="48"/>
  <c r="N190" i="48" s="1"/>
  <c r="F189" i="48"/>
  <c r="J189" i="48" s="1"/>
  <c r="F188" i="48"/>
  <c r="N188" i="48" s="1"/>
  <c r="F187" i="48"/>
  <c r="F186" i="48"/>
  <c r="N186" i="48" s="1"/>
  <c r="F185" i="48"/>
  <c r="AE184" i="48"/>
  <c r="AD184" i="48"/>
  <c r="AA184" i="48"/>
  <c r="Z184" i="48"/>
  <c r="W184" i="48"/>
  <c r="U184" i="48"/>
  <c r="F184" i="48"/>
  <c r="F183" i="48"/>
  <c r="J183" i="48" s="1"/>
  <c r="R183" i="48" s="1"/>
  <c r="F182" i="48"/>
  <c r="F181" i="48"/>
  <c r="I181" i="48" s="1"/>
  <c r="F180" i="48"/>
  <c r="J180" i="48" s="1"/>
  <c r="R180" i="48" s="1"/>
  <c r="F179" i="48"/>
  <c r="M179" i="48" s="1"/>
  <c r="F178" i="48"/>
  <c r="J178" i="48" s="1"/>
  <c r="R178" i="48" s="1"/>
  <c r="AE177" i="48"/>
  <c r="AC177" i="48"/>
  <c r="AB177" i="48"/>
  <c r="M177" i="48"/>
  <c r="F177" i="48"/>
  <c r="J177" i="48" s="1"/>
  <c r="F176" i="48"/>
  <c r="F175" i="48"/>
  <c r="N175" i="48" s="1"/>
  <c r="F174" i="48"/>
  <c r="O174" i="48" s="1"/>
  <c r="F173" i="48"/>
  <c r="O173" i="48" s="1"/>
  <c r="F172" i="48"/>
  <c r="O172" i="48" s="1"/>
  <c r="AE171" i="48"/>
  <c r="AD171" i="48"/>
  <c r="AA171" i="48"/>
  <c r="Z171" i="48"/>
  <c r="W171" i="48"/>
  <c r="U171" i="48"/>
  <c r="F171" i="48"/>
  <c r="N171" i="48" s="1"/>
  <c r="F170" i="48"/>
  <c r="J170" i="48" s="1"/>
  <c r="F169" i="48"/>
  <c r="J169" i="48" s="1"/>
  <c r="AE168" i="48"/>
  <c r="AD168" i="48"/>
  <c r="AC168" i="48"/>
  <c r="N168" i="48"/>
  <c r="AB168" i="48" s="1"/>
  <c r="F168" i="48"/>
  <c r="L168" i="48" s="1"/>
  <c r="R167" i="48"/>
  <c r="AF167" i="48" s="1"/>
  <c r="N167" i="48"/>
  <c r="AB167" i="48" s="1"/>
  <c r="H167" i="48"/>
  <c r="V167" i="48" s="1"/>
  <c r="G167" i="48"/>
  <c r="R166" i="48"/>
  <c r="N166" i="48"/>
  <c r="H166" i="48"/>
  <c r="G166" i="48"/>
  <c r="R165" i="48"/>
  <c r="N165" i="48"/>
  <c r="H165" i="48"/>
  <c r="V162" i="48" s="1"/>
  <c r="G165" i="48"/>
  <c r="R164" i="48"/>
  <c r="N164" i="48"/>
  <c r="G164" i="48"/>
  <c r="K164" i="48" s="1"/>
  <c r="R163" i="48"/>
  <c r="N163" i="48"/>
  <c r="G163" i="48"/>
  <c r="K163" i="48" s="1"/>
  <c r="AD162" i="48"/>
  <c r="Z162" i="48"/>
  <c r="R162" i="48"/>
  <c r="N162" i="48"/>
  <c r="I162" i="48"/>
  <c r="W162" i="48" s="1"/>
  <c r="G162" i="48"/>
  <c r="F161" i="48"/>
  <c r="J161" i="48" s="1"/>
  <c r="F160" i="48"/>
  <c r="L160" i="48" s="1"/>
  <c r="F159" i="48"/>
  <c r="P159" i="48" s="1"/>
  <c r="F158" i="48"/>
  <c r="P158" i="48" s="1"/>
  <c r="AC157" i="48"/>
  <c r="AA157" i="48"/>
  <c r="F157" i="48"/>
  <c r="L157" i="48" s="1"/>
  <c r="R156" i="48"/>
  <c r="K156" i="48"/>
  <c r="S156" i="48" s="1"/>
  <c r="F156" i="48"/>
  <c r="R155" i="48"/>
  <c r="L155" i="48"/>
  <c r="H155" i="48"/>
  <c r="G155" i="48"/>
  <c r="R154" i="48"/>
  <c r="L154" i="48"/>
  <c r="H154" i="48"/>
  <c r="G154" i="48"/>
  <c r="R153" i="48"/>
  <c r="L153" i="48"/>
  <c r="H153" i="48"/>
  <c r="G153" i="48"/>
  <c r="R152" i="48"/>
  <c r="L152" i="48"/>
  <c r="H152" i="48"/>
  <c r="G152" i="48"/>
  <c r="AD151" i="48"/>
  <c r="AB151" i="48"/>
  <c r="W151" i="48"/>
  <c r="R151" i="48"/>
  <c r="L151" i="48"/>
  <c r="H151" i="48"/>
  <c r="G151" i="48"/>
  <c r="R150" i="48"/>
  <c r="F150" i="48"/>
  <c r="R149" i="48"/>
  <c r="F149" i="48"/>
  <c r="N149" i="48" s="1"/>
  <c r="R148" i="48"/>
  <c r="F148" i="48"/>
  <c r="G148" i="48" s="1"/>
  <c r="K148" i="48" s="1"/>
  <c r="S148" i="48" s="1"/>
  <c r="R147" i="48"/>
  <c r="F147" i="48"/>
  <c r="R146" i="48"/>
  <c r="F146" i="48"/>
  <c r="G146" i="48" s="1"/>
  <c r="K146" i="48" s="1"/>
  <c r="S146" i="48" s="1"/>
  <c r="AE145" i="48"/>
  <c r="AD145" i="48"/>
  <c r="AC145" i="48"/>
  <c r="AA145" i="48"/>
  <c r="Z145" i="48"/>
  <c r="X145" i="48"/>
  <c r="W145" i="48"/>
  <c r="V145" i="48"/>
  <c r="R145" i="48"/>
  <c r="F145" i="48"/>
  <c r="R144" i="48"/>
  <c r="F144" i="48"/>
  <c r="L144" i="48" s="1"/>
  <c r="Z144" i="48" s="1"/>
  <c r="AE143" i="48"/>
  <c r="AD143" i="48"/>
  <c r="AC143" i="48"/>
  <c r="AB143" i="48"/>
  <c r="AA143" i="48"/>
  <c r="Z143" i="48"/>
  <c r="X143" i="48"/>
  <c r="W143" i="48"/>
  <c r="R143" i="48"/>
  <c r="AF143" i="48" s="1"/>
  <c r="F143" i="48"/>
  <c r="R142" i="48"/>
  <c r="H142" i="48"/>
  <c r="V142" i="48" s="1"/>
  <c r="G142" i="48"/>
  <c r="U142" i="48" s="1"/>
  <c r="R141" i="48"/>
  <c r="G141" i="48"/>
  <c r="F141" i="48"/>
  <c r="H141" i="48" s="1"/>
  <c r="V141" i="48" s="1"/>
  <c r="R140" i="48"/>
  <c r="K140" i="48"/>
  <c r="S140" i="48" s="1"/>
  <c r="R139" i="48"/>
  <c r="L139" i="48"/>
  <c r="H139" i="48"/>
  <c r="G139" i="48"/>
  <c r="R138" i="48"/>
  <c r="L138" i="48"/>
  <c r="H138" i="48"/>
  <c r="G138" i="48"/>
  <c r="R137" i="48"/>
  <c r="L137" i="48"/>
  <c r="H137" i="48"/>
  <c r="G137" i="48"/>
  <c r="R136" i="48"/>
  <c r="L136" i="48"/>
  <c r="H136" i="48"/>
  <c r="G136" i="48"/>
  <c r="AD135" i="48"/>
  <c r="AB135" i="48"/>
  <c r="W135" i="48"/>
  <c r="R135" i="48"/>
  <c r="L135" i="48"/>
  <c r="H135" i="48"/>
  <c r="G135" i="48"/>
  <c r="R134" i="48"/>
  <c r="AF134" i="48" s="1"/>
  <c r="P134" i="48"/>
  <c r="AD134" i="48" s="1"/>
  <c r="L134" i="48"/>
  <c r="Z134" i="48" s="1"/>
  <c r="I134" i="48"/>
  <c r="W134" i="48" s="1"/>
  <c r="F134" i="48"/>
  <c r="G134" i="48" s="1"/>
  <c r="U134" i="48" s="1"/>
  <c r="F133" i="48"/>
  <c r="L133" i="48" s="1"/>
  <c r="F132" i="48"/>
  <c r="L132" i="48" s="1"/>
  <c r="F131" i="48"/>
  <c r="H131" i="48" s="1"/>
  <c r="F130" i="48"/>
  <c r="F129" i="48"/>
  <c r="L129" i="48" s="1"/>
  <c r="F128" i="48"/>
  <c r="F127" i="48"/>
  <c r="J127" i="48" s="1"/>
  <c r="AE126" i="48"/>
  <c r="AD126" i="48"/>
  <c r="AC126" i="48"/>
  <c r="AB126" i="48"/>
  <c r="I126" i="48"/>
  <c r="W126" i="48" s="1"/>
  <c r="F126" i="48"/>
  <c r="M126" i="48" s="1"/>
  <c r="F125" i="48"/>
  <c r="L125" i="48" s="1"/>
  <c r="F124" i="48"/>
  <c r="F123" i="48"/>
  <c r="M123" i="48" s="1"/>
  <c r="F122" i="48"/>
  <c r="G122" i="48" s="1"/>
  <c r="F121" i="48"/>
  <c r="R120" i="48"/>
  <c r="AF120" i="48" s="1"/>
  <c r="F120" i="48"/>
  <c r="H120" i="48" s="1"/>
  <c r="R119" i="48"/>
  <c r="G119" i="48"/>
  <c r="F119" i="48"/>
  <c r="H119" i="48" s="1"/>
  <c r="R118" i="48"/>
  <c r="G118" i="48"/>
  <c r="F118" i="48"/>
  <c r="H118" i="48" s="1"/>
  <c r="R117" i="48"/>
  <c r="G117" i="48"/>
  <c r="F117" i="48"/>
  <c r="L117" i="48" s="1"/>
  <c r="R116" i="48"/>
  <c r="G116" i="48"/>
  <c r="F116" i="48"/>
  <c r="AD115" i="48"/>
  <c r="AB115" i="48"/>
  <c r="W115" i="48"/>
  <c r="R115" i="48"/>
  <c r="G115" i="48"/>
  <c r="F115" i="48"/>
  <c r="R114" i="48"/>
  <c r="K114" i="48"/>
  <c r="S114" i="48" s="1"/>
  <c r="F114" i="48"/>
  <c r="F113" i="48"/>
  <c r="L113" i="48" s="1"/>
  <c r="F112" i="48"/>
  <c r="F111" i="48"/>
  <c r="N111" i="48" s="1"/>
  <c r="F110" i="48"/>
  <c r="O110" i="48" s="1"/>
  <c r="W109" i="48"/>
  <c r="Q109" i="48"/>
  <c r="F109" i="48"/>
  <c r="M109" i="48" s="1"/>
  <c r="R108" i="48"/>
  <c r="F108" i="48"/>
  <c r="I108" i="48" s="1"/>
  <c r="R107" i="48"/>
  <c r="F107" i="48"/>
  <c r="I107" i="48" s="1"/>
  <c r="R106" i="48"/>
  <c r="F106" i="48"/>
  <c r="L106" i="48" s="1"/>
  <c r="R105" i="48"/>
  <c r="F105" i="48"/>
  <c r="P105" i="48" s="1"/>
  <c r="AB104" i="48"/>
  <c r="R104" i="48"/>
  <c r="F104" i="48"/>
  <c r="H104" i="48" s="1"/>
  <c r="AE103" i="48"/>
  <c r="AD103" i="48"/>
  <c r="AC103" i="48"/>
  <c r="AA103" i="48"/>
  <c r="W103" i="48"/>
  <c r="L103" i="48"/>
  <c r="Z103" i="48" s="1"/>
  <c r="F103" i="48"/>
  <c r="G103" i="48" s="1"/>
  <c r="R102" i="48"/>
  <c r="AF102" i="48" s="1"/>
  <c r="H102" i="48"/>
  <c r="G102" i="48"/>
  <c r="U102" i="48" s="1"/>
  <c r="F101" i="48"/>
  <c r="F100" i="48"/>
  <c r="J100" i="48" s="1"/>
  <c r="F99" i="48"/>
  <c r="N99" i="48" s="1"/>
  <c r="F98" i="48"/>
  <c r="F97" i="48"/>
  <c r="M97" i="48" s="1"/>
  <c r="F96" i="48"/>
  <c r="P96" i="48" s="1"/>
  <c r="F95" i="48"/>
  <c r="P95" i="48" s="1"/>
  <c r="F94" i="48"/>
  <c r="J94" i="48" s="1"/>
  <c r="F93" i="48"/>
  <c r="P93" i="48" s="1"/>
  <c r="F92" i="48"/>
  <c r="N92" i="48" s="1"/>
  <c r="AE91" i="48"/>
  <c r="F91" i="48"/>
  <c r="L91" i="48" s="1"/>
  <c r="F90" i="48"/>
  <c r="Q90" i="48" s="1"/>
  <c r="F89" i="48"/>
  <c r="M89" i="48" s="1"/>
  <c r="F88" i="48"/>
  <c r="J88" i="48" s="1"/>
  <c r="F87" i="48"/>
  <c r="J87" i="48" s="1"/>
  <c r="F86" i="48"/>
  <c r="Q86" i="48" s="1"/>
  <c r="AC85" i="48"/>
  <c r="AB85" i="48"/>
  <c r="W85" i="48"/>
  <c r="F85" i="48"/>
  <c r="Q85" i="48" s="1"/>
  <c r="F84" i="48"/>
  <c r="J84" i="48" s="1"/>
  <c r="F83" i="48"/>
  <c r="J83" i="48" s="1"/>
  <c r="F82" i="48"/>
  <c r="J82" i="48" s="1"/>
  <c r="F81" i="48"/>
  <c r="O81" i="48" s="1"/>
  <c r="AE80" i="48"/>
  <c r="AD80" i="48"/>
  <c r="Z80" i="48"/>
  <c r="F80" i="48"/>
  <c r="O80" i="48" s="1"/>
  <c r="F79" i="48"/>
  <c r="N79" i="48" s="1"/>
  <c r="F78" i="48"/>
  <c r="N78" i="48" s="1"/>
  <c r="F77" i="48"/>
  <c r="N77" i="48" s="1"/>
  <c r="F76" i="48"/>
  <c r="N76" i="48" s="1"/>
  <c r="AE75" i="48"/>
  <c r="AD75" i="48"/>
  <c r="AA75" i="48"/>
  <c r="Z75" i="48"/>
  <c r="W75" i="48"/>
  <c r="U75" i="48"/>
  <c r="F75" i="48"/>
  <c r="F74" i="48"/>
  <c r="L74" i="48" s="1"/>
  <c r="F73" i="48"/>
  <c r="J73" i="48" s="1"/>
  <c r="R73" i="48" s="1"/>
  <c r="P72" i="48"/>
  <c r="I72" i="48"/>
  <c r="W71" i="48" s="1"/>
  <c r="F72" i="48"/>
  <c r="J72" i="48" s="1"/>
  <c r="R72" i="48" s="1"/>
  <c r="AE71" i="48"/>
  <c r="AC71" i="48"/>
  <c r="AA71" i="48"/>
  <c r="F71" i="48"/>
  <c r="H71" i="48" s="1"/>
  <c r="AE69" i="48"/>
  <c r="AD69" i="48"/>
  <c r="AC69" i="48"/>
  <c r="AB69" i="48"/>
  <c r="AA69" i="48"/>
  <c r="Z69" i="48"/>
  <c r="X69" i="48"/>
  <c r="W69" i="48"/>
  <c r="V69" i="48"/>
  <c r="AE68" i="48"/>
  <c r="AD68" i="48"/>
  <c r="AC68" i="48"/>
  <c r="AA68" i="48"/>
  <c r="Z68" i="48"/>
  <c r="X68" i="48"/>
  <c r="W68" i="48"/>
  <c r="R68" i="48"/>
  <c r="AF68" i="48" s="1"/>
  <c r="G68" i="48"/>
  <c r="F68" i="48"/>
  <c r="H68" i="48" s="1"/>
  <c r="V68" i="48" s="1"/>
  <c r="R67" i="48"/>
  <c r="F67" i="48"/>
  <c r="R66" i="48"/>
  <c r="F66" i="48"/>
  <c r="N66" i="48" s="1"/>
  <c r="R65" i="48"/>
  <c r="F65" i="48"/>
  <c r="I65" i="48" s="1"/>
  <c r="W63" i="48" s="1"/>
  <c r="R64" i="48"/>
  <c r="F64" i="48"/>
  <c r="N64" i="48" s="1"/>
  <c r="AE63" i="48"/>
  <c r="AC63" i="48"/>
  <c r="AA63" i="48"/>
  <c r="Z63" i="48"/>
  <c r="X63" i="48"/>
  <c r="V63" i="48"/>
  <c r="R63" i="48"/>
  <c r="F63" i="48"/>
  <c r="P63" i="48" s="1"/>
  <c r="AD63" i="48" s="1"/>
  <c r="R62" i="48"/>
  <c r="F62" i="48"/>
  <c r="H62" i="48" s="1"/>
  <c r="R61" i="48"/>
  <c r="F61" i="48"/>
  <c r="G61" i="48" s="1"/>
  <c r="R60" i="48"/>
  <c r="F60" i="48"/>
  <c r="L60" i="48" s="1"/>
  <c r="R59" i="48"/>
  <c r="F59" i="48"/>
  <c r="L59" i="48" s="1"/>
  <c r="R58" i="48"/>
  <c r="F58" i="48"/>
  <c r="G58" i="48" s="1"/>
  <c r="AD57" i="48"/>
  <c r="AB57" i="48"/>
  <c r="W57" i="48"/>
  <c r="R57" i="48"/>
  <c r="F57" i="48"/>
  <c r="G57" i="48" s="1"/>
  <c r="R56" i="48"/>
  <c r="F56" i="48"/>
  <c r="H56" i="48" s="1"/>
  <c r="R55" i="48"/>
  <c r="H55" i="48"/>
  <c r="F55" i="48"/>
  <c r="G55" i="48" s="1"/>
  <c r="R54" i="48"/>
  <c r="F54" i="48"/>
  <c r="N54" i="48" s="1"/>
  <c r="R53" i="48"/>
  <c r="F53" i="48"/>
  <c r="H53" i="48" s="1"/>
  <c r="R52" i="48"/>
  <c r="F52" i="48"/>
  <c r="N52" i="48" s="1"/>
  <c r="AE51" i="48"/>
  <c r="AD51" i="48"/>
  <c r="AC51" i="48"/>
  <c r="AA51" i="48"/>
  <c r="Z51" i="48"/>
  <c r="X51" i="48"/>
  <c r="W51" i="48"/>
  <c r="R51" i="48"/>
  <c r="F51" i="48"/>
  <c r="R50" i="48"/>
  <c r="AF50" i="48" s="1"/>
  <c r="L50" i="48"/>
  <c r="Z50" i="48" s="1"/>
  <c r="H50" i="48"/>
  <c r="V50" i="48" s="1"/>
  <c r="G50" i="48"/>
  <c r="F49" i="48"/>
  <c r="L49" i="48" s="1"/>
  <c r="F48" i="48"/>
  <c r="M48" i="48" s="1"/>
  <c r="F47" i="48"/>
  <c r="L47" i="48" s="1"/>
  <c r="F46" i="48"/>
  <c r="M46" i="48" s="1"/>
  <c r="AE45" i="48"/>
  <c r="AD45" i="48"/>
  <c r="W45" i="48"/>
  <c r="F45" i="48"/>
  <c r="O45" i="48" s="1"/>
  <c r="R44" i="48"/>
  <c r="L44" i="48"/>
  <c r="G44" i="48"/>
  <c r="K44" i="48" s="1"/>
  <c r="R43" i="48"/>
  <c r="L43" i="48"/>
  <c r="G43" i="48"/>
  <c r="K43" i="48" s="1"/>
  <c r="R42" i="48"/>
  <c r="L42" i="48"/>
  <c r="G42" i="48"/>
  <c r="K42" i="48" s="1"/>
  <c r="R41" i="48"/>
  <c r="L41" i="48"/>
  <c r="G41" i="48"/>
  <c r="K41" i="48" s="1"/>
  <c r="AD40" i="48"/>
  <c r="AB40" i="48"/>
  <c r="W40" i="48"/>
  <c r="V40" i="48"/>
  <c r="R40" i="48"/>
  <c r="L40" i="48"/>
  <c r="G40" i="48"/>
  <c r="K40" i="48" s="1"/>
  <c r="F39" i="48"/>
  <c r="S39" i="48" s="1"/>
  <c r="F38" i="48"/>
  <c r="S38" i="48" s="1"/>
  <c r="F37" i="48"/>
  <c r="S37" i="48" s="1"/>
  <c r="AG37" i="48" s="1"/>
  <c r="F36" i="48"/>
  <c r="N36" i="48" s="1"/>
  <c r="G35" i="48"/>
  <c r="F35" i="48"/>
  <c r="H35" i="48" s="1"/>
  <c r="F34" i="48"/>
  <c r="L34" i="48" s="1"/>
  <c r="F33" i="48"/>
  <c r="O33" i="48" s="1"/>
  <c r="F32" i="48"/>
  <c r="N32" i="48" s="1"/>
  <c r="F31" i="48"/>
  <c r="J31" i="48" s="1"/>
  <c r="F30" i="48"/>
  <c r="O30" i="48" s="1"/>
  <c r="AE29" i="48"/>
  <c r="AD29" i="48"/>
  <c r="F29" i="48"/>
  <c r="L29" i="48" s="1"/>
  <c r="R28" i="48"/>
  <c r="F28" i="48"/>
  <c r="G28" i="48" s="1"/>
  <c r="R27" i="48"/>
  <c r="F27" i="48"/>
  <c r="H27" i="48" s="1"/>
  <c r="R26" i="48"/>
  <c r="L26" i="48"/>
  <c r="F26" i="48"/>
  <c r="N26" i="48" s="1"/>
  <c r="R25" i="48"/>
  <c r="F25" i="48"/>
  <c r="H25" i="48" s="1"/>
  <c r="AE24" i="48"/>
  <c r="AD24" i="48"/>
  <c r="AA24" i="48"/>
  <c r="Z24" i="48"/>
  <c r="W24" i="48"/>
  <c r="F24" i="48"/>
  <c r="J24" i="48" s="1"/>
  <c r="R23" i="48"/>
  <c r="K23" i="48"/>
  <c r="S23" i="48" s="1"/>
  <c r="F23" i="48"/>
  <c r="R22" i="48"/>
  <c r="K22" i="48"/>
  <c r="S22" i="48" s="1"/>
  <c r="F22" i="48"/>
  <c r="R21" i="48"/>
  <c r="K21" i="48"/>
  <c r="S21" i="48" s="1"/>
  <c r="F21" i="48"/>
  <c r="R20" i="48"/>
  <c r="F20" i="48"/>
  <c r="L20" i="48" s="1"/>
  <c r="R19" i="48"/>
  <c r="F19" i="48"/>
  <c r="H19" i="48" s="1"/>
  <c r="R18" i="48"/>
  <c r="F18" i="48"/>
  <c r="L18" i="48" s="1"/>
  <c r="R17" i="48"/>
  <c r="F17" i="48"/>
  <c r="L17" i="48" s="1"/>
  <c r="R16" i="48"/>
  <c r="K16" i="48"/>
  <c r="S16" i="48" s="1"/>
  <c r="F16" i="48"/>
  <c r="AE15" i="48"/>
  <c r="AD15" i="48"/>
  <c r="AC15" i="48"/>
  <c r="AB15" i="48"/>
  <c r="AA15" i="48"/>
  <c r="X15" i="48"/>
  <c r="W15" i="48"/>
  <c r="R15" i="48"/>
  <c r="F15" i="48"/>
  <c r="H15" i="48" s="1"/>
  <c r="AE14" i="48"/>
  <c r="AD14" i="48"/>
  <c r="AC14" i="48"/>
  <c r="AB14" i="48"/>
  <c r="I14" i="48"/>
  <c r="W14" i="48" s="1"/>
  <c r="H14" i="48"/>
  <c r="V14" i="48" s="1"/>
  <c r="F14" i="48"/>
  <c r="F13" i="48"/>
  <c r="S13" i="48" s="1"/>
  <c r="F12" i="48"/>
  <c r="S12" i="48" s="1"/>
  <c r="F11" i="48"/>
  <c r="S11" i="48" s="1"/>
  <c r="F10" i="48"/>
  <c r="S10" i="48" s="1"/>
  <c r="F9" i="48"/>
  <c r="S9" i="48" s="1"/>
  <c r="F8" i="48"/>
  <c r="S8" i="48" s="1"/>
  <c r="Y7" i="48"/>
  <c r="U7" i="48"/>
  <c r="F7" i="48"/>
  <c r="S7" i="48" s="1"/>
  <c r="M495" i="47"/>
  <c r="S495" i="47" s="1"/>
  <c r="T495" i="47" s="1"/>
  <c r="M494" i="47"/>
  <c r="S494" i="47" s="1"/>
  <c r="T494" i="47" s="1"/>
  <c r="M493" i="47"/>
  <c r="S493" i="47" s="1"/>
  <c r="T493" i="47" s="1"/>
  <c r="M492" i="47"/>
  <c r="S492" i="47" s="1"/>
  <c r="T492" i="47" s="1"/>
  <c r="M491" i="47"/>
  <c r="S491" i="47" s="1"/>
  <c r="T491" i="47" s="1"/>
  <c r="M490" i="47"/>
  <c r="S490" i="47" s="1"/>
  <c r="T490" i="47" s="1"/>
  <c r="M489" i="47"/>
  <c r="S489" i="47" s="1"/>
  <c r="T489" i="47" s="1"/>
  <c r="N488" i="47"/>
  <c r="M488" i="47"/>
  <c r="N487" i="47"/>
  <c r="M487" i="47"/>
  <c r="N486" i="47"/>
  <c r="M486" i="47"/>
  <c r="N485" i="47"/>
  <c r="M485" i="47"/>
  <c r="N484" i="47"/>
  <c r="M484" i="47"/>
  <c r="N483" i="47"/>
  <c r="M483" i="47"/>
  <c r="N482" i="47"/>
  <c r="M482" i="47"/>
  <c r="N481" i="47"/>
  <c r="M481" i="47"/>
  <c r="N480" i="47"/>
  <c r="M480" i="47"/>
  <c r="N479" i="47"/>
  <c r="M479" i="47"/>
  <c r="N478" i="47"/>
  <c r="M478" i="47"/>
  <c r="N477" i="47"/>
  <c r="M477" i="47"/>
  <c r="N476" i="47"/>
  <c r="M476" i="47"/>
  <c r="N475" i="47"/>
  <c r="M475" i="47"/>
  <c r="N474" i="47"/>
  <c r="M474" i="47"/>
  <c r="N473" i="47"/>
  <c r="M473" i="47"/>
  <c r="N472" i="47"/>
  <c r="M472" i="47"/>
  <c r="N471" i="47"/>
  <c r="M471" i="47"/>
  <c r="N470" i="47"/>
  <c r="M470" i="47"/>
  <c r="N469" i="47"/>
  <c r="M469" i="47"/>
  <c r="N468" i="47"/>
  <c r="M468" i="47"/>
  <c r="N467" i="47"/>
  <c r="M467" i="47"/>
  <c r="N466" i="47"/>
  <c r="M466" i="47"/>
  <c r="N465" i="47"/>
  <c r="M465" i="47"/>
  <c r="N464" i="47"/>
  <c r="M464" i="47"/>
  <c r="N463" i="47"/>
  <c r="M463" i="47"/>
  <c r="N462" i="47"/>
  <c r="M462" i="47"/>
  <c r="N461" i="47"/>
  <c r="M461" i="47"/>
  <c r="N460" i="47"/>
  <c r="M460" i="47"/>
  <c r="N459" i="47"/>
  <c r="M459" i="47"/>
  <c r="N458" i="47"/>
  <c r="M458" i="47"/>
  <c r="N457" i="47"/>
  <c r="M457" i="47"/>
  <c r="N456" i="47"/>
  <c r="M456" i="47"/>
  <c r="N455" i="47"/>
  <c r="M455" i="47"/>
  <c r="N454" i="47"/>
  <c r="M454" i="47"/>
  <c r="N453" i="47"/>
  <c r="M453" i="47"/>
  <c r="N452" i="47"/>
  <c r="M452" i="47"/>
  <c r="N451" i="47"/>
  <c r="M451" i="47"/>
  <c r="N450" i="47"/>
  <c r="M450" i="47"/>
  <c r="N449" i="47"/>
  <c r="M449" i="47"/>
  <c r="N448" i="47"/>
  <c r="M448" i="47"/>
  <c r="N447" i="47"/>
  <c r="M447" i="47"/>
  <c r="N446" i="47"/>
  <c r="M446" i="47"/>
  <c r="N445" i="47"/>
  <c r="M445" i="47"/>
  <c r="N444" i="47"/>
  <c r="M444" i="47"/>
  <c r="N443" i="47"/>
  <c r="M443" i="47"/>
  <c r="N442" i="47"/>
  <c r="M442" i="47"/>
  <c r="N441" i="47"/>
  <c r="M441" i="47"/>
  <c r="N440" i="47"/>
  <c r="M440" i="47"/>
  <c r="N439" i="47"/>
  <c r="M439" i="47"/>
  <c r="N438" i="47"/>
  <c r="M438" i="47"/>
  <c r="N437" i="47"/>
  <c r="M437" i="47"/>
  <c r="N436" i="47"/>
  <c r="M436" i="47"/>
  <c r="N435" i="47"/>
  <c r="M435" i="47"/>
  <c r="N434" i="47"/>
  <c r="M434" i="47"/>
  <c r="N433" i="47"/>
  <c r="M433" i="47"/>
  <c r="N432" i="47"/>
  <c r="M432" i="47"/>
  <c r="N431" i="47"/>
  <c r="M431" i="47"/>
  <c r="N430" i="47"/>
  <c r="M430" i="47"/>
  <c r="N429" i="47"/>
  <c r="M429" i="47"/>
  <c r="N428" i="47"/>
  <c r="M428" i="47"/>
  <c r="N427" i="47"/>
  <c r="M427" i="47"/>
  <c r="N426" i="47"/>
  <c r="M426" i="47"/>
  <c r="N425" i="47"/>
  <c r="M425" i="47"/>
  <c r="N424" i="47"/>
  <c r="M424" i="47"/>
  <c r="N423" i="47"/>
  <c r="M423" i="47"/>
  <c r="N422" i="47"/>
  <c r="M422" i="47"/>
  <c r="N421" i="47"/>
  <c r="M421" i="47"/>
  <c r="N420" i="47"/>
  <c r="M420" i="47"/>
  <c r="N419" i="47"/>
  <c r="M419" i="47"/>
  <c r="N418" i="47"/>
  <c r="M418" i="47"/>
  <c r="N417" i="47"/>
  <c r="M417" i="47"/>
  <c r="N416" i="47"/>
  <c r="M416" i="47"/>
  <c r="N415" i="47"/>
  <c r="M415" i="47"/>
  <c r="N414" i="47"/>
  <c r="M414" i="47"/>
  <c r="N413" i="47"/>
  <c r="M413" i="47"/>
  <c r="N412" i="47"/>
  <c r="M412" i="47"/>
  <c r="N411" i="47"/>
  <c r="M411" i="47"/>
  <c r="N410" i="47"/>
  <c r="M410" i="47"/>
  <c r="N409" i="47"/>
  <c r="M409" i="47"/>
  <c r="N408" i="47"/>
  <c r="M408" i="47"/>
  <c r="N407" i="47"/>
  <c r="M407" i="47"/>
  <c r="N406" i="47"/>
  <c r="M406" i="47"/>
  <c r="N405" i="47"/>
  <c r="M405" i="47"/>
  <c r="N404" i="47"/>
  <c r="M404" i="47"/>
  <c r="N403" i="47"/>
  <c r="M403" i="47"/>
  <c r="N402" i="47"/>
  <c r="M402" i="47"/>
  <c r="N401" i="47"/>
  <c r="M401" i="47"/>
  <c r="N400" i="47"/>
  <c r="M400" i="47"/>
  <c r="N399" i="47"/>
  <c r="M399" i="47"/>
  <c r="N398" i="47"/>
  <c r="M398" i="47"/>
  <c r="N397" i="47"/>
  <c r="M397" i="47"/>
  <c r="N396" i="47"/>
  <c r="M396" i="47"/>
  <c r="N395" i="47"/>
  <c r="M395" i="47"/>
  <c r="N394" i="47"/>
  <c r="M394" i="47"/>
  <c r="N393" i="47"/>
  <c r="M393" i="47"/>
  <c r="N392" i="47"/>
  <c r="M392" i="47"/>
  <c r="N391" i="47"/>
  <c r="M391" i="47"/>
  <c r="N390" i="47"/>
  <c r="M390" i="47"/>
  <c r="N389" i="47"/>
  <c r="M389" i="47"/>
  <c r="N388" i="47"/>
  <c r="M388" i="47"/>
  <c r="N387" i="47"/>
  <c r="M387" i="47"/>
  <c r="N386" i="47"/>
  <c r="M386" i="47"/>
  <c r="N385" i="47"/>
  <c r="M385" i="47"/>
  <c r="N384" i="47"/>
  <c r="M384" i="47"/>
  <c r="N383" i="47"/>
  <c r="M383" i="47"/>
  <c r="N382" i="47"/>
  <c r="M382" i="47"/>
  <c r="N381" i="47"/>
  <c r="M381" i="47"/>
  <c r="N380" i="47"/>
  <c r="M380" i="47"/>
  <c r="N379" i="47"/>
  <c r="M379" i="47"/>
  <c r="N378" i="47"/>
  <c r="M378" i="47"/>
  <c r="N377" i="47"/>
  <c r="M377" i="47"/>
  <c r="N376" i="47"/>
  <c r="M376" i="47"/>
  <c r="N375" i="47"/>
  <c r="M375" i="47"/>
  <c r="N374" i="47"/>
  <c r="M374" i="47"/>
  <c r="N373" i="47"/>
  <c r="M373" i="47"/>
  <c r="N372" i="47"/>
  <c r="M372" i="47"/>
  <c r="N371" i="47"/>
  <c r="M371" i="47"/>
  <c r="N370" i="47"/>
  <c r="M370" i="47"/>
  <c r="N369" i="47"/>
  <c r="M369" i="47"/>
  <c r="N368" i="47"/>
  <c r="M368" i="47"/>
  <c r="N367" i="47"/>
  <c r="M367" i="47"/>
  <c r="N366" i="47"/>
  <c r="M366" i="47"/>
  <c r="N365" i="47"/>
  <c r="M365" i="47"/>
  <c r="N364" i="47"/>
  <c r="M364" i="47"/>
  <c r="N363" i="47"/>
  <c r="M363" i="47"/>
  <c r="N362" i="47"/>
  <c r="M362" i="47"/>
  <c r="N361" i="47"/>
  <c r="M361" i="47"/>
  <c r="N360" i="47"/>
  <c r="M360" i="47"/>
  <c r="N359" i="47"/>
  <c r="M359" i="47"/>
  <c r="N358" i="47"/>
  <c r="M358" i="47"/>
  <c r="N357" i="47"/>
  <c r="M357" i="47"/>
  <c r="N356" i="47"/>
  <c r="M356" i="47"/>
  <c r="N355" i="47"/>
  <c r="M355" i="47"/>
  <c r="N354" i="47"/>
  <c r="M354" i="47"/>
  <c r="N353" i="47"/>
  <c r="M353" i="47"/>
  <c r="N352" i="47"/>
  <c r="M352" i="47"/>
  <c r="N351" i="47"/>
  <c r="M351" i="47"/>
  <c r="N350" i="47"/>
  <c r="M350" i="47"/>
  <c r="N349" i="47"/>
  <c r="M349" i="47"/>
  <c r="N348" i="47"/>
  <c r="M348" i="47"/>
  <c r="N347" i="47"/>
  <c r="M347" i="47"/>
  <c r="N346" i="47"/>
  <c r="M346" i="47"/>
  <c r="N345" i="47"/>
  <c r="M345" i="47"/>
  <c r="N344" i="47"/>
  <c r="M344" i="47"/>
  <c r="N343" i="47"/>
  <c r="M343" i="47"/>
  <c r="N342" i="47"/>
  <c r="M342" i="47"/>
  <c r="N341" i="47"/>
  <c r="M341" i="47"/>
  <c r="N340" i="47"/>
  <c r="M340" i="47"/>
  <c r="N339" i="47"/>
  <c r="M339" i="47"/>
  <c r="N338" i="47"/>
  <c r="M338" i="47"/>
  <c r="N337" i="47"/>
  <c r="M337" i="47"/>
  <c r="N336" i="47"/>
  <c r="M336" i="47"/>
  <c r="N335" i="47"/>
  <c r="M335" i="47"/>
  <c r="N334" i="47"/>
  <c r="M334" i="47"/>
  <c r="N333" i="47"/>
  <c r="M333" i="47"/>
  <c r="N332" i="47"/>
  <c r="M332" i="47"/>
  <c r="N331" i="47"/>
  <c r="M331" i="47"/>
  <c r="N330" i="47"/>
  <c r="M330" i="47"/>
  <c r="N329" i="47"/>
  <c r="M329" i="47"/>
  <c r="N328" i="47"/>
  <c r="M328" i="47"/>
  <c r="N327" i="47"/>
  <c r="M327" i="47"/>
  <c r="N326" i="47"/>
  <c r="M326" i="47"/>
  <c r="N325" i="47"/>
  <c r="M325" i="47"/>
  <c r="N324" i="47"/>
  <c r="M324" i="47"/>
  <c r="N323" i="47"/>
  <c r="M323" i="47"/>
  <c r="S322" i="47"/>
  <c r="T322" i="47" s="1"/>
  <c r="S321" i="47"/>
  <c r="T321" i="47" s="1"/>
  <c r="S320" i="47"/>
  <c r="T320" i="47" s="1"/>
  <c r="N319" i="47"/>
  <c r="M319" i="47"/>
  <c r="N318" i="47"/>
  <c r="M318" i="47"/>
  <c r="N317" i="47"/>
  <c r="M317" i="47"/>
  <c r="N316" i="47"/>
  <c r="M316" i="47"/>
  <c r="N315" i="47"/>
  <c r="M315" i="47"/>
  <c r="N314" i="47"/>
  <c r="M314" i="47"/>
  <c r="N313" i="47"/>
  <c r="M313" i="47"/>
  <c r="N312" i="47"/>
  <c r="M312" i="47"/>
  <c r="N311" i="47"/>
  <c r="M311" i="47"/>
  <c r="N310" i="47"/>
  <c r="M310" i="47"/>
  <c r="N309" i="47"/>
  <c r="M309" i="47"/>
  <c r="N308" i="47"/>
  <c r="M308" i="47"/>
  <c r="N307" i="47"/>
  <c r="M307" i="47"/>
  <c r="N306" i="47"/>
  <c r="M306" i="47"/>
  <c r="N305" i="47"/>
  <c r="M305" i="47"/>
  <c r="S304" i="47"/>
  <c r="T304" i="47" s="1"/>
  <c r="S303" i="47"/>
  <c r="T303" i="47" s="1"/>
  <c r="S302" i="47"/>
  <c r="T302" i="47" s="1"/>
  <c r="S301" i="47"/>
  <c r="T301" i="47" s="1"/>
  <c r="S300" i="47"/>
  <c r="T300" i="47" s="1"/>
  <c r="S299" i="47"/>
  <c r="T299" i="47" s="1"/>
  <c r="S298" i="47"/>
  <c r="T298" i="47" s="1"/>
  <c r="S293" i="47"/>
  <c r="R293" i="47"/>
  <c r="K293" i="47"/>
  <c r="F293" i="47"/>
  <c r="N293" i="47" s="1"/>
  <c r="S292" i="47"/>
  <c r="R292" i="47"/>
  <c r="P292" i="47"/>
  <c r="K292" i="47"/>
  <c r="G292" i="47"/>
  <c r="F292" i="47"/>
  <c r="N292" i="47" s="1"/>
  <c r="S291" i="47"/>
  <c r="R291" i="47"/>
  <c r="P291" i="47"/>
  <c r="K291" i="47"/>
  <c r="H291" i="47"/>
  <c r="F291" i="47"/>
  <c r="N291" i="47" s="1"/>
  <c r="Z290" i="47"/>
  <c r="W290" i="47"/>
  <c r="S290" i="47"/>
  <c r="R290" i="47"/>
  <c r="AF290" i="47" s="1"/>
  <c r="K290" i="47"/>
  <c r="F290" i="47"/>
  <c r="N290" i="47" s="1"/>
  <c r="K289" i="47"/>
  <c r="S289" i="47" s="1"/>
  <c r="K288" i="47"/>
  <c r="S288" i="47" s="1"/>
  <c r="K287" i="47"/>
  <c r="S287" i="47" s="1"/>
  <c r="K286" i="47"/>
  <c r="S286" i="47" s="1"/>
  <c r="K285" i="47"/>
  <c r="S285" i="47" s="1"/>
  <c r="K284" i="47"/>
  <c r="S284" i="47" s="1"/>
  <c r="AD283" i="47"/>
  <c r="AB283" i="47"/>
  <c r="W283" i="47"/>
  <c r="V283" i="47"/>
  <c r="U283" i="47"/>
  <c r="K283" i="47"/>
  <c r="S283" i="47" s="1"/>
  <c r="R282" i="47"/>
  <c r="H282" i="47"/>
  <c r="F282" i="47"/>
  <c r="N282" i="47" s="1"/>
  <c r="R281" i="47"/>
  <c r="G281" i="47"/>
  <c r="F281" i="47"/>
  <c r="N281" i="47" s="1"/>
  <c r="R280" i="47"/>
  <c r="F280" i="47"/>
  <c r="R279" i="47"/>
  <c r="F279" i="47"/>
  <c r="AE278" i="47"/>
  <c r="AD278" i="47"/>
  <c r="AC278" i="47"/>
  <c r="AA278" i="47"/>
  <c r="Z278" i="47"/>
  <c r="X278" i="47"/>
  <c r="W278" i="47"/>
  <c r="R278" i="47"/>
  <c r="F278" i="47"/>
  <c r="F277" i="47"/>
  <c r="J277" i="47" s="1"/>
  <c r="L276" i="47"/>
  <c r="J276" i="47"/>
  <c r="H276" i="47"/>
  <c r="G276" i="47"/>
  <c r="F276" i="47"/>
  <c r="M276" i="47" s="1"/>
  <c r="F275" i="47"/>
  <c r="AE274" i="47"/>
  <c r="AD274" i="47"/>
  <c r="AC274" i="47"/>
  <c r="AB274" i="47"/>
  <c r="W274" i="47"/>
  <c r="F274" i="47"/>
  <c r="F273" i="47"/>
  <c r="N273" i="47" s="1"/>
  <c r="J272" i="47"/>
  <c r="F272" i="47"/>
  <c r="P272" i="47" s="1"/>
  <c r="AE271" i="47"/>
  <c r="AA271" i="47"/>
  <c r="V271" i="47"/>
  <c r="L271" i="47"/>
  <c r="Z271" i="47" s="1"/>
  <c r="F271" i="47"/>
  <c r="R270" i="47"/>
  <c r="K270" i="47"/>
  <c r="S270" i="47" s="1"/>
  <c r="R269" i="47"/>
  <c r="K269" i="47"/>
  <c r="F269" i="47"/>
  <c r="N269" i="47" s="1"/>
  <c r="AB269" i="47" s="1"/>
  <c r="R268" i="47"/>
  <c r="K268" i="47"/>
  <c r="S268" i="47" s="1"/>
  <c r="F268" i="47"/>
  <c r="F267" i="47"/>
  <c r="H267" i="47" s="1"/>
  <c r="F266" i="47"/>
  <c r="F265" i="47"/>
  <c r="J265" i="47" s="1"/>
  <c r="F264" i="47"/>
  <c r="M264" i="47" s="1"/>
  <c r="AE263" i="47"/>
  <c r="AD263" i="47"/>
  <c r="AC263" i="47"/>
  <c r="AB263" i="47"/>
  <c r="W263" i="47"/>
  <c r="F263" i="47"/>
  <c r="L263" i="47" s="1"/>
  <c r="F262" i="47"/>
  <c r="J262" i="47" s="1"/>
  <c r="G261" i="47"/>
  <c r="F261" i="47"/>
  <c r="M261" i="47" s="1"/>
  <c r="F260" i="47"/>
  <c r="H260" i="47" s="1"/>
  <c r="F259" i="47"/>
  <c r="AE258" i="47"/>
  <c r="AD258" i="47"/>
  <c r="AC258" i="47"/>
  <c r="AB258" i="47"/>
  <c r="I258" i="47"/>
  <c r="W258" i="47" s="1"/>
  <c r="G258" i="47"/>
  <c r="F258" i="47"/>
  <c r="F257" i="47"/>
  <c r="L257" i="47" s="1"/>
  <c r="F256" i="47"/>
  <c r="F255" i="47"/>
  <c r="L255" i="47" s="1"/>
  <c r="F254" i="47"/>
  <c r="N254" i="47" s="1"/>
  <c r="AE253" i="47"/>
  <c r="AD253" i="47"/>
  <c r="W253" i="47"/>
  <c r="U253" i="47"/>
  <c r="F253" i="47"/>
  <c r="L253" i="47" s="1"/>
  <c r="R252" i="47"/>
  <c r="F252" i="47"/>
  <c r="H252" i="47" s="1"/>
  <c r="K252" i="47" s="1"/>
  <c r="S252" i="47" s="1"/>
  <c r="R251" i="47"/>
  <c r="F251" i="47"/>
  <c r="H251" i="47" s="1"/>
  <c r="K251" i="47" s="1"/>
  <c r="S251" i="47" s="1"/>
  <c r="R250" i="47"/>
  <c r="F250" i="47"/>
  <c r="H250" i="47" s="1"/>
  <c r="K250" i="47" s="1"/>
  <c r="S250" i="47" s="1"/>
  <c r="R249" i="47"/>
  <c r="F249" i="47"/>
  <c r="H249" i="47" s="1"/>
  <c r="K249" i="47" s="1"/>
  <c r="S249" i="47" s="1"/>
  <c r="R248" i="47"/>
  <c r="F248" i="47"/>
  <c r="H248" i="47" s="1"/>
  <c r="K248" i="47" s="1"/>
  <c r="S248" i="47" s="1"/>
  <c r="R247" i="47"/>
  <c r="F247" i="47"/>
  <c r="H247" i="47" s="1"/>
  <c r="K247" i="47" s="1"/>
  <c r="S247" i="47" s="1"/>
  <c r="R246" i="47"/>
  <c r="F246" i="47"/>
  <c r="H246" i="47" s="1"/>
  <c r="K246" i="47" s="1"/>
  <c r="S246" i="47" s="1"/>
  <c r="AE245" i="47"/>
  <c r="AD245" i="47"/>
  <c r="AC245" i="47"/>
  <c r="AB245" i="47"/>
  <c r="AA245" i="47"/>
  <c r="Z245" i="47"/>
  <c r="X245" i="47"/>
  <c r="W245" i="47"/>
  <c r="U245" i="47"/>
  <c r="R245" i="47"/>
  <c r="F245" i="47"/>
  <c r="H245" i="47" s="1"/>
  <c r="K245" i="47" s="1"/>
  <c r="S245" i="47" s="1"/>
  <c r="R244" i="47"/>
  <c r="N244" i="47"/>
  <c r="L244" i="47"/>
  <c r="I244" i="47"/>
  <c r="H244" i="47"/>
  <c r="G244" i="47"/>
  <c r="AD243" i="47"/>
  <c r="AB243" i="47"/>
  <c r="W243" i="47"/>
  <c r="U243" i="47"/>
  <c r="R243" i="47"/>
  <c r="AF243" i="47" s="1"/>
  <c r="F243" i="47"/>
  <c r="H243" i="47" s="1"/>
  <c r="V243" i="47" s="1"/>
  <c r="R242" i="47"/>
  <c r="L242" i="47"/>
  <c r="G242" i="47"/>
  <c r="K242" i="47" s="1"/>
  <c r="S242" i="47" s="1"/>
  <c r="R241" i="47"/>
  <c r="L241" i="47"/>
  <c r="G241" i="47"/>
  <c r="K241" i="47" s="1"/>
  <c r="R240" i="47"/>
  <c r="L240" i="47"/>
  <c r="G240" i="47"/>
  <c r="Z239" i="47"/>
  <c r="U239" i="47"/>
  <c r="R239" i="47"/>
  <c r="AF239" i="47" s="1"/>
  <c r="P239" i="47"/>
  <c r="AD239" i="47" s="1"/>
  <c r="N239" i="47"/>
  <c r="AB239" i="47" s="1"/>
  <c r="I239" i="47"/>
  <c r="W239" i="47" s="1"/>
  <c r="H239" i="47"/>
  <c r="V239" i="47" s="1"/>
  <c r="R238" i="47"/>
  <c r="K238" i="47"/>
  <c r="S238" i="47" s="1"/>
  <c r="R237" i="47"/>
  <c r="K237" i="47"/>
  <c r="S237" i="47" s="1"/>
  <c r="R236" i="47"/>
  <c r="K236" i="47"/>
  <c r="S236" i="47" s="1"/>
  <c r="R235" i="47"/>
  <c r="K235" i="47"/>
  <c r="S235" i="47" s="1"/>
  <c r="F235" i="47"/>
  <c r="R234" i="47"/>
  <c r="K234" i="47"/>
  <c r="S234" i="47" s="1"/>
  <c r="F234" i="47"/>
  <c r="R233" i="47"/>
  <c r="K233" i="47"/>
  <c r="S233" i="47" s="1"/>
  <c r="F233" i="47"/>
  <c r="R232" i="47"/>
  <c r="K232" i="47"/>
  <c r="S232" i="47" s="1"/>
  <c r="F232" i="47"/>
  <c r="R231" i="47"/>
  <c r="K231" i="47"/>
  <c r="S231" i="47" s="1"/>
  <c r="F231" i="47"/>
  <c r="R230" i="47"/>
  <c r="K230" i="47"/>
  <c r="S230" i="47" s="1"/>
  <c r="F230" i="47"/>
  <c r="R229" i="47"/>
  <c r="K229" i="47"/>
  <c r="S229" i="47" s="1"/>
  <c r="F229" i="47"/>
  <c r="R228" i="47"/>
  <c r="K228" i="47"/>
  <c r="S228" i="47" s="1"/>
  <c r="F228" i="47"/>
  <c r="K227" i="47"/>
  <c r="S227" i="47" s="1"/>
  <c r="F227" i="47"/>
  <c r="R226" i="47"/>
  <c r="AF225" i="47" s="1"/>
  <c r="N226" i="47"/>
  <c r="AB225" i="47" s="1"/>
  <c r="G226" i="47"/>
  <c r="U225" i="47" s="1"/>
  <c r="F226" i="47"/>
  <c r="L226" i="47" s="1"/>
  <c r="Z225" i="47" s="1"/>
  <c r="AE225" i="47"/>
  <c r="AC225" i="47"/>
  <c r="AA225" i="47"/>
  <c r="X225" i="47"/>
  <c r="R225" i="47"/>
  <c r="F225" i="47"/>
  <c r="F224" i="47"/>
  <c r="F223" i="47"/>
  <c r="F222" i="47"/>
  <c r="F221" i="47"/>
  <c r="F220" i="47"/>
  <c r="F219" i="47"/>
  <c r="F218" i="47"/>
  <c r="H218" i="47" s="1"/>
  <c r="H217" i="47"/>
  <c r="F217" i="47"/>
  <c r="J217" i="47" s="1"/>
  <c r="F216" i="47"/>
  <c r="H216" i="47" s="1"/>
  <c r="N215" i="47"/>
  <c r="H215" i="47"/>
  <c r="F215" i="47"/>
  <c r="J215" i="47" s="1"/>
  <c r="F214" i="47"/>
  <c r="O214" i="47" s="1"/>
  <c r="F213" i="47"/>
  <c r="J213" i="47" s="1"/>
  <c r="F212" i="47"/>
  <c r="H212" i="47" s="1"/>
  <c r="F211" i="47"/>
  <c r="F210" i="47"/>
  <c r="N210" i="47" s="1"/>
  <c r="F209" i="47"/>
  <c r="H208" i="47"/>
  <c r="F208" i="47"/>
  <c r="N208" i="47" s="1"/>
  <c r="F207" i="47"/>
  <c r="F206" i="47"/>
  <c r="F205" i="47"/>
  <c r="F204" i="47"/>
  <c r="H204" i="47" s="1"/>
  <c r="F203" i="47"/>
  <c r="F202" i="47"/>
  <c r="N202" i="47" s="1"/>
  <c r="O201" i="47"/>
  <c r="J201" i="47"/>
  <c r="F201" i="47"/>
  <c r="N201" i="47" s="1"/>
  <c r="J200" i="47"/>
  <c r="F200" i="47"/>
  <c r="N200" i="47" s="1"/>
  <c r="F199" i="47"/>
  <c r="F198" i="47"/>
  <c r="F197" i="47"/>
  <c r="F196" i="47"/>
  <c r="O196" i="47" s="1"/>
  <c r="F195" i="47"/>
  <c r="O195" i="47" s="1"/>
  <c r="O194" i="47"/>
  <c r="F194" i="47"/>
  <c r="N194" i="47" s="1"/>
  <c r="F193" i="47"/>
  <c r="O193" i="47" s="1"/>
  <c r="O192" i="47"/>
  <c r="F192" i="47"/>
  <c r="N192" i="47" s="1"/>
  <c r="J191" i="47"/>
  <c r="F191" i="47"/>
  <c r="O191" i="47" s="1"/>
  <c r="F190" i="47"/>
  <c r="O190" i="47" s="1"/>
  <c r="J189" i="47"/>
  <c r="F189" i="47"/>
  <c r="O189" i="47" s="1"/>
  <c r="F188" i="47"/>
  <c r="O188" i="47" s="1"/>
  <c r="F187" i="47"/>
  <c r="O187" i="47" s="1"/>
  <c r="F186" i="47"/>
  <c r="N186" i="47" s="1"/>
  <c r="F185" i="47"/>
  <c r="AE184" i="47"/>
  <c r="AD184" i="47"/>
  <c r="AA184" i="47"/>
  <c r="Z184" i="47"/>
  <c r="W184" i="47"/>
  <c r="U184" i="47"/>
  <c r="F184" i="47"/>
  <c r="J184" i="47" s="1"/>
  <c r="J183" i="47"/>
  <c r="R183" i="47" s="1"/>
  <c r="F183" i="47"/>
  <c r="I183" i="47" s="1"/>
  <c r="H182" i="47"/>
  <c r="F182" i="47"/>
  <c r="J182" i="47" s="1"/>
  <c r="F181" i="47"/>
  <c r="F180" i="47"/>
  <c r="J180" i="47" s="1"/>
  <c r="R180" i="47" s="1"/>
  <c r="H179" i="47"/>
  <c r="G179" i="47"/>
  <c r="F179" i="47"/>
  <c r="J179" i="47" s="1"/>
  <c r="F178" i="47"/>
  <c r="G178" i="47" s="1"/>
  <c r="AE177" i="47"/>
  <c r="AC177" i="47"/>
  <c r="AB177" i="47"/>
  <c r="M177" i="47"/>
  <c r="I177" i="47"/>
  <c r="H177" i="47"/>
  <c r="F177" i="47"/>
  <c r="P177" i="47" s="1"/>
  <c r="AD177" i="47" s="1"/>
  <c r="F176" i="47"/>
  <c r="N176" i="47" s="1"/>
  <c r="O175" i="47"/>
  <c r="J175" i="47"/>
  <c r="F175" i="47"/>
  <c r="N175" i="47" s="1"/>
  <c r="F174" i="47"/>
  <c r="N174" i="47" s="1"/>
  <c r="F173" i="47"/>
  <c r="N173" i="47" s="1"/>
  <c r="J172" i="47"/>
  <c r="F172" i="47"/>
  <c r="N172" i="47" s="1"/>
  <c r="AE171" i="47"/>
  <c r="AD171" i="47"/>
  <c r="AA171" i="47"/>
  <c r="Z171" i="47"/>
  <c r="W171" i="47"/>
  <c r="U171" i="47"/>
  <c r="F171" i="47"/>
  <c r="N171" i="47" s="1"/>
  <c r="F170" i="47"/>
  <c r="F169" i="47"/>
  <c r="J169" i="47" s="1"/>
  <c r="AE168" i="47"/>
  <c r="AD168" i="47"/>
  <c r="AC168" i="47"/>
  <c r="N168" i="47"/>
  <c r="AB168" i="47" s="1"/>
  <c r="F168" i="47"/>
  <c r="R167" i="47"/>
  <c r="AF167" i="47" s="1"/>
  <c r="N167" i="47"/>
  <c r="AB167" i="47" s="1"/>
  <c r="H167" i="47"/>
  <c r="V167" i="47" s="1"/>
  <c r="G167" i="47"/>
  <c r="R166" i="47"/>
  <c r="N166" i="47"/>
  <c r="H166" i="47"/>
  <c r="G166" i="47"/>
  <c r="R165" i="47"/>
  <c r="N165" i="47"/>
  <c r="H165" i="47"/>
  <c r="G165" i="47"/>
  <c r="R164" i="47"/>
  <c r="N164" i="47"/>
  <c r="G164" i="47"/>
  <c r="K164" i="47" s="1"/>
  <c r="S164" i="47" s="1"/>
  <c r="R163" i="47"/>
  <c r="N163" i="47"/>
  <c r="G163" i="47"/>
  <c r="K163" i="47" s="1"/>
  <c r="AD162" i="47"/>
  <c r="Z162" i="47"/>
  <c r="R162" i="47"/>
  <c r="N162" i="47"/>
  <c r="I162" i="47"/>
  <c r="W162" i="47" s="1"/>
  <c r="G162" i="47"/>
  <c r="F161" i="47"/>
  <c r="Q161" i="47" s="1"/>
  <c r="F160" i="47"/>
  <c r="Q160" i="47" s="1"/>
  <c r="F159" i="47"/>
  <c r="P159" i="47" s="1"/>
  <c r="L158" i="47"/>
  <c r="F158" i="47"/>
  <c r="P158" i="47" s="1"/>
  <c r="AC157" i="47"/>
  <c r="AA157" i="47"/>
  <c r="F157" i="47"/>
  <c r="Q157" i="47" s="1"/>
  <c r="R156" i="47"/>
  <c r="K156" i="47"/>
  <c r="S156" i="47" s="1"/>
  <c r="F156" i="47"/>
  <c r="R155" i="47"/>
  <c r="L155" i="47"/>
  <c r="H155" i="47"/>
  <c r="G155" i="47"/>
  <c r="R154" i="47"/>
  <c r="L154" i="47"/>
  <c r="H154" i="47"/>
  <c r="G154" i="47"/>
  <c r="R153" i="47"/>
  <c r="L153" i="47"/>
  <c r="H153" i="47"/>
  <c r="G153" i="47"/>
  <c r="R152" i="47"/>
  <c r="L152" i="47"/>
  <c r="H152" i="47"/>
  <c r="G152" i="47"/>
  <c r="AD151" i="47"/>
  <c r="AB151" i="47"/>
  <c r="W151" i="47"/>
  <c r="R151" i="47"/>
  <c r="L151" i="47"/>
  <c r="H151" i="47"/>
  <c r="G151" i="47"/>
  <c r="R150" i="47"/>
  <c r="F150" i="47"/>
  <c r="R149" i="47"/>
  <c r="F149" i="47"/>
  <c r="N149" i="47" s="1"/>
  <c r="R148" i="47"/>
  <c r="F148" i="47"/>
  <c r="G148" i="47" s="1"/>
  <c r="K148" i="47" s="1"/>
  <c r="S148" i="47" s="1"/>
  <c r="R147" i="47"/>
  <c r="F147" i="47"/>
  <c r="N147" i="47" s="1"/>
  <c r="R146" i="47"/>
  <c r="G146" i="47"/>
  <c r="K146" i="47" s="1"/>
  <c r="S146" i="47" s="1"/>
  <c r="F146" i="47"/>
  <c r="AE145" i="47"/>
  <c r="AD145" i="47"/>
  <c r="AC145" i="47"/>
  <c r="AA145" i="47"/>
  <c r="Z145" i="47"/>
  <c r="X145" i="47"/>
  <c r="W145" i="47"/>
  <c r="V145" i="47"/>
  <c r="R145" i="47"/>
  <c r="F145" i="47"/>
  <c r="N145" i="47" s="1"/>
  <c r="R144" i="47"/>
  <c r="F144" i="47"/>
  <c r="H144" i="47" s="1"/>
  <c r="V144" i="47" s="1"/>
  <c r="AE143" i="47"/>
  <c r="AD143" i="47"/>
  <c r="AC143" i="47"/>
  <c r="AB143" i="47"/>
  <c r="AA143" i="47"/>
  <c r="Z143" i="47"/>
  <c r="X143" i="47"/>
  <c r="W143" i="47"/>
  <c r="R143" i="47"/>
  <c r="AF143" i="47" s="1"/>
  <c r="F143" i="47"/>
  <c r="G143" i="47" s="1"/>
  <c r="R142" i="47"/>
  <c r="H142" i="47"/>
  <c r="V142" i="47" s="1"/>
  <c r="G142" i="47"/>
  <c r="U142" i="47" s="1"/>
  <c r="R141" i="47"/>
  <c r="G141" i="47"/>
  <c r="F141" i="47"/>
  <c r="H141" i="47" s="1"/>
  <c r="K141" i="47" s="1"/>
  <c r="R140" i="47"/>
  <c r="K140" i="47"/>
  <c r="S140" i="47" s="1"/>
  <c r="R139" i="47"/>
  <c r="L139" i="47"/>
  <c r="H139" i="47"/>
  <c r="G139" i="47"/>
  <c r="K139" i="47" s="1"/>
  <c r="R138" i="47"/>
  <c r="L138" i="47"/>
  <c r="H138" i="47"/>
  <c r="G138" i="47"/>
  <c r="K138" i="47" s="1"/>
  <c r="R137" i="47"/>
  <c r="L137" i="47"/>
  <c r="H137" i="47"/>
  <c r="G137" i="47"/>
  <c r="K137" i="47" s="1"/>
  <c r="R136" i="47"/>
  <c r="L136" i="47"/>
  <c r="H136" i="47"/>
  <c r="G136" i="47"/>
  <c r="AD135" i="47"/>
  <c r="AB135" i="47"/>
  <c r="W135" i="47"/>
  <c r="R135" i="47"/>
  <c r="L135" i="47"/>
  <c r="H135" i="47"/>
  <c r="G135" i="47"/>
  <c r="R134" i="47"/>
  <c r="AF134" i="47" s="1"/>
  <c r="P134" i="47"/>
  <c r="AD134" i="47" s="1"/>
  <c r="L134" i="47"/>
  <c r="Z134" i="47" s="1"/>
  <c r="I134" i="47"/>
  <c r="W134" i="47" s="1"/>
  <c r="F134" i="47"/>
  <c r="G134" i="47" s="1"/>
  <c r="F133" i="47"/>
  <c r="M133" i="47" s="1"/>
  <c r="F132" i="47"/>
  <c r="M132" i="47" s="1"/>
  <c r="F131" i="47"/>
  <c r="H131" i="47" s="1"/>
  <c r="G130" i="47"/>
  <c r="F130" i="47"/>
  <c r="J130" i="47" s="1"/>
  <c r="F129" i="47"/>
  <c r="M129" i="47" s="1"/>
  <c r="M128" i="47"/>
  <c r="F128" i="47"/>
  <c r="J128" i="47" s="1"/>
  <c r="F127" i="47"/>
  <c r="H127" i="47" s="1"/>
  <c r="AE126" i="47"/>
  <c r="AD126" i="47"/>
  <c r="AC126" i="47"/>
  <c r="AB126" i="47"/>
  <c r="L126" i="47"/>
  <c r="I126" i="47"/>
  <c r="W126" i="47" s="1"/>
  <c r="G126" i="47"/>
  <c r="F126" i="47"/>
  <c r="J126" i="47" s="1"/>
  <c r="F125" i="47"/>
  <c r="M125" i="47" s="1"/>
  <c r="P124" i="47"/>
  <c r="M124" i="47"/>
  <c r="G124" i="47"/>
  <c r="F124" i="47"/>
  <c r="N124" i="47" s="1"/>
  <c r="F123" i="47"/>
  <c r="M123" i="47" s="1"/>
  <c r="P122" i="47"/>
  <c r="F122" i="47"/>
  <c r="N122" i="47" s="1"/>
  <c r="Q121" i="47"/>
  <c r="P121" i="47"/>
  <c r="I121" i="47"/>
  <c r="F121" i="47"/>
  <c r="N121" i="47" s="1"/>
  <c r="R120" i="47"/>
  <c r="AF120" i="47" s="1"/>
  <c r="F120" i="47"/>
  <c r="H120" i="47" s="1"/>
  <c r="R119" i="47"/>
  <c r="H119" i="47"/>
  <c r="K119" i="47" s="1"/>
  <c r="G119" i="47"/>
  <c r="F119" i="47"/>
  <c r="L119" i="47" s="1"/>
  <c r="R118" i="47"/>
  <c r="G118" i="47"/>
  <c r="F118" i="47"/>
  <c r="L118" i="47" s="1"/>
  <c r="R117" i="47"/>
  <c r="G117" i="47"/>
  <c r="F117" i="47"/>
  <c r="H117" i="47" s="1"/>
  <c r="R116" i="47"/>
  <c r="L116" i="47"/>
  <c r="G116" i="47"/>
  <c r="F116" i="47"/>
  <c r="H116" i="47" s="1"/>
  <c r="K116" i="47" s="1"/>
  <c r="AD115" i="47"/>
  <c r="AB115" i="47"/>
  <c r="W115" i="47"/>
  <c r="R115" i="47"/>
  <c r="G115" i="47"/>
  <c r="F115" i="47"/>
  <c r="H115" i="47" s="1"/>
  <c r="K115" i="47" s="1"/>
  <c r="R114" i="47"/>
  <c r="K114" i="47"/>
  <c r="S114" i="47" s="1"/>
  <c r="F114" i="47"/>
  <c r="F113" i="47"/>
  <c r="L113" i="47" s="1"/>
  <c r="L112" i="47"/>
  <c r="F112" i="47"/>
  <c r="O112" i="47" s="1"/>
  <c r="N111" i="47"/>
  <c r="F111" i="47"/>
  <c r="F110" i="47"/>
  <c r="W109" i="47"/>
  <c r="Q109" i="47"/>
  <c r="F109" i="47"/>
  <c r="O109" i="47" s="1"/>
  <c r="R108" i="47"/>
  <c r="P108" i="47"/>
  <c r="F108" i="47"/>
  <c r="L108" i="47" s="1"/>
  <c r="R107" i="47"/>
  <c r="F107" i="47"/>
  <c r="I107" i="47" s="1"/>
  <c r="R106" i="47"/>
  <c r="F106" i="47"/>
  <c r="L106" i="47" s="1"/>
  <c r="R105" i="47"/>
  <c r="F105" i="47"/>
  <c r="I105" i="47" s="1"/>
  <c r="AB104" i="47"/>
  <c r="R104" i="47"/>
  <c r="F104" i="47"/>
  <c r="AE103" i="47"/>
  <c r="AD103" i="47"/>
  <c r="AC103" i="47"/>
  <c r="AA103" i="47"/>
  <c r="W103" i="47"/>
  <c r="L103" i="47"/>
  <c r="Z103" i="47" s="1"/>
  <c r="F103" i="47"/>
  <c r="G103" i="47" s="1"/>
  <c r="R102" i="47"/>
  <c r="AF102" i="47" s="1"/>
  <c r="H102" i="47"/>
  <c r="V102" i="47" s="1"/>
  <c r="G102" i="47"/>
  <c r="F101" i="47"/>
  <c r="M101" i="47" s="1"/>
  <c r="J100" i="47"/>
  <c r="F100" i="47"/>
  <c r="I100" i="47" s="1"/>
  <c r="F99" i="47"/>
  <c r="M99" i="47" s="1"/>
  <c r="M98" i="47"/>
  <c r="L98" i="47"/>
  <c r="F98" i="47"/>
  <c r="P98" i="47" s="1"/>
  <c r="H97" i="47"/>
  <c r="F97" i="47"/>
  <c r="N97" i="47" s="1"/>
  <c r="F96" i="47"/>
  <c r="O96" i="47" s="1"/>
  <c r="L95" i="47"/>
  <c r="H95" i="47"/>
  <c r="F95" i="47"/>
  <c r="O95" i="47" s="1"/>
  <c r="F94" i="47"/>
  <c r="P94" i="47" s="1"/>
  <c r="F93" i="47"/>
  <c r="N93" i="47" s="1"/>
  <c r="F92" i="47"/>
  <c r="N92" i="47" s="1"/>
  <c r="AE91" i="47"/>
  <c r="F91" i="47"/>
  <c r="N91" i="47" s="1"/>
  <c r="L90" i="47"/>
  <c r="F90" i="47"/>
  <c r="Q90" i="47" s="1"/>
  <c r="F89" i="47"/>
  <c r="L89" i="47" s="1"/>
  <c r="F88" i="47"/>
  <c r="P87" i="47"/>
  <c r="M87" i="47"/>
  <c r="H87" i="47"/>
  <c r="F87" i="47"/>
  <c r="Q87" i="47" s="1"/>
  <c r="F86" i="47"/>
  <c r="Q86" i="47" s="1"/>
  <c r="AC85" i="47"/>
  <c r="AB85" i="47"/>
  <c r="W85" i="47"/>
  <c r="F85" i="47"/>
  <c r="Q85" i="47" s="1"/>
  <c r="F84" i="47"/>
  <c r="F83" i="47"/>
  <c r="F82" i="47"/>
  <c r="F81" i="47"/>
  <c r="Z80" i="47"/>
  <c r="F80" i="47"/>
  <c r="F79" i="47"/>
  <c r="N79" i="47" s="1"/>
  <c r="F78" i="47"/>
  <c r="N78" i="47" s="1"/>
  <c r="O77" i="47"/>
  <c r="F77" i="47"/>
  <c r="N77" i="47" s="1"/>
  <c r="F76" i="47"/>
  <c r="N76" i="47" s="1"/>
  <c r="AE75" i="47"/>
  <c r="AD75" i="47"/>
  <c r="AA75" i="47"/>
  <c r="Z75" i="47"/>
  <c r="W75" i="47"/>
  <c r="U75" i="47"/>
  <c r="F75" i="47"/>
  <c r="N75" i="47" s="1"/>
  <c r="F74" i="47"/>
  <c r="H74" i="47" s="1"/>
  <c r="F73" i="47"/>
  <c r="J73" i="47" s="1"/>
  <c r="R73" i="47" s="1"/>
  <c r="P72" i="47"/>
  <c r="N72" i="47"/>
  <c r="L72" i="47"/>
  <c r="I72" i="47"/>
  <c r="F72" i="47"/>
  <c r="J72" i="47" s="1"/>
  <c r="R72" i="47" s="1"/>
  <c r="AE71" i="47"/>
  <c r="AC71" i="47"/>
  <c r="AA71" i="47"/>
  <c r="W71" i="47"/>
  <c r="F71" i="47"/>
  <c r="H71" i="47" s="1"/>
  <c r="AE69" i="47"/>
  <c r="AD69" i="47"/>
  <c r="AC69" i="47"/>
  <c r="AB69" i="47"/>
  <c r="AA69" i="47"/>
  <c r="Z69" i="47"/>
  <c r="X69" i="47"/>
  <c r="W69" i="47"/>
  <c r="V69" i="47"/>
  <c r="U69" i="47"/>
  <c r="AF69" i="47"/>
  <c r="AE68" i="47"/>
  <c r="AD68" i="47"/>
  <c r="AC68" i="47"/>
  <c r="AA68" i="47"/>
  <c r="Z68" i="47"/>
  <c r="X68" i="47"/>
  <c r="W68" i="47"/>
  <c r="R68" i="47"/>
  <c r="AF68" i="47" s="1"/>
  <c r="G68" i="47"/>
  <c r="F68" i="47"/>
  <c r="H68" i="47" s="1"/>
  <c r="V68" i="47" s="1"/>
  <c r="R67" i="47"/>
  <c r="F67" i="47"/>
  <c r="G67" i="47" s="1"/>
  <c r="K67" i="47" s="1"/>
  <c r="R66" i="47"/>
  <c r="F66" i="47"/>
  <c r="N66" i="47" s="1"/>
  <c r="R65" i="47"/>
  <c r="F65" i="47"/>
  <c r="I65" i="47" s="1"/>
  <c r="W63" i="47" s="1"/>
  <c r="R64" i="47"/>
  <c r="G64" i="47"/>
  <c r="K64" i="47" s="1"/>
  <c r="F64" i="47"/>
  <c r="N64" i="47" s="1"/>
  <c r="AE63" i="47"/>
  <c r="AC63" i="47"/>
  <c r="AA63" i="47"/>
  <c r="Z63" i="47"/>
  <c r="X63" i="47"/>
  <c r="V63" i="47"/>
  <c r="R63" i="47"/>
  <c r="F63" i="47"/>
  <c r="P63" i="47" s="1"/>
  <c r="AD63" i="47" s="1"/>
  <c r="R62" i="47"/>
  <c r="F62" i="47"/>
  <c r="L62" i="47" s="1"/>
  <c r="R61" i="47"/>
  <c r="F61" i="47"/>
  <c r="H61" i="47" s="1"/>
  <c r="R60" i="47"/>
  <c r="F60" i="47"/>
  <c r="G60" i="47" s="1"/>
  <c r="R59" i="47"/>
  <c r="F59" i="47"/>
  <c r="L59" i="47" s="1"/>
  <c r="R58" i="47"/>
  <c r="F58" i="47"/>
  <c r="L58" i="47" s="1"/>
  <c r="AD57" i="47"/>
  <c r="AB57" i="47"/>
  <c r="W57" i="47"/>
  <c r="R57" i="47"/>
  <c r="F57" i="47"/>
  <c r="H57" i="47" s="1"/>
  <c r="R56" i="47"/>
  <c r="F56" i="47"/>
  <c r="H56" i="47" s="1"/>
  <c r="R55" i="47"/>
  <c r="H55" i="47"/>
  <c r="F55" i="47"/>
  <c r="G55" i="47" s="1"/>
  <c r="K55" i="47" s="1"/>
  <c r="R54" i="47"/>
  <c r="F54" i="47"/>
  <c r="N54" i="47" s="1"/>
  <c r="R53" i="47"/>
  <c r="N53" i="47"/>
  <c r="F53" i="47"/>
  <c r="H53" i="47" s="1"/>
  <c r="R52" i="47"/>
  <c r="F52" i="47"/>
  <c r="H52" i="47" s="1"/>
  <c r="AE51" i="47"/>
  <c r="AD51" i="47"/>
  <c r="AC51" i="47"/>
  <c r="AA51" i="47"/>
  <c r="Z51" i="47"/>
  <c r="X51" i="47"/>
  <c r="W51" i="47"/>
  <c r="R51" i="47"/>
  <c r="F51" i="47"/>
  <c r="H51" i="47" s="1"/>
  <c r="R50" i="47"/>
  <c r="AF50" i="47" s="1"/>
  <c r="L50" i="47"/>
  <c r="Z50" i="47" s="1"/>
  <c r="H50" i="47"/>
  <c r="V50" i="47" s="1"/>
  <c r="G50" i="47"/>
  <c r="M49" i="47"/>
  <c r="F49" i="47"/>
  <c r="L49" i="47" s="1"/>
  <c r="F48" i="47"/>
  <c r="O48" i="47" s="1"/>
  <c r="F47" i="47"/>
  <c r="L47" i="47" s="1"/>
  <c r="L46" i="47"/>
  <c r="F46" i="47"/>
  <c r="O46" i="47" s="1"/>
  <c r="AE45" i="47"/>
  <c r="AD45" i="47"/>
  <c r="W45" i="47"/>
  <c r="F45" i="47"/>
  <c r="R44" i="47"/>
  <c r="L44" i="47"/>
  <c r="G44" i="47"/>
  <c r="K44" i="47" s="1"/>
  <c r="R43" i="47"/>
  <c r="L43" i="47"/>
  <c r="G43" i="47"/>
  <c r="K43" i="47" s="1"/>
  <c r="R42" i="47"/>
  <c r="L42" i="47"/>
  <c r="G42" i="47"/>
  <c r="K42" i="47" s="1"/>
  <c r="R41" i="47"/>
  <c r="L41" i="47"/>
  <c r="G41" i="47"/>
  <c r="K41" i="47" s="1"/>
  <c r="AD40" i="47"/>
  <c r="AB40" i="47"/>
  <c r="W40" i="47"/>
  <c r="V40" i="47"/>
  <c r="R40" i="47"/>
  <c r="L40" i="47"/>
  <c r="G40" i="47"/>
  <c r="F39" i="47"/>
  <c r="S39" i="47" s="1"/>
  <c r="F38" i="47"/>
  <c r="S38" i="47" s="1"/>
  <c r="F37" i="47"/>
  <c r="S37" i="47" s="1"/>
  <c r="AG37" i="47" s="1"/>
  <c r="F36" i="47"/>
  <c r="J36" i="47" s="1"/>
  <c r="G35" i="47"/>
  <c r="F35" i="47"/>
  <c r="F34" i="47"/>
  <c r="F33" i="47"/>
  <c r="O33" i="47" s="1"/>
  <c r="J32" i="47"/>
  <c r="F32" i="47"/>
  <c r="H32" i="47" s="1"/>
  <c r="F31" i="47"/>
  <c r="F30" i="47"/>
  <c r="AE29" i="47"/>
  <c r="AD29" i="47"/>
  <c r="M29" i="47"/>
  <c r="F29" i="47"/>
  <c r="L29" i="47" s="1"/>
  <c r="R28" i="47"/>
  <c r="F28" i="47"/>
  <c r="R27" i="47"/>
  <c r="F27" i="47"/>
  <c r="H27" i="47" s="1"/>
  <c r="R26" i="47"/>
  <c r="L26" i="47"/>
  <c r="F26" i="47"/>
  <c r="R25" i="47"/>
  <c r="F25" i="47"/>
  <c r="G25" i="47" s="1"/>
  <c r="AE24" i="47"/>
  <c r="AD24" i="47"/>
  <c r="AA24" i="47"/>
  <c r="Z24" i="47"/>
  <c r="W24" i="47"/>
  <c r="N24" i="47"/>
  <c r="AB24" i="47" s="1"/>
  <c r="F24" i="47"/>
  <c r="J24" i="47" s="1"/>
  <c r="X24" i="47" s="1"/>
  <c r="R23" i="47"/>
  <c r="K23" i="47"/>
  <c r="S23" i="47" s="1"/>
  <c r="F23" i="47"/>
  <c r="R22" i="47"/>
  <c r="K22" i="47"/>
  <c r="S22" i="47" s="1"/>
  <c r="F22" i="47"/>
  <c r="R21" i="47"/>
  <c r="K21" i="47"/>
  <c r="S21" i="47" s="1"/>
  <c r="F21" i="47"/>
  <c r="R20" i="47"/>
  <c r="F20" i="47"/>
  <c r="R19" i="47"/>
  <c r="F19" i="47"/>
  <c r="G19" i="47" s="1"/>
  <c r="R18" i="47"/>
  <c r="F18" i="47"/>
  <c r="L18" i="47" s="1"/>
  <c r="R17" i="47"/>
  <c r="F17" i="47"/>
  <c r="G17" i="47" s="1"/>
  <c r="R16" i="47"/>
  <c r="K16" i="47"/>
  <c r="S16" i="47" s="1"/>
  <c r="F16" i="47"/>
  <c r="AE15" i="47"/>
  <c r="AD15" i="47"/>
  <c r="AC15" i="47"/>
  <c r="AB15" i="47"/>
  <c r="AA15" i="47"/>
  <c r="X15" i="47"/>
  <c r="W15" i="47"/>
  <c r="R15" i="47"/>
  <c r="F15" i="47"/>
  <c r="L15" i="47" s="1"/>
  <c r="AE14" i="47"/>
  <c r="AD14" i="47"/>
  <c r="AC14" i="47"/>
  <c r="AB14" i="47"/>
  <c r="I14" i="47"/>
  <c r="W14" i="47" s="1"/>
  <c r="H14" i="47"/>
  <c r="V14" i="47" s="1"/>
  <c r="F14" i="47"/>
  <c r="J14" i="47" s="1"/>
  <c r="F13" i="47"/>
  <c r="S13" i="47" s="1"/>
  <c r="F12" i="47"/>
  <c r="S12" i="47" s="1"/>
  <c r="F11" i="47"/>
  <c r="S11" i="47" s="1"/>
  <c r="F10" i="47"/>
  <c r="S10" i="47" s="1"/>
  <c r="S9" i="47"/>
  <c r="F9" i="47"/>
  <c r="F8" i="47"/>
  <c r="S8" i="47" s="1"/>
  <c r="Y7" i="47"/>
  <c r="U7" i="47"/>
  <c r="F7" i="47"/>
  <c r="S7" i="47" s="1"/>
  <c r="S321" i="46"/>
  <c r="T321" i="46" s="1"/>
  <c r="S322" i="46"/>
  <c r="T322" i="46" s="1"/>
  <c r="S320" i="46"/>
  <c r="T320" i="46" s="1"/>
  <c r="S299" i="46"/>
  <c r="T299" i="46" s="1"/>
  <c r="S300" i="46"/>
  <c r="T300" i="46" s="1"/>
  <c r="S301" i="46"/>
  <c r="T301" i="46" s="1"/>
  <c r="S302" i="46"/>
  <c r="T302" i="46" s="1"/>
  <c r="S303" i="46"/>
  <c r="T303" i="46" s="1"/>
  <c r="S304" i="46"/>
  <c r="T304" i="46" s="1"/>
  <c r="T298" i="46"/>
  <c r="M495" i="46"/>
  <c r="S495" i="46" s="1"/>
  <c r="T495" i="46" s="1"/>
  <c r="M494" i="46"/>
  <c r="S494" i="46" s="1"/>
  <c r="M493" i="46"/>
  <c r="S493" i="46" s="1"/>
  <c r="T493" i="46" s="1"/>
  <c r="M492" i="46"/>
  <c r="S492" i="46" s="1"/>
  <c r="T492" i="46" s="1"/>
  <c r="M491" i="46"/>
  <c r="S491" i="46" s="1"/>
  <c r="T491" i="46" s="1"/>
  <c r="M490" i="46"/>
  <c r="S490" i="46" s="1"/>
  <c r="T490" i="46" s="1"/>
  <c r="M489" i="46"/>
  <c r="S489" i="46" s="1"/>
  <c r="T489" i="46" s="1"/>
  <c r="M305" i="46"/>
  <c r="N305" i="46"/>
  <c r="M306" i="46"/>
  <c r="N306" i="46"/>
  <c r="M307" i="46"/>
  <c r="N307" i="46"/>
  <c r="M308" i="46"/>
  <c r="N308" i="46"/>
  <c r="M309" i="46"/>
  <c r="N309" i="46"/>
  <c r="M310" i="46"/>
  <c r="N310" i="46"/>
  <c r="M311" i="46"/>
  <c r="N311" i="46"/>
  <c r="M312" i="46"/>
  <c r="N312" i="46"/>
  <c r="M313" i="46"/>
  <c r="N313" i="46"/>
  <c r="M314" i="46"/>
  <c r="N314" i="46"/>
  <c r="M315" i="46"/>
  <c r="N315" i="46"/>
  <c r="M316" i="46"/>
  <c r="N316" i="46"/>
  <c r="M317" i="46"/>
  <c r="N317" i="46"/>
  <c r="M318" i="46"/>
  <c r="N318" i="46"/>
  <c r="M319" i="46"/>
  <c r="N319" i="46"/>
  <c r="M323" i="46"/>
  <c r="N323" i="46"/>
  <c r="M324" i="46"/>
  <c r="N324" i="46"/>
  <c r="M325" i="46"/>
  <c r="N325" i="46"/>
  <c r="M326" i="46"/>
  <c r="N326" i="46"/>
  <c r="M327" i="46"/>
  <c r="N327" i="46"/>
  <c r="M328" i="46"/>
  <c r="N328" i="46"/>
  <c r="M329" i="46"/>
  <c r="N329" i="46"/>
  <c r="M330" i="46"/>
  <c r="N330" i="46"/>
  <c r="M331" i="46"/>
  <c r="N331" i="46"/>
  <c r="M332" i="46"/>
  <c r="N332" i="46"/>
  <c r="M333" i="46"/>
  <c r="N333" i="46"/>
  <c r="M334" i="46"/>
  <c r="N334" i="46"/>
  <c r="M335" i="46"/>
  <c r="N335" i="46"/>
  <c r="M336" i="46"/>
  <c r="N336" i="46"/>
  <c r="M337" i="46"/>
  <c r="N337" i="46"/>
  <c r="M338" i="46"/>
  <c r="N338" i="46"/>
  <c r="M339" i="46"/>
  <c r="N339" i="46"/>
  <c r="M340" i="46"/>
  <c r="N340" i="46"/>
  <c r="M341" i="46"/>
  <c r="N341" i="46"/>
  <c r="M342" i="46"/>
  <c r="N342" i="46"/>
  <c r="M343" i="46"/>
  <c r="N343" i="46"/>
  <c r="M344" i="46"/>
  <c r="N344" i="46"/>
  <c r="M345" i="46"/>
  <c r="N345" i="46"/>
  <c r="M346" i="46"/>
  <c r="N346" i="46"/>
  <c r="M347" i="46"/>
  <c r="N347" i="46"/>
  <c r="M348" i="46"/>
  <c r="N348" i="46"/>
  <c r="M349" i="46"/>
  <c r="N349" i="46"/>
  <c r="M350" i="46"/>
  <c r="N350" i="46"/>
  <c r="M351" i="46"/>
  <c r="N351" i="46"/>
  <c r="M352" i="46"/>
  <c r="N352" i="46"/>
  <c r="M353" i="46"/>
  <c r="N353" i="46"/>
  <c r="M354" i="46"/>
  <c r="N354" i="46"/>
  <c r="M355" i="46"/>
  <c r="N355" i="46"/>
  <c r="M356" i="46"/>
  <c r="N356" i="46"/>
  <c r="M357" i="46"/>
  <c r="N357" i="46"/>
  <c r="M358" i="46"/>
  <c r="N358" i="46"/>
  <c r="M359" i="46"/>
  <c r="N359" i="46"/>
  <c r="M360" i="46"/>
  <c r="N360" i="46"/>
  <c r="M361" i="46"/>
  <c r="N361" i="46"/>
  <c r="M362" i="46"/>
  <c r="N362" i="46"/>
  <c r="M363" i="46"/>
  <c r="N363" i="46"/>
  <c r="M364" i="46"/>
  <c r="N364" i="46"/>
  <c r="M365" i="46"/>
  <c r="N365" i="46"/>
  <c r="M366" i="46"/>
  <c r="N366" i="46"/>
  <c r="M367" i="46"/>
  <c r="N367" i="46"/>
  <c r="M368" i="46"/>
  <c r="N368" i="46"/>
  <c r="M369" i="46"/>
  <c r="N369" i="46"/>
  <c r="M370" i="46"/>
  <c r="N370" i="46"/>
  <c r="M371" i="46"/>
  <c r="N371" i="46"/>
  <c r="M372" i="46"/>
  <c r="N372" i="46"/>
  <c r="M373" i="46"/>
  <c r="N373" i="46"/>
  <c r="M374" i="46"/>
  <c r="N374" i="46"/>
  <c r="M375" i="46"/>
  <c r="N375" i="46"/>
  <c r="M376" i="46"/>
  <c r="N376" i="46"/>
  <c r="M377" i="46"/>
  <c r="N377" i="46"/>
  <c r="M378" i="46"/>
  <c r="N378" i="46"/>
  <c r="M379" i="46"/>
  <c r="N379" i="46"/>
  <c r="M380" i="46"/>
  <c r="N380" i="46"/>
  <c r="M381" i="46"/>
  <c r="N381" i="46"/>
  <c r="M382" i="46"/>
  <c r="N382" i="46"/>
  <c r="M383" i="46"/>
  <c r="N383" i="46"/>
  <c r="M384" i="46"/>
  <c r="N384" i="46"/>
  <c r="M385" i="46"/>
  <c r="N385" i="46"/>
  <c r="M386" i="46"/>
  <c r="N386" i="46"/>
  <c r="M387" i="46"/>
  <c r="N387" i="46"/>
  <c r="M388" i="46"/>
  <c r="N388" i="46"/>
  <c r="M389" i="46"/>
  <c r="N389" i="46"/>
  <c r="M390" i="46"/>
  <c r="N390" i="46"/>
  <c r="M391" i="46"/>
  <c r="N391" i="46"/>
  <c r="M392" i="46"/>
  <c r="N392" i="46"/>
  <c r="M393" i="46"/>
  <c r="N393" i="46"/>
  <c r="M394" i="46"/>
  <c r="N394" i="46"/>
  <c r="M395" i="46"/>
  <c r="N395" i="46"/>
  <c r="M396" i="46"/>
  <c r="N396" i="46"/>
  <c r="M397" i="46"/>
  <c r="N397" i="46"/>
  <c r="M398" i="46"/>
  <c r="N398" i="46"/>
  <c r="M399" i="46"/>
  <c r="N399" i="46"/>
  <c r="M400" i="46"/>
  <c r="N400" i="46"/>
  <c r="M401" i="46"/>
  <c r="N401" i="46"/>
  <c r="M402" i="46"/>
  <c r="N402" i="46"/>
  <c r="M403" i="46"/>
  <c r="N403" i="46"/>
  <c r="M404" i="46"/>
  <c r="N404" i="46"/>
  <c r="M405" i="46"/>
  <c r="N405" i="46"/>
  <c r="M406" i="46"/>
  <c r="N406" i="46"/>
  <c r="M407" i="46"/>
  <c r="N407" i="46"/>
  <c r="M408" i="46"/>
  <c r="N408" i="46"/>
  <c r="M409" i="46"/>
  <c r="N409" i="46"/>
  <c r="M410" i="46"/>
  <c r="N410" i="46"/>
  <c r="M411" i="46"/>
  <c r="N411" i="46"/>
  <c r="M412" i="46"/>
  <c r="N412" i="46"/>
  <c r="M413" i="46"/>
  <c r="N413" i="46"/>
  <c r="M414" i="46"/>
  <c r="N414" i="46"/>
  <c r="M415" i="46"/>
  <c r="N415" i="46"/>
  <c r="M416" i="46"/>
  <c r="N416" i="46"/>
  <c r="M417" i="46"/>
  <c r="N417" i="46"/>
  <c r="M418" i="46"/>
  <c r="N418" i="46"/>
  <c r="M419" i="46"/>
  <c r="N419" i="46"/>
  <c r="M420" i="46"/>
  <c r="N420" i="46"/>
  <c r="M421" i="46"/>
  <c r="N421" i="46"/>
  <c r="M422" i="46"/>
  <c r="N422" i="46"/>
  <c r="M423" i="46"/>
  <c r="N423" i="46"/>
  <c r="M424" i="46"/>
  <c r="N424" i="46"/>
  <c r="M425" i="46"/>
  <c r="N425" i="46"/>
  <c r="M426" i="46"/>
  <c r="N426" i="46"/>
  <c r="M427" i="46"/>
  <c r="N427" i="46"/>
  <c r="M428" i="46"/>
  <c r="N428" i="46"/>
  <c r="M429" i="46"/>
  <c r="N429" i="46"/>
  <c r="M430" i="46"/>
  <c r="N430" i="46"/>
  <c r="M431" i="46"/>
  <c r="N431" i="46"/>
  <c r="M432" i="46"/>
  <c r="N432" i="46"/>
  <c r="M433" i="46"/>
  <c r="N433" i="46"/>
  <c r="M434" i="46"/>
  <c r="N434" i="46"/>
  <c r="M435" i="46"/>
  <c r="N435" i="46"/>
  <c r="M436" i="46"/>
  <c r="N436" i="46"/>
  <c r="M437" i="46"/>
  <c r="N437" i="46"/>
  <c r="M438" i="46"/>
  <c r="N438" i="46"/>
  <c r="M439" i="46"/>
  <c r="N439" i="46"/>
  <c r="M440" i="46"/>
  <c r="N440" i="46"/>
  <c r="M441" i="46"/>
  <c r="N441" i="46"/>
  <c r="M442" i="46"/>
  <c r="N442" i="46"/>
  <c r="M443" i="46"/>
  <c r="N443" i="46"/>
  <c r="M444" i="46"/>
  <c r="N444" i="46"/>
  <c r="M445" i="46"/>
  <c r="N445" i="46"/>
  <c r="M446" i="46"/>
  <c r="N446" i="46"/>
  <c r="M447" i="46"/>
  <c r="N447" i="46"/>
  <c r="M448" i="46"/>
  <c r="N448" i="46"/>
  <c r="M449" i="46"/>
  <c r="N449" i="46"/>
  <c r="M450" i="46"/>
  <c r="N450" i="46"/>
  <c r="M451" i="46"/>
  <c r="N451" i="46"/>
  <c r="M452" i="46"/>
  <c r="N452" i="46"/>
  <c r="M453" i="46"/>
  <c r="N453" i="46"/>
  <c r="M454" i="46"/>
  <c r="N454" i="46"/>
  <c r="M455" i="46"/>
  <c r="N455" i="46"/>
  <c r="M456" i="46"/>
  <c r="N456" i="46"/>
  <c r="M457" i="46"/>
  <c r="N457" i="46"/>
  <c r="M458" i="46"/>
  <c r="N458" i="46"/>
  <c r="M459" i="46"/>
  <c r="N459" i="46"/>
  <c r="M460" i="46"/>
  <c r="N460" i="46"/>
  <c r="M461" i="46"/>
  <c r="N461" i="46"/>
  <c r="M462" i="46"/>
  <c r="N462" i="46"/>
  <c r="M463" i="46"/>
  <c r="N463" i="46"/>
  <c r="M464" i="46"/>
  <c r="N464" i="46"/>
  <c r="M465" i="46"/>
  <c r="N465" i="46"/>
  <c r="M466" i="46"/>
  <c r="N466" i="46"/>
  <c r="M467" i="46"/>
  <c r="N467" i="46"/>
  <c r="M468" i="46"/>
  <c r="N468" i="46"/>
  <c r="M469" i="46"/>
  <c r="N469" i="46"/>
  <c r="M470" i="46"/>
  <c r="N470" i="46"/>
  <c r="M471" i="46"/>
  <c r="N471" i="46"/>
  <c r="M472" i="46"/>
  <c r="N472" i="46"/>
  <c r="M473" i="46"/>
  <c r="N473" i="46"/>
  <c r="M474" i="46"/>
  <c r="N474" i="46"/>
  <c r="M475" i="46"/>
  <c r="N475" i="46"/>
  <c r="M476" i="46"/>
  <c r="N476" i="46"/>
  <c r="M477" i="46"/>
  <c r="N477" i="46"/>
  <c r="M478" i="46"/>
  <c r="N478" i="46"/>
  <c r="M479" i="46"/>
  <c r="N479" i="46"/>
  <c r="M480" i="46"/>
  <c r="N480" i="46"/>
  <c r="M481" i="46"/>
  <c r="N481" i="46"/>
  <c r="M482" i="46"/>
  <c r="N482" i="46"/>
  <c r="M483" i="46"/>
  <c r="N483" i="46"/>
  <c r="M484" i="46"/>
  <c r="N484" i="46"/>
  <c r="M485" i="46"/>
  <c r="N485" i="46"/>
  <c r="M486" i="46"/>
  <c r="N486" i="46"/>
  <c r="M487" i="46"/>
  <c r="N487" i="46"/>
  <c r="M488" i="46"/>
  <c r="N488" i="46"/>
  <c r="S293" i="46"/>
  <c r="R293" i="46"/>
  <c r="K293" i="46"/>
  <c r="F293" i="46"/>
  <c r="N293" i="46" s="1"/>
  <c r="S292" i="46"/>
  <c r="R292" i="46"/>
  <c r="K292" i="46"/>
  <c r="F292" i="46"/>
  <c r="H292" i="46" s="1"/>
  <c r="S291" i="46"/>
  <c r="R291" i="46"/>
  <c r="K291" i="46"/>
  <c r="F291" i="46"/>
  <c r="G291" i="46" s="1"/>
  <c r="Z290" i="46"/>
  <c r="W290" i="46"/>
  <c r="S290" i="46"/>
  <c r="R290" i="46"/>
  <c r="AF290" i="46" s="1"/>
  <c r="K290" i="46"/>
  <c r="F290" i="46"/>
  <c r="N290" i="46" s="1"/>
  <c r="K289" i="46"/>
  <c r="S289" i="46" s="1"/>
  <c r="K288" i="46"/>
  <c r="S288" i="46" s="1"/>
  <c r="K287" i="46"/>
  <c r="S287" i="46" s="1"/>
  <c r="K286" i="46"/>
  <c r="S286" i="46" s="1"/>
  <c r="K285" i="46"/>
  <c r="S285" i="46" s="1"/>
  <c r="K284" i="46"/>
  <c r="S284" i="46" s="1"/>
  <c r="AD283" i="46"/>
  <c r="AB283" i="46"/>
  <c r="W283" i="46"/>
  <c r="V283" i="46"/>
  <c r="U283" i="46"/>
  <c r="K283" i="46"/>
  <c r="S283" i="46" s="1"/>
  <c r="R282" i="46"/>
  <c r="F282" i="46"/>
  <c r="R281" i="46"/>
  <c r="F281" i="46"/>
  <c r="N281" i="46" s="1"/>
  <c r="R280" i="46"/>
  <c r="F280" i="46"/>
  <c r="R279" i="46"/>
  <c r="F279" i="46"/>
  <c r="AE278" i="46"/>
  <c r="AD278" i="46"/>
  <c r="AC278" i="46"/>
  <c r="AA278" i="46"/>
  <c r="Z278" i="46"/>
  <c r="X278" i="46"/>
  <c r="W278" i="46"/>
  <c r="R278" i="46"/>
  <c r="F278" i="46"/>
  <c r="G278" i="46" s="1"/>
  <c r="F277" i="46"/>
  <c r="F276" i="46"/>
  <c r="L276" i="46" s="1"/>
  <c r="F275" i="46"/>
  <c r="AE274" i="46"/>
  <c r="AD274" i="46"/>
  <c r="AC274" i="46"/>
  <c r="AB274" i="46"/>
  <c r="W274" i="46"/>
  <c r="F274" i="46"/>
  <c r="F273" i="46"/>
  <c r="N273" i="46" s="1"/>
  <c r="F272" i="46"/>
  <c r="O272" i="46" s="1"/>
  <c r="AE271" i="46"/>
  <c r="AA271" i="46"/>
  <c r="V271" i="46"/>
  <c r="L271" i="46"/>
  <c r="Z271" i="46" s="1"/>
  <c r="F271" i="46"/>
  <c r="P271" i="46" s="1"/>
  <c r="R270" i="46"/>
  <c r="K270" i="46"/>
  <c r="S270" i="46" s="1"/>
  <c r="R269" i="46"/>
  <c r="K269" i="46"/>
  <c r="F269" i="46"/>
  <c r="N269" i="46" s="1"/>
  <c r="AB269" i="46" s="1"/>
  <c r="R268" i="46"/>
  <c r="K268" i="46"/>
  <c r="S268" i="46" s="1"/>
  <c r="F268" i="46"/>
  <c r="F267" i="46"/>
  <c r="F266" i="46"/>
  <c r="M266" i="46" s="1"/>
  <c r="F265" i="46"/>
  <c r="J265" i="46" s="1"/>
  <c r="F264" i="46"/>
  <c r="J264" i="46" s="1"/>
  <c r="AE263" i="46"/>
  <c r="AD263" i="46"/>
  <c r="AC263" i="46"/>
  <c r="AB263" i="46"/>
  <c r="W263" i="46"/>
  <c r="F263" i="46"/>
  <c r="F262" i="46"/>
  <c r="G261" i="46"/>
  <c r="F261" i="46"/>
  <c r="J261" i="46" s="1"/>
  <c r="F260" i="46"/>
  <c r="H260" i="46" s="1"/>
  <c r="F259" i="46"/>
  <c r="AE258" i="46"/>
  <c r="AD258" i="46"/>
  <c r="AC258" i="46"/>
  <c r="AB258" i="46"/>
  <c r="I258" i="46"/>
  <c r="W258" i="46" s="1"/>
  <c r="F258" i="46"/>
  <c r="J258" i="46" s="1"/>
  <c r="F257" i="46"/>
  <c r="F256" i="46"/>
  <c r="F255" i="46"/>
  <c r="F254" i="46"/>
  <c r="J254" i="46" s="1"/>
  <c r="AE253" i="46"/>
  <c r="AD253" i="46"/>
  <c r="W253" i="46"/>
  <c r="U253" i="46"/>
  <c r="F253" i="46"/>
  <c r="J253" i="46" s="1"/>
  <c r="R252" i="46"/>
  <c r="F252" i="46"/>
  <c r="H252" i="46" s="1"/>
  <c r="K252" i="46" s="1"/>
  <c r="S252" i="46" s="1"/>
  <c r="R251" i="46"/>
  <c r="F251" i="46"/>
  <c r="H251" i="46" s="1"/>
  <c r="K251" i="46" s="1"/>
  <c r="S251" i="46" s="1"/>
  <c r="R250" i="46"/>
  <c r="F250" i="46"/>
  <c r="H250" i="46" s="1"/>
  <c r="K250" i="46" s="1"/>
  <c r="S250" i="46" s="1"/>
  <c r="R249" i="46"/>
  <c r="F249" i="46"/>
  <c r="H249" i="46" s="1"/>
  <c r="K249" i="46" s="1"/>
  <c r="S249" i="46" s="1"/>
  <c r="R248" i="46"/>
  <c r="F248" i="46"/>
  <c r="H248" i="46" s="1"/>
  <c r="K248" i="46" s="1"/>
  <c r="S248" i="46" s="1"/>
  <c r="R247" i="46"/>
  <c r="F247" i="46"/>
  <c r="H247" i="46" s="1"/>
  <c r="K247" i="46" s="1"/>
  <c r="S247" i="46" s="1"/>
  <c r="R246" i="46"/>
  <c r="F246" i="46"/>
  <c r="H246" i="46" s="1"/>
  <c r="K246" i="46" s="1"/>
  <c r="S246" i="46" s="1"/>
  <c r="AE245" i="46"/>
  <c r="AD245" i="46"/>
  <c r="AC245" i="46"/>
  <c r="AB245" i="46"/>
  <c r="AA245" i="46"/>
  <c r="Z245" i="46"/>
  <c r="X245" i="46"/>
  <c r="W245" i="46"/>
  <c r="U245" i="46"/>
  <c r="R245" i="46"/>
  <c r="F245" i="46"/>
  <c r="H245" i="46" s="1"/>
  <c r="K245" i="46" s="1"/>
  <c r="S245" i="46" s="1"/>
  <c r="R244" i="46"/>
  <c r="N244" i="46"/>
  <c r="L244" i="46"/>
  <c r="I244" i="46"/>
  <c r="H244" i="46"/>
  <c r="G244" i="46"/>
  <c r="U244" i="46" s="1"/>
  <c r="AD243" i="46"/>
  <c r="AB243" i="46"/>
  <c r="W243" i="46"/>
  <c r="U243" i="46"/>
  <c r="R243" i="46"/>
  <c r="AF243" i="46" s="1"/>
  <c r="F243" i="46"/>
  <c r="L243" i="46" s="1"/>
  <c r="Z243" i="46" s="1"/>
  <c r="R242" i="46"/>
  <c r="L242" i="46"/>
  <c r="G242" i="46"/>
  <c r="K242" i="46" s="1"/>
  <c r="R241" i="46"/>
  <c r="L241" i="46"/>
  <c r="G241" i="46"/>
  <c r="K241" i="46" s="1"/>
  <c r="R240" i="46"/>
  <c r="L240" i="46"/>
  <c r="G240" i="46"/>
  <c r="K240" i="46" s="1"/>
  <c r="Z239" i="46"/>
  <c r="U239" i="46"/>
  <c r="R239" i="46"/>
  <c r="AF239" i="46" s="1"/>
  <c r="P239" i="46"/>
  <c r="AD239" i="46" s="1"/>
  <c r="N239" i="46"/>
  <c r="AB239" i="46" s="1"/>
  <c r="I239" i="46"/>
  <c r="W239" i="46" s="1"/>
  <c r="H239" i="46"/>
  <c r="R238" i="46"/>
  <c r="K238" i="46"/>
  <c r="S238" i="46" s="1"/>
  <c r="R237" i="46"/>
  <c r="K237" i="46"/>
  <c r="S237" i="46" s="1"/>
  <c r="R236" i="46"/>
  <c r="K236" i="46"/>
  <c r="S236" i="46" s="1"/>
  <c r="R235" i="46"/>
  <c r="K235" i="46"/>
  <c r="S235" i="46" s="1"/>
  <c r="F235" i="46"/>
  <c r="R234" i="46"/>
  <c r="K234" i="46"/>
  <c r="S234" i="46" s="1"/>
  <c r="F234" i="46"/>
  <c r="R233" i="46"/>
  <c r="K233" i="46"/>
  <c r="S233" i="46" s="1"/>
  <c r="F233" i="46"/>
  <c r="R232" i="46"/>
  <c r="K232" i="46"/>
  <c r="S232" i="46" s="1"/>
  <c r="F232" i="46"/>
  <c r="R231" i="46"/>
  <c r="K231" i="46"/>
  <c r="S231" i="46" s="1"/>
  <c r="F231" i="46"/>
  <c r="R230" i="46"/>
  <c r="K230" i="46"/>
  <c r="S230" i="46" s="1"/>
  <c r="F230" i="46"/>
  <c r="R229" i="46"/>
  <c r="K229" i="46"/>
  <c r="S229" i="46" s="1"/>
  <c r="F229" i="46"/>
  <c r="R228" i="46"/>
  <c r="K228" i="46"/>
  <c r="S228" i="46" s="1"/>
  <c r="F228" i="46"/>
  <c r="K227" i="46"/>
  <c r="S227" i="46" s="1"/>
  <c r="F227" i="46"/>
  <c r="R226" i="46"/>
  <c r="AF225" i="46" s="1"/>
  <c r="N226" i="46"/>
  <c r="AB225" i="46" s="1"/>
  <c r="G226" i="46"/>
  <c r="U225" i="46" s="1"/>
  <c r="F226" i="46"/>
  <c r="AE225" i="46"/>
  <c r="AC225" i="46"/>
  <c r="AA225" i="46"/>
  <c r="X225" i="46"/>
  <c r="R225" i="46"/>
  <c r="F225" i="46"/>
  <c r="F224" i="46"/>
  <c r="J224" i="46" s="1"/>
  <c r="F223" i="46"/>
  <c r="N223" i="46" s="1"/>
  <c r="F222" i="46"/>
  <c r="F221" i="46"/>
  <c r="N221" i="46" s="1"/>
  <c r="F220" i="46"/>
  <c r="F219" i="46"/>
  <c r="F218" i="46"/>
  <c r="F217" i="46"/>
  <c r="F216" i="46"/>
  <c r="J216" i="46" s="1"/>
  <c r="F215" i="46"/>
  <c r="N215" i="46" s="1"/>
  <c r="F214" i="46"/>
  <c r="F213" i="46"/>
  <c r="N213" i="46" s="1"/>
  <c r="F212" i="46"/>
  <c r="F211" i="46"/>
  <c r="F210" i="46"/>
  <c r="O210" i="46" s="1"/>
  <c r="F209" i="46"/>
  <c r="F208" i="46"/>
  <c r="N208" i="46" s="1"/>
  <c r="F207" i="46"/>
  <c r="F206" i="46"/>
  <c r="F205" i="46"/>
  <c r="F204" i="46"/>
  <c r="F203" i="46"/>
  <c r="F202" i="46"/>
  <c r="H202" i="46" s="1"/>
  <c r="F201" i="46"/>
  <c r="F200" i="46"/>
  <c r="F199" i="46"/>
  <c r="F198" i="46"/>
  <c r="F197" i="46"/>
  <c r="F196" i="46"/>
  <c r="F195" i="46"/>
  <c r="F194" i="46"/>
  <c r="J194" i="46" s="1"/>
  <c r="F193" i="46"/>
  <c r="F192" i="46"/>
  <c r="F191" i="46"/>
  <c r="F190" i="46"/>
  <c r="O190" i="46" s="1"/>
  <c r="F189" i="46"/>
  <c r="J189" i="46" s="1"/>
  <c r="F188" i="46"/>
  <c r="F187" i="46"/>
  <c r="F186" i="46"/>
  <c r="J186" i="46" s="1"/>
  <c r="F185" i="46"/>
  <c r="AE184" i="46"/>
  <c r="AD184" i="46"/>
  <c r="AA184" i="46"/>
  <c r="Z184" i="46"/>
  <c r="W184" i="46"/>
  <c r="U184" i="46"/>
  <c r="F184" i="46"/>
  <c r="H184" i="46" s="1"/>
  <c r="F183" i="46"/>
  <c r="F182" i="46"/>
  <c r="H182" i="46" s="1"/>
  <c r="F181" i="46"/>
  <c r="L181" i="46" s="1"/>
  <c r="F180" i="46"/>
  <c r="F179" i="46"/>
  <c r="F178" i="46"/>
  <c r="AE177" i="46"/>
  <c r="AC177" i="46"/>
  <c r="AB177" i="46"/>
  <c r="M177" i="46"/>
  <c r="F177" i="46"/>
  <c r="L177" i="46" s="1"/>
  <c r="F176" i="46"/>
  <c r="O176" i="46" s="1"/>
  <c r="F175" i="46"/>
  <c r="F174" i="46"/>
  <c r="H174" i="46" s="1"/>
  <c r="F173" i="46"/>
  <c r="F172" i="46"/>
  <c r="AE171" i="46"/>
  <c r="AD171" i="46"/>
  <c r="AA171" i="46"/>
  <c r="Z171" i="46"/>
  <c r="W171" i="46"/>
  <c r="U171" i="46"/>
  <c r="F171" i="46"/>
  <c r="N171" i="46" s="1"/>
  <c r="F170" i="46"/>
  <c r="F169" i="46"/>
  <c r="AE168" i="46"/>
  <c r="AD168" i="46"/>
  <c r="AC168" i="46"/>
  <c r="N168" i="46"/>
  <c r="AB168" i="46" s="1"/>
  <c r="F168" i="46"/>
  <c r="R167" i="46"/>
  <c r="AF167" i="46" s="1"/>
  <c r="N167" i="46"/>
  <c r="AB167" i="46" s="1"/>
  <c r="H167" i="46"/>
  <c r="V167" i="46" s="1"/>
  <c r="G167" i="46"/>
  <c r="R166" i="46"/>
  <c r="N166" i="46"/>
  <c r="H166" i="46"/>
  <c r="G166" i="46"/>
  <c r="R165" i="46"/>
  <c r="N165" i="46"/>
  <c r="H165" i="46"/>
  <c r="V162" i="46" s="1"/>
  <c r="G165" i="46"/>
  <c r="R164" i="46"/>
  <c r="N164" i="46"/>
  <c r="G164" i="46"/>
  <c r="K164" i="46" s="1"/>
  <c r="R163" i="46"/>
  <c r="N163" i="46"/>
  <c r="G163" i="46"/>
  <c r="K163" i="46" s="1"/>
  <c r="AD162" i="46"/>
  <c r="Z162" i="46"/>
  <c r="R162" i="46"/>
  <c r="N162" i="46"/>
  <c r="I162" i="46"/>
  <c r="G162" i="46"/>
  <c r="F161" i="46"/>
  <c r="J161" i="46" s="1"/>
  <c r="F160" i="46"/>
  <c r="F159" i="46"/>
  <c r="F158" i="46"/>
  <c r="AC157" i="46"/>
  <c r="AA157" i="46"/>
  <c r="F157" i="46"/>
  <c r="G157" i="46" s="1"/>
  <c r="R156" i="46"/>
  <c r="K156" i="46"/>
  <c r="S156" i="46" s="1"/>
  <c r="F156" i="46"/>
  <c r="R155" i="46"/>
  <c r="L155" i="46"/>
  <c r="H155" i="46"/>
  <c r="G155" i="46"/>
  <c r="R154" i="46"/>
  <c r="L154" i="46"/>
  <c r="H154" i="46"/>
  <c r="G154" i="46"/>
  <c r="R153" i="46"/>
  <c r="L153" i="46"/>
  <c r="H153" i="46"/>
  <c r="G153" i="46"/>
  <c r="R152" i="46"/>
  <c r="L152" i="46"/>
  <c r="H152" i="46"/>
  <c r="G152" i="46"/>
  <c r="AD151" i="46"/>
  <c r="AB151" i="46"/>
  <c r="W151" i="46"/>
  <c r="R151" i="46"/>
  <c r="L151" i="46"/>
  <c r="H151" i="46"/>
  <c r="G151" i="46"/>
  <c r="R150" i="46"/>
  <c r="F150" i="46"/>
  <c r="N150" i="46" s="1"/>
  <c r="R149" i="46"/>
  <c r="F149" i="46"/>
  <c r="N149" i="46" s="1"/>
  <c r="R148" i="46"/>
  <c r="F148" i="46"/>
  <c r="G148" i="46" s="1"/>
  <c r="K148" i="46" s="1"/>
  <c r="S148" i="46" s="1"/>
  <c r="R147" i="46"/>
  <c r="F147" i="46"/>
  <c r="G147" i="46" s="1"/>
  <c r="K147" i="46" s="1"/>
  <c r="R146" i="46"/>
  <c r="F146" i="46"/>
  <c r="G146" i="46" s="1"/>
  <c r="K146" i="46" s="1"/>
  <c r="S146" i="46" s="1"/>
  <c r="AE145" i="46"/>
  <c r="AD145" i="46"/>
  <c r="AC145" i="46"/>
  <c r="AA145" i="46"/>
  <c r="Z145" i="46"/>
  <c r="X145" i="46"/>
  <c r="W145" i="46"/>
  <c r="V145" i="46"/>
  <c r="R145" i="46"/>
  <c r="F145" i="46"/>
  <c r="R144" i="46"/>
  <c r="F144" i="46"/>
  <c r="AE143" i="46"/>
  <c r="AD143" i="46"/>
  <c r="AC143" i="46"/>
  <c r="AB143" i="46"/>
  <c r="AA143" i="46"/>
  <c r="Z143" i="46"/>
  <c r="X143" i="46"/>
  <c r="W143" i="46"/>
  <c r="R143" i="46"/>
  <c r="AF143" i="46" s="1"/>
  <c r="F143" i="46"/>
  <c r="H143" i="46" s="1"/>
  <c r="V143" i="46" s="1"/>
  <c r="R142" i="46"/>
  <c r="H142" i="46"/>
  <c r="V142" i="46" s="1"/>
  <c r="G142" i="46"/>
  <c r="U142" i="46" s="1"/>
  <c r="R141" i="46"/>
  <c r="G141" i="46"/>
  <c r="F141" i="46"/>
  <c r="H141" i="46" s="1"/>
  <c r="V141" i="46" s="1"/>
  <c r="R140" i="46"/>
  <c r="K140" i="46"/>
  <c r="S140" i="46" s="1"/>
  <c r="R139" i="46"/>
  <c r="L139" i="46"/>
  <c r="H139" i="46"/>
  <c r="G139" i="46"/>
  <c r="R138" i="46"/>
  <c r="L138" i="46"/>
  <c r="H138" i="46"/>
  <c r="G138" i="46"/>
  <c r="R137" i="46"/>
  <c r="L137" i="46"/>
  <c r="H137" i="46"/>
  <c r="G137" i="46"/>
  <c r="R136" i="46"/>
  <c r="L136" i="46"/>
  <c r="H136" i="46"/>
  <c r="G136" i="46"/>
  <c r="AD135" i="46"/>
  <c r="AB135" i="46"/>
  <c r="W135" i="46"/>
  <c r="R135" i="46"/>
  <c r="L135" i="46"/>
  <c r="H135" i="46"/>
  <c r="G135" i="46"/>
  <c r="R134" i="46"/>
  <c r="AF134" i="46" s="1"/>
  <c r="P134" i="46"/>
  <c r="AD134" i="46" s="1"/>
  <c r="L134" i="46"/>
  <c r="Z134" i="46" s="1"/>
  <c r="I134" i="46"/>
  <c r="W134" i="46" s="1"/>
  <c r="F134" i="46"/>
  <c r="F133" i="46"/>
  <c r="J133" i="46" s="1"/>
  <c r="F132" i="46"/>
  <c r="G132" i="46" s="1"/>
  <c r="F131" i="46"/>
  <c r="F130" i="46"/>
  <c r="J130" i="46" s="1"/>
  <c r="F129" i="46"/>
  <c r="J129" i="46" s="1"/>
  <c r="F128" i="46"/>
  <c r="J128" i="46" s="1"/>
  <c r="F127" i="46"/>
  <c r="AE126" i="46"/>
  <c r="AD126" i="46"/>
  <c r="AC126" i="46"/>
  <c r="AB126" i="46"/>
  <c r="I126" i="46"/>
  <c r="W126" i="46" s="1"/>
  <c r="F126" i="46"/>
  <c r="J126" i="46" s="1"/>
  <c r="F125" i="46"/>
  <c r="F124" i="46"/>
  <c r="M124" i="46" s="1"/>
  <c r="F123" i="46"/>
  <c r="O123" i="46" s="1"/>
  <c r="F122" i="46"/>
  <c r="F121" i="46"/>
  <c r="J121" i="46" s="1"/>
  <c r="R120" i="46"/>
  <c r="AF120" i="46" s="1"/>
  <c r="F120" i="46"/>
  <c r="H120" i="46" s="1"/>
  <c r="R119" i="46"/>
  <c r="G119" i="46"/>
  <c r="F119" i="46"/>
  <c r="H119" i="46" s="1"/>
  <c r="R118" i="46"/>
  <c r="G118" i="46"/>
  <c r="F118" i="46"/>
  <c r="R117" i="46"/>
  <c r="G117" i="46"/>
  <c r="F117" i="46"/>
  <c r="R116" i="46"/>
  <c r="G116" i="46"/>
  <c r="F116" i="46"/>
  <c r="H116" i="46" s="1"/>
  <c r="AD115" i="46"/>
  <c r="AB115" i="46"/>
  <c r="W115" i="46"/>
  <c r="R115" i="46"/>
  <c r="G115" i="46"/>
  <c r="F115" i="46"/>
  <c r="R114" i="46"/>
  <c r="K114" i="46"/>
  <c r="S114" i="46" s="1"/>
  <c r="F114" i="46"/>
  <c r="F113" i="46"/>
  <c r="H113" i="46" s="1"/>
  <c r="F112" i="46"/>
  <c r="O112" i="46" s="1"/>
  <c r="F111" i="46"/>
  <c r="O111" i="46" s="1"/>
  <c r="F110" i="46"/>
  <c r="P110" i="46" s="1"/>
  <c r="AD109" i="46" s="1"/>
  <c r="W109" i="46"/>
  <c r="Q109" i="46"/>
  <c r="F109" i="46"/>
  <c r="R108" i="46"/>
  <c r="F108" i="46"/>
  <c r="R107" i="46"/>
  <c r="F107" i="46"/>
  <c r="I107" i="46" s="1"/>
  <c r="R106" i="46"/>
  <c r="F106" i="46"/>
  <c r="R105" i="46"/>
  <c r="F105" i="46"/>
  <c r="L105" i="46" s="1"/>
  <c r="AB104" i="46"/>
  <c r="R104" i="46"/>
  <c r="F104" i="46"/>
  <c r="G104" i="46" s="1"/>
  <c r="AE103" i="46"/>
  <c r="AD103" i="46"/>
  <c r="AC103" i="46"/>
  <c r="AA103" i="46"/>
  <c r="W103" i="46"/>
  <c r="L103" i="46"/>
  <c r="Z103" i="46" s="1"/>
  <c r="F103" i="46"/>
  <c r="H103" i="46" s="1"/>
  <c r="V103" i="46" s="1"/>
  <c r="R102" i="46"/>
  <c r="AF102" i="46" s="1"/>
  <c r="H102" i="46"/>
  <c r="V102" i="46" s="1"/>
  <c r="G102" i="46"/>
  <c r="F101" i="46"/>
  <c r="F100" i="46"/>
  <c r="P100" i="46" s="1"/>
  <c r="F99" i="46"/>
  <c r="M99" i="46" s="1"/>
  <c r="F98" i="46"/>
  <c r="M98" i="46" s="1"/>
  <c r="F97" i="46"/>
  <c r="I97" i="46" s="1"/>
  <c r="F96" i="46"/>
  <c r="J96" i="46" s="1"/>
  <c r="F95" i="46"/>
  <c r="F94" i="46"/>
  <c r="F93" i="46"/>
  <c r="P93" i="46" s="1"/>
  <c r="F92" i="46"/>
  <c r="AE91" i="46"/>
  <c r="F91" i="46"/>
  <c r="L91" i="46" s="1"/>
  <c r="F90" i="46"/>
  <c r="F89" i="46"/>
  <c r="F88" i="46"/>
  <c r="J88" i="46" s="1"/>
  <c r="F87" i="46"/>
  <c r="Q87" i="46" s="1"/>
  <c r="F86" i="46"/>
  <c r="AC85" i="46"/>
  <c r="AB85" i="46"/>
  <c r="W85" i="46"/>
  <c r="F85" i="46"/>
  <c r="F84" i="46"/>
  <c r="F83" i="46"/>
  <c r="F82" i="46"/>
  <c r="F81" i="46"/>
  <c r="Z80" i="46"/>
  <c r="F80" i="46"/>
  <c r="F79" i="46"/>
  <c r="F78" i="46"/>
  <c r="F77" i="46"/>
  <c r="N77" i="46" s="1"/>
  <c r="F76" i="46"/>
  <c r="N76" i="46" s="1"/>
  <c r="AE75" i="46"/>
  <c r="AD75" i="46"/>
  <c r="AA75" i="46"/>
  <c r="Z75" i="46"/>
  <c r="W75" i="46"/>
  <c r="U75" i="46"/>
  <c r="F75" i="46"/>
  <c r="F74" i="46"/>
  <c r="L74" i="46" s="1"/>
  <c r="F73" i="46"/>
  <c r="J73" i="46" s="1"/>
  <c r="R73" i="46" s="1"/>
  <c r="P72" i="46"/>
  <c r="I72" i="46"/>
  <c r="W71" i="46" s="1"/>
  <c r="F72" i="46"/>
  <c r="L72" i="46" s="1"/>
  <c r="AE71" i="46"/>
  <c r="AC71" i="46"/>
  <c r="AA71" i="46"/>
  <c r="F71" i="46"/>
  <c r="H71" i="46" s="1"/>
  <c r="AE69" i="46"/>
  <c r="AD69" i="46"/>
  <c r="AC69" i="46"/>
  <c r="AB69" i="46"/>
  <c r="AA69" i="46"/>
  <c r="Z69" i="46"/>
  <c r="X69" i="46"/>
  <c r="W69" i="46"/>
  <c r="V69" i="46"/>
  <c r="AE68" i="46"/>
  <c r="AD68" i="46"/>
  <c r="AC68" i="46"/>
  <c r="AA68" i="46"/>
  <c r="Z68" i="46"/>
  <c r="X68" i="46"/>
  <c r="W68" i="46"/>
  <c r="R68" i="46"/>
  <c r="AF68" i="46" s="1"/>
  <c r="G68" i="46"/>
  <c r="U68" i="46" s="1"/>
  <c r="F68" i="46"/>
  <c r="R67" i="46"/>
  <c r="F67" i="46"/>
  <c r="N67" i="46" s="1"/>
  <c r="R66" i="46"/>
  <c r="F66" i="46"/>
  <c r="G66" i="46" s="1"/>
  <c r="K66" i="46" s="1"/>
  <c r="R65" i="46"/>
  <c r="F65" i="46"/>
  <c r="G65" i="46" s="1"/>
  <c r="R64" i="46"/>
  <c r="F64" i="46"/>
  <c r="N64" i="46" s="1"/>
  <c r="AE63" i="46"/>
  <c r="AC63" i="46"/>
  <c r="AA63" i="46"/>
  <c r="Z63" i="46"/>
  <c r="X63" i="46"/>
  <c r="V63" i="46"/>
  <c r="R63" i="46"/>
  <c r="F63" i="46"/>
  <c r="N63" i="46" s="1"/>
  <c r="R62" i="46"/>
  <c r="F62" i="46"/>
  <c r="R61" i="46"/>
  <c r="F61" i="46"/>
  <c r="G61" i="46" s="1"/>
  <c r="R60" i="46"/>
  <c r="F60" i="46"/>
  <c r="R59" i="46"/>
  <c r="F59" i="46"/>
  <c r="R58" i="46"/>
  <c r="F58" i="46"/>
  <c r="L58" i="46" s="1"/>
  <c r="AD57" i="46"/>
  <c r="AB57" i="46"/>
  <c r="W57" i="46"/>
  <c r="R57" i="46"/>
  <c r="F57" i="46"/>
  <c r="L57" i="46" s="1"/>
  <c r="R56" i="46"/>
  <c r="F56" i="46"/>
  <c r="R55" i="46"/>
  <c r="H55" i="46"/>
  <c r="F55" i="46"/>
  <c r="R54" i="46"/>
  <c r="F54" i="46"/>
  <c r="H54" i="46" s="1"/>
  <c r="R53" i="46"/>
  <c r="F53" i="46"/>
  <c r="R52" i="46"/>
  <c r="F52" i="46"/>
  <c r="AE51" i="46"/>
  <c r="AD51" i="46"/>
  <c r="AC51" i="46"/>
  <c r="AA51" i="46"/>
  <c r="Z51" i="46"/>
  <c r="X51" i="46"/>
  <c r="W51" i="46"/>
  <c r="R51" i="46"/>
  <c r="F51" i="46"/>
  <c r="G51" i="46" s="1"/>
  <c r="R50" i="46"/>
  <c r="AF50" i="46" s="1"/>
  <c r="L50" i="46"/>
  <c r="Z50" i="46" s="1"/>
  <c r="H50" i="46"/>
  <c r="V50" i="46" s="1"/>
  <c r="G50" i="46"/>
  <c r="U50" i="46" s="1"/>
  <c r="F49" i="46"/>
  <c r="F48" i="46"/>
  <c r="O48" i="46" s="1"/>
  <c r="F47" i="46"/>
  <c r="M47" i="46" s="1"/>
  <c r="F46" i="46"/>
  <c r="AE45" i="46"/>
  <c r="AD45" i="46"/>
  <c r="W45" i="46"/>
  <c r="F45" i="46"/>
  <c r="H45" i="46" s="1"/>
  <c r="V45" i="46" s="1"/>
  <c r="R44" i="46"/>
  <c r="L44" i="46"/>
  <c r="G44" i="46"/>
  <c r="K44" i="46" s="1"/>
  <c r="R43" i="46"/>
  <c r="L43" i="46"/>
  <c r="G43" i="46"/>
  <c r="K43" i="46" s="1"/>
  <c r="R42" i="46"/>
  <c r="L42" i="46"/>
  <c r="G42" i="46"/>
  <c r="K42" i="46" s="1"/>
  <c r="R41" i="46"/>
  <c r="L41" i="46"/>
  <c r="G41" i="46"/>
  <c r="K41" i="46" s="1"/>
  <c r="AD40" i="46"/>
  <c r="AB40" i="46"/>
  <c r="W40" i="46"/>
  <c r="V40" i="46"/>
  <c r="R40" i="46"/>
  <c r="L40" i="46"/>
  <c r="G40" i="46"/>
  <c r="F39" i="46"/>
  <c r="S39" i="46" s="1"/>
  <c r="F38" i="46"/>
  <c r="S38" i="46" s="1"/>
  <c r="F37" i="46"/>
  <c r="S37" i="46" s="1"/>
  <c r="AG37" i="46" s="1"/>
  <c r="F36" i="46"/>
  <c r="N36" i="46" s="1"/>
  <c r="G35" i="46"/>
  <c r="F35" i="46"/>
  <c r="J35" i="46" s="1"/>
  <c r="F34" i="46"/>
  <c r="O34" i="46" s="1"/>
  <c r="F33" i="46"/>
  <c r="F32" i="46"/>
  <c r="O32" i="46" s="1"/>
  <c r="F31" i="46"/>
  <c r="N31" i="46" s="1"/>
  <c r="F30" i="46"/>
  <c r="H30" i="46" s="1"/>
  <c r="AE29" i="46"/>
  <c r="AD29" i="46"/>
  <c r="F29" i="46"/>
  <c r="L29" i="46" s="1"/>
  <c r="R28" i="46"/>
  <c r="F28" i="46"/>
  <c r="N28" i="46" s="1"/>
  <c r="R27" i="46"/>
  <c r="F27" i="46"/>
  <c r="G27" i="46" s="1"/>
  <c r="R26" i="46"/>
  <c r="L26" i="46"/>
  <c r="F26" i="46"/>
  <c r="N26" i="46" s="1"/>
  <c r="R25" i="46"/>
  <c r="F25" i="46"/>
  <c r="N25" i="46" s="1"/>
  <c r="AE24" i="46"/>
  <c r="AD24" i="46"/>
  <c r="AA24" i="46"/>
  <c r="Z24" i="46"/>
  <c r="W24" i="46"/>
  <c r="F24" i="46"/>
  <c r="R23" i="46"/>
  <c r="K23" i="46"/>
  <c r="S23" i="46" s="1"/>
  <c r="F23" i="46"/>
  <c r="R22" i="46"/>
  <c r="K22" i="46"/>
  <c r="S22" i="46" s="1"/>
  <c r="F22" i="46"/>
  <c r="R21" i="46"/>
  <c r="K21" i="46"/>
  <c r="S21" i="46" s="1"/>
  <c r="F21" i="46"/>
  <c r="R20" i="46"/>
  <c r="F20" i="46"/>
  <c r="R19" i="46"/>
  <c r="F19" i="46"/>
  <c r="R18" i="46"/>
  <c r="F18" i="46"/>
  <c r="R17" i="46"/>
  <c r="F17" i="46"/>
  <c r="L17" i="46" s="1"/>
  <c r="R16" i="46"/>
  <c r="K16" i="46"/>
  <c r="S16" i="46" s="1"/>
  <c r="F16" i="46"/>
  <c r="AE15" i="46"/>
  <c r="AD15" i="46"/>
  <c r="AC15" i="46"/>
  <c r="AB15" i="46"/>
  <c r="AA15" i="46"/>
  <c r="X15" i="46"/>
  <c r="W15" i="46"/>
  <c r="R15" i="46"/>
  <c r="F15" i="46"/>
  <c r="L15" i="46" s="1"/>
  <c r="AE14" i="46"/>
  <c r="AD14" i="46"/>
  <c r="AC14" i="46"/>
  <c r="AB14" i="46"/>
  <c r="I14" i="46"/>
  <c r="W14" i="46" s="1"/>
  <c r="H14" i="46"/>
  <c r="V14" i="46" s="1"/>
  <c r="F14" i="46"/>
  <c r="M14" i="46" s="1"/>
  <c r="AA14" i="46" s="1"/>
  <c r="F13" i="46"/>
  <c r="S13" i="46" s="1"/>
  <c r="F12" i="46"/>
  <c r="S12" i="46" s="1"/>
  <c r="F11" i="46"/>
  <c r="S11" i="46" s="1"/>
  <c r="F10" i="46"/>
  <c r="S10" i="46" s="1"/>
  <c r="F9" i="46"/>
  <c r="S9" i="46" s="1"/>
  <c r="F8" i="46"/>
  <c r="S8" i="46" s="1"/>
  <c r="Y7" i="46"/>
  <c r="U7" i="46"/>
  <c r="F7" i="46"/>
  <c r="S7" i="46" s="1"/>
  <c r="H91" i="47" l="1"/>
  <c r="L17" i="47"/>
  <c r="G94" i="47"/>
  <c r="J173" i="47"/>
  <c r="S453" i="46"/>
  <c r="T453" i="46" s="1"/>
  <c r="G27" i="47"/>
  <c r="O47" i="47"/>
  <c r="N63" i="47"/>
  <c r="H79" i="47"/>
  <c r="M86" i="47"/>
  <c r="L91" i="47"/>
  <c r="L96" i="47"/>
  <c r="G122" i="47"/>
  <c r="J123" i="47"/>
  <c r="J157" i="47"/>
  <c r="R157" i="47" s="1"/>
  <c r="H160" i="47"/>
  <c r="O173" i="47"/>
  <c r="H176" i="47"/>
  <c r="H187" i="47"/>
  <c r="J202" i="47"/>
  <c r="N255" i="47"/>
  <c r="H262" i="47"/>
  <c r="G264" i="47"/>
  <c r="H293" i="47"/>
  <c r="S325" i="47"/>
  <c r="T325" i="47" s="1"/>
  <c r="S329" i="47"/>
  <c r="T329" i="47" s="1"/>
  <c r="S333" i="47"/>
  <c r="T333" i="47" s="1"/>
  <c r="S349" i="47"/>
  <c r="T349" i="47" s="1"/>
  <c r="S373" i="47"/>
  <c r="T373" i="47" s="1"/>
  <c r="S377" i="47"/>
  <c r="T377" i="47" s="1"/>
  <c r="S381" i="47"/>
  <c r="T381" i="47" s="1"/>
  <c r="S389" i="47"/>
  <c r="T389" i="47" s="1"/>
  <c r="S393" i="47"/>
  <c r="T393" i="47" s="1"/>
  <c r="S397" i="47"/>
  <c r="T397" i="47" s="1"/>
  <c r="I96" i="47"/>
  <c r="I123" i="47"/>
  <c r="S392" i="47"/>
  <c r="T392" i="47" s="1"/>
  <c r="J79" i="47"/>
  <c r="K79" i="47" s="1"/>
  <c r="P86" i="47"/>
  <c r="M91" i="47"/>
  <c r="N96" i="47"/>
  <c r="H122" i="47"/>
  <c r="O123" i="47"/>
  <c r="P157" i="47"/>
  <c r="N160" i="47"/>
  <c r="V162" i="47"/>
  <c r="J176" i="47"/>
  <c r="N187" i="47"/>
  <c r="O202" i="47"/>
  <c r="O255" i="47"/>
  <c r="H264" i="47"/>
  <c r="G86" i="47"/>
  <c r="H96" i="47"/>
  <c r="L86" i="47"/>
  <c r="H24" i="47"/>
  <c r="V24" i="47" s="1"/>
  <c r="N25" i="47"/>
  <c r="N74" i="47"/>
  <c r="O79" i="47"/>
  <c r="J90" i="47"/>
  <c r="I95" i="47"/>
  <c r="M100" i="47"/>
  <c r="H121" i="47"/>
  <c r="I122" i="47"/>
  <c r="J127" i="47"/>
  <c r="P160" i="47"/>
  <c r="H174" i="47"/>
  <c r="I178" i="47"/>
  <c r="G182" i="47"/>
  <c r="N191" i="47"/>
  <c r="O200" i="47"/>
  <c r="O208" i="47"/>
  <c r="H214" i="47"/>
  <c r="H277" i="47"/>
  <c r="H281" i="47"/>
  <c r="S334" i="47"/>
  <c r="T334" i="47" s="1"/>
  <c r="S338" i="47"/>
  <c r="T338" i="47" s="1"/>
  <c r="S346" i="47"/>
  <c r="T346" i="47" s="1"/>
  <c r="H17" i="47"/>
  <c r="G59" i="47"/>
  <c r="K59" i="47" s="1"/>
  <c r="S59" i="47" s="1"/>
  <c r="H113" i="47"/>
  <c r="G47" i="47"/>
  <c r="N190" i="47"/>
  <c r="O212" i="47"/>
  <c r="M122" i="47"/>
  <c r="AB171" i="47"/>
  <c r="J174" i="47"/>
  <c r="K174" i="47" s="1"/>
  <c r="J178" i="47"/>
  <c r="R178" i="47" s="1"/>
  <c r="G63" i="47"/>
  <c r="K63" i="47" s="1"/>
  <c r="S63" i="47" s="1"/>
  <c r="I91" i="47"/>
  <c r="N113" i="47"/>
  <c r="N193" i="47"/>
  <c r="G293" i="47"/>
  <c r="S376" i="47"/>
  <c r="T376" i="47" s="1"/>
  <c r="L19" i="47"/>
  <c r="S44" i="47"/>
  <c r="G46" i="47"/>
  <c r="N49" i="47"/>
  <c r="J77" i="47"/>
  <c r="J87" i="47"/>
  <c r="M90" i="47"/>
  <c r="P92" i="47"/>
  <c r="N95" i="47"/>
  <c r="N109" i="47"/>
  <c r="U115" i="47"/>
  <c r="M121" i="47"/>
  <c r="O122" i="47"/>
  <c r="L124" i="47"/>
  <c r="M126" i="47"/>
  <c r="G128" i="47"/>
  <c r="H132" i="47"/>
  <c r="H143" i="47"/>
  <c r="V143" i="47" s="1"/>
  <c r="J171" i="47"/>
  <c r="H172" i="47"/>
  <c r="H189" i="47"/>
  <c r="N196" i="47"/>
  <c r="H201" i="47"/>
  <c r="K201" i="47" s="1"/>
  <c r="S201" i="47" s="1"/>
  <c r="O204" i="47"/>
  <c r="H290" i="47"/>
  <c r="S323" i="47"/>
  <c r="T323" i="47" s="1"/>
  <c r="S327" i="47"/>
  <c r="T327" i="47" s="1"/>
  <c r="S331" i="47"/>
  <c r="T331" i="47" s="1"/>
  <c r="S371" i="47"/>
  <c r="T371" i="47" s="1"/>
  <c r="S375" i="47"/>
  <c r="T375" i="47" s="1"/>
  <c r="S379" i="47"/>
  <c r="T379" i="47" s="1"/>
  <c r="S387" i="47"/>
  <c r="T387" i="47" s="1"/>
  <c r="S391" i="47"/>
  <c r="T391" i="47" s="1"/>
  <c r="S395" i="47"/>
  <c r="T395" i="47" s="1"/>
  <c r="H80" i="46"/>
  <c r="G80" i="46"/>
  <c r="Q80" i="46"/>
  <c r="P80" i="46"/>
  <c r="O80" i="46"/>
  <c r="N80" i="46"/>
  <c r="J80" i="46"/>
  <c r="I80" i="46"/>
  <c r="S41" i="47"/>
  <c r="N47" i="47"/>
  <c r="J49" i="47"/>
  <c r="H54" i="47"/>
  <c r="N56" i="47"/>
  <c r="L61" i="47"/>
  <c r="N68" i="47"/>
  <c r="AB68" i="47" s="1"/>
  <c r="J76" i="47"/>
  <c r="J78" i="47"/>
  <c r="R78" i="47" s="1"/>
  <c r="H85" i="47"/>
  <c r="M89" i="47"/>
  <c r="H92" i="47"/>
  <c r="I93" i="47"/>
  <c r="L94" i="47"/>
  <c r="M97" i="47"/>
  <c r="R100" i="47"/>
  <c r="H103" i="47"/>
  <c r="V103" i="47" s="1"/>
  <c r="L105" i="47"/>
  <c r="H109" i="47"/>
  <c r="M113" i="47"/>
  <c r="L115" i="47"/>
  <c r="L128" i="47"/>
  <c r="J131" i="47"/>
  <c r="N157" i="47"/>
  <c r="N158" i="47"/>
  <c r="J160" i="47"/>
  <c r="L169" i="47"/>
  <c r="H173" i="47"/>
  <c r="H175" i="47"/>
  <c r="G177" i="47"/>
  <c r="M179" i="47"/>
  <c r="R179" i="47" s="1"/>
  <c r="M182" i="47"/>
  <c r="AA177" i="47" s="1"/>
  <c r="O186" i="47"/>
  <c r="H191" i="47"/>
  <c r="J193" i="47"/>
  <c r="R193" i="47" s="1"/>
  <c r="N195" i="47"/>
  <c r="H200" i="47"/>
  <c r="H202" i="47"/>
  <c r="O210" i="47"/>
  <c r="O216" i="47"/>
  <c r="O76" i="47"/>
  <c r="O78" i="47"/>
  <c r="J85" i="47"/>
  <c r="I92" i="47"/>
  <c r="L93" i="47"/>
  <c r="M94" i="47"/>
  <c r="J103" i="47"/>
  <c r="R103" i="47" s="1"/>
  <c r="AF103" i="47" s="1"/>
  <c r="P105" i="47"/>
  <c r="J109" i="47"/>
  <c r="R109" i="47" s="1"/>
  <c r="M169" i="47"/>
  <c r="L243" i="47"/>
  <c r="Z243" i="47" s="1"/>
  <c r="H253" i="47"/>
  <c r="H261" i="47"/>
  <c r="J264" i="47"/>
  <c r="G273" i="47"/>
  <c r="G15" i="47"/>
  <c r="K15" i="47" s="1"/>
  <c r="S15" i="47" s="1"/>
  <c r="G72" i="47"/>
  <c r="G74" i="47"/>
  <c r="Q81" i="47"/>
  <c r="N81" i="47"/>
  <c r="G81" i="47"/>
  <c r="P81" i="47"/>
  <c r="O81" i="47"/>
  <c r="J81" i="47"/>
  <c r="R81" i="47" s="1"/>
  <c r="I81" i="47"/>
  <c r="H81" i="47"/>
  <c r="L85" i="47"/>
  <c r="H86" i="47"/>
  <c r="K86" i="47" s="1"/>
  <c r="G90" i="47"/>
  <c r="L92" i="47"/>
  <c r="M93" i="47"/>
  <c r="H98" i="47"/>
  <c r="H108" i="47"/>
  <c r="L109" i="47"/>
  <c r="O113" i="47"/>
  <c r="L121" i="47"/>
  <c r="L122" i="47"/>
  <c r="N123" i="47"/>
  <c r="O124" i="47"/>
  <c r="H126" i="47"/>
  <c r="K126" i="47" s="1"/>
  <c r="S126" i="47" s="1"/>
  <c r="G132" i="47"/>
  <c r="L144" i="47"/>
  <c r="Z144" i="47" s="1"/>
  <c r="H159" i="47"/>
  <c r="G183" i="47"/>
  <c r="J253" i="47"/>
  <c r="J257" i="47"/>
  <c r="J261" i="47"/>
  <c r="L264" i="47"/>
  <c r="J273" i="47"/>
  <c r="H15" i="47"/>
  <c r="H29" i="47"/>
  <c r="G48" i="47"/>
  <c r="O49" i="47"/>
  <c r="H59" i="47"/>
  <c r="G62" i="47"/>
  <c r="K62" i="47" s="1"/>
  <c r="S62" i="47" s="1"/>
  <c r="N67" i="47"/>
  <c r="S67" i="47" s="1"/>
  <c r="H72" i="47"/>
  <c r="H77" i="47"/>
  <c r="Q82" i="47"/>
  <c r="O82" i="47"/>
  <c r="N82" i="47"/>
  <c r="H82" i="47"/>
  <c r="P82" i="47"/>
  <c r="J82" i="47"/>
  <c r="R82" i="47" s="1"/>
  <c r="I82" i="47"/>
  <c r="G82" i="47"/>
  <c r="M85" i="47"/>
  <c r="J86" i="47"/>
  <c r="H90" i="47"/>
  <c r="M92" i="47"/>
  <c r="P93" i="47"/>
  <c r="I98" i="47"/>
  <c r="N103" i="47"/>
  <c r="AB103" i="47" s="1"/>
  <c r="I108" i="47"/>
  <c r="M109" i="47"/>
  <c r="I159" i="47"/>
  <c r="L177" i="47"/>
  <c r="J187" i="47"/>
  <c r="N189" i="47"/>
  <c r="J208" i="47"/>
  <c r="N217" i="47"/>
  <c r="M253" i="47"/>
  <c r="J254" i="47"/>
  <c r="N257" i="47"/>
  <c r="L261" i="47"/>
  <c r="O273" i="47"/>
  <c r="H81" i="46"/>
  <c r="O81" i="46"/>
  <c r="N81" i="46"/>
  <c r="G81" i="46"/>
  <c r="I81" i="46"/>
  <c r="Q81" i="46"/>
  <c r="P81" i="46"/>
  <c r="J81" i="46"/>
  <c r="J29" i="47"/>
  <c r="L48" i="47"/>
  <c r="N55" i="47"/>
  <c r="S55" i="47" s="1"/>
  <c r="H62" i="47"/>
  <c r="Q83" i="47"/>
  <c r="N83" i="47"/>
  <c r="I83" i="47"/>
  <c r="P83" i="47"/>
  <c r="O83" i="47"/>
  <c r="J83" i="47"/>
  <c r="H83" i="47"/>
  <c r="G83" i="47"/>
  <c r="P85" i="47"/>
  <c r="Q124" i="47"/>
  <c r="J132" i="47"/>
  <c r="L159" i="47"/>
  <c r="J161" i="47"/>
  <c r="R161" i="47" s="1"/>
  <c r="N253" i="47"/>
  <c r="O257" i="47"/>
  <c r="P273" i="47"/>
  <c r="G291" i="47"/>
  <c r="H292" i="47"/>
  <c r="H82" i="46"/>
  <c r="N82" i="46"/>
  <c r="J82" i="46"/>
  <c r="G82" i="46"/>
  <c r="O82" i="46"/>
  <c r="Q82" i="46"/>
  <c r="P82" i="46"/>
  <c r="I82" i="46"/>
  <c r="G18" i="47"/>
  <c r="Q84" i="47"/>
  <c r="N84" i="47"/>
  <c r="G84" i="47"/>
  <c r="P84" i="47"/>
  <c r="O84" i="47"/>
  <c r="J84" i="47"/>
  <c r="I84" i="47"/>
  <c r="H84" i="47"/>
  <c r="G105" i="47"/>
  <c r="L132" i="47"/>
  <c r="H158" i="47"/>
  <c r="N159" i="47"/>
  <c r="G169" i="47"/>
  <c r="O253" i="47"/>
  <c r="J255" i="47"/>
  <c r="H265" i="47"/>
  <c r="H83" i="46"/>
  <c r="I83" i="46"/>
  <c r="G83" i="46"/>
  <c r="K83" i="46" s="1"/>
  <c r="Q83" i="46"/>
  <c r="O83" i="46"/>
  <c r="J83" i="46"/>
  <c r="P83" i="46"/>
  <c r="N83" i="46"/>
  <c r="H18" i="47"/>
  <c r="N27" i="47"/>
  <c r="N29" i="47"/>
  <c r="J47" i="47"/>
  <c r="K47" i="47" s="1"/>
  <c r="N65" i="47"/>
  <c r="J75" i="47"/>
  <c r="Q80" i="47"/>
  <c r="N80" i="47"/>
  <c r="P80" i="47"/>
  <c r="AD80" i="47" s="1"/>
  <c r="O80" i="47"/>
  <c r="J80" i="47"/>
  <c r="I80" i="47"/>
  <c r="H80" i="47"/>
  <c r="G80" i="47"/>
  <c r="H89" i="47"/>
  <c r="G93" i="47"/>
  <c r="H94" i="47"/>
  <c r="I97" i="47"/>
  <c r="H105" i="47"/>
  <c r="Q122" i="47"/>
  <c r="H124" i="47"/>
  <c r="G125" i="47"/>
  <c r="H128" i="47"/>
  <c r="G149" i="47"/>
  <c r="K149" i="47" s="1"/>
  <c r="H157" i="47"/>
  <c r="I158" i="47"/>
  <c r="H169" i="47"/>
  <c r="K169" i="47" s="1"/>
  <c r="S169" i="47" s="1"/>
  <c r="O172" i="47"/>
  <c r="O174" i="47"/>
  <c r="O176" i="47"/>
  <c r="I179" i="47"/>
  <c r="I182" i="47"/>
  <c r="N184" i="47"/>
  <c r="N188" i="47"/>
  <c r="H195" i="47"/>
  <c r="H213" i="47"/>
  <c r="H84" i="46"/>
  <c r="G84" i="46"/>
  <c r="J84" i="46"/>
  <c r="Q84" i="46"/>
  <c r="I84" i="46"/>
  <c r="P84" i="46"/>
  <c r="O84" i="46"/>
  <c r="N84" i="46"/>
  <c r="O29" i="47"/>
  <c r="L33" i="47"/>
  <c r="M47" i="47"/>
  <c r="G49" i="47"/>
  <c r="G54" i="47"/>
  <c r="K54" i="47" s="1"/>
  <c r="S54" i="47" s="1"/>
  <c r="G56" i="47"/>
  <c r="K56" i="47" s="1"/>
  <c r="S56" i="47" s="1"/>
  <c r="H76" i="47"/>
  <c r="K76" i="47" s="1"/>
  <c r="S76" i="47" s="1"/>
  <c r="H78" i="47"/>
  <c r="G85" i="47"/>
  <c r="J89" i="47"/>
  <c r="R89" i="47" s="1"/>
  <c r="P90" i="47"/>
  <c r="G92" i="47"/>
  <c r="H93" i="47"/>
  <c r="I94" i="47"/>
  <c r="L97" i="47"/>
  <c r="G109" i="47"/>
  <c r="J113" i="47"/>
  <c r="H118" i="47"/>
  <c r="I124" i="47"/>
  <c r="L179" i="47"/>
  <c r="L182" i="47"/>
  <c r="H193" i="47"/>
  <c r="K193" i="47" s="1"/>
  <c r="S193" i="47" s="1"/>
  <c r="J195" i="47"/>
  <c r="R195" i="47" s="1"/>
  <c r="N213" i="47"/>
  <c r="S337" i="47"/>
  <c r="T337" i="47" s="1"/>
  <c r="R276" i="47"/>
  <c r="S353" i="47"/>
  <c r="T353" i="47" s="1"/>
  <c r="S365" i="47"/>
  <c r="T365" i="47" s="1"/>
  <c r="S401" i="47"/>
  <c r="T401" i="47" s="1"/>
  <c r="S449" i="47"/>
  <c r="T449" i="47" s="1"/>
  <c r="S451" i="47"/>
  <c r="T451" i="47" s="1"/>
  <c r="S457" i="47"/>
  <c r="T457" i="47" s="1"/>
  <c r="S459" i="47"/>
  <c r="T459" i="47" s="1"/>
  <c r="K118" i="47"/>
  <c r="S118" i="47" s="1"/>
  <c r="S350" i="47"/>
  <c r="T350" i="47" s="1"/>
  <c r="S354" i="47"/>
  <c r="T354" i="47" s="1"/>
  <c r="S362" i="47"/>
  <c r="T362" i="47" s="1"/>
  <c r="S398" i="47"/>
  <c r="T398" i="47" s="1"/>
  <c r="S402" i="47"/>
  <c r="T402" i="47" s="1"/>
  <c r="S408" i="47"/>
  <c r="T408" i="47" s="1"/>
  <c r="S412" i="47"/>
  <c r="T412" i="47" s="1"/>
  <c r="S416" i="47"/>
  <c r="T416" i="47" s="1"/>
  <c r="S436" i="47"/>
  <c r="T436" i="47" s="1"/>
  <c r="S440" i="47"/>
  <c r="T440" i="47" s="1"/>
  <c r="S444" i="47"/>
  <c r="T444" i="47" s="1"/>
  <c r="S448" i="47"/>
  <c r="T448" i="47" s="1"/>
  <c r="S452" i="47"/>
  <c r="T452" i="47" s="1"/>
  <c r="S456" i="47"/>
  <c r="T456" i="47" s="1"/>
  <c r="S460" i="47"/>
  <c r="T460" i="47" s="1"/>
  <c r="S464" i="47"/>
  <c r="T464" i="47" s="1"/>
  <c r="S468" i="47"/>
  <c r="T468" i="47" s="1"/>
  <c r="S472" i="47"/>
  <c r="T472" i="47" s="1"/>
  <c r="S480" i="47"/>
  <c r="T480" i="47" s="1"/>
  <c r="S369" i="47"/>
  <c r="T369" i="47" s="1"/>
  <c r="S476" i="47"/>
  <c r="T476" i="47" s="1"/>
  <c r="S116" i="47"/>
  <c r="S137" i="47"/>
  <c r="S139" i="47"/>
  <c r="AF240" i="47"/>
  <c r="R264" i="47"/>
  <c r="S339" i="47"/>
  <c r="T339" i="47" s="1"/>
  <c r="S341" i="47"/>
  <c r="T341" i="47" s="1"/>
  <c r="S343" i="47"/>
  <c r="T343" i="47" s="1"/>
  <c r="S345" i="47"/>
  <c r="T345" i="47" s="1"/>
  <c r="S347" i="47"/>
  <c r="T347" i="47" s="1"/>
  <c r="S360" i="47"/>
  <c r="T360" i="47" s="1"/>
  <c r="S366" i="47"/>
  <c r="T366" i="47" s="1"/>
  <c r="S370" i="47"/>
  <c r="T370" i="47" s="1"/>
  <c r="S378" i="47"/>
  <c r="T378" i="47" s="1"/>
  <c r="S385" i="47"/>
  <c r="T385" i="47" s="1"/>
  <c r="S403" i="47"/>
  <c r="T403" i="47" s="1"/>
  <c r="S418" i="47"/>
  <c r="T418" i="47" s="1"/>
  <c r="S420" i="47"/>
  <c r="T420" i="47" s="1"/>
  <c r="S426" i="47"/>
  <c r="T426" i="47" s="1"/>
  <c r="S432" i="47"/>
  <c r="T432" i="47" s="1"/>
  <c r="S119" i="47"/>
  <c r="K175" i="47"/>
  <c r="K200" i="47"/>
  <c r="S241" i="47"/>
  <c r="S330" i="47"/>
  <c r="T330" i="47" s="1"/>
  <c r="S332" i="47"/>
  <c r="T332" i="47" s="1"/>
  <c r="S355" i="47"/>
  <c r="T355" i="47" s="1"/>
  <c r="S357" i="47"/>
  <c r="T357" i="47" s="1"/>
  <c r="S359" i="47"/>
  <c r="T359" i="47" s="1"/>
  <c r="S361" i="47"/>
  <c r="T361" i="47" s="1"/>
  <c r="S363" i="47"/>
  <c r="T363" i="47" s="1"/>
  <c r="S382" i="47"/>
  <c r="T382" i="47" s="1"/>
  <c r="S386" i="47"/>
  <c r="T386" i="47" s="1"/>
  <c r="S394" i="47"/>
  <c r="T394" i="47" s="1"/>
  <c r="S482" i="47"/>
  <c r="T482" i="47" s="1"/>
  <c r="AF51" i="47"/>
  <c r="K152" i="47"/>
  <c r="S152" i="47" s="1"/>
  <c r="K154" i="47"/>
  <c r="S154" i="47" s="1"/>
  <c r="K165" i="47"/>
  <c r="S165" i="47" s="1"/>
  <c r="R200" i="47"/>
  <c r="K213" i="47"/>
  <c r="Z151" i="47"/>
  <c r="U40" i="47"/>
  <c r="S348" i="47"/>
  <c r="T348" i="47" s="1"/>
  <c r="S380" i="47"/>
  <c r="T380" i="47" s="1"/>
  <c r="S465" i="47"/>
  <c r="T465" i="47" s="1"/>
  <c r="S467" i="47"/>
  <c r="T467" i="47" s="1"/>
  <c r="S473" i="47"/>
  <c r="T473" i="47" s="1"/>
  <c r="S475" i="47"/>
  <c r="T475" i="47" s="1"/>
  <c r="R132" i="47"/>
  <c r="K215" i="47"/>
  <c r="S42" i="47"/>
  <c r="R79" i="47"/>
  <c r="R172" i="47"/>
  <c r="S364" i="47"/>
  <c r="T364" i="47" s="1"/>
  <c r="S396" i="47"/>
  <c r="T396" i="47" s="1"/>
  <c r="S409" i="47"/>
  <c r="T409" i="47" s="1"/>
  <c r="S411" i="47"/>
  <c r="T411" i="47" s="1"/>
  <c r="S434" i="47"/>
  <c r="T434" i="47" s="1"/>
  <c r="S442" i="47"/>
  <c r="T442" i="47" s="1"/>
  <c r="R175" i="47"/>
  <c r="R191" i="47"/>
  <c r="K244" i="47"/>
  <c r="S244" i="47" s="1"/>
  <c r="AF278" i="47"/>
  <c r="S336" i="47"/>
  <c r="T336" i="47" s="1"/>
  <c r="S352" i="47"/>
  <c r="T352" i="47" s="1"/>
  <c r="S368" i="47"/>
  <c r="T368" i="47" s="1"/>
  <c r="S384" i="47"/>
  <c r="T384" i="47" s="1"/>
  <c r="S400" i="47"/>
  <c r="T400" i="47" s="1"/>
  <c r="S417" i="47"/>
  <c r="T417" i="47" s="1"/>
  <c r="S419" i="47"/>
  <c r="T419" i="47" s="1"/>
  <c r="S425" i="47"/>
  <c r="T425" i="47" s="1"/>
  <c r="S427" i="47"/>
  <c r="T427" i="47" s="1"/>
  <c r="S450" i="47"/>
  <c r="T450" i="47" s="1"/>
  <c r="S458" i="47"/>
  <c r="T458" i="47" s="1"/>
  <c r="S481" i="47"/>
  <c r="T481" i="47" s="1"/>
  <c r="S483" i="47"/>
  <c r="T483" i="47" s="1"/>
  <c r="S43" i="47"/>
  <c r="R86" i="47"/>
  <c r="AA121" i="47"/>
  <c r="R128" i="47"/>
  <c r="K136" i="47"/>
  <c r="S136" i="47" s="1"/>
  <c r="R160" i="47"/>
  <c r="S163" i="47"/>
  <c r="R201" i="47"/>
  <c r="R202" i="47"/>
  <c r="K208" i="47"/>
  <c r="S208" i="47" s="1"/>
  <c r="K217" i="47"/>
  <c r="Z240" i="47"/>
  <c r="K281" i="47"/>
  <c r="S281" i="47" s="1"/>
  <c r="S324" i="47"/>
  <c r="T324" i="47" s="1"/>
  <c r="S326" i="47"/>
  <c r="T326" i="47" s="1"/>
  <c r="S328" i="47"/>
  <c r="T328" i="47" s="1"/>
  <c r="S335" i="47"/>
  <c r="T335" i="47" s="1"/>
  <c r="S342" i="47"/>
  <c r="T342" i="47" s="1"/>
  <c r="S344" i="47"/>
  <c r="T344" i="47" s="1"/>
  <c r="S351" i="47"/>
  <c r="T351" i="47" s="1"/>
  <c r="S356" i="47"/>
  <c r="T356" i="47" s="1"/>
  <c r="S358" i="47"/>
  <c r="T358" i="47" s="1"/>
  <c r="S367" i="47"/>
  <c r="T367" i="47" s="1"/>
  <c r="S372" i="47"/>
  <c r="T372" i="47" s="1"/>
  <c r="S374" i="47"/>
  <c r="T374" i="47" s="1"/>
  <c r="S383" i="47"/>
  <c r="T383" i="47" s="1"/>
  <c r="S388" i="47"/>
  <c r="T388" i="47" s="1"/>
  <c r="S390" i="47"/>
  <c r="T390" i="47" s="1"/>
  <c r="S399" i="47"/>
  <c r="T399" i="47" s="1"/>
  <c r="S404" i="47"/>
  <c r="T404" i="47" s="1"/>
  <c r="S410" i="47"/>
  <c r="T410" i="47" s="1"/>
  <c r="S424" i="47"/>
  <c r="T424" i="47" s="1"/>
  <c r="S428" i="47"/>
  <c r="T428" i="47" s="1"/>
  <c r="S433" i="47"/>
  <c r="T433" i="47" s="1"/>
  <c r="S435" i="47"/>
  <c r="T435" i="47" s="1"/>
  <c r="S441" i="47"/>
  <c r="T441" i="47" s="1"/>
  <c r="S443" i="47"/>
  <c r="T443" i="47" s="1"/>
  <c r="S466" i="47"/>
  <c r="T466" i="47" s="1"/>
  <c r="S474" i="47"/>
  <c r="T474" i="47" s="1"/>
  <c r="S484" i="47"/>
  <c r="T484" i="47" s="1"/>
  <c r="S488" i="47"/>
  <c r="T488" i="47" s="1"/>
  <c r="S340" i="47"/>
  <c r="T340" i="47" s="1"/>
  <c r="S306" i="47"/>
  <c r="T306" i="47" s="1"/>
  <c r="S308" i="47"/>
  <c r="T308" i="47" s="1"/>
  <c r="S310" i="47"/>
  <c r="T310" i="47" s="1"/>
  <c r="S312" i="47"/>
  <c r="T312" i="47" s="1"/>
  <c r="S314" i="47"/>
  <c r="T314" i="47" s="1"/>
  <c r="S316" i="47"/>
  <c r="T316" i="47" s="1"/>
  <c r="S318" i="47"/>
  <c r="T318" i="47" s="1"/>
  <c r="S406" i="47"/>
  <c r="T406" i="47" s="1"/>
  <c r="S413" i="47"/>
  <c r="T413" i="47" s="1"/>
  <c r="S415" i="47"/>
  <c r="T415" i="47" s="1"/>
  <c r="S422" i="47"/>
  <c r="T422" i="47" s="1"/>
  <c r="S429" i="47"/>
  <c r="T429" i="47" s="1"/>
  <c r="S431" i="47"/>
  <c r="T431" i="47" s="1"/>
  <c r="S438" i="47"/>
  <c r="T438" i="47" s="1"/>
  <c r="S445" i="47"/>
  <c r="T445" i="47" s="1"/>
  <c r="S447" i="47"/>
  <c r="T447" i="47" s="1"/>
  <c r="S454" i="47"/>
  <c r="T454" i="47" s="1"/>
  <c r="S461" i="47"/>
  <c r="T461" i="47" s="1"/>
  <c r="S463" i="47"/>
  <c r="T463" i="47" s="1"/>
  <c r="S470" i="47"/>
  <c r="T470" i="47" s="1"/>
  <c r="S477" i="47"/>
  <c r="T477" i="47" s="1"/>
  <c r="S479" i="47"/>
  <c r="T479" i="47" s="1"/>
  <c r="S486" i="47"/>
  <c r="T486" i="47" s="1"/>
  <c r="S405" i="47"/>
  <c r="T405" i="47" s="1"/>
  <c r="S407" i="47"/>
  <c r="T407" i="47" s="1"/>
  <c r="S414" i="47"/>
  <c r="T414" i="47" s="1"/>
  <c r="S421" i="47"/>
  <c r="T421" i="47" s="1"/>
  <c r="S423" i="47"/>
  <c r="T423" i="47" s="1"/>
  <c r="S430" i="47"/>
  <c r="T430" i="47" s="1"/>
  <c r="S437" i="47"/>
  <c r="T437" i="47" s="1"/>
  <c r="S439" i="47"/>
  <c r="T439" i="47" s="1"/>
  <c r="S446" i="47"/>
  <c r="T446" i="47" s="1"/>
  <c r="S453" i="47"/>
  <c r="T453" i="47" s="1"/>
  <c r="S455" i="47"/>
  <c r="T455" i="47" s="1"/>
  <c r="S462" i="47"/>
  <c r="T462" i="47" s="1"/>
  <c r="S469" i="47"/>
  <c r="T469" i="47" s="1"/>
  <c r="S471" i="47"/>
  <c r="T471" i="47" s="1"/>
  <c r="S478" i="47"/>
  <c r="T478" i="47" s="1"/>
  <c r="S485" i="47"/>
  <c r="T485" i="47" s="1"/>
  <c r="S487" i="47"/>
  <c r="T487" i="47" s="1"/>
  <c r="K27" i="47"/>
  <c r="S27" i="47" s="1"/>
  <c r="V115" i="47"/>
  <c r="AG7" i="47"/>
  <c r="K17" i="47"/>
  <c r="S17" i="47" s="1"/>
  <c r="K40" i="47"/>
  <c r="Y40" i="47" s="1"/>
  <c r="R47" i="47"/>
  <c r="AF63" i="47"/>
  <c r="AB75" i="47"/>
  <c r="AE85" i="47"/>
  <c r="K143" i="47"/>
  <c r="Y143" i="47" s="1"/>
  <c r="AF145" i="47"/>
  <c r="AF162" i="47"/>
  <c r="K166" i="47"/>
  <c r="S166" i="47" s="1"/>
  <c r="K172" i="47"/>
  <c r="S172" i="47" s="1"/>
  <c r="R189" i="47"/>
  <c r="K202" i="47"/>
  <c r="S202" i="47" s="1"/>
  <c r="R273" i="47"/>
  <c r="R77" i="47"/>
  <c r="R90" i="47"/>
  <c r="AF104" i="47"/>
  <c r="K142" i="47"/>
  <c r="S142" i="47" s="1"/>
  <c r="AG142" i="47" s="1"/>
  <c r="AF151" i="47"/>
  <c r="Y283" i="47"/>
  <c r="AG283" i="47" s="1"/>
  <c r="Z40" i="47"/>
  <c r="K49" i="47"/>
  <c r="S49" i="47" s="1"/>
  <c r="AF57" i="47"/>
  <c r="S64" i="47"/>
  <c r="Y69" i="47"/>
  <c r="AG69" i="47" s="1"/>
  <c r="K77" i="47"/>
  <c r="S77" i="47" s="1"/>
  <c r="R113" i="47"/>
  <c r="AF115" i="47"/>
  <c r="AF135" i="47"/>
  <c r="Z135" i="47"/>
  <c r="V141" i="47"/>
  <c r="S149" i="47"/>
  <c r="R173" i="47"/>
  <c r="R174" i="47"/>
  <c r="K176" i="47"/>
  <c r="S176" i="47" s="1"/>
  <c r="K182" i="47"/>
  <c r="S182" i="47" s="1"/>
  <c r="R187" i="47"/>
  <c r="K239" i="47"/>
  <c r="Y239" i="47" s="1"/>
  <c r="S421" i="46"/>
  <c r="T421" i="46" s="1"/>
  <c r="S325" i="46"/>
  <c r="T325" i="46" s="1"/>
  <c r="S486" i="46"/>
  <c r="T486" i="46" s="1"/>
  <c r="S482" i="46"/>
  <c r="T482" i="46" s="1"/>
  <c r="S478" i="46"/>
  <c r="T478" i="46" s="1"/>
  <c r="S474" i="46"/>
  <c r="T474" i="46" s="1"/>
  <c r="S470" i="46"/>
  <c r="T470" i="46" s="1"/>
  <c r="S466" i="46"/>
  <c r="T466" i="46" s="1"/>
  <c r="S462" i="46"/>
  <c r="T462" i="46" s="1"/>
  <c r="S458" i="46"/>
  <c r="T458" i="46" s="1"/>
  <c r="S454" i="46"/>
  <c r="T454" i="46" s="1"/>
  <c r="S446" i="46"/>
  <c r="T446" i="46" s="1"/>
  <c r="S438" i="46"/>
  <c r="T438" i="46" s="1"/>
  <c r="S430" i="46"/>
  <c r="T430" i="46" s="1"/>
  <c r="S422" i="46"/>
  <c r="T422" i="46" s="1"/>
  <c r="S414" i="46"/>
  <c r="T414" i="46" s="1"/>
  <c r="S406" i="46"/>
  <c r="T406" i="46" s="1"/>
  <c r="S398" i="46"/>
  <c r="T398" i="46" s="1"/>
  <c r="S390" i="46"/>
  <c r="T390" i="46" s="1"/>
  <c r="S382" i="46"/>
  <c r="T382" i="46" s="1"/>
  <c r="S374" i="46"/>
  <c r="T374" i="46" s="1"/>
  <c r="S366" i="46"/>
  <c r="T366" i="46" s="1"/>
  <c r="S358" i="46"/>
  <c r="T358" i="46" s="1"/>
  <c r="S350" i="46"/>
  <c r="T350" i="46" s="1"/>
  <c r="S342" i="46"/>
  <c r="T342" i="46" s="1"/>
  <c r="S334" i="46"/>
  <c r="T334" i="46" s="1"/>
  <c r="S326" i="46"/>
  <c r="T326" i="46" s="1"/>
  <c r="S317" i="46"/>
  <c r="T317" i="46" s="1"/>
  <c r="S309" i="46"/>
  <c r="T309" i="46" s="1"/>
  <c r="S487" i="46"/>
  <c r="T487" i="46" s="1"/>
  <c r="S483" i="46"/>
  <c r="T483" i="46" s="1"/>
  <c r="S481" i="46"/>
  <c r="T481" i="46" s="1"/>
  <c r="S477" i="46"/>
  <c r="T477" i="46" s="1"/>
  <c r="S475" i="46"/>
  <c r="T475" i="46" s="1"/>
  <c r="S471" i="46"/>
  <c r="T471" i="46" s="1"/>
  <c r="S465" i="46"/>
  <c r="T465" i="46" s="1"/>
  <c r="S461" i="46"/>
  <c r="T461" i="46" s="1"/>
  <c r="S459" i="46"/>
  <c r="T459" i="46" s="1"/>
  <c r="S455" i="46"/>
  <c r="T455" i="46" s="1"/>
  <c r="S449" i="46"/>
  <c r="T449" i="46" s="1"/>
  <c r="S445" i="46"/>
  <c r="T445" i="46" s="1"/>
  <c r="S443" i="46"/>
  <c r="T443" i="46" s="1"/>
  <c r="S439" i="46"/>
  <c r="T439" i="46" s="1"/>
  <c r="S435" i="46"/>
  <c r="T435" i="46" s="1"/>
  <c r="S431" i="46"/>
  <c r="T431" i="46" s="1"/>
  <c r="S425" i="46"/>
  <c r="T425" i="46" s="1"/>
  <c r="S423" i="46"/>
  <c r="T423" i="46" s="1"/>
  <c r="S417" i="46"/>
  <c r="T417" i="46" s="1"/>
  <c r="S415" i="46"/>
  <c r="T415" i="46" s="1"/>
  <c r="S411" i="46"/>
  <c r="T411" i="46" s="1"/>
  <c r="S409" i="46"/>
  <c r="T409" i="46" s="1"/>
  <c r="S405" i="46"/>
  <c r="T405" i="46" s="1"/>
  <c r="S401" i="46"/>
  <c r="T401" i="46" s="1"/>
  <c r="S399" i="46"/>
  <c r="T399" i="46" s="1"/>
  <c r="S395" i="46"/>
  <c r="T395" i="46" s="1"/>
  <c r="S393" i="46"/>
  <c r="T393" i="46" s="1"/>
  <c r="S389" i="46"/>
  <c r="T389" i="46" s="1"/>
  <c r="S385" i="46"/>
  <c r="T385" i="46" s="1"/>
  <c r="S381" i="46"/>
  <c r="T381" i="46" s="1"/>
  <c r="S377" i="46"/>
  <c r="T377" i="46" s="1"/>
  <c r="S375" i="46"/>
  <c r="T375" i="46" s="1"/>
  <c r="S371" i="46"/>
  <c r="T371" i="46" s="1"/>
  <c r="S367" i="46"/>
  <c r="T367" i="46" s="1"/>
  <c r="S363" i="46"/>
  <c r="T363" i="46" s="1"/>
  <c r="S361" i="46"/>
  <c r="T361" i="46" s="1"/>
  <c r="S359" i="46"/>
  <c r="T359" i="46" s="1"/>
  <c r="S355" i="46"/>
  <c r="T355" i="46" s="1"/>
  <c r="S351" i="46"/>
  <c r="T351" i="46" s="1"/>
  <c r="S345" i="46"/>
  <c r="T345" i="46" s="1"/>
  <c r="S485" i="46"/>
  <c r="T485" i="46" s="1"/>
  <c r="S479" i="46"/>
  <c r="T479" i="46" s="1"/>
  <c r="S473" i="46"/>
  <c r="T473" i="46" s="1"/>
  <c r="S469" i="46"/>
  <c r="T469" i="46" s="1"/>
  <c r="S467" i="46"/>
  <c r="T467" i="46" s="1"/>
  <c r="S463" i="46"/>
  <c r="T463" i="46" s="1"/>
  <c r="S457" i="46"/>
  <c r="T457" i="46" s="1"/>
  <c r="S451" i="46"/>
  <c r="T451" i="46" s="1"/>
  <c r="S447" i="46"/>
  <c r="T447" i="46" s="1"/>
  <c r="S441" i="46"/>
  <c r="T441" i="46" s="1"/>
  <c r="S437" i="46"/>
  <c r="T437" i="46" s="1"/>
  <c r="S433" i="46"/>
  <c r="T433" i="46" s="1"/>
  <c r="S429" i="46"/>
  <c r="T429" i="46" s="1"/>
  <c r="S427" i="46"/>
  <c r="T427" i="46" s="1"/>
  <c r="S419" i="46"/>
  <c r="T419" i="46" s="1"/>
  <c r="S413" i="46"/>
  <c r="T413" i="46" s="1"/>
  <c r="S407" i="46"/>
  <c r="T407" i="46" s="1"/>
  <c r="S403" i="46"/>
  <c r="T403" i="46" s="1"/>
  <c r="S397" i="46"/>
  <c r="T397" i="46" s="1"/>
  <c r="S391" i="46"/>
  <c r="T391" i="46" s="1"/>
  <c r="S387" i="46"/>
  <c r="T387" i="46" s="1"/>
  <c r="S383" i="46"/>
  <c r="T383" i="46" s="1"/>
  <c r="S379" i="46"/>
  <c r="T379" i="46" s="1"/>
  <c r="S373" i="46"/>
  <c r="T373" i="46" s="1"/>
  <c r="S369" i="46"/>
  <c r="T369" i="46" s="1"/>
  <c r="S365" i="46"/>
  <c r="T365" i="46" s="1"/>
  <c r="S357" i="46"/>
  <c r="T357" i="46" s="1"/>
  <c r="S353" i="46"/>
  <c r="T353" i="46" s="1"/>
  <c r="S349" i="46"/>
  <c r="T349" i="46" s="1"/>
  <c r="S347" i="46"/>
  <c r="T347" i="46" s="1"/>
  <c r="S343" i="46"/>
  <c r="T343" i="46" s="1"/>
  <c r="S341" i="46"/>
  <c r="T341" i="46" s="1"/>
  <c r="S339" i="46"/>
  <c r="T339" i="46" s="1"/>
  <c r="S337" i="46"/>
  <c r="T337" i="46" s="1"/>
  <c r="S335" i="46"/>
  <c r="T335" i="46" s="1"/>
  <c r="S333" i="46"/>
  <c r="T333" i="46" s="1"/>
  <c r="S331" i="46"/>
  <c r="T331" i="46" s="1"/>
  <c r="S329" i="46"/>
  <c r="T329" i="46" s="1"/>
  <c r="S327" i="46"/>
  <c r="T327" i="46" s="1"/>
  <c r="S323" i="46"/>
  <c r="T323" i="46" s="1"/>
  <c r="S318" i="46"/>
  <c r="T318" i="46" s="1"/>
  <c r="S316" i="46"/>
  <c r="T316" i="46" s="1"/>
  <c r="S314" i="46"/>
  <c r="T314" i="46" s="1"/>
  <c r="S312" i="46"/>
  <c r="T312" i="46" s="1"/>
  <c r="S310" i="46"/>
  <c r="T310" i="46" s="1"/>
  <c r="S308" i="46"/>
  <c r="T308" i="46" s="1"/>
  <c r="S306" i="46"/>
  <c r="T306" i="46" s="1"/>
  <c r="S488" i="46"/>
  <c r="T488" i="46" s="1"/>
  <c r="S484" i="46"/>
  <c r="T484" i="46" s="1"/>
  <c r="S480" i="46"/>
  <c r="T480" i="46" s="1"/>
  <c r="S476" i="46"/>
  <c r="T476" i="46" s="1"/>
  <c r="S472" i="46"/>
  <c r="T472" i="46" s="1"/>
  <c r="S468" i="46"/>
  <c r="T468" i="46" s="1"/>
  <c r="S464" i="46"/>
  <c r="T464" i="46" s="1"/>
  <c r="S460" i="46"/>
  <c r="T460" i="46" s="1"/>
  <c r="S456" i="46"/>
  <c r="T456" i="46" s="1"/>
  <c r="S450" i="46"/>
  <c r="T450" i="46" s="1"/>
  <c r="S442" i="46"/>
  <c r="T442" i="46" s="1"/>
  <c r="S434" i="46"/>
  <c r="T434" i="46" s="1"/>
  <c r="S426" i="46"/>
  <c r="T426" i="46" s="1"/>
  <c r="S418" i="46"/>
  <c r="T418" i="46" s="1"/>
  <c r="S410" i="46"/>
  <c r="T410" i="46" s="1"/>
  <c r="S402" i="46"/>
  <c r="T402" i="46" s="1"/>
  <c r="S394" i="46"/>
  <c r="T394" i="46" s="1"/>
  <c r="S386" i="46"/>
  <c r="T386" i="46" s="1"/>
  <c r="S378" i="46"/>
  <c r="T378" i="46" s="1"/>
  <c r="S370" i="46"/>
  <c r="T370" i="46" s="1"/>
  <c r="S362" i="46"/>
  <c r="T362" i="46" s="1"/>
  <c r="S354" i="46"/>
  <c r="T354" i="46" s="1"/>
  <c r="S346" i="46"/>
  <c r="T346" i="46" s="1"/>
  <c r="S338" i="46"/>
  <c r="T338" i="46" s="1"/>
  <c r="S330" i="46"/>
  <c r="T330" i="46" s="1"/>
  <c r="S313" i="46"/>
  <c r="T313" i="46" s="1"/>
  <c r="S305" i="46"/>
  <c r="T305" i="46" s="1"/>
  <c r="S331" i="48"/>
  <c r="T331" i="48" s="1"/>
  <c r="S379" i="48"/>
  <c r="T379" i="48" s="1"/>
  <c r="S381" i="48"/>
  <c r="T381" i="48" s="1"/>
  <c r="S393" i="48"/>
  <c r="T393" i="48" s="1"/>
  <c r="S433" i="48"/>
  <c r="T433" i="48" s="1"/>
  <c r="S435" i="48"/>
  <c r="T435" i="48" s="1"/>
  <c r="S437" i="48"/>
  <c r="T437" i="48" s="1"/>
  <c r="S441" i="48"/>
  <c r="T441" i="48" s="1"/>
  <c r="S443" i="48"/>
  <c r="T443" i="48" s="1"/>
  <c r="S449" i="48"/>
  <c r="T449" i="48" s="1"/>
  <c r="S451" i="48"/>
  <c r="T451" i="48" s="1"/>
  <c r="S465" i="48"/>
  <c r="T465" i="48" s="1"/>
  <c r="S467" i="48"/>
  <c r="T467" i="48" s="1"/>
  <c r="S469" i="48"/>
  <c r="T469" i="48" s="1"/>
  <c r="S481" i="48"/>
  <c r="T481" i="48" s="1"/>
  <c r="S483" i="48"/>
  <c r="T483" i="48" s="1"/>
  <c r="S485" i="48"/>
  <c r="T485" i="48" s="1"/>
  <c r="Q159" i="48"/>
  <c r="M274" i="48"/>
  <c r="H159" i="48"/>
  <c r="H161" i="48"/>
  <c r="G274" i="48"/>
  <c r="S366" i="48"/>
  <c r="T366" i="48" s="1"/>
  <c r="S416" i="48"/>
  <c r="T416" i="48" s="1"/>
  <c r="S448" i="48"/>
  <c r="T448" i="48" s="1"/>
  <c r="S456" i="48"/>
  <c r="T456" i="48" s="1"/>
  <c r="H18" i="48"/>
  <c r="L15" i="48"/>
  <c r="R177" i="48"/>
  <c r="H158" i="48"/>
  <c r="N158" i="48"/>
  <c r="G18" i="48"/>
  <c r="N56" i="48"/>
  <c r="G97" i="48"/>
  <c r="G129" i="48"/>
  <c r="N30" i="48"/>
  <c r="N47" i="48"/>
  <c r="N55" i="48"/>
  <c r="P86" i="48"/>
  <c r="G92" i="48"/>
  <c r="I97" i="48"/>
  <c r="O175" i="48"/>
  <c r="L225" i="48"/>
  <c r="S225" i="48" s="1"/>
  <c r="I92" i="48"/>
  <c r="P97" i="48"/>
  <c r="AF162" i="48"/>
  <c r="O200" i="48"/>
  <c r="G72" i="48"/>
  <c r="H30" i="48"/>
  <c r="H72" i="48"/>
  <c r="O79" i="48"/>
  <c r="G108" i="48"/>
  <c r="J109" i="48"/>
  <c r="M131" i="48"/>
  <c r="K137" i="48"/>
  <c r="S137" i="48" s="1"/>
  <c r="H171" i="48"/>
  <c r="N174" i="48"/>
  <c r="G66" i="48"/>
  <c r="K66" i="48" s="1"/>
  <c r="S66" i="48" s="1"/>
  <c r="J174" i="48"/>
  <c r="R174" i="48" s="1"/>
  <c r="J30" i="48"/>
  <c r="S44" i="48"/>
  <c r="G158" i="48"/>
  <c r="G159" i="48"/>
  <c r="G169" i="48"/>
  <c r="J171" i="48"/>
  <c r="J200" i="48"/>
  <c r="H243" i="48"/>
  <c r="V243" i="48" s="1"/>
  <c r="L33" i="48"/>
  <c r="J45" i="48"/>
  <c r="L48" i="48"/>
  <c r="J78" i="48"/>
  <c r="G107" i="48"/>
  <c r="H126" i="48"/>
  <c r="H127" i="48"/>
  <c r="N173" i="48"/>
  <c r="L57" i="48"/>
  <c r="O76" i="48"/>
  <c r="G86" i="48"/>
  <c r="G90" i="48"/>
  <c r="M92" i="48"/>
  <c r="L94" i="48"/>
  <c r="J96" i="48"/>
  <c r="H99" i="48"/>
  <c r="G144" i="48"/>
  <c r="U144" i="48" s="1"/>
  <c r="K166" i="48"/>
  <c r="S166" i="48" s="1"/>
  <c r="H180" i="48"/>
  <c r="H262" i="48"/>
  <c r="S333" i="48"/>
  <c r="T333" i="48" s="1"/>
  <c r="H76" i="48"/>
  <c r="I80" i="48"/>
  <c r="J91" i="48"/>
  <c r="I96" i="48"/>
  <c r="G99" i="48"/>
  <c r="S42" i="48"/>
  <c r="AF57" i="48"/>
  <c r="H86" i="48"/>
  <c r="J90" i="48"/>
  <c r="L126" i="48"/>
  <c r="H144" i="48"/>
  <c r="V144" i="48" s="1"/>
  <c r="I226" i="48"/>
  <c r="W225" i="48" s="1"/>
  <c r="Y225" i="48" s="1"/>
  <c r="AF240" i="48"/>
  <c r="J254" i="48"/>
  <c r="J262" i="48"/>
  <c r="S309" i="48"/>
  <c r="T309" i="48" s="1"/>
  <c r="S311" i="48"/>
  <c r="T311" i="48" s="1"/>
  <c r="S313" i="48"/>
  <c r="T313" i="48" s="1"/>
  <c r="S315" i="48"/>
  <c r="T315" i="48" s="1"/>
  <c r="S338" i="48"/>
  <c r="T338" i="48" s="1"/>
  <c r="S346" i="48"/>
  <c r="T346" i="48" s="1"/>
  <c r="S348" i="48"/>
  <c r="T348" i="48" s="1"/>
  <c r="S350" i="48"/>
  <c r="T350" i="48" s="1"/>
  <c r="S352" i="48"/>
  <c r="T352" i="48" s="1"/>
  <c r="S380" i="48"/>
  <c r="T380" i="48" s="1"/>
  <c r="S382" i="48"/>
  <c r="T382" i="48" s="1"/>
  <c r="S384" i="48"/>
  <c r="T384" i="48" s="1"/>
  <c r="S386" i="48"/>
  <c r="T386" i="48" s="1"/>
  <c r="S388" i="48"/>
  <c r="T388" i="48" s="1"/>
  <c r="S392" i="48"/>
  <c r="T392" i="48" s="1"/>
  <c r="S394" i="48"/>
  <c r="T394" i="48" s="1"/>
  <c r="S432" i="48"/>
  <c r="T432" i="48" s="1"/>
  <c r="O257" i="48"/>
  <c r="O47" i="48"/>
  <c r="J49" i="48"/>
  <c r="N63" i="48"/>
  <c r="N80" i="48"/>
  <c r="H103" i="48"/>
  <c r="V103" i="48" s="1"/>
  <c r="H106" i="48"/>
  <c r="H111" i="48"/>
  <c r="N113" i="48"/>
  <c r="U151" i="48"/>
  <c r="H172" i="48"/>
  <c r="G183" i="48"/>
  <c r="H194" i="48"/>
  <c r="K194" i="48" s="1"/>
  <c r="H255" i="48"/>
  <c r="S375" i="48"/>
  <c r="T375" i="48" s="1"/>
  <c r="S407" i="48"/>
  <c r="T407" i="48" s="1"/>
  <c r="S421" i="48"/>
  <c r="T421" i="48" s="1"/>
  <c r="N27" i="48"/>
  <c r="N28" i="48"/>
  <c r="J29" i="48"/>
  <c r="J32" i="48"/>
  <c r="J36" i="48"/>
  <c r="G47" i="48"/>
  <c r="L62" i="48"/>
  <c r="G64" i="48"/>
  <c r="K64" i="48" s="1"/>
  <c r="S64" i="48" s="1"/>
  <c r="J77" i="48"/>
  <c r="H79" i="48"/>
  <c r="G80" i="48"/>
  <c r="J85" i="48"/>
  <c r="J86" i="48"/>
  <c r="Q87" i="48"/>
  <c r="AE85" i="48" s="1"/>
  <c r="M90" i="48"/>
  <c r="J97" i="48"/>
  <c r="R97" i="48" s="1"/>
  <c r="J103" i="48"/>
  <c r="X103" i="48" s="1"/>
  <c r="L104" i="48"/>
  <c r="O111" i="48"/>
  <c r="K119" i="48"/>
  <c r="J123" i="48"/>
  <c r="G131" i="48"/>
  <c r="K142" i="48"/>
  <c r="S142" i="48" s="1"/>
  <c r="AG142" i="48" s="1"/>
  <c r="V151" i="48"/>
  <c r="Q158" i="48"/>
  <c r="I159" i="48"/>
  <c r="I170" i="48"/>
  <c r="W168" i="48" s="1"/>
  <c r="J172" i="48"/>
  <c r="R172" i="48" s="1"/>
  <c r="G181" i="48"/>
  <c r="H193" i="48"/>
  <c r="K193" i="48" s="1"/>
  <c r="N194" i="48"/>
  <c r="N204" i="48"/>
  <c r="H210" i="48"/>
  <c r="K210" i="48" s="1"/>
  <c r="O255" i="48"/>
  <c r="J257" i="48"/>
  <c r="J277" i="48"/>
  <c r="S327" i="48"/>
  <c r="T327" i="48" s="1"/>
  <c r="S442" i="48"/>
  <c r="T442" i="48" s="1"/>
  <c r="S450" i="48"/>
  <c r="T450" i="48" s="1"/>
  <c r="S459" i="48"/>
  <c r="T459" i="48" s="1"/>
  <c r="O29" i="48"/>
  <c r="AF15" i="48"/>
  <c r="G27" i="48"/>
  <c r="K27" i="48" s="1"/>
  <c r="H28" i="48"/>
  <c r="K28" i="48" s="1"/>
  <c r="H29" i="48"/>
  <c r="G32" i="48"/>
  <c r="G36" i="48"/>
  <c r="Z40" i="48"/>
  <c r="G54" i="48"/>
  <c r="G85" i="48"/>
  <c r="M125" i="48"/>
  <c r="H196" i="48"/>
  <c r="K196" i="48" s="1"/>
  <c r="H204" i="48"/>
  <c r="K204" i="48" s="1"/>
  <c r="K244" i="48"/>
  <c r="S244" i="48" s="1"/>
  <c r="H257" i="48"/>
  <c r="S359" i="48"/>
  <c r="T359" i="48" s="1"/>
  <c r="S429" i="48"/>
  <c r="T429" i="48" s="1"/>
  <c r="S445" i="48"/>
  <c r="T445" i="48" s="1"/>
  <c r="M29" i="48"/>
  <c r="O36" i="48"/>
  <c r="J47" i="48"/>
  <c r="K55" i="48"/>
  <c r="N72" i="48"/>
  <c r="J79" i="48"/>
  <c r="H80" i="48"/>
  <c r="M82" i="48"/>
  <c r="M85" i="48"/>
  <c r="M86" i="48"/>
  <c r="N97" i="48"/>
  <c r="L118" i="48"/>
  <c r="L119" i="48"/>
  <c r="J131" i="48"/>
  <c r="K138" i="48"/>
  <c r="S138" i="48" s="1"/>
  <c r="K139" i="48"/>
  <c r="S139" i="48" s="1"/>
  <c r="N159" i="48"/>
  <c r="H174" i="48"/>
  <c r="G180" i="48"/>
  <c r="N193" i="48"/>
  <c r="M257" i="48"/>
  <c r="N292" i="48"/>
  <c r="S308" i="48"/>
  <c r="T308" i="48" s="1"/>
  <c r="S310" i="48"/>
  <c r="T310" i="48" s="1"/>
  <c r="S339" i="48"/>
  <c r="T339" i="48" s="1"/>
  <c r="S341" i="48"/>
  <c r="T341" i="48" s="1"/>
  <c r="S343" i="48"/>
  <c r="T343" i="48" s="1"/>
  <c r="S345" i="48"/>
  <c r="T345" i="48" s="1"/>
  <c r="S378" i="48"/>
  <c r="T378" i="48" s="1"/>
  <c r="S424" i="48"/>
  <c r="T424" i="48" s="1"/>
  <c r="S464" i="48"/>
  <c r="T464" i="48" s="1"/>
  <c r="S472" i="48"/>
  <c r="T472" i="48" s="1"/>
  <c r="S486" i="48"/>
  <c r="T486" i="48" s="1"/>
  <c r="S488" i="48"/>
  <c r="T488" i="48" s="1"/>
  <c r="L93" i="48"/>
  <c r="L110" i="48"/>
  <c r="O124" i="48"/>
  <c r="P124" i="48"/>
  <c r="G15" i="48"/>
  <c r="K15" i="48" s="1"/>
  <c r="N29" i="48"/>
  <c r="N31" i="48"/>
  <c r="H32" i="48"/>
  <c r="J33" i="48"/>
  <c r="M34" i="48"/>
  <c r="N35" i="48"/>
  <c r="I36" i="48"/>
  <c r="S41" i="48"/>
  <c r="G45" i="48"/>
  <c r="M47" i="48"/>
  <c r="G48" i="48"/>
  <c r="G49" i="48"/>
  <c r="O49" i="48"/>
  <c r="N53" i="48"/>
  <c r="H54" i="48"/>
  <c r="G56" i="48"/>
  <c r="K56" i="48" s="1"/>
  <c r="H57" i="48"/>
  <c r="K57" i="48" s="1"/>
  <c r="G62" i="48"/>
  <c r="K62" i="48" s="1"/>
  <c r="G63" i="48"/>
  <c r="K63" i="48" s="1"/>
  <c r="G65" i="48"/>
  <c r="K65" i="48" s="1"/>
  <c r="L72" i="48"/>
  <c r="J76" i="48"/>
  <c r="H77" i="48"/>
  <c r="H78" i="48"/>
  <c r="M80" i="48"/>
  <c r="I81" i="48"/>
  <c r="H85" i="48"/>
  <c r="P85" i="48"/>
  <c r="L86" i="48"/>
  <c r="H90" i="48"/>
  <c r="P90" i="48"/>
  <c r="H92" i="48"/>
  <c r="P92" i="48"/>
  <c r="I93" i="48"/>
  <c r="K102" i="48"/>
  <c r="Y102" i="48" s="1"/>
  <c r="G106" i="48"/>
  <c r="P106" i="48"/>
  <c r="H107" i="48"/>
  <c r="K107" i="48" s="1"/>
  <c r="J110" i="48"/>
  <c r="P110" i="48"/>
  <c r="AD109" i="48" s="1"/>
  <c r="J111" i="48"/>
  <c r="H117" i="48"/>
  <c r="K117" i="48" s="1"/>
  <c r="S117" i="48" s="1"/>
  <c r="K141" i="48"/>
  <c r="S141" i="48" s="1"/>
  <c r="AG141" i="48" s="1"/>
  <c r="I182" i="48"/>
  <c r="J182" i="48"/>
  <c r="K245" i="48"/>
  <c r="S245" i="48" s="1"/>
  <c r="V245" i="48"/>
  <c r="Y245" i="48" s="1"/>
  <c r="AG245" i="48" s="1"/>
  <c r="M265" i="48"/>
  <c r="G265" i="48"/>
  <c r="J265" i="48"/>
  <c r="H265" i="48"/>
  <c r="G267" i="48"/>
  <c r="L267" i="48"/>
  <c r="J273" i="48"/>
  <c r="N273" i="48"/>
  <c r="O35" i="48"/>
  <c r="M81" i="48"/>
  <c r="G31" i="48"/>
  <c r="AF40" i="48"/>
  <c r="N45" i="48"/>
  <c r="M49" i="48"/>
  <c r="G53" i="48"/>
  <c r="K53" i="48" s="1"/>
  <c r="G59" i="48"/>
  <c r="AF63" i="48"/>
  <c r="N65" i="48"/>
  <c r="O77" i="48"/>
  <c r="G81" i="48"/>
  <c r="N81" i="48"/>
  <c r="L85" i="48"/>
  <c r="L90" i="48"/>
  <c r="L92" i="48"/>
  <c r="G93" i="48"/>
  <c r="M93" i="48"/>
  <c r="I106" i="48"/>
  <c r="P107" i="48"/>
  <c r="G110" i="48"/>
  <c r="M110" i="48"/>
  <c r="L122" i="48"/>
  <c r="H130" i="48"/>
  <c r="J130" i="48"/>
  <c r="Q160" i="48"/>
  <c r="N160" i="48"/>
  <c r="G160" i="48"/>
  <c r="J160" i="48"/>
  <c r="P160" i="48"/>
  <c r="H160" i="48"/>
  <c r="AB162" i="48"/>
  <c r="O176" i="48"/>
  <c r="H176" i="48"/>
  <c r="N176" i="48"/>
  <c r="J176" i="48"/>
  <c r="H201" i="48"/>
  <c r="J201" i="48"/>
  <c r="O201" i="48"/>
  <c r="N201" i="48"/>
  <c r="U240" i="48"/>
  <c r="O31" i="48"/>
  <c r="Q110" i="48"/>
  <c r="AE109" i="48" s="1"/>
  <c r="G150" i="48"/>
  <c r="K150" i="48" s="1"/>
  <c r="N150" i="48"/>
  <c r="Y269" i="48"/>
  <c r="AG269" i="48" s="1"/>
  <c r="S269" i="48"/>
  <c r="AG7" i="48"/>
  <c r="N49" i="48"/>
  <c r="H59" i="48"/>
  <c r="O78" i="48"/>
  <c r="H81" i="48"/>
  <c r="H93" i="48"/>
  <c r="N93" i="48"/>
  <c r="H110" i="48"/>
  <c r="N110" i="48"/>
  <c r="Q157" i="48"/>
  <c r="N157" i="48"/>
  <c r="G157" i="48"/>
  <c r="J157" i="48"/>
  <c r="P157" i="48"/>
  <c r="H157" i="48"/>
  <c r="N202" i="48"/>
  <c r="H202" i="48"/>
  <c r="O202" i="48"/>
  <c r="J202" i="48"/>
  <c r="G260" i="48"/>
  <c r="J260" i="48"/>
  <c r="G272" i="48"/>
  <c r="O272" i="48"/>
  <c r="I272" i="48"/>
  <c r="W271" i="48" s="1"/>
  <c r="H123" i="48"/>
  <c r="N123" i="48"/>
  <c r="L127" i="48"/>
  <c r="N134" i="48"/>
  <c r="AB134" i="48" s="1"/>
  <c r="L158" i="48"/>
  <c r="P161" i="48"/>
  <c r="K165" i="48"/>
  <c r="S165" i="48" s="1"/>
  <c r="M169" i="48"/>
  <c r="R169" i="48" s="1"/>
  <c r="O171" i="48"/>
  <c r="L180" i="48"/>
  <c r="J181" i="48"/>
  <c r="R181" i="48" s="1"/>
  <c r="I183" i="48"/>
  <c r="H254" i="48"/>
  <c r="M255" i="48"/>
  <c r="N257" i="48"/>
  <c r="G262" i="48"/>
  <c r="M262" i="48"/>
  <c r="J274" i="48"/>
  <c r="G278" i="48"/>
  <c r="G279" i="48"/>
  <c r="N291" i="48"/>
  <c r="S305" i="48"/>
  <c r="T305" i="48" s="1"/>
  <c r="S307" i="48"/>
  <c r="T307" i="48" s="1"/>
  <c r="S316" i="48"/>
  <c r="T316" i="48" s="1"/>
  <c r="S318" i="48"/>
  <c r="T318" i="48" s="1"/>
  <c r="S325" i="48"/>
  <c r="T325" i="48" s="1"/>
  <c r="S335" i="48"/>
  <c r="T335" i="48" s="1"/>
  <c r="S356" i="48"/>
  <c r="T356" i="48" s="1"/>
  <c r="S358" i="48"/>
  <c r="T358" i="48" s="1"/>
  <c r="S360" i="48"/>
  <c r="T360" i="48" s="1"/>
  <c r="S368" i="48"/>
  <c r="T368" i="48" s="1"/>
  <c r="S370" i="48"/>
  <c r="T370" i="48" s="1"/>
  <c r="S372" i="48"/>
  <c r="T372" i="48" s="1"/>
  <c r="S376" i="48"/>
  <c r="T376" i="48" s="1"/>
  <c r="S391" i="48"/>
  <c r="T391" i="48" s="1"/>
  <c r="S395" i="48"/>
  <c r="T395" i="48" s="1"/>
  <c r="S409" i="48"/>
  <c r="T409" i="48" s="1"/>
  <c r="S411" i="48"/>
  <c r="T411" i="48" s="1"/>
  <c r="S413" i="48"/>
  <c r="T413" i="48" s="1"/>
  <c r="S417" i="48"/>
  <c r="T417" i="48" s="1"/>
  <c r="S423" i="48"/>
  <c r="T423" i="48" s="1"/>
  <c r="S425" i="48"/>
  <c r="T425" i="48" s="1"/>
  <c r="S427" i="48"/>
  <c r="T427" i="48" s="1"/>
  <c r="S436" i="48"/>
  <c r="T436" i="48" s="1"/>
  <c r="S440" i="48"/>
  <c r="T440" i="48" s="1"/>
  <c r="S453" i="48"/>
  <c r="T453" i="48" s="1"/>
  <c r="S455" i="48"/>
  <c r="T455" i="48" s="1"/>
  <c r="S457" i="48"/>
  <c r="T457" i="48" s="1"/>
  <c r="S468" i="48"/>
  <c r="T468" i="48" s="1"/>
  <c r="S484" i="48"/>
  <c r="T484" i="48" s="1"/>
  <c r="K118" i="48"/>
  <c r="I123" i="48"/>
  <c r="P123" i="48"/>
  <c r="G127" i="48"/>
  <c r="M127" i="48"/>
  <c r="R127" i="48" s="1"/>
  <c r="L131" i="48"/>
  <c r="H134" i="48"/>
  <c r="V134" i="48" s="1"/>
  <c r="Y134" i="48" s="1"/>
  <c r="AF135" i="48"/>
  <c r="K136" i="48"/>
  <c r="S136" i="48" s="1"/>
  <c r="AF151" i="48"/>
  <c r="Z151" i="48"/>
  <c r="Q161" i="48"/>
  <c r="R161" i="48" s="1"/>
  <c r="S164" i="48"/>
  <c r="K167" i="48"/>
  <c r="S167" i="48" s="1"/>
  <c r="AG167" i="48" s="1"/>
  <c r="L181" i="48"/>
  <c r="L183" i="48"/>
  <c r="N255" i="48"/>
  <c r="L274" i="48"/>
  <c r="H278" i="48"/>
  <c r="H279" i="48"/>
  <c r="Y283" i="48"/>
  <c r="AG283" i="48" s="1"/>
  <c r="G291" i="48"/>
  <c r="S306" i="48"/>
  <c r="T306" i="48" s="1"/>
  <c r="S317" i="48"/>
  <c r="T317" i="48" s="1"/>
  <c r="S319" i="48"/>
  <c r="T319" i="48" s="1"/>
  <c r="S330" i="48"/>
  <c r="T330" i="48" s="1"/>
  <c r="S332" i="48"/>
  <c r="T332" i="48" s="1"/>
  <c r="S347" i="48"/>
  <c r="T347" i="48" s="1"/>
  <c r="S355" i="48"/>
  <c r="T355" i="48" s="1"/>
  <c r="S363" i="48"/>
  <c r="T363" i="48" s="1"/>
  <c r="S365" i="48"/>
  <c r="T365" i="48" s="1"/>
  <c r="S396" i="48"/>
  <c r="T396" i="48" s="1"/>
  <c r="S398" i="48"/>
  <c r="T398" i="48" s="1"/>
  <c r="S400" i="48"/>
  <c r="T400" i="48" s="1"/>
  <c r="S404" i="48"/>
  <c r="T404" i="48" s="1"/>
  <c r="S406" i="48"/>
  <c r="T406" i="48" s="1"/>
  <c r="S408" i="48"/>
  <c r="T408" i="48" s="1"/>
  <c r="S418" i="48"/>
  <c r="T418" i="48" s="1"/>
  <c r="S420" i="48"/>
  <c r="T420" i="48" s="1"/>
  <c r="S422" i="48"/>
  <c r="T422" i="48" s="1"/>
  <c r="S426" i="48"/>
  <c r="T426" i="48" s="1"/>
  <c r="S447" i="48"/>
  <c r="T447" i="48" s="1"/>
  <c r="S452" i="48"/>
  <c r="T452" i="48" s="1"/>
  <c r="S458" i="48"/>
  <c r="T458" i="48" s="1"/>
  <c r="S477" i="48"/>
  <c r="T477" i="48" s="1"/>
  <c r="N144" i="48"/>
  <c r="AB144" i="48" s="1"/>
  <c r="K152" i="48"/>
  <c r="S152" i="48" s="1"/>
  <c r="K154" i="48"/>
  <c r="S154" i="48" s="1"/>
  <c r="K155" i="48"/>
  <c r="S155" i="48" s="1"/>
  <c r="I158" i="48"/>
  <c r="L159" i="48"/>
  <c r="H169" i="48"/>
  <c r="N172" i="48"/>
  <c r="I180" i="48"/>
  <c r="H181" i="48"/>
  <c r="H183" i="48"/>
  <c r="O193" i="48"/>
  <c r="R193" i="48" s="1"/>
  <c r="N196" i="48"/>
  <c r="N210" i="48"/>
  <c r="L226" i="48"/>
  <c r="Z225" i="48" s="1"/>
  <c r="S241" i="48"/>
  <c r="O254" i="48"/>
  <c r="J255" i="48"/>
  <c r="S314" i="48"/>
  <c r="T314" i="48" s="1"/>
  <c r="S337" i="48"/>
  <c r="T337" i="48" s="1"/>
  <c r="S342" i="48"/>
  <c r="T342" i="48" s="1"/>
  <c r="S351" i="48"/>
  <c r="T351" i="48" s="1"/>
  <c r="S428" i="48"/>
  <c r="T428" i="48" s="1"/>
  <c r="S374" i="48"/>
  <c r="T374" i="48" s="1"/>
  <c r="S390" i="48"/>
  <c r="T390" i="48" s="1"/>
  <c r="S439" i="48"/>
  <c r="T439" i="48" s="1"/>
  <c r="S444" i="48"/>
  <c r="T444" i="48" s="1"/>
  <c r="S460" i="48"/>
  <c r="T460" i="48" s="1"/>
  <c r="S476" i="48"/>
  <c r="T476" i="48" s="1"/>
  <c r="S312" i="48"/>
  <c r="T312" i="48" s="1"/>
  <c r="S323" i="48"/>
  <c r="T323" i="48" s="1"/>
  <c r="S326" i="48"/>
  <c r="T326" i="48" s="1"/>
  <c r="S334" i="48"/>
  <c r="T334" i="48" s="1"/>
  <c r="S340" i="48"/>
  <c r="T340" i="48" s="1"/>
  <c r="S357" i="48"/>
  <c r="T357" i="48" s="1"/>
  <c r="S362" i="48"/>
  <c r="T362" i="48" s="1"/>
  <c r="S364" i="48"/>
  <c r="T364" i="48" s="1"/>
  <c r="S367" i="48"/>
  <c r="T367" i="48" s="1"/>
  <c r="S371" i="48"/>
  <c r="T371" i="48" s="1"/>
  <c r="S373" i="48"/>
  <c r="T373" i="48" s="1"/>
  <c r="S383" i="48"/>
  <c r="T383" i="48" s="1"/>
  <c r="S387" i="48"/>
  <c r="T387" i="48" s="1"/>
  <c r="S389" i="48"/>
  <c r="T389" i="48" s="1"/>
  <c r="S399" i="48"/>
  <c r="T399" i="48" s="1"/>
  <c r="S403" i="48"/>
  <c r="T403" i="48" s="1"/>
  <c r="S405" i="48"/>
  <c r="T405" i="48" s="1"/>
  <c r="S412" i="48"/>
  <c r="T412" i="48" s="1"/>
  <c r="S431" i="48"/>
  <c r="T431" i="48" s="1"/>
  <c r="S434" i="48"/>
  <c r="T434" i="48" s="1"/>
  <c r="S461" i="48"/>
  <c r="T461" i="48" s="1"/>
  <c r="S463" i="48"/>
  <c r="T463" i="48" s="1"/>
  <c r="S466" i="48"/>
  <c r="T466" i="48" s="1"/>
  <c r="S471" i="48"/>
  <c r="T471" i="48" s="1"/>
  <c r="S473" i="48"/>
  <c r="T473" i="48" s="1"/>
  <c r="S475" i="48"/>
  <c r="T475" i="48" s="1"/>
  <c r="S480" i="48"/>
  <c r="T480" i="48" s="1"/>
  <c r="S482" i="48"/>
  <c r="T482" i="48" s="1"/>
  <c r="S487" i="48"/>
  <c r="T487" i="48" s="1"/>
  <c r="S452" i="46"/>
  <c r="T452" i="46" s="1"/>
  <c r="S448" i="46"/>
  <c r="T448" i="46" s="1"/>
  <c r="S444" i="46"/>
  <c r="T444" i="46" s="1"/>
  <c r="S440" i="46"/>
  <c r="T440" i="46" s="1"/>
  <c r="S436" i="46"/>
  <c r="T436" i="46" s="1"/>
  <c r="S432" i="46"/>
  <c r="T432" i="46" s="1"/>
  <c r="S428" i="46"/>
  <c r="T428" i="46" s="1"/>
  <c r="S424" i="46"/>
  <c r="T424" i="46" s="1"/>
  <c r="S420" i="46"/>
  <c r="T420" i="46" s="1"/>
  <c r="S416" i="46"/>
  <c r="T416" i="46" s="1"/>
  <c r="S412" i="46"/>
  <c r="T412" i="46" s="1"/>
  <c r="S408" i="46"/>
  <c r="T408" i="46" s="1"/>
  <c r="S404" i="46"/>
  <c r="T404" i="46" s="1"/>
  <c r="S400" i="46"/>
  <c r="T400" i="46" s="1"/>
  <c r="S396" i="46"/>
  <c r="T396" i="46" s="1"/>
  <c r="S392" i="46"/>
  <c r="T392" i="46" s="1"/>
  <c r="S388" i="46"/>
  <c r="T388" i="46" s="1"/>
  <c r="S384" i="46"/>
  <c r="T384" i="46" s="1"/>
  <c r="S380" i="46"/>
  <c r="T380" i="46" s="1"/>
  <c r="S376" i="46"/>
  <c r="T376" i="46" s="1"/>
  <c r="S372" i="46"/>
  <c r="T372" i="46" s="1"/>
  <c r="S368" i="46"/>
  <c r="T368" i="46" s="1"/>
  <c r="S364" i="46"/>
  <c r="T364" i="46" s="1"/>
  <c r="S360" i="46"/>
  <c r="T360" i="46" s="1"/>
  <c r="S356" i="46"/>
  <c r="T356" i="46" s="1"/>
  <c r="S352" i="46"/>
  <c r="T352" i="46" s="1"/>
  <c r="S348" i="46"/>
  <c r="T348" i="46" s="1"/>
  <c r="S344" i="46"/>
  <c r="T344" i="46" s="1"/>
  <c r="S340" i="46"/>
  <c r="T340" i="46" s="1"/>
  <c r="S336" i="46"/>
  <c r="T336" i="46" s="1"/>
  <c r="S332" i="46"/>
  <c r="T332" i="46" s="1"/>
  <c r="S328" i="46"/>
  <c r="T328" i="46" s="1"/>
  <c r="S324" i="46"/>
  <c r="T324" i="46" s="1"/>
  <c r="S319" i="46"/>
  <c r="T319" i="46" s="1"/>
  <c r="S315" i="46"/>
  <c r="T315" i="46" s="1"/>
  <c r="S311" i="46"/>
  <c r="T311" i="46" s="1"/>
  <c r="S307" i="46"/>
  <c r="T307" i="46" s="1"/>
  <c r="K120" i="48"/>
  <c r="V120" i="48"/>
  <c r="L14" i="48"/>
  <c r="Z14" i="48" s="1"/>
  <c r="G14" i="48"/>
  <c r="M14" i="48"/>
  <c r="AA14" i="48" s="1"/>
  <c r="H20" i="48"/>
  <c r="G20" i="48"/>
  <c r="N24" i="48"/>
  <c r="AB24" i="48" s="1"/>
  <c r="G25" i="48"/>
  <c r="K25" i="48" s="1"/>
  <c r="N25" i="48"/>
  <c r="L35" i="48"/>
  <c r="M35" i="48"/>
  <c r="AF51" i="48"/>
  <c r="L58" i="48"/>
  <c r="U69" i="48"/>
  <c r="Y69" i="48" s="1"/>
  <c r="AG69" i="48" s="1"/>
  <c r="G82" i="48"/>
  <c r="O82" i="48"/>
  <c r="I82" i="48"/>
  <c r="N82" i="48"/>
  <c r="H82" i="48"/>
  <c r="M83" i="48"/>
  <c r="H83" i="48"/>
  <c r="O83" i="48"/>
  <c r="I83" i="48"/>
  <c r="N83" i="48"/>
  <c r="G83" i="48"/>
  <c r="N84" i="48"/>
  <c r="I84" i="48"/>
  <c r="O84" i="48"/>
  <c r="H84" i="48"/>
  <c r="M84" i="48"/>
  <c r="G84" i="48"/>
  <c r="L89" i="48"/>
  <c r="G89" i="48"/>
  <c r="J89" i="48"/>
  <c r="R89" i="48" s="1"/>
  <c r="H89" i="48"/>
  <c r="V102" i="48"/>
  <c r="Z135" i="48"/>
  <c r="AF145" i="48"/>
  <c r="O218" i="48"/>
  <c r="H218" i="48"/>
  <c r="J218" i="48"/>
  <c r="N218" i="48"/>
  <c r="O253" i="48"/>
  <c r="L253" i="48"/>
  <c r="J253" i="48"/>
  <c r="H253" i="48"/>
  <c r="N253" i="48"/>
  <c r="M253" i="48"/>
  <c r="J259" i="48"/>
  <c r="L259" i="48"/>
  <c r="H259" i="48"/>
  <c r="M259" i="48"/>
  <c r="G259" i="48"/>
  <c r="L261" i="48"/>
  <c r="M261" i="48"/>
  <c r="J261" i="48"/>
  <c r="H261" i="48"/>
  <c r="O24" i="48"/>
  <c r="AC24" i="48" s="1"/>
  <c r="X24" i="48"/>
  <c r="H26" i="48"/>
  <c r="G26" i="48"/>
  <c r="N46" i="48"/>
  <c r="J46" i="48"/>
  <c r="O46" i="48"/>
  <c r="U50" i="48"/>
  <c r="K50" i="48"/>
  <c r="H51" i="48"/>
  <c r="G51" i="48"/>
  <c r="L95" i="48"/>
  <c r="H95" i="48"/>
  <c r="O95" i="48"/>
  <c r="I95" i="48"/>
  <c r="J95" i="48"/>
  <c r="L98" i="48"/>
  <c r="H98" i="48"/>
  <c r="J98" i="48"/>
  <c r="I98" i="48"/>
  <c r="P98" i="48"/>
  <c r="G98" i="48"/>
  <c r="M101" i="48"/>
  <c r="I101" i="48"/>
  <c r="L101" i="48"/>
  <c r="G101" i="48"/>
  <c r="J101" i="48"/>
  <c r="P101" i="48"/>
  <c r="H101" i="48"/>
  <c r="P121" i="48"/>
  <c r="L121" i="48"/>
  <c r="H121" i="48"/>
  <c r="O121" i="48"/>
  <c r="J121" i="48"/>
  <c r="N121" i="48"/>
  <c r="I121" i="48"/>
  <c r="G121" i="48"/>
  <c r="J184" i="48"/>
  <c r="H184" i="48"/>
  <c r="O184" i="48"/>
  <c r="N184" i="48"/>
  <c r="O187" i="48"/>
  <c r="H187" i="48"/>
  <c r="N187" i="48"/>
  <c r="J187" i="48"/>
  <c r="G17" i="48"/>
  <c r="G24" i="48"/>
  <c r="O34" i="48"/>
  <c r="N34" i="48"/>
  <c r="H34" i="48"/>
  <c r="U40" i="48"/>
  <c r="G46" i="48"/>
  <c r="H52" i="48"/>
  <c r="G52" i="48"/>
  <c r="P74" i="48"/>
  <c r="J74" i="48"/>
  <c r="R74" i="48" s="1"/>
  <c r="H74" i="48"/>
  <c r="N74" i="48"/>
  <c r="G74" i="48"/>
  <c r="O75" i="48"/>
  <c r="H75" i="48"/>
  <c r="J75" i="48"/>
  <c r="G95" i="48"/>
  <c r="O112" i="48"/>
  <c r="N112" i="48"/>
  <c r="H112" i="48"/>
  <c r="M112" i="48"/>
  <c r="L112" i="48"/>
  <c r="AF115" i="48"/>
  <c r="M121" i="48"/>
  <c r="J128" i="48"/>
  <c r="H128" i="48"/>
  <c r="M128" i="48"/>
  <c r="G128" i="48"/>
  <c r="L128" i="48"/>
  <c r="H143" i="48"/>
  <c r="V143" i="48" s="1"/>
  <c r="G143" i="48"/>
  <c r="J14" i="48"/>
  <c r="H17" i="48"/>
  <c r="G19" i="48"/>
  <c r="K19" i="48" s="1"/>
  <c r="L19" i="48"/>
  <c r="H24" i="48"/>
  <c r="V24" i="48" s="1"/>
  <c r="J34" i="48"/>
  <c r="J35" i="48"/>
  <c r="L46" i="48"/>
  <c r="N48" i="48"/>
  <c r="J48" i="48"/>
  <c r="O48" i="48"/>
  <c r="N51" i="48"/>
  <c r="H58" i="48"/>
  <c r="G60" i="48"/>
  <c r="H60" i="48"/>
  <c r="H61" i="48"/>
  <c r="K61" i="48" s="1"/>
  <c r="L61" i="48"/>
  <c r="G67" i="48"/>
  <c r="K67" i="48" s="1"/>
  <c r="N67" i="48"/>
  <c r="N68" i="48"/>
  <c r="AB68" i="48" s="1"/>
  <c r="N75" i="48"/>
  <c r="AB75" i="48" s="1"/>
  <c r="P91" i="48"/>
  <c r="G91" i="48"/>
  <c r="N91" i="48"/>
  <c r="I91" i="48"/>
  <c r="M91" i="48"/>
  <c r="H91" i="48"/>
  <c r="N95" i="48"/>
  <c r="M98" i="48"/>
  <c r="N101" i="48"/>
  <c r="J112" i="48"/>
  <c r="Q121" i="48"/>
  <c r="Q124" i="48"/>
  <c r="M124" i="48"/>
  <c r="I124" i="48"/>
  <c r="N124" i="48"/>
  <c r="H124" i="48"/>
  <c r="L124" i="48"/>
  <c r="G124" i="48"/>
  <c r="J124" i="48"/>
  <c r="N145" i="48"/>
  <c r="G145" i="48"/>
  <c r="M276" i="48"/>
  <c r="H276" i="48"/>
  <c r="J276" i="48"/>
  <c r="L276" i="48"/>
  <c r="G276" i="48"/>
  <c r="U68" i="48"/>
  <c r="Y68" i="48" s="1"/>
  <c r="K68" i="48"/>
  <c r="P71" i="48"/>
  <c r="J71" i="48"/>
  <c r="L71" i="48"/>
  <c r="L73" i="48"/>
  <c r="G73" i="48"/>
  <c r="N73" i="48"/>
  <c r="L87" i="48"/>
  <c r="G87" i="48"/>
  <c r="M87" i="48"/>
  <c r="M88" i="48"/>
  <c r="R88" i="48" s="1"/>
  <c r="H88" i="48"/>
  <c r="L88" i="48"/>
  <c r="G94" i="48"/>
  <c r="P94" i="48"/>
  <c r="I94" i="48"/>
  <c r="M94" i="48"/>
  <c r="R94" i="48" s="1"/>
  <c r="M100" i="48"/>
  <c r="R100" i="48" s="1"/>
  <c r="I100" i="48"/>
  <c r="N100" i="48"/>
  <c r="H100" i="48"/>
  <c r="L100" i="48"/>
  <c r="L105" i="48"/>
  <c r="G105" i="48"/>
  <c r="I105" i="48"/>
  <c r="AF104" i="48"/>
  <c r="M113" i="48"/>
  <c r="H113" i="48"/>
  <c r="O113" i="48"/>
  <c r="J113" i="48"/>
  <c r="L115" i="48"/>
  <c r="H115" i="48"/>
  <c r="K115" i="48" s="1"/>
  <c r="L116" i="48"/>
  <c r="H116" i="48"/>
  <c r="K116" i="48" s="1"/>
  <c r="O125" i="48"/>
  <c r="G125" i="48"/>
  <c r="P125" i="48"/>
  <c r="J125" i="48"/>
  <c r="N125" i="48"/>
  <c r="I125" i="48"/>
  <c r="Q125" i="48"/>
  <c r="M133" i="48"/>
  <c r="H133" i="48"/>
  <c r="J133" i="48"/>
  <c r="L179" i="48"/>
  <c r="H179" i="48"/>
  <c r="J179" i="48"/>
  <c r="I179" i="48"/>
  <c r="J195" i="48"/>
  <c r="N195" i="48"/>
  <c r="H195" i="48"/>
  <c r="O213" i="48"/>
  <c r="H213" i="48"/>
  <c r="N213" i="48"/>
  <c r="J213" i="48"/>
  <c r="O220" i="48"/>
  <c r="H220" i="48"/>
  <c r="J220" i="48"/>
  <c r="N220" i="48"/>
  <c r="S242" i="48"/>
  <c r="Z240" i="48"/>
  <c r="L264" i="48"/>
  <c r="G264" i="48"/>
  <c r="J264" i="48"/>
  <c r="H264" i="48"/>
  <c r="G280" i="48"/>
  <c r="H280" i="48"/>
  <c r="N280" i="48"/>
  <c r="H293" i="48"/>
  <c r="G293" i="48"/>
  <c r="L30" i="48"/>
  <c r="G30" i="48"/>
  <c r="M30" i="48"/>
  <c r="M31" i="48"/>
  <c r="H31" i="48"/>
  <c r="L31" i="48"/>
  <c r="O32" i="48"/>
  <c r="I32" i="48"/>
  <c r="M33" i="48"/>
  <c r="H33" i="48"/>
  <c r="N33" i="48"/>
  <c r="L36" i="48"/>
  <c r="H36" i="48"/>
  <c r="Y40" i="48"/>
  <c r="S40" i="48"/>
  <c r="S43" i="48"/>
  <c r="M45" i="48"/>
  <c r="H45" i="48"/>
  <c r="L45" i="48"/>
  <c r="AF69" i="48"/>
  <c r="G71" i="48"/>
  <c r="N71" i="48"/>
  <c r="H73" i="48"/>
  <c r="P73" i="48"/>
  <c r="H87" i="48"/>
  <c r="P87" i="48"/>
  <c r="G88" i="48"/>
  <c r="H94" i="48"/>
  <c r="L96" i="48"/>
  <c r="H96" i="48"/>
  <c r="N96" i="48"/>
  <c r="G96" i="48"/>
  <c r="O96" i="48"/>
  <c r="M99" i="48"/>
  <c r="I99" i="48"/>
  <c r="P99" i="48"/>
  <c r="J99" i="48"/>
  <c r="L99" i="48"/>
  <c r="G100" i="48"/>
  <c r="P100" i="48"/>
  <c r="U103" i="48"/>
  <c r="N103" i="48"/>
  <c r="AB103" i="48" s="1"/>
  <c r="I104" i="48"/>
  <c r="P104" i="48"/>
  <c r="G104" i="48"/>
  <c r="H105" i="48"/>
  <c r="L109" i="48"/>
  <c r="G109" i="48"/>
  <c r="N109" i="48"/>
  <c r="H109" i="48"/>
  <c r="O109" i="48"/>
  <c r="U115" i="48"/>
  <c r="Q122" i="48"/>
  <c r="M122" i="48"/>
  <c r="I122" i="48"/>
  <c r="O122" i="48"/>
  <c r="J122" i="48"/>
  <c r="N122" i="48"/>
  <c r="H122" i="48"/>
  <c r="P122" i="48"/>
  <c r="H125" i="48"/>
  <c r="M129" i="48"/>
  <c r="H129" i="48"/>
  <c r="J129" i="48"/>
  <c r="J132" i="48"/>
  <c r="H132" i="48"/>
  <c r="M132" i="48"/>
  <c r="G132" i="48"/>
  <c r="G133" i="48"/>
  <c r="V135" i="48"/>
  <c r="N147" i="48"/>
  <c r="G147" i="48"/>
  <c r="K147" i="48" s="1"/>
  <c r="K151" i="48"/>
  <c r="S163" i="48"/>
  <c r="J173" i="48"/>
  <c r="H173" i="48"/>
  <c r="J175" i="48"/>
  <c r="H175" i="48"/>
  <c r="I177" i="48"/>
  <c r="H177" i="48"/>
  <c r="L177" i="48"/>
  <c r="G177" i="48"/>
  <c r="P177" i="48"/>
  <c r="AD177" i="48" s="1"/>
  <c r="I178" i="48"/>
  <c r="H178" i="48"/>
  <c r="L178" i="48"/>
  <c r="G178" i="48"/>
  <c r="G179" i="48"/>
  <c r="O191" i="48"/>
  <c r="R191" i="48" s="1"/>
  <c r="H191" i="48"/>
  <c r="K191" i="48" s="1"/>
  <c r="N191" i="48"/>
  <c r="O195" i="48"/>
  <c r="N208" i="48"/>
  <c r="J208" i="48"/>
  <c r="R208" i="48" s="1"/>
  <c r="H208" i="48"/>
  <c r="O219" i="48"/>
  <c r="R219" i="48" s="1"/>
  <c r="H219" i="48"/>
  <c r="K219" i="48" s="1"/>
  <c r="N219" i="48"/>
  <c r="K239" i="48"/>
  <c r="N256" i="48"/>
  <c r="J256" i="48"/>
  <c r="O256" i="48"/>
  <c r="H256" i="48"/>
  <c r="M256" i="48"/>
  <c r="L256" i="48"/>
  <c r="M264" i="48"/>
  <c r="J275" i="48"/>
  <c r="R275" i="48" s="1"/>
  <c r="H275" i="48"/>
  <c r="L275" i="48"/>
  <c r="G275" i="48"/>
  <c r="S377" i="48"/>
  <c r="T377" i="48" s="1"/>
  <c r="S419" i="48"/>
  <c r="T419" i="48" s="1"/>
  <c r="U167" i="48"/>
  <c r="L170" i="48"/>
  <c r="H170" i="48"/>
  <c r="M170" i="48"/>
  <c r="R170" i="48" s="1"/>
  <c r="G170" i="48"/>
  <c r="O189" i="48"/>
  <c r="R189" i="48" s="1"/>
  <c r="H189" i="48"/>
  <c r="K189" i="48" s="1"/>
  <c r="N189" i="48"/>
  <c r="O212" i="48"/>
  <c r="H212" i="48"/>
  <c r="J212" i="48"/>
  <c r="N212" i="48"/>
  <c r="O221" i="48"/>
  <c r="H221" i="48"/>
  <c r="N221" i="48"/>
  <c r="J221" i="48"/>
  <c r="H281" i="48"/>
  <c r="K281" i="48" s="1"/>
  <c r="N281" i="48"/>
  <c r="N293" i="48"/>
  <c r="S324" i="48"/>
  <c r="T324" i="48" s="1"/>
  <c r="S329" i="48"/>
  <c r="T329" i="48" s="1"/>
  <c r="J126" i="48"/>
  <c r="U135" i="48"/>
  <c r="K135" i="48"/>
  <c r="M168" i="48"/>
  <c r="G168" i="48"/>
  <c r="L182" i="48"/>
  <c r="H182" i="48"/>
  <c r="O186" i="48"/>
  <c r="H186" i="48"/>
  <c r="O188" i="48"/>
  <c r="H188" i="48"/>
  <c r="O190" i="48"/>
  <c r="H190" i="48"/>
  <c r="O192" i="48"/>
  <c r="H192" i="48"/>
  <c r="O214" i="48"/>
  <c r="H214" i="48"/>
  <c r="J214" i="48"/>
  <c r="O215" i="48"/>
  <c r="H215" i="48"/>
  <c r="N215" i="48"/>
  <c r="O222" i="48"/>
  <c r="H222" i="48"/>
  <c r="J222" i="48"/>
  <c r="O223" i="48"/>
  <c r="H223" i="48"/>
  <c r="N223" i="48"/>
  <c r="L258" i="48"/>
  <c r="H258" i="48"/>
  <c r="M258" i="48"/>
  <c r="G258" i="48"/>
  <c r="J263" i="48"/>
  <c r="H263" i="48"/>
  <c r="M263" i="48"/>
  <c r="J266" i="48"/>
  <c r="M266" i="48"/>
  <c r="G266" i="48"/>
  <c r="O271" i="48"/>
  <c r="J271" i="48"/>
  <c r="P271" i="48"/>
  <c r="G271" i="48"/>
  <c r="P290" i="48"/>
  <c r="G290" i="48"/>
  <c r="J80" i="48"/>
  <c r="J81" i="48"/>
  <c r="J92" i="48"/>
  <c r="J93" i="48"/>
  <c r="L97" i="48"/>
  <c r="H97" i="48"/>
  <c r="L107" i="48"/>
  <c r="P108" i="48"/>
  <c r="H108" i="48"/>
  <c r="K108" i="48" s="1"/>
  <c r="L108" i="48"/>
  <c r="O123" i="48"/>
  <c r="G123" i="48"/>
  <c r="L123" i="48"/>
  <c r="Q123" i="48"/>
  <c r="G126" i="48"/>
  <c r="L130" i="48"/>
  <c r="G130" i="48"/>
  <c r="M130" i="48"/>
  <c r="G149" i="48"/>
  <c r="K149" i="48" s="1"/>
  <c r="S149" i="48" s="1"/>
  <c r="K153" i="48"/>
  <c r="S153" i="48" s="1"/>
  <c r="L161" i="48"/>
  <c r="G161" i="48"/>
  <c r="N161" i="48"/>
  <c r="U162" i="48"/>
  <c r="K162" i="48"/>
  <c r="J168" i="48"/>
  <c r="L169" i="48"/>
  <c r="G182" i="48"/>
  <c r="M182" i="48"/>
  <c r="J186" i="48"/>
  <c r="J188" i="48"/>
  <c r="J190" i="48"/>
  <c r="J192" i="48"/>
  <c r="H200" i="48"/>
  <c r="J215" i="48"/>
  <c r="O216" i="48"/>
  <c r="H216" i="48"/>
  <c r="J216" i="48"/>
  <c r="O217" i="48"/>
  <c r="R217" i="48" s="1"/>
  <c r="H217" i="48"/>
  <c r="K217" i="48" s="1"/>
  <c r="N217" i="48"/>
  <c r="J223" i="48"/>
  <c r="O224" i="48"/>
  <c r="H224" i="48"/>
  <c r="J224" i="48"/>
  <c r="P226" i="48"/>
  <c r="AD225" i="48" s="1"/>
  <c r="AF245" i="48"/>
  <c r="G263" i="48"/>
  <c r="H266" i="48"/>
  <c r="M267" i="48"/>
  <c r="H267" i="48"/>
  <c r="J267" i="48"/>
  <c r="AF278" i="48"/>
  <c r="H282" i="48"/>
  <c r="K282" i="48" s="1"/>
  <c r="N282" i="48"/>
  <c r="H290" i="48"/>
  <c r="S336" i="48"/>
  <c r="T336" i="48" s="1"/>
  <c r="S349" i="48"/>
  <c r="T349" i="48" s="1"/>
  <c r="S354" i="48"/>
  <c r="T354" i="48" s="1"/>
  <c r="J158" i="48"/>
  <c r="J159" i="48"/>
  <c r="O194" i="48"/>
  <c r="R194" i="48" s="1"/>
  <c r="O196" i="48"/>
  <c r="O204" i="48"/>
  <c r="O210" i="48"/>
  <c r="S240" i="48"/>
  <c r="Y240" i="48"/>
  <c r="M260" i="48"/>
  <c r="H260" i="48"/>
  <c r="L260" i="48"/>
  <c r="P272" i="48"/>
  <c r="J272" i="48"/>
  <c r="N272" i="48"/>
  <c r="O273" i="48"/>
  <c r="G273" i="48"/>
  <c r="P273" i="48"/>
  <c r="H292" i="48"/>
  <c r="G292" i="48"/>
  <c r="S328" i="48"/>
  <c r="T328" i="48" s="1"/>
  <c r="S344" i="48"/>
  <c r="T344" i="48" s="1"/>
  <c r="S361" i="48"/>
  <c r="T361" i="48" s="1"/>
  <c r="S397" i="48"/>
  <c r="T397" i="48" s="1"/>
  <c r="S402" i="48"/>
  <c r="T402" i="48" s="1"/>
  <c r="S454" i="48"/>
  <c r="T454" i="48" s="1"/>
  <c r="S470" i="48"/>
  <c r="T470" i="48" s="1"/>
  <c r="L277" i="48"/>
  <c r="G277" i="48"/>
  <c r="M277" i="48"/>
  <c r="P291" i="48"/>
  <c r="S353" i="48"/>
  <c r="T353" i="48" s="1"/>
  <c r="S369" i="48"/>
  <c r="T369" i="48" s="1"/>
  <c r="S385" i="48"/>
  <c r="T385" i="48" s="1"/>
  <c r="S401" i="48"/>
  <c r="T401" i="48" s="1"/>
  <c r="S410" i="48"/>
  <c r="T410" i="48" s="1"/>
  <c r="S415" i="48"/>
  <c r="T415" i="48" s="1"/>
  <c r="S438" i="48"/>
  <c r="T438" i="48" s="1"/>
  <c r="S474" i="48"/>
  <c r="T474" i="48" s="1"/>
  <c r="S479" i="48"/>
  <c r="T479" i="48" s="1"/>
  <c r="S414" i="48"/>
  <c r="T414" i="48" s="1"/>
  <c r="S430" i="48"/>
  <c r="T430" i="48" s="1"/>
  <c r="S446" i="48"/>
  <c r="T446" i="48" s="1"/>
  <c r="S462" i="48"/>
  <c r="T462" i="48" s="1"/>
  <c r="S478" i="48"/>
  <c r="T478" i="48" s="1"/>
  <c r="X14" i="47"/>
  <c r="L14" i="47"/>
  <c r="Z14" i="47" s="1"/>
  <c r="G14" i="47"/>
  <c r="M14" i="47"/>
  <c r="AA14" i="47" s="1"/>
  <c r="AF15" i="47"/>
  <c r="H26" i="47"/>
  <c r="G26" i="47"/>
  <c r="N28" i="47"/>
  <c r="H28" i="47"/>
  <c r="G28" i="47"/>
  <c r="O34" i="47"/>
  <c r="J34" i="47"/>
  <c r="H34" i="47"/>
  <c r="L34" i="47"/>
  <c r="N34" i="47"/>
  <c r="H20" i="47"/>
  <c r="G20" i="47"/>
  <c r="L20" i="47"/>
  <c r="M34" i="47"/>
  <c r="V51" i="47"/>
  <c r="N26" i="47"/>
  <c r="L35" i="47"/>
  <c r="H35" i="47"/>
  <c r="O35" i="47"/>
  <c r="J35" i="47"/>
  <c r="N35" i="47"/>
  <c r="M35" i="47"/>
  <c r="U68" i="47"/>
  <c r="Y68" i="47" s="1"/>
  <c r="AG68" i="47" s="1"/>
  <c r="K68" i="47"/>
  <c r="S68" i="47" s="1"/>
  <c r="N73" i="47"/>
  <c r="K85" i="47"/>
  <c r="S85" i="47" s="1"/>
  <c r="L104" i="47"/>
  <c r="G104" i="47"/>
  <c r="P104" i="47"/>
  <c r="H104" i="47"/>
  <c r="Q110" i="47"/>
  <c r="AE109" i="47" s="1"/>
  <c r="M110" i="47"/>
  <c r="H110" i="47"/>
  <c r="N110" i="47"/>
  <c r="J110" i="47"/>
  <c r="O110" i="47"/>
  <c r="U143" i="47"/>
  <c r="N256" i="47"/>
  <c r="J256" i="47"/>
  <c r="O256" i="47"/>
  <c r="L256" i="47"/>
  <c r="Z253" i="47" s="1"/>
  <c r="M256" i="47"/>
  <c r="H256" i="47"/>
  <c r="M259" i="47"/>
  <c r="H259" i="47"/>
  <c r="G259" i="47"/>
  <c r="J259" i="47"/>
  <c r="L259" i="47"/>
  <c r="L30" i="47"/>
  <c r="G30" i="47"/>
  <c r="M31" i="47"/>
  <c r="H31" i="47"/>
  <c r="L31" i="47"/>
  <c r="N33" i="47"/>
  <c r="L36" i="47"/>
  <c r="H36" i="47"/>
  <c r="M45" i="47"/>
  <c r="H45" i="47"/>
  <c r="V45" i="47" s="1"/>
  <c r="L45" i="47"/>
  <c r="G51" i="47"/>
  <c r="G57" i="47"/>
  <c r="G58" i="47"/>
  <c r="G71" i="47"/>
  <c r="N71" i="47"/>
  <c r="H73" i="47"/>
  <c r="V71" i="47" s="1"/>
  <c r="AC91" i="47"/>
  <c r="I99" i="47"/>
  <c r="I104" i="47"/>
  <c r="P106" i="47"/>
  <c r="H106" i="47"/>
  <c r="I106" i="47"/>
  <c r="P110" i="47"/>
  <c r="AD109" i="47" s="1"/>
  <c r="J129" i="47"/>
  <c r="H129" i="47"/>
  <c r="U135" i="47"/>
  <c r="K135" i="47"/>
  <c r="V151" i="47"/>
  <c r="K151" i="47"/>
  <c r="V245" i="47"/>
  <c r="Y245" i="47" s="1"/>
  <c r="AG245" i="47" s="1"/>
  <c r="M266" i="47"/>
  <c r="H266" i="47"/>
  <c r="G266" i="47"/>
  <c r="J266" i="47"/>
  <c r="L266" i="47"/>
  <c r="H30" i="47"/>
  <c r="N30" i="47"/>
  <c r="N31" i="47"/>
  <c r="G32" i="47"/>
  <c r="J33" i="47"/>
  <c r="G36" i="47"/>
  <c r="N36" i="47"/>
  <c r="G45" i="47"/>
  <c r="N45" i="47"/>
  <c r="G53" i="47"/>
  <c r="K53" i="47" s="1"/>
  <c r="S53" i="47" s="1"/>
  <c r="H58" i="47"/>
  <c r="G65" i="47"/>
  <c r="K65" i="47" s="1"/>
  <c r="S65" i="47" s="1"/>
  <c r="R85" i="47"/>
  <c r="R87" i="47"/>
  <c r="L88" i="47"/>
  <c r="G88" i="47"/>
  <c r="M88" i="47"/>
  <c r="AA85" i="47" s="1"/>
  <c r="H88" i="47"/>
  <c r="V85" i="47" s="1"/>
  <c r="H19" i="47"/>
  <c r="K19" i="47" s="1"/>
  <c r="S19" i="47" s="1"/>
  <c r="G24" i="47"/>
  <c r="O24" i="47"/>
  <c r="AC24" i="47" s="1"/>
  <c r="H25" i="47"/>
  <c r="K25" i="47" s="1"/>
  <c r="J30" i="47"/>
  <c r="O30" i="47"/>
  <c r="J31" i="47"/>
  <c r="O31" i="47"/>
  <c r="I36" i="47"/>
  <c r="O36" i="47"/>
  <c r="R36" i="47" s="1"/>
  <c r="AF40" i="47"/>
  <c r="J45" i="47"/>
  <c r="O45" i="47"/>
  <c r="N46" i="47"/>
  <c r="J46" i="47"/>
  <c r="M46" i="47"/>
  <c r="N48" i="47"/>
  <c r="J48" i="47"/>
  <c r="M48" i="47"/>
  <c r="U50" i="47"/>
  <c r="K50" i="47"/>
  <c r="N51" i="47"/>
  <c r="N52" i="47"/>
  <c r="L57" i="47"/>
  <c r="L60" i="47"/>
  <c r="G61" i="47"/>
  <c r="K61" i="47" s="1"/>
  <c r="S61" i="47" s="1"/>
  <c r="G66" i="47"/>
  <c r="K66" i="47" s="1"/>
  <c r="S66" i="47" s="1"/>
  <c r="P74" i="47"/>
  <c r="J74" i="47"/>
  <c r="R74" i="47" s="1"/>
  <c r="L74" i="47"/>
  <c r="O75" i="47"/>
  <c r="H75" i="47"/>
  <c r="J88" i="47"/>
  <c r="L107" i="47"/>
  <c r="G107" i="47"/>
  <c r="P107" i="47"/>
  <c r="H107" i="47"/>
  <c r="L110" i="47"/>
  <c r="Z109" i="47" s="1"/>
  <c r="O111" i="47"/>
  <c r="H111" i="47"/>
  <c r="J111" i="47"/>
  <c r="M112" i="47"/>
  <c r="H112" i="47"/>
  <c r="N112" i="47"/>
  <c r="J112" i="47"/>
  <c r="V120" i="47"/>
  <c r="K120" i="47"/>
  <c r="P125" i="47"/>
  <c r="L125" i="47"/>
  <c r="H125" i="47"/>
  <c r="N125" i="47"/>
  <c r="AB121" i="47" s="1"/>
  <c r="I125" i="47"/>
  <c r="O125" i="47"/>
  <c r="J125" i="47"/>
  <c r="Q125" i="47"/>
  <c r="L129" i="47"/>
  <c r="S138" i="47"/>
  <c r="G145" i="47"/>
  <c r="G147" i="47"/>
  <c r="K147" i="47" s="1"/>
  <c r="S147" i="47" s="1"/>
  <c r="L161" i="47"/>
  <c r="G161" i="47"/>
  <c r="N161" i="47"/>
  <c r="H161" i="47"/>
  <c r="V157" i="47" s="1"/>
  <c r="P161" i="47"/>
  <c r="AD157" i="47" s="1"/>
  <c r="L170" i="47"/>
  <c r="H170" i="47"/>
  <c r="M170" i="47"/>
  <c r="I170" i="47"/>
  <c r="W168" i="47" s="1"/>
  <c r="G170" i="47"/>
  <c r="J170" i="47"/>
  <c r="X171" i="47"/>
  <c r="S175" i="47"/>
  <c r="O220" i="47"/>
  <c r="H220" i="47"/>
  <c r="J220" i="47"/>
  <c r="N220" i="47"/>
  <c r="S269" i="47"/>
  <c r="Y269" i="47"/>
  <c r="AG269" i="47" s="1"/>
  <c r="H278" i="47"/>
  <c r="G278" i="47"/>
  <c r="N278" i="47"/>
  <c r="P71" i="47"/>
  <c r="J71" i="47"/>
  <c r="L71" i="47"/>
  <c r="L73" i="47"/>
  <c r="G73" i="47"/>
  <c r="P99" i="47"/>
  <c r="G99" i="47"/>
  <c r="L99" i="47"/>
  <c r="H99" i="47"/>
  <c r="N99" i="47"/>
  <c r="P101" i="47"/>
  <c r="G101" i="47"/>
  <c r="L101" i="47"/>
  <c r="H101" i="47"/>
  <c r="N101" i="47"/>
  <c r="J133" i="47"/>
  <c r="R133" i="47" s="1"/>
  <c r="H133" i="47"/>
  <c r="M168" i="47"/>
  <c r="G168" i="47"/>
  <c r="J168" i="47"/>
  <c r="L168" i="47"/>
  <c r="K179" i="47"/>
  <c r="M30" i="47"/>
  <c r="O32" i="47"/>
  <c r="R32" i="47" s="1"/>
  <c r="I32" i="47"/>
  <c r="M33" i="47"/>
  <c r="H33" i="47"/>
  <c r="G52" i="47"/>
  <c r="K52" i="47" s="1"/>
  <c r="H60" i="47"/>
  <c r="K60" i="47" s="1"/>
  <c r="P73" i="47"/>
  <c r="I101" i="47"/>
  <c r="G110" i="47"/>
  <c r="U109" i="47" s="1"/>
  <c r="S115" i="47"/>
  <c r="K117" i="47"/>
  <c r="G133" i="47"/>
  <c r="U134" i="47"/>
  <c r="O224" i="47"/>
  <c r="H224" i="47"/>
  <c r="J224" i="47"/>
  <c r="N224" i="47"/>
  <c r="G31" i="47"/>
  <c r="N32" i="47"/>
  <c r="J99" i="47"/>
  <c r="R99" i="47" s="1"/>
  <c r="P100" i="47"/>
  <c r="G100" i="47"/>
  <c r="L100" i="47"/>
  <c r="H100" i="47"/>
  <c r="N100" i="47"/>
  <c r="J101" i="47"/>
  <c r="R101" i="47" s="1"/>
  <c r="U102" i="47"/>
  <c r="K102" i="47"/>
  <c r="U103" i="47"/>
  <c r="G106" i="47"/>
  <c r="L117" i="47"/>
  <c r="Z115" i="47" s="1"/>
  <c r="G129" i="47"/>
  <c r="L133" i="47"/>
  <c r="S141" i="47"/>
  <c r="AG141" i="47" s="1"/>
  <c r="Y141" i="47"/>
  <c r="G150" i="47"/>
  <c r="K150" i="47" s="1"/>
  <c r="N150" i="47"/>
  <c r="AB145" i="47" s="1"/>
  <c r="K155" i="47"/>
  <c r="S155" i="47" s="1"/>
  <c r="U151" i="47"/>
  <c r="U162" i="47"/>
  <c r="K162" i="47"/>
  <c r="G181" i="47"/>
  <c r="I181" i="47"/>
  <c r="J181" i="47"/>
  <c r="R181" i="47" s="1"/>
  <c r="H181" i="47"/>
  <c r="L181" i="47"/>
  <c r="O222" i="47"/>
  <c r="H222" i="47"/>
  <c r="J222" i="47"/>
  <c r="N222" i="47"/>
  <c r="K243" i="47"/>
  <c r="J274" i="47"/>
  <c r="M274" i="47"/>
  <c r="G274" i="47"/>
  <c r="H274" i="47"/>
  <c r="L274" i="47"/>
  <c r="H280" i="47"/>
  <c r="G280" i="47"/>
  <c r="N280" i="47"/>
  <c r="G87" i="47"/>
  <c r="K87" i="47" s="1"/>
  <c r="L87" i="47"/>
  <c r="G89" i="47"/>
  <c r="K89" i="47" s="1"/>
  <c r="S89" i="47" s="1"/>
  <c r="G91" i="47"/>
  <c r="P91" i="47"/>
  <c r="J92" i="47"/>
  <c r="R92" i="47" s="1"/>
  <c r="J93" i="47"/>
  <c r="R93" i="47" s="1"/>
  <c r="J94" i="47"/>
  <c r="G95" i="47"/>
  <c r="P95" i="47"/>
  <c r="G96" i="47"/>
  <c r="P96" i="47"/>
  <c r="G97" i="47"/>
  <c r="P97" i="47"/>
  <c r="G98" i="47"/>
  <c r="X103" i="47"/>
  <c r="G108" i="47"/>
  <c r="G121" i="47"/>
  <c r="O121" i="47"/>
  <c r="G123" i="47"/>
  <c r="R126" i="47"/>
  <c r="M130" i="47"/>
  <c r="R130" i="47" s="1"/>
  <c r="H130" i="47"/>
  <c r="K130" i="47" s="1"/>
  <c r="L130" i="47"/>
  <c r="N134" i="47"/>
  <c r="AB134" i="47" s="1"/>
  <c r="H134" i="47"/>
  <c r="V134" i="47" s="1"/>
  <c r="K153" i="47"/>
  <c r="S153" i="47" s="1"/>
  <c r="AB162" i="47"/>
  <c r="K173" i="47"/>
  <c r="S173" i="47" s="1"/>
  <c r="H186" i="47"/>
  <c r="J186" i="47"/>
  <c r="K187" i="47"/>
  <c r="S187" i="47" s="1"/>
  <c r="H188" i="47"/>
  <c r="J188" i="47"/>
  <c r="R188" i="47" s="1"/>
  <c r="K189" i="47"/>
  <c r="H190" i="47"/>
  <c r="J190" i="47"/>
  <c r="R190" i="47" s="1"/>
  <c r="K191" i="47"/>
  <c r="S191" i="47" s="1"/>
  <c r="H192" i="47"/>
  <c r="J192" i="47"/>
  <c r="R192" i="47" s="1"/>
  <c r="H194" i="47"/>
  <c r="J194" i="47"/>
  <c r="R194" i="47" s="1"/>
  <c r="H196" i="47"/>
  <c r="J196" i="47"/>
  <c r="R196" i="47" s="1"/>
  <c r="R208" i="47"/>
  <c r="H210" i="47"/>
  <c r="J210" i="47"/>
  <c r="J212" i="47"/>
  <c r="R212" i="47" s="1"/>
  <c r="N212" i="47"/>
  <c r="J214" i="47"/>
  <c r="R214" i="47" s="1"/>
  <c r="N214" i="47"/>
  <c r="J216" i="47"/>
  <c r="N216" i="47"/>
  <c r="O218" i="47"/>
  <c r="J218" i="47"/>
  <c r="N218" i="47"/>
  <c r="H226" i="47"/>
  <c r="P226" i="47"/>
  <c r="AD225" i="47" s="1"/>
  <c r="I226" i="47"/>
  <c r="W225" i="47" s="1"/>
  <c r="N271" i="47"/>
  <c r="G271" i="47"/>
  <c r="P271" i="47"/>
  <c r="AD271" i="47" s="1"/>
  <c r="J271" i="47"/>
  <c r="O271" i="47"/>
  <c r="J91" i="47"/>
  <c r="J95" i="47"/>
  <c r="R95" i="47" s="1"/>
  <c r="J96" i="47"/>
  <c r="R96" i="47" s="1"/>
  <c r="J97" i="47"/>
  <c r="R97" i="47" s="1"/>
  <c r="J98" i="47"/>
  <c r="R98" i="47" s="1"/>
  <c r="J121" i="47"/>
  <c r="P123" i="47"/>
  <c r="L123" i="47"/>
  <c r="Z121" i="47" s="1"/>
  <c r="H123" i="47"/>
  <c r="Q123" i="47"/>
  <c r="L127" i="47"/>
  <c r="G127" i="47"/>
  <c r="M127" i="47"/>
  <c r="K128" i="47"/>
  <c r="S128" i="47" s="1"/>
  <c r="L131" i="47"/>
  <c r="G131" i="47"/>
  <c r="M131" i="47"/>
  <c r="V135" i="47"/>
  <c r="N144" i="47"/>
  <c r="AB144" i="47" s="1"/>
  <c r="G144" i="47"/>
  <c r="W157" i="47"/>
  <c r="U167" i="47"/>
  <c r="K167" i="47"/>
  <c r="R169" i="47"/>
  <c r="L180" i="47"/>
  <c r="H180" i="47"/>
  <c r="G180" i="47"/>
  <c r="I180" i="47"/>
  <c r="J204" i="47"/>
  <c r="R204" i="47" s="1"/>
  <c r="N204" i="47"/>
  <c r="O219" i="47"/>
  <c r="H219" i="47"/>
  <c r="J219" i="47"/>
  <c r="N219" i="47"/>
  <c r="O221" i="47"/>
  <c r="H221" i="47"/>
  <c r="J221" i="47"/>
  <c r="N221" i="47"/>
  <c r="O223" i="47"/>
  <c r="H223" i="47"/>
  <c r="J223" i="47"/>
  <c r="N223" i="47"/>
  <c r="H225" i="47"/>
  <c r="K225" i="47" s="1"/>
  <c r="L225" i="47"/>
  <c r="L260" i="47"/>
  <c r="G260" i="47"/>
  <c r="J260" i="47"/>
  <c r="M260" i="47"/>
  <c r="L267" i="47"/>
  <c r="G267" i="47"/>
  <c r="J267" i="47"/>
  <c r="M267" i="47"/>
  <c r="L275" i="47"/>
  <c r="G275" i="47"/>
  <c r="J275" i="47"/>
  <c r="H275" i="47"/>
  <c r="M275" i="47"/>
  <c r="J122" i="47"/>
  <c r="R122" i="47" s="1"/>
  <c r="J124" i="47"/>
  <c r="R124" i="47" s="1"/>
  <c r="G157" i="47"/>
  <c r="L157" i="47"/>
  <c r="G158" i="47"/>
  <c r="Q158" i="47"/>
  <c r="G159" i="47"/>
  <c r="Q159" i="47"/>
  <c r="G160" i="47"/>
  <c r="L160" i="47"/>
  <c r="H171" i="47"/>
  <c r="O171" i="47"/>
  <c r="AC171" i="47" s="1"/>
  <c r="J177" i="47"/>
  <c r="H178" i="47"/>
  <c r="L183" i="47"/>
  <c r="H183" i="47"/>
  <c r="K183" i="47" s="1"/>
  <c r="U244" i="47"/>
  <c r="R253" i="47"/>
  <c r="L258" i="47"/>
  <c r="H258" i="47"/>
  <c r="M258" i="47"/>
  <c r="M263" i="47"/>
  <c r="H263" i="47"/>
  <c r="G263" i="47"/>
  <c r="J263" i="47"/>
  <c r="K264" i="47"/>
  <c r="S264" i="47" s="1"/>
  <c r="G279" i="47"/>
  <c r="H279" i="47"/>
  <c r="N279" i="47"/>
  <c r="J158" i="47"/>
  <c r="J159" i="47"/>
  <c r="L178" i="47"/>
  <c r="O184" i="47"/>
  <c r="H184" i="47"/>
  <c r="O213" i="47"/>
  <c r="O215" i="47"/>
  <c r="S215" i="47" s="1"/>
  <c r="O217" i="47"/>
  <c r="U240" i="47"/>
  <c r="AF245" i="47"/>
  <c r="K253" i="47"/>
  <c r="S253" i="47" s="1"/>
  <c r="X253" i="47"/>
  <c r="J258" i="47"/>
  <c r="K276" i="47"/>
  <c r="S276" i="47" s="1"/>
  <c r="K240" i="47"/>
  <c r="H254" i="47"/>
  <c r="K254" i="47" s="1"/>
  <c r="O254" i="47"/>
  <c r="H255" i="47"/>
  <c r="K255" i="47" s="1"/>
  <c r="M255" i="47"/>
  <c r="R255" i="47" s="1"/>
  <c r="H257" i="47"/>
  <c r="K257" i="47" s="1"/>
  <c r="M257" i="47"/>
  <c r="G262" i="47"/>
  <c r="M262" i="47"/>
  <c r="R262" i="47" s="1"/>
  <c r="G265" i="47"/>
  <c r="K265" i="47" s="1"/>
  <c r="M265" i="47"/>
  <c r="R265" i="47" s="1"/>
  <c r="G272" i="47"/>
  <c r="G277" i="47"/>
  <c r="K277" i="47" s="1"/>
  <c r="M277" i="47"/>
  <c r="R277" i="47" s="1"/>
  <c r="AB290" i="47"/>
  <c r="S305" i="47"/>
  <c r="T305" i="47" s="1"/>
  <c r="S307" i="47"/>
  <c r="T307" i="47" s="1"/>
  <c r="S309" i="47"/>
  <c r="T309" i="47" s="1"/>
  <c r="S311" i="47"/>
  <c r="T311" i="47" s="1"/>
  <c r="S313" i="47"/>
  <c r="T313" i="47" s="1"/>
  <c r="S315" i="47"/>
  <c r="T315" i="47" s="1"/>
  <c r="S317" i="47"/>
  <c r="T317" i="47" s="1"/>
  <c r="S319" i="47"/>
  <c r="T319" i="47" s="1"/>
  <c r="L262" i="47"/>
  <c r="L265" i="47"/>
  <c r="O272" i="47"/>
  <c r="R272" i="47" s="1"/>
  <c r="I272" i="47"/>
  <c r="W271" i="47" s="1"/>
  <c r="N272" i="47"/>
  <c r="L277" i="47"/>
  <c r="G282" i="47"/>
  <c r="K282" i="47" s="1"/>
  <c r="S282" i="47" s="1"/>
  <c r="G290" i="47"/>
  <c r="U290" i="47" s="1"/>
  <c r="P290" i="47"/>
  <c r="AD290" i="47" s="1"/>
  <c r="T494" i="46"/>
  <c r="J76" i="46"/>
  <c r="M35" i="46"/>
  <c r="O76" i="46"/>
  <c r="O273" i="46"/>
  <c r="M30" i="46"/>
  <c r="G128" i="46"/>
  <c r="N254" i="46"/>
  <c r="M260" i="46"/>
  <c r="M29" i="46"/>
  <c r="G30" i="46"/>
  <c r="J45" i="46"/>
  <c r="O77" i="46"/>
  <c r="J103" i="46"/>
  <c r="X103" i="46" s="1"/>
  <c r="I105" i="46"/>
  <c r="N113" i="46"/>
  <c r="O184" i="46"/>
  <c r="S240" i="46"/>
  <c r="N253" i="46"/>
  <c r="N292" i="46"/>
  <c r="K50" i="46"/>
  <c r="S50" i="46" s="1"/>
  <c r="AG50" i="46" s="1"/>
  <c r="H105" i="46"/>
  <c r="J113" i="46"/>
  <c r="K113" i="46" s="1"/>
  <c r="K153" i="46"/>
  <c r="S153" i="46" s="1"/>
  <c r="K154" i="46"/>
  <c r="S154" i="46" s="1"/>
  <c r="K155" i="46"/>
  <c r="S155" i="46" s="1"/>
  <c r="M253" i="46"/>
  <c r="I272" i="46"/>
  <c r="W271" i="46" s="1"/>
  <c r="M46" i="46"/>
  <c r="N46" i="46"/>
  <c r="J46" i="46"/>
  <c r="L109" i="46"/>
  <c r="J109" i="46"/>
  <c r="L118" i="46"/>
  <c r="H118" i="46"/>
  <c r="K118" i="46" s="1"/>
  <c r="H259" i="46"/>
  <c r="L259" i="46"/>
  <c r="O46" i="46"/>
  <c r="H158" i="46"/>
  <c r="Q158" i="46"/>
  <c r="P158" i="46"/>
  <c r="J204" i="46"/>
  <c r="O204" i="46"/>
  <c r="J259" i="46"/>
  <c r="M93" i="46"/>
  <c r="N123" i="46"/>
  <c r="H123" i="46"/>
  <c r="P123" i="46"/>
  <c r="G123" i="46"/>
  <c r="Q125" i="46"/>
  <c r="L125" i="46"/>
  <c r="L159" i="46"/>
  <c r="J159" i="46"/>
  <c r="N161" i="46"/>
  <c r="N189" i="46"/>
  <c r="N204" i="46"/>
  <c r="S44" i="46"/>
  <c r="N78" i="46"/>
  <c r="J78" i="46"/>
  <c r="I123" i="46"/>
  <c r="I125" i="46"/>
  <c r="L130" i="46"/>
  <c r="N134" i="46"/>
  <c r="AB134" i="46" s="1"/>
  <c r="H134" i="46"/>
  <c r="V134" i="46" s="1"/>
  <c r="H159" i="46"/>
  <c r="J187" i="46"/>
  <c r="N187" i="46"/>
  <c r="J255" i="46"/>
  <c r="O255" i="46"/>
  <c r="L255" i="46"/>
  <c r="AF151" i="46"/>
  <c r="J77" i="46"/>
  <c r="G105" i="46"/>
  <c r="P121" i="46"/>
  <c r="S164" i="46"/>
  <c r="O174" i="46"/>
  <c r="G292" i="46"/>
  <c r="G52" i="46"/>
  <c r="H52" i="46"/>
  <c r="L170" i="46"/>
  <c r="G170" i="46"/>
  <c r="H170" i="46"/>
  <c r="J180" i="46"/>
  <c r="R180" i="46" s="1"/>
  <c r="L180" i="46"/>
  <c r="G90" i="46"/>
  <c r="J90" i="46"/>
  <c r="I122" i="46"/>
  <c r="O122" i="46"/>
  <c r="J170" i="46"/>
  <c r="J175" i="46"/>
  <c r="O175" i="46"/>
  <c r="J178" i="46"/>
  <c r="R178" i="46" s="1"/>
  <c r="H178" i="46"/>
  <c r="I178" i="46"/>
  <c r="J32" i="46"/>
  <c r="R32" i="46" s="1"/>
  <c r="O35" i="46"/>
  <c r="H35" i="46"/>
  <c r="K35" i="46" s="1"/>
  <c r="N35" i="46"/>
  <c r="I65" i="46"/>
  <c r="W63" i="46" s="1"/>
  <c r="J87" i="46"/>
  <c r="L90" i="46"/>
  <c r="N93" i="46"/>
  <c r="H93" i="46"/>
  <c r="I93" i="46"/>
  <c r="J101" i="46"/>
  <c r="N101" i="46"/>
  <c r="P101" i="46"/>
  <c r="O110" i="46"/>
  <c r="H110" i="46"/>
  <c r="M110" i="46"/>
  <c r="H169" i="46"/>
  <c r="G169" i="46"/>
  <c r="J169" i="46"/>
  <c r="J195" i="46"/>
  <c r="N195" i="46"/>
  <c r="L266" i="46"/>
  <c r="H266" i="46"/>
  <c r="J266" i="46"/>
  <c r="R266" i="46" s="1"/>
  <c r="O30" i="46"/>
  <c r="J30" i="46"/>
  <c r="N30" i="46"/>
  <c r="L45" i="46"/>
  <c r="M45" i="46"/>
  <c r="G93" i="46"/>
  <c r="I101" i="46"/>
  <c r="G110" i="46"/>
  <c r="G131" i="46"/>
  <c r="M131" i="46"/>
  <c r="Q157" i="46"/>
  <c r="H157" i="46"/>
  <c r="N157" i="46"/>
  <c r="L169" i="46"/>
  <c r="H195" i="46"/>
  <c r="G266" i="46"/>
  <c r="H263" i="46"/>
  <c r="J263" i="46"/>
  <c r="AF40" i="46"/>
  <c r="Q161" i="46"/>
  <c r="R161" i="46" s="1"/>
  <c r="P161" i="46"/>
  <c r="G161" i="46"/>
  <c r="H161" i="46"/>
  <c r="G178" i="46"/>
  <c r="V239" i="46"/>
  <c r="K239" i="46"/>
  <c r="Y239" i="46" s="1"/>
  <c r="L263" i="46"/>
  <c r="S42" i="46"/>
  <c r="H76" i="46"/>
  <c r="H77" i="46"/>
  <c r="K77" i="46" s="1"/>
  <c r="H78" i="46"/>
  <c r="P105" i="46"/>
  <c r="M123" i="46"/>
  <c r="G134" i="46"/>
  <c r="U134" i="46" s="1"/>
  <c r="Y134" i="46" s="1"/>
  <c r="J158" i="46"/>
  <c r="G159" i="46"/>
  <c r="Q159" i="46"/>
  <c r="H187" i="46"/>
  <c r="H189" i="46"/>
  <c r="K189" i="46" s="1"/>
  <c r="O194" i="46"/>
  <c r="R194" i="46" s="1"/>
  <c r="S242" i="46"/>
  <c r="G259" i="46"/>
  <c r="J271" i="46"/>
  <c r="P159" i="46"/>
  <c r="G20" i="46"/>
  <c r="H20" i="46"/>
  <c r="L33" i="46"/>
  <c r="O33" i="46"/>
  <c r="H33" i="46"/>
  <c r="G56" i="46"/>
  <c r="H56" i="46"/>
  <c r="Q85" i="46"/>
  <c r="M85" i="46"/>
  <c r="G85" i="46"/>
  <c r="P85" i="46"/>
  <c r="Q86" i="46"/>
  <c r="J86" i="46"/>
  <c r="M86" i="46"/>
  <c r="N92" i="46"/>
  <c r="I92" i="46"/>
  <c r="M92" i="46"/>
  <c r="P94" i="46"/>
  <c r="M94" i="46"/>
  <c r="G94" i="46"/>
  <c r="N97" i="46"/>
  <c r="N173" i="46"/>
  <c r="J173" i="46"/>
  <c r="J193" i="46"/>
  <c r="N193" i="46"/>
  <c r="G14" i="46"/>
  <c r="L14" i="46"/>
  <c r="Z14" i="46" s="1"/>
  <c r="L19" i="46"/>
  <c r="G19" i="46"/>
  <c r="L31" i="46"/>
  <c r="H31" i="46"/>
  <c r="J33" i="46"/>
  <c r="L34" i="46"/>
  <c r="G36" i="46"/>
  <c r="H36" i="46"/>
  <c r="H51" i="46"/>
  <c r="K51" i="46" s="1"/>
  <c r="N55" i="46"/>
  <c r="G55" i="46"/>
  <c r="K55" i="46" s="1"/>
  <c r="L60" i="46"/>
  <c r="H60" i="46"/>
  <c r="H61" i="46"/>
  <c r="K61" i="46" s="1"/>
  <c r="G67" i="46"/>
  <c r="K67" i="46" s="1"/>
  <c r="S67" i="46" s="1"/>
  <c r="J72" i="46"/>
  <c r="R72" i="46" s="1"/>
  <c r="H72" i="46"/>
  <c r="N72" i="46"/>
  <c r="N79" i="46"/>
  <c r="O79" i="46"/>
  <c r="H85" i="46"/>
  <c r="G86" i="46"/>
  <c r="P86" i="46"/>
  <c r="J91" i="46"/>
  <c r="G92" i="46"/>
  <c r="P92" i="46"/>
  <c r="H94" i="46"/>
  <c r="H97" i="46"/>
  <c r="H112" i="46"/>
  <c r="M130" i="46"/>
  <c r="R130" i="46" s="1"/>
  <c r="N147" i="46"/>
  <c r="S147" i="46" s="1"/>
  <c r="G150" i="46"/>
  <c r="K150" i="46" s="1"/>
  <c r="S150" i="46" s="1"/>
  <c r="J171" i="46"/>
  <c r="N172" i="46"/>
  <c r="J172" i="46"/>
  <c r="H173" i="46"/>
  <c r="P177" i="46"/>
  <c r="AD177" i="46" s="1"/>
  <c r="G177" i="46"/>
  <c r="J181" i="46"/>
  <c r="R181" i="46" s="1"/>
  <c r="H181" i="46"/>
  <c r="J191" i="46"/>
  <c r="N191" i="46"/>
  <c r="H193" i="46"/>
  <c r="G264" i="46"/>
  <c r="M267" i="46"/>
  <c r="L267" i="46"/>
  <c r="G280" i="46"/>
  <c r="N280" i="46"/>
  <c r="H18" i="46"/>
  <c r="G18" i="46"/>
  <c r="H19" i="46"/>
  <c r="G25" i="46"/>
  <c r="H26" i="46"/>
  <c r="H27" i="46"/>
  <c r="K27" i="46" s="1"/>
  <c r="J31" i="46"/>
  <c r="M33" i="46"/>
  <c r="I36" i="46"/>
  <c r="M48" i="46"/>
  <c r="N48" i="46"/>
  <c r="G60" i="46"/>
  <c r="U69" i="46"/>
  <c r="Y69" i="46" s="1"/>
  <c r="AG69" i="46" s="1"/>
  <c r="G72" i="46"/>
  <c r="H79" i="46"/>
  <c r="J85" i="46"/>
  <c r="H86" i="46"/>
  <c r="H92" i="46"/>
  <c r="I94" i="46"/>
  <c r="I96" i="46"/>
  <c r="J97" i="46"/>
  <c r="N103" i="46"/>
  <c r="AB103" i="46" s="1"/>
  <c r="L104" i="46"/>
  <c r="O109" i="46"/>
  <c r="M109" i="46"/>
  <c r="G109" i="46"/>
  <c r="N109" i="46"/>
  <c r="L112" i="46"/>
  <c r="I121" i="46"/>
  <c r="J122" i="46"/>
  <c r="N125" i="46"/>
  <c r="M125" i="46"/>
  <c r="G125" i="46"/>
  <c r="O125" i="46"/>
  <c r="G130" i="46"/>
  <c r="J132" i="46"/>
  <c r="Z135" i="46"/>
  <c r="AB162" i="46"/>
  <c r="H172" i="46"/>
  <c r="O173" i="46"/>
  <c r="N176" i="46"/>
  <c r="H176" i="46"/>
  <c r="H177" i="46"/>
  <c r="G181" i="46"/>
  <c r="N186" i="46"/>
  <c r="H191" i="46"/>
  <c r="J210" i="46"/>
  <c r="R210" i="46" s="1"/>
  <c r="N210" i="46"/>
  <c r="H243" i="46"/>
  <c r="V243" i="46" s="1"/>
  <c r="O271" i="46"/>
  <c r="J272" i="46"/>
  <c r="R272" i="46" s="1"/>
  <c r="N272" i="46"/>
  <c r="P272" i="46"/>
  <c r="G276" i="46"/>
  <c r="N279" i="46"/>
  <c r="H279" i="46"/>
  <c r="H280" i="46"/>
  <c r="P291" i="46"/>
  <c r="L18" i="46"/>
  <c r="H25" i="46"/>
  <c r="M31" i="46"/>
  <c r="N33" i="46"/>
  <c r="L36" i="46"/>
  <c r="S43" i="46"/>
  <c r="J48" i="46"/>
  <c r="H59" i="46"/>
  <c r="L59" i="46"/>
  <c r="H68" i="46"/>
  <c r="V68" i="46" s="1"/>
  <c r="Y68" i="46" s="1"/>
  <c r="N68" i="46"/>
  <c r="AB68" i="46" s="1"/>
  <c r="J79" i="46"/>
  <c r="L85" i="46"/>
  <c r="L86" i="46"/>
  <c r="Q90" i="46"/>
  <c r="P90" i="46"/>
  <c r="H90" i="46"/>
  <c r="M90" i="46"/>
  <c r="L92" i="46"/>
  <c r="L94" i="46"/>
  <c r="O96" i="46"/>
  <c r="R96" i="46" s="1"/>
  <c r="M97" i="46"/>
  <c r="G103" i="46"/>
  <c r="AF104" i="46"/>
  <c r="I106" i="46"/>
  <c r="H106" i="46"/>
  <c r="H109" i="46"/>
  <c r="N111" i="46"/>
  <c r="L113" i="46"/>
  <c r="M113" i="46"/>
  <c r="O113" i="46"/>
  <c r="H115" i="46"/>
  <c r="K115" i="46" s="1"/>
  <c r="L115" i="46"/>
  <c r="L116" i="46"/>
  <c r="N121" i="46"/>
  <c r="N122" i="46"/>
  <c r="H125" i="46"/>
  <c r="P125" i="46"/>
  <c r="H130" i="46"/>
  <c r="L131" i="46"/>
  <c r="S163" i="46"/>
  <c r="M169" i="46"/>
  <c r="O172" i="46"/>
  <c r="N174" i="46"/>
  <c r="J174" i="46"/>
  <c r="N175" i="46"/>
  <c r="H175" i="46"/>
  <c r="J176" i="46"/>
  <c r="R176" i="46" s="1"/>
  <c r="I177" i="46"/>
  <c r="I180" i="46"/>
  <c r="I181" i="46"/>
  <c r="N184" i="46"/>
  <c r="J184" i="46"/>
  <c r="O186" i="46"/>
  <c r="R186" i="46" s="1"/>
  <c r="J190" i="46"/>
  <c r="R190" i="46" s="1"/>
  <c r="N190" i="46"/>
  <c r="N194" i="46"/>
  <c r="O202" i="46"/>
  <c r="H208" i="46"/>
  <c r="O208" i="46"/>
  <c r="H210" i="46"/>
  <c r="AF245" i="46"/>
  <c r="M265" i="46"/>
  <c r="R265" i="46" s="1"/>
  <c r="G271" i="46"/>
  <c r="G272" i="46"/>
  <c r="G279" i="46"/>
  <c r="P290" i="46"/>
  <c r="L30" i="46"/>
  <c r="L35" i="46"/>
  <c r="S41" i="46"/>
  <c r="N45" i="46"/>
  <c r="O78" i="46"/>
  <c r="L93" i="46"/>
  <c r="K119" i="46"/>
  <c r="L123" i="46"/>
  <c r="Q123" i="46"/>
  <c r="K136" i="46"/>
  <c r="S136" i="46" s="1"/>
  <c r="K137" i="46"/>
  <c r="S137" i="46" s="1"/>
  <c r="K138" i="46"/>
  <c r="S138" i="46" s="1"/>
  <c r="Z151" i="46"/>
  <c r="L161" i="46"/>
  <c r="AF162" i="46"/>
  <c r="K165" i="46"/>
  <c r="S165" i="46" s="1"/>
  <c r="K166" i="46"/>
  <c r="S166" i="46" s="1"/>
  <c r="L178" i="46"/>
  <c r="S241" i="46"/>
  <c r="L253" i="46"/>
  <c r="O253" i="46"/>
  <c r="H253" i="46"/>
  <c r="K253" i="46" s="1"/>
  <c r="M259" i="46"/>
  <c r="M263" i="46"/>
  <c r="G263" i="46"/>
  <c r="N278" i="46"/>
  <c r="H278" i="46"/>
  <c r="K278" i="46" s="1"/>
  <c r="V151" i="46"/>
  <c r="K152" i="46"/>
  <c r="S152" i="46" s="1"/>
  <c r="AG7" i="46"/>
  <c r="AF135" i="46"/>
  <c r="W162" i="46"/>
  <c r="K162" i="46"/>
  <c r="S162" i="46" s="1"/>
  <c r="AF240" i="46"/>
  <c r="U40" i="46"/>
  <c r="K116" i="46"/>
  <c r="U240" i="46"/>
  <c r="AF15" i="46"/>
  <c r="Z40" i="46"/>
  <c r="AF51" i="46"/>
  <c r="K244" i="46"/>
  <c r="S244" i="46" s="1"/>
  <c r="K139" i="46"/>
  <c r="S139" i="46" s="1"/>
  <c r="U162" i="46"/>
  <c r="Z240" i="46"/>
  <c r="Y283" i="46"/>
  <c r="AG283" i="46" s="1"/>
  <c r="O49" i="46"/>
  <c r="N49" i="46"/>
  <c r="J49" i="46"/>
  <c r="H62" i="46"/>
  <c r="G62" i="46"/>
  <c r="L89" i="46"/>
  <c r="G89" i="46"/>
  <c r="J89" i="46"/>
  <c r="H89" i="46"/>
  <c r="L117" i="46"/>
  <c r="H117" i="46"/>
  <c r="K117" i="46" s="1"/>
  <c r="J127" i="46"/>
  <c r="H127" i="46"/>
  <c r="H144" i="46"/>
  <c r="V144" i="46" s="1"/>
  <c r="G144" i="46"/>
  <c r="G183" i="46"/>
  <c r="J183" i="46"/>
  <c r="R183" i="46" s="1"/>
  <c r="L183" i="46"/>
  <c r="I183" i="46"/>
  <c r="H183" i="46"/>
  <c r="J188" i="46"/>
  <c r="O188" i="46"/>
  <c r="N188" i="46"/>
  <c r="H188" i="46"/>
  <c r="N201" i="46"/>
  <c r="O201" i="46"/>
  <c r="J201" i="46"/>
  <c r="H201" i="46"/>
  <c r="O218" i="46"/>
  <c r="H218" i="46"/>
  <c r="N218" i="46"/>
  <c r="J218" i="46"/>
  <c r="H226" i="46"/>
  <c r="P226" i="46"/>
  <c r="AD225" i="46" s="1"/>
  <c r="I226" i="46"/>
  <c r="W225" i="46" s="1"/>
  <c r="O24" i="46"/>
  <c r="AC24" i="46" s="1"/>
  <c r="H24" i="46"/>
  <c r="V24" i="46" s="1"/>
  <c r="N24" i="46"/>
  <c r="AB24" i="46" s="1"/>
  <c r="G24" i="46"/>
  <c r="O47" i="46"/>
  <c r="N47" i="46"/>
  <c r="J47" i="46"/>
  <c r="G49" i="46"/>
  <c r="H53" i="46"/>
  <c r="G53" i="46"/>
  <c r="G63" i="46"/>
  <c r="G64" i="46"/>
  <c r="K64" i="46" s="1"/>
  <c r="S64" i="46" s="1"/>
  <c r="P95" i="46"/>
  <c r="G95" i="46"/>
  <c r="O95" i="46"/>
  <c r="I95" i="46"/>
  <c r="N95" i="46"/>
  <c r="H95" i="46"/>
  <c r="G98" i="46"/>
  <c r="J98" i="46"/>
  <c r="R98" i="46" s="1"/>
  <c r="P98" i="46"/>
  <c r="I98" i="46"/>
  <c r="L99" i="46"/>
  <c r="H99" i="46"/>
  <c r="P99" i="46"/>
  <c r="J99" i="46"/>
  <c r="R99" i="46" s="1"/>
  <c r="N99" i="46"/>
  <c r="I99" i="46"/>
  <c r="L108" i="46"/>
  <c r="G108" i="46"/>
  <c r="I108" i="46"/>
  <c r="H108" i="46"/>
  <c r="P124" i="46"/>
  <c r="L124" i="46"/>
  <c r="H124" i="46"/>
  <c r="O124" i="46"/>
  <c r="J124" i="46"/>
  <c r="N124" i="46"/>
  <c r="I124" i="46"/>
  <c r="Q124" i="46"/>
  <c r="G127" i="46"/>
  <c r="K135" i="46"/>
  <c r="U135" i="46"/>
  <c r="L144" i="46"/>
  <c r="Z144" i="46" s="1"/>
  <c r="P160" i="46"/>
  <c r="J160" i="46"/>
  <c r="Q160" i="46"/>
  <c r="H160" i="46"/>
  <c r="N160" i="46"/>
  <c r="G160" i="46"/>
  <c r="J24" i="46"/>
  <c r="H28" i="46"/>
  <c r="G28" i="46"/>
  <c r="O29" i="46"/>
  <c r="N29" i="46"/>
  <c r="J29" i="46"/>
  <c r="N32" i="46"/>
  <c r="H32" i="46"/>
  <c r="G32" i="46"/>
  <c r="N34" i="46"/>
  <c r="J34" i="46"/>
  <c r="M34" i="46"/>
  <c r="H34" i="46"/>
  <c r="G47" i="46"/>
  <c r="K47" i="46" s="1"/>
  <c r="L49" i="46"/>
  <c r="G54" i="46"/>
  <c r="K54" i="46" s="1"/>
  <c r="AF57" i="46"/>
  <c r="H58" i="46"/>
  <c r="G58" i="46"/>
  <c r="L62" i="46"/>
  <c r="P63" i="46"/>
  <c r="AD63" i="46" s="1"/>
  <c r="N66" i="46"/>
  <c r="S66" i="46" s="1"/>
  <c r="P74" i="46"/>
  <c r="J74" i="46"/>
  <c r="R74" i="46" s="1"/>
  <c r="H74" i="46"/>
  <c r="N74" i="46"/>
  <c r="G74" i="46"/>
  <c r="O75" i="46"/>
  <c r="H75" i="46"/>
  <c r="J75" i="46"/>
  <c r="M89" i="46"/>
  <c r="J95" i="46"/>
  <c r="H98" i="46"/>
  <c r="G99" i="46"/>
  <c r="L100" i="46"/>
  <c r="H100" i="46"/>
  <c r="N100" i="46"/>
  <c r="I100" i="46"/>
  <c r="M100" i="46"/>
  <c r="G100" i="46"/>
  <c r="U115" i="46"/>
  <c r="K120" i="46"/>
  <c r="V120" i="46"/>
  <c r="G124" i="46"/>
  <c r="L127" i="46"/>
  <c r="N144" i="46"/>
  <c r="AB144" i="46" s="1"/>
  <c r="G145" i="46"/>
  <c r="N145" i="46"/>
  <c r="L160" i="46"/>
  <c r="U167" i="46"/>
  <c r="K167" i="46"/>
  <c r="J196" i="46"/>
  <c r="O196" i="46"/>
  <c r="N196" i="46"/>
  <c r="H196" i="46"/>
  <c r="L226" i="46"/>
  <c r="Z225" i="46" s="1"/>
  <c r="H15" i="46"/>
  <c r="G15" i="46"/>
  <c r="H17" i="46"/>
  <c r="G17" i="46"/>
  <c r="H29" i="46"/>
  <c r="I32" i="46"/>
  <c r="K40" i="46"/>
  <c r="L47" i="46"/>
  <c r="M49" i="46"/>
  <c r="N53" i="46"/>
  <c r="N54" i="46"/>
  <c r="H57" i="46"/>
  <c r="G57" i="46"/>
  <c r="G59" i="46"/>
  <c r="AF63" i="46"/>
  <c r="N75" i="46"/>
  <c r="P91" i="46"/>
  <c r="G91" i="46"/>
  <c r="N91" i="46"/>
  <c r="I91" i="46"/>
  <c r="M91" i="46"/>
  <c r="H91" i="46"/>
  <c r="L95" i="46"/>
  <c r="L98" i="46"/>
  <c r="J100" i="46"/>
  <c r="P104" i="46"/>
  <c r="H104" i="46"/>
  <c r="I104" i="46"/>
  <c r="P108" i="46"/>
  <c r="J111" i="46"/>
  <c r="R111" i="46" s="1"/>
  <c r="H111" i="46"/>
  <c r="L119" i="46"/>
  <c r="M127" i="46"/>
  <c r="J131" i="46"/>
  <c r="H131" i="46"/>
  <c r="V135" i="46"/>
  <c r="K142" i="46"/>
  <c r="S142" i="46" s="1"/>
  <c r="AG142" i="46" s="1"/>
  <c r="G149" i="46"/>
  <c r="K149" i="46" s="1"/>
  <c r="S149" i="46" s="1"/>
  <c r="J168" i="46"/>
  <c r="M168" i="46"/>
  <c r="L168" i="46"/>
  <c r="G168" i="46"/>
  <c r="J192" i="46"/>
  <c r="O192" i="46"/>
  <c r="N192" i="46"/>
  <c r="H192" i="46"/>
  <c r="H200" i="46"/>
  <c r="O200" i="46"/>
  <c r="N200" i="46"/>
  <c r="J200" i="46"/>
  <c r="O217" i="46"/>
  <c r="H217" i="46"/>
  <c r="J217" i="46"/>
  <c r="N217" i="46"/>
  <c r="H225" i="46"/>
  <c r="K225" i="46" s="1"/>
  <c r="L225" i="46"/>
  <c r="L262" i="46"/>
  <c r="G262" i="46"/>
  <c r="H262" i="46"/>
  <c r="M262" i="46"/>
  <c r="J262" i="46"/>
  <c r="M179" i="46"/>
  <c r="I179" i="46"/>
  <c r="L179" i="46"/>
  <c r="G179" i="46"/>
  <c r="O212" i="46"/>
  <c r="H212" i="46"/>
  <c r="N212" i="46"/>
  <c r="O219" i="46"/>
  <c r="H219" i="46"/>
  <c r="J219" i="46"/>
  <c r="O220" i="46"/>
  <c r="H220" i="46"/>
  <c r="N220" i="46"/>
  <c r="Y240" i="46"/>
  <c r="O256" i="46"/>
  <c r="N256" i="46"/>
  <c r="H256" i="46"/>
  <c r="J256" i="46"/>
  <c r="M257" i="46"/>
  <c r="H257" i="46"/>
  <c r="O257" i="46"/>
  <c r="J257" i="46"/>
  <c r="N257" i="46"/>
  <c r="M258" i="46"/>
  <c r="L258" i="46"/>
  <c r="H258" i="46"/>
  <c r="L274" i="46"/>
  <c r="G274" i="46"/>
  <c r="J274" i="46"/>
  <c r="M274" i="46"/>
  <c r="J275" i="46"/>
  <c r="M275" i="46"/>
  <c r="G275" i="46"/>
  <c r="H275" i="46"/>
  <c r="L277" i="46"/>
  <c r="G277" i="46"/>
  <c r="M277" i="46"/>
  <c r="J14" i="46"/>
  <c r="L20" i="46"/>
  <c r="N27" i="46"/>
  <c r="O31" i="46"/>
  <c r="J36" i="46"/>
  <c r="O36" i="46"/>
  <c r="O45" i="46"/>
  <c r="L46" i="46"/>
  <c r="L48" i="46"/>
  <c r="N51" i="46"/>
  <c r="N52" i="46"/>
  <c r="N56" i="46"/>
  <c r="L61" i="46"/>
  <c r="N65" i="46"/>
  <c r="P71" i="46"/>
  <c r="J71" i="46"/>
  <c r="L71" i="46"/>
  <c r="L73" i="46"/>
  <c r="G73" i="46"/>
  <c r="N73" i="46"/>
  <c r="L87" i="46"/>
  <c r="G87" i="46"/>
  <c r="M87" i="46"/>
  <c r="M88" i="46"/>
  <c r="R88" i="46" s="1"/>
  <c r="H88" i="46"/>
  <c r="L88" i="46"/>
  <c r="P96" i="46"/>
  <c r="G96" i="46"/>
  <c r="L96" i="46"/>
  <c r="L101" i="46"/>
  <c r="H101" i="46"/>
  <c r="L106" i="46"/>
  <c r="P107" i="46"/>
  <c r="H107" i="46"/>
  <c r="L107" i="46"/>
  <c r="O121" i="46"/>
  <c r="G121" i="46"/>
  <c r="L121" i="46"/>
  <c r="Q121" i="46"/>
  <c r="P122" i="46"/>
  <c r="L122" i="46"/>
  <c r="H122" i="46"/>
  <c r="Q122" i="46"/>
  <c r="L126" i="46"/>
  <c r="H126" i="46"/>
  <c r="L129" i="46"/>
  <c r="G129" i="46"/>
  <c r="M129" i="46"/>
  <c r="R129" i="46" s="1"/>
  <c r="L133" i="46"/>
  <c r="G133" i="46"/>
  <c r="M133" i="46"/>
  <c r="R133" i="46" s="1"/>
  <c r="K141" i="46"/>
  <c r="N158" i="46"/>
  <c r="I158" i="46"/>
  <c r="H179" i="46"/>
  <c r="M182" i="46"/>
  <c r="I182" i="46"/>
  <c r="J182" i="46"/>
  <c r="L182" i="46"/>
  <c r="J202" i="46"/>
  <c r="J212" i="46"/>
  <c r="O213" i="46"/>
  <c r="H213" i="46"/>
  <c r="J213" i="46"/>
  <c r="O214" i="46"/>
  <c r="H214" i="46"/>
  <c r="N214" i="46"/>
  <c r="J220" i="46"/>
  <c r="O221" i="46"/>
  <c r="H221" i="46"/>
  <c r="J221" i="46"/>
  <c r="O222" i="46"/>
  <c r="H222" i="46"/>
  <c r="N222" i="46"/>
  <c r="V245" i="46"/>
  <c r="Y245" i="46" s="1"/>
  <c r="AG245" i="46" s="1"/>
  <c r="L256" i="46"/>
  <c r="G258" i="46"/>
  <c r="J260" i="46"/>
  <c r="L260" i="46"/>
  <c r="J267" i="46"/>
  <c r="G267" i="46"/>
  <c r="Y269" i="46"/>
  <c r="AG269" i="46" s="1"/>
  <c r="S269" i="46"/>
  <c r="H274" i="46"/>
  <c r="H277" i="46"/>
  <c r="AF278" i="46"/>
  <c r="G282" i="46"/>
  <c r="H282" i="46"/>
  <c r="G26" i="46"/>
  <c r="G31" i="46"/>
  <c r="G45" i="46"/>
  <c r="G46" i="46"/>
  <c r="G48" i="46"/>
  <c r="AF69" i="46"/>
  <c r="G71" i="46"/>
  <c r="N71" i="46"/>
  <c r="H73" i="46"/>
  <c r="P73" i="46"/>
  <c r="H87" i="46"/>
  <c r="P87" i="46"/>
  <c r="G88" i="46"/>
  <c r="H96" i="46"/>
  <c r="N96" i="46"/>
  <c r="P97" i="46"/>
  <c r="G97" i="46"/>
  <c r="L97" i="46"/>
  <c r="G101" i="46"/>
  <c r="M101" i="46"/>
  <c r="K102" i="46"/>
  <c r="U102" i="46"/>
  <c r="G106" i="46"/>
  <c r="P106" i="46"/>
  <c r="G107" i="46"/>
  <c r="N110" i="46"/>
  <c r="J110" i="46"/>
  <c r="L110" i="46"/>
  <c r="Q110" i="46"/>
  <c r="AE109" i="46" s="1"/>
  <c r="N112" i="46"/>
  <c r="J112" i="46"/>
  <c r="M112" i="46"/>
  <c r="AF115" i="46"/>
  <c r="H121" i="46"/>
  <c r="M121" i="46"/>
  <c r="G122" i="46"/>
  <c r="M122" i="46"/>
  <c r="G126" i="46"/>
  <c r="M126" i="46"/>
  <c r="M128" i="46"/>
  <c r="R128" i="46" s="1"/>
  <c r="H128" i="46"/>
  <c r="L128" i="46"/>
  <c r="H129" i="46"/>
  <c r="M132" i="46"/>
  <c r="H132" i="46"/>
  <c r="L132" i="46"/>
  <c r="H133" i="46"/>
  <c r="G143" i="46"/>
  <c r="AF145" i="46"/>
  <c r="U151" i="46"/>
  <c r="K151" i="46"/>
  <c r="P157" i="46"/>
  <c r="J157" i="46"/>
  <c r="L157" i="46"/>
  <c r="G158" i="46"/>
  <c r="L158" i="46"/>
  <c r="N159" i="46"/>
  <c r="I159" i="46"/>
  <c r="J179" i="46"/>
  <c r="G180" i="46"/>
  <c r="H180" i="46"/>
  <c r="G182" i="46"/>
  <c r="H186" i="46"/>
  <c r="K186" i="46" s="1"/>
  <c r="H190" i="46"/>
  <c r="H194" i="46"/>
  <c r="K194" i="46" s="1"/>
  <c r="N202" i="46"/>
  <c r="H204" i="46"/>
  <c r="J208" i="46"/>
  <c r="J214" i="46"/>
  <c r="O215" i="46"/>
  <c r="H215" i="46"/>
  <c r="J215" i="46"/>
  <c r="O216" i="46"/>
  <c r="R216" i="46" s="1"/>
  <c r="H216" i="46"/>
  <c r="K216" i="46" s="1"/>
  <c r="N216" i="46"/>
  <c r="N219" i="46"/>
  <c r="J222" i="46"/>
  <c r="O223" i="46"/>
  <c r="H223" i="46"/>
  <c r="J223" i="46"/>
  <c r="O224" i="46"/>
  <c r="R224" i="46" s="1"/>
  <c r="H224" i="46"/>
  <c r="K224" i="46" s="1"/>
  <c r="N224" i="46"/>
  <c r="M256" i="46"/>
  <c r="L257" i="46"/>
  <c r="G260" i="46"/>
  <c r="K260" i="46" s="1"/>
  <c r="H267" i="46"/>
  <c r="L275" i="46"/>
  <c r="J277" i="46"/>
  <c r="H281" i="46"/>
  <c r="G281" i="46"/>
  <c r="N282" i="46"/>
  <c r="H290" i="46"/>
  <c r="G290" i="46"/>
  <c r="J92" i="46"/>
  <c r="J93" i="46"/>
  <c r="J94" i="46"/>
  <c r="J123" i="46"/>
  <c r="J125" i="46"/>
  <c r="M170" i="46"/>
  <c r="I170" i="46"/>
  <c r="W168" i="46" s="1"/>
  <c r="O171" i="46"/>
  <c r="H171" i="46"/>
  <c r="O187" i="46"/>
  <c r="O189" i="46"/>
  <c r="O191" i="46"/>
  <c r="O193" i="46"/>
  <c r="O195" i="46"/>
  <c r="O254" i="46"/>
  <c r="H254" i="46"/>
  <c r="K254" i="46" s="1"/>
  <c r="L265" i="46"/>
  <c r="G265" i="46"/>
  <c r="H265" i="46"/>
  <c r="P273" i="46"/>
  <c r="J273" i="46"/>
  <c r="G273" i="46"/>
  <c r="M276" i="46"/>
  <c r="H276" i="46"/>
  <c r="J276" i="46"/>
  <c r="H291" i="46"/>
  <c r="N291" i="46"/>
  <c r="H293" i="46"/>
  <c r="G293" i="46"/>
  <c r="J177" i="46"/>
  <c r="M255" i="46"/>
  <c r="H255" i="46"/>
  <c r="N255" i="46"/>
  <c r="M261" i="46"/>
  <c r="R261" i="46" s="1"/>
  <c r="H261" i="46"/>
  <c r="K261" i="46" s="1"/>
  <c r="L261" i="46"/>
  <c r="M264" i="46"/>
  <c r="R264" i="46" s="1"/>
  <c r="H264" i="46"/>
  <c r="L264" i="46"/>
  <c r="N271" i="46"/>
  <c r="P292" i="46"/>
  <c r="S47" i="47" l="1"/>
  <c r="K195" i="47"/>
  <c r="S195" i="47" s="1"/>
  <c r="K132" i="47"/>
  <c r="S132" i="47" s="1"/>
  <c r="K90" i="47"/>
  <c r="S90" i="47" s="1"/>
  <c r="K72" i="47"/>
  <c r="S72" i="47" s="1"/>
  <c r="K113" i="47"/>
  <c r="S113" i="47" s="1"/>
  <c r="AA91" i="47"/>
  <c r="AB63" i="47"/>
  <c r="R76" i="47"/>
  <c r="R176" i="47"/>
  <c r="AD85" i="47"/>
  <c r="R159" i="47"/>
  <c r="K190" i="47"/>
  <c r="S190" i="47" s="1"/>
  <c r="K18" i="47"/>
  <c r="S18" i="47" s="1"/>
  <c r="K105" i="47"/>
  <c r="S105" i="47" s="1"/>
  <c r="R29" i="47"/>
  <c r="K261" i="47"/>
  <c r="S261" i="47" s="1"/>
  <c r="K273" i="47"/>
  <c r="S273" i="47" s="1"/>
  <c r="V290" i="47"/>
  <c r="S174" i="47"/>
  <c r="S200" i="47"/>
  <c r="S79" i="47"/>
  <c r="K82" i="46"/>
  <c r="R80" i="46"/>
  <c r="AC75" i="47"/>
  <c r="K103" i="47"/>
  <c r="S103" i="47" s="1"/>
  <c r="AG103" i="47" s="1"/>
  <c r="V263" i="47"/>
  <c r="W121" i="47"/>
  <c r="AB109" i="47"/>
  <c r="AB253" i="47"/>
  <c r="R261" i="47"/>
  <c r="K78" i="47"/>
  <c r="S78" i="47" s="1"/>
  <c r="S86" i="47"/>
  <c r="R81" i="46"/>
  <c r="K82" i="47"/>
  <c r="S82" i="47" s="1"/>
  <c r="AC45" i="47"/>
  <c r="Z15" i="47"/>
  <c r="AE80" i="47"/>
  <c r="R127" i="47"/>
  <c r="K160" i="47"/>
  <c r="S160" i="47" s="1"/>
  <c r="K127" i="47"/>
  <c r="K46" i="47"/>
  <c r="R182" i="47"/>
  <c r="R123" i="47"/>
  <c r="K178" i="47"/>
  <c r="R131" i="47"/>
  <c r="S189" i="47"/>
  <c r="V168" i="47"/>
  <c r="S25" i="47"/>
  <c r="U15" i="47"/>
  <c r="K29" i="47"/>
  <c r="S29" i="47" s="1"/>
  <c r="X75" i="47"/>
  <c r="R186" i="47"/>
  <c r="R216" i="47"/>
  <c r="Z45" i="47"/>
  <c r="AB157" i="47"/>
  <c r="K259" i="46"/>
  <c r="K262" i="47"/>
  <c r="S213" i="47"/>
  <c r="K131" i="47"/>
  <c r="K109" i="47"/>
  <c r="S109" i="47" s="1"/>
  <c r="S179" i="47"/>
  <c r="R257" i="47"/>
  <c r="R210" i="47"/>
  <c r="K108" i="47"/>
  <c r="S108" i="47" s="1"/>
  <c r="K106" i="47"/>
  <c r="S106" i="47" s="1"/>
  <c r="S60" i="47"/>
  <c r="Z168" i="47"/>
  <c r="K73" i="47"/>
  <c r="K111" i="47"/>
  <c r="S111" i="47" s="1"/>
  <c r="K80" i="46"/>
  <c r="S80" i="46" s="1"/>
  <c r="R82" i="46"/>
  <c r="R83" i="47"/>
  <c r="R84" i="46"/>
  <c r="K84" i="46"/>
  <c r="K80" i="47"/>
  <c r="S80" i="47" s="1"/>
  <c r="R83" i="46"/>
  <c r="K256" i="47"/>
  <c r="R84" i="47"/>
  <c r="AD80" i="46"/>
  <c r="K81" i="46"/>
  <c r="K81" i="47"/>
  <c r="S81" i="47" s="1"/>
  <c r="R49" i="47"/>
  <c r="AE80" i="46"/>
  <c r="K210" i="47"/>
  <c r="S210" i="47" s="1"/>
  <c r="R101" i="48"/>
  <c r="K84" i="47"/>
  <c r="S84" i="47" s="1"/>
  <c r="K83" i="47"/>
  <c r="S83" i="47" s="1"/>
  <c r="R80" i="47"/>
  <c r="AC121" i="47"/>
  <c r="AC109" i="47"/>
  <c r="R266" i="47"/>
  <c r="S217" i="47"/>
  <c r="AD121" i="47"/>
  <c r="Y115" i="47"/>
  <c r="S46" i="47"/>
  <c r="W91" i="47"/>
  <c r="K112" i="47"/>
  <c r="K28" i="47"/>
  <c r="S28" i="47" s="1"/>
  <c r="K97" i="47"/>
  <c r="K100" i="47"/>
  <c r="S100" i="47" s="1"/>
  <c r="K193" i="46"/>
  <c r="S193" i="46" s="1"/>
  <c r="Z263" i="47"/>
  <c r="K223" i="47"/>
  <c r="S223" i="47" s="1"/>
  <c r="K221" i="47"/>
  <c r="S221" i="47" s="1"/>
  <c r="K219" i="47"/>
  <c r="S219" i="47" s="1"/>
  <c r="V91" i="47"/>
  <c r="K220" i="47"/>
  <c r="S220" i="47" s="1"/>
  <c r="K125" i="47"/>
  <c r="S125" i="47" s="1"/>
  <c r="R215" i="47"/>
  <c r="S178" i="47"/>
  <c r="AE157" i="47"/>
  <c r="R275" i="47"/>
  <c r="R267" i="47"/>
  <c r="R260" i="47"/>
  <c r="W177" i="47"/>
  <c r="K133" i="47"/>
  <c r="S133" i="47" s="1"/>
  <c r="V80" i="47"/>
  <c r="R171" i="47"/>
  <c r="AF171" i="47" s="1"/>
  <c r="K161" i="47"/>
  <c r="S161" i="47" s="1"/>
  <c r="U85" i="47"/>
  <c r="Y290" i="47"/>
  <c r="AG290" i="47" s="1"/>
  <c r="K258" i="47"/>
  <c r="S183" i="47"/>
  <c r="U177" i="47"/>
  <c r="K196" i="47"/>
  <c r="S196" i="47" s="1"/>
  <c r="K188" i="47"/>
  <c r="S188" i="47" s="1"/>
  <c r="Z85" i="47"/>
  <c r="K222" i="47"/>
  <c r="K33" i="47"/>
  <c r="S33" i="47" s="1"/>
  <c r="R112" i="47"/>
  <c r="W104" i="47"/>
  <c r="AC80" i="47"/>
  <c r="K34" i="47"/>
  <c r="S34" i="47" s="1"/>
  <c r="K58" i="47"/>
  <c r="S58" i="47" s="1"/>
  <c r="S254" i="47"/>
  <c r="AB184" i="47"/>
  <c r="S87" i="47"/>
  <c r="K31" i="47"/>
  <c r="AB278" i="47"/>
  <c r="S143" i="47"/>
  <c r="AG143" i="47" s="1"/>
  <c r="AB80" i="47"/>
  <c r="AB51" i="47"/>
  <c r="S277" i="47"/>
  <c r="AC184" i="47"/>
  <c r="AA263" i="47"/>
  <c r="V121" i="47"/>
  <c r="Z126" i="47"/>
  <c r="K123" i="47"/>
  <c r="K280" i="47"/>
  <c r="S280" i="47" s="1"/>
  <c r="AA126" i="47"/>
  <c r="K216" i="47"/>
  <c r="S216" i="47" s="1"/>
  <c r="AA29" i="47"/>
  <c r="R33" i="47"/>
  <c r="V29" i="47"/>
  <c r="Y103" i="47"/>
  <c r="S40" i="47"/>
  <c r="AG40" i="47" s="1"/>
  <c r="R110" i="47"/>
  <c r="K35" i="47"/>
  <c r="S35" i="47" s="1"/>
  <c r="K92" i="47"/>
  <c r="S92" i="47" s="1"/>
  <c r="K20" i="47"/>
  <c r="S20" i="47" s="1"/>
  <c r="R14" i="47"/>
  <c r="AF14" i="47" s="1"/>
  <c r="V57" i="47"/>
  <c r="S265" i="47"/>
  <c r="S257" i="47"/>
  <c r="K279" i="47"/>
  <c r="S279" i="47" s="1"/>
  <c r="S97" i="47"/>
  <c r="S52" i="47"/>
  <c r="Z91" i="47"/>
  <c r="R48" i="47"/>
  <c r="AB29" i="47"/>
  <c r="S239" i="47"/>
  <c r="AG239" i="47" s="1"/>
  <c r="Z177" i="47"/>
  <c r="S130" i="47"/>
  <c r="K96" i="47"/>
  <c r="S96" i="47" s="1"/>
  <c r="AA274" i="47"/>
  <c r="R224" i="47"/>
  <c r="Y134" i="47"/>
  <c r="AG134" i="47" s="1"/>
  <c r="AB91" i="47"/>
  <c r="K32" i="47"/>
  <c r="S32" i="47" s="1"/>
  <c r="V126" i="47"/>
  <c r="W80" i="47"/>
  <c r="Z29" i="47"/>
  <c r="AA80" i="47"/>
  <c r="Y50" i="46"/>
  <c r="Z15" i="48"/>
  <c r="K171" i="48"/>
  <c r="S171" i="48" s="1"/>
  <c r="R274" i="48"/>
  <c r="R36" i="48"/>
  <c r="R222" i="48"/>
  <c r="R76" i="48"/>
  <c r="S57" i="48"/>
  <c r="K172" i="48"/>
  <c r="S172" i="48" s="1"/>
  <c r="K18" i="48"/>
  <c r="S18" i="48" s="1"/>
  <c r="K169" i="48"/>
  <c r="S169" i="48" s="1"/>
  <c r="S15" i="48"/>
  <c r="K54" i="48"/>
  <c r="S54" i="48" s="1"/>
  <c r="R200" i="48"/>
  <c r="R130" i="48"/>
  <c r="K97" i="48"/>
  <c r="S97" i="48" s="1"/>
  <c r="S102" i="48"/>
  <c r="AG102" i="48" s="1"/>
  <c r="R96" i="48"/>
  <c r="K86" i="48"/>
  <c r="S86" i="48" s="1"/>
  <c r="R90" i="48"/>
  <c r="R277" i="48"/>
  <c r="K144" i="48"/>
  <c r="Y144" i="48" s="1"/>
  <c r="S56" i="48"/>
  <c r="K46" i="48"/>
  <c r="S46" i="48" s="1"/>
  <c r="K273" i="48"/>
  <c r="S273" i="48" s="1"/>
  <c r="R92" i="48"/>
  <c r="R86" i="48"/>
  <c r="K72" i="48"/>
  <c r="S72" i="48" s="1"/>
  <c r="K90" i="48"/>
  <c r="R260" i="48"/>
  <c r="R31" i="48"/>
  <c r="Z263" i="48"/>
  <c r="K255" i="48"/>
  <c r="S255" i="48" s="1"/>
  <c r="K277" i="48"/>
  <c r="S277" i="48" s="1"/>
  <c r="AB290" i="48"/>
  <c r="K103" i="48"/>
  <c r="S103" i="48" s="1"/>
  <c r="AG103" i="48" s="1"/>
  <c r="R77" i="48"/>
  <c r="K77" i="48"/>
  <c r="S77" i="48" s="1"/>
  <c r="K131" i="48"/>
  <c r="S131" i="48" s="1"/>
  <c r="K106" i="48"/>
  <c r="S106" i="48" s="1"/>
  <c r="R49" i="48"/>
  <c r="S204" i="48"/>
  <c r="R158" i="48"/>
  <c r="R175" i="48"/>
  <c r="R254" i="48"/>
  <c r="AG134" i="48"/>
  <c r="K254" i="48"/>
  <c r="S254" i="48" s="1"/>
  <c r="K176" i="48"/>
  <c r="S176" i="48" s="1"/>
  <c r="K160" i="48"/>
  <c r="S160" i="48" s="1"/>
  <c r="R103" i="48"/>
  <c r="AF103" i="48" s="1"/>
  <c r="K78" i="48"/>
  <c r="S78" i="48" s="1"/>
  <c r="S65" i="48"/>
  <c r="S55" i="48"/>
  <c r="S27" i="48"/>
  <c r="R257" i="48"/>
  <c r="R29" i="48"/>
  <c r="K59" i="48"/>
  <c r="S59" i="48" s="1"/>
  <c r="R157" i="48"/>
  <c r="S193" i="48"/>
  <c r="K243" i="48"/>
  <c r="S243" i="48" s="1"/>
  <c r="K127" i="48"/>
  <c r="S127" i="48" s="1"/>
  <c r="K174" i="48"/>
  <c r="S174" i="48" s="1"/>
  <c r="R131" i="48"/>
  <c r="R79" i="48"/>
  <c r="S90" i="48"/>
  <c r="Y141" i="48"/>
  <c r="K226" i="48"/>
  <c r="S226" i="48" s="1"/>
  <c r="K200" i="48"/>
  <c r="S200" i="48" s="1"/>
  <c r="AD85" i="48"/>
  <c r="K33" i="48"/>
  <c r="S33" i="48" s="1"/>
  <c r="K52" i="48"/>
  <c r="S52" i="48" s="1"/>
  <c r="R262" i="48"/>
  <c r="R202" i="48"/>
  <c r="R99" i="48"/>
  <c r="K36" i="48"/>
  <c r="S36" i="48" s="1"/>
  <c r="R33" i="48"/>
  <c r="K110" i="48"/>
  <c r="S110" i="48" s="1"/>
  <c r="K47" i="48"/>
  <c r="S47" i="48" s="1"/>
  <c r="R273" i="48"/>
  <c r="AG240" i="48"/>
  <c r="K123" i="48"/>
  <c r="S123" i="48" s="1"/>
  <c r="K122" i="48"/>
  <c r="S122" i="48" s="1"/>
  <c r="W29" i="48"/>
  <c r="S67" i="48"/>
  <c r="K60" i="48"/>
  <c r="S60" i="48" s="1"/>
  <c r="R35" i="48"/>
  <c r="R128" i="48"/>
  <c r="R82" i="48"/>
  <c r="K181" i="48"/>
  <c r="S181" i="48" s="1"/>
  <c r="K262" i="48"/>
  <c r="S262" i="48" s="1"/>
  <c r="V157" i="48"/>
  <c r="V80" i="48"/>
  <c r="R111" i="48"/>
  <c r="S62" i="48"/>
  <c r="K29" i="48"/>
  <c r="S29" i="48" s="1"/>
  <c r="U80" i="48"/>
  <c r="K80" i="48"/>
  <c r="S80" i="48" s="1"/>
  <c r="AG68" i="48"/>
  <c r="K157" i="48"/>
  <c r="S157" i="48" s="1"/>
  <c r="K85" i="48"/>
  <c r="S85" i="48" s="1"/>
  <c r="K274" i="48"/>
  <c r="S274" i="48" s="1"/>
  <c r="AB271" i="48"/>
  <c r="K260" i="48"/>
  <c r="S260" i="48" s="1"/>
  <c r="S282" i="48"/>
  <c r="R215" i="48"/>
  <c r="K170" i="48"/>
  <c r="S170" i="48" s="1"/>
  <c r="S147" i="48"/>
  <c r="K134" i="48"/>
  <c r="S134" i="48" s="1"/>
  <c r="R220" i="48"/>
  <c r="K48" i="48"/>
  <c r="S48" i="48" s="1"/>
  <c r="K180" i="48"/>
  <c r="S180" i="48" s="1"/>
  <c r="S118" i="48"/>
  <c r="R78" i="48"/>
  <c r="R265" i="48"/>
  <c r="Z85" i="48"/>
  <c r="R223" i="48"/>
  <c r="R266" i="48"/>
  <c r="R255" i="48"/>
  <c r="W104" i="48"/>
  <c r="AB278" i="48"/>
  <c r="Z57" i="48"/>
  <c r="K257" i="48"/>
  <c r="S257" i="48" s="1"/>
  <c r="S194" i="48"/>
  <c r="AB157" i="48"/>
  <c r="K130" i="48"/>
  <c r="S130" i="48" s="1"/>
  <c r="S107" i="48"/>
  <c r="AD290" i="48"/>
  <c r="K188" i="48"/>
  <c r="S188" i="48" s="1"/>
  <c r="V168" i="48"/>
  <c r="Y167" i="48"/>
  <c r="V109" i="48"/>
  <c r="V104" i="48"/>
  <c r="K99" i="48"/>
  <c r="S99" i="48" s="1"/>
  <c r="K88" i="48"/>
  <c r="S88" i="48" s="1"/>
  <c r="V57" i="48"/>
  <c r="S28" i="48"/>
  <c r="V15" i="48"/>
  <c r="K84" i="48"/>
  <c r="S84" i="48" s="1"/>
  <c r="S25" i="48"/>
  <c r="W157" i="48"/>
  <c r="AD157" i="48"/>
  <c r="AE157" i="48"/>
  <c r="S53" i="48"/>
  <c r="K49" i="48"/>
  <c r="S49" i="48" s="1"/>
  <c r="S19" i="48"/>
  <c r="K79" i="48"/>
  <c r="S79" i="48" s="1"/>
  <c r="S210" i="48"/>
  <c r="R81" i="48"/>
  <c r="V171" i="48"/>
  <c r="K132" i="48"/>
  <c r="S132" i="48" s="1"/>
  <c r="R129" i="48"/>
  <c r="V71" i="48"/>
  <c r="R125" i="48"/>
  <c r="S116" i="48"/>
  <c r="R113" i="48"/>
  <c r="K94" i="48"/>
  <c r="S94" i="48" s="1"/>
  <c r="R87" i="48"/>
  <c r="Z71" i="48"/>
  <c r="AB63" i="48"/>
  <c r="V126" i="48"/>
  <c r="S63" i="48"/>
  <c r="R98" i="48"/>
  <c r="AB45" i="48"/>
  <c r="AB253" i="48"/>
  <c r="R218" i="48"/>
  <c r="K183" i="48"/>
  <c r="S183" i="48" s="1"/>
  <c r="AB171" i="48"/>
  <c r="K201" i="48"/>
  <c r="S201" i="48" s="1"/>
  <c r="R176" i="48"/>
  <c r="S119" i="48"/>
  <c r="R85" i="48"/>
  <c r="Z274" i="48"/>
  <c r="K278" i="48"/>
  <c r="S278" i="48" s="1"/>
  <c r="R190" i="48"/>
  <c r="Z157" i="48"/>
  <c r="R272" i="48"/>
  <c r="R188" i="48"/>
  <c r="Z168" i="48"/>
  <c r="R93" i="48"/>
  <c r="AC171" i="48"/>
  <c r="K221" i="48"/>
  <c r="S221" i="48" s="1"/>
  <c r="K179" i="48"/>
  <c r="S179" i="48" s="1"/>
  <c r="AC109" i="48"/>
  <c r="Z109" i="48"/>
  <c r="Z45" i="48"/>
  <c r="AG40" i="48"/>
  <c r="AB29" i="48"/>
  <c r="AA29" i="48"/>
  <c r="R213" i="48"/>
  <c r="K195" i="48"/>
  <c r="S195" i="48" s="1"/>
  <c r="Z115" i="48"/>
  <c r="Z104" i="48"/>
  <c r="S68" i="48"/>
  <c r="R276" i="48"/>
  <c r="U45" i="48"/>
  <c r="K74" i="48"/>
  <c r="S74" i="48" s="1"/>
  <c r="X258" i="48"/>
  <c r="K158" i="48"/>
  <c r="S158" i="48" s="1"/>
  <c r="K89" i="48"/>
  <c r="S89" i="48" s="1"/>
  <c r="K279" i="48"/>
  <c r="S279" i="48" s="1"/>
  <c r="S150" i="48"/>
  <c r="R201" i="48"/>
  <c r="K265" i="48"/>
  <c r="S265" i="48" s="1"/>
  <c r="R204" i="48"/>
  <c r="R192" i="48"/>
  <c r="R182" i="48"/>
  <c r="AC271" i="48"/>
  <c r="AA263" i="48"/>
  <c r="AA258" i="48"/>
  <c r="K222" i="48"/>
  <c r="S222" i="48" s="1"/>
  <c r="AA168" i="48"/>
  <c r="K202" i="48"/>
  <c r="S202" i="48" s="1"/>
  <c r="V274" i="48"/>
  <c r="R256" i="48"/>
  <c r="S219" i="48"/>
  <c r="AA126" i="48"/>
  <c r="K129" i="48"/>
  <c r="S129" i="48" s="1"/>
  <c r="AA45" i="48"/>
  <c r="V278" i="48"/>
  <c r="R264" i="48"/>
  <c r="AA274" i="48"/>
  <c r="W91" i="48"/>
  <c r="Z126" i="48"/>
  <c r="K58" i="48"/>
  <c r="S58" i="48" s="1"/>
  <c r="K98" i="48"/>
  <c r="S98" i="48" s="1"/>
  <c r="R171" i="48"/>
  <c r="R160" i="48"/>
  <c r="AC253" i="48"/>
  <c r="S196" i="48"/>
  <c r="R267" i="48"/>
  <c r="R216" i="48"/>
  <c r="K182" i="48"/>
  <c r="S182" i="48" s="1"/>
  <c r="R212" i="48"/>
  <c r="Z177" i="48"/>
  <c r="AD104" i="48"/>
  <c r="Z91" i="48"/>
  <c r="V85" i="48"/>
  <c r="R47" i="48"/>
  <c r="K111" i="48"/>
  <c r="S111" i="48" s="1"/>
  <c r="K76" i="48"/>
  <c r="S76" i="48" s="1"/>
  <c r="AB51" i="48"/>
  <c r="X29" i="48"/>
  <c r="AC75" i="48"/>
  <c r="K32" i="48"/>
  <c r="S32" i="48" s="1"/>
  <c r="K187" i="48"/>
  <c r="S187" i="48" s="1"/>
  <c r="R84" i="48"/>
  <c r="R83" i="48"/>
  <c r="AB80" i="48"/>
  <c r="R110" i="48"/>
  <c r="R159" i="48"/>
  <c r="K159" i="48"/>
  <c r="S159" i="48" s="1"/>
  <c r="K267" i="48"/>
  <c r="S267" i="48" s="1"/>
  <c r="S162" i="48"/>
  <c r="AG162" i="48" s="1"/>
  <c r="Y162" i="48"/>
  <c r="K192" i="48"/>
  <c r="S192" i="48" s="1"/>
  <c r="X126" i="48"/>
  <c r="R126" i="48"/>
  <c r="V177" i="48"/>
  <c r="Y151" i="48"/>
  <c r="S151" i="48"/>
  <c r="AG151" i="48" s="1"/>
  <c r="V45" i="48"/>
  <c r="K45" i="48"/>
  <c r="S45" i="48" s="1"/>
  <c r="K30" i="48"/>
  <c r="S30" i="48" s="1"/>
  <c r="U29" i="48"/>
  <c r="R179" i="48"/>
  <c r="X177" i="48"/>
  <c r="K143" i="48"/>
  <c r="U143" i="48"/>
  <c r="K17" i="48"/>
  <c r="S17" i="48" s="1"/>
  <c r="K184" i="48"/>
  <c r="S184" i="48" s="1"/>
  <c r="V184" i="48"/>
  <c r="R121" i="48"/>
  <c r="X121" i="48"/>
  <c r="AD121" i="48"/>
  <c r="AC91" i="48"/>
  <c r="U15" i="48"/>
  <c r="AC80" i="48"/>
  <c r="R109" i="48"/>
  <c r="R210" i="48"/>
  <c r="R196" i="48"/>
  <c r="V290" i="48"/>
  <c r="R224" i="48"/>
  <c r="K216" i="48"/>
  <c r="S216" i="48" s="1"/>
  <c r="S108" i="48"/>
  <c r="X80" i="48"/>
  <c r="R80" i="48"/>
  <c r="U271" i="48"/>
  <c r="K271" i="48"/>
  <c r="S271" i="48" s="1"/>
  <c r="K266" i="48"/>
  <c r="S266" i="48" s="1"/>
  <c r="V263" i="48"/>
  <c r="V258" i="48"/>
  <c r="K223" i="48"/>
  <c r="S223" i="48" s="1"/>
  <c r="R214" i="48"/>
  <c r="AG225" i="48"/>
  <c r="K212" i="48"/>
  <c r="S212" i="48" s="1"/>
  <c r="S189" i="48"/>
  <c r="K178" i="48"/>
  <c r="S178" i="48" s="1"/>
  <c r="W177" i="48"/>
  <c r="K100" i="48"/>
  <c r="S100" i="48" s="1"/>
  <c r="K96" i="48"/>
  <c r="S96" i="48" s="1"/>
  <c r="V29" i="48"/>
  <c r="K31" i="48"/>
  <c r="S31" i="48" s="1"/>
  <c r="Z29" i="48"/>
  <c r="K220" i="48"/>
  <c r="S220" i="48" s="1"/>
  <c r="K213" i="48"/>
  <c r="S213" i="48" s="1"/>
  <c r="R195" i="48"/>
  <c r="K87" i="48"/>
  <c r="S87" i="48" s="1"/>
  <c r="X71" i="48"/>
  <c r="R71" i="48"/>
  <c r="AF71" i="48" s="1"/>
  <c r="K276" i="48"/>
  <c r="S276" i="48" s="1"/>
  <c r="AA177" i="48"/>
  <c r="U145" i="48"/>
  <c r="Y145" i="48" s="1"/>
  <c r="K145" i="48"/>
  <c r="S145" i="48" s="1"/>
  <c r="R124" i="48"/>
  <c r="AE121" i="48"/>
  <c r="AB91" i="48"/>
  <c r="S61" i="48"/>
  <c r="R48" i="48"/>
  <c r="X14" i="48"/>
  <c r="R14" i="48"/>
  <c r="AF14" i="48" s="1"/>
  <c r="K128" i="48"/>
  <c r="S128" i="48" s="1"/>
  <c r="AA109" i="48"/>
  <c r="K95" i="48"/>
  <c r="S95" i="48" s="1"/>
  <c r="X75" i="48"/>
  <c r="R75" i="48"/>
  <c r="X184" i="48"/>
  <c r="R184" i="48"/>
  <c r="U121" i="48"/>
  <c r="K121" i="48"/>
  <c r="S121" i="48" s="1"/>
  <c r="AC121" i="48"/>
  <c r="U51" i="48"/>
  <c r="K51" i="48"/>
  <c r="S51" i="48" s="1"/>
  <c r="AC45" i="48"/>
  <c r="R30" i="48"/>
  <c r="S281" i="48"/>
  <c r="V253" i="48"/>
  <c r="K253" i="48"/>
  <c r="S253" i="48" s="1"/>
  <c r="K218" i="48"/>
  <c r="S218" i="48" s="1"/>
  <c r="K83" i="48"/>
  <c r="S83" i="48" s="1"/>
  <c r="W80" i="48"/>
  <c r="R45" i="48"/>
  <c r="K92" i="48"/>
  <c r="S92" i="48" s="1"/>
  <c r="K35" i="48"/>
  <c r="S35" i="48" s="1"/>
  <c r="Y120" i="48"/>
  <c r="S120" i="48"/>
  <c r="AG120" i="48" s="1"/>
  <c r="X274" i="48"/>
  <c r="K224" i="48"/>
  <c r="S224" i="48" s="1"/>
  <c r="S217" i="48"/>
  <c r="R186" i="48"/>
  <c r="U126" i="48"/>
  <c r="K126" i="48"/>
  <c r="S126" i="48" s="1"/>
  <c r="R123" i="48"/>
  <c r="U290" i="48"/>
  <c r="Y290" i="48" s="1"/>
  <c r="AD271" i="48"/>
  <c r="R263" i="48"/>
  <c r="X263" i="48"/>
  <c r="Z258" i="48"/>
  <c r="K214" i="48"/>
  <c r="S214" i="48" s="1"/>
  <c r="K190" i="48"/>
  <c r="S190" i="48" s="1"/>
  <c r="K186" i="48"/>
  <c r="S186" i="48" s="1"/>
  <c r="S135" i="48"/>
  <c r="AG135" i="48" s="1"/>
  <c r="Y135" i="48"/>
  <c r="R221" i="48"/>
  <c r="K275" i="48"/>
  <c r="S275" i="48" s="1"/>
  <c r="U274" i="48"/>
  <c r="K256" i="48"/>
  <c r="S256" i="48" s="1"/>
  <c r="S239" i="48"/>
  <c r="AG239" i="48" s="1"/>
  <c r="Y239" i="48"/>
  <c r="S191" i="48"/>
  <c r="U177" i="48"/>
  <c r="K177" i="48"/>
  <c r="S177" i="48" s="1"/>
  <c r="K173" i="48"/>
  <c r="S173" i="48" s="1"/>
  <c r="K133" i="48"/>
  <c r="S133" i="48" s="1"/>
  <c r="R132" i="48"/>
  <c r="Y115" i="48"/>
  <c r="S115" i="48"/>
  <c r="AB109" i="48"/>
  <c r="U104" i="48"/>
  <c r="K104" i="48"/>
  <c r="S104" i="48" s="1"/>
  <c r="K93" i="48"/>
  <c r="S93" i="48" s="1"/>
  <c r="U85" i="48"/>
  <c r="AB71" i="48"/>
  <c r="K280" i="48"/>
  <c r="S280" i="48" s="1"/>
  <c r="U278" i="48"/>
  <c r="K264" i="48"/>
  <c r="S264" i="48" s="1"/>
  <c r="R133" i="48"/>
  <c r="K125" i="48"/>
  <c r="S125" i="48" s="1"/>
  <c r="V115" i="48"/>
  <c r="K113" i="48"/>
  <c r="S113" i="48" s="1"/>
  <c r="K105" i="48"/>
  <c r="S105" i="48" s="1"/>
  <c r="K73" i="48"/>
  <c r="S73" i="48" s="1"/>
  <c r="AD71" i="48"/>
  <c r="AB145" i="48"/>
  <c r="K124" i="48"/>
  <c r="S124" i="48" s="1"/>
  <c r="X109" i="48"/>
  <c r="R112" i="48"/>
  <c r="V91" i="48"/>
  <c r="K91" i="48"/>
  <c r="S91" i="48" s="1"/>
  <c r="U91" i="48"/>
  <c r="R34" i="48"/>
  <c r="AA121" i="48"/>
  <c r="K112" i="48"/>
  <c r="S112" i="48" s="1"/>
  <c r="AA85" i="48"/>
  <c r="V75" i="48"/>
  <c r="K75" i="48"/>
  <c r="S75" i="48" s="1"/>
  <c r="K34" i="48"/>
  <c r="S34" i="48" s="1"/>
  <c r="R187" i="48"/>
  <c r="AB184" i="48"/>
  <c r="W121" i="48"/>
  <c r="V121" i="48"/>
  <c r="R95" i="48"/>
  <c r="V51" i="48"/>
  <c r="R46" i="48"/>
  <c r="K26" i="48"/>
  <c r="S26" i="48" s="1"/>
  <c r="R24" i="48"/>
  <c r="AF24" i="48" s="1"/>
  <c r="K261" i="48"/>
  <c r="S261" i="48" s="1"/>
  <c r="K259" i="48"/>
  <c r="S259" i="48" s="1"/>
  <c r="R259" i="48"/>
  <c r="R253" i="48"/>
  <c r="X253" i="48"/>
  <c r="AA80" i="48"/>
  <c r="U57" i="48"/>
  <c r="X45" i="48"/>
  <c r="K20" i="48"/>
  <c r="S20" i="48" s="1"/>
  <c r="U14" i="48"/>
  <c r="K14" i="48"/>
  <c r="U63" i="48"/>
  <c r="Y63" i="48" s="1"/>
  <c r="X91" i="48"/>
  <c r="K81" i="48"/>
  <c r="S81" i="48" s="1"/>
  <c r="U263" i="48"/>
  <c r="K263" i="48"/>
  <c r="S263" i="48" s="1"/>
  <c r="X168" i="48"/>
  <c r="R168" i="48"/>
  <c r="AF168" i="48" s="1"/>
  <c r="K161" i="48"/>
  <c r="S161" i="48" s="1"/>
  <c r="U157" i="48"/>
  <c r="R271" i="48"/>
  <c r="X271" i="48"/>
  <c r="U258" i="48"/>
  <c r="K258" i="48"/>
  <c r="S258" i="48" s="1"/>
  <c r="K215" i="48"/>
  <c r="S215" i="48" s="1"/>
  <c r="U168" i="48"/>
  <c r="K168" i="48"/>
  <c r="S168" i="48" s="1"/>
  <c r="K272" i="48"/>
  <c r="S272" i="48" s="1"/>
  <c r="K208" i="48"/>
  <c r="S208" i="48" s="1"/>
  <c r="K175" i="48"/>
  <c r="S175" i="48" s="1"/>
  <c r="R173" i="48"/>
  <c r="X171" i="48"/>
  <c r="R122" i="48"/>
  <c r="U109" i="48"/>
  <c r="K109" i="48"/>
  <c r="S109" i="48" s="1"/>
  <c r="U71" i="48"/>
  <c r="K71" i="48"/>
  <c r="S71" i="48" s="1"/>
  <c r="R32" i="48"/>
  <c r="AC29" i="48"/>
  <c r="R258" i="48"/>
  <c r="AA91" i="48"/>
  <c r="R91" i="48"/>
  <c r="AD91" i="48"/>
  <c r="X157" i="48"/>
  <c r="U24" i="48"/>
  <c r="K24" i="48"/>
  <c r="AC184" i="48"/>
  <c r="AB121" i="48"/>
  <c r="Z121" i="48"/>
  <c r="K101" i="48"/>
  <c r="S101" i="48" s="1"/>
  <c r="Y50" i="48"/>
  <c r="S50" i="48"/>
  <c r="AG50" i="48" s="1"/>
  <c r="R261" i="48"/>
  <c r="AA253" i="48"/>
  <c r="Z253" i="48"/>
  <c r="K82" i="48"/>
  <c r="S82" i="48" s="1"/>
  <c r="X85" i="48"/>
  <c r="Z258" i="47"/>
  <c r="X271" i="47"/>
  <c r="R271" i="47"/>
  <c r="AF271" i="47" s="1"/>
  <c r="K274" i="47"/>
  <c r="S274" i="47" s="1"/>
  <c r="U274" i="47"/>
  <c r="K101" i="47"/>
  <c r="S101" i="47" s="1"/>
  <c r="R30" i="47"/>
  <c r="U80" i="47"/>
  <c r="S255" i="47"/>
  <c r="K275" i="47"/>
  <c r="S275" i="47" s="1"/>
  <c r="K260" i="47"/>
  <c r="S260" i="47" s="1"/>
  <c r="K226" i="47"/>
  <c r="S226" i="47" s="1"/>
  <c r="V225" i="47"/>
  <c r="Y225" i="47" s="1"/>
  <c r="AG225" i="47" s="1"/>
  <c r="V184" i="47"/>
  <c r="K184" i="47"/>
  <c r="S184" i="47" s="1"/>
  <c r="U263" i="47"/>
  <c r="K263" i="47"/>
  <c r="S263" i="47" s="1"/>
  <c r="V258" i="47"/>
  <c r="V171" i="47"/>
  <c r="Y171" i="47" s="1"/>
  <c r="AG171" i="47" s="1"/>
  <c r="K171" i="47"/>
  <c r="S171" i="47" s="1"/>
  <c r="K159" i="47"/>
  <c r="S159" i="47" s="1"/>
  <c r="K157" i="47"/>
  <c r="S157" i="47" s="1"/>
  <c r="U157" i="47"/>
  <c r="R223" i="47"/>
  <c r="R221" i="47"/>
  <c r="R219" i="47"/>
  <c r="AC271" i="47"/>
  <c r="AB271" i="47"/>
  <c r="R218" i="47"/>
  <c r="K95" i="47"/>
  <c r="S95" i="47" s="1"/>
  <c r="AD91" i="47"/>
  <c r="V274" i="47"/>
  <c r="S222" i="47"/>
  <c r="K204" i="47"/>
  <c r="S204" i="47" s="1"/>
  <c r="V177" i="47"/>
  <c r="K129" i="47"/>
  <c r="S129" i="47" s="1"/>
  <c r="K122" i="47"/>
  <c r="S122" i="47" s="1"/>
  <c r="S117" i="47"/>
  <c r="AG115" i="47" s="1"/>
  <c r="S73" i="47"/>
  <c r="AD71" i="47"/>
  <c r="R220" i="47"/>
  <c r="K212" i="47"/>
  <c r="S212" i="47" s="1"/>
  <c r="K170" i="47"/>
  <c r="S170" i="47" s="1"/>
  <c r="K145" i="47"/>
  <c r="S145" i="47" s="1"/>
  <c r="U145" i="47"/>
  <c r="Y145" i="47" s="1"/>
  <c r="AG145" i="47" s="1"/>
  <c r="R111" i="47"/>
  <c r="K107" i="47"/>
  <c r="S107" i="47" s="1"/>
  <c r="R75" i="47"/>
  <c r="AF75" i="47" s="1"/>
  <c r="AC29" i="47"/>
  <c r="U24" i="47"/>
  <c r="K24" i="47"/>
  <c r="K88" i="47"/>
  <c r="S88" i="47" s="1"/>
  <c r="K36" i="47"/>
  <c r="S36" i="47" s="1"/>
  <c r="S135" i="47"/>
  <c r="AG135" i="47" s="1"/>
  <c r="Y135" i="47"/>
  <c r="AB71" i="47"/>
  <c r="U51" i="47"/>
  <c r="Y51" i="47" s="1"/>
  <c r="K51" i="47"/>
  <c r="S51" i="47" s="1"/>
  <c r="U29" i="47"/>
  <c r="K30" i="47"/>
  <c r="S30" i="47" s="1"/>
  <c r="K259" i="47"/>
  <c r="S259" i="47" s="1"/>
  <c r="X184" i="47"/>
  <c r="AA109" i="47"/>
  <c r="AD104" i="47"/>
  <c r="R35" i="47"/>
  <c r="V15" i="47"/>
  <c r="Y15" i="47" s="1"/>
  <c r="AG15" i="47" s="1"/>
  <c r="R34" i="47"/>
  <c r="K26" i="47"/>
  <c r="S26" i="47" s="1"/>
  <c r="U14" i="47"/>
  <c r="K14" i="47"/>
  <c r="K93" i="47"/>
  <c r="S93" i="47" s="1"/>
  <c r="K48" i="47"/>
  <c r="S48" i="47" s="1"/>
  <c r="S240" i="47"/>
  <c r="AG240" i="47" s="1"/>
  <c r="Y240" i="47"/>
  <c r="S167" i="47"/>
  <c r="AG167" i="47" s="1"/>
  <c r="Y167" i="47"/>
  <c r="R121" i="47"/>
  <c r="X121" i="47"/>
  <c r="S123" i="47"/>
  <c r="K94" i="47"/>
  <c r="S94" i="47" s="1"/>
  <c r="R94" i="47"/>
  <c r="U91" i="47"/>
  <c r="K91" i="47"/>
  <c r="S91" i="47" s="1"/>
  <c r="Y243" i="47"/>
  <c r="AG243" i="47" s="1"/>
  <c r="S243" i="47"/>
  <c r="Y162" i="47"/>
  <c r="S162" i="47"/>
  <c r="AG162" i="47" s="1"/>
  <c r="R168" i="47"/>
  <c r="X168" i="47"/>
  <c r="V75" i="47"/>
  <c r="Y75" i="47" s="1"/>
  <c r="AG75" i="47" s="1"/>
  <c r="K75" i="47"/>
  <c r="S75" i="47" s="1"/>
  <c r="S50" i="47"/>
  <c r="AG50" i="47" s="1"/>
  <c r="Y50" i="47"/>
  <c r="AB45" i="47"/>
  <c r="X157" i="47"/>
  <c r="K71" i="47"/>
  <c r="S71" i="47" s="1"/>
  <c r="U71" i="47"/>
  <c r="U104" i="47"/>
  <c r="K104" i="47"/>
  <c r="S104" i="47" s="1"/>
  <c r="K124" i="47"/>
  <c r="S124" i="47" s="1"/>
  <c r="K272" i="47"/>
  <c r="S272" i="47" s="1"/>
  <c r="S262" i="47"/>
  <c r="V253" i="47"/>
  <c r="Y253" i="47" s="1"/>
  <c r="R158" i="47"/>
  <c r="AF157" i="47" s="1"/>
  <c r="R177" i="47"/>
  <c r="AF177" i="47" s="1"/>
  <c r="X177" i="47"/>
  <c r="K158" i="47"/>
  <c r="S158" i="47" s="1"/>
  <c r="K267" i="47"/>
  <c r="S267" i="47" s="1"/>
  <c r="S225" i="47"/>
  <c r="K144" i="47"/>
  <c r="U144" i="47"/>
  <c r="R91" i="47"/>
  <c r="X91" i="47"/>
  <c r="S258" i="47"/>
  <c r="K192" i="47"/>
  <c r="S192" i="47" s="1"/>
  <c r="K98" i="47"/>
  <c r="S98" i="47" s="1"/>
  <c r="K181" i="47"/>
  <c r="S181" i="47" s="1"/>
  <c r="S150" i="47"/>
  <c r="S31" i="47"/>
  <c r="K224" i="47"/>
  <c r="S224" i="47" s="1"/>
  <c r="U168" i="47"/>
  <c r="K168" i="47"/>
  <c r="S168" i="47" s="1"/>
  <c r="K99" i="47"/>
  <c r="S99" i="47" s="1"/>
  <c r="Z71" i="47"/>
  <c r="U278" i="47"/>
  <c r="K278" i="47"/>
  <c r="S278" i="47" s="1"/>
  <c r="AA253" i="47"/>
  <c r="R125" i="47"/>
  <c r="Y120" i="47"/>
  <c r="S120" i="47"/>
  <c r="AG120" i="47" s="1"/>
  <c r="S112" i="47"/>
  <c r="Z57" i="47"/>
  <c r="X45" i="47"/>
  <c r="R45" i="47"/>
  <c r="K45" i="47"/>
  <c r="S45" i="47" s="1"/>
  <c r="U45" i="47"/>
  <c r="K266" i="47"/>
  <c r="S266" i="47" s="1"/>
  <c r="Y151" i="47"/>
  <c r="S151" i="47"/>
  <c r="AG151" i="47" s="1"/>
  <c r="K218" i="47"/>
  <c r="S218" i="47" s="1"/>
  <c r="X109" i="47"/>
  <c r="Z104" i="47"/>
  <c r="U63" i="47"/>
  <c r="Y63" i="47" s="1"/>
  <c r="AG63" i="47" s="1"/>
  <c r="X29" i="47"/>
  <c r="AE121" i="47"/>
  <c r="R254" i="47"/>
  <c r="AC253" i="47"/>
  <c r="X258" i="47"/>
  <c r="R258" i="47"/>
  <c r="R217" i="47"/>
  <c r="R213" i="47"/>
  <c r="X263" i="47"/>
  <c r="R263" i="47"/>
  <c r="AA258" i="47"/>
  <c r="Z157" i="47"/>
  <c r="K180" i="47"/>
  <c r="S180" i="47" s="1"/>
  <c r="S131" i="47"/>
  <c r="S127" i="47"/>
  <c r="K271" i="47"/>
  <c r="S271" i="47" s="1"/>
  <c r="U271" i="47"/>
  <c r="U258" i="47"/>
  <c r="K194" i="47"/>
  <c r="S194" i="47" s="1"/>
  <c r="K186" i="47"/>
  <c r="S186" i="47" s="1"/>
  <c r="K121" i="47"/>
  <c r="S121" i="47" s="1"/>
  <c r="U121" i="47"/>
  <c r="AF80" i="47"/>
  <c r="X80" i="47"/>
  <c r="Z274" i="47"/>
  <c r="R274" i="47"/>
  <c r="X274" i="47"/>
  <c r="R222" i="47"/>
  <c r="K214" i="47"/>
  <c r="S214" i="47" s="1"/>
  <c r="K177" i="47"/>
  <c r="S177" i="47" s="1"/>
  <c r="U126" i="47"/>
  <c r="Y102" i="47"/>
  <c r="S102" i="47"/>
  <c r="AG102" i="47" s="1"/>
  <c r="K134" i="47"/>
  <c r="S134" i="47" s="1"/>
  <c r="K110" i="47"/>
  <c r="S110" i="47" s="1"/>
  <c r="W29" i="47"/>
  <c r="AA168" i="47"/>
  <c r="X71" i="47"/>
  <c r="R71" i="47"/>
  <c r="AF71" i="47" s="1"/>
  <c r="V278" i="47"/>
  <c r="R170" i="47"/>
  <c r="R88" i="47"/>
  <c r="X85" i="47"/>
  <c r="Y85" i="47" s="1"/>
  <c r="R46" i="47"/>
  <c r="R31" i="47"/>
  <c r="AF85" i="47"/>
  <c r="R24" i="47"/>
  <c r="AF24" i="47" s="1"/>
  <c r="R129" i="47"/>
  <c r="X126" i="47"/>
  <c r="U57" i="47"/>
  <c r="Y57" i="47" s="1"/>
  <c r="K57" i="47"/>
  <c r="S57" i="47" s="1"/>
  <c r="AA45" i="47"/>
  <c r="R259" i="47"/>
  <c r="S256" i="47"/>
  <c r="R256" i="47"/>
  <c r="AF253" i="47" s="1"/>
  <c r="R184" i="47"/>
  <c r="V109" i="47"/>
  <c r="V104" i="47"/>
  <c r="K74" i="47"/>
  <c r="S74" i="47" s="1"/>
  <c r="K204" i="46"/>
  <c r="S204" i="46" s="1"/>
  <c r="R170" i="46"/>
  <c r="R93" i="46"/>
  <c r="R195" i="46"/>
  <c r="K68" i="46"/>
  <c r="S68" i="46" s="1"/>
  <c r="K103" i="46"/>
  <c r="Y103" i="46" s="1"/>
  <c r="S77" i="46"/>
  <c r="R77" i="46"/>
  <c r="S278" i="46"/>
  <c r="K191" i="46"/>
  <c r="S191" i="46" s="1"/>
  <c r="V168" i="46"/>
  <c r="K17" i="46"/>
  <c r="S17" i="46" s="1"/>
  <c r="R175" i="46"/>
  <c r="K52" i="46"/>
  <c r="S52" i="46" s="1"/>
  <c r="R204" i="46"/>
  <c r="S118" i="46"/>
  <c r="K72" i="46"/>
  <c r="S72" i="46" s="1"/>
  <c r="K187" i="46"/>
  <c r="S187" i="46" s="1"/>
  <c r="AG134" i="46"/>
  <c r="R35" i="46"/>
  <c r="K157" i="46"/>
  <c r="S157" i="46" s="1"/>
  <c r="K128" i="46"/>
  <c r="S128" i="46" s="1"/>
  <c r="K200" i="46"/>
  <c r="S200" i="46" s="1"/>
  <c r="K111" i="46"/>
  <c r="S111" i="46" s="1"/>
  <c r="R263" i="46"/>
  <c r="U103" i="46"/>
  <c r="R90" i="46"/>
  <c r="R48" i="46"/>
  <c r="K109" i="46"/>
  <c r="S109" i="46" s="1"/>
  <c r="K178" i="46"/>
  <c r="S178" i="46" s="1"/>
  <c r="K62" i="46"/>
  <c r="S62" i="46" s="1"/>
  <c r="AD290" i="46"/>
  <c r="R273" i="46"/>
  <c r="S116" i="46"/>
  <c r="K280" i="46"/>
  <c r="S280" i="46" s="1"/>
  <c r="R78" i="46"/>
  <c r="AB290" i="46"/>
  <c r="R202" i="46"/>
  <c r="AE157" i="46"/>
  <c r="W121" i="46"/>
  <c r="K65" i="46"/>
  <c r="S65" i="46" s="1"/>
  <c r="K175" i="46"/>
  <c r="S175" i="46" s="1"/>
  <c r="K60" i="46"/>
  <c r="S60" i="46" s="1"/>
  <c r="R33" i="46"/>
  <c r="K25" i="46"/>
  <c r="S25" i="46" s="1"/>
  <c r="K173" i="46"/>
  <c r="S173" i="46" s="1"/>
  <c r="AG240" i="46"/>
  <c r="R76" i="46"/>
  <c r="S119" i="46"/>
  <c r="R169" i="46"/>
  <c r="R271" i="46"/>
  <c r="R109" i="46"/>
  <c r="R97" i="46"/>
  <c r="K79" i="46"/>
  <c r="S79" i="46" s="1"/>
  <c r="S55" i="46"/>
  <c r="S259" i="46"/>
  <c r="K161" i="46"/>
  <c r="S161" i="46" s="1"/>
  <c r="R30" i="46"/>
  <c r="K169" i="46"/>
  <c r="S169" i="46" s="1"/>
  <c r="R259" i="46"/>
  <c r="R191" i="46"/>
  <c r="K26" i="46"/>
  <c r="S26" i="46" s="1"/>
  <c r="R219" i="46"/>
  <c r="K263" i="46"/>
  <c r="S263" i="46" s="1"/>
  <c r="S253" i="46"/>
  <c r="K272" i="46"/>
  <c r="S272" i="46" s="1"/>
  <c r="K210" i="46"/>
  <c r="S210" i="46" s="1"/>
  <c r="R184" i="46"/>
  <c r="R174" i="46"/>
  <c r="S113" i="46"/>
  <c r="K90" i="46"/>
  <c r="S90" i="46" s="1"/>
  <c r="K130" i="46"/>
  <c r="S130" i="46" s="1"/>
  <c r="R172" i="46"/>
  <c r="R103" i="46"/>
  <c r="AF103" i="46" s="1"/>
  <c r="R159" i="46"/>
  <c r="K76" i="46"/>
  <c r="S76" i="46" s="1"/>
  <c r="R46" i="46"/>
  <c r="S189" i="46"/>
  <c r="AC271" i="46"/>
  <c r="K190" i="46"/>
  <c r="S190" i="46" s="1"/>
  <c r="R101" i="46"/>
  <c r="K46" i="46"/>
  <c r="S46" i="46" s="1"/>
  <c r="R267" i="46"/>
  <c r="K59" i="46"/>
  <c r="S59" i="46" s="1"/>
  <c r="W29" i="46"/>
  <c r="K271" i="46"/>
  <c r="S271" i="46" s="1"/>
  <c r="K266" i="46"/>
  <c r="S266" i="46" s="1"/>
  <c r="U109" i="46"/>
  <c r="K105" i="46"/>
  <c r="S105" i="46" s="1"/>
  <c r="K159" i="46"/>
  <c r="S159" i="46" s="1"/>
  <c r="R260" i="46"/>
  <c r="K195" i="46"/>
  <c r="S195" i="46" s="1"/>
  <c r="AB253" i="46"/>
  <c r="X85" i="46"/>
  <c r="K212" i="46"/>
  <c r="S212" i="46" s="1"/>
  <c r="R85" i="46"/>
  <c r="K255" i="46"/>
  <c r="S255" i="46" s="1"/>
  <c r="S239" i="46"/>
  <c r="AG239" i="46" s="1"/>
  <c r="AC45" i="46"/>
  <c r="R124" i="46"/>
  <c r="K201" i="46"/>
  <c r="S201" i="46" s="1"/>
  <c r="K184" i="46"/>
  <c r="S184" i="46" s="1"/>
  <c r="R113" i="46"/>
  <c r="K18" i="46"/>
  <c r="S18" i="46" s="1"/>
  <c r="R220" i="46"/>
  <c r="W177" i="46"/>
  <c r="R95" i="46"/>
  <c r="R255" i="46"/>
  <c r="K123" i="46"/>
  <c r="S123" i="46" s="1"/>
  <c r="AB278" i="46"/>
  <c r="V71" i="46"/>
  <c r="V157" i="46"/>
  <c r="R158" i="46"/>
  <c r="K78" i="46"/>
  <c r="S78" i="46" s="1"/>
  <c r="K273" i="46"/>
  <c r="S273" i="46" s="1"/>
  <c r="S254" i="46"/>
  <c r="K223" i="46"/>
  <c r="S223" i="46" s="1"/>
  <c r="K215" i="46"/>
  <c r="S215" i="46" s="1"/>
  <c r="R179" i="46"/>
  <c r="K134" i="46"/>
  <c r="S134" i="46" s="1"/>
  <c r="R31" i="46"/>
  <c r="Z168" i="46"/>
  <c r="R131" i="46"/>
  <c r="AA45" i="46"/>
  <c r="K30" i="46"/>
  <c r="S30" i="46" s="1"/>
  <c r="AB171" i="46"/>
  <c r="AD271" i="46"/>
  <c r="R189" i="46"/>
  <c r="K48" i="46"/>
  <c r="S48" i="46" s="1"/>
  <c r="X171" i="46"/>
  <c r="AG68" i="46"/>
  <c r="Z29" i="46"/>
  <c r="S115" i="46"/>
  <c r="K181" i="46"/>
  <c r="S181" i="46" s="1"/>
  <c r="AC109" i="46"/>
  <c r="K33" i="46"/>
  <c r="S33" i="46" s="1"/>
  <c r="Z263" i="46"/>
  <c r="R208" i="46"/>
  <c r="AA109" i="46"/>
  <c r="Z109" i="46"/>
  <c r="AD85" i="46"/>
  <c r="Z253" i="46"/>
  <c r="K131" i="46"/>
  <c r="S131" i="46" s="1"/>
  <c r="AD121" i="46"/>
  <c r="V51" i="46"/>
  <c r="AB121" i="46"/>
  <c r="K86" i="46"/>
  <c r="S86" i="46" s="1"/>
  <c r="R79" i="46"/>
  <c r="R173" i="46"/>
  <c r="K85" i="46"/>
  <c r="S85" i="46" s="1"/>
  <c r="R132" i="46"/>
  <c r="Z115" i="46"/>
  <c r="R253" i="46"/>
  <c r="S186" i="46"/>
  <c r="K106" i="46"/>
  <c r="S106" i="46" s="1"/>
  <c r="K101" i="46"/>
  <c r="S101" i="46" s="1"/>
  <c r="S27" i="46"/>
  <c r="K243" i="46"/>
  <c r="Y243" i="46" s="1"/>
  <c r="AG243" i="46" s="1"/>
  <c r="AG162" i="46"/>
  <c r="AC91" i="46"/>
  <c r="K20" i="46"/>
  <c r="S20" i="46" s="1"/>
  <c r="R125" i="46"/>
  <c r="V278" i="46"/>
  <c r="R214" i="46"/>
  <c r="V121" i="46"/>
  <c r="R213" i="46"/>
  <c r="AA177" i="46"/>
  <c r="Z85" i="46"/>
  <c r="Z15" i="46"/>
  <c r="AB75" i="46"/>
  <c r="AC75" i="46"/>
  <c r="AA29" i="46"/>
  <c r="AC29" i="46"/>
  <c r="K127" i="46"/>
  <c r="S127" i="46" s="1"/>
  <c r="AB45" i="46"/>
  <c r="K172" i="46"/>
  <c r="S172" i="46" s="1"/>
  <c r="R86" i="46"/>
  <c r="AB271" i="46"/>
  <c r="AC171" i="46"/>
  <c r="R123" i="46"/>
  <c r="S194" i="46"/>
  <c r="K132" i="46"/>
  <c r="S132" i="46" s="1"/>
  <c r="K97" i="46"/>
  <c r="S97" i="46" s="1"/>
  <c r="K88" i="46"/>
  <c r="S88" i="46" s="1"/>
  <c r="K31" i="46"/>
  <c r="S31" i="46" s="1"/>
  <c r="R221" i="46"/>
  <c r="V177" i="46"/>
  <c r="AB157" i="46"/>
  <c r="Z57" i="46"/>
  <c r="Z177" i="46"/>
  <c r="R262" i="46"/>
  <c r="R100" i="46"/>
  <c r="AA91" i="46"/>
  <c r="AB145" i="46"/>
  <c r="AA80" i="46"/>
  <c r="K28" i="46"/>
  <c r="S28" i="46" s="1"/>
  <c r="S51" i="46"/>
  <c r="V115" i="46"/>
  <c r="K89" i="46"/>
  <c r="S89" i="46" s="1"/>
  <c r="AC80" i="46"/>
  <c r="S35" i="46"/>
  <c r="Y162" i="46"/>
  <c r="K279" i="46"/>
  <c r="S279" i="46" s="1"/>
  <c r="K176" i="46"/>
  <c r="S176" i="46" s="1"/>
  <c r="K19" i="46"/>
  <c r="S19" i="46" s="1"/>
  <c r="K174" i="46"/>
  <c r="S174" i="46" s="1"/>
  <c r="AE85" i="46"/>
  <c r="K56" i="46"/>
  <c r="S56" i="46" s="1"/>
  <c r="AD71" i="46"/>
  <c r="AB80" i="46"/>
  <c r="AC184" i="46"/>
  <c r="R257" i="46"/>
  <c r="K196" i="46"/>
  <c r="S196" i="46" s="1"/>
  <c r="K93" i="46"/>
  <c r="S93" i="46" s="1"/>
  <c r="S261" i="46"/>
  <c r="K158" i="46"/>
  <c r="S158" i="46" s="1"/>
  <c r="V85" i="46"/>
  <c r="AB71" i="46"/>
  <c r="R122" i="46"/>
  <c r="Z104" i="46"/>
  <c r="AA85" i="46"/>
  <c r="Z71" i="46"/>
  <c r="Z45" i="46"/>
  <c r="R36" i="46"/>
  <c r="AA274" i="46"/>
  <c r="Z258" i="46"/>
  <c r="S225" i="46"/>
  <c r="R192" i="46"/>
  <c r="Z91" i="46"/>
  <c r="R45" i="46"/>
  <c r="R218" i="46"/>
  <c r="R188" i="46"/>
  <c r="AB184" i="46"/>
  <c r="R193" i="46"/>
  <c r="S260" i="46"/>
  <c r="R256" i="46"/>
  <c r="AA168" i="46"/>
  <c r="W104" i="46"/>
  <c r="S47" i="46"/>
  <c r="R34" i="46"/>
  <c r="K276" i="46"/>
  <c r="S276" i="46" s="1"/>
  <c r="K170" i="46"/>
  <c r="S170" i="46" s="1"/>
  <c r="AA121" i="46"/>
  <c r="Z157" i="46"/>
  <c r="AB109" i="46"/>
  <c r="Z121" i="46"/>
  <c r="AA263" i="46"/>
  <c r="K179" i="46"/>
  <c r="S179" i="46" s="1"/>
  <c r="K262" i="46"/>
  <c r="S262" i="46" s="1"/>
  <c r="R200" i="46"/>
  <c r="S54" i="46"/>
  <c r="R201" i="46"/>
  <c r="V80" i="46"/>
  <c r="V171" i="46"/>
  <c r="K171" i="46"/>
  <c r="S171" i="46" s="1"/>
  <c r="R92" i="46"/>
  <c r="K92" i="46"/>
  <c r="S92" i="46" s="1"/>
  <c r="V290" i="46"/>
  <c r="S151" i="46"/>
  <c r="AG151" i="46" s="1"/>
  <c r="Y151" i="46"/>
  <c r="AA126" i="46"/>
  <c r="R126" i="46"/>
  <c r="R112" i="46"/>
  <c r="K112" i="46"/>
  <c r="S112" i="46" s="1"/>
  <c r="R110" i="46"/>
  <c r="X109" i="46"/>
  <c r="K208" i="46"/>
  <c r="S208" i="46" s="1"/>
  <c r="Y141" i="46"/>
  <c r="S141" i="46"/>
  <c r="AG141" i="46" s="1"/>
  <c r="K133" i="46"/>
  <c r="S133" i="46" s="1"/>
  <c r="K129" i="46"/>
  <c r="S129" i="46" s="1"/>
  <c r="AE121" i="46"/>
  <c r="X14" i="46"/>
  <c r="R14" i="46"/>
  <c r="AF14" i="46" s="1"/>
  <c r="V258" i="46"/>
  <c r="AD91" i="46"/>
  <c r="Y40" i="46"/>
  <c r="S40" i="46"/>
  <c r="AG40" i="46" s="1"/>
  <c r="Y120" i="46"/>
  <c r="S120" i="46"/>
  <c r="AG120" i="46" s="1"/>
  <c r="K100" i="46"/>
  <c r="S100" i="46" s="1"/>
  <c r="V75" i="46"/>
  <c r="K75" i="46"/>
  <c r="S75" i="46" s="1"/>
  <c r="K95" i="46"/>
  <c r="S95" i="46" s="1"/>
  <c r="K53" i="46"/>
  <c r="S53" i="46" s="1"/>
  <c r="U51" i="46"/>
  <c r="R47" i="46"/>
  <c r="X45" i="46"/>
  <c r="U24" i="46"/>
  <c r="K24" i="46"/>
  <c r="K14" i="46"/>
  <c r="K183" i="46"/>
  <c r="S183" i="46" s="1"/>
  <c r="K125" i="46"/>
  <c r="S125" i="46" s="1"/>
  <c r="S84" i="46"/>
  <c r="S82" i="46"/>
  <c r="V263" i="46"/>
  <c r="K264" i="46"/>
  <c r="S264" i="46" s="1"/>
  <c r="S81" i="46"/>
  <c r="S224" i="46"/>
  <c r="S216" i="46"/>
  <c r="K180" i="46"/>
  <c r="S180" i="46" s="1"/>
  <c r="U126" i="46"/>
  <c r="K126" i="46"/>
  <c r="S126" i="46" s="1"/>
  <c r="U85" i="46"/>
  <c r="K267" i="46"/>
  <c r="S267" i="46" s="1"/>
  <c r="U258" i="46"/>
  <c r="K258" i="46"/>
  <c r="S258" i="46" s="1"/>
  <c r="K213" i="46"/>
  <c r="S213" i="46" s="1"/>
  <c r="K87" i="46"/>
  <c r="S87" i="46" s="1"/>
  <c r="X71" i="46"/>
  <c r="R71" i="46"/>
  <c r="AF71" i="46" s="1"/>
  <c r="K275" i="46"/>
  <c r="S275" i="46" s="1"/>
  <c r="X274" i="46"/>
  <c r="R274" i="46"/>
  <c r="K256" i="46"/>
  <c r="S256" i="46" s="1"/>
  <c r="K219" i="46"/>
  <c r="S219" i="46" s="1"/>
  <c r="K192" i="46"/>
  <c r="S192" i="46" s="1"/>
  <c r="W91" i="46"/>
  <c r="U57" i="46"/>
  <c r="K57" i="46"/>
  <c r="S57" i="46" s="1"/>
  <c r="K145" i="46"/>
  <c r="S145" i="46" s="1"/>
  <c r="U145" i="46"/>
  <c r="Y145" i="46" s="1"/>
  <c r="K124" i="46"/>
  <c r="S124" i="46" s="1"/>
  <c r="U80" i="46"/>
  <c r="X258" i="46"/>
  <c r="U177" i="46"/>
  <c r="Y135" i="46"/>
  <c r="S135" i="46"/>
  <c r="AG135" i="46" s="1"/>
  <c r="K110" i="46"/>
  <c r="S110" i="46" s="1"/>
  <c r="K188" i="46"/>
  <c r="S188" i="46" s="1"/>
  <c r="R121" i="46"/>
  <c r="X91" i="46"/>
  <c r="R49" i="46"/>
  <c r="K36" i="46"/>
  <c r="S36" i="46" s="1"/>
  <c r="R91" i="46"/>
  <c r="S61" i="46"/>
  <c r="X177" i="46"/>
  <c r="R177" i="46"/>
  <c r="R187" i="46"/>
  <c r="R94" i="46"/>
  <c r="K94" i="46"/>
  <c r="S94" i="46" s="1"/>
  <c r="X80" i="46"/>
  <c r="R277" i="46"/>
  <c r="R222" i="46"/>
  <c r="V184" i="46"/>
  <c r="X157" i="46"/>
  <c r="R157" i="46"/>
  <c r="K107" i="46"/>
  <c r="S107" i="46" s="1"/>
  <c r="S102" i="46"/>
  <c r="AG102" i="46" s="1"/>
  <c r="Y102" i="46"/>
  <c r="U71" i="46"/>
  <c r="K71" i="46"/>
  <c r="S71" i="46" s="1"/>
  <c r="K45" i="46"/>
  <c r="S45" i="46" s="1"/>
  <c r="U45" i="46"/>
  <c r="K282" i="46"/>
  <c r="S282" i="46" s="1"/>
  <c r="V274" i="46"/>
  <c r="K221" i="46"/>
  <c r="S221" i="46" s="1"/>
  <c r="K214" i="46"/>
  <c r="S214" i="46" s="1"/>
  <c r="W157" i="46"/>
  <c r="V126" i="46"/>
  <c r="K121" i="46"/>
  <c r="S121" i="46" s="1"/>
  <c r="U121" i="46"/>
  <c r="K73" i="46"/>
  <c r="S73" i="46" s="1"/>
  <c r="K277" i="46"/>
  <c r="S277" i="46" s="1"/>
  <c r="U274" i="46"/>
  <c r="K274" i="46"/>
  <c r="S274" i="46" s="1"/>
  <c r="U263" i="46"/>
  <c r="AA258" i="46"/>
  <c r="K257" i="46"/>
  <c r="S257" i="46" s="1"/>
  <c r="K220" i="46"/>
  <c r="S220" i="46" s="1"/>
  <c r="K202" i="46"/>
  <c r="S202" i="46" s="1"/>
  <c r="R217" i="46"/>
  <c r="X168" i="46"/>
  <c r="R168" i="46"/>
  <c r="V104" i="46"/>
  <c r="AB91" i="46"/>
  <c r="V57" i="46"/>
  <c r="V29" i="46"/>
  <c r="K29" i="46"/>
  <c r="S29" i="46" s="1"/>
  <c r="K15" i="46"/>
  <c r="S15" i="46" s="1"/>
  <c r="K99" i="46"/>
  <c r="S99" i="46" s="1"/>
  <c r="K74" i="46"/>
  <c r="S74" i="46" s="1"/>
  <c r="K34" i="46"/>
  <c r="S34" i="46" s="1"/>
  <c r="K32" i="46"/>
  <c r="S32" i="46" s="1"/>
  <c r="R29" i="46"/>
  <c r="X29" i="46"/>
  <c r="R258" i="46"/>
  <c r="U157" i="46"/>
  <c r="K108" i="46"/>
  <c r="S108" i="46" s="1"/>
  <c r="X253" i="46"/>
  <c r="K218" i="46"/>
  <c r="S218" i="46" s="1"/>
  <c r="K177" i="46"/>
  <c r="S177" i="46" s="1"/>
  <c r="K144" i="46"/>
  <c r="U144" i="46"/>
  <c r="X121" i="46"/>
  <c r="K104" i="46"/>
  <c r="S104" i="46" s="1"/>
  <c r="R87" i="46"/>
  <c r="S83" i="46"/>
  <c r="W80" i="46"/>
  <c r="U29" i="46"/>
  <c r="R276" i="46"/>
  <c r="K265" i="46"/>
  <c r="S265" i="46" s="1"/>
  <c r="AC253" i="46"/>
  <c r="U290" i="46"/>
  <c r="K281" i="46"/>
  <c r="S281" i="46" s="1"/>
  <c r="U278" i="46"/>
  <c r="X263" i="46"/>
  <c r="R223" i="46"/>
  <c r="R215" i="46"/>
  <c r="K182" i="46"/>
  <c r="S182" i="46" s="1"/>
  <c r="AD157" i="46"/>
  <c r="U143" i="46"/>
  <c r="K143" i="46"/>
  <c r="K122" i="46"/>
  <c r="S122" i="46" s="1"/>
  <c r="AA253" i="46"/>
  <c r="K222" i="46"/>
  <c r="S222" i="46" s="1"/>
  <c r="R212" i="46"/>
  <c r="R182" i="46"/>
  <c r="R171" i="46"/>
  <c r="Z126" i="46"/>
  <c r="AC121" i="46"/>
  <c r="K96" i="46"/>
  <c r="S96" i="46" s="1"/>
  <c r="AB51" i="46"/>
  <c r="R275" i="46"/>
  <c r="Z274" i="46"/>
  <c r="K217" i="46"/>
  <c r="S217" i="46" s="1"/>
  <c r="K168" i="46"/>
  <c r="S168" i="46" s="1"/>
  <c r="U168" i="46"/>
  <c r="V109" i="46"/>
  <c r="AD104" i="46"/>
  <c r="V91" i="46"/>
  <c r="K91" i="46"/>
  <c r="S91" i="46" s="1"/>
  <c r="U91" i="46"/>
  <c r="V15" i="46"/>
  <c r="X271" i="46"/>
  <c r="R196" i="46"/>
  <c r="Y167" i="46"/>
  <c r="S167" i="46"/>
  <c r="AG167" i="46" s="1"/>
  <c r="X75" i="46"/>
  <c r="R75" i="46"/>
  <c r="K58" i="46"/>
  <c r="S58" i="46" s="1"/>
  <c r="AB29" i="46"/>
  <c r="X24" i="46"/>
  <c r="R24" i="46"/>
  <c r="AF24" i="46" s="1"/>
  <c r="U271" i="46"/>
  <c r="V253" i="46"/>
  <c r="K160" i="46"/>
  <c r="S160" i="46" s="1"/>
  <c r="R160" i="46"/>
  <c r="S117" i="46"/>
  <c r="K98" i="46"/>
  <c r="S98" i="46" s="1"/>
  <c r="U63" i="46"/>
  <c r="Y63" i="46" s="1"/>
  <c r="K63" i="46"/>
  <c r="S63" i="46" s="1"/>
  <c r="K49" i="46"/>
  <c r="S49" i="46" s="1"/>
  <c r="R254" i="46"/>
  <c r="V225" i="46"/>
  <c r="Y225" i="46" s="1"/>
  <c r="AG225" i="46" s="1"/>
  <c r="K226" i="46"/>
  <c r="S226" i="46" s="1"/>
  <c r="X184" i="46"/>
  <c r="R127" i="46"/>
  <c r="X126" i="46"/>
  <c r="U104" i="46"/>
  <c r="R89" i="46"/>
  <c r="AB63" i="46"/>
  <c r="Y115" i="46"/>
  <c r="AF91" i="47" l="1"/>
  <c r="AG85" i="47"/>
  <c r="Y168" i="47"/>
  <c r="AG51" i="47"/>
  <c r="Y109" i="47"/>
  <c r="AG109" i="47" s="1"/>
  <c r="AF126" i="47"/>
  <c r="AF274" i="47"/>
  <c r="AF263" i="47"/>
  <c r="Y126" i="47"/>
  <c r="AG126" i="47" s="1"/>
  <c r="AF168" i="47"/>
  <c r="AG57" i="47"/>
  <c r="AF29" i="47"/>
  <c r="AF109" i="47"/>
  <c r="AF184" i="47"/>
  <c r="Y121" i="47"/>
  <c r="AG121" i="47" s="1"/>
  <c r="Y177" i="47"/>
  <c r="AG177" i="47" s="1"/>
  <c r="Y184" i="47"/>
  <c r="AG184" i="47" s="1"/>
  <c r="AG290" i="48"/>
  <c r="S144" i="48"/>
  <c r="AG144" i="48" s="1"/>
  <c r="AF274" i="48"/>
  <c r="AG63" i="48"/>
  <c r="Y258" i="48"/>
  <c r="AG258" i="48" s="1"/>
  <c r="Y103" i="48"/>
  <c r="Y243" i="48"/>
  <c r="AG243" i="48" s="1"/>
  <c r="Y15" i="48"/>
  <c r="AG15" i="48" s="1"/>
  <c r="Y109" i="48"/>
  <c r="AG109" i="48" s="1"/>
  <c r="AF85" i="48"/>
  <c r="Y278" i="48"/>
  <c r="AG278" i="48" s="1"/>
  <c r="Y104" i="48"/>
  <c r="AG104" i="48" s="1"/>
  <c r="Y126" i="48"/>
  <c r="AG126" i="48" s="1"/>
  <c r="Y171" i="48"/>
  <c r="AG171" i="48" s="1"/>
  <c r="AF263" i="48"/>
  <c r="AF177" i="48"/>
  <c r="AF171" i="48"/>
  <c r="AF75" i="48"/>
  <c r="Y80" i="48"/>
  <c r="AG80" i="48" s="1"/>
  <c r="Y121" i="48"/>
  <c r="AG121" i="48" s="1"/>
  <c r="Y263" i="48"/>
  <c r="AG263" i="48" s="1"/>
  <c r="Y57" i="48"/>
  <c r="AG57" i="48" s="1"/>
  <c r="AG115" i="48"/>
  <c r="Y177" i="48"/>
  <c r="AG177" i="48" s="1"/>
  <c r="Y157" i="48"/>
  <c r="AG157" i="48" s="1"/>
  <c r="AF253" i="48"/>
  <c r="AG145" i="48"/>
  <c r="AF91" i="48"/>
  <c r="AF258" i="48"/>
  <c r="AF271" i="48"/>
  <c r="AF80" i="48"/>
  <c r="Y45" i="48"/>
  <c r="AG45" i="48" s="1"/>
  <c r="AF126" i="48"/>
  <c r="AF157" i="48"/>
  <c r="Y91" i="48"/>
  <c r="AG91" i="48" s="1"/>
  <c r="Y274" i="48"/>
  <c r="AG274" i="48" s="1"/>
  <c r="AF45" i="48"/>
  <c r="Y51" i="48"/>
  <c r="AG51" i="48" s="1"/>
  <c r="AF184" i="48"/>
  <c r="AF121" i="48"/>
  <c r="Y24" i="48"/>
  <c r="AG24" i="48" s="1"/>
  <c r="S24" i="48"/>
  <c r="Y71" i="48"/>
  <c r="AG71" i="48" s="1"/>
  <c r="Y168" i="48"/>
  <c r="AG168" i="48" s="1"/>
  <c r="Y14" i="48"/>
  <c r="S14" i="48"/>
  <c r="AG14" i="48" s="1"/>
  <c r="AF29" i="48"/>
  <c r="AF109" i="48"/>
  <c r="Y184" i="48"/>
  <c r="AG184" i="48" s="1"/>
  <c r="S143" i="48"/>
  <c r="AG143" i="48" s="1"/>
  <c r="Y143" i="48"/>
  <c r="Y29" i="48"/>
  <c r="AG29" i="48" s="1"/>
  <c r="Y85" i="48"/>
  <c r="AG85" i="48" s="1"/>
  <c r="Y271" i="48"/>
  <c r="AG271" i="48" s="1"/>
  <c r="Y75" i="48"/>
  <c r="AG75" i="48" s="1"/>
  <c r="Y253" i="48"/>
  <c r="AG253" i="48" s="1"/>
  <c r="S144" i="47"/>
  <c r="AG144" i="47" s="1"/>
  <c r="Y144" i="47"/>
  <c r="Y271" i="47"/>
  <c r="AG271" i="47" s="1"/>
  <c r="AF258" i="47"/>
  <c r="Y45" i="47"/>
  <c r="AG45" i="47" s="1"/>
  <c r="Y71" i="47"/>
  <c r="AG71" i="47" s="1"/>
  <c r="AF121" i="47"/>
  <c r="Y24" i="47"/>
  <c r="AG24" i="47" s="1"/>
  <c r="S24" i="47"/>
  <c r="Y157" i="47"/>
  <c r="AG157" i="47" s="1"/>
  <c r="Y80" i="47"/>
  <c r="AG80" i="47" s="1"/>
  <c r="Y274" i="47"/>
  <c r="AG274" i="47" s="1"/>
  <c r="AG253" i="47"/>
  <c r="AF45" i="47"/>
  <c r="Y258" i="47"/>
  <c r="AG258" i="47" s="1"/>
  <c r="Y278" i="47"/>
  <c r="AG278" i="47" s="1"/>
  <c r="AG168" i="47"/>
  <c r="Y104" i="47"/>
  <c r="AG104" i="47" s="1"/>
  <c r="Y91" i="47"/>
  <c r="AG91" i="47" s="1"/>
  <c r="Y14" i="47"/>
  <c r="S14" i="47"/>
  <c r="AG14" i="47" s="1"/>
  <c r="Y29" i="47"/>
  <c r="AG29" i="47" s="1"/>
  <c r="Y263" i="47"/>
  <c r="AG263" i="47" s="1"/>
  <c r="AF263" i="46"/>
  <c r="S103" i="46"/>
  <c r="AG103" i="46" s="1"/>
  <c r="AF271" i="46"/>
  <c r="Y271" i="46"/>
  <c r="AG271" i="46" s="1"/>
  <c r="Y253" i="46"/>
  <c r="AG253" i="46" s="1"/>
  <c r="AF168" i="46"/>
  <c r="AG115" i="46"/>
  <c r="Y51" i="46"/>
  <c r="AG51" i="46" s="1"/>
  <c r="AG145" i="46"/>
  <c r="S243" i="46"/>
  <c r="Y278" i="46"/>
  <c r="AG278" i="46" s="1"/>
  <c r="AF258" i="46"/>
  <c r="AF85" i="46"/>
  <c r="AF109" i="46"/>
  <c r="AF45" i="46"/>
  <c r="AF171" i="46"/>
  <c r="AF75" i="46"/>
  <c r="AF29" i="46"/>
  <c r="AF91" i="46"/>
  <c r="AF121" i="46"/>
  <c r="Y85" i="46"/>
  <c r="AG85" i="46" s="1"/>
  <c r="Y171" i="46"/>
  <c r="AG171" i="46" s="1"/>
  <c r="Y109" i="46"/>
  <c r="AG109" i="46" s="1"/>
  <c r="AF253" i="46"/>
  <c r="AF184" i="46"/>
  <c r="Y168" i="46"/>
  <c r="AG168" i="46" s="1"/>
  <c r="Y126" i="46"/>
  <c r="Y290" i="46"/>
  <c r="AG290" i="46" s="1"/>
  <c r="Y263" i="46"/>
  <c r="AG263" i="46" s="1"/>
  <c r="Y71" i="46"/>
  <c r="AG71" i="46" s="1"/>
  <c r="Y184" i="46"/>
  <c r="AG184" i="46" s="1"/>
  <c r="AF80" i="46"/>
  <c r="Y57" i="46"/>
  <c r="AG57" i="46" s="1"/>
  <c r="AF274" i="46"/>
  <c r="AG126" i="46"/>
  <c r="Y121" i="46"/>
  <c r="AG121" i="46" s="1"/>
  <c r="Y143" i="46"/>
  <c r="S143" i="46"/>
  <c r="AG143" i="46" s="1"/>
  <c r="Y258" i="46"/>
  <c r="AG258" i="46" s="1"/>
  <c r="Y45" i="46"/>
  <c r="AG45" i="46" s="1"/>
  <c r="S14" i="46"/>
  <c r="AG14" i="46" s="1"/>
  <c r="Y14" i="46"/>
  <c r="Y104" i="46"/>
  <c r="AG104" i="46" s="1"/>
  <c r="S144" i="46"/>
  <c r="AG144" i="46" s="1"/>
  <c r="Y144" i="46"/>
  <c r="Y157" i="46"/>
  <c r="AG157" i="46" s="1"/>
  <c r="Y274" i="46"/>
  <c r="AG274" i="46" s="1"/>
  <c r="AF157" i="46"/>
  <c r="AF177" i="46"/>
  <c r="Y80" i="46"/>
  <c r="AG80" i="46" s="1"/>
  <c r="Y24" i="46"/>
  <c r="AG24" i="46" s="1"/>
  <c r="S24" i="46"/>
  <c r="AG63" i="46"/>
  <c r="Y91" i="46"/>
  <c r="AG91" i="46" s="1"/>
  <c r="Y29" i="46"/>
  <c r="AG29" i="46" s="1"/>
  <c r="Y15" i="46"/>
  <c r="AG15" i="46" s="1"/>
  <c r="Y177" i="46"/>
  <c r="AG177" i="46" s="1"/>
  <c r="Y75" i="46"/>
  <c r="AG75" i="46" s="1"/>
  <c r="AF126" i="46"/>
  <c r="Q69" i="45" l="1"/>
  <c r="L69" i="45"/>
  <c r="P69" i="45" s="1"/>
  <c r="Q67" i="45"/>
  <c r="M66" i="45"/>
  <c r="Q66" i="45" s="1"/>
  <c r="L66" i="45"/>
  <c r="P66" i="45" s="1"/>
  <c r="J66" i="45"/>
  <c r="M65" i="45"/>
  <c r="Q64" i="45"/>
  <c r="Q63" i="45"/>
  <c r="L63" i="45"/>
  <c r="P63" i="45" s="1"/>
  <c r="Q62" i="45"/>
  <c r="L62" i="45"/>
  <c r="M61" i="45"/>
  <c r="Q61" i="45" s="1"/>
  <c r="L61" i="45"/>
  <c r="P61" i="45" s="1"/>
  <c r="K61" i="45"/>
  <c r="J61" i="45"/>
  <c r="M60" i="45"/>
  <c r="Q60" i="45" s="1"/>
  <c r="K60" i="45"/>
  <c r="J60" i="45"/>
  <c r="M59" i="45"/>
  <c r="Q59" i="45" s="1"/>
  <c r="L59" i="45"/>
  <c r="P59" i="45" s="1"/>
  <c r="K59" i="45"/>
  <c r="J59" i="45"/>
  <c r="M58" i="45"/>
  <c r="Q58" i="45" s="1"/>
  <c r="L58" i="45"/>
  <c r="P58" i="45" s="1"/>
  <c r="K58" i="45"/>
  <c r="J58" i="45"/>
  <c r="Q57" i="45"/>
  <c r="J57" i="45"/>
  <c r="Q56" i="45"/>
  <c r="K56" i="45"/>
  <c r="Q55" i="45"/>
  <c r="J55" i="45"/>
  <c r="Q54" i="45"/>
  <c r="J54" i="45"/>
  <c r="Q53" i="45"/>
  <c r="M52" i="45"/>
  <c r="Q52" i="45" s="1"/>
  <c r="L52" i="45"/>
  <c r="P52" i="45" s="1"/>
  <c r="K52" i="45"/>
  <c r="J52" i="45"/>
  <c r="M51" i="45"/>
  <c r="Q51" i="45" s="1"/>
  <c r="L51" i="45"/>
  <c r="P51" i="45" s="1"/>
  <c r="M50" i="45"/>
  <c r="Q50" i="45" s="1"/>
  <c r="L50" i="45"/>
  <c r="P50" i="45" s="1"/>
  <c r="K50" i="45"/>
  <c r="J50" i="45"/>
  <c r="Q49" i="45"/>
  <c r="L49" i="45"/>
  <c r="K49" i="45"/>
  <c r="J49" i="45"/>
  <c r="P48" i="45"/>
  <c r="K48" i="45"/>
  <c r="J48" i="45"/>
  <c r="M47" i="45"/>
  <c r="Q47" i="45" s="1"/>
  <c r="L47" i="45"/>
  <c r="P47" i="45" s="1"/>
  <c r="K47" i="45"/>
  <c r="J47" i="45"/>
  <c r="Q46" i="45"/>
  <c r="M45" i="45"/>
  <c r="Q45" i="45" s="1"/>
  <c r="L45" i="45"/>
  <c r="P45" i="45" s="1"/>
  <c r="K45" i="45"/>
  <c r="J45" i="45"/>
  <c r="Q44" i="45"/>
  <c r="Q43" i="45"/>
  <c r="J43" i="45"/>
  <c r="M42" i="45"/>
  <c r="Q42" i="45" s="1"/>
  <c r="L42" i="45"/>
  <c r="P42" i="45" s="1"/>
  <c r="K42" i="45"/>
  <c r="Q41" i="45"/>
  <c r="L41" i="45"/>
  <c r="P41" i="45" s="1"/>
  <c r="K41" i="45"/>
  <c r="M40" i="45"/>
  <c r="L40" i="45"/>
  <c r="Q39" i="45"/>
  <c r="J39" i="45"/>
  <c r="M38" i="45"/>
  <c r="Q38" i="45" s="1"/>
  <c r="L38" i="45"/>
  <c r="P38" i="45" s="1"/>
  <c r="K38" i="45"/>
  <c r="J38" i="45"/>
  <c r="Q37" i="45"/>
  <c r="Q36" i="45"/>
  <c r="J36" i="45"/>
  <c r="Q35" i="45"/>
  <c r="L35" i="45"/>
  <c r="P35" i="45" s="1"/>
  <c r="M34" i="45"/>
  <c r="Q34" i="45" s="1"/>
  <c r="L34" i="45"/>
  <c r="P34" i="45" s="1"/>
  <c r="K34" i="45"/>
  <c r="J34" i="45"/>
  <c r="M33" i="45"/>
  <c r="K33" i="45"/>
  <c r="J33" i="45"/>
  <c r="Q32" i="45"/>
  <c r="K32" i="45"/>
  <c r="J32" i="45"/>
  <c r="Q31" i="45"/>
  <c r="K31" i="45"/>
  <c r="J31" i="45"/>
  <c r="M30" i="45"/>
  <c r="L30" i="45"/>
  <c r="K30" i="45"/>
  <c r="Q29" i="45"/>
  <c r="M28" i="45"/>
  <c r="Q28" i="45" s="1"/>
  <c r="L28" i="45"/>
  <c r="P28" i="45" s="1"/>
  <c r="K28" i="45"/>
  <c r="J28" i="45"/>
  <c r="Q27" i="45"/>
  <c r="L27" i="45"/>
  <c r="M26" i="45"/>
  <c r="Q26" i="45" s="1"/>
  <c r="L26" i="45"/>
  <c r="P26" i="45" s="1"/>
  <c r="K26" i="45"/>
  <c r="J26" i="45"/>
  <c r="Q25" i="45"/>
  <c r="J25" i="45"/>
  <c r="M24" i="45"/>
  <c r="Q24" i="45" s="1"/>
  <c r="L24" i="45"/>
  <c r="P24" i="45" s="1"/>
  <c r="K24" i="45"/>
  <c r="J24" i="45"/>
  <c r="M23" i="45"/>
  <c r="L23" i="45"/>
  <c r="K23" i="45"/>
  <c r="J23" i="45"/>
  <c r="M22" i="45"/>
  <c r="Q22" i="45" s="1"/>
  <c r="L22" i="45"/>
  <c r="P22" i="45" s="1"/>
  <c r="K22" i="45"/>
  <c r="J22" i="45"/>
  <c r="M21" i="45"/>
  <c r="Q21" i="45" s="1"/>
  <c r="L21" i="45"/>
  <c r="P21" i="45" s="1"/>
  <c r="K21" i="45"/>
  <c r="J21" i="45"/>
  <c r="M20" i="45"/>
  <c r="Q20" i="45" s="1"/>
  <c r="M19" i="45"/>
  <c r="Q19" i="45" s="1"/>
  <c r="L19" i="45"/>
  <c r="P19" i="45" s="1"/>
  <c r="K19" i="45"/>
  <c r="J19" i="45"/>
  <c r="M18" i="45"/>
  <c r="Q18" i="45" s="1"/>
  <c r="L18" i="45"/>
  <c r="P18" i="45" s="1"/>
  <c r="K18" i="45"/>
  <c r="J18" i="45"/>
  <c r="M17" i="45"/>
  <c r="L17" i="45"/>
  <c r="K17" i="45"/>
  <c r="J17" i="45"/>
  <c r="L16" i="45"/>
  <c r="P16" i="45" s="1"/>
  <c r="K16" i="45"/>
  <c r="J16" i="45"/>
  <c r="Q15" i="45"/>
  <c r="L15" i="45"/>
  <c r="P15" i="45" s="1"/>
  <c r="J15" i="45"/>
  <c r="M14" i="45"/>
  <c r="L14" i="45"/>
  <c r="K14" i="45"/>
  <c r="J14" i="45"/>
  <c r="Q13" i="45"/>
  <c r="J13" i="45"/>
  <c r="M12" i="45"/>
  <c r="K12" i="45"/>
  <c r="J12" i="45"/>
  <c r="M11" i="45"/>
  <c r="L11" i="45"/>
  <c r="K11" i="45"/>
  <c r="J11" i="45"/>
  <c r="M10" i="45"/>
  <c r="Q10" i="45" s="1"/>
  <c r="L10" i="45"/>
  <c r="P10" i="45" s="1"/>
  <c r="K10" i="45"/>
  <c r="J10" i="45"/>
  <c r="M9" i="45"/>
  <c r="Q9" i="45" s="1"/>
  <c r="K9" i="45"/>
  <c r="J9" i="45"/>
  <c r="M8" i="45"/>
  <c r="Q8" i="45" s="1"/>
  <c r="L8" i="45"/>
  <c r="P8" i="45" s="1"/>
  <c r="J8" i="45"/>
  <c r="M7" i="45"/>
  <c r="Q7" i="45" s="1"/>
  <c r="J7" i="45"/>
  <c r="M6" i="45"/>
  <c r="Q6" i="45" s="1"/>
  <c r="J6" i="45"/>
  <c r="D155" i="44"/>
  <c r="D145" i="44"/>
  <c r="D125" i="44"/>
  <c r="D141" i="44"/>
  <c r="D133" i="44"/>
  <c r="D134" i="44"/>
  <c r="D140" i="44"/>
  <c r="D154" i="44"/>
  <c r="D138" i="44"/>
  <c r="D142" i="44"/>
  <c r="D122" i="44"/>
  <c r="D130" i="44"/>
  <c r="D126" i="44"/>
  <c r="D146" i="44"/>
  <c r="D127" i="44"/>
  <c r="D147" i="44"/>
  <c r="D148" i="44"/>
  <c r="D129" i="44"/>
  <c r="D150" i="44"/>
  <c r="D153" i="44"/>
  <c r="D123" i="44"/>
  <c r="D121" i="44"/>
  <c r="D139" i="44"/>
  <c r="D131" i="44"/>
  <c r="D151" i="44"/>
  <c r="D132" i="44"/>
  <c r="D152" i="44"/>
  <c r="D128" i="44"/>
  <c r="D149" i="44"/>
  <c r="D143" i="44"/>
  <c r="D136" i="44"/>
  <c r="D137" i="44"/>
  <c r="D144" i="44"/>
  <c r="D124" i="44"/>
  <c r="G114" i="44"/>
  <c r="F114" i="44"/>
  <c r="F103" i="44"/>
  <c r="G74" i="44"/>
  <c r="G75" i="44"/>
  <c r="F76" i="44"/>
  <c r="G76" i="44"/>
  <c r="G77" i="44"/>
  <c r="F78" i="44"/>
  <c r="G78" i="44"/>
  <c r="F79" i="44"/>
  <c r="G79" i="44"/>
  <c r="F80" i="44"/>
  <c r="F81" i="44"/>
  <c r="G81" i="44"/>
  <c r="F82" i="44"/>
  <c r="G82" i="44"/>
  <c r="F83" i="44"/>
  <c r="G83" i="44"/>
  <c r="F84" i="44"/>
  <c r="G84" i="44"/>
  <c r="G85" i="44"/>
  <c r="F86" i="44"/>
  <c r="G86" i="44"/>
  <c r="F87" i="44"/>
  <c r="G87" i="44"/>
  <c r="F88" i="44"/>
  <c r="G88" i="44"/>
  <c r="F89" i="44"/>
  <c r="G89" i="44"/>
  <c r="F90" i="44"/>
  <c r="G90" i="44"/>
  <c r="F91" i="44"/>
  <c r="G91" i="44"/>
  <c r="G92" i="44"/>
  <c r="F93" i="44"/>
  <c r="G93" i="44"/>
  <c r="F94" i="44"/>
  <c r="F95" i="44"/>
  <c r="G95" i="44"/>
  <c r="F96" i="44"/>
  <c r="G96" i="44"/>
  <c r="F97" i="44"/>
  <c r="F98" i="44"/>
  <c r="F99" i="44"/>
  <c r="F100" i="44"/>
  <c r="G100" i="44"/>
  <c r="F101" i="44"/>
  <c r="G101" i="44"/>
  <c r="F102" i="44"/>
  <c r="G102" i="44"/>
  <c r="F104" i="44"/>
  <c r="G104" i="44"/>
  <c r="F105" i="44"/>
  <c r="G105" i="44"/>
  <c r="F106" i="44"/>
  <c r="G106" i="44"/>
  <c r="F107" i="44"/>
  <c r="G107" i="44"/>
  <c r="F108" i="44"/>
  <c r="G108" i="44"/>
  <c r="G109" i="44"/>
  <c r="F110" i="44"/>
  <c r="G110" i="44"/>
  <c r="F111" i="44"/>
  <c r="G112" i="44"/>
  <c r="F113" i="44"/>
  <c r="G113" i="44"/>
  <c r="F115" i="44"/>
  <c r="U70" i="44"/>
  <c r="S70" i="44"/>
  <c r="D70" i="44"/>
  <c r="T70" i="44" s="1"/>
  <c r="U69" i="44"/>
  <c r="T69" i="44"/>
  <c r="S69" i="44"/>
  <c r="U68" i="44"/>
  <c r="T68" i="44"/>
  <c r="U67" i="44"/>
  <c r="R67" i="44"/>
  <c r="D67" i="44"/>
  <c r="T67" i="44" s="1"/>
  <c r="U66" i="44"/>
  <c r="U65" i="44"/>
  <c r="T65" i="44"/>
  <c r="U64" i="44"/>
  <c r="T64" i="44"/>
  <c r="U63" i="44"/>
  <c r="U62" i="44"/>
  <c r="T62" i="44"/>
  <c r="S62" i="44"/>
  <c r="R62" i="44"/>
  <c r="U61" i="44"/>
  <c r="S61" i="44"/>
  <c r="R61" i="44"/>
  <c r="U60" i="44"/>
  <c r="T60" i="44"/>
  <c r="S60" i="44"/>
  <c r="R60" i="44"/>
  <c r="U59" i="44"/>
  <c r="T59" i="44"/>
  <c r="S59" i="44"/>
  <c r="R59" i="44"/>
  <c r="U58" i="44"/>
  <c r="T58" i="44"/>
  <c r="R58" i="44"/>
  <c r="U57" i="44"/>
  <c r="T57" i="44"/>
  <c r="S57" i="44"/>
  <c r="U56" i="44"/>
  <c r="T56" i="44"/>
  <c r="R56" i="44"/>
  <c r="U55" i="44"/>
  <c r="T55" i="44"/>
  <c r="R55" i="44"/>
  <c r="U54" i="44"/>
  <c r="T54" i="44"/>
  <c r="U53" i="44"/>
  <c r="T53" i="44"/>
  <c r="S53" i="44"/>
  <c r="R53" i="44"/>
  <c r="U52" i="44"/>
  <c r="T52" i="44"/>
  <c r="U51" i="44"/>
  <c r="T51" i="44"/>
  <c r="S51" i="44"/>
  <c r="R51" i="44"/>
  <c r="T50" i="44"/>
  <c r="S50" i="44"/>
  <c r="R50" i="44"/>
  <c r="U49" i="44"/>
  <c r="T49" i="44"/>
  <c r="S49" i="44"/>
  <c r="R49" i="44"/>
  <c r="U48" i="44"/>
  <c r="T48" i="44"/>
  <c r="S48" i="44"/>
  <c r="R48" i="44"/>
  <c r="U47" i="44"/>
  <c r="T47" i="44"/>
  <c r="U46" i="44"/>
  <c r="T46" i="44"/>
  <c r="S46" i="44"/>
  <c r="R46" i="44"/>
  <c r="U45" i="44"/>
  <c r="T45" i="44"/>
  <c r="U44" i="44"/>
  <c r="T44" i="44"/>
  <c r="U43" i="44"/>
  <c r="T43" i="44"/>
  <c r="S43" i="44"/>
  <c r="U42" i="44"/>
  <c r="T42" i="44"/>
  <c r="S42" i="44"/>
  <c r="R42" i="44"/>
  <c r="J42" i="44"/>
  <c r="U41" i="44"/>
  <c r="T41" i="44"/>
  <c r="U40" i="44"/>
  <c r="T40" i="44"/>
  <c r="R40" i="44"/>
  <c r="U39" i="44"/>
  <c r="T39" i="44"/>
  <c r="S39" i="44"/>
  <c r="R39" i="44"/>
  <c r="U38" i="44"/>
  <c r="T38" i="44"/>
  <c r="U37" i="44"/>
  <c r="T37" i="44"/>
  <c r="R37" i="44"/>
  <c r="U36" i="44"/>
  <c r="T36" i="44"/>
  <c r="U35" i="44"/>
  <c r="D35" i="44"/>
  <c r="T35" i="44" s="1"/>
  <c r="U34" i="44"/>
  <c r="T34" i="44"/>
  <c r="S34" i="44"/>
  <c r="R34" i="44"/>
  <c r="U33" i="44"/>
  <c r="S33" i="44"/>
  <c r="R33" i="44"/>
  <c r="U32" i="44"/>
  <c r="T32" i="44"/>
  <c r="S32" i="44"/>
  <c r="R32" i="44"/>
  <c r="U31" i="44"/>
  <c r="T31" i="44"/>
  <c r="S31" i="44"/>
  <c r="R31" i="44"/>
  <c r="U29" i="44"/>
  <c r="U28" i="44"/>
  <c r="T28" i="44"/>
  <c r="S28" i="44"/>
  <c r="R28" i="44"/>
  <c r="U27" i="44"/>
  <c r="U26" i="44"/>
  <c r="T26" i="44"/>
  <c r="S26" i="44"/>
  <c r="R26" i="44"/>
  <c r="U25" i="44"/>
  <c r="T25" i="44"/>
  <c r="S24" i="44"/>
  <c r="I24" i="44"/>
  <c r="U24" i="44" s="1"/>
  <c r="T24" i="44"/>
  <c r="U23" i="44"/>
  <c r="T23" i="44"/>
  <c r="S23" i="44"/>
  <c r="R23" i="44"/>
  <c r="U22" i="44"/>
  <c r="T22" i="44"/>
  <c r="S22" i="44"/>
  <c r="R22" i="44"/>
  <c r="U21" i="44"/>
  <c r="T21" i="44"/>
  <c r="S21" i="44"/>
  <c r="F21" i="44"/>
  <c r="R21" i="44" s="1"/>
  <c r="U20" i="44"/>
  <c r="U19" i="44"/>
  <c r="T19" i="44"/>
  <c r="R19" i="44"/>
  <c r="G19" i="44"/>
  <c r="S19" i="44" s="1"/>
  <c r="U18" i="44"/>
  <c r="T18" i="44"/>
  <c r="S18" i="44"/>
  <c r="R18" i="44"/>
  <c r="U17" i="44"/>
  <c r="T17" i="44"/>
  <c r="S17" i="44"/>
  <c r="R17" i="44"/>
  <c r="U16" i="44"/>
  <c r="T16" i="44"/>
  <c r="S16" i="44"/>
  <c r="R16" i="44"/>
  <c r="U15" i="44"/>
  <c r="T15" i="44"/>
  <c r="U14" i="44"/>
  <c r="T14" i="44"/>
  <c r="S14" i="44"/>
  <c r="R14" i="44"/>
  <c r="U13" i="44"/>
  <c r="T13" i="44"/>
  <c r="R13" i="44"/>
  <c r="S12" i="44"/>
  <c r="U11" i="44"/>
  <c r="U10" i="44"/>
  <c r="T10" i="44"/>
  <c r="R10" i="44"/>
  <c r="U9" i="44"/>
  <c r="R9" i="44"/>
  <c r="U8" i="44"/>
  <c r="T8" i="44"/>
  <c r="R8" i="44"/>
  <c r="U7" i="44"/>
  <c r="R7" i="44"/>
  <c r="U6" i="44"/>
  <c r="M70" i="43"/>
  <c r="L70" i="43"/>
  <c r="K70" i="43"/>
  <c r="J70" i="43"/>
  <c r="I70" i="43"/>
  <c r="H70" i="43"/>
  <c r="G70" i="43"/>
  <c r="F70" i="43"/>
  <c r="E70" i="43"/>
  <c r="D70" i="43"/>
  <c r="C70" i="43"/>
  <c r="B70" i="43"/>
  <c r="M69" i="43"/>
  <c r="L69" i="43"/>
  <c r="K69" i="43"/>
  <c r="J69" i="43"/>
  <c r="I69" i="43"/>
  <c r="H69" i="43"/>
  <c r="G69" i="43"/>
  <c r="F69" i="43"/>
  <c r="E69" i="43"/>
  <c r="D69" i="43"/>
  <c r="C69" i="43"/>
  <c r="B69" i="43"/>
  <c r="M68" i="43"/>
  <c r="L68" i="43"/>
  <c r="K68" i="43"/>
  <c r="J68" i="43"/>
  <c r="I68" i="43"/>
  <c r="H68" i="43"/>
  <c r="G68" i="43"/>
  <c r="F68" i="43"/>
  <c r="E68" i="43"/>
  <c r="Q68" i="43" s="1"/>
  <c r="D68" i="43"/>
  <c r="C68" i="43"/>
  <c r="B68" i="43"/>
  <c r="M67" i="43"/>
  <c r="L67" i="43"/>
  <c r="K67" i="43"/>
  <c r="J67" i="43"/>
  <c r="I67" i="43"/>
  <c r="H67" i="43"/>
  <c r="G67" i="43"/>
  <c r="F67" i="43"/>
  <c r="E67" i="43"/>
  <c r="D67" i="43"/>
  <c r="P67" i="43" s="1"/>
  <c r="C67" i="43"/>
  <c r="B67" i="43"/>
  <c r="N67" i="43" s="1"/>
  <c r="M66" i="43"/>
  <c r="L66" i="43"/>
  <c r="K66" i="43"/>
  <c r="J66" i="43"/>
  <c r="I66" i="43"/>
  <c r="H66" i="43"/>
  <c r="G66" i="43"/>
  <c r="F66" i="43"/>
  <c r="E66" i="43"/>
  <c r="D66" i="43"/>
  <c r="C66" i="43"/>
  <c r="B66" i="43"/>
  <c r="M65" i="43"/>
  <c r="L65" i="43"/>
  <c r="K65" i="43"/>
  <c r="J65" i="43"/>
  <c r="I65" i="43"/>
  <c r="H65" i="43"/>
  <c r="G65" i="43"/>
  <c r="F65" i="43"/>
  <c r="E65" i="43"/>
  <c r="D65" i="43"/>
  <c r="C65" i="43"/>
  <c r="B65" i="43"/>
  <c r="M64" i="43"/>
  <c r="L64" i="43"/>
  <c r="K64" i="43"/>
  <c r="J64" i="43"/>
  <c r="I64" i="43"/>
  <c r="H64" i="43"/>
  <c r="G64" i="43"/>
  <c r="F64" i="43"/>
  <c r="E64" i="43"/>
  <c r="Q64" i="43" s="1"/>
  <c r="D64" i="43"/>
  <c r="C64" i="43"/>
  <c r="B64" i="43"/>
  <c r="M63" i="43"/>
  <c r="L63" i="43"/>
  <c r="K63" i="43"/>
  <c r="J63" i="43"/>
  <c r="I63" i="43"/>
  <c r="H63" i="43"/>
  <c r="G63" i="43"/>
  <c r="F63" i="43"/>
  <c r="E63" i="43"/>
  <c r="D63" i="43"/>
  <c r="P63" i="43" s="1"/>
  <c r="C63" i="43"/>
  <c r="B63" i="43"/>
  <c r="M62" i="43"/>
  <c r="L62" i="43"/>
  <c r="K62" i="43"/>
  <c r="J62" i="43"/>
  <c r="I62" i="43"/>
  <c r="H62" i="43"/>
  <c r="G62" i="43"/>
  <c r="F62" i="43"/>
  <c r="E62" i="43"/>
  <c r="Q62" i="43" s="1"/>
  <c r="D62" i="43"/>
  <c r="C62" i="43"/>
  <c r="B62" i="43"/>
  <c r="M61" i="43"/>
  <c r="L61" i="43"/>
  <c r="K61" i="43"/>
  <c r="J61" i="43"/>
  <c r="I61" i="43"/>
  <c r="H61" i="43"/>
  <c r="G61" i="43"/>
  <c r="F61" i="43"/>
  <c r="E61" i="43"/>
  <c r="D61" i="43"/>
  <c r="C61" i="43"/>
  <c r="O61" i="43" s="1"/>
  <c r="B61" i="43"/>
  <c r="N61" i="43" s="1"/>
  <c r="M60" i="43"/>
  <c r="L60" i="43"/>
  <c r="K60" i="43"/>
  <c r="J60" i="43"/>
  <c r="I60" i="43"/>
  <c r="H60" i="43"/>
  <c r="G60" i="43"/>
  <c r="F60" i="43"/>
  <c r="E60" i="43"/>
  <c r="D60" i="43"/>
  <c r="C60" i="43"/>
  <c r="B60" i="43"/>
  <c r="M59" i="43"/>
  <c r="L59" i="43"/>
  <c r="K59" i="43"/>
  <c r="J59" i="43"/>
  <c r="I59" i="43"/>
  <c r="H59" i="43"/>
  <c r="G59" i="43"/>
  <c r="F59" i="43"/>
  <c r="E59" i="43"/>
  <c r="D59" i="43"/>
  <c r="P59" i="43" s="1"/>
  <c r="C59" i="43"/>
  <c r="O59" i="43" s="1"/>
  <c r="B59" i="43"/>
  <c r="N59" i="43" s="1"/>
  <c r="M58" i="43"/>
  <c r="L58" i="43"/>
  <c r="K58" i="43"/>
  <c r="J58" i="43"/>
  <c r="I58" i="43"/>
  <c r="H58" i="43"/>
  <c r="G58" i="43"/>
  <c r="F58" i="43"/>
  <c r="E58" i="43"/>
  <c r="D58" i="43"/>
  <c r="C58" i="43"/>
  <c r="B58" i="43"/>
  <c r="M57" i="43"/>
  <c r="L57" i="43"/>
  <c r="K57" i="43"/>
  <c r="J57" i="43"/>
  <c r="I57" i="43"/>
  <c r="H57" i="43"/>
  <c r="G57" i="43"/>
  <c r="F57" i="43"/>
  <c r="E57" i="43"/>
  <c r="D57" i="43"/>
  <c r="C57" i="43"/>
  <c r="O57" i="43" s="1"/>
  <c r="B57" i="43"/>
  <c r="M56" i="43"/>
  <c r="L56" i="43"/>
  <c r="K56" i="43"/>
  <c r="J56" i="43"/>
  <c r="I56" i="43"/>
  <c r="H56" i="43"/>
  <c r="G56" i="43"/>
  <c r="F56" i="43"/>
  <c r="E56" i="43"/>
  <c r="D56" i="43"/>
  <c r="C56" i="43"/>
  <c r="B56" i="43"/>
  <c r="M55" i="43"/>
  <c r="L55" i="43"/>
  <c r="K55" i="43"/>
  <c r="J55" i="43"/>
  <c r="I55" i="43"/>
  <c r="H55" i="43"/>
  <c r="G55" i="43"/>
  <c r="F55" i="43"/>
  <c r="E55" i="43"/>
  <c r="Q55" i="43" s="1"/>
  <c r="D55" i="43"/>
  <c r="C55" i="43"/>
  <c r="B55" i="43"/>
  <c r="N55" i="43" s="1"/>
  <c r="M54" i="43"/>
  <c r="L54" i="43"/>
  <c r="K54" i="43"/>
  <c r="J54" i="43"/>
  <c r="I54" i="43"/>
  <c r="H54" i="43"/>
  <c r="G54" i="43"/>
  <c r="F54" i="43"/>
  <c r="E54" i="43"/>
  <c r="D54" i="43"/>
  <c r="C54" i="43"/>
  <c r="B54" i="43"/>
  <c r="M53" i="43"/>
  <c r="L53" i="43"/>
  <c r="K53" i="43"/>
  <c r="J53" i="43"/>
  <c r="I53" i="43"/>
  <c r="H53" i="43"/>
  <c r="G53" i="43"/>
  <c r="F53" i="43"/>
  <c r="E53" i="43"/>
  <c r="D53" i="43"/>
  <c r="P53" i="43" s="1"/>
  <c r="C53" i="43"/>
  <c r="O53" i="43" s="1"/>
  <c r="B53" i="43"/>
  <c r="N53" i="43" s="1"/>
  <c r="M52" i="43"/>
  <c r="L52" i="43"/>
  <c r="K52" i="43"/>
  <c r="J52" i="43"/>
  <c r="I52" i="43"/>
  <c r="H52" i="43"/>
  <c r="G52" i="43"/>
  <c r="F52" i="43"/>
  <c r="E52" i="43"/>
  <c r="D52" i="43"/>
  <c r="C52" i="43"/>
  <c r="B52" i="43"/>
  <c r="M51" i="43"/>
  <c r="L51" i="43"/>
  <c r="K51" i="43"/>
  <c r="J51" i="43"/>
  <c r="I51" i="43"/>
  <c r="H51" i="43"/>
  <c r="G51" i="43"/>
  <c r="F51" i="43"/>
  <c r="E51" i="43"/>
  <c r="Q51" i="43" s="1"/>
  <c r="D51" i="43"/>
  <c r="P51" i="43" s="1"/>
  <c r="C51" i="43"/>
  <c r="O51" i="43" s="1"/>
  <c r="B51" i="43"/>
  <c r="N51" i="43" s="1"/>
  <c r="M50" i="43"/>
  <c r="L50" i="43"/>
  <c r="K50" i="43"/>
  <c r="J50" i="43"/>
  <c r="I50" i="43"/>
  <c r="H50" i="43"/>
  <c r="G50" i="43"/>
  <c r="F50" i="43"/>
  <c r="E50" i="43"/>
  <c r="D50" i="43"/>
  <c r="C50" i="43"/>
  <c r="B50" i="43"/>
  <c r="M49" i="43"/>
  <c r="L49" i="43"/>
  <c r="K49" i="43"/>
  <c r="J49" i="43"/>
  <c r="I49" i="43"/>
  <c r="H49" i="43"/>
  <c r="G49" i="43"/>
  <c r="F49" i="43"/>
  <c r="D49" i="43"/>
  <c r="C49" i="43"/>
  <c r="B49" i="43"/>
  <c r="M48" i="43"/>
  <c r="L48" i="43"/>
  <c r="K48" i="43"/>
  <c r="J48" i="43"/>
  <c r="I48" i="43"/>
  <c r="H48" i="43"/>
  <c r="G48" i="43"/>
  <c r="F48" i="43"/>
  <c r="E48" i="43"/>
  <c r="D48" i="43"/>
  <c r="P48" i="43" s="1"/>
  <c r="C48" i="43"/>
  <c r="B48" i="43"/>
  <c r="M47" i="43"/>
  <c r="L47" i="43"/>
  <c r="K47" i="43"/>
  <c r="J47" i="43"/>
  <c r="I47" i="43"/>
  <c r="H47" i="43"/>
  <c r="G47" i="43"/>
  <c r="F47" i="43"/>
  <c r="E47" i="43"/>
  <c r="D47" i="43"/>
  <c r="C47" i="43"/>
  <c r="B47" i="43"/>
  <c r="M46" i="43"/>
  <c r="L46" i="43"/>
  <c r="K46" i="43"/>
  <c r="J46" i="43"/>
  <c r="I46" i="43"/>
  <c r="H46" i="43"/>
  <c r="G46" i="43"/>
  <c r="F46" i="43"/>
  <c r="E46" i="43"/>
  <c r="D46" i="43"/>
  <c r="P46" i="43" s="1"/>
  <c r="C46" i="43"/>
  <c r="B46" i="43"/>
  <c r="M45" i="43"/>
  <c r="L45" i="43"/>
  <c r="K45" i="43"/>
  <c r="J45" i="43"/>
  <c r="I45" i="43"/>
  <c r="H45" i="43"/>
  <c r="G45" i="43"/>
  <c r="F45" i="43"/>
  <c r="E45" i="43"/>
  <c r="D45" i="43"/>
  <c r="C45" i="43"/>
  <c r="B45" i="43"/>
  <c r="M44" i="43"/>
  <c r="L44" i="43"/>
  <c r="K44" i="43"/>
  <c r="J44" i="43"/>
  <c r="I44" i="43"/>
  <c r="H44" i="43"/>
  <c r="G44" i="43"/>
  <c r="F44" i="43"/>
  <c r="E44" i="43"/>
  <c r="Q44" i="43" s="1"/>
  <c r="D44" i="43"/>
  <c r="C44" i="43"/>
  <c r="B44" i="43"/>
  <c r="M43" i="43"/>
  <c r="L43" i="43"/>
  <c r="K43" i="43"/>
  <c r="J43" i="43"/>
  <c r="I43" i="43"/>
  <c r="H43" i="43"/>
  <c r="G43" i="43"/>
  <c r="F43" i="43"/>
  <c r="E43" i="43"/>
  <c r="D43" i="43"/>
  <c r="C43" i="43"/>
  <c r="O43" i="43" s="1"/>
  <c r="B43" i="43"/>
  <c r="M42" i="43"/>
  <c r="L42" i="43"/>
  <c r="K42" i="43"/>
  <c r="J42" i="43"/>
  <c r="I42" i="43"/>
  <c r="H42" i="43"/>
  <c r="G42" i="43"/>
  <c r="F42" i="43"/>
  <c r="E42" i="43"/>
  <c r="Q42" i="43" s="1"/>
  <c r="D42" i="43"/>
  <c r="C42" i="43"/>
  <c r="B42" i="43"/>
  <c r="M41" i="43"/>
  <c r="L41" i="43"/>
  <c r="K41" i="43"/>
  <c r="J41" i="43"/>
  <c r="I41" i="43"/>
  <c r="H41" i="43"/>
  <c r="G41" i="43"/>
  <c r="F41" i="43"/>
  <c r="E41" i="43"/>
  <c r="D41" i="43"/>
  <c r="C41" i="43"/>
  <c r="B41" i="43"/>
  <c r="M40" i="43"/>
  <c r="L40" i="43"/>
  <c r="K40" i="43"/>
  <c r="J40" i="43"/>
  <c r="I40" i="43"/>
  <c r="H40" i="43"/>
  <c r="G40" i="43"/>
  <c r="F40" i="43"/>
  <c r="E40" i="43"/>
  <c r="Q40" i="43" s="1"/>
  <c r="D40" i="43"/>
  <c r="C40" i="43"/>
  <c r="B40" i="43"/>
  <c r="M39" i="43"/>
  <c r="L39" i="43"/>
  <c r="K39" i="43"/>
  <c r="J39" i="43"/>
  <c r="I39" i="43"/>
  <c r="H39" i="43"/>
  <c r="G39" i="43"/>
  <c r="F39" i="43"/>
  <c r="E39" i="43"/>
  <c r="D39" i="43"/>
  <c r="C39" i="43"/>
  <c r="O39" i="43" s="1"/>
  <c r="B39" i="43"/>
  <c r="M38" i="43"/>
  <c r="L38" i="43"/>
  <c r="K38" i="43"/>
  <c r="J38" i="43"/>
  <c r="I38" i="43"/>
  <c r="H38" i="43"/>
  <c r="G38" i="43"/>
  <c r="F38" i="43"/>
  <c r="E38" i="43"/>
  <c r="Q38" i="43" s="1"/>
  <c r="D38" i="43"/>
  <c r="C38" i="43"/>
  <c r="B38" i="43"/>
  <c r="M37" i="43"/>
  <c r="L37" i="43"/>
  <c r="K37" i="43"/>
  <c r="J37" i="43"/>
  <c r="I37" i="43"/>
  <c r="H37" i="43"/>
  <c r="G37" i="43"/>
  <c r="F37" i="43"/>
  <c r="E37" i="43"/>
  <c r="D37" i="43"/>
  <c r="C37" i="43"/>
  <c r="B37" i="43"/>
  <c r="N37" i="43" s="1"/>
  <c r="M36" i="43"/>
  <c r="L36" i="43"/>
  <c r="K36" i="43"/>
  <c r="J36" i="43"/>
  <c r="I36" i="43"/>
  <c r="H36" i="43"/>
  <c r="G36" i="43"/>
  <c r="F36" i="43"/>
  <c r="E36" i="43"/>
  <c r="Q36" i="43" s="1"/>
  <c r="D36" i="43"/>
  <c r="C36" i="43"/>
  <c r="B36" i="43"/>
  <c r="M35" i="43"/>
  <c r="L35" i="43"/>
  <c r="K35" i="43"/>
  <c r="J35" i="43"/>
  <c r="I35" i="43"/>
  <c r="H35" i="43"/>
  <c r="G35" i="43"/>
  <c r="F35" i="43"/>
  <c r="E35" i="43"/>
  <c r="D35" i="43"/>
  <c r="P35" i="43" s="1"/>
  <c r="C35" i="43"/>
  <c r="B35" i="43"/>
  <c r="M34" i="43"/>
  <c r="L34" i="43"/>
  <c r="K34" i="43"/>
  <c r="J34" i="43"/>
  <c r="I34" i="43"/>
  <c r="H34" i="43"/>
  <c r="G34" i="43"/>
  <c r="F34" i="43"/>
  <c r="E34" i="43"/>
  <c r="Q34" i="43" s="1"/>
  <c r="D34" i="43"/>
  <c r="C34" i="43"/>
  <c r="B34" i="43"/>
  <c r="M33" i="43"/>
  <c r="L33" i="43"/>
  <c r="K33" i="43"/>
  <c r="J33" i="43"/>
  <c r="I33" i="43"/>
  <c r="H33" i="43"/>
  <c r="G33" i="43"/>
  <c r="F33" i="43"/>
  <c r="E33" i="43"/>
  <c r="D33" i="43"/>
  <c r="C33" i="43"/>
  <c r="O33" i="43" s="1"/>
  <c r="B33" i="43"/>
  <c r="N33" i="43" s="1"/>
  <c r="M32" i="43"/>
  <c r="L32" i="43"/>
  <c r="K32" i="43"/>
  <c r="J32" i="43"/>
  <c r="I32" i="43"/>
  <c r="H32" i="43"/>
  <c r="G32" i="43"/>
  <c r="F32" i="43"/>
  <c r="E32" i="43"/>
  <c r="Q32" i="43" s="1"/>
  <c r="D32" i="43"/>
  <c r="C32" i="43"/>
  <c r="B32" i="43"/>
  <c r="M31" i="43"/>
  <c r="L31" i="43"/>
  <c r="K31" i="43"/>
  <c r="J31" i="43"/>
  <c r="I31" i="43"/>
  <c r="H31" i="43"/>
  <c r="G31" i="43"/>
  <c r="F31" i="43"/>
  <c r="E31" i="43"/>
  <c r="D31" i="43"/>
  <c r="C31" i="43"/>
  <c r="O31" i="43" s="1"/>
  <c r="B31" i="43"/>
  <c r="N31" i="43" s="1"/>
  <c r="M30" i="43"/>
  <c r="L30" i="43"/>
  <c r="K30" i="43"/>
  <c r="J30" i="43"/>
  <c r="I30" i="43"/>
  <c r="H30" i="43"/>
  <c r="G30" i="43"/>
  <c r="F30" i="43"/>
  <c r="E30" i="43"/>
  <c r="D30" i="43"/>
  <c r="C30" i="43"/>
  <c r="B30" i="43"/>
  <c r="M29" i="43"/>
  <c r="L29" i="43"/>
  <c r="K29" i="43"/>
  <c r="J29" i="43"/>
  <c r="I29" i="43"/>
  <c r="H29" i="43"/>
  <c r="G29" i="43"/>
  <c r="F29" i="43"/>
  <c r="E29" i="43"/>
  <c r="D29" i="43"/>
  <c r="C29" i="43"/>
  <c r="B29" i="43"/>
  <c r="M28" i="43"/>
  <c r="L28" i="43"/>
  <c r="K28" i="43"/>
  <c r="J28" i="43"/>
  <c r="I28" i="43"/>
  <c r="H28" i="43"/>
  <c r="G28" i="43"/>
  <c r="F28" i="43"/>
  <c r="E28" i="43"/>
  <c r="Q28" i="43" s="1"/>
  <c r="D28" i="43"/>
  <c r="C28" i="43"/>
  <c r="B28" i="43"/>
  <c r="M27" i="43"/>
  <c r="L27" i="43"/>
  <c r="K27" i="43"/>
  <c r="J27" i="43"/>
  <c r="I27" i="43"/>
  <c r="H27" i="43"/>
  <c r="G27" i="43"/>
  <c r="F27" i="43"/>
  <c r="E27" i="43"/>
  <c r="D27" i="43"/>
  <c r="P27" i="43" s="1"/>
  <c r="C27" i="43"/>
  <c r="B27" i="43"/>
  <c r="M26" i="43"/>
  <c r="L26" i="43"/>
  <c r="K26" i="43"/>
  <c r="J26" i="43"/>
  <c r="I26" i="43"/>
  <c r="H26" i="43"/>
  <c r="G26" i="43"/>
  <c r="F26" i="43"/>
  <c r="E26" i="43"/>
  <c r="Q26" i="43" s="1"/>
  <c r="D26" i="43"/>
  <c r="C26" i="43"/>
  <c r="B26" i="43"/>
  <c r="M25" i="43"/>
  <c r="L25" i="43"/>
  <c r="K25" i="43"/>
  <c r="J25" i="43"/>
  <c r="I25" i="43"/>
  <c r="H25" i="43"/>
  <c r="G25" i="43"/>
  <c r="F25" i="43"/>
  <c r="E25" i="43"/>
  <c r="D25" i="43"/>
  <c r="C25" i="43"/>
  <c r="B25" i="43"/>
  <c r="M24" i="43"/>
  <c r="L24" i="43"/>
  <c r="K24" i="43"/>
  <c r="J24" i="43"/>
  <c r="I24" i="43"/>
  <c r="H24" i="43"/>
  <c r="G24" i="43"/>
  <c r="F24" i="43"/>
  <c r="E24" i="43"/>
  <c r="Q24" i="43" s="1"/>
  <c r="D24" i="43"/>
  <c r="C24" i="43"/>
  <c r="B24" i="43"/>
  <c r="M23" i="43"/>
  <c r="L23" i="43"/>
  <c r="K23" i="43"/>
  <c r="J23" i="43"/>
  <c r="I23" i="43"/>
  <c r="H23" i="43"/>
  <c r="G23" i="43"/>
  <c r="F23" i="43"/>
  <c r="E23" i="43"/>
  <c r="D23" i="43"/>
  <c r="P23" i="43" s="1"/>
  <c r="C23" i="43"/>
  <c r="B23" i="43"/>
  <c r="N23" i="43" s="1"/>
  <c r="M22" i="43"/>
  <c r="L22" i="43"/>
  <c r="K22" i="43"/>
  <c r="J22" i="43"/>
  <c r="I22" i="43"/>
  <c r="H22" i="43"/>
  <c r="G22" i="43"/>
  <c r="F22" i="43"/>
  <c r="E22" i="43"/>
  <c r="D22" i="43"/>
  <c r="C22" i="43"/>
  <c r="B22" i="43"/>
  <c r="M21" i="43"/>
  <c r="L21" i="43"/>
  <c r="K21" i="43"/>
  <c r="J21" i="43"/>
  <c r="I21" i="43"/>
  <c r="H21" i="43"/>
  <c r="G21" i="43"/>
  <c r="F21" i="43"/>
  <c r="E21" i="43"/>
  <c r="D21" i="43"/>
  <c r="P21" i="43" s="1"/>
  <c r="C21" i="43"/>
  <c r="B21" i="43"/>
  <c r="N21" i="43" s="1"/>
  <c r="M20" i="43"/>
  <c r="L20" i="43"/>
  <c r="K20" i="43"/>
  <c r="J20" i="43"/>
  <c r="I20" i="43"/>
  <c r="H20" i="43"/>
  <c r="G20" i="43"/>
  <c r="F20" i="43"/>
  <c r="E20" i="43"/>
  <c r="Q20" i="43" s="1"/>
  <c r="D20" i="43"/>
  <c r="C20" i="43"/>
  <c r="B20" i="43"/>
  <c r="M19" i="43"/>
  <c r="L19" i="43"/>
  <c r="K19" i="43"/>
  <c r="J19" i="43"/>
  <c r="I19" i="43"/>
  <c r="H19" i="43"/>
  <c r="G19" i="43"/>
  <c r="F19" i="43"/>
  <c r="E19" i="43"/>
  <c r="D19" i="43"/>
  <c r="P19" i="43" s="1"/>
  <c r="C19" i="43"/>
  <c r="B19" i="43"/>
  <c r="N19" i="43" s="1"/>
  <c r="M18" i="43"/>
  <c r="L18" i="43"/>
  <c r="K18" i="43"/>
  <c r="J18" i="43"/>
  <c r="I18" i="43"/>
  <c r="H18" i="43"/>
  <c r="G18" i="43"/>
  <c r="F18" i="43"/>
  <c r="D18" i="43"/>
  <c r="C18" i="43"/>
  <c r="B18" i="43"/>
  <c r="M17" i="43"/>
  <c r="L17" i="43"/>
  <c r="K17" i="43"/>
  <c r="J17" i="43"/>
  <c r="I17" i="43"/>
  <c r="H17" i="43"/>
  <c r="G17" i="43"/>
  <c r="F17" i="43"/>
  <c r="E17" i="43"/>
  <c r="D17" i="43"/>
  <c r="C17" i="43"/>
  <c r="O17" i="43" s="1"/>
  <c r="B17" i="43"/>
  <c r="M16" i="43"/>
  <c r="L16" i="43"/>
  <c r="K16" i="43"/>
  <c r="J16" i="43"/>
  <c r="I16" i="43"/>
  <c r="H16" i="43"/>
  <c r="G16" i="43"/>
  <c r="F16" i="43"/>
  <c r="E16" i="43"/>
  <c r="D16" i="43"/>
  <c r="C16" i="43"/>
  <c r="B16" i="43"/>
  <c r="M15" i="43"/>
  <c r="L15" i="43"/>
  <c r="K15" i="43"/>
  <c r="J15" i="43"/>
  <c r="I15" i="43"/>
  <c r="H15" i="43"/>
  <c r="G15" i="43"/>
  <c r="F15" i="43"/>
  <c r="E15" i="43"/>
  <c r="D15" i="43"/>
  <c r="C15" i="43"/>
  <c r="B15" i="43"/>
  <c r="M14" i="43"/>
  <c r="L14" i="43"/>
  <c r="K14" i="43"/>
  <c r="J14" i="43"/>
  <c r="I14" i="43"/>
  <c r="H14" i="43"/>
  <c r="G14" i="43"/>
  <c r="F14" i="43"/>
  <c r="E14" i="43"/>
  <c r="D14" i="43"/>
  <c r="C14" i="43"/>
  <c r="B14" i="43"/>
  <c r="M13" i="43"/>
  <c r="L13" i="43"/>
  <c r="K13" i="43"/>
  <c r="J13" i="43"/>
  <c r="I13" i="43"/>
  <c r="H13" i="43"/>
  <c r="G13" i="43"/>
  <c r="F13" i="43"/>
  <c r="E13" i="43"/>
  <c r="D13" i="43"/>
  <c r="C13" i="43"/>
  <c r="B13" i="43"/>
  <c r="M12" i="43"/>
  <c r="L12" i="43"/>
  <c r="K12" i="43"/>
  <c r="J12" i="43"/>
  <c r="I12" i="43"/>
  <c r="H12" i="43"/>
  <c r="G12" i="43"/>
  <c r="F12" i="43"/>
  <c r="E12" i="43"/>
  <c r="Q12" i="43" s="1"/>
  <c r="D12" i="43"/>
  <c r="C12" i="43"/>
  <c r="B12" i="43"/>
  <c r="M11" i="43"/>
  <c r="L11" i="43"/>
  <c r="K11" i="43"/>
  <c r="J11" i="43"/>
  <c r="I11" i="43"/>
  <c r="H11" i="43"/>
  <c r="G11" i="43"/>
  <c r="F11" i="43"/>
  <c r="E11" i="43"/>
  <c r="D11" i="43"/>
  <c r="C11" i="43"/>
  <c r="O11" i="43" s="1"/>
  <c r="B11" i="43"/>
  <c r="M10" i="43"/>
  <c r="L10" i="43"/>
  <c r="K10" i="43"/>
  <c r="J10" i="43"/>
  <c r="I10" i="43"/>
  <c r="H10" i="43"/>
  <c r="G10" i="43"/>
  <c r="F10" i="43"/>
  <c r="E10" i="43"/>
  <c r="D10" i="43"/>
  <c r="P10" i="43" s="1"/>
  <c r="C10" i="43"/>
  <c r="B10" i="43"/>
  <c r="M9" i="43"/>
  <c r="L9" i="43"/>
  <c r="K9" i="43"/>
  <c r="J9" i="43"/>
  <c r="I9" i="43"/>
  <c r="H9" i="43"/>
  <c r="G9" i="43"/>
  <c r="F9" i="43"/>
  <c r="E9" i="43"/>
  <c r="D9" i="43"/>
  <c r="C9" i="43"/>
  <c r="O9" i="43" s="1"/>
  <c r="B9" i="43"/>
  <c r="M8" i="43"/>
  <c r="L8" i="43"/>
  <c r="K8" i="43"/>
  <c r="J8" i="43"/>
  <c r="I8" i="43"/>
  <c r="H8" i="43"/>
  <c r="G8" i="43"/>
  <c r="F8" i="43"/>
  <c r="E8" i="43"/>
  <c r="Q8" i="43" s="1"/>
  <c r="D8" i="43"/>
  <c r="P8" i="43" s="1"/>
  <c r="C8" i="43"/>
  <c r="B8" i="43"/>
  <c r="M7" i="43"/>
  <c r="L7" i="43"/>
  <c r="K7" i="43"/>
  <c r="J7" i="43"/>
  <c r="I7" i="43"/>
  <c r="H7" i="43"/>
  <c r="G7" i="43"/>
  <c r="F7" i="43"/>
  <c r="E7" i="43"/>
  <c r="D7" i="43"/>
  <c r="C7" i="43"/>
  <c r="B7" i="43"/>
  <c r="N7" i="43" s="1"/>
  <c r="M6" i="43"/>
  <c r="L6" i="43"/>
  <c r="K6" i="43"/>
  <c r="J6" i="43"/>
  <c r="I6" i="43"/>
  <c r="H6" i="43"/>
  <c r="G6" i="43"/>
  <c r="F6" i="43"/>
  <c r="E6" i="43"/>
  <c r="Q6" i="43" s="1"/>
  <c r="D6" i="43"/>
  <c r="C6" i="43"/>
  <c r="B6" i="43"/>
  <c r="P39" i="43" l="1"/>
  <c r="Q59" i="43"/>
  <c r="Q61" i="43"/>
  <c r="Q63" i="43"/>
  <c r="Q65" i="43"/>
  <c r="N8" i="43"/>
  <c r="O26" i="43"/>
  <c r="N6" i="43"/>
  <c r="N10" i="43"/>
  <c r="N12" i="43"/>
  <c r="N14" i="43"/>
  <c r="O24" i="43"/>
  <c r="Q50" i="43"/>
  <c r="Q52" i="43"/>
  <c r="N9" i="43"/>
  <c r="N11" i="43"/>
  <c r="N13" i="43"/>
  <c r="N15" i="43"/>
  <c r="N17" i="43"/>
  <c r="O19" i="43"/>
  <c r="O21" i="43"/>
  <c r="O23" i="43"/>
  <c r="P41" i="43"/>
  <c r="P43" i="43"/>
  <c r="Q67" i="43"/>
  <c r="P17" i="43"/>
  <c r="Q21" i="43"/>
  <c r="Q23" i="43"/>
  <c r="Q25" i="43"/>
  <c r="Q27" i="43"/>
  <c r="Q31" i="43"/>
  <c r="Q35" i="43"/>
  <c r="Q37" i="43"/>
  <c r="Q39" i="43"/>
  <c r="Q41" i="43"/>
  <c r="Q43" i="43"/>
  <c r="Q45" i="43"/>
  <c r="N50" i="43"/>
  <c r="N56" i="43"/>
  <c r="N58" i="43"/>
  <c r="N60" i="43"/>
  <c r="Q7" i="43"/>
  <c r="Q9" i="43"/>
  <c r="Q11" i="43"/>
  <c r="Q13" i="43"/>
  <c r="Q15" i="43"/>
  <c r="Q17" i="43"/>
  <c r="N22" i="43"/>
  <c r="N26" i="43"/>
  <c r="N28" i="43"/>
  <c r="N32" i="43"/>
  <c r="N34" i="43"/>
  <c r="N40" i="43"/>
  <c r="N42" i="43"/>
  <c r="N46" i="43"/>
  <c r="N48" i="43"/>
  <c r="O50" i="43"/>
  <c r="O60" i="43"/>
  <c r="O62" i="43"/>
  <c r="O28" i="43"/>
  <c r="O32" i="43"/>
  <c r="O34" i="43"/>
  <c r="O36" i="43"/>
  <c r="O42" i="43"/>
  <c r="O46" i="43"/>
  <c r="O48" i="43"/>
  <c r="P50" i="43"/>
  <c r="P52" i="43"/>
  <c r="P60" i="43"/>
  <c r="P62" i="43"/>
  <c r="P64" i="43"/>
  <c r="N39" i="43"/>
  <c r="O12" i="43"/>
  <c r="P22" i="43"/>
  <c r="P26" i="43"/>
  <c r="P28" i="43"/>
  <c r="P34" i="43"/>
  <c r="Q54" i="43"/>
  <c r="Q56" i="43"/>
  <c r="Q22" i="43"/>
  <c r="Q66" i="43"/>
  <c r="P15" i="43"/>
  <c r="P24" i="43"/>
  <c r="Q14" i="43"/>
  <c r="Q19" i="43"/>
  <c r="O30" i="43"/>
  <c r="Q10" i="43"/>
  <c r="N62" i="43"/>
  <c r="Q57" i="43"/>
  <c r="O14" i="43"/>
  <c r="Q47" i="43"/>
  <c r="P14" i="43"/>
  <c r="P11" i="43"/>
  <c r="P49" i="43"/>
  <c r="P42" i="43"/>
  <c r="Q53" i="43"/>
  <c r="Q60" i="43"/>
  <c r="P18" i="43"/>
  <c r="N18" i="43"/>
  <c r="O49" i="43"/>
  <c r="N49" i="43"/>
  <c r="Q46" i="43"/>
  <c r="Q58" i="43"/>
  <c r="O10" i="43"/>
  <c r="O18" i="43"/>
  <c r="N47" i="43"/>
  <c r="O22" i="43"/>
  <c r="N25" i="43"/>
  <c r="Q33" i="43"/>
  <c r="Q70" i="43"/>
  <c r="P70" i="43"/>
  <c r="Q29" i="43"/>
  <c r="T70" i="42" l="1"/>
  <c r="R70" i="42"/>
  <c r="P70" i="42"/>
  <c r="N70" i="42"/>
  <c r="L70" i="42"/>
  <c r="J70" i="42"/>
  <c r="H70" i="42"/>
  <c r="F70" i="42"/>
  <c r="D70" i="42"/>
  <c r="B70" i="42"/>
  <c r="T69" i="42"/>
  <c r="R69" i="42"/>
  <c r="P69" i="42"/>
  <c r="N69" i="42"/>
  <c r="L69" i="42"/>
  <c r="J69" i="42"/>
  <c r="H69" i="42"/>
  <c r="F69" i="42"/>
  <c r="D69" i="42"/>
  <c r="B69" i="42"/>
  <c r="T68" i="42"/>
  <c r="R68" i="42"/>
  <c r="P68" i="42"/>
  <c r="N68" i="42"/>
  <c r="L68" i="42"/>
  <c r="J68" i="42"/>
  <c r="H68" i="42"/>
  <c r="F68" i="42"/>
  <c r="D68" i="42"/>
  <c r="B68" i="42"/>
  <c r="T67" i="42"/>
  <c r="R67" i="42"/>
  <c r="P67" i="42"/>
  <c r="N67" i="42"/>
  <c r="L67" i="42"/>
  <c r="J67" i="42"/>
  <c r="H67" i="42"/>
  <c r="F67" i="42"/>
  <c r="D67" i="42"/>
  <c r="B67" i="42"/>
  <c r="T66" i="42"/>
  <c r="R66" i="42"/>
  <c r="P66" i="42"/>
  <c r="N66" i="42"/>
  <c r="L66" i="42"/>
  <c r="J66" i="42"/>
  <c r="H66" i="42"/>
  <c r="F66" i="42"/>
  <c r="D66" i="42"/>
  <c r="B66" i="42"/>
  <c r="T65" i="42"/>
  <c r="R65" i="42"/>
  <c r="P65" i="42"/>
  <c r="N65" i="42"/>
  <c r="L65" i="42"/>
  <c r="J65" i="42"/>
  <c r="H65" i="42"/>
  <c r="F65" i="42"/>
  <c r="D65" i="42"/>
  <c r="B65" i="42"/>
  <c r="T64" i="42"/>
  <c r="R64" i="42"/>
  <c r="P64" i="42"/>
  <c r="N64" i="42"/>
  <c r="L64" i="42"/>
  <c r="J64" i="42"/>
  <c r="H64" i="42"/>
  <c r="F64" i="42"/>
  <c r="D64" i="42"/>
  <c r="B64" i="42"/>
  <c r="T63" i="42"/>
  <c r="R63" i="42"/>
  <c r="P63" i="42"/>
  <c r="N63" i="42"/>
  <c r="L63" i="42"/>
  <c r="J63" i="42"/>
  <c r="H63" i="42"/>
  <c r="F63" i="42"/>
  <c r="D63" i="42"/>
  <c r="B63" i="42"/>
  <c r="T62" i="42"/>
  <c r="R62" i="42"/>
  <c r="P62" i="42"/>
  <c r="N62" i="42"/>
  <c r="L62" i="42"/>
  <c r="J62" i="42"/>
  <c r="H62" i="42"/>
  <c r="F62" i="42"/>
  <c r="D62" i="42"/>
  <c r="B62" i="42"/>
  <c r="T61" i="42"/>
  <c r="R61" i="42"/>
  <c r="P61" i="42"/>
  <c r="N61" i="42"/>
  <c r="L61" i="42"/>
  <c r="J61" i="42"/>
  <c r="H61" i="42"/>
  <c r="F61" i="42"/>
  <c r="D61" i="42"/>
  <c r="B61" i="42"/>
  <c r="T60" i="42"/>
  <c r="R60" i="42"/>
  <c r="P60" i="42"/>
  <c r="N60" i="42"/>
  <c r="L60" i="42"/>
  <c r="J60" i="42"/>
  <c r="H60" i="42"/>
  <c r="F60" i="42"/>
  <c r="D60" i="42"/>
  <c r="B60" i="42"/>
  <c r="T59" i="42"/>
  <c r="R59" i="42"/>
  <c r="P59" i="42"/>
  <c r="N59" i="42"/>
  <c r="L59" i="42"/>
  <c r="J59" i="42"/>
  <c r="H59" i="42"/>
  <c r="F59" i="42"/>
  <c r="D59" i="42"/>
  <c r="B59" i="42"/>
  <c r="T58" i="42"/>
  <c r="R58" i="42"/>
  <c r="P58" i="42"/>
  <c r="N58" i="42"/>
  <c r="L58" i="42"/>
  <c r="J58" i="42"/>
  <c r="H58" i="42"/>
  <c r="F58" i="42"/>
  <c r="D58" i="42"/>
  <c r="B58" i="42"/>
  <c r="T57" i="42"/>
  <c r="R57" i="42"/>
  <c r="P57" i="42"/>
  <c r="N57" i="42"/>
  <c r="L57" i="42"/>
  <c r="J57" i="42"/>
  <c r="H57" i="42"/>
  <c r="F57" i="42"/>
  <c r="D57" i="42"/>
  <c r="B57" i="42"/>
  <c r="T56" i="42"/>
  <c r="R56" i="42"/>
  <c r="P56" i="42"/>
  <c r="N56" i="42"/>
  <c r="L56" i="42"/>
  <c r="J56" i="42"/>
  <c r="H56" i="42"/>
  <c r="F56" i="42"/>
  <c r="D56" i="42"/>
  <c r="B56" i="42"/>
  <c r="T55" i="42"/>
  <c r="R55" i="42"/>
  <c r="P55" i="42"/>
  <c r="N55" i="42"/>
  <c r="L55" i="42"/>
  <c r="J55" i="42"/>
  <c r="H55" i="42"/>
  <c r="F55" i="42"/>
  <c r="D55" i="42"/>
  <c r="B55" i="42"/>
  <c r="T54" i="42"/>
  <c r="R54" i="42"/>
  <c r="P54" i="42"/>
  <c r="N54" i="42"/>
  <c r="L54" i="42"/>
  <c r="J54" i="42"/>
  <c r="H54" i="42"/>
  <c r="F54" i="42"/>
  <c r="D54" i="42"/>
  <c r="B54" i="42"/>
  <c r="T53" i="42"/>
  <c r="R53" i="42"/>
  <c r="P53" i="42"/>
  <c r="N53" i="42"/>
  <c r="L53" i="42"/>
  <c r="J53" i="42"/>
  <c r="H53" i="42"/>
  <c r="F53" i="42"/>
  <c r="D53" i="42"/>
  <c r="B53" i="42"/>
  <c r="T52" i="42"/>
  <c r="R52" i="42"/>
  <c r="P52" i="42"/>
  <c r="N52" i="42"/>
  <c r="L52" i="42"/>
  <c r="J52" i="42"/>
  <c r="H52" i="42"/>
  <c r="F52" i="42"/>
  <c r="D52" i="42"/>
  <c r="B52" i="42"/>
  <c r="T51" i="42"/>
  <c r="R51" i="42"/>
  <c r="P51" i="42"/>
  <c r="N51" i="42"/>
  <c r="L51" i="42"/>
  <c r="J51" i="42"/>
  <c r="H51" i="42"/>
  <c r="F51" i="42"/>
  <c r="D51" i="42"/>
  <c r="B51" i="42"/>
  <c r="T50" i="42"/>
  <c r="R50" i="42"/>
  <c r="P50" i="42"/>
  <c r="N50" i="42"/>
  <c r="L50" i="42"/>
  <c r="J50" i="42"/>
  <c r="H50" i="42"/>
  <c r="F50" i="42"/>
  <c r="D50" i="42"/>
  <c r="B50" i="42"/>
  <c r="T49" i="42"/>
  <c r="R49" i="42"/>
  <c r="N49" i="42"/>
  <c r="J49" i="42"/>
  <c r="H49" i="42"/>
  <c r="F49" i="42"/>
  <c r="B49" i="42"/>
  <c r="T48" i="42"/>
  <c r="R48" i="42"/>
  <c r="P48" i="42"/>
  <c r="N48" i="42"/>
  <c r="L48" i="42"/>
  <c r="J48" i="42"/>
  <c r="H48" i="42"/>
  <c r="F48" i="42"/>
  <c r="D48" i="42"/>
  <c r="B48" i="42"/>
  <c r="T47" i="42"/>
  <c r="R47" i="42"/>
  <c r="P47" i="42"/>
  <c r="N47" i="42"/>
  <c r="L47" i="42"/>
  <c r="J47" i="42"/>
  <c r="H47" i="42"/>
  <c r="F47" i="42"/>
  <c r="D47" i="42"/>
  <c r="B47" i="42"/>
  <c r="T46" i="42"/>
  <c r="R46" i="42"/>
  <c r="P46" i="42"/>
  <c r="N46" i="42"/>
  <c r="L46" i="42"/>
  <c r="J46" i="42"/>
  <c r="H46" i="42"/>
  <c r="F46" i="42"/>
  <c r="D46" i="42"/>
  <c r="B46" i="42"/>
  <c r="T45" i="42"/>
  <c r="R45" i="42"/>
  <c r="P45" i="42"/>
  <c r="N45" i="42"/>
  <c r="L45" i="42"/>
  <c r="J45" i="42"/>
  <c r="H45" i="42"/>
  <c r="F45" i="42"/>
  <c r="D45" i="42"/>
  <c r="B45" i="42"/>
  <c r="T44" i="42"/>
  <c r="R44" i="42"/>
  <c r="P44" i="42"/>
  <c r="N44" i="42"/>
  <c r="L44" i="42"/>
  <c r="J44" i="42"/>
  <c r="H44" i="42"/>
  <c r="F44" i="42"/>
  <c r="D44" i="42"/>
  <c r="B44" i="42"/>
  <c r="T43" i="42"/>
  <c r="R43" i="42"/>
  <c r="P43" i="42"/>
  <c r="N43" i="42"/>
  <c r="L43" i="42"/>
  <c r="J43" i="42"/>
  <c r="H43" i="42"/>
  <c r="F43" i="42"/>
  <c r="D43" i="42"/>
  <c r="B43" i="42"/>
  <c r="T42" i="42"/>
  <c r="R42" i="42"/>
  <c r="P42" i="42"/>
  <c r="N42" i="42"/>
  <c r="L42" i="42"/>
  <c r="J42" i="42"/>
  <c r="H42" i="42"/>
  <c r="F42" i="42"/>
  <c r="D42" i="42"/>
  <c r="B42" i="42"/>
  <c r="T41" i="42"/>
  <c r="R41" i="42"/>
  <c r="P41" i="42"/>
  <c r="N41" i="42"/>
  <c r="L41" i="42"/>
  <c r="J41" i="42"/>
  <c r="H41" i="42"/>
  <c r="F41" i="42"/>
  <c r="D41" i="42"/>
  <c r="B41" i="42"/>
  <c r="T40" i="42"/>
  <c r="R40" i="42"/>
  <c r="P40" i="42"/>
  <c r="N40" i="42"/>
  <c r="L40" i="42"/>
  <c r="J40" i="42"/>
  <c r="H40" i="42"/>
  <c r="F40" i="42"/>
  <c r="D40" i="42"/>
  <c r="B40" i="42"/>
  <c r="T39" i="42"/>
  <c r="R39" i="42"/>
  <c r="P39" i="42"/>
  <c r="N39" i="42"/>
  <c r="L39" i="42"/>
  <c r="J39" i="42"/>
  <c r="H39" i="42"/>
  <c r="F39" i="42"/>
  <c r="D39" i="42"/>
  <c r="B39" i="42"/>
  <c r="T38" i="42"/>
  <c r="R38" i="42"/>
  <c r="P38" i="42"/>
  <c r="N38" i="42"/>
  <c r="L38" i="42"/>
  <c r="J38" i="42"/>
  <c r="H38" i="42"/>
  <c r="F38" i="42"/>
  <c r="D38" i="42"/>
  <c r="B38" i="42"/>
  <c r="T37" i="42"/>
  <c r="R37" i="42"/>
  <c r="P37" i="42"/>
  <c r="N37" i="42"/>
  <c r="L37" i="42"/>
  <c r="J37" i="42"/>
  <c r="H37" i="42"/>
  <c r="F37" i="42"/>
  <c r="D37" i="42"/>
  <c r="B37" i="42"/>
  <c r="T36" i="42"/>
  <c r="R36" i="42"/>
  <c r="P36" i="42"/>
  <c r="N36" i="42"/>
  <c r="L36" i="42"/>
  <c r="J36" i="42"/>
  <c r="H36" i="42"/>
  <c r="F36" i="42"/>
  <c r="D36" i="42"/>
  <c r="B36" i="42"/>
  <c r="T35" i="42"/>
  <c r="R35" i="42"/>
  <c r="P35" i="42"/>
  <c r="N35" i="42"/>
  <c r="L35" i="42"/>
  <c r="J35" i="42"/>
  <c r="H35" i="42"/>
  <c r="F35" i="42"/>
  <c r="D35" i="42"/>
  <c r="B35" i="42"/>
  <c r="T34" i="42"/>
  <c r="R34" i="42"/>
  <c r="P34" i="42"/>
  <c r="N34" i="42"/>
  <c r="L34" i="42"/>
  <c r="J34" i="42"/>
  <c r="H34" i="42"/>
  <c r="F34" i="42"/>
  <c r="D34" i="42"/>
  <c r="B34" i="42"/>
  <c r="T33" i="42"/>
  <c r="R33" i="42"/>
  <c r="P33" i="42"/>
  <c r="N33" i="42"/>
  <c r="L33" i="42"/>
  <c r="J33" i="42"/>
  <c r="H33" i="42"/>
  <c r="F33" i="42"/>
  <c r="D33" i="42"/>
  <c r="B33" i="42"/>
  <c r="T32" i="42"/>
  <c r="R32" i="42"/>
  <c r="P32" i="42"/>
  <c r="N32" i="42"/>
  <c r="L32" i="42"/>
  <c r="J32" i="42"/>
  <c r="H32" i="42"/>
  <c r="F32" i="42"/>
  <c r="D32" i="42"/>
  <c r="B32" i="42"/>
  <c r="T31" i="42"/>
  <c r="R31" i="42"/>
  <c r="P31" i="42"/>
  <c r="N31" i="42"/>
  <c r="L31" i="42"/>
  <c r="J31" i="42"/>
  <c r="H31" i="42"/>
  <c r="F31" i="42"/>
  <c r="D31" i="42"/>
  <c r="B31" i="42"/>
  <c r="T30" i="42"/>
  <c r="R30" i="42"/>
  <c r="P30" i="42"/>
  <c r="N30" i="42"/>
  <c r="L30" i="42"/>
  <c r="J30" i="42"/>
  <c r="H30" i="42"/>
  <c r="F30" i="42"/>
  <c r="D30" i="42"/>
  <c r="B30" i="42"/>
  <c r="T29" i="42"/>
  <c r="R29" i="42"/>
  <c r="P29" i="42"/>
  <c r="N29" i="42"/>
  <c r="L29" i="42"/>
  <c r="J29" i="42"/>
  <c r="H29" i="42"/>
  <c r="F29" i="42"/>
  <c r="D29" i="42"/>
  <c r="B29" i="42"/>
  <c r="T28" i="42"/>
  <c r="R28" i="42"/>
  <c r="P28" i="42"/>
  <c r="N28" i="42"/>
  <c r="L28" i="42"/>
  <c r="J28" i="42"/>
  <c r="H28" i="42"/>
  <c r="F28" i="42"/>
  <c r="D28" i="42"/>
  <c r="B28" i="42"/>
  <c r="T27" i="42"/>
  <c r="R27" i="42"/>
  <c r="P27" i="42"/>
  <c r="N27" i="42"/>
  <c r="L27" i="42"/>
  <c r="J27" i="42"/>
  <c r="H27" i="42"/>
  <c r="F27" i="42"/>
  <c r="D27" i="42"/>
  <c r="B27" i="42"/>
  <c r="T26" i="42"/>
  <c r="R26" i="42"/>
  <c r="P26" i="42"/>
  <c r="N26" i="42"/>
  <c r="L26" i="42"/>
  <c r="J26" i="42"/>
  <c r="H26" i="42"/>
  <c r="F26" i="42"/>
  <c r="D26" i="42"/>
  <c r="B26" i="42"/>
  <c r="T25" i="42"/>
  <c r="R25" i="42"/>
  <c r="P25" i="42"/>
  <c r="N25" i="42"/>
  <c r="L25" i="42"/>
  <c r="J25" i="42"/>
  <c r="H25" i="42"/>
  <c r="F25" i="42"/>
  <c r="D25" i="42"/>
  <c r="B25" i="42"/>
  <c r="T24" i="42"/>
  <c r="R24" i="42"/>
  <c r="P24" i="42"/>
  <c r="N24" i="42"/>
  <c r="L24" i="42"/>
  <c r="J24" i="42"/>
  <c r="H24" i="42"/>
  <c r="F24" i="42"/>
  <c r="D24" i="42"/>
  <c r="B24" i="42"/>
  <c r="T23" i="42"/>
  <c r="R23" i="42"/>
  <c r="P23" i="42"/>
  <c r="N23" i="42"/>
  <c r="L23" i="42"/>
  <c r="J23" i="42"/>
  <c r="H23" i="42"/>
  <c r="F23" i="42"/>
  <c r="D23" i="42"/>
  <c r="B23" i="42"/>
  <c r="T22" i="42"/>
  <c r="R22" i="42"/>
  <c r="P22" i="42"/>
  <c r="N22" i="42"/>
  <c r="L22" i="42"/>
  <c r="J22" i="42"/>
  <c r="H22" i="42"/>
  <c r="F22" i="42"/>
  <c r="D22" i="42"/>
  <c r="B22" i="42"/>
  <c r="T21" i="42"/>
  <c r="R21" i="42"/>
  <c r="P21" i="42"/>
  <c r="N21" i="42"/>
  <c r="L21" i="42"/>
  <c r="J21" i="42"/>
  <c r="H21" i="42"/>
  <c r="F21" i="42"/>
  <c r="D21" i="42"/>
  <c r="B21" i="42"/>
  <c r="T20" i="42"/>
  <c r="R20" i="42"/>
  <c r="P20" i="42"/>
  <c r="N20" i="42"/>
  <c r="L20" i="42"/>
  <c r="J20" i="42"/>
  <c r="H20" i="42"/>
  <c r="F20" i="42"/>
  <c r="D20" i="42"/>
  <c r="B20" i="42"/>
  <c r="T19" i="42"/>
  <c r="R19" i="42"/>
  <c r="P19" i="42"/>
  <c r="N19" i="42"/>
  <c r="L19" i="42"/>
  <c r="J19" i="42"/>
  <c r="H19" i="42"/>
  <c r="F19" i="42"/>
  <c r="D19" i="42"/>
  <c r="B19" i="42"/>
  <c r="T18" i="42"/>
  <c r="R18" i="42"/>
  <c r="N18" i="42"/>
  <c r="J18" i="42"/>
  <c r="F18" i="42"/>
  <c r="B18" i="42"/>
  <c r="T17" i="42"/>
  <c r="R17" i="42"/>
  <c r="P17" i="42"/>
  <c r="N17" i="42"/>
  <c r="L17" i="42"/>
  <c r="J17" i="42"/>
  <c r="H17" i="42"/>
  <c r="F17" i="42"/>
  <c r="D17" i="42"/>
  <c r="B17" i="42"/>
  <c r="T16" i="42"/>
  <c r="R16" i="42"/>
  <c r="P16" i="42"/>
  <c r="N16" i="42"/>
  <c r="L16" i="42"/>
  <c r="J16" i="42"/>
  <c r="H16" i="42"/>
  <c r="F16" i="42"/>
  <c r="D16" i="42"/>
  <c r="B16" i="42"/>
  <c r="T15" i="42"/>
  <c r="R15" i="42"/>
  <c r="P15" i="42"/>
  <c r="N15" i="42"/>
  <c r="L15" i="42"/>
  <c r="J15" i="42"/>
  <c r="H15" i="42"/>
  <c r="F15" i="42"/>
  <c r="D15" i="42"/>
  <c r="B15" i="42"/>
  <c r="T14" i="42"/>
  <c r="R14" i="42"/>
  <c r="P14" i="42"/>
  <c r="N14" i="42"/>
  <c r="L14" i="42"/>
  <c r="J14" i="42"/>
  <c r="H14" i="42"/>
  <c r="F14" i="42"/>
  <c r="D14" i="42"/>
  <c r="B14" i="42"/>
  <c r="T13" i="42"/>
  <c r="R13" i="42"/>
  <c r="P13" i="42"/>
  <c r="N13" i="42"/>
  <c r="L13" i="42"/>
  <c r="J13" i="42"/>
  <c r="H13" i="42"/>
  <c r="F13" i="42"/>
  <c r="D13" i="42"/>
  <c r="B13" i="42"/>
  <c r="T12" i="42"/>
  <c r="R12" i="42"/>
  <c r="P12" i="42"/>
  <c r="N12" i="42"/>
  <c r="L12" i="42"/>
  <c r="J12" i="42"/>
  <c r="H12" i="42"/>
  <c r="F12" i="42"/>
  <c r="D12" i="42"/>
  <c r="B12" i="42"/>
  <c r="T11" i="42"/>
  <c r="R11" i="42"/>
  <c r="P11" i="42"/>
  <c r="N11" i="42"/>
  <c r="L11" i="42"/>
  <c r="J11" i="42"/>
  <c r="F11" i="42"/>
  <c r="D11" i="42"/>
  <c r="B11" i="42"/>
  <c r="T10" i="42"/>
  <c r="R10" i="42"/>
  <c r="P10" i="42"/>
  <c r="N10" i="42"/>
  <c r="L10" i="42"/>
  <c r="J10" i="42"/>
  <c r="F10" i="42"/>
  <c r="D10" i="42"/>
  <c r="B10" i="42"/>
  <c r="T9" i="42"/>
  <c r="R9" i="42"/>
  <c r="P9" i="42"/>
  <c r="N9" i="42"/>
  <c r="L9" i="42"/>
  <c r="J9" i="42"/>
  <c r="H9" i="42"/>
  <c r="F9" i="42"/>
  <c r="D9" i="42"/>
  <c r="B9" i="42"/>
  <c r="T8" i="42"/>
  <c r="R8" i="42"/>
  <c r="P8" i="42"/>
  <c r="N8" i="42"/>
  <c r="L8" i="42"/>
  <c r="J8" i="42"/>
  <c r="H8" i="42"/>
  <c r="F8" i="42"/>
  <c r="D8" i="42"/>
  <c r="B8" i="42"/>
  <c r="T7" i="42"/>
  <c r="R7" i="42"/>
  <c r="P7" i="42"/>
  <c r="N7" i="42"/>
  <c r="L7" i="42"/>
  <c r="J7" i="42"/>
  <c r="H7" i="42"/>
  <c r="F7" i="42"/>
  <c r="D7" i="42"/>
  <c r="B7" i="42"/>
  <c r="T6" i="42"/>
  <c r="R6" i="42"/>
  <c r="P6" i="42"/>
  <c r="N6" i="42"/>
  <c r="L6" i="42"/>
  <c r="J6" i="42"/>
  <c r="H6" i="42"/>
  <c r="F6" i="42"/>
  <c r="D6" i="42"/>
  <c r="B6" i="42"/>
  <c r="Y118" i="41"/>
  <c r="X118" i="41"/>
  <c r="W118" i="41"/>
  <c r="N118" i="41"/>
  <c r="J118" i="41"/>
  <c r="B118" i="41"/>
  <c r="X117" i="41"/>
  <c r="E117" i="41"/>
  <c r="Y117" i="41" s="1"/>
  <c r="Y116" i="41"/>
  <c r="Y113" i="41"/>
  <c r="X113" i="41"/>
  <c r="W113" i="41"/>
  <c r="V113" i="41"/>
  <c r="Y112" i="41"/>
  <c r="W112" i="41"/>
  <c r="V112" i="41"/>
  <c r="Y111" i="41"/>
  <c r="X111" i="41"/>
  <c r="W111" i="41"/>
  <c r="V111" i="41"/>
  <c r="Y110" i="41"/>
  <c r="X110" i="41"/>
  <c r="W110" i="41"/>
  <c r="V110" i="41"/>
  <c r="Y109" i="41"/>
  <c r="X109" i="41"/>
  <c r="W109" i="41"/>
  <c r="V109" i="41"/>
  <c r="Y108" i="41"/>
  <c r="X108" i="41"/>
  <c r="Y107" i="41"/>
  <c r="X107" i="41"/>
  <c r="W107" i="41"/>
  <c r="V107" i="41"/>
  <c r="X106" i="41"/>
  <c r="W106" i="41"/>
  <c r="V106" i="41"/>
  <c r="Y105" i="41"/>
  <c r="X105" i="41"/>
  <c r="W105" i="41"/>
  <c r="V105" i="41"/>
  <c r="Y104" i="41"/>
  <c r="X104" i="41"/>
  <c r="W104" i="41"/>
  <c r="V104" i="41"/>
  <c r="X102" i="41"/>
  <c r="W102" i="41"/>
  <c r="Y100" i="41"/>
  <c r="X100" i="41"/>
  <c r="Y99" i="41"/>
  <c r="X99" i="41"/>
  <c r="W99" i="41"/>
  <c r="V99" i="41"/>
  <c r="Y97" i="41"/>
  <c r="X97" i="41"/>
  <c r="W97" i="41"/>
  <c r="V97" i="41"/>
  <c r="Y96" i="41"/>
  <c r="W96" i="41"/>
  <c r="V96" i="41"/>
  <c r="Y94" i="41"/>
  <c r="X94" i="41"/>
  <c r="W94" i="41"/>
  <c r="V94" i="41"/>
  <c r="Y92" i="41"/>
  <c r="X92" i="41"/>
  <c r="W92" i="41"/>
  <c r="V92" i="41"/>
  <c r="Y91" i="41"/>
  <c r="X91" i="41"/>
  <c r="W91" i="41"/>
  <c r="Y90" i="41"/>
  <c r="X90" i="41"/>
  <c r="W90" i="41"/>
  <c r="V90" i="41"/>
  <c r="Y89" i="41"/>
  <c r="X89" i="41"/>
  <c r="W89" i="41"/>
  <c r="V89" i="41"/>
  <c r="Y88" i="41"/>
  <c r="X88" i="41"/>
  <c r="W88" i="41"/>
  <c r="V88" i="41"/>
  <c r="Y87" i="41"/>
  <c r="Y86" i="41"/>
  <c r="X86" i="41"/>
  <c r="W86" i="41"/>
  <c r="V86" i="41"/>
  <c r="Y85" i="41"/>
  <c r="X85" i="41"/>
  <c r="W85" i="41"/>
  <c r="V85" i="41"/>
  <c r="Y84" i="41"/>
  <c r="X84" i="41"/>
  <c r="W84" i="41"/>
  <c r="V84" i="41"/>
  <c r="Y82" i="41"/>
  <c r="X82" i="41"/>
  <c r="W82" i="41"/>
  <c r="V82" i="41"/>
  <c r="W81" i="41"/>
  <c r="Y79" i="41"/>
  <c r="X79" i="41"/>
  <c r="W79" i="41"/>
  <c r="V79" i="41"/>
  <c r="Y78" i="41"/>
  <c r="W78" i="41"/>
  <c r="V78" i="41"/>
  <c r="X77" i="41"/>
  <c r="V77" i="41"/>
  <c r="V76" i="41"/>
  <c r="Y75" i="41"/>
  <c r="V75" i="41"/>
  <c r="W15" i="42" l="1"/>
  <c r="M15" i="42" s="1"/>
  <c r="W57" i="42"/>
  <c r="I57" i="42" s="1"/>
  <c r="W59" i="42"/>
  <c r="U59" i="42" s="1"/>
  <c r="W8" i="42"/>
  <c r="U8" i="42" s="1"/>
  <c r="V18" i="42"/>
  <c r="G18" i="42" s="1"/>
  <c r="V22" i="42"/>
  <c r="O22" i="42" s="1"/>
  <c r="V32" i="42"/>
  <c r="G32" i="42" s="1"/>
  <c r="V36" i="42"/>
  <c r="K36" i="42" s="1"/>
  <c r="V42" i="42"/>
  <c r="S42" i="42" s="1"/>
  <c r="W42" i="42"/>
  <c r="U42" i="42" s="1"/>
  <c r="W56" i="42"/>
  <c r="I56" i="42" s="1"/>
  <c r="W70" i="42"/>
  <c r="I70" i="42" s="1"/>
  <c r="W17" i="42"/>
  <c r="U17" i="42" s="1"/>
  <c r="W23" i="42"/>
  <c r="Q23" i="42" s="1"/>
  <c r="W27" i="42"/>
  <c r="U27" i="42" s="1"/>
  <c r="W31" i="42"/>
  <c r="Q31" i="42" s="1"/>
  <c r="W37" i="42"/>
  <c r="U37" i="42" s="1"/>
  <c r="W39" i="42"/>
  <c r="M39" i="42" s="1"/>
  <c r="W47" i="42"/>
  <c r="U47" i="42" s="1"/>
  <c r="W55" i="42"/>
  <c r="U55" i="42" s="1"/>
  <c r="V65" i="42"/>
  <c r="S65" i="42" s="1"/>
  <c r="W13" i="42"/>
  <c r="I13" i="42" s="1"/>
  <c r="V41" i="42"/>
  <c r="K41" i="42" s="1"/>
  <c r="W24" i="42"/>
  <c r="I24" i="42" s="1"/>
  <c r="W32" i="42"/>
  <c r="I32" i="42" s="1"/>
  <c r="V54" i="42"/>
  <c r="K54" i="42" s="1"/>
  <c r="V68" i="42"/>
  <c r="S68" i="42" s="1"/>
  <c r="W10" i="42"/>
  <c r="I10" i="42" s="1"/>
  <c r="V27" i="42"/>
  <c r="S27" i="42" s="1"/>
  <c r="V40" i="42"/>
  <c r="G40" i="42" s="1"/>
  <c r="W41" i="42"/>
  <c r="U41" i="42" s="1"/>
  <c r="V47" i="42"/>
  <c r="G47" i="42" s="1"/>
  <c r="W52" i="42"/>
  <c r="E52" i="42" s="1"/>
  <c r="W54" i="42"/>
  <c r="M54" i="42" s="1"/>
  <c r="W64" i="42"/>
  <c r="Q64" i="42" s="1"/>
  <c r="V60" i="42"/>
  <c r="G60" i="42" s="1"/>
  <c r="V23" i="42"/>
  <c r="C23" i="42" s="1"/>
  <c r="V26" i="42"/>
  <c r="K26" i="42" s="1"/>
  <c r="W35" i="42"/>
  <c r="Q35" i="42" s="1"/>
  <c r="W19" i="42"/>
  <c r="I19" i="42" s="1"/>
  <c r="U52" i="42"/>
  <c r="V25" i="42"/>
  <c r="O25" i="42" s="1"/>
  <c r="W26" i="42"/>
  <c r="E26" i="42" s="1"/>
  <c r="W28" i="42"/>
  <c r="Q28" i="42" s="1"/>
  <c r="V29" i="42"/>
  <c r="C29" i="42" s="1"/>
  <c r="V8" i="42"/>
  <c r="S8" i="42" s="1"/>
  <c r="V19" i="42"/>
  <c r="G19" i="42" s="1"/>
  <c r="W22" i="42"/>
  <c r="U22" i="42" s="1"/>
  <c r="V31" i="42"/>
  <c r="S31" i="42" s="1"/>
  <c r="V34" i="42"/>
  <c r="S34" i="42" s="1"/>
  <c r="W34" i="42"/>
  <c r="Q34" i="42" s="1"/>
  <c r="W40" i="42"/>
  <c r="I40" i="42" s="1"/>
  <c r="W43" i="42"/>
  <c r="W45" i="42"/>
  <c r="E45" i="42" s="1"/>
  <c r="W49" i="42"/>
  <c r="M49" i="42" s="1"/>
  <c r="W53" i="42"/>
  <c r="I53" i="42" s="1"/>
  <c r="W14" i="42"/>
  <c r="U14" i="42" s="1"/>
  <c r="W33" i="42"/>
  <c r="E33" i="42" s="1"/>
  <c r="W38" i="42"/>
  <c r="M38" i="42" s="1"/>
  <c r="W46" i="42"/>
  <c r="I46" i="42" s="1"/>
  <c r="V50" i="42"/>
  <c r="K50" i="42" s="1"/>
  <c r="W51" i="42"/>
  <c r="I51" i="42" s="1"/>
  <c r="V56" i="42"/>
  <c r="S56" i="42" s="1"/>
  <c r="V58" i="42"/>
  <c r="S58" i="42" s="1"/>
  <c r="W62" i="42"/>
  <c r="I62" i="42" s="1"/>
  <c r="W65" i="42"/>
  <c r="E65" i="42" s="1"/>
  <c r="W67" i="42"/>
  <c r="W69" i="42"/>
  <c r="V52" i="42"/>
  <c r="K52" i="42" s="1"/>
  <c r="V55" i="42"/>
  <c r="S55" i="42" s="1"/>
  <c r="V63" i="42"/>
  <c r="K63" i="42" s="1"/>
  <c r="V70" i="42"/>
  <c r="G70" i="42" s="1"/>
  <c r="V10" i="42"/>
  <c r="G10" i="42" s="1"/>
  <c r="V14" i="42"/>
  <c r="O14" i="42" s="1"/>
  <c r="W18" i="42"/>
  <c r="I18" i="42" s="1"/>
  <c r="V21" i="42"/>
  <c r="G21" i="42" s="1"/>
  <c r="W25" i="42"/>
  <c r="I25" i="42" s="1"/>
  <c r="V38" i="42"/>
  <c r="O38" i="42" s="1"/>
  <c r="V44" i="42"/>
  <c r="C44" i="42" s="1"/>
  <c r="V46" i="42"/>
  <c r="V48" i="42"/>
  <c r="C48" i="42" s="1"/>
  <c r="V49" i="42"/>
  <c r="S49" i="42" s="1"/>
  <c r="V59" i="42"/>
  <c r="G59" i="42" s="1"/>
  <c r="W63" i="42"/>
  <c r="U63" i="42" s="1"/>
  <c r="V37" i="42"/>
  <c r="K37" i="42" s="1"/>
  <c r="W6" i="42"/>
  <c r="E6" i="42" s="1"/>
  <c r="V13" i="42"/>
  <c r="G13" i="42" s="1"/>
  <c r="V17" i="42"/>
  <c r="O17" i="42" s="1"/>
  <c r="W20" i="42"/>
  <c r="I20" i="42" s="1"/>
  <c r="V24" i="42"/>
  <c r="O24" i="42" s="1"/>
  <c r="W29" i="42"/>
  <c r="E29" i="42" s="1"/>
  <c r="V39" i="42"/>
  <c r="O39" i="42" s="1"/>
  <c r="W44" i="42"/>
  <c r="E44" i="42" s="1"/>
  <c r="V51" i="42"/>
  <c r="S51" i="42" s="1"/>
  <c r="V57" i="42"/>
  <c r="C57" i="42" s="1"/>
  <c r="V64" i="42"/>
  <c r="S64" i="42" s="1"/>
  <c r="W9" i="42"/>
  <c r="M9" i="42" s="1"/>
  <c r="V15" i="42"/>
  <c r="K15" i="42" s="1"/>
  <c r="V35" i="42"/>
  <c r="K35" i="42" s="1"/>
  <c r="V45" i="42"/>
  <c r="O45" i="42" s="1"/>
  <c r="V53" i="42"/>
  <c r="G53" i="42" s="1"/>
  <c r="W58" i="42"/>
  <c r="U58" i="42" s="1"/>
  <c r="M59" i="42"/>
  <c r="W7" i="42"/>
  <c r="I7" i="42" s="1"/>
  <c r="W21" i="42"/>
  <c r="E21" i="42" s="1"/>
  <c r="K25" i="42"/>
  <c r="W36" i="42"/>
  <c r="M36" i="42" s="1"/>
  <c r="W60" i="42"/>
  <c r="U60" i="42" s="1"/>
  <c r="W61" i="42"/>
  <c r="Q61" i="42" s="1"/>
  <c r="W66" i="42"/>
  <c r="U66" i="42" s="1"/>
  <c r="V28" i="42"/>
  <c r="S28" i="42" s="1"/>
  <c r="V43" i="42"/>
  <c r="S43" i="42" s="1"/>
  <c r="V62" i="42"/>
  <c r="C62" i="42" s="1"/>
  <c r="V69" i="42"/>
  <c r="O69" i="42" s="1"/>
  <c r="V67" i="42"/>
  <c r="O67" i="42" s="1"/>
  <c r="W68" i="42"/>
  <c r="U68" i="42" s="1"/>
  <c r="V118" i="41"/>
  <c r="K29" i="42" l="1"/>
  <c r="Q15" i="42"/>
  <c r="G29" i="42"/>
  <c r="U15" i="42"/>
  <c r="I59" i="42"/>
  <c r="K68" i="42"/>
  <c r="E59" i="42"/>
  <c r="Q59" i="42"/>
  <c r="C32" i="42"/>
  <c r="O56" i="42"/>
  <c r="C36" i="42"/>
  <c r="M42" i="42"/>
  <c r="K18" i="42"/>
  <c r="E15" i="42"/>
  <c r="S63" i="42"/>
  <c r="M70" i="42"/>
  <c r="M55" i="42"/>
  <c r="C25" i="42"/>
  <c r="Q8" i="42"/>
  <c r="E24" i="42"/>
  <c r="Q70" i="42"/>
  <c r="G36" i="42"/>
  <c r="M57" i="42"/>
  <c r="M20" i="42"/>
  <c r="U70" i="42"/>
  <c r="Q20" i="42"/>
  <c r="C40" i="42"/>
  <c r="S25" i="42"/>
  <c r="S36" i="42"/>
  <c r="E63" i="42"/>
  <c r="I39" i="42"/>
  <c r="G27" i="42"/>
  <c r="G22" i="42"/>
  <c r="E57" i="42"/>
  <c r="M37" i="42"/>
  <c r="I15" i="42"/>
  <c r="Q39" i="42"/>
  <c r="M24" i="42"/>
  <c r="K47" i="42"/>
  <c r="U57" i="42"/>
  <c r="E70" i="42"/>
  <c r="Q42" i="42"/>
  <c r="M8" i="42"/>
  <c r="K42" i="42"/>
  <c r="S22" i="42"/>
  <c r="M52" i="42"/>
  <c r="Q52" i="42"/>
  <c r="Q41" i="42"/>
  <c r="M64" i="42"/>
  <c r="Q57" i="42"/>
  <c r="Q13" i="42"/>
  <c r="C56" i="42"/>
  <c r="K55" i="42"/>
  <c r="I63" i="42"/>
  <c r="O48" i="42"/>
  <c r="I42" i="42"/>
  <c r="Q63" i="42"/>
  <c r="O27" i="42"/>
  <c r="C22" i="42"/>
  <c r="E32" i="42"/>
  <c r="K22" i="42"/>
  <c r="I65" i="42"/>
  <c r="E42" i="42"/>
  <c r="G34" i="42"/>
  <c r="E22" i="42"/>
  <c r="I17" i="42"/>
  <c r="K27" i="42"/>
  <c r="I47" i="42"/>
  <c r="U32" i="42"/>
  <c r="I52" i="42"/>
  <c r="I23" i="42"/>
  <c r="U23" i="42"/>
  <c r="M13" i="42"/>
  <c r="Q27" i="42"/>
  <c r="M47" i="42"/>
  <c r="K32" i="42"/>
  <c r="Q33" i="42"/>
  <c r="E56" i="42"/>
  <c r="S70" i="42"/>
  <c r="M27" i="42"/>
  <c r="O8" i="42"/>
  <c r="Q47" i="42"/>
  <c r="S69" i="42"/>
  <c r="K57" i="42"/>
  <c r="U61" i="42"/>
  <c r="G49" i="42"/>
  <c r="S35" i="42"/>
  <c r="I27" i="42"/>
  <c r="M29" i="42"/>
  <c r="U24" i="42"/>
  <c r="E14" i="42"/>
  <c r="C63" i="42"/>
  <c r="O32" i="42"/>
  <c r="O65" i="42"/>
  <c r="C65" i="42"/>
  <c r="M65" i="42"/>
  <c r="I37" i="42"/>
  <c r="O18" i="42"/>
  <c r="U65" i="42"/>
  <c r="M17" i="42"/>
  <c r="G42" i="42"/>
  <c r="U25" i="42"/>
  <c r="I64" i="42"/>
  <c r="M41" i="42"/>
  <c r="U64" i="42"/>
  <c r="K65" i="42"/>
  <c r="G65" i="42"/>
  <c r="U33" i="42"/>
  <c r="G68" i="42"/>
  <c r="E55" i="42"/>
  <c r="S40" i="42"/>
  <c r="E37" i="42"/>
  <c r="M33" i="42"/>
  <c r="C18" i="42"/>
  <c r="S18" i="42"/>
  <c r="I8" i="42"/>
  <c r="Q17" i="42"/>
  <c r="S10" i="42"/>
  <c r="C42" i="42"/>
  <c r="O59" i="42"/>
  <c r="C68" i="42"/>
  <c r="C52" i="42"/>
  <c r="I41" i="42"/>
  <c r="I28" i="42"/>
  <c r="E66" i="42"/>
  <c r="Q65" i="42"/>
  <c r="G54" i="42"/>
  <c r="O68" i="42"/>
  <c r="M53" i="42"/>
  <c r="Q37" i="42"/>
  <c r="E27" i="42"/>
  <c r="M22" i="42"/>
  <c r="E8" i="42"/>
  <c r="O36" i="42"/>
  <c r="E17" i="42"/>
  <c r="O42" i="42"/>
  <c r="C27" i="42"/>
  <c r="E47" i="42"/>
  <c r="M32" i="42"/>
  <c r="S32" i="42"/>
  <c r="S48" i="42"/>
  <c r="U18" i="42"/>
  <c r="U56" i="42"/>
  <c r="E41" i="42"/>
  <c r="M56" i="42"/>
  <c r="S23" i="42"/>
  <c r="Q56" i="42"/>
  <c r="Q62" i="42"/>
  <c r="G63" i="42"/>
  <c r="Q55" i="42"/>
  <c r="E53" i="42"/>
  <c r="G48" i="42"/>
  <c r="C34" i="42"/>
  <c r="U10" i="42"/>
  <c r="E54" i="42"/>
  <c r="E39" i="42"/>
  <c r="U39" i="42"/>
  <c r="Q24" i="42"/>
  <c r="E23" i="42"/>
  <c r="C8" i="42"/>
  <c r="G24" i="42"/>
  <c r="S59" i="42"/>
  <c r="M46" i="42"/>
  <c r="I31" i="42"/>
  <c r="I34" i="42"/>
  <c r="Q26" i="42"/>
  <c r="U13" i="42"/>
  <c r="U31" i="42"/>
  <c r="M23" i="42"/>
  <c r="M31" i="42"/>
  <c r="E13" i="42"/>
  <c r="U19" i="42"/>
  <c r="M60" i="42"/>
  <c r="O63" i="42"/>
  <c r="O54" i="42"/>
  <c r="I55" i="42"/>
  <c r="U53" i="42"/>
  <c r="K40" i="42"/>
  <c r="K34" i="42"/>
  <c r="E31" i="42"/>
  <c r="G56" i="42"/>
  <c r="O21" i="42"/>
  <c r="G55" i="42"/>
  <c r="E25" i="42"/>
  <c r="S21" i="42"/>
  <c r="M10" i="42"/>
  <c r="C59" i="42"/>
  <c r="K48" i="42"/>
  <c r="M25" i="42"/>
  <c r="I33" i="42"/>
  <c r="C60" i="42"/>
  <c r="Q10" i="42"/>
  <c r="S60" i="42"/>
  <c r="Q51" i="42"/>
  <c r="C31" i="42"/>
  <c r="E64" i="42"/>
  <c r="K23" i="42"/>
  <c r="K31" i="42"/>
  <c r="I44" i="42"/>
  <c r="M68" i="42"/>
  <c r="M44" i="42"/>
  <c r="Q40" i="42"/>
  <c r="Q54" i="42"/>
  <c r="K19" i="42"/>
  <c r="O60" i="42"/>
  <c r="G69" i="42"/>
  <c r="Q6" i="42"/>
  <c r="O70" i="42"/>
  <c r="S62" i="42"/>
  <c r="C54" i="42"/>
  <c r="S54" i="42"/>
  <c r="O35" i="42"/>
  <c r="E60" i="42"/>
  <c r="Q53" i="42"/>
  <c r="C49" i="42"/>
  <c r="O40" i="42"/>
  <c r="C35" i="42"/>
  <c r="G25" i="42"/>
  <c r="Q22" i="42"/>
  <c r="E10" i="42"/>
  <c r="O55" i="42"/>
  <c r="C47" i="42"/>
  <c r="E38" i="42"/>
  <c r="E18" i="42"/>
  <c r="Q32" i="42"/>
  <c r="O15" i="42"/>
  <c r="K39" i="42"/>
  <c r="K59" i="42"/>
  <c r="I54" i="42"/>
  <c r="U38" i="42"/>
  <c r="Q25" i="42"/>
  <c r="C19" i="42"/>
  <c r="O26" i="42"/>
  <c r="S41" i="42"/>
  <c r="K60" i="42"/>
  <c r="O41" i="42"/>
  <c r="G62" i="42"/>
  <c r="C70" i="42"/>
  <c r="I58" i="42"/>
  <c r="U44" i="42"/>
  <c r="K49" i="42"/>
  <c r="E46" i="42"/>
  <c r="I22" i="42"/>
  <c r="K70" i="42"/>
  <c r="M7" i="42"/>
  <c r="O62" i="42"/>
  <c r="E40" i="42"/>
  <c r="E20" i="42"/>
  <c r="K8" i="42"/>
  <c r="O47" i="42"/>
  <c r="S47" i="42"/>
  <c r="U54" i="42"/>
  <c r="U40" i="42"/>
  <c r="U46" i="42"/>
  <c r="S19" i="42"/>
  <c r="Q46" i="42"/>
  <c r="C26" i="42"/>
  <c r="C41" i="42"/>
  <c r="G41" i="42"/>
  <c r="I43" i="42"/>
  <c r="Q43" i="42"/>
  <c r="U43" i="42"/>
  <c r="Q14" i="42"/>
  <c r="G38" i="42"/>
  <c r="U49" i="42"/>
  <c r="C21" i="42"/>
  <c r="C39" i="42"/>
  <c r="K45" i="42"/>
  <c r="C51" i="42"/>
  <c r="S50" i="42"/>
  <c r="S46" i="42"/>
  <c r="K46" i="42"/>
  <c r="C46" i="42"/>
  <c r="O10" i="42"/>
  <c r="K10" i="42"/>
  <c r="M67" i="42"/>
  <c r="U67" i="42"/>
  <c r="E67" i="42"/>
  <c r="G50" i="42"/>
  <c r="G46" i="42"/>
  <c r="I26" i="42"/>
  <c r="S29" i="42"/>
  <c r="O29" i="42"/>
  <c r="K58" i="42"/>
  <c r="U26" i="42"/>
  <c r="I14" i="42"/>
  <c r="E43" i="42"/>
  <c r="M19" i="42"/>
  <c r="K51" i="42"/>
  <c r="M69" i="42"/>
  <c r="U69" i="42"/>
  <c r="E69" i="42"/>
  <c r="K21" i="42"/>
  <c r="Q68" i="42"/>
  <c r="M63" i="42"/>
  <c r="C50" i="42"/>
  <c r="M18" i="42"/>
  <c r="S45" i="42"/>
  <c r="M14" i="42"/>
  <c r="Q18" i="42"/>
  <c r="Q69" i="42"/>
  <c r="I45" i="42"/>
  <c r="Q45" i="42"/>
  <c r="Q38" i="42"/>
  <c r="Q67" i="42"/>
  <c r="I38" i="42"/>
  <c r="G26" i="42"/>
  <c r="Q19" i="42"/>
  <c r="M45" i="42"/>
  <c r="M26" i="42"/>
  <c r="O19" i="42"/>
  <c r="O46" i="42"/>
  <c r="M35" i="42"/>
  <c r="E35" i="42"/>
  <c r="U35" i="42"/>
  <c r="S26" i="42"/>
  <c r="E19" i="42"/>
  <c r="G51" i="42"/>
  <c r="C38" i="42"/>
  <c r="S38" i="42"/>
  <c r="K38" i="42"/>
  <c r="G58" i="42"/>
  <c r="O58" i="42"/>
  <c r="C58" i="42"/>
  <c r="Q49" i="42"/>
  <c r="I49" i="42"/>
  <c r="G28" i="42"/>
  <c r="K69" i="42"/>
  <c r="C69" i="42"/>
  <c r="K28" i="42"/>
  <c r="G45" i="42"/>
  <c r="O51" i="42"/>
  <c r="C24" i="42"/>
  <c r="S44" i="42"/>
  <c r="K44" i="42"/>
  <c r="S67" i="42"/>
  <c r="O50" i="42"/>
  <c r="E68" i="42"/>
  <c r="O64" i="42"/>
  <c r="I68" i="42"/>
  <c r="Q60" i="42"/>
  <c r="O49" i="42"/>
  <c r="O34" i="42"/>
  <c r="C64" i="42"/>
  <c r="K56" i="42"/>
  <c r="G44" i="42"/>
  <c r="G35" i="42"/>
  <c r="U21" i="42"/>
  <c r="C10" i="42"/>
  <c r="K67" i="42"/>
  <c r="C55" i="42"/>
  <c r="C43" i="42"/>
  <c r="C28" i="42"/>
  <c r="G8" i="42"/>
  <c r="M21" i="42"/>
  <c r="G39" i="42"/>
  <c r="C17" i="42"/>
  <c r="M40" i="42"/>
  <c r="K14" i="42"/>
  <c r="C14" i="42"/>
  <c r="S14" i="42"/>
  <c r="G52" i="42"/>
  <c r="O52" i="42"/>
  <c r="M62" i="42"/>
  <c r="U62" i="42"/>
  <c r="E62" i="42"/>
  <c r="M51" i="42"/>
  <c r="U51" i="42"/>
  <c r="E51" i="42"/>
  <c r="I69" i="42"/>
  <c r="E49" i="42"/>
  <c r="O44" i="42"/>
  <c r="U34" i="42"/>
  <c r="M34" i="42"/>
  <c r="E34" i="42"/>
  <c r="O31" i="42"/>
  <c r="G31" i="42"/>
  <c r="I67" i="42"/>
  <c r="U45" i="42"/>
  <c r="E28" i="42"/>
  <c r="U28" i="42"/>
  <c r="M28" i="42"/>
  <c r="M43" i="42"/>
  <c r="S52" i="42"/>
  <c r="I35" i="42"/>
  <c r="G23" i="42"/>
  <c r="O23" i="42"/>
  <c r="G14" i="42"/>
  <c r="U36" i="42"/>
  <c r="E58" i="42"/>
  <c r="C37" i="42"/>
  <c r="Q36" i="42"/>
  <c r="E61" i="42"/>
  <c r="M6" i="42"/>
  <c r="U6" i="42"/>
  <c r="I6" i="42"/>
  <c r="M61" i="42"/>
  <c r="C67" i="42"/>
  <c r="G67" i="42"/>
  <c r="G43" i="42"/>
  <c r="U29" i="42"/>
  <c r="Q66" i="42"/>
  <c r="M66" i="42"/>
  <c r="I61" i="42"/>
  <c r="M58" i="42"/>
  <c r="K43" i="42"/>
  <c r="I29" i="42"/>
  <c r="K62" i="42"/>
  <c r="S57" i="42"/>
  <c r="O43" i="42"/>
  <c r="E36" i="42"/>
  <c r="C15" i="42"/>
  <c r="S15" i="42"/>
  <c r="G64" i="42"/>
  <c r="I60" i="42"/>
  <c r="G57" i="42"/>
  <c r="Q44" i="42"/>
  <c r="Q29" i="42"/>
  <c r="I21" i="42"/>
  <c r="S37" i="42"/>
  <c r="G15" i="42"/>
  <c r="S17" i="42"/>
  <c r="G37" i="42"/>
  <c r="G17" i="42"/>
  <c r="C45" i="42"/>
  <c r="S24" i="42"/>
  <c r="O37" i="42"/>
  <c r="I9" i="42"/>
  <c r="U9" i="42"/>
  <c r="Q58" i="42"/>
  <c r="S53" i="42"/>
  <c r="C53" i="42"/>
  <c r="I36" i="42"/>
  <c r="C13" i="42"/>
  <c r="K64" i="42"/>
  <c r="I66" i="42"/>
  <c r="O57" i="42"/>
  <c r="Q21" i="42"/>
  <c r="O28" i="42"/>
  <c r="E9" i="42"/>
  <c r="Q9" i="42"/>
  <c r="O13" i="42"/>
  <c r="K17" i="42"/>
  <c r="S39" i="42"/>
  <c r="U20" i="42"/>
  <c r="K53" i="42"/>
  <c r="K13" i="42"/>
  <c r="O53" i="42"/>
  <c r="K24" i="42"/>
  <c r="S13" i="42"/>
  <c r="Y70" i="41" l="1"/>
  <c r="X70" i="41"/>
  <c r="Y69" i="41"/>
  <c r="X69" i="41"/>
  <c r="W69" i="41"/>
  <c r="N69" i="41"/>
  <c r="J69" i="41"/>
  <c r="B69" i="41"/>
  <c r="Y68" i="41"/>
  <c r="X68" i="41"/>
  <c r="W68" i="41"/>
  <c r="V68" i="41"/>
  <c r="X67" i="41"/>
  <c r="E67" i="41"/>
  <c r="Y67" i="41" s="1"/>
  <c r="Y66" i="41"/>
  <c r="Y65" i="41"/>
  <c r="X65" i="41"/>
  <c r="W65" i="41"/>
  <c r="V65" i="41"/>
  <c r="Y64" i="41"/>
  <c r="X64" i="41"/>
  <c r="Y63" i="41"/>
  <c r="X63" i="41"/>
  <c r="Y62" i="41"/>
  <c r="X62" i="41"/>
  <c r="W62" i="41"/>
  <c r="V62" i="41"/>
  <c r="Y61" i="41"/>
  <c r="W61" i="41"/>
  <c r="V61" i="41"/>
  <c r="Y60" i="41"/>
  <c r="X60" i="41"/>
  <c r="W60" i="41"/>
  <c r="V60" i="41"/>
  <c r="Y59" i="41"/>
  <c r="X59" i="41"/>
  <c r="W59" i="41"/>
  <c r="V59" i="41"/>
  <c r="Y58" i="41"/>
  <c r="X58" i="41"/>
  <c r="W58" i="41"/>
  <c r="V58" i="41"/>
  <c r="Y57" i="41"/>
  <c r="X57" i="41"/>
  <c r="W57" i="41"/>
  <c r="Y56" i="41"/>
  <c r="X56" i="41"/>
  <c r="W56" i="41"/>
  <c r="V56" i="41"/>
  <c r="Y55" i="41"/>
  <c r="X55" i="41"/>
  <c r="W55" i="41"/>
  <c r="V55" i="41"/>
  <c r="Y54" i="41"/>
  <c r="X54" i="41"/>
  <c r="W54" i="41"/>
  <c r="V54" i="41"/>
  <c r="Y53" i="41"/>
  <c r="X53" i="41"/>
  <c r="W53" i="41"/>
  <c r="V53" i="41"/>
  <c r="Y52" i="41"/>
  <c r="X52" i="41"/>
  <c r="Y51" i="41"/>
  <c r="X51" i="41"/>
  <c r="W51" i="41"/>
  <c r="V51" i="41"/>
  <c r="X50" i="41"/>
  <c r="W50" i="41"/>
  <c r="V50" i="41"/>
  <c r="Y49" i="41"/>
  <c r="X49" i="41"/>
  <c r="W49" i="41"/>
  <c r="V49" i="41"/>
  <c r="X48" i="41"/>
  <c r="W48" i="41"/>
  <c r="V48" i="41"/>
  <c r="Y47" i="41"/>
  <c r="X47" i="41"/>
  <c r="W47" i="41"/>
  <c r="V47" i="41"/>
  <c r="Y46" i="41"/>
  <c r="X46" i="41"/>
  <c r="W46" i="41"/>
  <c r="V46" i="41"/>
  <c r="Y45" i="41"/>
  <c r="X45" i="41"/>
  <c r="Y44" i="41"/>
  <c r="X44" i="41"/>
  <c r="W44" i="41"/>
  <c r="Y43" i="41"/>
  <c r="X43" i="41"/>
  <c r="W43" i="41"/>
  <c r="Y42" i="41"/>
  <c r="X42" i="41"/>
  <c r="W42" i="41"/>
  <c r="V42" i="41"/>
  <c r="Y41" i="41"/>
  <c r="X41" i="41"/>
  <c r="Y40" i="41"/>
  <c r="X40" i="41"/>
  <c r="W40" i="41"/>
  <c r="V40" i="41"/>
  <c r="Y39" i="41"/>
  <c r="X39" i="41"/>
  <c r="W39" i="41"/>
  <c r="V39" i="41"/>
  <c r="Y38" i="41"/>
  <c r="X38" i="41"/>
  <c r="W38" i="41"/>
  <c r="V38" i="41"/>
  <c r="Y37" i="41"/>
  <c r="X37" i="41"/>
  <c r="W37" i="41"/>
  <c r="V37" i="41"/>
  <c r="Y36" i="41"/>
  <c r="X36" i="41"/>
  <c r="W36" i="41"/>
  <c r="Y35" i="41"/>
  <c r="X35" i="41"/>
  <c r="Y34" i="41"/>
  <c r="X34" i="41"/>
  <c r="W34" i="41"/>
  <c r="V34" i="41"/>
  <c r="Y33" i="41"/>
  <c r="W33" i="41"/>
  <c r="V33" i="41"/>
  <c r="Y32" i="41"/>
  <c r="X32" i="41"/>
  <c r="W32" i="41"/>
  <c r="V32" i="41"/>
  <c r="Y31" i="41"/>
  <c r="X31" i="41"/>
  <c r="W31" i="41"/>
  <c r="V31" i="41"/>
  <c r="W30" i="41"/>
  <c r="Y29" i="41"/>
  <c r="X29" i="41"/>
  <c r="Y28" i="41"/>
  <c r="X28" i="41"/>
  <c r="W28" i="41"/>
  <c r="V28" i="41"/>
  <c r="Y27" i="41"/>
  <c r="X27" i="41"/>
  <c r="Y26" i="41"/>
  <c r="X26" i="41"/>
  <c r="W26" i="41"/>
  <c r="V26" i="41"/>
  <c r="Y25" i="41"/>
  <c r="X25" i="41"/>
  <c r="W25" i="41"/>
  <c r="Y24" i="41"/>
  <c r="X24" i="41"/>
  <c r="W24" i="41"/>
  <c r="Y23" i="41"/>
  <c r="X23" i="41"/>
  <c r="W23" i="41"/>
  <c r="V23" i="41"/>
  <c r="Y22" i="41"/>
  <c r="X22" i="41"/>
  <c r="W22" i="41"/>
  <c r="V22" i="41"/>
  <c r="Y21" i="41"/>
  <c r="X21" i="41"/>
  <c r="W21" i="41"/>
  <c r="V21" i="41"/>
  <c r="Y20" i="41"/>
  <c r="Y19" i="41"/>
  <c r="X19" i="41"/>
  <c r="W19" i="41"/>
  <c r="V19" i="41"/>
  <c r="Y18" i="41"/>
  <c r="X18" i="41"/>
  <c r="W18" i="41"/>
  <c r="V18" i="41"/>
  <c r="Y17" i="41"/>
  <c r="X17" i="41"/>
  <c r="W17" i="41"/>
  <c r="V17" i="41"/>
  <c r="Y15" i="41"/>
  <c r="X15" i="41"/>
  <c r="V15" i="41"/>
  <c r="Y14" i="41"/>
  <c r="X14" i="41"/>
  <c r="W14" i="41"/>
  <c r="V14" i="41"/>
  <c r="Y13" i="41"/>
  <c r="X13" i="41"/>
  <c r="W13" i="41"/>
  <c r="V13" i="41"/>
  <c r="W12" i="41"/>
  <c r="Y10" i="41"/>
  <c r="X10" i="41"/>
  <c r="W10" i="41"/>
  <c r="V10" i="41"/>
  <c r="Y9" i="41"/>
  <c r="W9" i="41"/>
  <c r="V9" i="41"/>
  <c r="Y8" i="41"/>
  <c r="X8" i="41"/>
  <c r="V8" i="41"/>
  <c r="V7" i="41"/>
  <c r="Y6" i="41"/>
  <c r="V6" i="41"/>
  <c r="V69" i="41" l="1"/>
  <c r="E49" i="43" l="1"/>
  <c r="Q49" i="43" s="1"/>
  <c r="E18" i="43"/>
  <c r="Q18" i="43" s="1"/>
  <c r="C68" i="20" l="1"/>
  <c r="D68" i="20" s="1"/>
  <c r="C67" i="20" l="1"/>
  <c r="D67" i="20" s="1"/>
  <c r="C58" i="20"/>
  <c r="C44" i="20"/>
  <c r="C30" i="20"/>
  <c r="C36" i="20" s="1"/>
  <c r="C23" i="20"/>
  <c r="C7" i="20"/>
  <c r="C20" i="20" s="1"/>
  <c r="C22" i="20" s="1"/>
  <c r="C19" i="20" l="1"/>
</calcChain>
</file>

<file path=xl/comments1.xml><?xml version="1.0" encoding="utf-8"?>
<comments xmlns="http://schemas.openxmlformats.org/spreadsheetml/2006/main">
  <authors>
    <author>Ann Bijnens</author>
    <author>bijnensa</author>
  </authors>
  <commentList>
    <comment ref="A6" authorId="0" shapeId="0">
      <text>
        <r>
          <rPr>
            <b/>
            <sz val="9"/>
            <color indexed="81"/>
            <rFont val="Tahoma"/>
            <family val="2"/>
          </rPr>
          <t>Ann Bijnens:</t>
        </r>
        <r>
          <rPr>
            <sz val="9"/>
            <color indexed="81"/>
            <rFont val="Tahoma"/>
            <family val="2"/>
          </rPr>
          <t xml:space="preserve">
data of year 2010: only for Buenos Aires</t>
        </r>
      </text>
    </comment>
    <comment ref="A8" authorId="0" shapeId="0">
      <text>
        <r>
          <rPr>
            <b/>
            <sz val="9"/>
            <color indexed="81"/>
            <rFont val="Tahoma"/>
            <family val="2"/>
          </rPr>
          <t>Ann Bijnens:</t>
        </r>
        <r>
          <rPr>
            <sz val="9"/>
            <color indexed="81"/>
            <rFont val="Tahoma"/>
            <family val="2"/>
          </rPr>
          <t xml:space="preserve">
data 2014/2015: The data provided is based on that collected as part of the Urban National Performance Report (Urban NPR) data. The report collects data on a financial year basis (1/72014-30/6/2015) for utilities with greater than 10,000 connections. As such it does not represent all of Australia's water industry but a large part of it.
data 2016/2017: The data provided is based on the 2017 Urban National Performance Report, which covers the 1 July 2016-30 June 2017 period. The report collects data from 87 utilities across Australia. Please note that the report only collects data from utilities with greater than 10,000 connected properties and hence the data does not represent all utilities.</t>
        </r>
      </text>
    </comment>
    <comment ref="N8" authorId="1" shapeId="0">
      <text>
        <r>
          <rPr>
            <b/>
            <sz val="9"/>
            <color indexed="81"/>
            <rFont val="Tahoma"/>
            <family val="2"/>
          </rPr>
          <t>bijnensa:</t>
        </r>
        <r>
          <rPr>
            <sz val="9"/>
            <color indexed="81"/>
            <rFont val="Tahoma"/>
            <family val="2"/>
          </rPr>
          <t xml:space="preserve">
other sources: desalination and recycled water</t>
        </r>
      </text>
    </comment>
    <comment ref="P8" authorId="0" shapeId="0">
      <text>
        <r>
          <rPr>
            <b/>
            <sz val="9"/>
            <color indexed="81"/>
            <rFont val="Tahoma"/>
            <family val="2"/>
          </rPr>
          <t>Ann Bijnens:</t>
        </r>
        <r>
          <rPr>
            <sz val="9"/>
            <color indexed="81"/>
            <rFont val="Tahoma"/>
            <family val="2"/>
          </rPr>
          <t xml:space="preserve">
data of 2014: Volume of water sourced from desalination of marine water and a volume of water sourced from recycling</t>
        </r>
      </text>
    </comment>
    <comment ref="R8" authorId="1" shapeId="0">
      <text>
        <r>
          <rPr>
            <b/>
            <sz val="9"/>
            <color indexed="81"/>
            <rFont val="Tahoma"/>
            <family val="2"/>
          </rPr>
          <t>bijnensa:</t>
        </r>
        <r>
          <rPr>
            <sz val="9"/>
            <color indexed="81"/>
            <rFont val="Tahoma"/>
            <family val="2"/>
          </rPr>
          <t xml:space="preserve">
unspecified: not overseas</t>
        </r>
      </text>
    </comment>
    <comment ref="G9" authorId="1" shapeId="0">
      <text>
        <r>
          <rPr>
            <b/>
            <sz val="9"/>
            <color indexed="81"/>
            <rFont val="Tahoma"/>
            <family val="2"/>
          </rPr>
          <t>bijnensa:</t>
        </r>
        <r>
          <rPr>
            <sz val="9"/>
            <color indexed="81"/>
            <rFont val="Tahoma"/>
            <family val="2"/>
          </rPr>
          <t xml:space="preserve">
other sources -113 mio m³ unused backflow from springs into nature (not calculated in the figure)</t>
        </r>
      </text>
    </comment>
    <comment ref="I9" authorId="0" shapeId="0">
      <text>
        <r>
          <rPr>
            <b/>
            <sz val="9"/>
            <color indexed="81"/>
            <rFont val="Tahoma"/>
            <family val="2"/>
          </rPr>
          <t>Ann Bijnens:</t>
        </r>
        <r>
          <rPr>
            <sz val="9"/>
            <color indexed="81"/>
            <rFont val="Tahoma"/>
            <family val="2"/>
          </rPr>
          <t xml:space="preserve">
other sources in 2016: -160 mio m³ unused backflow from springs into nature (not calculated in the figure)</t>
        </r>
      </text>
    </comment>
    <comment ref="O9" authorId="1" shapeId="0">
      <text>
        <r>
          <rPr>
            <b/>
            <sz val="9"/>
            <color indexed="81"/>
            <rFont val="Tahoma"/>
            <family val="2"/>
          </rPr>
          <t>bijnensa:</t>
        </r>
        <r>
          <rPr>
            <sz val="9"/>
            <color indexed="81"/>
            <rFont val="Tahoma"/>
            <family val="2"/>
          </rPr>
          <t xml:space="preserve">
unused backflow from springs into nature</t>
        </r>
      </text>
    </comment>
    <comment ref="Q9" authorId="0" shapeId="0">
      <text>
        <r>
          <rPr>
            <b/>
            <sz val="9"/>
            <color indexed="81"/>
            <rFont val="Tahoma"/>
            <family val="2"/>
          </rPr>
          <t>Ann Bijnens:</t>
        </r>
        <r>
          <rPr>
            <sz val="9"/>
            <color indexed="81"/>
            <rFont val="Tahoma"/>
            <family val="2"/>
          </rPr>
          <t xml:space="preserve">
unused backflow from springs into nature</t>
        </r>
      </text>
    </comment>
    <comment ref="A11" authorId="1" shapeId="0">
      <text>
        <r>
          <rPr>
            <b/>
            <sz val="9"/>
            <color indexed="81"/>
            <rFont val="Tahoma"/>
            <family val="2"/>
          </rPr>
          <t>bijnensa:</t>
        </r>
        <r>
          <rPr>
            <sz val="9"/>
            <color indexed="81"/>
            <rFont val="Tahoma"/>
            <family val="2"/>
          </rPr>
          <t xml:space="preserve">
figure in 2010 of year 2009
figure in 2012 of year 2011
figure in 2016 of year 2015</t>
        </r>
      </text>
    </comment>
    <comment ref="A16" authorId="0" shapeId="0">
      <text>
        <r>
          <rPr>
            <b/>
            <sz val="9"/>
            <color indexed="81"/>
            <rFont val="Tahoma"/>
            <family val="2"/>
          </rPr>
          <t>Ann Bijnens:</t>
        </r>
        <r>
          <rPr>
            <sz val="9"/>
            <color indexed="81"/>
            <rFont val="Tahoma"/>
            <family val="2"/>
          </rPr>
          <t xml:space="preserve">
data of 2014+2016: China mainland, only statistics for 665 cities, the small towns, countries and rural areas haven't been included in the statistics</t>
        </r>
      </text>
    </comment>
    <comment ref="A17" authorId="1" shapeId="0">
      <text>
        <r>
          <rPr>
            <b/>
            <sz val="9"/>
            <color indexed="81"/>
            <rFont val="Tahoma"/>
            <family val="2"/>
          </rPr>
          <t>bijnensa:</t>
        </r>
        <r>
          <rPr>
            <sz val="9"/>
            <color indexed="81"/>
            <rFont val="Tahoma"/>
            <family val="2"/>
          </rPr>
          <t xml:space="preserve">
figures in 2010 and 2012: In Hong Kong the water resources are basically from rainfall and Dongjijang Water (Import from China). We make use of impounding reservoirs to store the raw water as reserve from these two sources to cater for the fluctuating demand. Whenever the water demand exceeds Water Abstraction in a particular year, the water stored as reserve in previous years would be used to meet the demand. As no recycled water was used as fresh water supply in Hong Kong, this means some reserves were used in 2010. This resulted in the total volume of Annual Water Consumption greater than that of Total Water Abstraction in 2010 and 2012.</t>
        </r>
      </text>
    </comment>
    <comment ref="P18" authorId="0" shapeId="0">
      <text>
        <r>
          <rPr>
            <b/>
            <sz val="9"/>
            <color indexed="81"/>
            <rFont val="Tahoma"/>
            <family val="2"/>
          </rPr>
          <t>Ann Bijnens:</t>
        </r>
        <r>
          <rPr>
            <sz val="9"/>
            <color indexed="81"/>
            <rFont val="Tahoma"/>
            <family val="2"/>
          </rPr>
          <t xml:space="preserve">
other sources 2014: sea water</t>
        </r>
      </text>
    </comment>
    <comment ref="Q18" authorId="0" shapeId="0">
      <text>
        <r>
          <rPr>
            <b/>
            <sz val="9"/>
            <color indexed="81"/>
            <rFont val="Tahoma"/>
            <family val="2"/>
          </rPr>
          <t>Ann Bijnens:</t>
        </r>
        <r>
          <rPr>
            <sz val="9"/>
            <color indexed="81"/>
            <rFont val="Tahoma"/>
            <family val="2"/>
          </rPr>
          <t xml:space="preserve">
other sources 2016: sea water</t>
        </r>
      </text>
    </comment>
    <comment ref="N19" authorId="1" shapeId="0">
      <text>
        <r>
          <rPr>
            <b/>
            <sz val="9"/>
            <color indexed="81"/>
            <rFont val="Tahoma"/>
            <family val="2"/>
          </rPr>
          <t>bijnensa:</t>
        </r>
        <r>
          <rPr>
            <sz val="9"/>
            <color indexed="81"/>
            <rFont val="Tahoma"/>
            <family val="2"/>
          </rPr>
          <t xml:space="preserve">
desalination</t>
        </r>
      </text>
    </comment>
    <comment ref="O19" authorId="1" shapeId="0">
      <text>
        <r>
          <rPr>
            <b/>
            <sz val="9"/>
            <color indexed="81"/>
            <rFont val="Tahoma"/>
            <family val="2"/>
          </rPr>
          <t>bijnensa:</t>
        </r>
        <r>
          <rPr>
            <sz val="9"/>
            <color indexed="81"/>
            <rFont val="Tahoma"/>
            <family val="2"/>
          </rPr>
          <t xml:space="preserve">
Desalination: 17,6 mio m³
Recycled for agriculture: 7 mio m³</t>
        </r>
      </text>
    </comment>
    <comment ref="P19" authorId="0" shapeId="0">
      <text>
        <r>
          <rPr>
            <b/>
            <sz val="9"/>
            <color indexed="81"/>
            <rFont val="Tahoma"/>
            <family val="2"/>
          </rPr>
          <t>Ann Bijnens:</t>
        </r>
        <r>
          <rPr>
            <sz val="9"/>
            <color indexed="81"/>
            <rFont val="Tahoma"/>
            <family val="2"/>
          </rPr>
          <t xml:space="preserve">
Desalination: 32,85 mio m³
Recycled: 20 mio m³</t>
        </r>
      </text>
    </comment>
    <comment ref="Q19" authorId="0" shapeId="0">
      <text>
        <r>
          <rPr>
            <b/>
            <sz val="9"/>
            <color indexed="81"/>
            <rFont val="Tahoma"/>
            <family val="2"/>
          </rPr>
          <t>Ann Bijnens:</t>
        </r>
        <r>
          <rPr>
            <sz val="9"/>
            <color indexed="81"/>
            <rFont val="Tahoma"/>
            <family val="2"/>
          </rPr>
          <t xml:space="preserve">
Desalination: 68,7 mio m³
Recycled: 18 mio m³</t>
        </r>
      </text>
    </comment>
    <comment ref="W19" authorId="0" shapeId="0">
      <text>
        <r>
          <rPr>
            <b/>
            <sz val="9"/>
            <color indexed="81"/>
            <rFont val="Tahoma"/>
            <family val="2"/>
          </rPr>
          <t>Ann Bijnens:</t>
        </r>
        <r>
          <rPr>
            <sz val="9"/>
            <color indexed="81"/>
            <rFont val="Tahoma"/>
            <family val="2"/>
          </rPr>
          <t xml:space="preserve">
Since 2012 we included the Agriculture needs as well of 178.000.000m³ analysed as follows: surface water 42.000.000m³, ground water 129.000.000m³ and recycled water 7.000.000m³.</t>
        </r>
      </text>
    </comment>
    <comment ref="O22" authorId="1" shapeId="0">
      <text>
        <r>
          <rPr>
            <b/>
            <sz val="9"/>
            <color indexed="81"/>
            <rFont val="Tahoma"/>
            <family val="2"/>
          </rPr>
          <t>bijnensa:</t>
        </r>
        <r>
          <rPr>
            <sz val="9"/>
            <color indexed="81"/>
            <rFont val="Tahoma"/>
            <family val="2"/>
          </rPr>
          <t xml:space="preserve">
other sources: tidal</t>
        </r>
      </text>
    </comment>
    <comment ref="P22" authorId="0" shapeId="0">
      <text>
        <r>
          <rPr>
            <b/>
            <sz val="9"/>
            <color indexed="81"/>
            <rFont val="Tahoma"/>
            <family val="2"/>
          </rPr>
          <t>Ann Bijnens:</t>
        </r>
        <r>
          <rPr>
            <sz val="9"/>
            <color indexed="81"/>
            <rFont val="Tahoma"/>
            <family val="2"/>
          </rPr>
          <t xml:space="preserve">
Tidal</t>
        </r>
      </text>
    </comment>
    <comment ref="H24" authorId="0" shapeId="0">
      <text>
        <r>
          <rPr>
            <b/>
            <sz val="9"/>
            <color indexed="81"/>
            <rFont val="Tahoma"/>
            <family val="2"/>
          </rPr>
          <t>Ann Bijnens:</t>
        </r>
        <r>
          <rPr>
            <sz val="9"/>
            <color indexed="81"/>
            <rFont val="Tahoma"/>
            <family val="2"/>
          </rPr>
          <t xml:space="preserve">
included</t>
        </r>
      </text>
    </comment>
    <comment ref="I24" authorId="0" shapeId="0">
      <text>
        <r>
          <rPr>
            <b/>
            <sz val="9"/>
            <color indexed="81"/>
            <rFont val="Tahoma"/>
            <family val="2"/>
          </rPr>
          <t>Ann Bijnens:</t>
        </r>
        <r>
          <rPr>
            <sz val="9"/>
            <color indexed="81"/>
            <rFont val="Tahoma"/>
            <family val="2"/>
          </rPr>
          <t xml:space="preserve">
data of 2016: included</t>
        </r>
      </text>
    </comment>
    <comment ref="W25" authorId="1" shapeId="0">
      <text>
        <r>
          <rPr>
            <b/>
            <sz val="9"/>
            <color indexed="81"/>
            <rFont val="Tahoma"/>
            <family val="2"/>
          </rPr>
          <t>bijnensa:</t>
        </r>
        <r>
          <rPr>
            <sz val="9"/>
            <color indexed="81"/>
            <rFont val="Tahoma"/>
            <family val="2"/>
          </rPr>
          <t xml:space="preserve">
total production! Not abstraction</t>
        </r>
      </text>
    </comment>
    <comment ref="O28" authorId="1" shapeId="0">
      <text>
        <r>
          <rPr>
            <b/>
            <sz val="9"/>
            <color indexed="81"/>
            <rFont val="Tahoma"/>
            <family val="2"/>
          </rPr>
          <t>bijnensa:</t>
        </r>
        <r>
          <rPr>
            <sz val="9"/>
            <color indexed="81"/>
            <rFont val="Tahoma"/>
            <family val="2"/>
          </rPr>
          <t xml:space="preserve">
river bank filtration (groundwater)</t>
        </r>
      </text>
    </comment>
    <comment ref="Q28" authorId="0" shapeId="0">
      <text>
        <r>
          <rPr>
            <b/>
            <sz val="9"/>
            <color indexed="81"/>
            <rFont val="Tahoma"/>
            <family val="2"/>
          </rPr>
          <t>Ann Bijnens:</t>
        </r>
        <r>
          <rPr>
            <sz val="9"/>
            <color indexed="81"/>
            <rFont val="Tahoma"/>
            <family val="2"/>
          </rPr>
          <t xml:space="preserve">
river bed filtration</t>
        </r>
      </text>
    </comment>
    <comment ref="P29" authorId="0" shapeId="0">
      <text>
        <r>
          <rPr>
            <b/>
            <sz val="9"/>
            <color indexed="81"/>
            <rFont val="Tahoma"/>
            <family val="2"/>
          </rPr>
          <t>Ann Bijnens:</t>
        </r>
        <r>
          <rPr>
            <sz val="9"/>
            <color indexed="81"/>
            <rFont val="Tahoma"/>
            <family val="2"/>
          </rPr>
          <t xml:space="preserve">
other sources 2014: mostly salt water</t>
        </r>
      </text>
    </comment>
    <comment ref="A31" authorId="1" shapeId="0">
      <text>
        <r>
          <rPr>
            <b/>
            <sz val="9"/>
            <color indexed="81"/>
            <rFont val="Tahoma"/>
            <family val="2"/>
          </rPr>
          <t>bijnensa:</t>
        </r>
        <r>
          <rPr>
            <sz val="9"/>
            <color indexed="81"/>
            <rFont val="Tahoma"/>
            <family val="2"/>
          </rPr>
          <t xml:space="preserve">
urban area and rural area for data 2012</t>
        </r>
      </text>
    </comment>
    <comment ref="S31" authorId="1" shapeId="0">
      <text>
        <r>
          <rPr>
            <b/>
            <sz val="9"/>
            <color indexed="81"/>
            <rFont val="Tahoma"/>
            <family val="2"/>
          </rPr>
          <t>bijnensa:</t>
        </r>
        <r>
          <rPr>
            <sz val="9"/>
            <color indexed="81"/>
            <rFont val="Tahoma"/>
            <family val="2"/>
          </rPr>
          <t xml:space="preserve">
Turkmenistan river (Garagum), Afghanistan river (Helmand), Turkish river (Aras)</t>
        </r>
      </text>
    </comment>
    <comment ref="N32" authorId="1" shapeId="0">
      <text>
        <r>
          <rPr>
            <b/>
            <sz val="9"/>
            <color indexed="81"/>
            <rFont val="Tahoma"/>
            <family val="2"/>
          </rPr>
          <t>bijnensa:</t>
        </r>
        <r>
          <rPr>
            <sz val="9"/>
            <color indexed="81"/>
            <rFont val="Tahoma"/>
            <family val="2"/>
          </rPr>
          <t xml:space="preserve">
recycled water</t>
        </r>
      </text>
    </comment>
    <comment ref="O32" authorId="1" shapeId="0">
      <text>
        <r>
          <rPr>
            <b/>
            <sz val="9"/>
            <color indexed="81"/>
            <rFont val="Tahoma"/>
            <family val="2"/>
          </rPr>
          <t>bijnensa:</t>
        </r>
        <r>
          <rPr>
            <sz val="9"/>
            <color indexed="81"/>
            <rFont val="Tahoma"/>
            <family val="2"/>
          </rPr>
          <t xml:space="preserve">
Desalinated</t>
        </r>
      </text>
    </comment>
    <comment ref="R32" authorId="1" shapeId="0">
      <text>
        <r>
          <rPr>
            <b/>
            <sz val="9"/>
            <color indexed="81"/>
            <rFont val="Tahoma"/>
            <family val="2"/>
          </rPr>
          <t>bijnensa:</t>
        </r>
        <r>
          <rPr>
            <sz val="9"/>
            <color indexed="81"/>
            <rFont val="Tahoma"/>
            <family val="2"/>
          </rPr>
          <t xml:space="preserve">
desalinated seawater</t>
        </r>
      </text>
    </comment>
    <comment ref="N34" authorId="1" shapeId="0">
      <text>
        <r>
          <rPr>
            <b/>
            <sz val="9"/>
            <color indexed="81"/>
            <rFont val="Tahoma"/>
            <family val="2"/>
          </rPr>
          <t>bijnensa:</t>
        </r>
        <r>
          <rPr>
            <sz val="9"/>
            <color indexed="81"/>
            <rFont val="Tahoma"/>
            <family val="2"/>
          </rPr>
          <t xml:space="preserve">
other source: desalination</t>
        </r>
      </text>
    </comment>
    <comment ref="Q34" authorId="0" shapeId="0">
      <text>
        <r>
          <rPr>
            <b/>
            <sz val="9"/>
            <color indexed="81"/>
            <rFont val="Tahoma"/>
            <family val="2"/>
          </rPr>
          <t>Ann Bijnens:</t>
        </r>
        <r>
          <rPr>
            <sz val="9"/>
            <color indexed="81"/>
            <rFont val="Tahoma"/>
            <family val="2"/>
          </rPr>
          <t xml:space="preserve">
data of 2016: sea water desalination, etc</t>
        </r>
      </text>
    </comment>
    <comment ref="O36" authorId="1" shapeId="0">
      <text>
        <r>
          <rPr>
            <b/>
            <sz val="9"/>
            <color indexed="81"/>
            <rFont val="Tahoma"/>
            <family val="2"/>
          </rPr>
          <t>bijnensa:</t>
        </r>
        <r>
          <rPr>
            <sz val="9"/>
            <color indexed="81"/>
            <rFont val="Tahoma"/>
            <family val="2"/>
          </rPr>
          <t xml:space="preserve">
desalination</t>
        </r>
      </text>
    </comment>
    <comment ref="D41" authorId="0" shapeId="0">
      <text>
        <r>
          <rPr>
            <b/>
            <sz val="9"/>
            <color indexed="81"/>
            <rFont val="Tahoma"/>
            <family val="2"/>
          </rPr>
          <t>Ann Bijnens:</t>
        </r>
        <r>
          <rPr>
            <sz val="9"/>
            <color indexed="81"/>
            <rFont val="Tahoma"/>
            <family val="2"/>
          </rPr>
          <t xml:space="preserve">
The total groundwater abstraction figure provided includes:  brine reject from groundwater polishing plants and groundwater returned to the environment due to any discharges / washouts at boreholes and pumping stations</t>
        </r>
      </text>
    </comment>
    <comment ref="E41" authorId="0" shapeId="0">
      <text>
        <r>
          <rPr>
            <b/>
            <sz val="9"/>
            <color indexed="81"/>
            <rFont val="Tahoma"/>
            <family val="2"/>
          </rPr>
          <t>Ann Bijnens:</t>
        </r>
        <r>
          <rPr>
            <sz val="9"/>
            <color indexed="81"/>
            <rFont val="Tahoma"/>
            <family val="2"/>
          </rPr>
          <t xml:space="preserve">
data of 2016: The total groundwater abstraction figure provided includes:  brine reject from groundwater polishing plants and groundwater returned to the environment due to any discharges / washouts at boreholes and pumping stations</t>
        </r>
      </text>
    </comment>
    <comment ref="P41" authorId="0" shapeId="0">
      <text>
        <r>
          <rPr>
            <b/>
            <sz val="9"/>
            <color indexed="81"/>
            <rFont val="Tahoma"/>
            <family val="2"/>
          </rPr>
          <t>Ann Bijnens:</t>
        </r>
        <r>
          <rPr>
            <sz val="9"/>
            <color indexed="81"/>
            <rFont val="Tahoma"/>
            <family val="2"/>
          </rPr>
          <t xml:space="preserve">
desalination</t>
        </r>
      </text>
    </comment>
    <comment ref="Q41" authorId="0" shapeId="0">
      <text>
        <r>
          <rPr>
            <b/>
            <sz val="9"/>
            <color indexed="81"/>
            <rFont val="Tahoma"/>
            <family val="2"/>
          </rPr>
          <t>Ann Bijnens:</t>
        </r>
        <r>
          <rPr>
            <sz val="9"/>
            <color indexed="81"/>
            <rFont val="Tahoma"/>
            <family val="2"/>
          </rPr>
          <t xml:space="preserve">
data of 2016: desalination</t>
        </r>
      </text>
    </comment>
    <comment ref="O49" authorId="1" shapeId="0">
      <text>
        <r>
          <rPr>
            <b/>
            <sz val="9"/>
            <color indexed="81"/>
            <rFont val="Tahoma"/>
            <family val="2"/>
          </rPr>
          <t>bijnensa:</t>
        </r>
        <r>
          <rPr>
            <sz val="9"/>
            <color indexed="81"/>
            <rFont val="Tahoma"/>
            <family val="2"/>
          </rPr>
          <t xml:space="preserve">
water from mine and building constructions (used for productions)</t>
        </r>
      </text>
    </comment>
    <comment ref="Q49" authorId="0" shapeId="0">
      <text>
        <r>
          <rPr>
            <b/>
            <sz val="9"/>
            <color indexed="81"/>
            <rFont val="Tahoma"/>
            <family val="2"/>
          </rPr>
          <t>Ann Bijnens:</t>
        </r>
        <r>
          <rPr>
            <sz val="9"/>
            <color indexed="81"/>
            <rFont val="Tahoma"/>
            <family val="2"/>
          </rPr>
          <t xml:space="preserve">
other sources 2016: irrigation in agriculture and forestry</t>
        </r>
      </text>
    </comment>
    <comment ref="N55" authorId="1" shapeId="0">
      <text>
        <r>
          <rPr>
            <b/>
            <sz val="9"/>
            <color indexed="81"/>
            <rFont val="Tahoma"/>
            <family val="2"/>
          </rPr>
          <t>bijnensa:</t>
        </r>
        <r>
          <rPr>
            <sz val="9"/>
            <color indexed="81"/>
            <rFont val="Tahoma"/>
            <family val="2"/>
          </rPr>
          <t xml:space="preserve">
desalinated water source</t>
        </r>
      </text>
    </comment>
    <comment ref="A57" authorId="1" shapeId="0">
      <text>
        <r>
          <rPr>
            <b/>
            <sz val="9"/>
            <color indexed="81"/>
            <rFont val="Tahoma"/>
            <family val="2"/>
          </rPr>
          <t>bijnensa:</t>
        </r>
        <r>
          <rPr>
            <sz val="9"/>
            <color indexed="81"/>
            <rFont val="Tahoma"/>
            <family val="2"/>
          </rPr>
          <t xml:space="preserve">
data of year 2012: only for city Cape Town</t>
        </r>
      </text>
    </comment>
    <comment ref="A58" authorId="1" shapeId="0">
      <text>
        <r>
          <rPr>
            <b/>
            <sz val="9"/>
            <color indexed="81"/>
            <rFont val="Tahoma"/>
            <family val="2"/>
          </rPr>
          <t>bijnensa:</t>
        </r>
        <r>
          <rPr>
            <sz val="9"/>
            <color indexed="81"/>
            <rFont val="Tahoma"/>
            <family val="2"/>
          </rPr>
          <t xml:space="preserve">
only figures for Adelaide in 2010</t>
        </r>
      </text>
    </comment>
    <comment ref="C60" authorId="1" shapeId="0">
      <text>
        <r>
          <rPr>
            <b/>
            <sz val="9"/>
            <color indexed="81"/>
            <rFont val="Tahoma"/>
            <family val="2"/>
          </rPr>
          <t>bijnensa:</t>
        </r>
        <r>
          <rPr>
            <sz val="9"/>
            <color indexed="81"/>
            <rFont val="Tahoma"/>
            <family val="2"/>
          </rPr>
          <t xml:space="preserve">
including springwater</t>
        </r>
      </text>
    </comment>
    <comment ref="N60" authorId="1" shapeId="0">
      <text>
        <r>
          <rPr>
            <b/>
            <sz val="9"/>
            <color indexed="81"/>
            <rFont val="Tahoma"/>
            <family val="2"/>
          </rPr>
          <t>bijnensa:</t>
        </r>
        <r>
          <rPr>
            <sz val="9"/>
            <color indexed="81"/>
            <rFont val="Tahoma"/>
            <family val="2"/>
          </rPr>
          <t xml:space="preserve">
desalination</t>
        </r>
      </text>
    </comment>
    <comment ref="O60" authorId="1" shapeId="0">
      <text>
        <r>
          <rPr>
            <b/>
            <sz val="9"/>
            <color indexed="81"/>
            <rFont val="Tahoma"/>
            <family val="2"/>
          </rPr>
          <t>bijnensa:</t>
        </r>
        <r>
          <rPr>
            <sz val="9"/>
            <color indexed="81"/>
            <rFont val="Tahoma"/>
            <family val="2"/>
          </rPr>
          <t xml:space="preserve">
desalinated</t>
        </r>
      </text>
    </comment>
    <comment ref="P60" authorId="0" shapeId="0">
      <text>
        <r>
          <rPr>
            <b/>
            <sz val="9"/>
            <color indexed="81"/>
            <rFont val="Tahoma"/>
            <family val="2"/>
          </rPr>
          <t>Ann Bijnens:</t>
        </r>
        <r>
          <rPr>
            <sz val="9"/>
            <color indexed="81"/>
            <rFont val="Tahoma"/>
            <family val="2"/>
          </rPr>
          <t xml:space="preserve">
other sources: desalination</t>
        </r>
      </text>
    </comment>
    <comment ref="Q60" authorId="0" shapeId="0">
      <text>
        <r>
          <rPr>
            <b/>
            <sz val="9"/>
            <color indexed="81"/>
            <rFont val="Tahoma"/>
            <family val="2"/>
          </rPr>
          <t>Ann Bijnens:</t>
        </r>
        <r>
          <rPr>
            <sz val="9"/>
            <color indexed="81"/>
            <rFont val="Tahoma"/>
            <family val="2"/>
          </rPr>
          <t xml:space="preserve">
data of 2016 for other sources: desalination</t>
        </r>
      </text>
    </comment>
    <comment ref="O61" authorId="1" shapeId="0">
      <text>
        <r>
          <rPr>
            <b/>
            <sz val="9"/>
            <color indexed="81"/>
            <rFont val="Tahoma"/>
            <family val="2"/>
          </rPr>
          <t>bijnensa:</t>
        </r>
        <r>
          <rPr>
            <sz val="9"/>
            <color indexed="81"/>
            <rFont val="Tahoma"/>
            <family val="2"/>
          </rPr>
          <t xml:space="preserve">
in 2012: artificial groundwater by infiltrated surfacewater</t>
        </r>
      </text>
    </comment>
    <comment ref="A62" authorId="1" shapeId="0">
      <text>
        <r>
          <rPr>
            <b/>
            <sz val="9"/>
            <color indexed="81"/>
            <rFont val="Tahoma"/>
            <family val="2"/>
          </rPr>
          <t>bijnensa:</t>
        </r>
        <r>
          <rPr>
            <sz val="9"/>
            <color indexed="81"/>
            <rFont val="Tahoma"/>
            <family val="2"/>
          </rPr>
          <t xml:space="preserve">
including Liechtenstein</t>
        </r>
      </text>
    </comment>
    <comment ref="A63" authorId="0" shapeId="0">
      <text>
        <r>
          <rPr>
            <b/>
            <sz val="9"/>
            <color indexed="81"/>
            <rFont val="Tahoma"/>
            <family val="2"/>
          </rPr>
          <t>Ann Bijnens:</t>
        </r>
        <r>
          <rPr>
            <sz val="9"/>
            <color indexed="81"/>
            <rFont val="Tahoma"/>
            <family val="2"/>
          </rPr>
          <t xml:space="preserve">
data of 2014 for regional water utilities only</t>
        </r>
      </text>
    </comment>
    <comment ref="D63" authorId="0" shapeId="0">
      <text>
        <r>
          <rPr>
            <b/>
            <sz val="9"/>
            <color indexed="81"/>
            <rFont val="Tahoma"/>
            <family val="2"/>
          </rPr>
          <t>Ann Bijnens:</t>
        </r>
        <r>
          <rPr>
            <sz val="9"/>
            <color indexed="81"/>
            <rFont val="Tahoma"/>
            <family val="2"/>
          </rPr>
          <t xml:space="preserve">
data of 2014: boreholes 19% of total abstraction</t>
        </r>
      </text>
    </comment>
    <comment ref="H63" authorId="0" shapeId="0">
      <text>
        <r>
          <rPr>
            <b/>
            <sz val="9"/>
            <color indexed="81"/>
            <rFont val="Tahoma"/>
            <family val="2"/>
          </rPr>
          <t>Ann Bijnens:</t>
        </r>
        <r>
          <rPr>
            <sz val="9"/>
            <color indexed="81"/>
            <rFont val="Tahoma"/>
            <family val="2"/>
          </rPr>
          <t xml:space="preserve">
data of 2014: 17% of total water abstraction</t>
        </r>
      </text>
    </comment>
    <comment ref="L63" authorId="0" shapeId="0">
      <text>
        <r>
          <rPr>
            <b/>
            <sz val="9"/>
            <color indexed="81"/>
            <rFont val="Tahoma"/>
            <family val="2"/>
          </rPr>
          <t>Ann Bijnens:</t>
        </r>
        <r>
          <rPr>
            <sz val="9"/>
            <color indexed="81"/>
            <rFont val="Tahoma"/>
            <family val="2"/>
          </rPr>
          <t xml:space="preserve">
data of 2014: 64% of total water abstraction</t>
        </r>
      </text>
    </comment>
    <comment ref="N69" authorId="1" shapeId="0">
      <text>
        <r>
          <rPr>
            <b/>
            <sz val="9"/>
            <color indexed="81"/>
            <rFont val="Tahoma"/>
            <family val="2"/>
          </rPr>
          <t>bijnensa:</t>
        </r>
        <r>
          <rPr>
            <sz val="9"/>
            <color indexed="81"/>
            <rFont val="Tahoma"/>
            <family val="2"/>
          </rPr>
          <t xml:space="preserve">
purchased from other utilities (no data on source)</t>
        </r>
      </text>
    </comment>
    <comment ref="A75" authorId="0" shapeId="0">
      <text>
        <r>
          <rPr>
            <b/>
            <sz val="9"/>
            <color indexed="81"/>
            <rFont val="Tahoma"/>
            <family val="2"/>
          </rPr>
          <t>Ann Bijnens:</t>
        </r>
        <r>
          <rPr>
            <sz val="9"/>
            <color indexed="81"/>
            <rFont val="Tahoma"/>
            <family val="2"/>
          </rPr>
          <t xml:space="preserve">
data of year 2010: only for Buenos Aires</t>
        </r>
      </text>
    </comment>
    <comment ref="A77" authorId="0" shapeId="0">
      <text>
        <r>
          <rPr>
            <b/>
            <sz val="9"/>
            <color indexed="81"/>
            <rFont val="Tahoma"/>
            <family val="2"/>
          </rPr>
          <t>Ann Bijnens:</t>
        </r>
        <r>
          <rPr>
            <sz val="9"/>
            <color indexed="81"/>
            <rFont val="Tahoma"/>
            <family val="2"/>
          </rPr>
          <t xml:space="preserve">
data 2014/2015: The data provided is based on that collected as part of the Urban National Performance Report (Urban NPR) data. The report collects data on a financial year basis (1/72014-30/6/2015) for utilities with greater than 10,000 connections. As such it does not represent all of Australia's water industry but a large part of it.
data 2016/2017: The data provided is based on the 2017 Urban National Performance Report, which covers the 1 July 2016-30 June 2017 period. The report collects data from 87 utilities across Australia. Please note that the report only collects data from utilities with greater than 10,000 connected properties and hence the data does not represent all utilities.</t>
        </r>
      </text>
    </comment>
    <comment ref="N77" authorId="1" shapeId="0">
      <text>
        <r>
          <rPr>
            <b/>
            <sz val="9"/>
            <color indexed="81"/>
            <rFont val="Tahoma"/>
            <family val="2"/>
          </rPr>
          <t>bijnensa:</t>
        </r>
        <r>
          <rPr>
            <sz val="9"/>
            <color indexed="81"/>
            <rFont val="Tahoma"/>
            <family val="2"/>
          </rPr>
          <t xml:space="preserve">
other sources: desalination and recycled water</t>
        </r>
      </text>
    </comment>
    <comment ref="P77" authorId="0" shapeId="0">
      <text>
        <r>
          <rPr>
            <b/>
            <sz val="9"/>
            <color indexed="81"/>
            <rFont val="Tahoma"/>
            <family val="2"/>
          </rPr>
          <t>Ann Bijnens:</t>
        </r>
        <r>
          <rPr>
            <sz val="9"/>
            <color indexed="81"/>
            <rFont val="Tahoma"/>
            <family val="2"/>
          </rPr>
          <t xml:space="preserve">
data of 2014: Volume of water sourced from desalination of marine water and a volume of water sourced from recycling</t>
        </r>
      </text>
    </comment>
    <comment ref="R77" authorId="1" shapeId="0">
      <text>
        <r>
          <rPr>
            <b/>
            <sz val="9"/>
            <color indexed="81"/>
            <rFont val="Tahoma"/>
            <family val="2"/>
          </rPr>
          <t>bijnensa:</t>
        </r>
        <r>
          <rPr>
            <sz val="9"/>
            <color indexed="81"/>
            <rFont val="Tahoma"/>
            <family val="2"/>
          </rPr>
          <t xml:space="preserve">
unspecified: not overseas</t>
        </r>
      </text>
    </comment>
    <comment ref="G78" authorId="1" shapeId="0">
      <text>
        <r>
          <rPr>
            <b/>
            <sz val="9"/>
            <color indexed="81"/>
            <rFont val="Tahoma"/>
            <family val="2"/>
          </rPr>
          <t>bijnensa:</t>
        </r>
        <r>
          <rPr>
            <sz val="9"/>
            <color indexed="81"/>
            <rFont val="Tahoma"/>
            <family val="2"/>
          </rPr>
          <t xml:space="preserve">
other sources -113 mio m³ unused backflow from springs into nature (not calculated in the figure)</t>
        </r>
      </text>
    </comment>
    <comment ref="I78" authorId="0" shapeId="0">
      <text>
        <r>
          <rPr>
            <b/>
            <sz val="9"/>
            <color indexed="81"/>
            <rFont val="Tahoma"/>
            <family val="2"/>
          </rPr>
          <t>Ann Bijnens:</t>
        </r>
        <r>
          <rPr>
            <sz val="9"/>
            <color indexed="81"/>
            <rFont val="Tahoma"/>
            <family val="2"/>
          </rPr>
          <t xml:space="preserve">
other sources in 2016: -160 mio m³ unused backflow from springs into nature (not calculated in the figure)</t>
        </r>
      </text>
    </comment>
    <comment ref="O78" authorId="1" shapeId="0">
      <text>
        <r>
          <rPr>
            <b/>
            <sz val="9"/>
            <color indexed="81"/>
            <rFont val="Tahoma"/>
            <family val="2"/>
          </rPr>
          <t>bijnensa:</t>
        </r>
        <r>
          <rPr>
            <sz val="9"/>
            <color indexed="81"/>
            <rFont val="Tahoma"/>
            <family val="2"/>
          </rPr>
          <t xml:space="preserve">
unused backflow from springs into nature</t>
        </r>
      </text>
    </comment>
    <comment ref="Q78" authorId="0" shapeId="0">
      <text>
        <r>
          <rPr>
            <b/>
            <sz val="9"/>
            <color indexed="81"/>
            <rFont val="Tahoma"/>
            <family val="2"/>
          </rPr>
          <t>Ann Bijnens:</t>
        </r>
        <r>
          <rPr>
            <sz val="9"/>
            <color indexed="81"/>
            <rFont val="Tahoma"/>
            <family val="2"/>
          </rPr>
          <t xml:space="preserve">
unused backflow from springs into nature</t>
        </r>
      </text>
    </comment>
    <comment ref="A80" authorId="1" shapeId="0">
      <text>
        <r>
          <rPr>
            <b/>
            <sz val="9"/>
            <color indexed="81"/>
            <rFont val="Tahoma"/>
            <family val="2"/>
          </rPr>
          <t>bijnensa:</t>
        </r>
        <r>
          <rPr>
            <sz val="9"/>
            <color indexed="81"/>
            <rFont val="Tahoma"/>
            <family val="2"/>
          </rPr>
          <t xml:space="preserve">
figure in 2010 of year 2009
figure in 2012 of year 2011
figure in 2016 of year 2015</t>
        </r>
      </text>
    </comment>
    <comment ref="A84" authorId="1" shapeId="0">
      <text>
        <r>
          <rPr>
            <b/>
            <sz val="9"/>
            <color indexed="81"/>
            <rFont val="Tahoma"/>
            <family val="2"/>
          </rPr>
          <t>bijnensa:</t>
        </r>
        <r>
          <rPr>
            <sz val="9"/>
            <color indexed="81"/>
            <rFont val="Tahoma"/>
            <family val="2"/>
          </rPr>
          <t xml:space="preserve">
figures in 2010 and 2012: In Hong Kong the water resources are basically from rainfall and Dongjijang Water (Import from China). We make use of impounding reservoirs to store the raw water as reserve from these two sources to cater for the fluctuating demand. Whenever the water demand exceeds Water Abstraction in a particular year, the water stored as reserve in previous years would be used to meet the demand. As no recycled water was used as fresh water supply in Hong Kong, this means some reserves were used in 2010. This resulted in the total volume of Annual Water Consumption greater than that of Total Water Abstraction in 2010 and 2012.</t>
        </r>
      </text>
    </comment>
    <comment ref="P85" authorId="0" shapeId="0">
      <text>
        <r>
          <rPr>
            <b/>
            <sz val="9"/>
            <color indexed="81"/>
            <rFont val="Tahoma"/>
            <family val="2"/>
          </rPr>
          <t>Ann Bijnens:</t>
        </r>
        <r>
          <rPr>
            <sz val="9"/>
            <color indexed="81"/>
            <rFont val="Tahoma"/>
            <family val="2"/>
          </rPr>
          <t xml:space="preserve">
other sources 2014: sea water</t>
        </r>
      </text>
    </comment>
    <comment ref="Q85" authorId="0" shapeId="0">
      <text>
        <r>
          <rPr>
            <b/>
            <sz val="9"/>
            <color indexed="81"/>
            <rFont val="Tahoma"/>
            <family val="2"/>
          </rPr>
          <t>Ann Bijnens:</t>
        </r>
        <r>
          <rPr>
            <sz val="9"/>
            <color indexed="81"/>
            <rFont val="Tahoma"/>
            <family val="2"/>
          </rPr>
          <t xml:space="preserve">
other sources 2016: sea water</t>
        </r>
      </text>
    </comment>
    <comment ref="N86" authorId="1" shapeId="0">
      <text>
        <r>
          <rPr>
            <b/>
            <sz val="9"/>
            <color indexed="81"/>
            <rFont val="Tahoma"/>
            <family val="2"/>
          </rPr>
          <t>bijnensa:</t>
        </r>
        <r>
          <rPr>
            <sz val="9"/>
            <color indexed="81"/>
            <rFont val="Tahoma"/>
            <family val="2"/>
          </rPr>
          <t xml:space="preserve">
desalination</t>
        </r>
      </text>
    </comment>
    <comment ref="O86" authorId="1" shapeId="0">
      <text>
        <r>
          <rPr>
            <b/>
            <sz val="9"/>
            <color indexed="81"/>
            <rFont val="Tahoma"/>
            <family val="2"/>
          </rPr>
          <t>bijnensa:</t>
        </r>
        <r>
          <rPr>
            <sz val="9"/>
            <color indexed="81"/>
            <rFont val="Tahoma"/>
            <family val="2"/>
          </rPr>
          <t xml:space="preserve">
Desalination: 17,6 mio m³
Recycled for agriculture: 7 mio m³</t>
        </r>
      </text>
    </comment>
    <comment ref="P86" authorId="0" shapeId="0">
      <text>
        <r>
          <rPr>
            <b/>
            <sz val="9"/>
            <color indexed="81"/>
            <rFont val="Tahoma"/>
            <family val="2"/>
          </rPr>
          <t>Ann Bijnens:</t>
        </r>
        <r>
          <rPr>
            <sz val="9"/>
            <color indexed="81"/>
            <rFont val="Tahoma"/>
            <family val="2"/>
          </rPr>
          <t xml:space="preserve">
Desalination: 32,85 mio m³
Recycled: 20 mio m³</t>
        </r>
      </text>
    </comment>
    <comment ref="Q86" authorId="0" shapeId="0">
      <text>
        <r>
          <rPr>
            <b/>
            <sz val="9"/>
            <color indexed="81"/>
            <rFont val="Tahoma"/>
            <family val="2"/>
          </rPr>
          <t>Ann Bijnens:</t>
        </r>
        <r>
          <rPr>
            <sz val="9"/>
            <color indexed="81"/>
            <rFont val="Tahoma"/>
            <family val="2"/>
          </rPr>
          <t xml:space="preserve">
Desalination: 68,7 mio m³
Recycled: 18 mio m³</t>
        </r>
      </text>
    </comment>
    <comment ref="W86" authorId="0" shapeId="0">
      <text>
        <r>
          <rPr>
            <b/>
            <sz val="9"/>
            <color indexed="81"/>
            <rFont val="Tahoma"/>
            <family val="2"/>
          </rPr>
          <t>Ann Bijnens:</t>
        </r>
        <r>
          <rPr>
            <sz val="9"/>
            <color indexed="81"/>
            <rFont val="Tahoma"/>
            <family val="2"/>
          </rPr>
          <t xml:space="preserve">
Since 2012 we included the Agriculture needs as well of 178.000.000m³ analysed as follows: surface water 42.000.000m³, ground water 129.000.000m³ and recycled water 7.000.000m³.</t>
        </r>
      </text>
    </comment>
    <comment ref="O89" authorId="1" shapeId="0">
      <text>
        <r>
          <rPr>
            <b/>
            <sz val="9"/>
            <color indexed="81"/>
            <rFont val="Tahoma"/>
            <family val="2"/>
          </rPr>
          <t>bijnensa:</t>
        </r>
        <r>
          <rPr>
            <sz val="9"/>
            <color indexed="81"/>
            <rFont val="Tahoma"/>
            <family val="2"/>
          </rPr>
          <t xml:space="preserve">
other sources: tidal</t>
        </r>
      </text>
    </comment>
    <comment ref="P89" authorId="0" shapeId="0">
      <text>
        <r>
          <rPr>
            <b/>
            <sz val="9"/>
            <color indexed="81"/>
            <rFont val="Tahoma"/>
            <family val="2"/>
          </rPr>
          <t>Ann Bijnens:</t>
        </r>
        <r>
          <rPr>
            <sz val="9"/>
            <color indexed="81"/>
            <rFont val="Tahoma"/>
            <family val="2"/>
          </rPr>
          <t xml:space="preserve">
Tidal</t>
        </r>
      </text>
    </comment>
    <comment ref="H91" authorId="0" shapeId="0">
      <text>
        <r>
          <rPr>
            <b/>
            <sz val="9"/>
            <color indexed="81"/>
            <rFont val="Tahoma"/>
            <family val="2"/>
          </rPr>
          <t>Ann Bijnens:</t>
        </r>
        <r>
          <rPr>
            <sz val="9"/>
            <color indexed="81"/>
            <rFont val="Tahoma"/>
            <family val="2"/>
          </rPr>
          <t xml:space="preserve">
included</t>
        </r>
      </text>
    </comment>
    <comment ref="I91" authorId="0" shapeId="0">
      <text>
        <r>
          <rPr>
            <b/>
            <sz val="9"/>
            <color indexed="81"/>
            <rFont val="Tahoma"/>
            <family val="2"/>
          </rPr>
          <t>Ann Bijnens:</t>
        </r>
        <r>
          <rPr>
            <sz val="9"/>
            <color indexed="81"/>
            <rFont val="Tahoma"/>
            <family val="2"/>
          </rPr>
          <t xml:space="preserve">
data of 2016: included</t>
        </r>
      </text>
    </comment>
    <comment ref="O94" authorId="1" shapeId="0">
      <text>
        <r>
          <rPr>
            <b/>
            <sz val="9"/>
            <color indexed="81"/>
            <rFont val="Tahoma"/>
            <family val="2"/>
          </rPr>
          <t>bijnensa:</t>
        </r>
        <r>
          <rPr>
            <sz val="9"/>
            <color indexed="81"/>
            <rFont val="Tahoma"/>
            <family val="2"/>
          </rPr>
          <t xml:space="preserve">
river bank filtration (groundwater)</t>
        </r>
      </text>
    </comment>
    <comment ref="Q94" authorId="0" shapeId="0">
      <text>
        <r>
          <rPr>
            <b/>
            <sz val="9"/>
            <color indexed="81"/>
            <rFont val="Tahoma"/>
            <family val="2"/>
          </rPr>
          <t>Ann Bijnens:</t>
        </r>
        <r>
          <rPr>
            <sz val="9"/>
            <color indexed="81"/>
            <rFont val="Tahoma"/>
            <family val="2"/>
          </rPr>
          <t xml:space="preserve">
river bed filtration</t>
        </r>
      </text>
    </comment>
    <comment ref="P95" authorId="0" shapeId="0">
      <text>
        <r>
          <rPr>
            <b/>
            <sz val="9"/>
            <color indexed="81"/>
            <rFont val="Tahoma"/>
            <family val="2"/>
          </rPr>
          <t>Ann Bijnens:</t>
        </r>
        <r>
          <rPr>
            <sz val="9"/>
            <color indexed="81"/>
            <rFont val="Tahoma"/>
            <family val="2"/>
          </rPr>
          <t xml:space="preserve">
other sources 2014: mostly salt water</t>
        </r>
      </text>
    </comment>
    <comment ref="N97" authorId="1" shapeId="0">
      <text>
        <r>
          <rPr>
            <b/>
            <sz val="9"/>
            <color indexed="81"/>
            <rFont val="Tahoma"/>
            <family val="2"/>
          </rPr>
          <t>bijnensa:</t>
        </r>
        <r>
          <rPr>
            <sz val="9"/>
            <color indexed="81"/>
            <rFont val="Tahoma"/>
            <family val="2"/>
          </rPr>
          <t xml:space="preserve">
other source: desalination</t>
        </r>
      </text>
    </comment>
    <comment ref="Q97" authorId="0" shapeId="0">
      <text>
        <r>
          <rPr>
            <b/>
            <sz val="9"/>
            <color indexed="81"/>
            <rFont val="Tahoma"/>
            <family val="2"/>
          </rPr>
          <t>Ann Bijnens:</t>
        </r>
        <r>
          <rPr>
            <sz val="9"/>
            <color indexed="81"/>
            <rFont val="Tahoma"/>
            <family val="2"/>
          </rPr>
          <t xml:space="preserve">
data of 2016: sea water desalination, etc</t>
        </r>
      </text>
    </comment>
    <comment ref="D100" authorId="0" shapeId="0">
      <text>
        <r>
          <rPr>
            <b/>
            <sz val="9"/>
            <color indexed="81"/>
            <rFont val="Tahoma"/>
            <family val="2"/>
          </rPr>
          <t>Ann Bijnens:</t>
        </r>
        <r>
          <rPr>
            <sz val="9"/>
            <color indexed="81"/>
            <rFont val="Tahoma"/>
            <family val="2"/>
          </rPr>
          <t xml:space="preserve">
The total groundwater abstraction figure provided includes:  brine reject from groundwater polishing plants and groundwater returned to the environment due to any discharges / washouts at boreholes and pumping stations</t>
        </r>
      </text>
    </comment>
    <comment ref="E100" authorId="0" shapeId="0">
      <text>
        <r>
          <rPr>
            <b/>
            <sz val="9"/>
            <color indexed="81"/>
            <rFont val="Tahoma"/>
            <family val="2"/>
          </rPr>
          <t>Ann Bijnens:</t>
        </r>
        <r>
          <rPr>
            <sz val="9"/>
            <color indexed="81"/>
            <rFont val="Tahoma"/>
            <family val="2"/>
          </rPr>
          <t xml:space="preserve">
data of 2016: The total groundwater abstraction figure provided includes:  brine reject from groundwater polishing plants and groundwater returned to the environment due to any discharges / washouts at boreholes and pumping stations</t>
        </r>
      </text>
    </comment>
    <comment ref="P100" authorId="0" shapeId="0">
      <text>
        <r>
          <rPr>
            <b/>
            <sz val="9"/>
            <color indexed="81"/>
            <rFont val="Tahoma"/>
            <family val="2"/>
          </rPr>
          <t>Ann Bijnens:</t>
        </r>
        <r>
          <rPr>
            <sz val="9"/>
            <color indexed="81"/>
            <rFont val="Tahoma"/>
            <family val="2"/>
          </rPr>
          <t xml:space="preserve">
desalination</t>
        </r>
      </text>
    </comment>
    <comment ref="Q100" authorId="0" shapeId="0">
      <text>
        <r>
          <rPr>
            <b/>
            <sz val="9"/>
            <color indexed="81"/>
            <rFont val="Tahoma"/>
            <family val="2"/>
          </rPr>
          <t>Ann Bijnens:</t>
        </r>
        <r>
          <rPr>
            <sz val="9"/>
            <color indexed="81"/>
            <rFont val="Tahoma"/>
            <family val="2"/>
          </rPr>
          <t xml:space="preserve">
data of 2016: desalination</t>
        </r>
      </text>
    </comment>
    <comment ref="O105" authorId="1" shapeId="0">
      <text>
        <r>
          <rPr>
            <b/>
            <sz val="9"/>
            <color indexed="81"/>
            <rFont val="Tahoma"/>
            <family val="2"/>
          </rPr>
          <t>bijnensa:</t>
        </r>
        <r>
          <rPr>
            <sz val="9"/>
            <color indexed="81"/>
            <rFont val="Tahoma"/>
            <family val="2"/>
          </rPr>
          <t xml:space="preserve">
water from mine and building constructions (used for productions)</t>
        </r>
      </text>
    </comment>
    <comment ref="Q105" authorId="0" shapeId="0">
      <text>
        <r>
          <rPr>
            <b/>
            <sz val="9"/>
            <color indexed="81"/>
            <rFont val="Tahoma"/>
            <family val="2"/>
          </rPr>
          <t>Ann Bijnens:</t>
        </r>
        <r>
          <rPr>
            <sz val="9"/>
            <color indexed="81"/>
            <rFont val="Tahoma"/>
            <family val="2"/>
          </rPr>
          <t xml:space="preserve">
other sources 2016: irrigation in agriculture and forestry</t>
        </r>
      </text>
    </comment>
    <comment ref="C111" authorId="1" shapeId="0">
      <text>
        <r>
          <rPr>
            <b/>
            <sz val="9"/>
            <color indexed="81"/>
            <rFont val="Tahoma"/>
            <family val="2"/>
          </rPr>
          <t>bijnensa:</t>
        </r>
        <r>
          <rPr>
            <sz val="9"/>
            <color indexed="81"/>
            <rFont val="Tahoma"/>
            <family val="2"/>
          </rPr>
          <t xml:space="preserve">
including springwater</t>
        </r>
      </text>
    </comment>
    <comment ref="N111" authorId="1" shapeId="0">
      <text>
        <r>
          <rPr>
            <b/>
            <sz val="9"/>
            <color indexed="81"/>
            <rFont val="Tahoma"/>
            <family val="2"/>
          </rPr>
          <t>bijnensa:</t>
        </r>
        <r>
          <rPr>
            <sz val="9"/>
            <color indexed="81"/>
            <rFont val="Tahoma"/>
            <family val="2"/>
          </rPr>
          <t xml:space="preserve">
desalination</t>
        </r>
      </text>
    </comment>
    <comment ref="O111" authorId="1" shapeId="0">
      <text>
        <r>
          <rPr>
            <b/>
            <sz val="9"/>
            <color indexed="81"/>
            <rFont val="Tahoma"/>
            <family val="2"/>
          </rPr>
          <t>bijnensa:</t>
        </r>
        <r>
          <rPr>
            <sz val="9"/>
            <color indexed="81"/>
            <rFont val="Tahoma"/>
            <family val="2"/>
          </rPr>
          <t xml:space="preserve">
desalinated</t>
        </r>
      </text>
    </comment>
    <comment ref="P111" authorId="0" shapeId="0">
      <text>
        <r>
          <rPr>
            <b/>
            <sz val="9"/>
            <color indexed="81"/>
            <rFont val="Tahoma"/>
            <family val="2"/>
          </rPr>
          <t>Ann Bijnens:</t>
        </r>
        <r>
          <rPr>
            <sz val="9"/>
            <color indexed="81"/>
            <rFont val="Tahoma"/>
            <family val="2"/>
          </rPr>
          <t xml:space="preserve">
other sources: desalination</t>
        </r>
      </text>
    </comment>
    <comment ref="Q111" authorId="0" shapeId="0">
      <text>
        <r>
          <rPr>
            <b/>
            <sz val="9"/>
            <color indexed="81"/>
            <rFont val="Tahoma"/>
            <family val="2"/>
          </rPr>
          <t>Ann Bijnens:</t>
        </r>
        <r>
          <rPr>
            <sz val="9"/>
            <color indexed="81"/>
            <rFont val="Tahoma"/>
            <family val="2"/>
          </rPr>
          <t xml:space="preserve">
data of 2016 for other sources: desalination</t>
        </r>
      </text>
    </comment>
    <comment ref="O112" authorId="1" shapeId="0">
      <text>
        <r>
          <rPr>
            <b/>
            <sz val="9"/>
            <color indexed="81"/>
            <rFont val="Tahoma"/>
            <family val="2"/>
          </rPr>
          <t>bijnensa:</t>
        </r>
        <r>
          <rPr>
            <sz val="9"/>
            <color indexed="81"/>
            <rFont val="Tahoma"/>
            <family val="2"/>
          </rPr>
          <t xml:space="preserve">
in 2012: artificial groundwater by infiltrated surfacewater</t>
        </r>
      </text>
    </comment>
    <comment ref="A113" authorId="1" shapeId="0">
      <text>
        <r>
          <rPr>
            <b/>
            <sz val="9"/>
            <color indexed="81"/>
            <rFont val="Tahoma"/>
            <family val="2"/>
          </rPr>
          <t>bijnensa:</t>
        </r>
        <r>
          <rPr>
            <sz val="9"/>
            <color indexed="81"/>
            <rFont val="Tahoma"/>
            <family val="2"/>
          </rPr>
          <t xml:space="preserve">
including Liechtenstein</t>
        </r>
      </text>
    </comment>
    <comment ref="A114" authorId="0" shapeId="0">
      <text>
        <r>
          <rPr>
            <b/>
            <sz val="9"/>
            <color indexed="81"/>
            <rFont val="Tahoma"/>
            <family val="2"/>
          </rPr>
          <t>Ann Bijnens:</t>
        </r>
        <r>
          <rPr>
            <sz val="9"/>
            <color indexed="81"/>
            <rFont val="Tahoma"/>
            <family val="2"/>
          </rPr>
          <t xml:space="preserve">
data of 2014 for regional water utilities only</t>
        </r>
      </text>
    </comment>
    <comment ref="D114" authorId="0" shapeId="0">
      <text>
        <r>
          <rPr>
            <b/>
            <sz val="9"/>
            <color indexed="81"/>
            <rFont val="Tahoma"/>
            <family val="2"/>
          </rPr>
          <t>Ann Bijnens:</t>
        </r>
        <r>
          <rPr>
            <sz val="9"/>
            <color indexed="81"/>
            <rFont val="Tahoma"/>
            <family val="2"/>
          </rPr>
          <t xml:space="preserve">
data of 2014: boreholes 19% of total abstraction</t>
        </r>
      </text>
    </comment>
    <comment ref="H114" authorId="0" shapeId="0">
      <text>
        <r>
          <rPr>
            <b/>
            <sz val="9"/>
            <color indexed="81"/>
            <rFont val="Tahoma"/>
            <family val="2"/>
          </rPr>
          <t>Ann Bijnens:</t>
        </r>
        <r>
          <rPr>
            <sz val="9"/>
            <color indexed="81"/>
            <rFont val="Tahoma"/>
            <family val="2"/>
          </rPr>
          <t xml:space="preserve">
data of 2014: 17% of total water abstraction</t>
        </r>
      </text>
    </comment>
    <comment ref="L114" authorId="0" shapeId="0">
      <text>
        <r>
          <rPr>
            <b/>
            <sz val="9"/>
            <color indexed="81"/>
            <rFont val="Tahoma"/>
            <family val="2"/>
          </rPr>
          <t>Ann Bijnens:</t>
        </r>
        <r>
          <rPr>
            <sz val="9"/>
            <color indexed="81"/>
            <rFont val="Tahoma"/>
            <family val="2"/>
          </rPr>
          <t xml:space="preserve">
data of 2014: 64% of total water abstraction</t>
        </r>
      </text>
    </comment>
    <comment ref="N118" authorId="1" shapeId="0">
      <text>
        <r>
          <rPr>
            <b/>
            <sz val="9"/>
            <color indexed="81"/>
            <rFont val="Tahoma"/>
            <family val="2"/>
          </rPr>
          <t>bijnensa:</t>
        </r>
        <r>
          <rPr>
            <sz val="9"/>
            <color indexed="81"/>
            <rFont val="Tahoma"/>
            <family val="2"/>
          </rPr>
          <t xml:space="preserve">
purchased from other utilities (no data on source)</t>
        </r>
      </text>
    </comment>
  </commentList>
</comments>
</file>

<file path=xl/comments2.xml><?xml version="1.0" encoding="utf-8"?>
<comments xmlns="http://schemas.openxmlformats.org/spreadsheetml/2006/main">
  <authors>
    <author>bijnensa</author>
    <author>Ann Bijnens</author>
  </authors>
  <commentList>
    <comment ref="V25" authorId="0" shapeId="0">
      <text>
        <r>
          <rPr>
            <b/>
            <sz val="9"/>
            <color indexed="81"/>
            <rFont val="Tahoma"/>
            <family val="2"/>
          </rPr>
          <t>bijnensa:</t>
        </r>
        <r>
          <rPr>
            <sz val="9"/>
            <color indexed="81"/>
            <rFont val="Tahoma"/>
            <family val="2"/>
          </rPr>
          <t xml:space="preserve">
total production! Not abstraction</t>
        </r>
      </text>
    </comment>
    <comment ref="W25" authorId="0" shapeId="0">
      <text>
        <r>
          <rPr>
            <b/>
            <sz val="9"/>
            <color indexed="81"/>
            <rFont val="Tahoma"/>
            <family val="2"/>
          </rPr>
          <t>bijnensa:</t>
        </r>
        <r>
          <rPr>
            <sz val="9"/>
            <color indexed="81"/>
            <rFont val="Tahoma"/>
            <family val="2"/>
          </rPr>
          <t xml:space="preserve">
total production! Not abstraction</t>
        </r>
      </text>
    </comment>
    <comment ref="A63" authorId="1" shapeId="0">
      <text>
        <r>
          <rPr>
            <b/>
            <sz val="9"/>
            <color indexed="81"/>
            <rFont val="Tahoma"/>
            <family val="2"/>
          </rPr>
          <t>Ann Bijnens:</t>
        </r>
        <r>
          <rPr>
            <sz val="9"/>
            <color indexed="81"/>
            <rFont val="Tahoma"/>
            <family val="2"/>
          </rPr>
          <t xml:space="preserve">
data of 2014 for regional water utilities only</t>
        </r>
      </text>
    </comment>
    <comment ref="A116" authorId="1" shapeId="0">
      <text>
        <r>
          <rPr>
            <b/>
            <sz val="9"/>
            <color indexed="81"/>
            <rFont val="Tahoma"/>
            <family val="2"/>
          </rPr>
          <t>Ann Bijnens:</t>
        </r>
        <r>
          <rPr>
            <sz val="9"/>
            <color indexed="81"/>
            <rFont val="Tahoma"/>
            <family val="2"/>
          </rPr>
          <t xml:space="preserve">
data of 2014 for regional water utilities only</t>
        </r>
      </text>
    </comment>
  </commentList>
</comments>
</file>

<file path=xl/comments3.xml><?xml version="1.0" encoding="utf-8"?>
<comments xmlns="http://schemas.openxmlformats.org/spreadsheetml/2006/main">
  <authors>
    <author>bijnensa</author>
    <author>Ann Bijnens</author>
  </authors>
  <commentList>
    <comment ref="A11" authorId="0" shapeId="0">
      <text>
        <r>
          <rPr>
            <b/>
            <sz val="9"/>
            <color indexed="81"/>
            <rFont val="Tahoma"/>
            <family val="2"/>
          </rPr>
          <t>bijnensa:</t>
        </r>
        <r>
          <rPr>
            <sz val="9"/>
            <color indexed="81"/>
            <rFont val="Tahoma"/>
            <family val="2"/>
          </rPr>
          <t xml:space="preserve">
data 2010: figure for year 2009
data 2012: figure for year 2011</t>
        </r>
      </text>
    </comment>
    <comment ref="A17" authorId="0" shapeId="0">
      <text>
        <r>
          <rPr>
            <b/>
            <sz val="9"/>
            <color indexed="81"/>
            <rFont val="Tahoma"/>
            <family val="2"/>
          </rPr>
          <t>bijnensa:</t>
        </r>
        <r>
          <rPr>
            <sz val="9"/>
            <color indexed="81"/>
            <rFont val="Tahoma"/>
            <family val="2"/>
          </rPr>
          <t xml:space="preserve">
figures in 2010 and 2012: In Hong Kong the water resources are basically from rainfall and Dongjijang Water (Import from China). We make use of impounding reservoirs to store the raw water as reserve from these two sources to cater for the fluctuating demand. Whenever the water demand exceeds Water Abstraction in a particular year, the water stored as reserve in previous years would be used to meet the demand. As no recycled water was used as fresh water supply in Hong Kong, this means some reserves were used in 2010. This resulted in the total volume of Annual Water Consumption greater than that of Total Water Abstraction in 2010 and 2012.</t>
        </r>
      </text>
    </comment>
    <comment ref="A57" authorId="0" shapeId="0">
      <text>
        <r>
          <rPr>
            <b/>
            <sz val="9"/>
            <color indexed="81"/>
            <rFont val="Tahoma"/>
            <family val="2"/>
          </rPr>
          <t>bijnensa:</t>
        </r>
        <r>
          <rPr>
            <sz val="9"/>
            <color indexed="81"/>
            <rFont val="Tahoma"/>
            <family val="2"/>
          </rPr>
          <t xml:space="preserve">
data of year 2012: only for city Cape Town</t>
        </r>
      </text>
    </comment>
    <comment ref="A58" authorId="0" shapeId="0">
      <text>
        <r>
          <rPr>
            <b/>
            <sz val="9"/>
            <color indexed="81"/>
            <rFont val="Tahoma"/>
            <family val="2"/>
          </rPr>
          <t>bijnensa:</t>
        </r>
        <r>
          <rPr>
            <sz val="9"/>
            <color indexed="81"/>
            <rFont val="Tahoma"/>
            <family val="2"/>
          </rPr>
          <t xml:space="preserve">
for 2010: only figures for Adelaide</t>
        </r>
      </text>
    </comment>
    <comment ref="A67" authorId="1" shapeId="0">
      <text>
        <r>
          <rPr>
            <b/>
            <sz val="9"/>
            <color indexed="81"/>
            <rFont val="Tahoma"/>
            <family val="2"/>
          </rPr>
          <t>Ann Bijnens:</t>
        </r>
        <r>
          <rPr>
            <sz val="9"/>
            <color indexed="81"/>
            <rFont val="Tahoma"/>
            <family val="2"/>
          </rPr>
          <t xml:space="preserve">
data of 2010 only for urban Uganda</t>
        </r>
      </text>
    </comment>
    <comment ref="A68" authorId="0" shapeId="0">
      <text>
        <r>
          <rPr>
            <b/>
            <sz val="9"/>
            <color indexed="81"/>
            <rFont val="Tahoma"/>
            <family val="2"/>
          </rPr>
          <t>bijnensa:</t>
        </r>
        <r>
          <rPr>
            <sz val="9"/>
            <color indexed="81"/>
            <rFont val="Tahoma"/>
            <family val="2"/>
          </rPr>
          <t xml:space="preserve">
tem. 2006: UK=England/Wales/Scotland and N. Ireland</t>
        </r>
      </text>
    </comment>
    <comment ref="A75" authorId="1" shapeId="0">
      <text>
        <r>
          <rPr>
            <b/>
            <sz val="9"/>
            <color indexed="81"/>
            <rFont val="Tahoma"/>
            <family val="2"/>
          </rPr>
          <t>Ann Bijnens:</t>
        </r>
        <r>
          <rPr>
            <sz val="9"/>
            <color indexed="81"/>
            <rFont val="Tahoma"/>
            <family val="2"/>
          </rPr>
          <t xml:space="preserve">
data of 2010 only for urban Uganda</t>
        </r>
      </text>
    </comment>
    <comment ref="A88" authorId="0" shapeId="0">
      <text>
        <r>
          <rPr>
            <b/>
            <sz val="9"/>
            <color indexed="81"/>
            <rFont val="Tahoma"/>
            <family val="2"/>
          </rPr>
          <t>bijnensa:</t>
        </r>
        <r>
          <rPr>
            <sz val="9"/>
            <color indexed="81"/>
            <rFont val="Tahoma"/>
            <family val="2"/>
          </rPr>
          <t xml:space="preserve">
data 2010: figure for year 2009
data 2012: figure for year 2011</t>
        </r>
      </text>
    </comment>
    <comment ref="A97" authorId="0" shapeId="0">
      <text>
        <r>
          <rPr>
            <b/>
            <sz val="9"/>
            <color indexed="81"/>
            <rFont val="Tahoma"/>
            <family val="2"/>
          </rPr>
          <t>bijnensa:</t>
        </r>
        <r>
          <rPr>
            <sz val="9"/>
            <color indexed="81"/>
            <rFont val="Tahoma"/>
            <family val="2"/>
          </rPr>
          <t xml:space="preserve">
figures in 2010 and 2012: In Hong Kong the water resources are basically from rainfall and Dongjijang Water (Import from China). We make use of impounding reservoirs to store the raw water as reserve from these two sources to cater for the fluctuating demand. Whenever the water demand exceeds Water Abstraction in a particular year, the water stored as reserve in previous years would be used to meet the demand. As no recycled water was used as fresh water supply in Hong Kong, this means some reserves were used in 2010. This resulted in the total volume of Annual Water Consumption greater than that of Total Water Abstraction in 2010 and 2012.</t>
        </r>
      </text>
    </comment>
    <comment ref="A121" authorId="1" shapeId="0">
      <text>
        <r>
          <rPr>
            <b/>
            <sz val="9"/>
            <color indexed="81"/>
            <rFont val="Tahoma"/>
            <family val="2"/>
          </rPr>
          <t>Ann Bijnens:</t>
        </r>
        <r>
          <rPr>
            <sz val="9"/>
            <color indexed="81"/>
            <rFont val="Tahoma"/>
            <family val="2"/>
          </rPr>
          <t xml:space="preserve">
data of 2010 only for urban Uganda</t>
        </r>
      </text>
    </comment>
    <comment ref="A134" authorId="0" shapeId="0">
      <text>
        <r>
          <rPr>
            <b/>
            <sz val="9"/>
            <color indexed="81"/>
            <rFont val="Tahoma"/>
            <family val="2"/>
          </rPr>
          <t>bijnensa:</t>
        </r>
        <r>
          <rPr>
            <sz val="9"/>
            <color indexed="81"/>
            <rFont val="Tahoma"/>
            <family val="2"/>
          </rPr>
          <t xml:space="preserve">
data 2010: figure for year 2009
data 2012: figure for year 2011</t>
        </r>
      </text>
    </comment>
    <comment ref="A143" authorId="0" shapeId="0">
      <text>
        <r>
          <rPr>
            <b/>
            <sz val="9"/>
            <color indexed="81"/>
            <rFont val="Tahoma"/>
            <family val="2"/>
          </rPr>
          <t>bijnensa:</t>
        </r>
        <r>
          <rPr>
            <sz val="9"/>
            <color indexed="81"/>
            <rFont val="Tahoma"/>
            <family val="2"/>
          </rPr>
          <t xml:space="preserve">
figures in 2010 and 2012: In Hong Kong the water resources are basically from rainfall and Dongjijang Water (Import from China). We make use of impounding reservoirs to store the raw water as reserve from these two sources to cater for the fluctuating demand. Whenever the water demand exceeds Water Abstraction in a particular year, the water stored as reserve in previous years would be used to meet the demand. As no recycled water was used as fresh water supply in Hong Kong, this means some reserves were used in 2010. This resulted in the total volume of Annual Water Consumption greater than that of Total Water Abstraction in 2010 and 2012.</t>
        </r>
      </text>
    </comment>
  </commentList>
</comments>
</file>

<file path=xl/comments4.xml><?xml version="1.0" encoding="utf-8"?>
<comments xmlns="http://schemas.openxmlformats.org/spreadsheetml/2006/main">
  <authors>
    <author>bijnensa</author>
    <author>Ann Bijnens</author>
  </authors>
  <commentList>
    <comment ref="S11" authorId="0" shapeId="0">
      <text>
        <r>
          <rPr>
            <b/>
            <sz val="9"/>
            <color indexed="81"/>
            <rFont val="Tahoma"/>
            <family val="2"/>
          </rPr>
          <t>bijnensa:</t>
        </r>
        <r>
          <rPr>
            <sz val="9"/>
            <color indexed="81"/>
            <rFont val="Tahoma"/>
            <family val="2"/>
          </rPr>
          <t xml:space="preserve">
figure in 2012 of year 2011</t>
        </r>
      </text>
    </comment>
    <comment ref="A16" authorId="0" shapeId="0">
      <text>
        <r>
          <rPr>
            <b/>
            <sz val="9"/>
            <color indexed="81"/>
            <rFont val="Tahoma"/>
            <family val="2"/>
          </rPr>
          <t>bijnensa:</t>
        </r>
        <r>
          <rPr>
            <sz val="9"/>
            <color indexed="81"/>
            <rFont val="Tahoma"/>
            <family val="2"/>
          </rPr>
          <t xml:space="preserve">
figures in 2010: In China there are 6 categories, such as: government owned affiliation water consumption, business (e.g. restaurant, car washing, office), special organization (e.g. military), and other consumption. Therefore, there is a big gap if only cover the household and industry.
figures in 2012: Data for water supply only included 644 big cities, and excluded small towns or rural areas.
figures of 2014+2016: China mainland, only statistics for 665 cities, the small towns, countries and rural areas haven't been included in the statistics.</t>
        </r>
      </text>
    </comment>
    <comment ref="A17" authorId="0" shapeId="0">
      <text>
        <r>
          <rPr>
            <b/>
            <sz val="9"/>
            <color indexed="81"/>
            <rFont val="Tahoma"/>
            <family val="2"/>
          </rPr>
          <t>bijnensa:</t>
        </r>
        <r>
          <rPr>
            <sz val="9"/>
            <color indexed="81"/>
            <rFont val="Tahoma"/>
            <family val="2"/>
          </rPr>
          <t xml:space="preserve">
figures in 2010 and 2012: In Hong Kong the water resources are basically from rainfall and Dongjijang Water (Import from China). We make use of impounding reservoirs to store the raw water as reserve from these two sources to cater for the fluctuating demand. Whenever the water demand exceeds Water Abstraction in a particular year, the water stored as reserve in previous years would be used to meet the demand. As no recycled water was used as fresh water supply in Hong Kong, this means some reserves were used in 2010. This resulted in the total volume of Annual Water Consumption greater than that of Total Water Abstraction in 2010 and 2012.</t>
        </r>
      </text>
    </comment>
    <comment ref="G19" authorId="0" shapeId="0">
      <text>
        <r>
          <rPr>
            <b/>
            <sz val="9"/>
            <color indexed="81"/>
            <rFont val="Tahoma"/>
            <family val="2"/>
          </rPr>
          <t>bijnensa:</t>
        </r>
        <r>
          <rPr>
            <sz val="9"/>
            <color indexed="81"/>
            <rFont val="Tahoma"/>
            <family val="2"/>
          </rPr>
          <t xml:space="preserve">
agriculture needs 178 mio m³</t>
        </r>
      </text>
    </comment>
    <comment ref="H19" authorId="1" shapeId="0">
      <text>
        <r>
          <rPr>
            <b/>
            <sz val="9"/>
            <color indexed="81"/>
            <rFont val="Tahoma"/>
            <family val="2"/>
          </rPr>
          <t>Ann Bijnens:</t>
        </r>
        <r>
          <rPr>
            <sz val="9"/>
            <color indexed="81"/>
            <rFont val="Tahoma"/>
            <family val="2"/>
          </rPr>
          <t xml:space="preserve">
agriculture needs 174 mio m³</t>
        </r>
      </text>
    </comment>
    <comment ref="C33" authorId="0" shapeId="0">
      <text>
        <r>
          <rPr>
            <b/>
            <sz val="9"/>
            <color indexed="81"/>
            <rFont val="Tahoma"/>
            <family val="2"/>
          </rPr>
          <t>bijnensa:</t>
        </r>
        <r>
          <rPr>
            <sz val="9"/>
            <color indexed="81"/>
            <rFont val="Tahoma"/>
            <family val="2"/>
          </rPr>
          <t xml:space="preserve">
data of 2010</t>
        </r>
      </text>
    </comment>
    <comment ref="G33" authorId="0" shapeId="0">
      <text>
        <r>
          <rPr>
            <b/>
            <sz val="9"/>
            <color indexed="81"/>
            <rFont val="Tahoma"/>
            <family val="2"/>
          </rPr>
          <t>bijnensa:</t>
        </r>
        <r>
          <rPr>
            <sz val="9"/>
            <color indexed="81"/>
            <rFont val="Tahoma"/>
            <family val="2"/>
          </rPr>
          <t xml:space="preserve">
data of 2010</t>
        </r>
      </text>
    </comment>
    <comment ref="L41" authorId="1" shapeId="0">
      <text>
        <r>
          <rPr>
            <b/>
            <sz val="9"/>
            <color indexed="81"/>
            <rFont val="Tahoma"/>
            <family val="2"/>
          </rPr>
          <t>Ann Bijnens:</t>
        </r>
        <r>
          <rPr>
            <sz val="9"/>
            <color indexed="81"/>
            <rFont val="Tahoma"/>
            <family val="2"/>
          </rPr>
          <t xml:space="preserve">
includes leakages (technical losses)</t>
        </r>
      </text>
    </comment>
    <comment ref="M41" authorId="1" shapeId="0">
      <text>
        <r>
          <rPr>
            <b/>
            <sz val="9"/>
            <color indexed="81"/>
            <rFont val="Tahoma"/>
            <family val="2"/>
          </rPr>
          <t>Ann Bijnens:</t>
        </r>
        <r>
          <rPr>
            <sz val="9"/>
            <color indexed="81"/>
            <rFont val="Tahoma"/>
            <family val="2"/>
          </rPr>
          <t xml:space="preserve">
includes leakages (technical losses)</t>
        </r>
      </text>
    </comment>
    <comment ref="J42" authorId="0" shapeId="0">
      <text>
        <r>
          <rPr>
            <b/>
            <sz val="9"/>
            <color indexed="81"/>
            <rFont val="Tahoma"/>
            <family val="2"/>
          </rPr>
          <t>bijnensa:</t>
        </r>
        <r>
          <rPr>
            <sz val="9"/>
            <color indexed="81"/>
            <rFont val="Tahoma"/>
            <family val="2"/>
          </rPr>
          <t xml:space="preserve">
unbilled water consumption represents: approx. 25% of total water consumption and includes: pilferage, firefighting, public fountains and under-recording from old meters</t>
        </r>
      </text>
    </comment>
    <comment ref="B55" authorId="0" shapeId="0">
      <text>
        <r>
          <rPr>
            <b/>
            <sz val="9"/>
            <color indexed="81"/>
            <rFont val="Tahoma"/>
            <family val="2"/>
          </rPr>
          <t>bijnensa:</t>
        </r>
        <r>
          <rPr>
            <sz val="9"/>
            <color indexed="81"/>
            <rFont val="Tahoma"/>
            <family val="2"/>
          </rPr>
          <t xml:space="preserve">
domestic water consumption</t>
        </r>
      </text>
    </comment>
    <comment ref="F55" authorId="0" shapeId="0">
      <text>
        <r>
          <rPr>
            <b/>
            <sz val="9"/>
            <color indexed="81"/>
            <rFont val="Tahoma"/>
            <family val="2"/>
          </rPr>
          <t>bijnensa:</t>
        </r>
        <r>
          <rPr>
            <sz val="9"/>
            <color indexed="81"/>
            <rFont val="Tahoma"/>
            <family val="2"/>
          </rPr>
          <t xml:space="preserve">
non domestic water consumption including shipping</t>
        </r>
      </text>
    </comment>
    <comment ref="N55" authorId="0" shapeId="0">
      <text>
        <r>
          <rPr>
            <b/>
            <sz val="9"/>
            <color indexed="81"/>
            <rFont val="Tahoma"/>
            <family val="2"/>
          </rPr>
          <t>bijnensa:</t>
        </r>
        <r>
          <rPr>
            <sz val="9"/>
            <color indexed="81"/>
            <rFont val="Tahoma"/>
            <family val="2"/>
          </rPr>
          <t xml:space="preserve">
sold to Johor</t>
        </r>
      </text>
    </comment>
    <comment ref="A57" authorId="0" shapeId="0">
      <text>
        <r>
          <rPr>
            <b/>
            <sz val="9"/>
            <color indexed="81"/>
            <rFont val="Tahoma"/>
            <family val="2"/>
          </rPr>
          <t>bijnensa:</t>
        </r>
        <r>
          <rPr>
            <sz val="9"/>
            <color indexed="81"/>
            <rFont val="Tahoma"/>
            <family val="2"/>
          </rPr>
          <t xml:space="preserve">
data of year 2012: only for city Cape Town</t>
        </r>
      </text>
    </comment>
    <comment ref="O57" authorId="0" shapeId="0">
      <text>
        <r>
          <rPr>
            <b/>
            <sz val="9"/>
            <color indexed="81"/>
            <rFont val="Tahoma"/>
            <family val="2"/>
          </rPr>
          <t>bijnensa:</t>
        </r>
        <r>
          <rPr>
            <sz val="9"/>
            <color indexed="81"/>
            <rFont val="Tahoma"/>
            <family val="2"/>
          </rPr>
          <t xml:space="preserve">
annual volume of exported drinking water to abroad/neighbouring municipalities</t>
        </r>
      </text>
    </comment>
    <comment ref="A58" authorId="0" shapeId="0">
      <text>
        <r>
          <rPr>
            <b/>
            <sz val="9"/>
            <color indexed="81"/>
            <rFont val="Tahoma"/>
            <family val="2"/>
          </rPr>
          <t>bijnensa:</t>
        </r>
        <r>
          <rPr>
            <sz val="9"/>
            <color indexed="81"/>
            <rFont val="Tahoma"/>
            <family val="2"/>
          </rPr>
          <t xml:space="preserve">
in 2010: only figures for Adelaide</t>
        </r>
      </text>
    </comment>
    <comment ref="B58" authorId="0" shapeId="0">
      <text>
        <r>
          <rPr>
            <b/>
            <sz val="9"/>
            <color indexed="81"/>
            <rFont val="Tahoma"/>
            <family val="2"/>
          </rPr>
          <t>bijnensa:</t>
        </r>
        <r>
          <rPr>
            <sz val="9"/>
            <color indexed="81"/>
            <rFont val="Tahoma"/>
            <family val="2"/>
          </rPr>
          <t xml:space="preserve">
only households</t>
        </r>
      </text>
    </comment>
    <comment ref="F58" authorId="0" shapeId="0">
      <text>
        <r>
          <rPr>
            <b/>
            <sz val="9"/>
            <color indexed="81"/>
            <rFont val="Tahoma"/>
            <family val="2"/>
          </rPr>
          <t>bijnensa:</t>
        </r>
        <r>
          <rPr>
            <sz val="9"/>
            <color indexed="81"/>
            <rFont val="Tahoma"/>
            <family val="2"/>
          </rPr>
          <t xml:space="preserve">
all non-residential consumption including small business
</t>
        </r>
      </text>
    </comment>
    <comment ref="A60" authorId="1" shapeId="0">
      <text>
        <r>
          <rPr>
            <b/>
            <sz val="9"/>
            <color indexed="81"/>
            <rFont val="Tahoma"/>
            <family val="2"/>
          </rPr>
          <t>Ann Bijnens:</t>
        </r>
        <r>
          <rPr>
            <sz val="9"/>
            <color indexed="81"/>
            <rFont val="Tahoma"/>
            <family val="2"/>
          </rPr>
          <t xml:space="preserve">
data of 2016:
Annual water consumption in Spain is divided into three categories in our Water Supply and Sanitation Study for 2016: Households, Industry and Others. As convention, we have allocated the results of Industry and Others in the field of "industry and billed water consumption"</t>
        </r>
      </text>
    </comment>
    <comment ref="A68" authorId="0" shapeId="0">
      <text>
        <r>
          <rPr>
            <b/>
            <sz val="9"/>
            <color indexed="81"/>
            <rFont val="Tahoma"/>
            <family val="2"/>
          </rPr>
          <t>bijnensa:</t>
        </r>
        <r>
          <rPr>
            <sz val="9"/>
            <color indexed="81"/>
            <rFont val="Tahoma"/>
            <family val="2"/>
          </rPr>
          <t xml:space="preserve">
tem. 2006: UK=England/Wales/Scotland and N. Ireland</t>
        </r>
      </text>
    </comment>
    <comment ref="A81" authorId="0" shapeId="0">
      <text>
        <r>
          <rPr>
            <b/>
            <sz val="9"/>
            <color indexed="81"/>
            <rFont val="Tahoma"/>
            <family val="2"/>
          </rPr>
          <t>bijnensa:</t>
        </r>
        <r>
          <rPr>
            <sz val="9"/>
            <color indexed="81"/>
            <rFont val="Tahoma"/>
            <family val="2"/>
          </rPr>
          <t xml:space="preserve">
figures in 2010: In China there are 6 categories, such as: government owned affiliation water consumption, business (e.g. restaurant, car washing, office), special organization (e.g. military), and other consumption. Therefore, there is a big gap if only cover the household and industry.
figures in 2012: Data for water supply only included 644 big cities, and excluded small towns or rural areas.
figures of 2014+2016: China mainland, only statistics for 665 cities, the small towns, countries and rural areas haven't been included in the statistics.</t>
        </r>
      </text>
    </comment>
    <comment ref="A82" authorId="0" shapeId="0">
      <text>
        <r>
          <rPr>
            <b/>
            <sz val="9"/>
            <color indexed="81"/>
            <rFont val="Tahoma"/>
            <family val="2"/>
          </rPr>
          <t>bijnensa:</t>
        </r>
        <r>
          <rPr>
            <sz val="9"/>
            <color indexed="81"/>
            <rFont val="Tahoma"/>
            <family val="2"/>
          </rPr>
          <t xml:space="preserve">
figures in 2010 and 2012: In Hong Kong the water resources are basically from rainfall and Dongjijang Water (Import from China). We make use of impounding reservoirs to store the raw water as reserve from these two sources to cater for the fluctuating demand. Whenever the water demand exceeds Water Abstraction in a particular year, the water stored as reserve in previous years would be used to meet the demand. As no recycled water was used as fresh water supply in Hong Kong, this means some reserves were used in 2010. This resulted in the total volume of Annual Water Consumption greater than that of Total Water Abstraction in 2010 and 2012.</t>
        </r>
      </text>
    </comment>
    <comment ref="D84" authorId="1" shapeId="0">
      <text>
        <r>
          <rPr>
            <b/>
            <sz val="9"/>
            <color indexed="81"/>
            <rFont val="Tahoma"/>
            <family val="2"/>
          </rPr>
          <t>Ann Bijnens:</t>
        </r>
        <r>
          <rPr>
            <sz val="9"/>
            <color indexed="81"/>
            <rFont val="Tahoma"/>
            <family val="2"/>
          </rPr>
          <t xml:space="preserve">
agriculture needs 174 mio m³</t>
        </r>
      </text>
    </comment>
    <comment ref="A108" authorId="1" shapeId="0">
      <text>
        <r>
          <rPr>
            <b/>
            <sz val="9"/>
            <color indexed="81"/>
            <rFont val="Tahoma"/>
            <family val="2"/>
          </rPr>
          <t>Ann Bijnens:</t>
        </r>
        <r>
          <rPr>
            <sz val="9"/>
            <color indexed="81"/>
            <rFont val="Tahoma"/>
            <family val="2"/>
          </rPr>
          <t xml:space="preserve">
data of 2016:
Annual water consumption in Spain is divided into three categories in our Water Supply and Sanitation Study for 2016: Households, Industry and Others. As convention, we have allocated the results of Industry and Others in the field of "industry and billed water consumption"</t>
        </r>
      </text>
    </comment>
    <comment ref="A138" authorId="0" shapeId="0">
      <text>
        <r>
          <rPr>
            <b/>
            <sz val="9"/>
            <color indexed="81"/>
            <rFont val="Tahoma"/>
            <family val="2"/>
          </rPr>
          <t>bijnensa:</t>
        </r>
        <r>
          <rPr>
            <sz val="9"/>
            <color indexed="81"/>
            <rFont val="Tahoma"/>
            <family val="2"/>
          </rPr>
          <t xml:space="preserve">
figures in 2010 and 2012: In Hong Kong the water resources are basically from rainfall and Dongjijang Water (Import from China). We make use of impounding reservoirs to store the raw water as reserve from these two sources to cater for the fluctuating demand. Whenever the water demand exceeds Water Abstraction in a particular year, the water stored as reserve in previous years would be used to meet the demand. As no recycled water was used as fresh water supply in Hong Kong, this means some reserves were used in 2010. This resulted in the total volume of Annual Water Consumption greater than that of Total Water Abstraction in 2010 and 2012.</t>
        </r>
      </text>
    </comment>
    <comment ref="A143" authorId="1" shapeId="0">
      <text>
        <r>
          <rPr>
            <b/>
            <sz val="9"/>
            <color indexed="81"/>
            <rFont val="Tahoma"/>
            <family val="2"/>
          </rPr>
          <t>Ann Bijnens:</t>
        </r>
        <r>
          <rPr>
            <sz val="9"/>
            <color indexed="81"/>
            <rFont val="Tahoma"/>
            <family val="2"/>
          </rPr>
          <t xml:space="preserve">
data of 2016:
Annual water consumption in Spain is divided into three categories in our Water Supply and Sanitation Study for 2016: Households, Industry and Others. As convention, we have allocated the results of Industry and Others in the field of "industry and billed water consumption"</t>
        </r>
      </text>
    </comment>
    <comment ref="A154" authorId="0" shapeId="0">
      <text>
        <r>
          <rPr>
            <b/>
            <sz val="9"/>
            <color indexed="81"/>
            <rFont val="Tahoma"/>
            <family val="2"/>
          </rPr>
          <t>bijnensa:</t>
        </r>
        <r>
          <rPr>
            <sz val="9"/>
            <color indexed="81"/>
            <rFont val="Tahoma"/>
            <family val="2"/>
          </rPr>
          <t xml:space="preserve">
figures in 2010: In China there are 6 categories, such as: government owned affiliation water consumption, business (e.g. restaurant, car washing, office), special organization (e.g. military), and other consumption. Therefore, there is a big gap if only cover the household and industry.
figures in 2012: Data for water supply only included 644 big cities, and excluded small towns or rural areas.
figures of 2014+2016: China mainland, only statistics for 665 cities, the small towns, countries and rural areas haven't been included in the statistics.</t>
        </r>
      </text>
    </comment>
  </commentList>
</comments>
</file>

<file path=xl/comments5.xml><?xml version="1.0" encoding="utf-8"?>
<comments xmlns="http://schemas.openxmlformats.org/spreadsheetml/2006/main">
  <authors>
    <author>bijnensa</author>
    <author>Ann Bijnens</author>
  </authors>
  <commentList>
    <comment ref="A11" authorId="0" shapeId="0">
      <text>
        <r>
          <rPr>
            <b/>
            <sz val="9"/>
            <color indexed="81"/>
            <rFont val="Tahoma"/>
            <family val="2"/>
          </rPr>
          <t>bijnensa:</t>
        </r>
        <r>
          <rPr>
            <sz val="9"/>
            <color indexed="81"/>
            <rFont val="Tahoma"/>
            <family val="2"/>
          </rPr>
          <t xml:space="preserve">
in 2010: figure for year 2009
in 2012: figure for year 2011</t>
        </r>
      </text>
    </comment>
    <comment ref="A16" authorId="0" shapeId="0">
      <text>
        <r>
          <rPr>
            <b/>
            <sz val="9"/>
            <color indexed="81"/>
            <rFont val="Tahoma"/>
            <family val="2"/>
          </rPr>
          <t>bijnensa:</t>
        </r>
        <r>
          <rPr>
            <sz val="9"/>
            <color indexed="81"/>
            <rFont val="Tahoma"/>
            <family val="2"/>
          </rPr>
          <t xml:space="preserve">
in 2010: In China there are 6 categories, such as: government owned affiliation water consumption, business (e.g. restaurant, car washing, office), special organization (e.g. military), and other consumption. Therefore, there is a big gap if only cover the household and industry.
in 2012: Data for water supply only included 644 big cities, and excluded small towns or rural areas.
figures of 2014: China mainland, only statistics for 665 cities, the small towns and countries haven't been included in the statistics.</t>
        </r>
      </text>
    </comment>
    <comment ref="F16" authorId="0" shapeId="0">
      <text>
        <r>
          <rPr>
            <b/>
            <sz val="9"/>
            <color indexed="81"/>
            <rFont val="Tahoma"/>
            <family val="2"/>
          </rPr>
          <t>bijnensa:</t>
        </r>
        <r>
          <rPr>
            <sz val="9"/>
            <color indexed="81"/>
            <rFont val="Tahoma"/>
            <family val="2"/>
          </rPr>
          <t xml:space="preserve">
only data for urban area in China. The data of rural and sub-urban is unavailable.</t>
        </r>
      </text>
    </comment>
    <comment ref="A17" authorId="0" shapeId="0">
      <text>
        <r>
          <rPr>
            <b/>
            <sz val="9"/>
            <color indexed="81"/>
            <rFont val="Tahoma"/>
            <family val="2"/>
          </rPr>
          <t>bijnensa:</t>
        </r>
        <r>
          <rPr>
            <sz val="9"/>
            <color indexed="81"/>
            <rFont val="Tahoma"/>
            <family val="2"/>
          </rPr>
          <t xml:space="preserve">
figures in 2010 and 2012: In Hong Kong the water resources are basically from rainfall and Dongjijang Water (Import from China). We make use of impounding reservoirs to store the raw water as reserve from these two sources to cater for the fluctuating demand. Whenever the water demand exceeds Water Abstraction in a particular year, the water stored as reserve in previous years would be used to meet the demand. As no recycled water was used as fresh water supply in Hong Kong, this means some reserves were used in 2010. This resulted in the total volume of Annual Water Consumption greater than that of Total Water Abstraction in 2010 and 2012.</t>
        </r>
      </text>
    </comment>
    <comment ref="D24" authorId="1" shapeId="0">
      <text>
        <r>
          <rPr>
            <b/>
            <sz val="9"/>
            <color indexed="81"/>
            <rFont val="Tahoma"/>
            <family val="2"/>
          </rPr>
          <t>Ann Bijnens:</t>
        </r>
        <r>
          <rPr>
            <sz val="9"/>
            <color indexed="81"/>
            <rFont val="Tahoma"/>
            <family val="2"/>
          </rPr>
          <t xml:space="preserve">
data of 2014: HH includes SB</t>
        </r>
      </text>
    </comment>
    <comment ref="F25" authorId="0" shapeId="0">
      <text>
        <r>
          <rPr>
            <b/>
            <sz val="9"/>
            <color indexed="81"/>
            <rFont val="Tahoma"/>
            <family val="2"/>
          </rPr>
          <t>bijnensa:</t>
        </r>
        <r>
          <rPr>
            <sz val="9"/>
            <color indexed="81"/>
            <rFont val="Tahoma"/>
            <family val="2"/>
          </rPr>
          <t xml:space="preserve">
total country URBAN population</t>
        </r>
      </text>
    </comment>
    <comment ref="F43" authorId="0" shapeId="0">
      <text>
        <r>
          <rPr>
            <b/>
            <sz val="9"/>
            <color indexed="81"/>
            <rFont val="Tahoma"/>
            <family val="2"/>
          </rPr>
          <t>bijnensa:</t>
        </r>
        <r>
          <rPr>
            <sz val="9"/>
            <color indexed="81"/>
            <rFont val="Tahoma"/>
            <family val="2"/>
          </rPr>
          <t xml:space="preserve">
total country urban population: as in most developing or emerging countries, the service is completely different in urban and rural areas. In Morocco more than 96% of population is connected to networks and services almost at the european quality level, while about 90% of rural population uses public standpipes.</t>
        </r>
      </text>
    </comment>
    <comment ref="A56" authorId="0" shapeId="0">
      <text>
        <r>
          <rPr>
            <b/>
            <sz val="9"/>
            <color indexed="81"/>
            <rFont val="Tahoma"/>
            <family val="2"/>
          </rPr>
          <t>bijnensa:</t>
        </r>
        <r>
          <rPr>
            <sz val="9"/>
            <color indexed="81"/>
            <rFont val="Tahoma"/>
            <family val="2"/>
          </rPr>
          <t xml:space="preserve">
data of year 2012: only for city Cape Town</t>
        </r>
      </text>
    </comment>
    <comment ref="A57" authorId="0" shapeId="0">
      <text>
        <r>
          <rPr>
            <b/>
            <sz val="9"/>
            <color indexed="81"/>
            <rFont val="Tahoma"/>
            <family val="2"/>
          </rPr>
          <t>bijnensa:</t>
        </r>
        <r>
          <rPr>
            <sz val="9"/>
            <color indexed="81"/>
            <rFont val="Tahoma"/>
            <family val="2"/>
          </rPr>
          <t xml:space="preserve">
in 2010: only figures for Adelaide</t>
        </r>
      </text>
    </comment>
    <comment ref="F61" authorId="0" shapeId="0">
      <text>
        <r>
          <rPr>
            <b/>
            <sz val="9"/>
            <color indexed="81"/>
            <rFont val="Tahoma"/>
            <family val="2"/>
          </rPr>
          <t>bijnensa:</t>
        </r>
        <r>
          <rPr>
            <sz val="9"/>
            <color indexed="81"/>
            <rFont val="Tahoma"/>
            <family val="2"/>
          </rPr>
          <t xml:space="preserve">
2010: including Liechtenstein</t>
        </r>
      </text>
    </comment>
    <comment ref="A66" authorId="1" shapeId="0">
      <text>
        <r>
          <rPr>
            <b/>
            <sz val="9"/>
            <color indexed="81"/>
            <rFont val="Tahoma"/>
            <family val="2"/>
          </rPr>
          <t>Ann Bijnens:</t>
        </r>
        <r>
          <rPr>
            <sz val="9"/>
            <color indexed="81"/>
            <rFont val="Tahoma"/>
            <family val="2"/>
          </rPr>
          <t xml:space="preserve">
data of 2010 only for urban Uganda</t>
        </r>
      </text>
    </comment>
    <comment ref="A67" authorId="0" shapeId="0">
      <text>
        <r>
          <rPr>
            <b/>
            <sz val="9"/>
            <color indexed="81"/>
            <rFont val="Tahoma"/>
            <family val="2"/>
          </rPr>
          <t>bijnensa:</t>
        </r>
        <r>
          <rPr>
            <sz val="9"/>
            <color indexed="81"/>
            <rFont val="Tahoma"/>
            <family val="2"/>
          </rPr>
          <t xml:space="preserve">
tem. 2006: UK=England/Wales/Scotland and N. Ireland</t>
        </r>
      </text>
    </comment>
    <comment ref="A80" authorId="0" shapeId="0">
      <text>
        <r>
          <rPr>
            <b/>
            <sz val="9"/>
            <color indexed="81"/>
            <rFont val="Tahoma"/>
            <family val="2"/>
          </rPr>
          <t>bijnensa:</t>
        </r>
        <r>
          <rPr>
            <sz val="9"/>
            <color indexed="81"/>
            <rFont val="Tahoma"/>
            <family val="2"/>
          </rPr>
          <t xml:space="preserve">
in 2010: In China there are 6 categories, such as: government owned affiliation water consumption, business (e.g. restaurant, car washing, office), special organization (e.g. military), and other consumption. Therefore, there is a big gap if only cover the household and industry.
in 2012: Data for water supply only included 644 big cities, and excluded small towns or rural areas.
figures of 2014: China mainland, only statistics for 665 cities, the small towns and countries haven't been included in the statistics.</t>
        </r>
      </text>
    </comment>
    <comment ref="A106" authorId="1" shapeId="0">
      <text>
        <r>
          <rPr>
            <b/>
            <sz val="9"/>
            <color indexed="81"/>
            <rFont val="Tahoma"/>
            <family val="2"/>
          </rPr>
          <t>Ann Bijnens:</t>
        </r>
        <r>
          <rPr>
            <sz val="9"/>
            <color indexed="81"/>
            <rFont val="Tahoma"/>
            <family val="2"/>
          </rPr>
          <t xml:space="preserve">
data of 2010 only for urban Uganda</t>
        </r>
      </text>
    </comment>
    <comment ref="A112" authorId="1" shapeId="0">
      <text>
        <r>
          <rPr>
            <b/>
            <sz val="9"/>
            <color indexed="81"/>
            <rFont val="Tahoma"/>
            <family val="2"/>
          </rPr>
          <t>Ann Bijnens:</t>
        </r>
        <r>
          <rPr>
            <sz val="9"/>
            <color indexed="81"/>
            <rFont val="Tahoma"/>
            <family val="2"/>
          </rPr>
          <t xml:space="preserve">
data of 2010 only for urban Uganda</t>
        </r>
      </text>
    </comment>
    <comment ref="A139" authorId="0" shapeId="0">
      <text>
        <r>
          <rPr>
            <b/>
            <sz val="9"/>
            <color indexed="81"/>
            <rFont val="Tahoma"/>
            <family val="2"/>
          </rPr>
          <t>bijnensa:</t>
        </r>
        <r>
          <rPr>
            <sz val="9"/>
            <color indexed="81"/>
            <rFont val="Tahoma"/>
            <family val="2"/>
          </rPr>
          <t xml:space="preserve">
in 2010: In China there are 6 categories, such as: government owned affiliation water consumption, business (e.g. restaurant, car washing, office), special organization (e.g. military), and other consumption. Therefore, there is a big gap if only cover the household and industry.
in 2012: Data for water supply only included 644 big cities, and excluded small towns or rural areas.
figures of 2014: China mainland, only statistics for 665 cities, the small towns and countries haven't been included in the statistics.</t>
        </r>
      </text>
    </comment>
  </commentList>
</comments>
</file>

<file path=xl/comments6.xml><?xml version="1.0" encoding="utf-8"?>
<comments xmlns="http://schemas.openxmlformats.org/spreadsheetml/2006/main">
  <authors>
    <author>Ann Bijnens</author>
    <author>bijnensa</author>
  </authors>
  <commentList>
    <comment ref="J7" authorId="0" shapeId="0">
      <text>
        <r>
          <rPr>
            <b/>
            <sz val="9"/>
            <color indexed="81"/>
            <rFont val="Tahoma"/>
            <family val="2"/>
          </rPr>
          <t>Ann Bijnens:</t>
        </r>
        <r>
          <rPr>
            <sz val="9"/>
            <color indexed="81"/>
            <rFont val="Tahoma"/>
            <family val="2"/>
          </rPr>
          <t xml:space="preserve">
21% for 2017</t>
        </r>
      </text>
    </comment>
    <comment ref="M7" authorId="0" shapeId="0">
      <text>
        <r>
          <rPr>
            <b/>
            <sz val="9"/>
            <color indexed="81"/>
            <rFont val="Tahoma"/>
            <family val="2"/>
          </rPr>
          <t>Ann Bijnens:</t>
        </r>
        <r>
          <rPr>
            <sz val="9"/>
            <color indexed="81"/>
            <rFont val="Tahoma"/>
            <family val="2"/>
          </rPr>
          <t xml:space="preserve">
21% for 2017</t>
        </r>
      </text>
    </comment>
    <comment ref="O7" authorId="0" shapeId="0">
      <text>
        <r>
          <rPr>
            <b/>
            <sz val="9"/>
            <color indexed="81"/>
            <rFont val="Tahoma"/>
            <family val="2"/>
          </rPr>
          <t>Ann Bijnens:</t>
        </r>
        <r>
          <rPr>
            <sz val="9"/>
            <color indexed="81"/>
            <rFont val="Tahoma"/>
            <family val="2"/>
          </rPr>
          <t xml:space="preserve">
21% for 2017</t>
        </r>
      </text>
    </comment>
    <comment ref="Q7" authorId="0" shapeId="0">
      <text>
        <r>
          <rPr>
            <b/>
            <sz val="9"/>
            <color indexed="81"/>
            <rFont val="Tahoma"/>
            <family val="2"/>
          </rPr>
          <t>Ann Bijnens:</t>
        </r>
        <r>
          <rPr>
            <sz val="9"/>
            <color indexed="81"/>
            <rFont val="Tahoma"/>
            <family val="2"/>
          </rPr>
          <t xml:space="preserve">
21% for 2017</t>
        </r>
      </text>
    </comment>
    <comment ref="B14" authorId="0" shapeId="0">
      <text>
        <r>
          <rPr>
            <b/>
            <sz val="9"/>
            <color indexed="81"/>
            <rFont val="Tahoma"/>
            <family val="2"/>
          </rPr>
          <t>Ann Bijnens:</t>
        </r>
        <r>
          <rPr>
            <sz val="9"/>
            <color indexed="81"/>
            <rFont val="Tahoma"/>
            <family val="2"/>
          </rPr>
          <t xml:space="preserve">
charges 2017: charges for wastewater treatment are included in sewerage taxes.
Bill is not depending on the volume of consumption.</t>
        </r>
      </text>
    </comment>
    <comment ref="H16" authorId="1" shapeId="0">
      <text>
        <r>
          <rPr>
            <b/>
            <sz val="9"/>
            <color indexed="81"/>
            <rFont val="Tahoma"/>
            <family val="2"/>
          </rPr>
          <t>bijnensa:</t>
        </r>
        <r>
          <rPr>
            <sz val="9"/>
            <color indexed="81"/>
            <rFont val="Tahoma"/>
            <family val="2"/>
          </rPr>
          <t xml:space="preserve">
assumes the customers water consumption is equally distributed in each quarter</t>
        </r>
      </text>
    </comment>
    <comment ref="I16" authorId="1" shapeId="0">
      <text>
        <r>
          <rPr>
            <b/>
            <sz val="9"/>
            <color indexed="81"/>
            <rFont val="Tahoma"/>
            <family val="2"/>
          </rPr>
          <t>bijnensa:</t>
        </r>
        <r>
          <rPr>
            <sz val="9"/>
            <color indexed="81"/>
            <rFont val="Tahoma"/>
            <family val="2"/>
          </rPr>
          <t xml:space="preserve">
River Murray Levy</t>
        </r>
      </text>
    </comment>
    <comment ref="L16" authorId="1" shapeId="0">
      <text>
        <r>
          <rPr>
            <b/>
            <sz val="9"/>
            <color indexed="81"/>
            <rFont val="Tahoma"/>
            <family val="2"/>
          </rPr>
          <t>bijnensa:</t>
        </r>
        <r>
          <rPr>
            <sz val="9"/>
            <color indexed="81"/>
            <rFont val="Tahoma"/>
            <family val="2"/>
          </rPr>
          <t xml:space="preserve">
based on the average valued property</t>
        </r>
      </text>
    </comment>
    <comment ref="A37" authorId="0" shapeId="0">
      <text>
        <r>
          <rPr>
            <b/>
            <sz val="9"/>
            <color indexed="81"/>
            <rFont val="Tahoma"/>
            <family val="2"/>
          </rPr>
          <t>Ann Bijnens:</t>
        </r>
        <r>
          <rPr>
            <sz val="9"/>
            <color indexed="81"/>
            <rFont val="Tahoma"/>
            <family val="2"/>
          </rPr>
          <t xml:space="preserve">
charges of 2015:
Source: SNIS - National System of Information on Water and Sanitation    Reference Year - 2015 - Last Edition published                                                           SABESP - Water Utility of São Paulo State with full concession of Water and Sanitation Services in 368 Municipalities of São Paulo Stae, deserving around 27,9 millioon inhabitants.                                                                                                                                                                                      BRASÍLIA - The Federal District is deserved in water and sanitation by CAESB, the local water utility.  CAESB deserves about 2,59 million inhabitants.</t>
        </r>
      </text>
    </comment>
    <comment ref="A45" authorId="0" shapeId="0">
      <text>
        <r>
          <rPr>
            <b/>
            <sz val="9"/>
            <color indexed="81"/>
            <rFont val="Tahoma"/>
            <family val="2"/>
          </rPr>
          <t>Ann Bijnens:</t>
        </r>
        <r>
          <rPr>
            <sz val="9"/>
            <color indexed="81"/>
            <rFont val="Tahoma"/>
            <family val="2"/>
          </rPr>
          <t xml:space="preserve">
charges of 2017:
Tariffs for 3 services (water supply, sewerage and waste water treatment are billed per m3 consumed. No fix or variable components are applied. VAT is 20%.
Tariffs in Sofia and Burgas are established in 2017, in Pleven and Razgrad in 2016, and in Stara Zagora in 2012</t>
        </r>
      </text>
    </comment>
    <comment ref="A75" authorId="0" shapeId="0">
      <text>
        <r>
          <rPr>
            <b/>
            <sz val="9"/>
            <color indexed="81"/>
            <rFont val="Tahoma"/>
            <family val="2"/>
          </rPr>
          <t>Ann Bijnens:</t>
        </r>
        <r>
          <rPr>
            <sz val="9"/>
            <color indexed="81"/>
            <rFont val="Tahoma"/>
            <family val="2"/>
          </rPr>
          <t xml:space="preserve">
charges 2017:
- variable component includes all other taxes and charges applied in the Czech Republic, for example water abstraction, wastewater discharges, etc
- rate 15% VAT
- WWT includes the charges for sewerage</t>
        </r>
      </text>
    </comment>
    <comment ref="A85" authorId="0" shapeId="0">
      <text>
        <r>
          <rPr>
            <b/>
            <sz val="9"/>
            <color indexed="81"/>
            <rFont val="Tahoma"/>
            <family val="2"/>
          </rPr>
          <t>Ann Bijnens:</t>
        </r>
        <r>
          <rPr>
            <sz val="9"/>
            <color indexed="81"/>
            <rFont val="Tahoma"/>
            <family val="2"/>
          </rPr>
          <t xml:space="preserve">
charges of 2017:
sewerage charges variable component based on water consumption, includes waste water treatment.
Other charges: service charge or fixed bill component  sewerage including waste water treatment</t>
        </r>
      </text>
    </comment>
    <comment ref="A91" authorId="0" shapeId="0">
      <text>
        <r>
          <rPr>
            <b/>
            <sz val="9"/>
            <color indexed="81"/>
            <rFont val="Tahoma"/>
            <family val="2"/>
          </rPr>
          <t>Ann Bijnens:</t>
        </r>
        <r>
          <rPr>
            <sz val="9"/>
            <color indexed="81"/>
            <rFont val="Tahoma"/>
            <family val="2"/>
          </rPr>
          <t xml:space="preserve">
data of 2015/2017? Other charges = water agency
VAT on drinking water = 5%
VAT on sew&amp;WWT = 10%</t>
        </r>
      </text>
    </comment>
    <comment ref="B97" authorId="0" shapeId="0">
      <text>
        <r>
          <rPr>
            <b/>
            <sz val="9"/>
            <color indexed="81"/>
            <rFont val="Tahoma"/>
            <family val="2"/>
          </rPr>
          <t>Ann Bijnens:</t>
        </r>
        <r>
          <rPr>
            <sz val="9"/>
            <color indexed="81"/>
            <rFont val="Tahoma"/>
            <family val="2"/>
          </rPr>
          <t xml:space="preserve">
data of 2014</t>
        </r>
      </text>
    </comment>
    <comment ref="A141" authorId="0" shapeId="0">
      <text>
        <r>
          <rPr>
            <b/>
            <sz val="9"/>
            <color indexed="81"/>
            <rFont val="Tahoma"/>
            <family val="2"/>
          </rPr>
          <t>Ann Bijnens:</t>
        </r>
        <r>
          <rPr>
            <sz val="9"/>
            <color indexed="81"/>
            <rFont val="Tahoma"/>
            <family val="2"/>
          </rPr>
          <t xml:space="preserve">
In comparison with the data of 2015 the charges for 200 m³ are decreased in 2017.
Due to the domestic consumption has considerably increased in the past few years, therefore, we have also included the domestic customers in the 2017 data.
</t>
        </r>
      </text>
    </comment>
    <comment ref="A143" authorId="0" shapeId="0">
      <text>
        <r>
          <rPr>
            <b/>
            <sz val="9"/>
            <color indexed="81"/>
            <rFont val="Tahoma"/>
            <family val="2"/>
          </rPr>
          <t xml:space="preserve">Ann Bijnens:
</t>
        </r>
        <r>
          <rPr>
            <sz val="9"/>
            <color indexed="81"/>
            <rFont val="Tahoma"/>
            <family val="2"/>
          </rPr>
          <t>There are no regional differences in water rates</t>
        </r>
      </text>
    </comment>
    <comment ref="B143" authorId="0" shapeId="0">
      <text>
        <r>
          <rPr>
            <b/>
            <sz val="9"/>
            <color indexed="81"/>
            <rFont val="Tahoma"/>
            <family val="2"/>
          </rPr>
          <t>Ann Bijnens:</t>
        </r>
        <r>
          <rPr>
            <sz val="9"/>
            <color indexed="81"/>
            <rFont val="Tahoma"/>
            <family val="2"/>
          </rPr>
          <t xml:space="preserve">
for a 3 persons household</t>
        </r>
      </text>
    </comment>
    <comment ref="H143" authorId="0" shapeId="0">
      <text>
        <r>
          <rPr>
            <b/>
            <sz val="9"/>
            <color indexed="81"/>
            <rFont val="Tahoma"/>
            <family val="2"/>
          </rPr>
          <t>Ann Bijnens:</t>
        </r>
        <r>
          <rPr>
            <sz val="9"/>
            <color indexed="81"/>
            <rFont val="Tahoma"/>
            <family val="2"/>
          </rPr>
          <t xml:space="preserve">
Increasing block tariff at €1.3965/m3 up to 33m3/person/annum and €5.1395/m3 above 33m3/person/annum. Assume water consumption spread evenly over the year.</t>
        </r>
      </text>
    </comment>
    <comment ref="N143" authorId="0" shapeId="0">
      <text>
        <r>
          <rPr>
            <b/>
            <sz val="9"/>
            <color indexed="81"/>
            <rFont val="Tahoma"/>
            <family val="2"/>
          </rPr>
          <t>Ann Bijnens:</t>
        </r>
        <r>
          <rPr>
            <sz val="9"/>
            <color indexed="81"/>
            <rFont val="Tahoma"/>
            <family val="2"/>
          </rPr>
          <t xml:space="preserve">
rates incorporate sewerage contribution</t>
        </r>
      </text>
    </comment>
    <comment ref="N157" authorId="0" shapeId="0">
      <text>
        <r>
          <rPr>
            <b/>
            <sz val="9"/>
            <color indexed="81"/>
            <rFont val="Tahoma"/>
            <family val="2"/>
          </rPr>
          <t>Ann Bijnens:</t>
        </r>
        <r>
          <rPr>
            <sz val="9"/>
            <color indexed="81"/>
            <rFont val="Tahoma"/>
            <family val="2"/>
          </rPr>
          <t xml:space="preserve">
charges 2017: 100 m³ of drinking water pertains to a household consiting of 2,2 inhabitants, they receive a bill for 3 pollution units</t>
        </r>
      </text>
    </comment>
    <comment ref="P157" authorId="1" shapeId="0">
      <text>
        <r>
          <rPr>
            <b/>
            <sz val="9"/>
            <color indexed="81"/>
            <rFont val="Tahoma"/>
            <family val="2"/>
          </rPr>
          <t>bijnensa:</t>
        </r>
        <r>
          <rPr>
            <sz val="9"/>
            <color indexed="81"/>
            <rFont val="Tahoma"/>
            <family val="2"/>
          </rPr>
          <t xml:space="preserve">
charges 2017: other charges: tap water tax</t>
        </r>
      </text>
    </comment>
    <comment ref="B158" authorId="0" shapeId="0">
      <text>
        <r>
          <rPr>
            <b/>
            <sz val="9"/>
            <color indexed="81"/>
            <rFont val="Tahoma"/>
            <family val="2"/>
          </rPr>
          <t>Ann Bijnens:</t>
        </r>
        <r>
          <rPr>
            <sz val="9"/>
            <color indexed="81"/>
            <rFont val="Tahoma"/>
            <family val="2"/>
          </rPr>
          <t xml:space="preserve">
charges 2017: Rotterdam is Water Authority HHSK</t>
        </r>
      </text>
    </comment>
    <comment ref="I158" authorId="1" shapeId="0">
      <text>
        <r>
          <rPr>
            <b/>
            <sz val="9"/>
            <color indexed="81"/>
            <rFont val="Tahoma"/>
            <family val="2"/>
          </rPr>
          <t>bijnensa:</t>
        </r>
        <r>
          <rPr>
            <sz val="9"/>
            <color indexed="81"/>
            <rFont val="Tahoma"/>
            <family val="2"/>
          </rPr>
          <t xml:space="preserve">
charges 2017: distribution and concession reimbursements ("precario")</t>
        </r>
      </text>
    </comment>
    <comment ref="N158" authorId="0" shapeId="0">
      <text>
        <r>
          <rPr>
            <b/>
            <sz val="9"/>
            <color indexed="81"/>
            <rFont val="Tahoma"/>
            <family val="2"/>
          </rPr>
          <t>Ann Bijnens:</t>
        </r>
        <r>
          <rPr>
            <sz val="9"/>
            <color indexed="81"/>
            <rFont val="Tahoma"/>
            <family val="2"/>
          </rPr>
          <t xml:space="preserve">
charges 2017: 100 m³ of drinking water pertains to a household consiting of 2,2 inhabitants, they receive a bill for 3 pollution units</t>
        </r>
      </text>
    </comment>
    <comment ref="P158" authorId="1" shapeId="0">
      <text>
        <r>
          <rPr>
            <b/>
            <sz val="9"/>
            <color indexed="81"/>
            <rFont val="Tahoma"/>
            <family val="2"/>
          </rPr>
          <t>bijnensa:</t>
        </r>
        <r>
          <rPr>
            <sz val="9"/>
            <color indexed="81"/>
            <rFont val="Tahoma"/>
            <family val="2"/>
          </rPr>
          <t xml:space="preserve">
other charges: tap water tax</t>
        </r>
      </text>
    </comment>
    <comment ref="I159" authorId="1" shapeId="0">
      <text>
        <r>
          <rPr>
            <b/>
            <sz val="9"/>
            <color indexed="81"/>
            <rFont val="Tahoma"/>
            <family val="2"/>
          </rPr>
          <t>bijnensa:</t>
        </r>
        <r>
          <rPr>
            <sz val="9"/>
            <color indexed="81"/>
            <rFont val="Tahoma"/>
            <family val="2"/>
          </rPr>
          <t xml:space="preserve">
charges 2017: distribution and concession reimbursements ("precario")</t>
        </r>
      </text>
    </comment>
    <comment ref="N159" authorId="0" shapeId="0">
      <text>
        <r>
          <rPr>
            <b/>
            <sz val="9"/>
            <color indexed="81"/>
            <rFont val="Tahoma"/>
            <family val="2"/>
          </rPr>
          <t>Ann Bijnens:</t>
        </r>
        <r>
          <rPr>
            <sz val="9"/>
            <color indexed="81"/>
            <rFont val="Tahoma"/>
            <family val="2"/>
          </rPr>
          <t xml:space="preserve">
charges 2017: 100 m³ of drinking water pertains to a household consiting of 2,2 inhabitants, they receive a bill for 3 pollution units</t>
        </r>
      </text>
    </comment>
    <comment ref="P159" authorId="1" shapeId="0">
      <text>
        <r>
          <rPr>
            <b/>
            <sz val="9"/>
            <color indexed="81"/>
            <rFont val="Tahoma"/>
            <family val="2"/>
          </rPr>
          <t>bijnensa:</t>
        </r>
        <r>
          <rPr>
            <sz val="9"/>
            <color indexed="81"/>
            <rFont val="Tahoma"/>
            <family val="2"/>
          </rPr>
          <t xml:space="preserve">
other charges: tap water tax</t>
        </r>
      </text>
    </comment>
    <comment ref="N160" authorId="0" shapeId="0">
      <text>
        <r>
          <rPr>
            <b/>
            <sz val="9"/>
            <color indexed="81"/>
            <rFont val="Tahoma"/>
            <family val="2"/>
          </rPr>
          <t>Ann Bijnens:</t>
        </r>
        <r>
          <rPr>
            <sz val="9"/>
            <color indexed="81"/>
            <rFont val="Tahoma"/>
            <family val="2"/>
          </rPr>
          <t xml:space="preserve">
charges 2017: 100 m³ of drinking water pertains to a household consiting of 2,2 inhabitants, they receive a bill for 3 pollution units</t>
        </r>
      </text>
    </comment>
    <comment ref="P160" authorId="1" shapeId="0">
      <text>
        <r>
          <rPr>
            <b/>
            <sz val="9"/>
            <color indexed="81"/>
            <rFont val="Tahoma"/>
            <family val="2"/>
          </rPr>
          <t>bijnensa:</t>
        </r>
        <r>
          <rPr>
            <sz val="9"/>
            <color indexed="81"/>
            <rFont val="Tahoma"/>
            <family val="2"/>
          </rPr>
          <t xml:space="preserve">
other charges: tap water tax</t>
        </r>
      </text>
    </comment>
    <comment ref="N161" authorId="0" shapeId="0">
      <text>
        <r>
          <rPr>
            <b/>
            <sz val="9"/>
            <color indexed="81"/>
            <rFont val="Tahoma"/>
            <family val="2"/>
          </rPr>
          <t>Ann Bijnens:</t>
        </r>
        <r>
          <rPr>
            <sz val="9"/>
            <color indexed="81"/>
            <rFont val="Tahoma"/>
            <family val="2"/>
          </rPr>
          <t xml:space="preserve">
charges 2017: 100 m³ of drinking water pertains to a household consiting of 2,2 inhabitants, they receive a bill for 3 pollution units</t>
        </r>
      </text>
    </comment>
    <comment ref="P161" authorId="1" shapeId="0">
      <text>
        <r>
          <rPr>
            <b/>
            <sz val="9"/>
            <color indexed="81"/>
            <rFont val="Tahoma"/>
            <family val="2"/>
          </rPr>
          <t>bijnensa:</t>
        </r>
        <r>
          <rPr>
            <sz val="9"/>
            <color indexed="81"/>
            <rFont val="Tahoma"/>
            <family val="2"/>
          </rPr>
          <t xml:space="preserve">
other charges: tap water tax</t>
        </r>
      </text>
    </comment>
    <comment ref="A227" authorId="0" shapeId="0">
      <text>
        <r>
          <rPr>
            <b/>
            <sz val="9"/>
            <color indexed="81"/>
            <rFont val="Tahoma"/>
            <family val="2"/>
          </rPr>
          <t>Ann Bijnens:</t>
        </r>
        <r>
          <rPr>
            <sz val="9"/>
            <color indexed="81"/>
            <rFont val="Tahoma"/>
            <family val="2"/>
          </rPr>
          <t xml:space="preserve">
data of 2017:
In Scotland all public supply is charged at a fixed rate (unmetered) and collected by local authorities along with council (local property) tax. It is banded according to the value of the property but the levels of charges are the same everywhere. This link gives the table with the banded rates. http://www.scottishwater.co.uk/you-and-your-home/your-charges/2018-19-charges/2018-19-umc If households are in receipt of benefit or a single adult, there is a reduction. There is a separate charge for water and for sewerage though most people and certainly in urban areas have both elements of public supply. 
banded tariffs for water start at £134.66 / pa and rise (8 bands) to £404.82 / pa. Banded charges for wastewater start ar £156.66 / pa and rise to £469.98 / pa. </t>
        </r>
      </text>
    </comment>
    <comment ref="N243" authorId="1" shapeId="0">
      <text>
        <r>
          <rPr>
            <b/>
            <sz val="9"/>
            <color indexed="81"/>
            <rFont val="Tahoma"/>
            <family val="2"/>
          </rPr>
          <t>bijnensa:</t>
        </r>
        <r>
          <rPr>
            <sz val="9"/>
            <color indexed="81"/>
            <rFont val="Tahoma"/>
            <family val="2"/>
          </rPr>
          <t xml:space="preserve">
not separately charged. Inherent to sewerage charge</t>
        </r>
      </text>
    </comment>
    <comment ref="H244" authorId="1" shapeId="0">
      <text>
        <r>
          <rPr>
            <b/>
            <sz val="9"/>
            <color indexed="81"/>
            <rFont val="Tahoma"/>
            <family val="2"/>
          </rPr>
          <t>bijnensa:</t>
        </r>
        <r>
          <rPr>
            <sz val="9"/>
            <color indexed="81"/>
            <rFont val="Tahoma"/>
            <family val="2"/>
          </rPr>
          <t xml:space="preserve">
assumes the customers water consumption is equally distributed in each quarter</t>
        </r>
      </text>
    </comment>
    <comment ref="I244" authorId="1" shapeId="0">
      <text>
        <r>
          <rPr>
            <b/>
            <sz val="9"/>
            <color indexed="81"/>
            <rFont val="Tahoma"/>
            <family val="2"/>
          </rPr>
          <t>bijnensa:</t>
        </r>
        <r>
          <rPr>
            <sz val="9"/>
            <color indexed="81"/>
            <rFont val="Tahoma"/>
            <family val="2"/>
          </rPr>
          <t xml:space="preserve">
River Murray Levy</t>
        </r>
      </text>
    </comment>
    <comment ref="L244" authorId="1" shapeId="0">
      <text>
        <r>
          <rPr>
            <b/>
            <sz val="9"/>
            <color indexed="81"/>
            <rFont val="Tahoma"/>
            <family val="2"/>
          </rPr>
          <t>bijnensa:</t>
        </r>
        <r>
          <rPr>
            <sz val="9"/>
            <color indexed="81"/>
            <rFont val="Tahoma"/>
            <family val="2"/>
          </rPr>
          <t xml:space="preserve">
based on the average valued property</t>
        </r>
      </text>
    </comment>
    <comment ref="A253" authorId="0" shapeId="0">
      <text>
        <r>
          <rPr>
            <b/>
            <sz val="9"/>
            <color indexed="81"/>
            <rFont val="Tahoma"/>
            <family val="2"/>
          </rPr>
          <t>Ann Bijnens:</t>
        </r>
        <r>
          <rPr>
            <sz val="9"/>
            <color indexed="81"/>
            <rFont val="Tahoma"/>
            <family val="2"/>
          </rPr>
          <t xml:space="preserve">
charges of 2017:
The drinking water bill for all cities (Madrid, Barcelona, Bilbao, Sevilla and Valencia) consists of both variable and fixed components. But as we perform our tariff studies in Spain, we do not separate fixed and variable component.  So as a convention, we have decided to include the drinking water bill on variable component.
We also have variable and fixed components in Sewerage and WWT services, but in our tariff studies we do not separate each concept.
VAT in Spain for water services is 10% of the total value for the majority of concepts included on the bill </t>
        </r>
      </text>
    </comment>
    <comment ref="A263" authorId="0" shapeId="0">
      <text>
        <r>
          <rPr>
            <b/>
            <sz val="9"/>
            <color indexed="81"/>
            <rFont val="Tahoma"/>
            <family val="2"/>
          </rPr>
          <t>Ann Bijnens:</t>
        </r>
        <r>
          <rPr>
            <sz val="9"/>
            <color indexed="81"/>
            <rFont val="Tahoma"/>
            <family val="2"/>
          </rPr>
          <t xml:space="preserve">
data of 2017: calculated for a household in a six-flat-apartment</t>
        </r>
      </text>
    </comment>
    <comment ref="J263" authorId="0" shapeId="0">
      <text>
        <r>
          <rPr>
            <b/>
            <sz val="9"/>
            <color indexed="81"/>
            <rFont val="Tahoma"/>
            <family val="2"/>
          </rPr>
          <t>Ann Bijnens:</t>
        </r>
        <r>
          <rPr>
            <sz val="9"/>
            <color indexed="81"/>
            <rFont val="Tahoma"/>
            <family val="2"/>
          </rPr>
          <t xml:space="preserve">
8% VAT on drinking water</t>
        </r>
      </text>
    </comment>
    <comment ref="L263" authorId="0" shapeId="0">
      <text>
        <r>
          <rPr>
            <b/>
            <sz val="9"/>
            <color indexed="81"/>
            <rFont val="Tahoma"/>
            <family val="2"/>
          </rPr>
          <t>Ann Bijnens:</t>
        </r>
        <r>
          <rPr>
            <sz val="9"/>
            <color indexed="81"/>
            <rFont val="Tahoma"/>
            <family val="2"/>
          </rPr>
          <t xml:space="preserve">
including WWT</t>
        </r>
      </text>
    </comment>
    <comment ref="M263" authorId="0" shapeId="0">
      <text>
        <r>
          <rPr>
            <b/>
            <sz val="9"/>
            <color indexed="81"/>
            <rFont val="Tahoma"/>
            <family val="2"/>
          </rPr>
          <t>Ann Bijnens:</t>
        </r>
        <r>
          <rPr>
            <sz val="9"/>
            <color indexed="81"/>
            <rFont val="Tahoma"/>
            <family val="2"/>
          </rPr>
          <t xml:space="preserve">
2,5% VAT on sewerage</t>
        </r>
      </text>
    </comment>
    <comment ref="J264" authorId="0" shapeId="0">
      <text>
        <r>
          <rPr>
            <b/>
            <sz val="9"/>
            <color indexed="81"/>
            <rFont val="Tahoma"/>
            <family val="2"/>
          </rPr>
          <t>Ann Bijnens:</t>
        </r>
        <r>
          <rPr>
            <sz val="9"/>
            <color indexed="81"/>
            <rFont val="Tahoma"/>
            <family val="2"/>
          </rPr>
          <t xml:space="preserve">
8% VAT on drinking water</t>
        </r>
      </text>
    </comment>
    <comment ref="L264" authorId="0" shapeId="0">
      <text>
        <r>
          <rPr>
            <b/>
            <sz val="9"/>
            <color indexed="81"/>
            <rFont val="Tahoma"/>
            <family val="2"/>
          </rPr>
          <t>Ann Bijnens:</t>
        </r>
        <r>
          <rPr>
            <sz val="9"/>
            <color indexed="81"/>
            <rFont val="Tahoma"/>
            <family val="2"/>
          </rPr>
          <t xml:space="preserve">
including WWT</t>
        </r>
      </text>
    </comment>
    <comment ref="M264" authorId="0" shapeId="0">
      <text>
        <r>
          <rPr>
            <b/>
            <sz val="9"/>
            <color indexed="81"/>
            <rFont val="Tahoma"/>
            <family val="2"/>
          </rPr>
          <t>Ann Bijnens:</t>
        </r>
        <r>
          <rPr>
            <sz val="9"/>
            <color indexed="81"/>
            <rFont val="Tahoma"/>
            <family val="2"/>
          </rPr>
          <t xml:space="preserve">
2,5% VAT on sewerage</t>
        </r>
      </text>
    </comment>
    <comment ref="J265" authorId="0" shapeId="0">
      <text>
        <r>
          <rPr>
            <b/>
            <sz val="9"/>
            <color indexed="81"/>
            <rFont val="Tahoma"/>
            <family val="2"/>
          </rPr>
          <t>Ann Bijnens:</t>
        </r>
        <r>
          <rPr>
            <sz val="9"/>
            <color indexed="81"/>
            <rFont val="Tahoma"/>
            <family val="2"/>
          </rPr>
          <t xml:space="preserve">
8% VAT on drinking water</t>
        </r>
      </text>
    </comment>
    <comment ref="L265" authorId="0" shapeId="0">
      <text>
        <r>
          <rPr>
            <b/>
            <sz val="9"/>
            <color indexed="81"/>
            <rFont val="Tahoma"/>
            <family val="2"/>
          </rPr>
          <t>Ann Bijnens:</t>
        </r>
        <r>
          <rPr>
            <sz val="9"/>
            <color indexed="81"/>
            <rFont val="Tahoma"/>
            <family val="2"/>
          </rPr>
          <t xml:space="preserve">
including WWT</t>
        </r>
      </text>
    </comment>
    <comment ref="M265" authorId="0" shapeId="0">
      <text>
        <r>
          <rPr>
            <b/>
            <sz val="9"/>
            <color indexed="81"/>
            <rFont val="Tahoma"/>
            <family val="2"/>
          </rPr>
          <t>Ann Bijnens:</t>
        </r>
        <r>
          <rPr>
            <sz val="9"/>
            <color indexed="81"/>
            <rFont val="Tahoma"/>
            <family val="2"/>
          </rPr>
          <t xml:space="preserve">
2,5% VAT on sewerage</t>
        </r>
      </text>
    </comment>
    <comment ref="J266" authorId="0" shapeId="0">
      <text>
        <r>
          <rPr>
            <b/>
            <sz val="9"/>
            <color indexed="81"/>
            <rFont val="Tahoma"/>
            <family val="2"/>
          </rPr>
          <t>Ann Bijnens:</t>
        </r>
        <r>
          <rPr>
            <sz val="9"/>
            <color indexed="81"/>
            <rFont val="Tahoma"/>
            <family val="2"/>
          </rPr>
          <t xml:space="preserve">
8% VAT on drinking water</t>
        </r>
      </text>
    </comment>
    <comment ref="L266" authorId="0" shapeId="0">
      <text>
        <r>
          <rPr>
            <b/>
            <sz val="9"/>
            <color indexed="81"/>
            <rFont val="Tahoma"/>
            <family val="2"/>
          </rPr>
          <t>Ann Bijnens:</t>
        </r>
        <r>
          <rPr>
            <sz val="9"/>
            <color indexed="81"/>
            <rFont val="Tahoma"/>
            <family val="2"/>
          </rPr>
          <t xml:space="preserve">
including WWT</t>
        </r>
      </text>
    </comment>
    <comment ref="M266" authorId="0" shapeId="0">
      <text>
        <r>
          <rPr>
            <b/>
            <sz val="9"/>
            <color indexed="81"/>
            <rFont val="Tahoma"/>
            <family val="2"/>
          </rPr>
          <t>Ann Bijnens:</t>
        </r>
        <r>
          <rPr>
            <sz val="9"/>
            <color indexed="81"/>
            <rFont val="Tahoma"/>
            <family val="2"/>
          </rPr>
          <t xml:space="preserve">
2,5% VAT on sewerage</t>
        </r>
      </text>
    </comment>
    <comment ref="J267" authorId="0" shapeId="0">
      <text>
        <r>
          <rPr>
            <b/>
            <sz val="9"/>
            <color indexed="81"/>
            <rFont val="Tahoma"/>
            <family val="2"/>
          </rPr>
          <t>Ann Bijnens:</t>
        </r>
        <r>
          <rPr>
            <sz val="9"/>
            <color indexed="81"/>
            <rFont val="Tahoma"/>
            <family val="2"/>
          </rPr>
          <t xml:space="preserve">
8% VAT on drinking water</t>
        </r>
      </text>
    </comment>
    <comment ref="L267" authorId="0" shapeId="0">
      <text>
        <r>
          <rPr>
            <b/>
            <sz val="9"/>
            <color indexed="81"/>
            <rFont val="Tahoma"/>
            <family val="2"/>
          </rPr>
          <t>Ann Bijnens:</t>
        </r>
        <r>
          <rPr>
            <sz val="9"/>
            <color indexed="81"/>
            <rFont val="Tahoma"/>
            <family val="2"/>
          </rPr>
          <t xml:space="preserve">
including WWT</t>
        </r>
      </text>
    </comment>
    <comment ref="M267" authorId="0" shapeId="0">
      <text>
        <r>
          <rPr>
            <b/>
            <sz val="9"/>
            <color indexed="81"/>
            <rFont val="Tahoma"/>
            <family val="2"/>
          </rPr>
          <t>Ann Bijnens:</t>
        </r>
        <r>
          <rPr>
            <sz val="9"/>
            <color indexed="81"/>
            <rFont val="Tahoma"/>
            <family val="2"/>
          </rPr>
          <t xml:space="preserve">
2,5% VAT on sewerage</t>
        </r>
      </text>
    </comment>
    <comment ref="A269" authorId="0" shapeId="0">
      <text>
        <r>
          <rPr>
            <b/>
            <sz val="9"/>
            <color indexed="81"/>
            <rFont val="Tahoma"/>
            <family val="2"/>
          </rPr>
          <t>Ann Bijnens:</t>
        </r>
        <r>
          <rPr>
            <sz val="9"/>
            <color indexed="81"/>
            <rFont val="Tahoma"/>
            <family val="2"/>
          </rPr>
          <t xml:space="preserve">
data of 2014: bill for consumption depends on customer type. Here we use type 1 residence.</t>
        </r>
      </text>
    </comment>
    <comment ref="P271" authorId="0" shapeId="0">
      <text>
        <r>
          <rPr>
            <b/>
            <sz val="9"/>
            <color indexed="81"/>
            <rFont val="Tahoma"/>
            <family val="2"/>
          </rPr>
          <t>Ann Bijnens:</t>
        </r>
        <r>
          <rPr>
            <sz val="9"/>
            <color indexed="81"/>
            <rFont val="Tahoma"/>
            <family val="2"/>
          </rPr>
          <t xml:space="preserve">
charges 2017: environmental cleaning tax</t>
        </r>
      </text>
    </comment>
    <comment ref="I272" authorId="0" shapeId="0">
      <text>
        <r>
          <rPr>
            <b/>
            <sz val="9"/>
            <color indexed="81"/>
            <rFont val="Tahoma"/>
            <family val="2"/>
          </rPr>
          <t>Ann Bijnens:</t>
        </r>
        <r>
          <rPr>
            <sz val="9"/>
            <color indexed="81"/>
            <rFont val="Tahoma"/>
            <family val="2"/>
          </rPr>
          <t xml:space="preserve">
charges 2017: maintenance cost</t>
        </r>
      </text>
    </comment>
    <comment ref="P272" authorId="0" shapeId="0">
      <text>
        <r>
          <rPr>
            <b/>
            <sz val="9"/>
            <color indexed="81"/>
            <rFont val="Tahoma"/>
            <family val="2"/>
          </rPr>
          <t>Ann Bijnens:</t>
        </r>
        <r>
          <rPr>
            <sz val="9"/>
            <color indexed="81"/>
            <rFont val="Tahoma"/>
            <family val="2"/>
          </rPr>
          <t xml:space="preserve">
charges 2017: environmental cleaning tax</t>
        </r>
      </text>
    </comment>
    <comment ref="P273" authorId="0" shapeId="0">
      <text>
        <r>
          <rPr>
            <b/>
            <sz val="9"/>
            <color indexed="81"/>
            <rFont val="Tahoma"/>
            <family val="2"/>
          </rPr>
          <t>Ann Bijnens:</t>
        </r>
        <r>
          <rPr>
            <sz val="9"/>
            <color indexed="81"/>
            <rFont val="Tahoma"/>
            <family val="2"/>
          </rPr>
          <t xml:space="preserve">
charges 2017: environmental cleaning tax</t>
        </r>
      </text>
    </comment>
    <comment ref="A274" authorId="0" shapeId="0">
      <text>
        <r>
          <rPr>
            <b/>
            <sz val="9"/>
            <color indexed="81"/>
            <rFont val="Tahoma"/>
            <family val="2"/>
          </rPr>
          <t>Ann Bijnens:</t>
        </r>
        <r>
          <rPr>
            <sz val="9"/>
            <color indexed="81"/>
            <rFont val="Tahoma"/>
            <family val="2"/>
          </rPr>
          <t xml:space="preserve">
data of 2015: The Corporation applies a uniform tariff across all consumer categories in all its areas of operation. The Domestic rate/tariff is uniform in all the Corporation's operational areas.
Fixed charge is the same across all the operational areas.
</t>
        </r>
      </text>
    </comment>
    <comment ref="N278" authorId="1" shapeId="0">
      <text>
        <r>
          <rPr>
            <b/>
            <sz val="9"/>
            <color indexed="81"/>
            <rFont val="Tahoma"/>
            <family val="2"/>
          </rPr>
          <t>bijnensa:</t>
        </r>
        <r>
          <rPr>
            <sz val="9"/>
            <color indexed="81"/>
            <rFont val="Tahoma"/>
            <family val="2"/>
          </rPr>
          <t xml:space="preserve">
Sewerage charges shown include surface water drainage charges. Households in Birmingham pay for their surface water drainage either through a fixed charge based on property type or a charge based on the rateable value. The figures presented assume a 'zone 4' bill based on a property with a rateable value of £200 as an example.</t>
        </r>
      </text>
    </comment>
    <comment ref="N279" authorId="1" shapeId="0">
      <text>
        <r>
          <rPr>
            <b/>
            <sz val="9"/>
            <color indexed="81"/>
            <rFont val="Tahoma"/>
            <family val="2"/>
          </rPr>
          <t>bijnensa:</t>
        </r>
        <r>
          <rPr>
            <sz val="9"/>
            <color indexed="81"/>
            <rFont val="Tahoma"/>
            <family val="2"/>
          </rPr>
          <t xml:space="preserve">
Sewerage charges shown include surface water drainage charges.</t>
        </r>
      </text>
    </comment>
    <comment ref="N280" authorId="1" shapeId="0">
      <text>
        <r>
          <rPr>
            <b/>
            <sz val="9"/>
            <color indexed="81"/>
            <rFont val="Tahoma"/>
            <family val="2"/>
          </rPr>
          <t>bijnensa:</t>
        </r>
        <r>
          <rPr>
            <sz val="9"/>
            <color indexed="81"/>
            <rFont val="Tahoma"/>
            <family val="2"/>
          </rPr>
          <t xml:space="preserve">
Sewerage charges shown include surface water drainage charges.</t>
        </r>
      </text>
    </comment>
    <comment ref="N281" authorId="1" shapeId="0">
      <text>
        <r>
          <rPr>
            <b/>
            <sz val="9"/>
            <color indexed="81"/>
            <rFont val="Tahoma"/>
            <family val="2"/>
          </rPr>
          <t>bijnensa:</t>
        </r>
        <r>
          <rPr>
            <sz val="9"/>
            <color indexed="81"/>
            <rFont val="Tahoma"/>
            <family val="2"/>
          </rPr>
          <t xml:space="preserve">
Sewerage charges shown include surface water drainage charges.</t>
        </r>
      </text>
    </comment>
    <comment ref="N282" authorId="1" shapeId="0">
      <text>
        <r>
          <rPr>
            <b/>
            <sz val="9"/>
            <color indexed="81"/>
            <rFont val="Tahoma"/>
            <family val="2"/>
          </rPr>
          <t>bijnensa:</t>
        </r>
        <r>
          <rPr>
            <sz val="9"/>
            <color indexed="81"/>
            <rFont val="Tahoma"/>
            <family val="2"/>
          </rPr>
          <t xml:space="preserve">
Sewerage charges shown include surface water drainage charges.</t>
        </r>
      </text>
    </comment>
    <comment ref="A290" authorId="0" shapeId="0">
      <text>
        <r>
          <rPr>
            <b/>
            <sz val="9"/>
            <color indexed="81"/>
            <rFont val="Tahoma"/>
            <family val="2"/>
          </rPr>
          <t>Ann Bijnens:</t>
        </r>
        <r>
          <rPr>
            <sz val="9"/>
            <color indexed="81"/>
            <rFont val="Tahoma"/>
            <family val="2"/>
          </rPr>
          <t xml:space="preserve">
- FIXED CHARGES FOR DOMESTIC CUSTOMERS.
- SEWERAGE CHARGE FOR DOMESTIC CUSTOMERS IS 20%OF WATER BILL FOR; MWSC, NWSC, &amp; 30% for LWSC&amp;KWSC 40% NWWSC &amp; KWSC .
- Other charges: SANITATION SURCHARGE AT 2.5% OF WATER BILL, EXCEPT FOR NKANA WSC (NWSC) AT 3%.</t>
        </r>
      </text>
    </comment>
    <comment ref="B290" authorId="0" shapeId="0">
      <text>
        <r>
          <rPr>
            <b/>
            <sz val="9"/>
            <color indexed="81"/>
            <rFont val="Tahoma"/>
            <family val="2"/>
          </rPr>
          <t>Ann Bijnens:</t>
        </r>
        <r>
          <rPr>
            <sz val="9"/>
            <color indexed="81"/>
            <rFont val="Tahoma"/>
            <family val="2"/>
          </rPr>
          <t xml:space="preserve">
LWSC = Lusaka Water &amp; Sewerage Company</t>
        </r>
      </text>
    </comment>
    <comment ref="AM290" authorId="0" shapeId="0">
      <text>
        <r>
          <rPr>
            <b/>
            <sz val="9"/>
            <color indexed="81"/>
            <rFont val="Tahoma"/>
            <family val="2"/>
          </rPr>
          <t>Ann Bijnens:</t>
        </r>
        <r>
          <rPr>
            <sz val="9"/>
            <color indexed="81"/>
            <rFont val="Tahoma"/>
            <family val="2"/>
          </rPr>
          <t xml:space="preserve">
fixed charges for service = meter charges</t>
        </r>
      </text>
    </comment>
    <comment ref="AN290" authorId="0" shapeId="0">
      <text>
        <r>
          <rPr>
            <b/>
            <sz val="9"/>
            <color indexed="81"/>
            <rFont val="Tahoma"/>
            <family val="2"/>
          </rPr>
          <t>Ann Bijnens:</t>
        </r>
        <r>
          <rPr>
            <sz val="9"/>
            <color indexed="81"/>
            <rFont val="Tahoma"/>
            <family val="2"/>
          </rPr>
          <t xml:space="preserve">
sanitation surcharges which are a percentage of the water bill</t>
        </r>
      </text>
    </comment>
    <comment ref="B291" authorId="0" shapeId="0">
      <text>
        <r>
          <rPr>
            <b/>
            <sz val="9"/>
            <color indexed="81"/>
            <rFont val="Tahoma"/>
            <family val="2"/>
          </rPr>
          <t>Ann Bijnens:</t>
        </r>
        <r>
          <rPr>
            <sz val="9"/>
            <color indexed="81"/>
            <rFont val="Tahoma"/>
            <family val="2"/>
          </rPr>
          <t xml:space="preserve">
KWSC = Kafubu Water and Sewerage Company</t>
        </r>
      </text>
    </comment>
    <comment ref="AM291" authorId="0" shapeId="0">
      <text>
        <r>
          <rPr>
            <b/>
            <sz val="9"/>
            <color indexed="81"/>
            <rFont val="Tahoma"/>
            <family val="2"/>
          </rPr>
          <t>Ann Bijnens:</t>
        </r>
        <r>
          <rPr>
            <sz val="9"/>
            <color indexed="81"/>
            <rFont val="Tahoma"/>
            <family val="2"/>
          </rPr>
          <t xml:space="preserve">
fixed charges for service = meter charges</t>
        </r>
      </text>
    </comment>
    <comment ref="AN291" authorId="0" shapeId="0">
      <text>
        <r>
          <rPr>
            <b/>
            <sz val="9"/>
            <color indexed="81"/>
            <rFont val="Tahoma"/>
            <family val="2"/>
          </rPr>
          <t>Ann Bijnens:</t>
        </r>
        <r>
          <rPr>
            <sz val="9"/>
            <color indexed="81"/>
            <rFont val="Tahoma"/>
            <family val="2"/>
          </rPr>
          <t xml:space="preserve">
sanitation surcharges which are a percentage of the water bill</t>
        </r>
      </text>
    </comment>
    <comment ref="B292" authorId="0" shapeId="0">
      <text>
        <r>
          <rPr>
            <b/>
            <sz val="9"/>
            <color indexed="81"/>
            <rFont val="Tahoma"/>
            <family val="2"/>
          </rPr>
          <t>Ann Bijnens:</t>
        </r>
        <r>
          <rPr>
            <sz val="9"/>
            <color indexed="81"/>
            <rFont val="Tahoma"/>
            <family val="2"/>
          </rPr>
          <t xml:space="preserve">
MWSC = Mulonga Water and Sewerage Company</t>
        </r>
      </text>
    </comment>
    <comment ref="AM292" authorId="0" shapeId="0">
      <text>
        <r>
          <rPr>
            <b/>
            <sz val="9"/>
            <color indexed="81"/>
            <rFont val="Tahoma"/>
            <family val="2"/>
          </rPr>
          <t>Ann Bijnens:</t>
        </r>
        <r>
          <rPr>
            <sz val="9"/>
            <color indexed="81"/>
            <rFont val="Tahoma"/>
            <family val="2"/>
          </rPr>
          <t xml:space="preserve">
fixed charges for service = meter charges</t>
        </r>
      </text>
    </comment>
    <comment ref="AN292" authorId="0" shapeId="0">
      <text>
        <r>
          <rPr>
            <b/>
            <sz val="9"/>
            <color indexed="81"/>
            <rFont val="Tahoma"/>
            <family val="2"/>
          </rPr>
          <t>Ann Bijnens:</t>
        </r>
        <r>
          <rPr>
            <sz val="9"/>
            <color indexed="81"/>
            <rFont val="Tahoma"/>
            <family val="2"/>
          </rPr>
          <t xml:space="preserve">
sanitation surcharges which are a percentage of the water bill</t>
        </r>
      </text>
    </comment>
    <comment ref="B293" authorId="0" shapeId="0">
      <text>
        <r>
          <rPr>
            <b/>
            <sz val="9"/>
            <color indexed="81"/>
            <rFont val="Tahoma"/>
            <family val="2"/>
          </rPr>
          <t>Ann Bijnens:</t>
        </r>
        <r>
          <rPr>
            <sz val="9"/>
            <color indexed="81"/>
            <rFont val="Tahoma"/>
            <family val="2"/>
          </rPr>
          <t xml:space="preserve">
NWWSSC = North Western Water Supply and Sewerage Company</t>
        </r>
      </text>
    </comment>
    <comment ref="AM293" authorId="0" shapeId="0">
      <text>
        <r>
          <rPr>
            <b/>
            <sz val="9"/>
            <color indexed="81"/>
            <rFont val="Tahoma"/>
            <family val="2"/>
          </rPr>
          <t>Ann Bijnens:</t>
        </r>
        <r>
          <rPr>
            <sz val="9"/>
            <color indexed="81"/>
            <rFont val="Tahoma"/>
            <family val="2"/>
          </rPr>
          <t xml:space="preserve">
fixed charges for service = meter charges</t>
        </r>
      </text>
    </comment>
    <comment ref="G298" authorId="0" shapeId="0">
      <text>
        <r>
          <rPr>
            <b/>
            <sz val="9"/>
            <color indexed="81"/>
            <rFont val="Tahoma"/>
            <family val="2"/>
          </rPr>
          <t>Ann Bijnens:</t>
        </r>
        <r>
          <rPr>
            <sz val="9"/>
            <color indexed="81"/>
            <rFont val="Tahoma"/>
            <family val="2"/>
          </rPr>
          <t xml:space="preserve">
21% for 2017</t>
        </r>
      </text>
    </comment>
    <comment ref="J298" authorId="0" shapeId="0">
      <text>
        <r>
          <rPr>
            <b/>
            <sz val="9"/>
            <color indexed="81"/>
            <rFont val="Tahoma"/>
            <family val="2"/>
          </rPr>
          <t>Ann Bijnens:</t>
        </r>
        <r>
          <rPr>
            <sz val="9"/>
            <color indexed="81"/>
            <rFont val="Tahoma"/>
            <family val="2"/>
          </rPr>
          <t xml:space="preserve">
21% for 2017</t>
        </r>
      </text>
    </comment>
    <comment ref="L298" authorId="0" shapeId="0">
      <text>
        <r>
          <rPr>
            <b/>
            <sz val="9"/>
            <color indexed="81"/>
            <rFont val="Tahoma"/>
            <family val="2"/>
          </rPr>
          <t>Ann Bijnens:</t>
        </r>
        <r>
          <rPr>
            <sz val="9"/>
            <color indexed="81"/>
            <rFont val="Tahoma"/>
            <family val="2"/>
          </rPr>
          <t xml:space="preserve">
21% for 2017</t>
        </r>
      </text>
    </comment>
    <comment ref="P298" authorId="0" shapeId="0">
      <text>
        <r>
          <rPr>
            <b/>
            <sz val="9"/>
            <color indexed="81"/>
            <rFont val="Tahoma"/>
            <family val="2"/>
          </rPr>
          <t>Ann Bijnens:</t>
        </r>
        <r>
          <rPr>
            <sz val="9"/>
            <color indexed="81"/>
            <rFont val="Tahoma"/>
            <family val="2"/>
          </rPr>
          <t xml:space="preserve">
21% for 2017</t>
        </r>
      </text>
    </comment>
    <comment ref="A305" authorId="0" shapeId="0">
      <text>
        <r>
          <rPr>
            <b/>
            <sz val="9"/>
            <color indexed="81"/>
            <rFont val="Tahoma"/>
            <family val="2"/>
          </rPr>
          <t>Ann Bijnens:</t>
        </r>
        <r>
          <rPr>
            <sz val="9"/>
            <color indexed="81"/>
            <rFont val="Tahoma"/>
            <family val="2"/>
          </rPr>
          <t xml:space="preserve">
charges 2017: charges for wastewater treatment are included in sewerage taxes.
Bill is not depending on the volume of consumption.</t>
        </r>
      </text>
    </comment>
    <comment ref="A368" authorId="0" shapeId="0">
      <text>
        <r>
          <rPr>
            <b/>
            <sz val="9"/>
            <color indexed="81"/>
            <rFont val="Tahoma"/>
            <family val="2"/>
          </rPr>
          <t>Ann Bijnens:</t>
        </r>
        <r>
          <rPr>
            <sz val="9"/>
            <color indexed="81"/>
            <rFont val="Tahoma"/>
            <family val="2"/>
          </rPr>
          <t xml:space="preserve">
data of 2014</t>
        </r>
      </text>
    </comment>
    <comment ref="A393" authorId="0" shapeId="0">
      <text>
        <r>
          <rPr>
            <b/>
            <sz val="9"/>
            <color indexed="81"/>
            <rFont val="Tahoma"/>
            <family val="2"/>
          </rPr>
          <t>Ann Bijnens:</t>
        </r>
        <r>
          <rPr>
            <sz val="9"/>
            <color indexed="81"/>
            <rFont val="Tahoma"/>
            <family val="2"/>
          </rPr>
          <t xml:space="preserve">
for a 3 persons household</t>
        </r>
      </text>
    </comment>
    <comment ref="E393" authorId="0" shapeId="0">
      <text>
        <r>
          <rPr>
            <b/>
            <sz val="9"/>
            <color indexed="81"/>
            <rFont val="Tahoma"/>
            <family val="2"/>
          </rPr>
          <t>Ann Bijnens:</t>
        </r>
        <r>
          <rPr>
            <sz val="9"/>
            <color indexed="81"/>
            <rFont val="Tahoma"/>
            <family val="2"/>
          </rPr>
          <t xml:space="preserve">
Increasing block tariff at €1.3965/m3 up to 33m3/person/annum and €5.1395/m3 above 33m3/person/annum. Assume water consumption spread evenly over the year.</t>
        </r>
      </text>
    </comment>
    <comment ref="K393" authorId="0" shapeId="0">
      <text>
        <r>
          <rPr>
            <b/>
            <sz val="9"/>
            <color indexed="81"/>
            <rFont val="Tahoma"/>
            <family val="2"/>
          </rPr>
          <t>Ann Bijnens:</t>
        </r>
        <r>
          <rPr>
            <sz val="9"/>
            <color indexed="81"/>
            <rFont val="Tahoma"/>
            <family val="2"/>
          </rPr>
          <t xml:space="preserve">
rates incorporate sewerage contribution</t>
        </r>
      </text>
    </comment>
    <comment ref="K400" authorId="0" shapeId="0">
      <text>
        <r>
          <rPr>
            <b/>
            <sz val="9"/>
            <color indexed="81"/>
            <rFont val="Tahoma"/>
            <family val="2"/>
          </rPr>
          <t>Ann Bijnens:</t>
        </r>
        <r>
          <rPr>
            <sz val="9"/>
            <color indexed="81"/>
            <rFont val="Tahoma"/>
            <family val="2"/>
          </rPr>
          <t xml:space="preserve">
charges 2017: 100 m³ of drinking water pertains to a household consiting of 2,2 inhabitants, they receive a bill for 3 pollution units</t>
        </r>
      </text>
    </comment>
    <comment ref="O400" authorId="1" shapeId="0">
      <text>
        <r>
          <rPr>
            <b/>
            <sz val="9"/>
            <color indexed="81"/>
            <rFont val="Tahoma"/>
            <family val="2"/>
          </rPr>
          <t>bijnensa:</t>
        </r>
        <r>
          <rPr>
            <sz val="9"/>
            <color indexed="81"/>
            <rFont val="Tahoma"/>
            <family val="2"/>
          </rPr>
          <t xml:space="preserve">
charges 2017: other charges: tap water tax</t>
        </r>
      </text>
    </comment>
    <comment ref="A401" authorId="0" shapeId="0">
      <text>
        <r>
          <rPr>
            <b/>
            <sz val="9"/>
            <color indexed="81"/>
            <rFont val="Tahoma"/>
            <family val="2"/>
          </rPr>
          <t>Ann Bijnens:</t>
        </r>
        <r>
          <rPr>
            <sz val="9"/>
            <color indexed="81"/>
            <rFont val="Tahoma"/>
            <family val="2"/>
          </rPr>
          <t xml:space="preserve">
charges 2017: Rotterdam is Water Authority HHSK</t>
        </r>
      </text>
    </comment>
    <comment ref="F401" authorId="1" shapeId="0">
      <text>
        <r>
          <rPr>
            <b/>
            <sz val="9"/>
            <color indexed="81"/>
            <rFont val="Tahoma"/>
            <family val="2"/>
          </rPr>
          <t>bijnensa:</t>
        </r>
        <r>
          <rPr>
            <sz val="9"/>
            <color indexed="81"/>
            <rFont val="Tahoma"/>
            <family val="2"/>
          </rPr>
          <t xml:space="preserve">
charges 2017: distribution and concession reimbursements ("precario")</t>
        </r>
      </text>
    </comment>
    <comment ref="K401" authorId="0" shapeId="0">
      <text>
        <r>
          <rPr>
            <b/>
            <sz val="9"/>
            <color indexed="81"/>
            <rFont val="Tahoma"/>
            <family val="2"/>
          </rPr>
          <t>Ann Bijnens:</t>
        </r>
        <r>
          <rPr>
            <sz val="9"/>
            <color indexed="81"/>
            <rFont val="Tahoma"/>
            <family val="2"/>
          </rPr>
          <t xml:space="preserve">
charges 2017: 100 m³ of drinking water pertains to a household consiting of 2,2 inhabitants, they receive a bill for 3 pollution units</t>
        </r>
      </text>
    </comment>
    <comment ref="O401" authorId="1" shapeId="0">
      <text>
        <r>
          <rPr>
            <b/>
            <sz val="9"/>
            <color indexed="81"/>
            <rFont val="Tahoma"/>
            <family val="2"/>
          </rPr>
          <t>bijnensa:</t>
        </r>
        <r>
          <rPr>
            <sz val="9"/>
            <color indexed="81"/>
            <rFont val="Tahoma"/>
            <family val="2"/>
          </rPr>
          <t xml:space="preserve">
other charges: tap water tax</t>
        </r>
      </text>
    </comment>
    <comment ref="F402" authorId="1" shapeId="0">
      <text>
        <r>
          <rPr>
            <b/>
            <sz val="9"/>
            <color indexed="81"/>
            <rFont val="Tahoma"/>
            <family val="2"/>
          </rPr>
          <t>bijnensa:</t>
        </r>
        <r>
          <rPr>
            <sz val="9"/>
            <color indexed="81"/>
            <rFont val="Tahoma"/>
            <family val="2"/>
          </rPr>
          <t xml:space="preserve">
charges 2017: distribution and concession reimbursements ("precario")</t>
        </r>
      </text>
    </comment>
    <comment ref="K402" authorId="0" shapeId="0">
      <text>
        <r>
          <rPr>
            <b/>
            <sz val="9"/>
            <color indexed="81"/>
            <rFont val="Tahoma"/>
            <family val="2"/>
          </rPr>
          <t>Ann Bijnens:</t>
        </r>
        <r>
          <rPr>
            <sz val="9"/>
            <color indexed="81"/>
            <rFont val="Tahoma"/>
            <family val="2"/>
          </rPr>
          <t xml:space="preserve">
charges 2017: 100 m³ of drinking water pertains to a household consiting of 2,2 inhabitants, they receive a bill for 3 pollution units</t>
        </r>
      </text>
    </comment>
    <comment ref="O402" authorId="1" shapeId="0">
      <text>
        <r>
          <rPr>
            <b/>
            <sz val="9"/>
            <color indexed="81"/>
            <rFont val="Tahoma"/>
            <family val="2"/>
          </rPr>
          <t>bijnensa:</t>
        </r>
        <r>
          <rPr>
            <sz val="9"/>
            <color indexed="81"/>
            <rFont val="Tahoma"/>
            <family val="2"/>
          </rPr>
          <t xml:space="preserve">
other charges: tap water tax</t>
        </r>
      </text>
    </comment>
    <comment ref="K403" authorId="0" shapeId="0">
      <text>
        <r>
          <rPr>
            <b/>
            <sz val="9"/>
            <color indexed="81"/>
            <rFont val="Tahoma"/>
            <family val="2"/>
          </rPr>
          <t>Ann Bijnens:</t>
        </r>
        <r>
          <rPr>
            <sz val="9"/>
            <color indexed="81"/>
            <rFont val="Tahoma"/>
            <family val="2"/>
          </rPr>
          <t xml:space="preserve">
charges 2017: 100 m³ of drinking water pertains to a household consiting of 2,2 inhabitants, they receive a bill for 3 pollution units</t>
        </r>
      </text>
    </comment>
    <comment ref="O403" authorId="1" shapeId="0">
      <text>
        <r>
          <rPr>
            <b/>
            <sz val="9"/>
            <color indexed="81"/>
            <rFont val="Tahoma"/>
            <family val="2"/>
          </rPr>
          <t>bijnensa:</t>
        </r>
        <r>
          <rPr>
            <sz val="9"/>
            <color indexed="81"/>
            <rFont val="Tahoma"/>
            <family val="2"/>
          </rPr>
          <t xml:space="preserve">
other charges: tap water tax</t>
        </r>
      </text>
    </comment>
    <comment ref="K404" authorId="0" shapeId="0">
      <text>
        <r>
          <rPr>
            <b/>
            <sz val="9"/>
            <color indexed="81"/>
            <rFont val="Tahoma"/>
            <family val="2"/>
          </rPr>
          <t>Ann Bijnens:</t>
        </r>
        <r>
          <rPr>
            <sz val="9"/>
            <color indexed="81"/>
            <rFont val="Tahoma"/>
            <family val="2"/>
          </rPr>
          <t xml:space="preserve">
charges 2017: 100 m³ of drinking water pertains to a household consiting of 2,2 inhabitants, they receive a bill for 3 pollution units</t>
        </r>
      </text>
    </comment>
    <comment ref="O404" authorId="1" shapeId="0">
      <text>
        <r>
          <rPr>
            <b/>
            <sz val="9"/>
            <color indexed="81"/>
            <rFont val="Tahoma"/>
            <family val="2"/>
          </rPr>
          <t>bijnensa:</t>
        </r>
        <r>
          <rPr>
            <sz val="9"/>
            <color indexed="81"/>
            <rFont val="Tahoma"/>
            <family val="2"/>
          </rPr>
          <t xml:space="preserve">
other charges: tap water tax</t>
        </r>
      </text>
    </comment>
    <comment ref="G472" authorId="0" shapeId="0">
      <text>
        <r>
          <rPr>
            <b/>
            <sz val="9"/>
            <color indexed="81"/>
            <rFont val="Tahoma"/>
            <family val="2"/>
          </rPr>
          <t>Ann Bijnens:</t>
        </r>
        <r>
          <rPr>
            <sz val="9"/>
            <color indexed="81"/>
            <rFont val="Tahoma"/>
            <family val="2"/>
          </rPr>
          <t xml:space="preserve">
8% VAT on drinking water</t>
        </r>
      </text>
    </comment>
    <comment ref="I472" authorId="0" shapeId="0">
      <text>
        <r>
          <rPr>
            <b/>
            <sz val="9"/>
            <color indexed="81"/>
            <rFont val="Tahoma"/>
            <family val="2"/>
          </rPr>
          <t>Ann Bijnens:</t>
        </r>
        <r>
          <rPr>
            <sz val="9"/>
            <color indexed="81"/>
            <rFont val="Tahoma"/>
            <family val="2"/>
          </rPr>
          <t xml:space="preserve">
including WWT</t>
        </r>
      </text>
    </comment>
    <comment ref="J472" authorId="0" shapeId="0">
      <text>
        <r>
          <rPr>
            <b/>
            <sz val="9"/>
            <color indexed="81"/>
            <rFont val="Tahoma"/>
            <family val="2"/>
          </rPr>
          <t>Ann Bijnens:</t>
        </r>
        <r>
          <rPr>
            <sz val="9"/>
            <color indexed="81"/>
            <rFont val="Tahoma"/>
            <family val="2"/>
          </rPr>
          <t xml:space="preserve">
2,5% VAT on sewerage</t>
        </r>
      </text>
    </comment>
    <comment ref="G473" authorId="0" shapeId="0">
      <text>
        <r>
          <rPr>
            <b/>
            <sz val="9"/>
            <color indexed="81"/>
            <rFont val="Tahoma"/>
            <family val="2"/>
          </rPr>
          <t>Ann Bijnens:</t>
        </r>
        <r>
          <rPr>
            <sz val="9"/>
            <color indexed="81"/>
            <rFont val="Tahoma"/>
            <family val="2"/>
          </rPr>
          <t xml:space="preserve">
8% VAT on drinking water</t>
        </r>
      </text>
    </comment>
    <comment ref="I473" authorId="0" shapeId="0">
      <text>
        <r>
          <rPr>
            <b/>
            <sz val="9"/>
            <color indexed="81"/>
            <rFont val="Tahoma"/>
            <family val="2"/>
          </rPr>
          <t>Ann Bijnens:</t>
        </r>
        <r>
          <rPr>
            <sz val="9"/>
            <color indexed="81"/>
            <rFont val="Tahoma"/>
            <family val="2"/>
          </rPr>
          <t xml:space="preserve">
including WWT</t>
        </r>
      </text>
    </comment>
    <comment ref="J473" authorId="0" shapeId="0">
      <text>
        <r>
          <rPr>
            <b/>
            <sz val="9"/>
            <color indexed="81"/>
            <rFont val="Tahoma"/>
            <family val="2"/>
          </rPr>
          <t>Ann Bijnens:</t>
        </r>
        <r>
          <rPr>
            <sz val="9"/>
            <color indexed="81"/>
            <rFont val="Tahoma"/>
            <family val="2"/>
          </rPr>
          <t xml:space="preserve">
2,5% VAT on sewerage</t>
        </r>
      </text>
    </comment>
    <comment ref="G474" authorId="0" shapeId="0">
      <text>
        <r>
          <rPr>
            <b/>
            <sz val="9"/>
            <color indexed="81"/>
            <rFont val="Tahoma"/>
            <family val="2"/>
          </rPr>
          <t>Ann Bijnens:</t>
        </r>
        <r>
          <rPr>
            <sz val="9"/>
            <color indexed="81"/>
            <rFont val="Tahoma"/>
            <family val="2"/>
          </rPr>
          <t xml:space="preserve">
8% VAT on drinking water</t>
        </r>
      </text>
    </comment>
    <comment ref="I474" authorId="0" shapeId="0">
      <text>
        <r>
          <rPr>
            <b/>
            <sz val="9"/>
            <color indexed="81"/>
            <rFont val="Tahoma"/>
            <family val="2"/>
          </rPr>
          <t>Ann Bijnens:</t>
        </r>
        <r>
          <rPr>
            <sz val="9"/>
            <color indexed="81"/>
            <rFont val="Tahoma"/>
            <family val="2"/>
          </rPr>
          <t xml:space="preserve">
including WWT</t>
        </r>
      </text>
    </comment>
    <comment ref="J474" authorId="0" shapeId="0">
      <text>
        <r>
          <rPr>
            <b/>
            <sz val="9"/>
            <color indexed="81"/>
            <rFont val="Tahoma"/>
            <family val="2"/>
          </rPr>
          <t>Ann Bijnens:</t>
        </r>
        <r>
          <rPr>
            <sz val="9"/>
            <color indexed="81"/>
            <rFont val="Tahoma"/>
            <family val="2"/>
          </rPr>
          <t xml:space="preserve">
2,5% VAT on sewerage</t>
        </r>
      </text>
    </comment>
    <comment ref="G475" authorId="0" shapeId="0">
      <text>
        <r>
          <rPr>
            <b/>
            <sz val="9"/>
            <color indexed="81"/>
            <rFont val="Tahoma"/>
            <family val="2"/>
          </rPr>
          <t>Ann Bijnens:</t>
        </r>
        <r>
          <rPr>
            <sz val="9"/>
            <color indexed="81"/>
            <rFont val="Tahoma"/>
            <family val="2"/>
          </rPr>
          <t xml:space="preserve">
8% VAT on drinking water</t>
        </r>
      </text>
    </comment>
    <comment ref="I475" authorId="0" shapeId="0">
      <text>
        <r>
          <rPr>
            <b/>
            <sz val="9"/>
            <color indexed="81"/>
            <rFont val="Tahoma"/>
            <family val="2"/>
          </rPr>
          <t>Ann Bijnens:</t>
        </r>
        <r>
          <rPr>
            <sz val="9"/>
            <color indexed="81"/>
            <rFont val="Tahoma"/>
            <family val="2"/>
          </rPr>
          <t xml:space="preserve">
including WWT</t>
        </r>
      </text>
    </comment>
    <comment ref="J475" authorId="0" shapeId="0">
      <text>
        <r>
          <rPr>
            <b/>
            <sz val="9"/>
            <color indexed="81"/>
            <rFont val="Tahoma"/>
            <family val="2"/>
          </rPr>
          <t>Ann Bijnens:</t>
        </r>
        <r>
          <rPr>
            <sz val="9"/>
            <color indexed="81"/>
            <rFont val="Tahoma"/>
            <family val="2"/>
          </rPr>
          <t xml:space="preserve">
2,5% VAT on sewerage</t>
        </r>
      </text>
    </comment>
    <comment ref="G476" authorId="0" shapeId="0">
      <text>
        <r>
          <rPr>
            <b/>
            <sz val="9"/>
            <color indexed="81"/>
            <rFont val="Tahoma"/>
            <family val="2"/>
          </rPr>
          <t>Ann Bijnens:</t>
        </r>
        <r>
          <rPr>
            <sz val="9"/>
            <color indexed="81"/>
            <rFont val="Tahoma"/>
            <family val="2"/>
          </rPr>
          <t xml:space="preserve">
8% VAT on drinking water</t>
        </r>
      </text>
    </comment>
    <comment ref="I476" authorId="0" shapeId="0">
      <text>
        <r>
          <rPr>
            <b/>
            <sz val="9"/>
            <color indexed="81"/>
            <rFont val="Tahoma"/>
            <family val="2"/>
          </rPr>
          <t>Ann Bijnens:</t>
        </r>
        <r>
          <rPr>
            <sz val="9"/>
            <color indexed="81"/>
            <rFont val="Tahoma"/>
            <family val="2"/>
          </rPr>
          <t xml:space="preserve">
including WWT</t>
        </r>
      </text>
    </comment>
    <comment ref="J476" authorId="0" shapeId="0">
      <text>
        <r>
          <rPr>
            <b/>
            <sz val="9"/>
            <color indexed="81"/>
            <rFont val="Tahoma"/>
            <family val="2"/>
          </rPr>
          <t>Ann Bijnens:</t>
        </r>
        <r>
          <rPr>
            <sz val="9"/>
            <color indexed="81"/>
            <rFont val="Tahoma"/>
            <family val="2"/>
          </rPr>
          <t xml:space="preserve">
2,5% VAT on sewerage</t>
        </r>
      </text>
    </comment>
    <comment ref="O477" authorId="0" shapeId="0">
      <text>
        <r>
          <rPr>
            <b/>
            <sz val="9"/>
            <color indexed="81"/>
            <rFont val="Tahoma"/>
            <family val="2"/>
          </rPr>
          <t>Ann Bijnens:</t>
        </r>
        <r>
          <rPr>
            <sz val="9"/>
            <color indexed="81"/>
            <rFont val="Tahoma"/>
            <family val="2"/>
          </rPr>
          <t xml:space="preserve">
charges 2017: environmental cleaning tax</t>
        </r>
      </text>
    </comment>
    <comment ref="F478" authorId="0" shapeId="0">
      <text>
        <r>
          <rPr>
            <b/>
            <sz val="9"/>
            <color indexed="81"/>
            <rFont val="Tahoma"/>
            <family val="2"/>
          </rPr>
          <t>Ann Bijnens:</t>
        </r>
        <r>
          <rPr>
            <sz val="9"/>
            <color indexed="81"/>
            <rFont val="Tahoma"/>
            <family val="2"/>
          </rPr>
          <t xml:space="preserve">
charges 2017: maintenance cost</t>
        </r>
      </text>
    </comment>
    <comment ref="O478" authorId="0" shapeId="0">
      <text>
        <r>
          <rPr>
            <b/>
            <sz val="9"/>
            <color indexed="81"/>
            <rFont val="Tahoma"/>
            <family val="2"/>
          </rPr>
          <t>Ann Bijnens:</t>
        </r>
        <r>
          <rPr>
            <sz val="9"/>
            <color indexed="81"/>
            <rFont val="Tahoma"/>
            <family val="2"/>
          </rPr>
          <t xml:space="preserve">
charges 2017: environmental cleaning tax</t>
        </r>
      </text>
    </comment>
    <comment ref="O479" authorId="0" shapeId="0">
      <text>
        <r>
          <rPr>
            <b/>
            <sz val="9"/>
            <color indexed="81"/>
            <rFont val="Tahoma"/>
            <family val="2"/>
          </rPr>
          <t>Ann Bijnens:</t>
        </r>
        <r>
          <rPr>
            <sz val="9"/>
            <color indexed="81"/>
            <rFont val="Tahoma"/>
            <family val="2"/>
          </rPr>
          <t xml:space="preserve">
charges 2017: environmental cleaning tax</t>
        </r>
      </text>
    </comment>
    <comment ref="K484" authorId="1" shapeId="0">
      <text>
        <r>
          <rPr>
            <b/>
            <sz val="9"/>
            <color indexed="81"/>
            <rFont val="Tahoma"/>
            <family val="2"/>
          </rPr>
          <t>bijnensa:</t>
        </r>
        <r>
          <rPr>
            <sz val="9"/>
            <color indexed="81"/>
            <rFont val="Tahoma"/>
            <family val="2"/>
          </rPr>
          <t xml:space="preserve">
Sewerage charges shown include surface water drainage charges. Households in Birmingham pay for their surface water drainage either through a fixed charge based on property type or a charge based on the rateable value. The figures presented assume a 'zone 4' bill based on a property with a rateable value of £200 as an example.</t>
        </r>
      </text>
    </comment>
    <comment ref="K485" authorId="1" shapeId="0">
      <text>
        <r>
          <rPr>
            <b/>
            <sz val="9"/>
            <color indexed="81"/>
            <rFont val="Tahoma"/>
            <family val="2"/>
          </rPr>
          <t>bijnensa:</t>
        </r>
        <r>
          <rPr>
            <sz val="9"/>
            <color indexed="81"/>
            <rFont val="Tahoma"/>
            <family val="2"/>
          </rPr>
          <t xml:space="preserve">
Sewerage charges shown include surface water drainage charges.</t>
        </r>
      </text>
    </comment>
    <comment ref="K486" authorId="1" shapeId="0">
      <text>
        <r>
          <rPr>
            <b/>
            <sz val="9"/>
            <color indexed="81"/>
            <rFont val="Tahoma"/>
            <family val="2"/>
          </rPr>
          <t>bijnensa:</t>
        </r>
        <r>
          <rPr>
            <sz val="9"/>
            <color indexed="81"/>
            <rFont val="Tahoma"/>
            <family val="2"/>
          </rPr>
          <t xml:space="preserve">
Sewerage charges shown include surface water drainage charges.</t>
        </r>
      </text>
    </comment>
    <comment ref="K487" authorId="1" shapeId="0">
      <text>
        <r>
          <rPr>
            <b/>
            <sz val="9"/>
            <color indexed="81"/>
            <rFont val="Tahoma"/>
            <family val="2"/>
          </rPr>
          <t>bijnensa:</t>
        </r>
        <r>
          <rPr>
            <sz val="9"/>
            <color indexed="81"/>
            <rFont val="Tahoma"/>
            <family val="2"/>
          </rPr>
          <t xml:space="preserve">
Sewerage charges shown include surface water drainage charges.</t>
        </r>
      </text>
    </comment>
    <comment ref="K488" authorId="1" shapeId="0">
      <text>
        <r>
          <rPr>
            <b/>
            <sz val="9"/>
            <color indexed="81"/>
            <rFont val="Tahoma"/>
            <family val="2"/>
          </rPr>
          <t>bijnensa:</t>
        </r>
        <r>
          <rPr>
            <sz val="9"/>
            <color indexed="81"/>
            <rFont val="Tahoma"/>
            <family val="2"/>
          </rPr>
          <t xml:space="preserve">
Sewerage charges shown include surface water drainage charges.</t>
        </r>
      </text>
    </comment>
    <comment ref="A503" authorId="0" shapeId="0">
      <text>
        <r>
          <rPr>
            <b/>
            <sz val="9"/>
            <color indexed="81"/>
            <rFont val="Tahoma"/>
            <family val="2"/>
          </rPr>
          <t>Ann Bijnens:</t>
        </r>
        <r>
          <rPr>
            <sz val="9"/>
            <color indexed="81"/>
            <rFont val="Tahoma"/>
            <family val="2"/>
          </rPr>
          <t xml:space="preserve">
charges 2017: charges for wastewater treatment are included in sewerage taxes.
Bill is not depending on the volume of consumption.</t>
        </r>
      </text>
    </comment>
    <comment ref="F504" authorId="0" shapeId="0">
      <text>
        <r>
          <rPr>
            <b/>
            <sz val="9"/>
            <color indexed="81"/>
            <rFont val="Tahoma"/>
            <family val="2"/>
          </rPr>
          <t>Ann Bijnens:</t>
        </r>
        <r>
          <rPr>
            <sz val="9"/>
            <color indexed="81"/>
            <rFont val="Tahoma"/>
            <family val="2"/>
          </rPr>
          <t xml:space="preserve">
21% for 2017</t>
        </r>
      </text>
    </comment>
    <comment ref="K504" authorId="0" shapeId="0">
      <text>
        <r>
          <rPr>
            <b/>
            <sz val="9"/>
            <color indexed="81"/>
            <rFont val="Tahoma"/>
            <family val="2"/>
          </rPr>
          <t>Ann Bijnens:</t>
        </r>
        <r>
          <rPr>
            <sz val="9"/>
            <color indexed="81"/>
            <rFont val="Tahoma"/>
            <family val="2"/>
          </rPr>
          <t xml:space="preserve">
21% for 2017</t>
        </r>
      </text>
    </comment>
    <comment ref="J535" authorId="0" shapeId="0">
      <text>
        <r>
          <rPr>
            <b/>
            <sz val="9"/>
            <color indexed="81"/>
            <rFont val="Tahoma"/>
            <family val="2"/>
          </rPr>
          <t>Ann Bijnens:</t>
        </r>
        <r>
          <rPr>
            <sz val="9"/>
            <color indexed="81"/>
            <rFont val="Tahoma"/>
            <family val="2"/>
          </rPr>
          <t xml:space="preserve">
charges 2017: environmental cleaning tax</t>
        </r>
      </text>
    </comment>
    <comment ref="J581" authorId="0" shapeId="0">
      <text>
        <r>
          <rPr>
            <b/>
            <sz val="9"/>
            <color indexed="81"/>
            <rFont val="Tahoma"/>
            <family val="2"/>
          </rPr>
          <t>Ann Bijnens:</t>
        </r>
        <r>
          <rPr>
            <sz val="9"/>
            <color indexed="81"/>
            <rFont val="Tahoma"/>
            <family val="2"/>
          </rPr>
          <t xml:space="preserve">
charges 2017: environmental cleaning tax</t>
        </r>
      </text>
    </comment>
    <comment ref="E607" authorId="0" shapeId="0">
      <text>
        <r>
          <rPr>
            <b/>
            <sz val="9"/>
            <color indexed="81"/>
            <rFont val="Tahoma"/>
            <family val="2"/>
          </rPr>
          <t>Ann Bijnens:</t>
        </r>
        <r>
          <rPr>
            <sz val="9"/>
            <color indexed="81"/>
            <rFont val="Tahoma"/>
            <family val="2"/>
          </rPr>
          <t xml:space="preserve">
charges 2017: maintenance cost</t>
        </r>
      </text>
    </comment>
    <comment ref="J607" authorId="0" shapeId="0">
      <text>
        <r>
          <rPr>
            <b/>
            <sz val="9"/>
            <color indexed="81"/>
            <rFont val="Tahoma"/>
            <family val="2"/>
          </rPr>
          <t>Ann Bijnens:</t>
        </r>
        <r>
          <rPr>
            <sz val="9"/>
            <color indexed="81"/>
            <rFont val="Tahoma"/>
            <family val="2"/>
          </rPr>
          <t xml:space="preserve">
charges 2017: environmental cleaning tax</t>
        </r>
      </text>
    </comment>
    <comment ref="J619" authorId="1" shapeId="0">
      <text>
        <r>
          <rPr>
            <b/>
            <sz val="9"/>
            <color indexed="81"/>
            <rFont val="Tahoma"/>
            <family val="2"/>
          </rPr>
          <t>bijnensa:</t>
        </r>
        <r>
          <rPr>
            <sz val="9"/>
            <color indexed="81"/>
            <rFont val="Tahoma"/>
            <family val="2"/>
          </rPr>
          <t xml:space="preserve">
other charges: tap water tax</t>
        </r>
      </text>
    </comment>
    <comment ref="A635" authorId="0" shapeId="0">
      <text>
        <r>
          <rPr>
            <b/>
            <sz val="9"/>
            <color indexed="81"/>
            <rFont val="Tahoma"/>
            <family val="2"/>
          </rPr>
          <t>Ann Bijnens:</t>
        </r>
        <r>
          <rPr>
            <sz val="9"/>
            <color indexed="81"/>
            <rFont val="Tahoma"/>
            <family val="2"/>
          </rPr>
          <t xml:space="preserve">
data of 2014</t>
        </r>
      </text>
    </comment>
    <comment ref="F636" authorId="0" shapeId="0">
      <text>
        <r>
          <rPr>
            <b/>
            <sz val="9"/>
            <color indexed="81"/>
            <rFont val="Tahoma"/>
            <family val="2"/>
          </rPr>
          <t>Ann Bijnens:</t>
        </r>
        <r>
          <rPr>
            <sz val="9"/>
            <color indexed="81"/>
            <rFont val="Tahoma"/>
            <family val="2"/>
          </rPr>
          <t xml:space="preserve">
8% VAT on drinking water</t>
        </r>
      </text>
    </comment>
    <comment ref="J637" authorId="1" shapeId="0">
      <text>
        <r>
          <rPr>
            <b/>
            <sz val="9"/>
            <color indexed="81"/>
            <rFont val="Tahoma"/>
            <family val="2"/>
          </rPr>
          <t>bijnensa:</t>
        </r>
        <r>
          <rPr>
            <sz val="9"/>
            <color indexed="81"/>
            <rFont val="Tahoma"/>
            <family val="2"/>
          </rPr>
          <t xml:space="preserve">
charges 2017: other charges: tap water tax</t>
        </r>
      </text>
    </comment>
    <comment ref="J641" authorId="1" shapeId="0">
      <text>
        <r>
          <rPr>
            <b/>
            <sz val="9"/>
            <color indexed="81"/>
            <rFont val="Tahoma"/>
            <family val="2"/>
          </rPr>
          <t>bijnensa:</t>
        </r>
        <r>
          <rPr>
            <sz val="9"/>
            <color indexed="81"/>
            <rFont val="Tahoma"/>
            <family val="2"/>
          </rPr>
          <t xml:space="preserve">
other charges: tap water tax</t>
        </r>
      </text>
    </comment>
    <comment ref="A648" authorId="0" shapeId="0">
      <text>
        <r>
          <rPr>
            <b/>
            <sz val="9"/>
            <color indexed="81"/>
            <rFont val="Tahoma"/>
            <family val="2"/>
          </rPr>
          <t>Ann Bijnens:</t>
        </r>
        <r>
          <rPr>
            <sz val="9"/>
            <color indexed="81"/>
            <rFont val="Tahoma"/>
            <family val="2"/>
          </rPr>
          <t xml:space="preserve">
charges 2017: Rotterdam is Water Authority HHSK</t>
        </r>
      </text>
    </comment>
    <comment ref="E648" authorId="1" shapeId="0">
      <text>
        <r>
          <rPr>
            <b/>
            <sz val="9"/>
            <color indexed="81"/>
            <rFont val="Tahoma"/>
            <family val="2"/>
          </rPr>
          <t>bijnensa:</t>
        </r>
        <r>
          <rPr>
            <sz val="9"/>
            <color indexed="81"/>
            <rFont val="Tahoma"/>
            <family val="2"/>
          </rPr>
          <t xml:space="preserve">
charges 2017: distribution and concession reimbursements ("precario")</t>
        </r>
      </text>
    </comment>
    <comment ref="J648" authorId="1" shapeId="0">
      <text>
        <r>
          <rPr>
            <b/>
            <sz val="9"/>
            <color indexed="81"/>
            <rFont val="Tahoma"/>
            <family val="2"/>
          </rPr>
          <t>bijnensa:</t>
        </r>
        <r>
          <rPr>
            <sz val="9"/>
            <color indexed="81"/>
            <rFont val="Tahoma"/>
            <family val="2"/>
          </rPr>
          <t xml:space="preserve">
other charges: tap water tax</t>
        </r>
      </text>
    </comment>
    <comment ref="A654" authorId="0" shapeId="0">
      <text>
        <r>
          <rPr>
            <b/>
            <sz val="9"/>
            <color indexed="81"/>
            <rFont val="Tahoma"/>
            <family val="2"/>
          </rPr>
          <t>Ann Bijnens:</t>
        </r>
        <r>
          <rPr>
            <sz val="9"/>
            <color indexed="81"/>
            <rFont val="Tahoma"/>
            <family val="2"/>
          </rPr>
          <t xml:space="preserve">
for a 3 persons household</t>
        </r>
      </text>
    </comment>
    <comment ref="D654" authorId="0" shapeId="0">
      <text>
        <r>
          <rPr>
            <b/>
            <sz val="9"/>
            <color indexed="81"/>
            <rFont val="Tahoma"/>
            <family val="2"/>
          </rPr>
          <t>Ann Bijnens:</t>
        </r>
        <r>
          <rPr>
            <sz val="9"/>
            <color indexed="81"/>
            <rFont val="Tahoma"/>
            <family val="2"/>
          </rPr>
          <t xml:space="preserve">
Increasing block tariff at €1.3965/m3 up to 33m3/person/annum and €5.1395/m3 above 33m3/person/annum. Assume water consumption spread evenly over the year.</t>
        </r>
      </text>
    </comment>
    <comment ref="F655" authorId="0" shapeId="0">
      <text>
        <r>
          <rPr>
            <b/>
            <sz val="9"/>
            <color indexed="81"/>
            <rFont val="Tahoma"/>
            <family val="2"/>
          </rPr>
          <t>Ann Bijnens:</t>
        </r>
        <r>
          <rPr>
            <sz val="9"/>
            <color indexed="81"/>
            <rFont val="Tahoma"/>
            <family val="2"/>
          </rPr>
          <t xml:space="preserve">
8% VAT on drinking water</t>
        </r>
      </text>
    </comment>
    <comment ref="F666" authorId="0" shapeId="0">
      <text>
        <r>
          <rPr>
            <b/>
            <sz val="9"/>
            <color indexed="81"/>
            <rFont val="Tahoma"/>
            <family val="2"/>
          </rPr>
          <t>Ann Bijnens:</t>
        </r>
        <r>
          <rPr>
            <sz val="9"/>
            <color indexed="81"/>
            <rFont val="Tahoma"/>
            <family val="2"/>
          </rPr>
          <t xml:space="preserve">
8% VAT on drinking water</t>
        </r>
      </text>
    </comment>
    <comment ref="E668" authorId="1" shapeId="0">
      <text>
        <r>
          <rPr>
            <b/>
            <sz val="9"/>
            <color indexed="81"/>
            <rFont val="Tahoma"/>
            <family val="2"/>
          </rPr>
          <t>bijnensa:</t>
        </r>
        <r>
          <rPr>
            <sz val="9"/>
            <color indexed="81"/>
            <rFont val="Tahoma"/>
            <family val="2"/>
          </rPr>
          <t xml:space="preserve">
charges 2017: distribution and concession reimbursements ("precario")</t>
        </r>
      </text>
    </comment>
    <comment ref="J668" authorId="1" shapeId="0">
      <text>
        <r>
          <rPr>
            <b/>
            <sz val="9"/>
            <color indexed="81"/>
            <rFont val="Tahoma"/>
            <family val="2"/>
          </rPr>
          <t>bijnensa:</t>
        </r>
        <r>
          <rPr>
            <sz val="9"/>
            <color indexed="81"/>
            <rFont val="Tahoma"/>
            <family val="2"/>
          </rPr>
          <t xml:space="preserve">
other charges: tap water tax</t>
        </r>
      </text>
    </comment>
    <comment ref="F681" authorId="0" shapeId="0">
      <text>
        <r>
          <rPr>
            <b/>
            <sz val="9"/>
            <color indexed="81"/>
            <rFont val="Tahoma"/>
            <family val="2"/>
          </rPr>
          <t>Ann Bijnens:</t>
        </r>
        <r>
          <rPr>
            <sz val="9"/>
            <color indexed="81"/>
            <rFont val="Tahoma"/>
            <family val="2"/>
          </rPr>
          <t xml:space="preserve">
8% VAT on drinking water</t>
        </r>
      </text>
    </comment>
    <comment ref="F684" authorId="0" shapeId="0">
      <text>
        <r>
          <rPr>
            <b/>
            <sz val="9"/>
            <color indexed="81"/>
            <rFont val="Tahoma"/>
            <family val="2"/>
          </rPr>
          <t>Ann Bijnens:</t>
        </r>
        <r>
          <rPr>
            <sz val="9"/>
            <color indexed="81"/>
            <rFont val="Tahoma"/>
            <family val="2"/>
          </rPr>
          <t xml:space="preserve">
8% VAT on drinking water</t>
        </r>
      </text>
    </comment>
  </commentList>
</comments>
</file>

<file path=xl/comments7.xml><?xml version="1.0" encoding="utf-8"?>
<comments xmlns="http://schemas.openxmlformats.org/spreadsheetml/2006/main">
  <authors>
    <author>bijnensa</author>
    <author>Ann Bijnens</author>
  </authors>
  <commentList>
    <comment ref="C7" authorId="0" shapeId="0">
      <text>
        <r>
          <rPr>
            <b/>
            <sz val="9"/>
            <color indexed="81"/>
            <rFont val="Tahoma"/>
            <family val="2"/>
          </rPr>
          <t>bijnensa:</t>
        </r>
        <r>
          <rPr>
            <sz val="9"/>
            <color indexed="81"/>
            <rFont val="Tahoma"/>
            <family val="2"/>
          </rPr>
          <t xml:space="preserve">
the average bill for residential (domestic) users. Total annual water bill for 100 m³ and 200 m³ is the same because 88% of users are unmetered. This percentage is even bigger for residential users.</t>
        </r>
      </text>
    </comment>
    <comment ref="AB7" authorId="0" shapeId="0">
      <text>
        <r>
          <rPr>
            <b/>
            <sz val="9"/>
            <color indexed="81"/>
            <rFont val="Tahoma"/>
            <family val="2"/>
          </rPr>
          <t>bijnensa:</t>
        </r>
        <r>
          <rPr>
            <sz val="9"/>
            <color indexed="81"/>
            <rFont val="Tahoma"/>
            <family val="2"/>
          </rPr>
          <t xml:space="preserve">
88% of users are unmetered (flat rate). Metered users pay a fixed charge (50% of flat rate for unmetered) plus a uniform rate for consumption over 20 m³ each two months.</t>
        </r>
      </text>
    </comment>
    <comment ref="C34" authorId="0" shapeId="0">
      <text>
        <r>
          <rPr>
            <b/>
            <sz val="9"/>
            <color indexed="81"/>
            <rFont val="Tahoma"/>
            <family val="2"/>
          </rPr>
          <t>bijnensa:</t>
        </r>
        <r>
          <rPr>
            <sz val="9"/>
            <color indexed="81"/>
            <rFont val="Tahoma"/>
            <family val="2"/>
          </rPr>
          <t xml:space="preserve">
SNIS - National System of Information on Water and Sanitation - Reference Year 2014</t>
        </r>
      </text>
    </comment>
    <comment ref="C35" authorId="0" shapeId="0">
      <text>
        <r>
          <rPr>
            <b/>
            <sz val="9"/>
            <color indexed="81"/>
            <rFont val="Tahoma"/>
            <family val="2"/>
          </rPr>
          <t>bijnensa:</t>
        </r>
        <r>
          <rPr>
            <sz val="9"/>
            <color indexed="81"/>
            <rFont val="Tahoma"/>
            <family val="2"/>
          </rPr>
          <t xml:space="preserve">
SABESP: Water Utility of São Paulo State with Full Concession of Water and Sanitation in 364 Municipalities of São Paulo State, deserving around 27 million people. The average tarig ranges from RS 114/100 m3(Turiúba/SP) to R4 359/100 m3 ( Barueri/SP)</t>
        </r>
      </text>
    </comment>
    <comment ref="C36" authorId="0" shapeId="0">
      <text>
        <r>
          <rPr>
            <b/>
            <sz val="9"/>
            <color indexed="81"/>
            <rFont val="Tahoma"/>
            <family val="2"/>
          </rPr>
          <t>bijnensa:</t>
        </r>
        <r>
          <rPr>
            <sz val="9"/>
            <color indexed="81"/>
            <rFont val="Tahoma"/>
            <family val="2"/>
          </rPr>
          <t xml:space="preserve">
Brasília -the Federal District - is desserved in water and sanitation by CAESB - the local Water Utility. With the highest income per capita in the country, Brasília is not very representative of the Brazilian Average</t>
        </r>
      </text>
    </comment>
    <comment ref="D132" authorId="0" shapeId="0">
      <text>
        <r>
          <rPr>
            <b/>
            <sz val="9"/>
            <color indexed="81"/>
            <rFont val="Tahoma"/>
            <family val="2"/>
          </rPr>
          <t>bijnensa:</t>
        </r>
        <r>
          <rPr>
            <sz val="9"/>
            <color indexed="81"/>
            <rFont val="Tahoma"/>
            <family val="2"/>
          </rPr>
          <t xml:space="preserve">
laatst gekende GDP van jaar 2013</t>
        </r>
      </text>
    </comment>
    <comment ref="A134" authorId="1" shapeId="0">
      <text>
        <r>
          <rPr>
            <b/>
            <sz val="9"/>
            <color indexed="81"/>
            <rFont val="Tahoma"/>
            <family val="2"/>
          </rPr>
          <t xml:space="preserve">Ann Bijnens:
</t>
        </r>
        <r>
          <rPr>
            <sz val="9"/>
            <color indexed="81"/>
            <rFont val="Tahoma"/>
            <family val="2"/>
          </rPr>
          <t>There are no regional differences in water rates</t>
        </r>
      </text>
    </comment>
    <comment ref="G134" authorId="1" shapeId="0">
      <text>
        <r>
          <rPr>
            <b/>
            <sz val="9"/>
            <color indexed="81"/>
            <rFont val="Tahoma"/>
            <family val="2"/>
          </rPr>
          <t>Ann Bijnens:</t>
        </r>
        <r>
          <rPr>
            <sz val="9"/>
            <color indexed="81"/>
            <rFont val="Tahoma"/>
            <family val="2"/>
          </rPr>
          <t xml:space="preserve">
Increasing block tariff at €1.3965/m3 up to 33m3/person/annum and €5.1395/m3 above 33m3/person/annum. Assume water consumption spread evenly over the year.</t>
        </r>
      </text>
    </comment>
    <comment ref="K134" authorId="1" shapeId="0">
      <text>
        <r>
          <rPr>
            <b/>
            <sz val="9"/>
            <color indexed="81"/>
            <rFont val="Tahoma"/>
            <family val="2"/>
          </rPr>
          <t>Ann Bijnens:</t>
        </r>
        <r>
          <rPr>
            <sz val="9"/>
            <color indexed="81"/>
            <rFont val="Tahoma"/>
            <family val="2"/>
          </rPr>
          <t xml:space="preserve">
rates incorporate sewerage contribution</t>
        </r>
      </text>
    </comment>
    <comment ref="M147" authorId="0" shapeId="0">
      <text>
        <r>
          <rPr>
            <b/>
            <sz val="9"/>
            <color indexed="81"/>
            <rFont val="Tahoma"/>
            <family val="2"/>
          </rPr>
          <t>bijnensa:</t>
        </r>
        <r>
          <rPr>
            <sz val="9"/>
            <color indexed="81"/>
            <rFont val="Tahoma"/>
            <family val="2"/>
          </rPr>
          <t xml:space="preserve">
other charges: tap water tax</t>
        </r>
      </text>
    </comment>
    <comment ref="H148" authorId="0" shapeId="0">
      <text>
        <r>
          <rPr>
            <b/>
            <sz val="9"/>
            <color indexed="81"/>
            <rFont val="Tahoma"/>
            <family val="2"/>
          </rPr>
          <t>bijnensa:</t>
        </r>
        <r>
          <rPr>
            <sz val="9"/>
            <color indexed="81"/>
            <rFont val="Tahoma"/>
            <family val="2"/>
          </rPr>
          <t xml:space="preserve">
distribution and concession reimbursements ("precario")</t>
        </r>
      </text>
    </comment>
    <comment ref="M148" authorId="0" shapeId="0">
      <text>
        <r>
          <rPr>
            <b/>
            <sz val="9"/>
            <color indexed="81"/>
            <rFont val="Tahoma"/>
            <family val="2"/>
          </rPr>
          <t>bijnensa:</t>
        </r>
        <r>
          <rPr>
            <sz val="9"/>
            <color indexed="81"/>
            <rFont val="Tahoma"/>
            <family val="2"/>
          </rPr>
          <t xml:space="preserve">
other charges: tap water tax</t>
        </r>
      </text>
    </comment>
    <comment ref="H149" authorId="0" shapeId="0">
      <text>
        <r>
          <rPr>
            <b/>
            <sz val="9"/>
            <color indexed="81"/>
            <rFont val="Tahoma"/>
            <family val="2"/>
          </rPr>
          <t>bijnensa:</t>
        </r>
        <r>
          <rPr>
            <sz val="9"/>
            <color indexed="81"/>
            <rFont val="Tahoma"/>
            <family val="2"/>
          </rPr>
          <t xml:space="preserve">
distribution and concession reimbursements ("precario")</t>
        </r>
      </text>
    </comment>
    <comment ref="M149" authorId="0" shapeId="0">
      <text>
        <r>
          <rPr>
            <b/>
            <sz val="9"/>
            <color indexed="81"/>
            <rFont val="Tahoma"/>
            <family val="2"/>
          </rPr>
          <t>bijnensa:</t>
        </r>
        <r>
          <rPr>
            <sz val="9"/>
            <color indexed="81"/>
            <rFont val="Tahoma"/>
            <family val="2"/>
          </rPr>
          <t xml:space="preserve">
other charges: tap water tax</t>
        </r>
      </text>
    </comment>
    <comment ref="M150" authorId="0" shapeId="0">
      <text>
        <r>
          <rPr>
            <b/>
            <sz val="9"/>
            <color indexed="81"/>
            <rFont val="Tahoma"/>
            <family val="2"/>
          </rPr>
          <t>bijnensa:</t>
        </r>
        <r>
          <rPr>
            <sz val="9"/>
            <color indexed="81"/>
            <rFont val="Tahoma"/>
            <family val="2"/>
          </rPr>
          <t xml:space="preserve">
other charges: tap water tax</t>
        </r>
      </text>
    </comment>
    <comment ref="M151" authorId="0" shapeId="0">
      <text>
        <r>
          <rPr>
            <b/>
            <sz val="9"/>
            <color indexed="81"/>
            <rFont val="Tahoma"/>
            <family val="2"/>
          </rPr>
          <t>bijnensa:</t>
        </r>
        <r>
          <rPr>
            <sz val="9"/>
            <color indexed="81"/>
            <rFont val="Tahoma"/>
            <family val="2"/>
          </rPr>
          <t xml:space="preserve">
other charges: tap water tax</t>
        </r>
      </text>
    </comment>
    <comment ref="M152" authorId="0" shapeId="0">
      <text>
        <r>
          <rPr>
            <b/>
            <sz val="9"/>
            <color indexed="81"/>
            <rFont val="Tahoma"/>
            <family val="2"/>
          </rPr>
          <t>bijnensa:</t>
        </r>
        <r>
          <rPr>
            <sz val="9"/>
            <color indexed="81"/>
            <rFont val="Tahoma"/>
            <family val="2"/>
          </rPr>
          <t xml:space="preserve">
other charges: tap water tax</t>
        </r>
      </text>
    </comment>
    <comment ref="C181" authorId="1" shapeId="0">
      <text>
        <r>
          <rPr>
            <b/>
            <sz val="9"/>
            <color indexed="81"/>
            <rFont val="Tahoma"/>
            <family val="2"/>
          </rPr>
          <t>Ann Bijnens:</t>
        </r>
        <r>
          <rPr>
            <sz val="9"/>
            <color indexed="81"/>
            <rFont val="Tahoma"/>
            <family val="2"/>
          </rPr>
          <t xml:space="preserve">
charges 2015: during summer the population supplied is over 1.000.000 inhabitans due the seaside areas</t>
        </r>
      </text>
    </comment>
    <comment ref="C194" authorId="1" shapeId="0">
      <text>
        <r>
          <rPr>
            <b/>
            <sz val="9"/>
            <color indexed="81"/>
            <rFont val="Tahoma"/>
            <family val="2"/>
          </rPr>
          <t>Ann Bijnens:</t>
        </r>
        <r>
          <rPr>
            <sz val="9"/>
            <color indexed="81"/>
            <rFont val="Tahoma"/>
            <family val="2"/>
          </rPr>
          <t xml:space="preserve">
charges 2015: population data are calculated based on clients declaration. All citizen have acces to water supply and sewerage services</t>
        </r>
      </text>
    </comment>
    <comment ref="K219" authorId="0" shapeId="0">
      <text>
        <r>
          <rPr>
            <b/>
            <sz val="9"/>
            <color indexed="81"/>
            <rFont val="Tahoma"/>
            <family val="2"/>
          </rPr>
          <t>bijnensa:</t>
        </r>
        <r>
          <rPr>
            <sz val="9"/>
            <color indexed="81"/>
            <rFont val="Tahoma"/>
            <family val="2"/>
          </rPr>
          <t xml:space="preserve">
not separately charged. Inherent to sewerage charge</t>
        </r>
      </text>
    </comment>
    <comment ref="G220" authorId="0" shapeId="0">
      <text>
        <r>
          <rPr>
            <b/>
            <sz val="9"/>
            <color indexed="81"/>
            <rFont val="Tahoma"/>
            <family val="2"/>
          </rPr>
          <t>bijnensa:</t>
        </r>
        <r>
          <rPr>
            <sz val="9"/>
            <color indexed="81"/>
            <rFont val="Tahoma"/>
            <family val="2"/>
          </rPr>
          <t xml:space="preserve">
assumes the customers water consumption is equally distributed in each quarter</t>
        </r>
      </text>
    </comment>
    <comment ref="H220" authorId="0" shapeId="0">
      <text>
        <r>
          <rPr>
            <b/>
            <sz val="9"/>
            <color indexed="81"/>
            <rFont val="Tahoma"/>
            <family val="2"/>
          </rPr>
          <t>bijnensa:</t>
        </r>
        <r>
          <rPr>
            <sz val="9"/>
            <color indexed="81"/>
            <rFont val="Tahoma"/>
            <family val="2"/>
          </rPr>
          <t xml:space="preserve">
River Murray Levy</t>
        </r>
      </text>
    </comment>
    <comment ref="J220" authorId="0" shapeId="0">
      <text>
        <r>
          <rPr>
            <b/>
            <sz val="9"/>
            <color indexed="81"/>
            <rFont val="Tahoma"/>
            <family val="2"/>
          </rPr>
          <t>bijnensa:</t>
        </r>
        <r>
          <rPr>
            <sz val="9"/>
            <color indexed="81"/>
            <rFont val="Tahoma"/>
            <family val="2"/>
          </rPr>
          <t xml:space="preserve">
based on the average valued property</t>
        </r>
      </text>
    </comment>
    <comment ref="A229" authorId="1" shapeId="0">
      <text>
        <r>
          <rPr>
            <b/>
            <sz val="9"/>
            <color indexed="81"/>
            <rFont val="Tahoma"/>
            <family val="2"/>
          </rPr>
          <t>Ann Bijnens:</t>
        </r>
        <r>
          <rPr>
            <sz val="9"/>
            <color indexed="81"/>
            <rFont val="Tahoma"/>
            <family val="2"/>
          </rPr>
          <t xml:space="preserve">
In general, water tariffs in Spain have fixed rates and increasing block depending on how much water is consumed. Nevertheless, in some part of the water cycle (for example sewer system) and depending on the city the price is set via a flat rate or uniform rate.</t>
        </r>
      </text>
    </comment>
    <comment ref="M234" authorId="0" shapeId="0">
      <text>
        <r>
          <rPr>
            <b/>
            <sz val="9"/>
            <color indexed="81"/>
            <rFont val="Tahoma"/>
            <family val="2"/>
          </rPr>
          <t>bijnensa:</t>
        </r>
        <r>
          <rPr>
            <sz val="9"/>
            <color indexed="81"/>
            <rFont val="Tahoma"/>
            <family val="2"/>
          </rPr>
          <t xml:space="preserve">
charge for stormwater (rainwater and drainage) from the houses which are let to the communities pipes for stormwater</t>
        </r>
      </text>
    </comment>
    <comment ref="M236" authorId="0" shapeId="0">
      <text>
        <r>
          <rPr>
            <b/>
            <sz val="9"/>
            <color indexed="81"/>
            <rFont val="Tahoma"/>
            <family val="2"/>
          </rPr>
          <t>bijnensa:</t>
        </r>
        <r>
          <rPr>
            <sz val="9"/>
            <color indexed="81"/>
            <rFont val="Tahoma"/>
            <family val="2"/>
          </rPr>
          <t xml:space="preserve">
charge for stormwater (rainwater and drainage) from the houses which are let to the communities pipes for stormwater</t>
        </r>
      </text>
    </comment>
    <comment ref="A245" authorId="1" shapeId="0">
      <text>
        <r>
          <rPr>
            <b/>
            <sz val="9"/>
            <color indexed="81"/>
            <rFont val="Tahoma"/>
            <family val="2"/>
          </rPr>
          <t>Ann Bijnens:</t>
        </r>
        <r>
          <rPr>
            <sz val="9"/>
            <color indexed="81"/>
            <rFont val="Tahoma"/>
            <family val="2"/>
          </rPr>
          <t xml:space="preserve">
data of 2014: bill for consumption depends on customer type. Here we use type 1 residence.</t>
        </r>
      </text>
    </comment>
    <comment ref="A247" authorId="1" shapeId="0">
      <text>
        <r>
          <rPr>
            <b/>
            <sz val="9"/>
            <color indexed="81"/>
            <rFont val="Tahoma"/>
            <family val="2"/>
          </rPr>
          <t>Ann Bijnens:</t>
        </r>
        <r>
          <rPr>
            <sz val="9"/>
            <color indexed="81"/>
            <rFont val="Tahoma"/>
            <family val="2"/>
          </rPr>
          <t xml:space="preserve">
The Corporation applies a uniform tariff across all consumer categories in all its areas of operation. The Domestic rate/tariff is uniform in all the Corporation's operational areas.
Fixed charge is the same across all the operational areas.
</t>
        </r>
      </text>
    </comment>
    <comment ref="K251" authorId="0" shapeId="0">
      <text>
        <r>
          <rPr>
            <b/>
            <sz val="9"/>
            <color indexed="81"/>
            <rFont val="Tahoma"/>
            <family val="2"/>
          </rPr>
          <t>bijnensa:</t>
        </r>
        <r>
          <rPr>
            <sz val="9"/>
            <color indexed="81"/>
            <rFont val="Tahoma"/>
            <family val="2"/>
          </rPr>
          <t xml:space="preserve">
Sewerage charges shown include surface water drainage charges. Households in Birmingham pay for their surface water drainage either through a fixed charge based on property type or a charge based on the rateable value. The figures presented assume a 'zone 4' bill based on a property with a rateable value of £200 as an example.</t>
        </r>
      </text>
    </comment>
    <comment ref="K252" authorId="0" shapeId="0">
      <text>
        <r>
          <rPr>
            <b/>
            <sz val="9"/>
            <color indexed="81"/>
            <rFont val="Tahoma"/>
            <family val="2"/>
          </rPr>
          <t>bijnensa:</t>
        </r>
        <r>
          <rPr>
            <sz val="9"/>
            <color indexed="81"/>
            <rFont val="Tahoma"/>
            <family val="2"/>
          </rPr>
          <t xml:space="preserve">
Sewerage charges shown include surface water drainage charges.</t>
        </r>
      </text>
    </comment>
    <comment ref="K253" authorId="0" shapeId="0">
      <text>
        <r>
          <rPr>
            <b/>
            <sz val="9"/>
            <color indexed="81"/>
            <rFont val="Tahoma"/>
            <family val="2"/>
          </rPr>
          <t>bijnensa:</t>
        </r>
        <r>
          <rPr>
            <sz val="9"/>
            <color indexed="81"/>
            <rFont val="Tahoma"/>
            <family val="2"/>
          </rPr>
          <t xml:space="preserve">
Sewerage charges shown include surface water drainage charges.</t>
        </r>
      </text>
    </comment>
    <comment ref="K254" authorId="0" shapeId="0">
      <text>
        <r>
          <rPr>
            <b/>
            <sz val="9"/>
            <color indexed="81"/>
            <rFont val="Tahoma"/>
            <family val="2"/>
          </rPr>
          <t>bijnensa:</t>
        </r>
        <r>
          <rPr>
            <sz val="9"/>
            <color indexed="81"/>
            <rFont val="Tahoma"/>
            <family val="2"/>
          </rPr>
          <t xml:space="preserve">
Sewerage charges shown include surface water drainage charges.</t>
        </r>
      </text>
    </comment>
    <comment ref="K255" authorId="0" shapeId="0">
      <text>
        <r>
          <rPr>
            <b/>
            <sz val="9"/>
            <color indexed="81"/>
            <rFont val="Tahoma"/>
            <family val="2"/>
          </rPr>
          <t>bijnensa:</t>
        </r>
        <r>
          <rPr>
            <sz val="9"/>
            <color indexed="81"/>
            <rFont val="Tahoma"/>
            <family val="2"/>
          </rPr>
          <t xml:space="preserve">
Sewerage charges shown include surface water drainage charges.</t>
        </r>
      </text>
    </comment>
    <comment ref="A263" authorId="1" shapeId="0">
      <text>
        <r>
          <rPr>
            <b/>
            <sz val="9"/>
            <color indexed="81"/>
            <rFont val="Tahoma"/>
            <family val="2"/>
          </rPr>
          <t>Ann Bijnens:</t>
        </r>
        <r>
          <rPr>
            <sz val="9"/>
            <color indexed="81"/>
            <rFont val="Tahoma"/>
            <family val="2"/>
          </rPr>
          <t xml:space="preserve">
- FIXED CHARGES FOR DOMESTIC CUSTOMERS.
- SEWERAGE CHARGE FOR DOMESTIC CUSTOMERS IS 20%OF WATER BILL FOR; MWSC, NWSC, &amp; 30% for LWSC&amp;KWSC 40% NWWSC &amp; KWSC .
- Other charges: SANITATION SURCHARGE AT 2.5% OF WATER BILL, EXCEPT FOR NKANA WSC (NWSC) AT 3%.</t>
        </r>
      </text>
    </comment>
    <comment ref="C263" authorId="1" shapeId="0">
      <text>
        <r>
          <rPr>
            <b/>
            <sz val="9"/>
            <color indexed="81"/>
            <rFont val="Tahoma"/>
            <family val="2"/>
          </rPr>
          <t>Ann Bijnens:</t>
        </r>
        <r>
          <rPr>
            <sz val="9"/>
            <color indexed="81"/>
            <rFont val="Tahoma"/>
            <family val="2"/>
          </rPr>
          <t xml:space="preserve">
LWSC = Lusaka Water &amp; Sewerage Company</t>
        </r>
      </text>
    </comment>
    <comment ref="AF263" authorId="1" shapeId="0">
      <text>
        <r>
          <rPr>
            <b/>
            <sz val="9"/>
            <color indexed="81"/>
            <rFont val="Tahoma"/>
            <family val="2"/>
          </rPr>
          <t>Ann Bijnens:</t>
        </r>
        <r>
          <rPr>
            <sz val="9"/>
            <color indexed="81"/>
            <rFont val="Tahoma"/>
            <family val="2"/>
          </rPr>
          <t xml:space="preserve">
fixed charges for service = meter charges</t>
        </r>
      </text>
    </comment>
    <comment ref="AG263" authorId="1" shapeId="0">
      <text>
        <r>
          <rPr>
            <b/>
            <sz val="9"/>
            <color indexed="81"/>
            <rFont val="Tahoma"/>
            <family val="2"/>
          </rPr>
          <t>Ann Bijnens:</t>
        </r>
        <r>
          <rPr>
            <sz val="9"/>
            <color indexed="81"/>
            <rFont val="Tahoma"/>
            <family val="2"/>
          </rPr>
          <t xml:space="preserve">
sanitation surcharges which are a percentage of the water bill</t>
        </r>
      </text>
    </comment>
    <comment ref="C264" authorId="1" shapeId="0">
      <text>
        <r>
          <rPr>
            <b/>
            <sz val="9"/>
            <color indexed="81"/>
            <rFont val="Tahoma"/>
            <family val="2"/>
          </rPr>
          <t>Ann Bijnens:</t>
        </r>
        <r>
          <rPr>
            <sz val="9"/>
            <color indexed="81"/>
            <rFont val="Tahoma"/>
            <family val="2"/>
          </rPr>
          <t xml:space="preserve">
NWSC = National Water and Sewerage Corporation</t>
        </r>
      </text>
    </comment>
    <comment ref="AF264" authorId="1" shapeId="0">
      <text>
        <r>
          <rPr>
            <b/>
            <sz val="9"/>
            <color indexed="81"/>
            <rFont val="Tahoma"/>
            <family val="2"/>
          </rPr>
          <t>Ann Bijnens:</t>
        </r>
        <r>
          <rPr>
            <sz val="9"/>
            <color indexed="81"/>
            <rFont val="Tahoma"/>
            <family val="2"/>
          </rPr>
          <t xml:space="preserve">
fixed charges for service = meter charges</t>
        </r>
      </text>
    </comment>
    <comment ref="AG264" authorId="1" shapeId="0">
      <text>
        <r>
          <rPr>
            <b/>
            <sz val="9"/>
            <color indexed="81"/>
            <rFont val="Tahoma"/>
            <family val="2"/>
          </rPr>
          <t>Ann Bijnens:</t>
        </r>
        <r>
          <rPr>
            <sz val="9"/>
            <color indexed="81"/>
            <rFont val="Tahoma"/>
            <family val="2"/>
          </rPr>
          <t xml:space="preserve">
sanitation surcharges which are a percentage of the water bill</t>
        </r>
      </text>
    </comment>
    <comment ref="C265" authorId="1" shapeId="0">
      <text>
        <r>
          <rPr>
            <b/>
            <sz val="9"/>
            <color indexed="81"/>
            <rFont val="Tahoma"/>
            <family val="2"/>
          </rPr>
          <t>Ann Bijnens:</t>
        </r>
        <r>
          <rPr>
            <sz val="9"/>
            <color indexed="81"/>
            <rFont val="Tahoma"/>
            <family val="2"/>
          </rPr>
          <t xml:space="preserve">
KWSC = Kafubu Water and Sewerage Company</t>
        </r>
      </text>
    </comment>
    <comment ref="AF265" authorId="1" shapeId="0">
      <text>
        <r>
          <rPr>
            <b/>
            <sz val="9"/>
            <color indexed="81"/>
            <rFont val="Tahoma"/>
            <family val="2"/>
          </rPr>
          <t>Ann Bijnens:</t>
        </r>
        <r>
          <rPr>
            <sz val="9"/>
            <color indexed="81"/>
            <rFont val="Tahoma"/>
            <family val="2"/>
          </rPr>
          <t xml:space="preserve">
fixed charges for service = meter charges</t>
        </r>
      </text>
    </comment>
    <comment ref="AG265" authorId="1" shapeId="0">
      <text>
        <r>
          <rPr>
            <b/>
            <sz val="9"/>
            <color indexed="81"/>
            <rFont val="Tahoma"/>
            <family val="2"/>
          </rPr>
          <t>Ann Bijnens:</t>
        </r>
        <r>
          <rPr>
            <sz val="9"/>
            <color indexed="81"/>
            <rFont val="Tahoma"/>
            <family val="2"/>
          </rPr>
          <t xml:space="preserve">
sanitation surcharges which are a percentage of the water bill</t>
        </r>
      </text>
    </comment>
    <comment ref="C266" authorId="1" shapeId="0">
      <text>
        <r>
          <rPr>
            <b/>
            <sz val="9"/>
            <color indexed="81"/>
            <rFont val="Tahoma"/>
            <family val="2"/>
          </rPr>
          <t>Ann Bijnens:</t>
        </r>
        <r>
          <rPr>
            <sz val="9"/>
            <color indexed="81"/>
            <rFont val="Tahoma"/>
            <family val="2"/>
          </rPr>
          <t xml:space="preserve">
MWSC = Mulonga Water and Sewerage Company</t>
        </r>
      </text>
    </comment>
    <comment ref="AF266" authorId="1" shapeId="0">
      <text>
        <r>
          <rPr>
            <b/>
            <sz val="9"/>
            <color indexed="81"/>
            <rFont val="Tahoma"/>
            <family val="2"/>
          </rPr>
          <t>Ann Bijnens:</t>
        </r>
        <r>
          <rPr>
            <sz val="9"/>
            <color indexed="81"/>
            <rFont val="Tahoma"/>
            <family val="2"/>
          </rPr>
          <t xml:space="preserve">
fixed charges for service = meter charges</t>
        </r>
      </text>
    </comment>
    <comment ref="AG266" authorId="1" shapeId="0">
      <text>
        <r>
          <rPr>
            <b/>
            <sz val="9"/>
            <color indexed="81"/>
            <rFont val="Tahoma"/>
            <family val="2"/>
          </rPr>
          <t>Ann Bijnens:</t>
        </r>
        <r>
          <rPr>
            <sz val="9"/>
            <color indexed="81"/>
            <rFont val="Tahoma"/>
            <family val="2"/>
          </rPr>
          <t xml:space="preserve">
sanitation surcharges which are a percentage of the water bill</t>
        </r>
      </text>
    </comment>
    <comment ref="C267" authorId="1" shapeId="0">
      <text>
        <r>
          <rPr>
            <b/>
            <sz val="9"/>
            <color indexed="81"/>
            <rFont val="Tahoma"/>
            <family val="2"/>
          </rPr>
          <t>Ann Bijnens:</t>
        </r>
        <r>
          <rPr>
            <sz val="9"/>
            <color indexed="81"/>
            <rFont val="Tahoma"/>
            <family val="2"/>
          </rPr>
          <t xml:space="preserve">
NWWSSC = North Western Water Supply and Sewerage Company</t>
        </r>
      </text>
    </comment>
    <comment ref="AF267" authorId="1" shapeId="0">
      <text>
        <r>
          <rPr>
            <b/>
            <sz val="9"/>
            <color indexed="81"/>
            <rFont val="Tahoma"/>
            <family val="2"/>
          </rPr>
          <t>Ann Bijnens:</t>
        </r>
        <r>
          <rPr>
            <sz val="9"/>
            <color indexed="81"/>
            <rFont val="Tahoma"/>
            <family val="2"/>
          </rPr>
          <t xml:space="preserve">
fixed charges for service = meter charges</t>
        </r>
      </text>
    </comment>
    <comment ref="C286" authorId="0" shapeId="0">
      <text>
        <r>
          <rPr>
            <b/>
            <sz val="9"/>
            <color indexed="81"/>
            <rFont val="Tahoma"/>
            <family val="2"/>
          </rPr>
          <t>bijnensa:</t>
        </r>
        <r>
          <rPr>
            <sz val="9"/>
            <color indexed="81"/>
            <rFont val="Tahoma"/>
            <family val="2"/>
          </rPr>
          <t xml:space="preserve">
SNIS - National System of Information on Water and Sanitation - Reference Year 2014</t>
        </r>
      </text>
    </comment>
    <comment ref="C287" authorId="0" shapeId="0">
      <text>
        <r>
          <rPr>
            <b/>
            <sz val="9"/>
            <color indexed="81"/>
            <rFont val="Tahoma"/>
            <family val="2"/>
          </rPr>
          <t>bijnensa:</t>
        </r>
        <r>
          <rPr>
            <sz val="9"/>
            <color indexed="81"/>
            <rFont val="Tahoma"/>
            <family val="2"/>
          </rPr>
          <t xml:space="preserve">
SABESP: Water Utility of São Paulo State with Full Concession of Water and Sanitation in 364 Municipalities of São Paulo State, deserving around 27 million people. The average tarig ranges from RS 114/100 m3(Turiúba/SP) to R4 359/100 m3 ( Barueri/SP)</t>
        </r>
      </text>
    </comment>
    <comment ref="C288" authorId="0" shapeId="0">
      <text>
        <r>
          <rPr>
            <b/>
            <sz val="9"/>
            <color indexed="81"/>
            <rFont val="Tahoma"/>
            <family val="2"/>
          </rPr>
          <t>bijnensa:</t>
        </r>
        <r>
          <rPr>
            <sz val="9"/>
            <color indexed="81"/>
            <rFont val="Tahoma"/>
            <family val="2"/>
          </rPr>
          <t xml:space="preserve">
Brasília -the Federal District - is desserved in water and sanitation by CAESB - the local Water Utility. With the highest income per capita in the country, Brasília is not very representative of the Brazilian Average</t>
        </r>
      </text>
    </comment>
    <comment ref="D348" authorId="0" shapeId="0">
      <text>
        <r>
          <rPr>
            <b/>
            <sz val="9"/>
            <color indexed="81"/>
            <rFont val="Tahoma"/>
            <family val="2"/>
          </rPr>
          <t>bijnensa:</t>
        </r>
        <r>
          <rPr>
            <sz val="9"/>
            <color indexed="81"/>
            <rFont val="Tahoma"/>
            <family val="2"/>
          </rPr>
          <t xml:space="preserve">
laatst gekende GDP van jaar 2013</t>
        </r>
      </text>
    </comment>
    <comment ref="A349" authorId="1" shapeId="0">
      <text>
        <r>
          <rPr>
            <b/>
            <sz val="9"/>
            <color indexed="81"/>
            <rFont val="Tahoma"/>
            <family val="2"/>
          </rPr>
          <t xml:space="preserve">Ann Bijnens:
</t>
        </r>
        <r>
          <rPr>
            <sz val="9"/>
            <color indexed="81"/>
            <rFont val="Tahoma"/>
            <family val="2"/>
          </rPr>
          <t>There are no regional differences in water rates</t>
        </r>
      </text>
    </comment>
    <comment ref="F349" authorId="1" shapeId="0">
      <text>
        <r>
          <rPr>
            <b/>
            <sz val="9"/>
            <color indexed="81"/>
            <rFont val="Tahoma"/>
            <family val="2"/>
          </rPr>
          <t>Ann Bijnens:</t>
        </r>
        <r>
          <rPr>
            <sz val="9"/>
            <color indexed="81"/>
            <rFont val="Tahoma"/>
            <family val="2"/>
          </rPr>
          <t xml:space="preserve">
Increasing block tariff at €1.3965/m3 up to 33m3/person/annum and €5.1395/m3 above 33m3/person/annum. Assume water consumption spread evenly over the year.</t>
        </r>
      </text>
    </comment>
    <comment ref="G357" authorId="0" shapeId="0">
      <text>
        <r>
          <rPr>
            <b/>
            <sz val="9"/>
            <color indexed="81"/>
            <rFont val="Tahoma"/>
            <family val="2"/>
          </rPr>
          <t>bijnensa:</t>
        </r>
        <r>
          <rPr>
            <sz val="9"/>
            <color indexed="81"/>
            <rFont val="Tahoma"/>
            <family val="2"/>
          </rPr>
          <t xml:space="preserve">
distribution and concession reimbursements ("precario")</t>
        </r>
      </text>
    </comment>
    <comment ref="G358" authorId="0" shapeId="0">
      <text>
        <r>
          <rPr>
            <b/>
            <sz val="9"/>
            <color indexed="81"/>
            <rFont val="Tahoma"/>
            <family val="2"/>
          </rPr>
          <t>bijnensa:</t>
        </r>
        <r>
          <rPr>
            <sz val="9"/>
            <color indexed="81"/>
            <rFont val="Tahoma"/>
            <family val="2"/>
          </rPr>
          <t xml:space="preserve">
distribution and concession reimbursements ("precario")</t>
        </r>
      </text>
    </comment>
    <comment ref="C379" authorId="1" shapeId="0">
      <text>
        <r>
          <rPr>
            <b/>
            <sz val="9"/>
            <color indexed="81"/>
            <rFont val="Tahoma"/>
            <family val="2"/>
          </rPr>
          <t>Ann Bijnens:</t>
        </r>
        <r>
          <rPr>
            <sz val="9"/>
            <color indexed="81"/>
            <rFont val="Tahoma"/>
            <family val="2"/>
          </rPr>
          <t xml:space="preserve">
charges 2015: during summer the population supplied is over 1.000.000 inhabitans due the seaside areas</t>
        </r>
      </text>
    </comment>
    <comment ref="C385" authorId="1" shapeId="0">
      <text>
        <r>
          <rPr>
            <b/>
            <sz val="9"/>
            <color indexed="81"/>
            <rFont val="Tahoma"/>
            <family val="2"/>
          </rPr>
          <t>Ann Bijnens:</t>
        </r>
        <r>
          <rPr>
            <sz val="9"/>
            <color indexed="81"/>
            <rFont val="Tahoma"/>
            <family val="2"/>
          </rPr>
          <t xml:space="preserve">
charges 2015: population data are calculated based on clients declaration. All citizen have acces to water supply and sewerage services</t>
        </r>
      </text>
    </comment>
    <comment ref="A402" authorId="1" shapeId="0">
      <text>
        <r>
          <rPr>
            <b/>
            <sz val="9"/>
            <color indexed="81"/>
            <rFont val="Tahoma"/>
            <family val="2"/>
          </rPr>
          <t>Ann Bijnens:</t>
        </r>
        <r>
          <rPr>
            <sz val="9"/>
            <color indexed="81"/>
            <rFont val="Tahoma"/>
            <family val="2"/>
          </rPr>
          <t xml:space="preserve">
In general, water tariffs in Spain have fixed rates and increasing block depending on how much water is consumed. Nevertheless, in some part of the water cycle (for example sewer system) and depending on the city the price is set via a flat rate or uniform rate.</t>
        </r>
      </text>
    </comment>
    <comment ref="A412" authorId="1" shapeId="0">
      <text>
        <r>
          <rPr>
            <b/>
            <sz val="9"/>
            <color indexed="81"/>
            <rFont val="Tahoma"/>
            <family val="2"/>
          </rPr>
          <t>Ann Bijnens:</t>
        </r>
        <r>
          <rPr>
            <sz val="9"/>
            <color indexed="81"/>
            <rFont val="Tahoma"/>
            <family val="2"/>
          </rPr>
          <t xml:space="preserve">
data of 2014: bill for consumption depends on customer type. Here we use type 1 residence.</t>
        </r>
      </text>
    </comment>
    <comment ref="A413" authorId="1" shapeId="0">
      <text>
        <r>
          <rPr>
            <b/>
            <sz val="9"/>
            <color indexed="81"/>
            <rFont val="Tahoma"/>
            <family val="2"/>
          </rPr>
          <t>Ann Bijnens:</t>
        </r>
        <r>
          <rPr>
            <sz val="9"/>
            <color indexed="81"/>
            <rFont val="Tahoma"/>
            <family val="2"/>
          </rPr>
          <t xml:space="preserve">
The Corporation applies a uniform tariff across all consumer categories in all its areas of operation. The Domestic rate/tariff is uniform in all the Corporation's operational areas.
Fixed charge is the same across all the operational areas.
</t>
        </r>
      </text>
    </comment>
    <comment ref="A429" authorId="1" shapeId="0">
      <text>
        <r>
          <rPr>
            <b/>
            <sz val="9"/>
            <color indexed="81"/>
            <rFont val="Tahoma"/>
            <family val="2"/>
          </rPr>
          <t>Ann Bijnens:</t>
        </r>
        <r>
          <rPr>
            <sz val="9"/>
            <color indexed="81"/>
            <rFont val="Tahoma"/>
            <family val="2"/>
          </rPr>
          <t xml:space="preserve">
- FIXED CHARGES FOR DOMESTIC CUSTOMERS.
- SEWERAGE CHARGE FOR DOMESTIC CUSTOMERS IS 20%OF WATER BILL FOR; MWSC, NWSC, &amp; 30% for LWSC&amp;KWSC 40% NWWSC &amp; KWSC .
- Other charges: SANITATION SURCHARGE AT 2.5% OF WATER BILL, EXCEPT FOR NKANA WSC (NWSC) AT 3%.</t>
        </r>
      </text>
    </comment>
    <comment ref="C429" authorId="1" shapeId="0">
      <text>
        <r>
          <rPr>
            <b/>
            <sz val="9"/>
            <color indexed="81"/>
            <rFont val="Tahoma"/>
            <family val="2"/>
          </rPr>
          <t>Ann Bijnens:</t>
        </r>
        <r>
          <rPr>
            <sz val="9"/>
            <color indexed="81"/>
            <rFont val="Tahoma"/>
            <family val="2"/>
          </rPr>
          <t xml:space="preserve">
LWSC = Lusaka Water &amp; Sewerage Company</t>
        </r>
      </text>
    </comment>
    <comment ref="Q429" authorId="1" shapeId="0">
      <text>
        <r>
          <rPr>
            <b/>
            <sz val="9"/>
            <color indexed="81"/>
            <rFont val="Tahoma"/>
            <family val="2"/>
          </rPr>
          <t>Ann Bijnens:</t>
        </r>
        <r>
          <rPr>
            <sz val="9"/>
            <color indexed="81"/>
            <rFont val="Tahoma"/>
            <family val="2"/>
          </rPr>
          <t xml:space="preserve">
fixed charges for service = meter charges</t>
        </r>
      </text>
    </comment>
    <comment ref="R429" authorId="1" shapeId="0">
      <text>
        <r>
          <rPr>
            <b/>
            <sz val="9"/>
            <color indexed="81"/>
            <rFont val="Tahoma"/>
            <family val="2"/>
          </rPr>
          <t>Ann Bijnens:</t>
        </r>
        <r>
          <rPr>
            <sz val="9"/>
            <color indexed="81"/>
            <rFont val="Tahoma"/>
            <family val="2"/>
          </rPr>
          <t xml:space="preserve">
sanitation surcharges which are a percentage of the water bill</t>
        </r>
      </text>
    </comment>
    <comment ref="C430" authorId="1" shapeId="0">
      <text>
        <r>
          <rPr>
            <b/>
            <sz val="9"/>
            <color indexed="81"/>
            <rFont val="Tahoma"/>
            <family val="2"/>
          </rPr>
          <t>Ann Bijnens:</t>
        </r>
        <r>
          <rPr>
            <sz val="9"/>
            <color indexed="81"/>
            <rFont val="Tahoma"/>
            <family val="2"/>
          </rPr>
          <t xml:space="preserve">
NWSC = National Water and Sewerage Corporation</t>
        </r>
      </text>
    </comment>
    <comment ref="Q430" authorId="1" shapeId="0">
      <text>
        <r>
          <rPr>
            <b/>
            <sz val="9"/>
            <color indexed="81"/>
            <rFont val="Tahoma"/>
            <family val="2"/>
          </rPr>
          <t>Ann Bijnens:</t>
        </r>
        <r>
          <rPr>
            <sz val="9"/>
            <color indexed="81"/>
            <rFont val="Tahoma"/>
            <family val="2"/>
          </rPr>
          <t xml:space="preserve">
fixed charges for service = meter charges</t>
        </r>
      </text>
    </comment>
    <comment ref="R430" authorId="1" shapeId="0">
      <text>
        <r>
          <rPr>
            <b/>
            <sz val="9"/>
            <color indexed="81"/>
            <rFont val="Tahoma"/>
            <family val="2"/>
          </rPr>
          <t>Ann Bijnens:</t>
        </r>
        <r>
          <rPr>
            <sz val="9"/>
            <color indexed="81"/>
            <rFont val="Tahoma"/>
            <family val="2"/>
          </rPr>
          <t xml:space="preserve">
sanitation surcharges which are a percentage of the water bill</t>
        </r>
      </text>
    </comment>
    <comment ref="C431" authorId="1" shapeId="0">
      <text>
        <r>
          <rPr>
            <b/>
            <sz val="9"/>
            <color indexed="81"/>
            <rFont val="Tahoma"/>
            <family val="2"/>
          </rPr>
          <t>Ann Bijnens:</t>
        </r>
        <r>
          <rPr>
            <sz val="9"/>
            <color indexed="81"/>
            <rFont val="Tahoma"/>
            <family val="2"/>
          </rPr>
          <t xml:space="preserve">
KWSC = Kafubu Water and Sewerage Company</t>
        </r>
      </text>
    </comment>
    <comment ref="Q431" authorId="1" shapeId="0">
      <text>
        <r>
          <rPr>
            <b/>
            <sz val="9"/>
            <color indexed="81"/>
            <rFont val="Tahoma"/>
            <family val="2"/>
          </rPr>
          <t>Ann Bijnens:</t>
        </r>
        <r>
          <rPr>
            <sz val="9"/>
            <color indexed="81"/>
            <rFont val="Tahoma"/>
            <family val="2"/>
          </rPr>
          <t xml:space="preserve">
fixed charges for service = meter charges</t>
        </r>
      </text>
    </comment>
    <comment ref="R431" authorId="1" shapeId="0">
      <text>
        <r>
          <rPr>
            <b/>
            <sz val="9"/>
            <color indexed="81"/>
            <rFont val="Tahoma"/>
            <family val="2"/>
          </rPr>
          <t>Ann Bijnens:</t>
        </r>
        <r>
          <rPr>
            <sz val="9"/>
            <color indexed="81"/>
            <rFont val="Tahoma"/>
            <family val="2"/>
          </rPr>
          <t xml:space="preserve">
sanitation surcharges which are a percentage of the water bill</t>
        </r>
      </text>
    </comment>
    <comment ref="C432" authorId="1" shapeId="0">
      <text>
        <r>
          <rPr>
            <b/>
            <sz val="9"/>
            <color indexed="81"/>
            <rFont val="Tahoma"/>
            <family val="2"/>
          </rPr>
          <t>Ann Bijnens:</t>
        </r>
        <r>
          <rPr>
            <sz val="9"/>
            <color indexed="81"/>
            <rFont val="Tahoma"/>
            <family val="2"/>
          </rPr>
          <t xml:space="preserve">
MWSC = Mulonga Water and Sewerage Company</t>
        </r>
      </text>
    </comment>
    <comment ref="Q432" authorId="1" shapeId="0">
      <text>
        <r>
          <rPr>
            <b/>
            <sz val="9"/>
            <color indexed="81"/>
            <rFont val="Tahoma"/>
            <family val="2"/>
          </rPr>
          <t>Ann Bijnens:</t>
        </r>
        <r>
          <rPr>
            <sz val="9"/>
            <color indexed="81"/>
            <rFont val="Tahoma"/>
            <family val="2"/>
          </rPr>
          <t xml:space="preserve">
fixed charges for service = meter charges</t>
        </r>
      </text>
    </comment>
    <comment ref="R432" authorId="1" shapeId="0">
      <text>
        <r>
          <rPr>
            <b/>
            <sz val="9"/>
            <color indexed="81"/>
            <rFont val="Tahoma"/>
            <family val="2"/>
          </rPr>
          <t>Ann Bijnens:</t>
        </r>
        <r>
          <rPr>
            <sz val="9"/>
            <color indexed="81"/>
            <rFont val="Tahoma"/>
            <family val="2"/>
          </rPr>
          <t xml:space="preserve">
sanitation surcharges which are a percentage of the water bill</t>
        </r>
      </text>
    </comment>
    <comment ref="C433" authorId="1" shapeId="0">
      <text>
        <r>
          <rPr>
            <b/>
            <sz val="9"/>
            <color indexed="81"/>
            <rFont val="Tahoma"/>
            <family val="2"/>
          </rPr>
          <t>Ann Bijnens:</t>
        </r>
        <r>
          <rPr>
            <sz val="9"/>
            <color indexed="81"/>
            <rFont val="Tahoma"/>
            <family val="2"/>
          </rPr>
          <t xml:space="preserve">
NWWSSC = North Western Water Supply and Sewerage Company</t>
        </r>
      </text>
    </comment>
    <comment ref="Q433" authorId="1" shapeId="0">
      <text>
        <r>
          <rPr>
            <b/>
            <sz val="9"/>
            <color indexed="81"/>
            <rFont val="Tahoma"/>
            <family val="2"/>
          </rPr>
          <t>Ann Bijnens:</t>
        </r>
        <r>
          <rPr>
            <sz val="9"/>
            <color indexed="81"/>
            <rFont val="Tahoma"/>
            <family val="2"/>
          </rPr>
          <t xml:space="preserve">
fixed charges for service = meter charges</t>
        </r>
      </text>
    </comment>
    <comment ref="A442" authorId="1" shapeId="0">
      <text>
        <r>
          <rPr>
            <b/>
            <sz val="9"/>
            <color indexed="81"/>
            <rFont val="Tahoma"/>
            <family val="2"/>
          </rPr>
          <t>Ann Bijnens:</t>
        </r>
        <r>
          <rPr>
            <sz val="9"/>
            <color indexed="81"/>
            <rFont val="Tahoma"/>
            <family val="2"/>
          </rPr>
          <t xml:space="preserve">
MWSC = Mulonga Water and Sewerage Company</t>
        </r>
      </text>
    </comment>
    <comment ref="A447" authorId="1" shapeId="0">
      <text>
        <r>
          <rPr>
            <b/>
            <sz val="9"/>
            <color indexed="81"/>
            <rFont val="Tahoma"/>
            <family val="2"/>
          </rPr>
          <t>Ann Bijnens:</t>
        </r>
        <r>
          <rPr>
            <sz val="9"/>
            <color indexed="81"/>
            <rFont val="Tahoma"/>
            <family val="2"/>
          </rPr>
          <t xml:space="preserve">
KWSC = Kafubu Water and Sewerage Company</t>
        </r>
      </text>
    </comment>
    <comment ref="A448" authorId="1" shapeId="0">
      <text>
        <r>
          <rPr>
            <b/>
            <sz val="9"/>
            <color indexed="81"/>
            <rFont val="Tahoma"/>
            <family val="2"/>
          </rPr>
          <t>Ann Bijnens:</t>
        </r>
        <r>
          <rPr>
            <sz val="9"/>
            <color indexed="81"/>
            <rFont val="Tahoma"/>
            <family val="2"/>
          </rPr>
          <t xml:space="preserve">
LWSC = Lusaka Water &amp; Sewerage Company</t>
        </r>
      </text>
    </comment>
    <comment ref="A449" authorId="0" shapeId="0">
      <text>
        <r>
          <rPr>
            <b/>
            <sz val="9"/>
            <color indexed="81"/>
            <rFont val="Tahoma"/>
            <family val="2"/>
          </rPr>
          <t>bijnensa:</t>
        </r>
        <r>
          <rPr>
            <sz val="9"/>
            <color indexed="81"/>
            <rFont val="Tahoma"/>
            <family val="2"/>
          </rPr>
          <t xml:space="preserve">
SABESP: Water Utility of São Paulo State with Full Concession of Water and Sanitation in 364 Municipalities of São Paulo State, deserving around 27 million people. The average tarig ranges from RS 114/100 m3(Turiúba/SP) to R4 359/100 m3 ( Barueri/SP)</t>
        </r>
      </text>
    </comment>
    <comment ref="A450" authorId="0" shapeId="0">
      <text>
        <r>
          <rPr>
            <b/>
            <sz val="9"/>
            <color indexed="81"/>
            <rFont val="Tahoma"/>
            <family val="2"/>
          </rPr>
          <t>bijnensa:</t>
        </r>
        <r>
          <rPr>
            <sz val="9"/>
            <color indexed="81"/>
            <rFont val="Tahoma"/>
            <family val="2"/>
          </rPr>
          <t xml:space="preserve">
SNIS - National System of Information on Water and Sanitation - Reference Year 2014</t>
        </r>
      </text>
    </comment>
    <comment ref="A459" authorId="1" shapeId="0">
      <text>
        <r>
          <rPr>
            <b/>
            <sz val="9"/>
            <color indexed="81"/>
            <rFont val="Tahoma"/>
            <family val="2"/>
          </rPr>
          <t>Ann Bijnens:</t>
        </r>
        <r>
          <rPr>
            <sz val="9"/>
            <color indexed="81"/>
            <rFont val="Tahoma"/>
            <family val="2"/>
          </rPr>
          <t xml:space="preserve">
NWWSSC = North Western Water Supply and Sewerage Company</t>
        </r>
      </text>
    </comment>
    <comment ref="A467" authorId="0" shapeId="0">
      <text>
        <r>
          <rPr>
            <b/>
            <sz val="9"/>
            <color indexed="81"/>
            <rFont val="Tahoma"/>
            <family val="2"/>
          </rPr>
          <t>bijnensa:</t>
        </r>
        <r>
          <rPr>
            <sz val="9"/>
            <color indexed="81"/>
            <rFont val="Tahoma"/>
            <family val="2"/>
          </rPr>
          <t xml:space="preserve">
Brasília -the Federal District - is desserved in water and sanitation by CAESB - the local Water Utility. With the highest income per capita in the country, Brasília is not very representative of the Brazilian Average</t>
        </r>
      </text>
    </comment>
    <comment ref="A486" authorId="1" shapeId="0">
      <text>
        <r>
          <rPr>
            <b/>
            <sz val="9"/>
            <color indexed="81"/>
            <rFont val="Tahoma"/>
            <family val="2"/>
          </rPr>
          <t>Ann Bijnens:</t>
        </r>
        <r>
          <rPr>
            <sz val="9"/>
            <color indexed="81"/>
            <rFont val="Tahoma"/>
            <family val="2"/>
          </rPr>
          <t xml:space="preserve">
charges 2015: population data are calculated based on clients declaration. All citizen have acces to water supply and sewerage services</t>
        </r>
      </text>
    </comment>
    <comment ref="A510" authorId="1" shapeId="0">
      <text>
        <r>
          <rPr>
            <b/>
            <sz val="9"/>
            <color indexed="81"/>
            <rFont val="Tahoma"/>
            <family val="2"/>
          </rPr>
          <t>Ann Bijnens:</t>
        </r>
        <r>
          <rPr>
            <sz val="9"/>
            <color indexed="81"/>
            <rFont val="Tahoma"/>
            <family val="2"/>
          </rPr>
          <t xml:space="preserve">
charges 2015: during summer the population supplied is over 1.000.000 inhabitans due the seaside areas</t>
        </r>
      </text>
    </comment>
    <comment ref="D551" authorId="1" shapeId="0">
      <text>
        <r>
          <rPr>
            <b/>
            <sz val="9"/>
            <color indexed="81"/>
            <rFont val="Tahoma"/>
            <family val="2"/>
          </rPr>
          <t>Ann Bijnens:</t>
        </r>
        <r>
          <rPr>
            <sz val="9"/>
            <color indexed="81"/>
            <rFont val="Tahoma"/>
            <family val="2"/>
          </rPr>
          <t xml:space="preserve">
Increasing block tariff at €1.3965/m3 up to 33m3/person/annum and €5.1395/m3 above 33m3/person/annum. Assume water consumption spread evenly over the year.</t>
        </r>
      </text>
    </comment>
    <comment ref="E563" authorId="0" shapeId="0">
      <text>
        <r>
          <rPr>
            <b/>
            <sz val="9"/>
            <color indexed="81"/>
            <rFont val="Tahoma"/>
            <family val="2"/>
          </rPr>
          <t>bijnensa:</t>
        </r>
        <r>
          <rPr>
            <sz val="9"/>
            <color indexed="81"/>
            <rFont val="Tahoma"/>
            <family val="2"/>
          </rPr>
          <t xml:space="preserve">
distribution and concession reimbursements ("precario")</t>
        </r>
      </text>
    </comment>
    <comment ref="E576" authorId="0" shapeId="0">
      <text>
        <r>
          <rPr>
            <b/>
            <sz val="9"/>
            <color indexed="81"/>
            <rFont val="Tahoma"/>
            <family val="2"/>
          </rPr>
          <t>bijnensa:</t>
        </r>
        <r>
          <rPr>
            <sz val="9"/>
            <color indexed="81"/>
            <rFont val="Tahoma"/>
            <family val="2"/>
          </rPr>
          <t xml:space="preserve">
distribution and concession reimbursements ("precario")</t>
        </r>
      </text>
    </comment>
  </commentList>
</comments>
</file>

<file path=xl/comments8.xml><?xml version="1.0" encoding="utf-8"?>
<comments xmlns="http://schemas.openxmlformats.org/spreadsheetml/2006/main">
  <authors>
    <author>Ann Bijnens</author>
    <author>bijnensa</author>
  </authors>
  <commentList>
    <comment ref="J7" authorId="0" shapeId="0">
      <text>
        <r>
          <rPr>
            <b/>
            <sz val="9"/>
            <color indexed="81"/>
            <rFont val="Tahoma"/>
            <family val="2"/>
          </rPr>
          <t>Ann Bijnens:</t>
        </r>
        <r>
          <rPr>
            <sz val="9"/>
            <color indexed="81"/>
            <rFont val="Tahoma"/>
            <family val="2"/>
          </rPr>
          <t xml:space="preserve">
21% for 2017</t>
        </r>
      </text>
    </comment>
    <comment ref="M7" authorId="0" shapeId="0">
      <text>
        <r>
          <rPr>
            <b/>
            <sz val="9"/>
            <color indexed="81"/>
            <rFont val="Tahoma"/>
            <family val="2"/>
          </rPr>
          <t>Ann Bijnens:</t>
        </r>
        <r>
          <rPr>
            <sz val="9"/>
            <color indexed="81"/>
            <rFont val="Tahoma"/>
            <family val="2"/>
          </rPr>
          <t xml:space="preserve">
21% for 2017</t>
        </r>
      </text>
    </comment>
    <comment ref="O7" authorId="0" shapeId="0">
      <text>
        <r>
          <rPr>
            <b/>
            <sz val="9"/>
            <color indexed="81"/>
            <rFont val="Tahoma"/>
            <family val="2"/>
          </rPr>
          <t>Ann Bijnens:</t>
        </r>
        <r>
          <rPr>
            <sz val="9"/>
            <color indexed="81"/>
            <rFont val="Tahoma"/>
            <family val="2"/>
          </rPr>
          <t xml:space="preserve">
21% for 2017</t>
        </r>
      </text>
    </comment>
    <comment ref="Q7" authorId="0" shapeId="0">
      <text>
        <r>
          <rPr>
            <b/>
            <sz val="9"/>
            <color indexed="81"/>
            <rFont val="Tahoma"/>
            <family val="2"/>
          </rPr>
          <t>Ann Bijnens:</t>
        </r>
        <r>
          <rPr>
            <sz val="9"/>
            <color indexed="81"/>
            <rFont val="Tahoma"/>
            <family val="2"/>
          </rPr>
          <t xml:space="preserve">
21% for 2017</t>
        </r>
      </text>
    </comment>
    <comment ref="B14" authorId="0" shapeId="0">
      <text>
        <r>
          <rPr>
            <b/>
            <sz val="9"/>
            <color indexed="81"/>
            <rFont val="Tahoma"/>
            <family val="2"/>
          </rPr>
          <t>Ann Bijnens:</t>
        </r>
        <r>
          <rPr>
            <sz val="9"/>
            <color indexed="81"/>
            <rFont val="Tahoma"/>
            <family val="2"/>
          </rPr>
          <t xml:space="preserve">
charges 2017: charges for wastewater treatment are included in sewerage taxes.
Bill is not depending on the volume of consumption.</t>
        </r>
      </text>
    </comment>
    <comment ref="H16" authorId="1" shapeId="0">
      <text>
        <r>
          <rPr>
            <b/>
            <sz val="9"/>
            <color indexed="81"/>
            <rFont val="Tahoma"/>
            <family val="2"/>
          </rPr>
          <t>bijnensa:</t>
        </r>
        <r>
          <rPr>
            <sz val="9"/>
            <color indexed="81"/>
            <rFont val="Tahoma"/>
            <family val="2"/>
          </rPr>
          <t xml:space="preserve">
assumes the customers water consumption is equally distributed in each quarter</t>
        </r>
      </text>
    </comment>
    <comment ref="I16" authorId="1" shapeId="0">
      <text>
        <r>
          <rPr>
            <b/>
            <sz val="9"/>
            <color indexed="81"/>
            <rFont val="Tahoma"/>
            <family val="2"/>
          </rPr>
          <t>bijnensa:</t>
        </r>
        <r>
          <rPr>
            <sz val="9"/>
            <color indexed="81"/>
            <rFont val="Tahoma"/>
            <family val="2"/>
          </rPr>
          <t xml:space="preserve">
River Murray Levy</t>
        </r>
      </text>
    </comment>
    <comment ref="L16" authorId="1" shapeId="0">
      <text>
        <r>
          <rPr>
            <b/>
            <sz val="9"/>
            <color indexed="81"/>
            <rFont val="Tahoma"/>
            <family val="2"/>
          </rPr>
          <t>bijnensa:</t>
        </r>
        <r>
          <rPr>
            <sz val="9"/>
            <color indexed="81"/>
            <rFont val="Tahoma"/>
            <family val="2"/>
          </rPr>
          <t xml:space="preserve">
based on the average valued property</t>
        </r>
      </text>
    </comment>
    <comment ref="A37" authorId="0" shapeId="0">
      <text>
        <r>
          <rPr>
            <b/>
            <sz val="9"/>
            <color indexed="81"/>
            <rFont val="Tahoma"/>
            <family val="2"/>
          </rPr>
          <t>Ann Bijnens:</t>
        </r>
        <r>
          <rPr>
            <sz val="9"/>
            <color indexed="81"/>
            <rFont val="Tahoma"/>
            <family val="2"/>
          </rPr>
          <t xml:space="preserve">
charges of 2015:
Source: SNIS - National System of Information on Water and Sanitation    Reference Year - 2015 - Last Edition published                                                           SABESP - Water Utility of São Paulo State with full concession of Water and Sanitation Services in 368 Municipalities of São Paulo Stae, deserving around 27,9 millioon inhabitants.                                                                                                                                                                                      BRASÍLIA - The Federal District is deserved in water and sanitation by CAESB, the local water utility.  CAESB deserves about 2,59 million inhabitants.</t>
        </r>
      </text>
    </comment>
    <comment ref="A45" authorId="0" shapeId="0">
      <text>
        <r>
          <rPr>
            <b/>
            <sz val="9"/>
            <color indexed="81"/>
            <rFont val="Tahoma"/>
            <family val="2"/>
          </rPr>
          <t>Ann Bijnens:</t>
        </r>
        <r>
          <rPr>
            <sz val="9"/>
            <color indexed="81"/>
            <rFont val="Tahoma"/>
            <family val="2"/>
          </rPr>
          <t xml:space="preserve">
charges of 2017:
Tariffs for 3 services (water supply, sewerage and waste water treatment are billed per m3 consumed. No fix or variable components are applied. VAT is 20%.
Tariffs in Sofia and Burgas are established in 2017, in Pleven and Razgrad in 2016, and in Stara Zagora in 2012</t>
        </r>
      </text>
    </comment>
    <comment ref="A75" authorId="0" shapeId="0">
      <text>
        <r>
          <rPr>
            <b/>
            <sz val="9"/>
            <color indexed="81"/>
            <rFont val="Tahoma"/>
            <family val="2"/>
          </rPr>
          <t>Ann Bijnens:</t>
        </r>
        <r>
          <rPr>
            <sz val="9"/>
            <color indexed="81"/>
            <rFont val="Tahoma"/>
            <family val="2"/>
          </rPr>
          <t xml:space="preserve">
charges 2017:
- variable component includes all other taxes and charges applied in the Czech Republic, for example water abstraction, wastewater discharges, etc
- rate 15% VAT
- WWT includes the charges for sewerage</t>
        </r>
      </text>
    </comment>
    <comment ref="A85" authorId="0" shapeId="0">
      <text>
        <r>
          <rPr>
            <b/>
            <sz val="9"/>
            <color indexed="81"/>
            <rFont val="Tahoma"/>
            <family val="2"/>
          </rPr>
          <t>Ann Bijnens:</t>
        </r>
        <r>
          <rPr>
            <sz val="9"/>
            <color indexed="81"/>
            <rFont val="Tahoma"/>
            <family val="2"/>
          </rPr>
          <t xml:space="preserve">
charges of 2017:
sewerage charges variable component based on water consumption, includes waste water treatment.
Other charges: service charge or fixed bill component  sewerage including waste water treatment</t>
        </r>
      </text>
    </comment>
    <comment ref="A91" authorId="0" shapeId="0">
      <text>
        <r>
          <rPr>
            <b/>
            <sz val="9"/>
            <color indexed="81"/>
            <rFont val="Tahoma"/>
            <family val="2"/>
          </rPr>
          <t>Ann Bijnens:</t>
        </r>
        <r>
          <rPr>
            <sz val="9"/>
            <color indexed="81"/>
            <rFont val="Tahoma"/>
            <family val="2"/>
          </rPr>
          <t xml:space="preserve">
data of 2015/2017? Other charges = water agency
VAT on drinking water = 5%
VAT on sew&amp;WWT = 10%</t>
        </r>
      </text>
    </comment>
    <comment ref="B97" authorId="0" shapeId="0">
      <text>
        <r>
          <rPr>
            <b/>
            <sz val="9"/>
            <color indexed="81"/>
            <rFont val="Tahoma"/>
            <family val="2"/>
          </rPr>
          <t>Ann Bijnens:</t>
        </r>
        <r>
          <rPr>
            <sz val="9"/>
            <color indexed="81"/>
            <rFont val="Tahoma"/>
            <family val="2"/>
          </rPr>
          <t xml:space="preserve">
data of 2014</t>
        </r>
      </text>
    </comment>
    <comment ref="A141" authorId="0" shapeId="0">
      <text>
        <r>
          <rPr>
            <b/>
            <sz val="9"/>
            <color indexed="81"/>
            <rFont val="Tahoma"/>
            <family val="2"/>
          </rPr>
          <t>Ann Bijnens:</t>
        </r>
        <r>
          <rPr>
            <sz val="9"/>
            <color indexed="81"/>
            <rFont val="Tahoma"/>
            <family val="2"/>
          </rPr>
          <t xml:space="preserve">
In comparison with the data of 2015 the charges for 200 m³ are decreased in 2017.
Due to the domestic consumption has considerably increased in the past few years, therefore, we have also included the domestic customers in the 2017 data.
</t>
        </r>
      </text>
    </comment>
    <comment ref="A143" authorId="0" shapeId="0">
      <text>
        <r>
          <rPr>
            <b/>
            <sz val="9"/>
            <color indexed="81"/>
            <rFont val="Tahoma"/>
            <family val="2"/>
          </rPr>
          <t xml:space="preserve">Ann Bijnens:
</t>
        </r>
        <r>
          <rPr>
            <sz val="9"/>
            <color indexed="81"/>
            <rFont val="Tahoma"/>
            <family val="2"/>
          </rPr>
          <t>There are no regional differences in water rates</t>
        </r>
      </text>
    </comment>
    <comment ref="B143" authorId="0" shapeId="0">
      <text>
        <r>
          <rPr>
            <b/>
            <sz val="9"/>
            <color indexed="81"/>
            <rFont val="Tahoma"/>
            <family val="2"/>
          </rPr>
          <t>Ann Bijnens:</t>
        </r>
        <r>
          <rPr>
            <sz val="9"/>
            <color indexed="81"/>
            <rFont val="Tahoma"/>
            <family val="2"/>
          </rPr>
          <t xml:space="preserve">
for a 3 persons household</t>
        </r>
      </text>
    </comment>
    <comment ref="H143" authorId="0" shapeId="0">
      <text>
        <r>
          <rPr>
            <b/>
            <sz val="9"/>
            <color indexed="81"/>
            <rFont val="Tahoma"/>
            <family val="2"/>
          </rPr>
          <t>Ann Bijnens:</t>
        </r>
        <r>
          <rPr>
            <sz val="9"/>
            <color indexed="81"/>
            <rFont val="Tahoma"/>
            <family val="2"/>
          </rPr>
          <t xml:space="preserve">
Increasing block tariff at €1.3965/m3 up to 33m3/person/annum and €5.1395/m3 above 33m3/person/annum. Assume water consumption spread evenly over the year.</t>
        </r>
      </text>
    </comment>
    <comment ref="N143" authorId="0" shapeId="0">
      <text>
        <r>
          <rPr>
            <b/>
            <sz val="9"/>
            <color indexed="81"/>
            <rFont val="Tahoma"/>
            <family val="2"/>
          </rPr>
          <t>Ann Bijnens:</t>
        </r>
        <r>
          <rPr>
            <sz val="9"/>
            <color indexed="81"/>
            <rFont val="Tahoma"/>
            <family val="2"/>
          </rPr>
          <t xml:space="preserve">
rates incorporate sewerage contribution</t>
        </r>
      </text>
    </comment>
    <comment ref="N157" authorId="0" shapeId="0">
      <text>
        <r>
          <rPr>
            <b/>
            <sz val="9"/>
            <color indexed="81"/>
            <rFont val="Tahoma"/>
            <family val="2"/>
          </rPr>
          <t>Ann Bijnens:</t>
        </r>
        <r>
          <rPr>
            <sz val="9"/>
            <color indexed="81"/>
            <rFont val="Tahoma"/>
            <family val="2"/>
          </rPr>
          <t xml:space="preserve">
charges 2017: 100 m³ of drinking water pertains to a household consiting of 2,2 inhabitants, they receive a bill for 3 pollution units</t>
        </r>
      </text>
    </comment>
    <comment ref="P157" authorId="1" shapeId="0">
      <text>
        <r>
          <rPr>
            <b/>
            <sz val="9"/>
            <color indexed="81"/>
            <rFont val="Tahoma"/>
            <family val="2"/>
          </rPr>
          <t>bijnensa:</t>
        </r>
        <r>
          <rPr>
            <sz val="9"/>
            <color indexed="81"/>
            <rFont val="Tahoma"/>
            <family val="2"/>
          </rPr>
          <t xml:space="preserve">
charges 2017: other charges: tap water tax</t>
        </r>
      </text>
    </comment>
    <comment ref="B158" authorId="0" shapeId="0">
      <text>
        <r>
          <rPr>
            <b/>
            <sz val="9"/>
            <color indexed="81"/>
            <rFont val="Tahoma"/>
            <family val="2"/>
          </rPr>
          <t>Ann Bijnens:</t>
        </r>
        <r>
          <rPr>
            <sz val="9"/>
            <color indexed="81"/>
            <rFont val="Tahoma"/>
            <family val="2"/>
          </rPr>
          <t xml:space="preserve">
charges 2017: Rotterdam is Water Authority HHSK</t>
        </r>
      </text>
    </comment>
    <comment ref="I158" authorId="1" shapeId="0">
      <text>
        <r>
          <rPr>
            <b/>
            <sz val="9"/>
            <color indexed="81"/>
            <rFont val="Tahoma"/>
            <family val="2"/>
          </rPr>
          <t>bijnensa:</t>
        </r>
        <r>
          <rPr>
            <sz val="9"/>
            <color indexed="81"/>
            <rFont val="Tahoma"/>
            <family val="2"/>
          </rPr>
          <t xml:space="preserve">
charges 2017: distribution and concession reimbursements ("precario")</t>
        </r>
      </text>
    </comment>
    <comment ref="N158" authorId="0" shapeId="0">
      <text>
        <r>
          <rPr>
            <b/>
            <sz val="9"/>
            <color indexed="81"/>
            <rFont val="Tahoma"/>
            <family val="2"/>
          </rPr>
          <t>Ann Bijnens:</t>
        </r>
        <r>
          <rPr>
            <sz val="9"/>
            <color indexed="81"/>
            <rFont val="Tahoma"/>
            <family val="2"/>
          </rPr>
          <t xml:space="preserve">
charges 2017: 100 m³ of drinking water pertains to a household consiting of 2,2 inhabitants, they receive a bill for 3 pollution units</t>
        </r>
      </text>
    </comment>
    <comment ref="P158" authorId="1" shapeId="0">
      <text>
        <r>
          <rPr>
            <b/>
            <sz val="9"/>
            <color indexed="81"/>
            <rFont val="Tahoma"/>
            <family val="2"/>
          </rPr>
          <t>bijnensa:</t>
        </r>
        <r>
          <rPr>
            <sz val="9"/>
            <color indexed="81"/>
            <rFont val="Tahoma"/>
            <family val="2"/>
          </rPr>
          <t xml:space="preserve">
other charges: tap water tax</t>
        </r>
      </text>
    </comment>
    <comment ref="I159" authorId="1" shapeId="0">
      <text>
        <r>
          <rPr>
            <b/>
            <sz val="9"/>
            <color indexed="81"/>
            <rFont val="Tahoma"/>
            <family val="2"/>
          </rPr>
          <t>bijnensa:</t>
        </r>
        <r>
          <rPr>
            <sz val="9"/>
            <color indexed="81"/>
            <rFont val="Tahoma"/>
            <family val="2"/>
          </rPr>
          <t xml:space="preserve">
charges 2017: distribution and concession reimbursements ("precario")</t>
        </r>
      </text>
    </comment>
    <comment ref="N159" authorId="0" shapeId="0">
      <text>
        <r>
          <rPr>
            <b/>
            <sz val="9"/>
            <color indexed="81"/>
            <rFont val="Tahoma"/>
            <family val="2"/>
          </rPr>
          <t>Ann Bijnens:</t>
        </r>
        <r>
          <rPr>
            <sz val="9"/>
            <color indexed="81"/>
            <rFont val="Tahoma"/>
            <family val="2"/>
          </rPr>
          <t xml:space="preserve">
charges 2017: 100 m³ of drinking water pertains to a household consiting of 2,2 inhabitants, they receive a bill for 3 pollution units</t>
        </r>
      </text>
    </comment>
    <comment ref="P159" authorId="1" shapeId="0">
      <text>
        <r>
          <rPr>
            <b/>
            <sz val="9"/>
            <color indexed="81"/>
            <rFont val="Tahoma"/>
            <family val="2"/>
          </rPr>
          <t>bijnensa:</t>
        </r>
        <r>
          <rPr>
            <sz val="9"/>
            <color indexed="81"/>
            <rFont val="Tahoma"/>
            <family val="2"/>
          </rPr>
          <t xml:space="preserve">
other charges: tap water tax</t>
        </r>
      </text>
    </comment>
    <comment ref="N160" authorId="0" shapeId="0">
      <text>
        <r>
          <rPr>
            <b/>
            <sz val="9"/>
            <color indexed="81"/>
            <rFont val="Tahoma"/>
            <family val="2"/>
          </rPr>
          <t>Ann Bijnens:</t>
        </r>
        <r>
          <rPr>
            <sz val="9"/>
            <color indexed="81"/>
            <rFont val="Tahoma"/>
            <family val="2"/>
          </rPr>
          <t xml:space="preserve">
charges 2017: 100 m³ of drinking water pertains to a household consiting of 2,2 inhabitants, they receive a bill for 3 pollution units</t>
        </r>
      </text>
    </comment>
    <comment ref="P160" authorId="1" shapeId="0">
      <text>
        <r>
          <rPr>
            <b/>
            <sz val="9"/>
            <color indexed="81"/>
            <rFont val="Tahoma"/>
            <family val="2"/>
          </rPr>
          <t>bijnensa:</t>
        </r>
        <r>
          <rPr>
            <sz val="9"/>
            <color indexed="81"/>
            <rFont val="Tahoma"/>
            <family val="2"/>
          </rPr>
          <t xml:space="preserve">
other charges: tap water tax</t>
        </r>
      </text>
    </comment>
    <comment ref="N161" authorId="0" shapeId="0">
      <text>
        <r>
          <rPr>
            <b/>
            <sz val="9"/>
            <color indexed="81"/>
            <rFont val="Tahoma"/>
            <family val="2"/>
          </rPr>
          <t>Ann Bijnens:</t>
        </r>
        <r>
          <rPr>
            <sz val="9"/>
            <color indexed="81"/>
            <rFont val="Tahoma"/>
            <family val="2"/>
          </rPr>
          <t xml:space="preserve">
charges 2017: 100 m³ of drinking water pertains to a household consiting of 2,2 inhabitants, they receive a bill for 3 pollution units</t>
        </r>
      </text>
    </comment>
    <comment ref="P161" authorId="1" shapeId="0">
      <text>
        <r>
          <rPr>
            <b/>
            <sz val="9"/>
            <color indexed="81"/>
            <rFont val="Tahoma"/>
            <family val="2"/>
          </rPr>
          <t>bijnensa:</t>
        </r>
        <r>
          <rPr>
            <sz val="9"/>
            <color indexed="81"/>
            <rFont val="Tahoma"/>
            <family val="2"/>
          </rPr>
          <t xml:space="preserve">
other charges: tap water tax</t>
        </r>
      </text>
    </comment>
    <comment ref="A227" authorId="0" shapeId="0">
      <text>
        <r>
          <rPr>
            <b/>
            <sz val="9"/>
            <color indexed="81"/>
            <rFont val="Tahoma"/>
            <family val="2"/>
          </rPr>
          <t>Ann Bijnens:</t>
        </r>
        <r>
          <rPr>
            <sz val="9"/>
            <color indexed="81"/>
            <rFont val="Tahoma"/>
            <family val="2"/>
          </rPr>
          <t xml:space="preserve">
data of 2017:
In Scotland all public supply is charged at a fixed rate (unmetered) and collected by local authorities along with council (local property) tax. It is banded according to the value of the property but the levels of charges are the same everywhere. This link gives the table with the banded rates. http://www.scottishwater.co.uk/you-and-your-home/your-charges/2018-19-charges/2018-19-umc If households are in receipt of benefit or a single adult, there is a reduction. There is a separate charge for water and for sewerage though most people and certainly in urban areas have both elements of public supply. 
banded tariffs for water start at £134.66 / pa and rise (8 bands) to £404.82 / pa. Banded charges for wastewater start ar £156.66 / pa and rise to £469.98 / pa. </t>
        </r>
      </text>
    </comment>
    <comment ref="N243" authorId="1" shapeId="0">
      <text>
        <r>
          <rPr>
            <b/>
            <sz val="9"/>
            <color indexed="81"/>
            <rFont val="Tahoma"/>
            <family val="2"/>
          </rPr>
          <t>bijnensa:</t>
        </r>
        <r>
          <rPr>
            <sz val="9"/>
            <color indexed="81"/>
            <rFont val="Tahoma"/>
            <family val="2"/>
          </rPr>
          <t xml:space="preserve">
not separately charged. Inherent to sewerage charge</t>
        </r>
      </text>
    </comment>
    <comment ref="H244" authorId="1" shapeId="0">
      <text>
        <r>
          <rPr>
            <b/>
            <sz val="9"/>
            <color indexed="81"/>
            <rFont val="Tahoma"/>
            <family val="2"/>
          </rPr>
          <t>bijnensa:</t>
        </r>
        <r>
          <rPr>
            <sz val="9"/>
            <color indexed="81"/>
            <rFont val="Tahoma"/>
            <family val="2"/>
          </rPr>
          <t xml:space="preserve">
assumes the customers water consumption is equally distributed in each quarter</t>
        </r>
      </text>
    </comment>
    <comment ref="I244" authorId="1" shapeId="0">
      <text>
        <r>
          <rPr>
            <b/>
            <sz val="9"/>
            <color indexed="81"/>
            <rFont val="Tahoma"/>
            <family val="2"/>
          </rPr>
          <t>bijnensa:</t>
        </r>
        <r>
          <rPr>
            <sz val="9"/>
            <color indexed="81"/>
            <rFont val="Tahoma"/>
            <family val="2"/>
          </rPr>
          <t xml:space="preserve">
River Murray Levy</t>
        </r>
      </text>
    </comment>
    <comment ref="L244" authorId="1" shapeId="0">
      <text>
        <r>
          <rPr>
            <b/>
            <sz val="9"/>
            <color indexed="81"/>
            <rFont val="Tahoma"/>
            <family val="2"/>
          </rPr>
          <t>bijnensa:</t>
        </r>
        <r>
          <rPr>
            <sz val="9"/>
            <color indexed="81"/>
            <rFont val="Tahoma"/>
            <family val="2"/>
          </rPr>
          <t xml:space="preserve">
based on the average valued property</t>
        </r>
      </text>
    </comment>
    <comment ref="A253" authorId="0" shapeId="0">
      <text>
        <r>
          <rPr>
            <b/>
            <sz val="9"/>
            <color indexed="81"/>
            <rFont val="Tahoma"/>
            <family val="2"/>
          </rPr>
          <t>Ann Bijnens:</t>
        </r>
        <r>
          <rPr>
            <sz val="9"/>
            <color indexed="81"/>
            <rFont val="Tahoma"/>
            <family val="2"/>
          </rPr>
          <t xml:space="preserve">
charges of 2017:
The drinking water bill for all cities (Madrid, Barcelona, Bilbao, Sevilla and Valencia) consists of both variable and fixed components. But as we perform our tariff studies in Spain, we do not separate fixed and variable component.  So as a convention, we have decided to include the drinking water bill on variable component.
We also have variable and fixed components in Sewerage and WWT services, but in our tariff studies we do not separate each concept.
VAT in Spain for water services is 10% of the total value for the majority of concepts included on the bill </t>
        </r>
      </text>
    </comment>
    <comment ref="A263" authorId="0" shapeId="0">
      <text>
        <r>
          <rPr>
            <b/>
            <sz val="9"/>
            <color indexed="81"/>
            <rFont val="Tahoma"/>
            <family val="2"/>
          </rPr>
          <t>Ann Bijnens:</t>
        </r>
        <r>
          <rPr>
            <sz val="9"/>
            <color indexed="81"/>
            <rFont val="Tahoma"/>
            <family val="2"/>
          </rPr>
          <t xml:space="preserve">
data of 2017: calculated for a household in a six-flat-apartment</t>
        </r>
      </text>
    </comment>
    <comment ref="J263" authorId="0" shapeId="0">
      <text>
        <r>
          <rPr>
            <b/>
            <sz val="9"/>
            <color indexed="81"/>
            <rFont val="Tahoma"/>
            <family val="2"/>
          </rPr>
          <t>Ann Bijnens:</t>
        </r>
        <r>
          <rPr>
            <sz val="9"/>
            <color indexed="81"/>
            <rFont val="Tahoma"/>
            <family val="2"/>
          </rPr>
          <t xml:space="preserve">
8% VAT on drinking water</t>
        </r>
      </text>
    </comment>
    <comment ref="L263" authorId="0" shapeId="0">
      <text>
        <r>
          <rPr>
            <b/>
            <sz val="9"/>
            <color indexed="81"/>
            <rFont val="Tahoma"/>
            <family val="2"/>
          </rPr>
          <t>Ann Bijnens:</t>
        </r>
        <r>
          <rPr>
            <sz val="9"/>
            <color indexed="81"/>
            <rFont val="Tahoma"/>
            <family val="2"/>
          </rPr>
          <t xml:space="preserve">
including WWT</t>
        </r>
      </text>
    </comment>
    <comment ref="M263" authorId="0" shapeId="0">
      <text>
        <r>
          <rPr>
            <b/>
            <sz val="9"/>
            <color indexed="81"/>
            <rFont val="Tahoma"/>
            <family val="2"/>
          </rPr>
          <t>Ann Bijnens:</t>
        </r>
        <r>
          <rPr>
            <sz val="9"/>
            <color indexed="81"/>
            <rFont val="Tahoma"/>
            <family val="2"/>
          </rPr>
          <t xml:space="preserve">
2,5% VAT on sewerage</t>
        </r>
      </text>
    </comment>
    <comment ref="J264" authorId="0" shapeId="0">
      <text>
        <r>
          <rPr>
            <b/>
            <sz val="9"/>
            <color indexed="81"/>
            <rFont val="Tahoma"/>
            <family val="2"/>
          </rPr>
          <t>Ann Bijnens:</t>
        </r>
        <r>
          <rPr>
            <sz val="9"/>
            <color indexed="81"/>
            <rFont val="Tahoma"/>
            <family val="2"/>
          </rPr>
          <t xml:space="preserve">
8% VAT on drinking water</t>
        </r>
      </text>
    </comment>
    <comment ref="L264" authorId="0" shapeId="0">
      <text>
        <r>
          <rPr>
            <b/>
            <sz val="9"/>
            <color indexed="81"/>
            <rFont val="Tahoma"/>
            <family val="2"/>
          </rPr>
          <t>Ann Bijnens:</t>
        </r>
        <r>
          <rPr>
            <sz val="9"/>
            <color indexed="81"/>
            <rFont val="Tahoma"/>
            <family val="2"/>
          </rPr>
          <t xml:space="preserve">
including WWT</t>
        </r>
      </text>
    </comment>
    <comment ref="M264" authorId="0" shapeId="0">
      <text>
        <r>
          <rPr>
            <b/>
            <sz val="9"/>
            <color indexed="81"/>
            <rFont val="Tahoma"/>
            <family val="2"/>
          </rPr>
          <t>Ann Bijnens:</t>
        </r>
        <r>
          <rPr>
            <sz val="9"/>
            <color indexed="81"/>
            <rFont val="Tahoma"/>
            <family val="2"/>
          </rPr>
          <t xml:space="preserve">
2,5% VAT on sewerage</t>
        </r>
      </text>
    </comment>
    <comment ref="J265" authorId="0" shapeId="0">
      <text>
        <r>
          <rPr>
            <b/>
            <sz val="9"/>
            <color indexed="81"/>
            <rFont val="Tahoma"/>
            <family val="2"/>
          </rPr>
          <t>Ann Bijnens:</t>
        </r>
        <r>
          <rPr>
            <sz val="9"/>
            <color indexed="81"/>
            <rFont val="Tahoma"/>
            <family val="2"/>
          </rPr>
          <t xml:space="preserve">
8% VAT on drinking water</t>
        </r>
      </text>
    </comment>
    <comment ref="L265" authorId="0" shapeId="0">
      <text>
        <r>
          <rPr>
            <b/>
            <sz val="9"/>
            <color indexed="81"/>
            <rFont val="Tahoma"/>
            <family val="2"/>
          </rPr>
          <t>Ann Bijnens:</t>
        </r>
        <r>
          <rPr>
            <sz val="9"/>
            <color indexed="81"/>
            <rFont val="Tahoma"/>
            <family val="2"/>
          </rPr>
          <t xml:space="preserve">
including WWT</t>
        </r>
      </text>
    </comment>
    <comment ref="M265" authorId="0" shapeId="0">
      <text>
        <r>
          <rPr>
            <b/>
            <sz val="9"/>
            <color indexed="81"/>
            <rFont val="Tahoma"/>
            <family val="2"/>
          </rPr>
          <t>Ann Bijnens:</t>
        </r>
        <r>
          <rPr>
            <sz val="9"/>
            <color indexed="81"/>
            <rFont val="Tahoma"/>
            <family val="2"/>
          </rPr>
          <t xml:space="preserve">
2,5% VAT on sewerage</t>
        </r>
      </text>
    </comment>
    <comment ref="J266" authorId="0" shapeId="0">
      <text>
        <r>
          <rPr>
            <b/>
            <sz val="9"/>
            <color indexed="81"/>
            <rFont val="Tahoma"/>
            <family val="2"/>
          </rPr>
          <t>Ann Bijnens:</t>
        </r>
        <r>
          <rPr>
            <sz val="9"/>
            <color indexed="81"/>
            <rFont val="Tahoma"/>
            <family val="2"/>
          </rPr>
          <t xml:space="preserve">
8% VAT on drinking water</t>
        </r>
      </text>
    </comment>
    <comment ref="L266" authorId="0" shapeId="0">
      <text>
        <r>
          <rPr>
            <b/>
            <sz val="9"/>
            <color indexed="81"/>
            <rFont val="Tahoma"/>
            <family val="2"/>
          </rPr>
          <t>Ann Bijnens:</t>
        </r>
        <r>
          <rPr>
            <sz val="9"/>
            <color indexed="81"/>
            <rFont val="Tahoma"/>
            <family val="2"/>
          </rPr>
          <t xml:space="preserve">
including WWT</t>
        </r>
      </text>
    </comment>
    <comment ref="M266" authorId="0" shapeId="0">
      <text>
        <r>
          <rPr>
            <b/>
            <sz val="9"/>
            <color indexed="81"/>
            <rFont val="Tahoma"/>
            <family val="2"/>
          </rPr>
          <t>Ann Bijnens:</t>
        </r>
        <r>
          <rPr>
            <sz val="9"/>
            <color indexed="81"/>
            <rFont val="Tahoma"/>
            <family val="2"/>
          </rPr>
          <t xml:space="preserve">
2,5% VAT on sewerage</t>
        </r>
      </text>
    </comment>
    <comment ref="J267" authorId="0" shapeId="0">
      <text>
        <r>
          <rPr>
            <b/>
            <sz val="9"/>
            <color indexed="81"/>
            <rFont val="Tahoma"/>
            <family val="2"/>
          </rPr>
          <t>Ann Bijnens:</t>
        </r>
        <r>
          <rPr>
            <sz val="9"/>
            <color indexed="81"/>
            <rFont val="Tahoma"/>
            <family val="2"/>
          </rPr>
          <t xml:space="preserve">
8% VAT on drinking water</t>
        </r>
      </text>
    </comment>
    <comment ref="L267" authorId="0" shapeId="0">
      <text>
        <r>
          <rPr>
            <b/>
            <sz val="9"/>
            <color indexed="81"/>
            <rFont val="Tahoma"/>
            <family val="2"/>
          </rPr>
          <t>Ann Bijnens:</t>
        </r>
        <r>
          <rPr>
            <sz val="9"/>
            <color indexed="81"/>
            <rFont val="Tahoma"/>
            <family val="2"/>
          </rPr>
          <t xml:space="preserve">
including WWT</t>
        </r>
      </text>
    </comment>
    <comment ref="M267" authorId="0" shapeId="0">
      <text>
        <r>
          <rPr>
            <b/>
            <sz val="9"/>
            <color indexed="81"/>
            <rFont val="Tahoma"/>
            <family val="2"/>
          </rPr>
          <t>Ann Bijnens:</t>
        </r>
        <r>
          <rPr>
            <sz val="9"/>
            <color indexed="81"/>
            <rFont val="Tahoma"/>
            <family val="2"/>
          </rPr>
          <t xml:space="preserve">
2,5% VAT on sewerage</t>
        </r>
      </text>
    </comment>
    <comment ref="A269" authorId="0" shapeId="0">
      <text>
        <r>
          <rPr>
            <b/>
            <sz val="9"/>
            <color indexed="81"/>
            <rFont val="Tahoma"/>
            <family val="2"/>
          </rPr>
          <t>Ann Bijnens:</t>
        </r>
        <r>
          <rPr>
            <sz val="9"/>
            <color indexed="81"/>
            <rFont val="Tahoma"/>
            <family val="2"/>
          </rPr>
          <t xml:space="preserve">
data of 2014: bill for consumption depends on customer type. Here we use type 1 residence.</t>
        </r>
      </text>
    </comment>
    <comment ref="P271" authorId="0" shapeId="0">
      <text>
        <r>
          <rPr>
            <b/>
            <sz val="9"/>
            <color indexed="81"/>
            <rFont val="Tahoma"/>
            <family val="2"/>
          </rPr>
          <t>Ann Bijnens:</t>
        </r>
        <r>
          <rPr>
            <sz val="9"/>
            <color indexed="81"/>
            <rFont val="Tahoma"/>
            <family val="2"/>
          </rPr>
          <t xml:space="preserve">
charges 2017: environmental cleaning tax</t>
        </r>
      </text>
    </comment>
    <comment ref="I272" authorId="0" shapeId="0">
      <text>
        <r>
          <rPr>
            <b/>
            <sz val="9"/>
            <color indexed="81"/>
            <rFont val="Tahoma"/>
            <family val="2"/>
          </rPr>
          <t>Ann Bijnens:</t>
        </r>
        <r>
          <rPr>
            <sz val="9"/>
            <color indexed="81"/>
            <rFont val="Tahoma"/>
            <family val="2"/>
          </rPr>
          <t xml:space="preserve">
charges 2017: maintenance cost</t>
        </r>
      </text>
    </comment>
    <comment ref="P272" authorId="0" shapeId="0">
      <text>
        <r>
          <rPr>
            <b/>
            <sz val="9"/>
            <color indexed="81"/>
            <rFont val="Tahoma"/>
            <family val="2"/>
          </rPr>
          <t>Ann Bijnens:</t>
        </r>
        <r>
          <rPr>
            <sz val="9"/>
            <color indexed="81"/>
            <rFont val="Tahoma"/>
            <family val="2"/>
          </rPr>
          <t xml:space="preserve">
charges 2017: environmental cleaning tax</t>
        </r>
      </text>
    </comment>
    <comment ref="P273" authorId="0" shapeId="0">
      <text>
        <r>
          <rPr>
            <b/>
            <sz val="9"/>
            <color indexed="81"/>
            <rFont val="Tahoma"/>
            <family val="2"/>
          </rPr>
          <t>Ann Bijnens:</t>
        </r>
        <r>
          <rPr>
            <sz val="9"/>
            <color indexed="81"/>
            <rFont val="Tahoma"/>
            <family val="2"/>
          </rPr>
          <t xml:space="preserve">
charges 2017: environmental cleaning tax</t>
        </r>
      </text>
    </comment>
    <comment ref="A274" authorId="0" shapeId="0">
      <text>
        <r>
          <rPr>
            <b/>
            <sz val="9"/>
            <color indexed="81"/>
            <rFont val="Tahoma"/>
            <family val="2"/>
          </rPr>
          <t>Ann Bijnens:</t>
        </r>
        <r>
          <rPr>
            <sz val="9"/>
            <color indexed="81"/>
            <rFont val="Tahoma"/>
            <family val="2"/>
          </rPr>
          <t xml:space="preserve">
data of 2015: The Corporation applies a uniform tariff across all consumer categories in all its areas of operation. The Domestic rate/tariff is uniform in all the Corporation's operational areas.
Fixed charge is the same across all the operational areas.
</t>
        </r>
      </text>
    </comment>
    <comment ref="N278" authorId="1" shapeId="0">
      <text>
        <r>
          <rPr>
            <b/>
            <sz val="9"/>
            <color indexed="81"/>
            <rFont val="Tahoma"/>
            <family val="2"/>
          </rPr>
          <t>bijnensa:</t>
        </r>
        <r>
          <rPr>
            <sz val="9"/>
            <color indexed="81"/>
            <rFont val="Tahoma"/>
            <family val="2"/>
          </rPr>
          <t xml:space="preserve">
Sewerage charges shown include surface water drainage charges. Households in Birmingham pay for their surface water drainage either through a fixed charge based on property type or a charge based on the rateable value. The figures presented assume a 'zone 4' bill based on a property with a rateable value of £200 as an example.</t>
        </r>
      </text>
    </comment>
    <comment ref="N279" authorId="1" shapeId="0">
      <text>
        <r>
          <rPr>
            <b/>
            <sz val="9"/>
            <color indexed="81"/>
            <rFont val="Tahoma"/>
            <family val="2"/>
          </rPr>
          <t>bijnensa:</t>
        </r>
        <r>
          <rPr>
            <sz val="9"/>
            <color indexed="81"/>
            <rFont val="Tahoma"/>
            <family val="2"/>
          </rPr>
          <t xml:space="preserve">
Sewerage charges shown include surface water drainage charges.</t>
        </r>
      </text>
    </comment>
    <comment ref="N280" authorId="1" shapeId="0">
      <text>
        <r>
          <rPr>
            <b/>
            <sz val="9"/>
            <color indexed="81"/>
            <rFont val="Tahoma"/>
            <family val="2"/>
          </rPr>
          <t>bijnensa:</t>
        </r>
        <r>
          <rPr>
            <sz val="9"/>
            <color indexed="81"/>
            <rFont val="Tahoma"/>
            <family val="2"/>
          </rPr>
          <t xml:space="preserve">
Sewerage charges shown include surface water drainage charges.</t>
        </r>
      </text>
    </comment>
    <comment ref="N281" authorId="1" shapeId="0">
      <text>
        <r>
          <rPr>
            <b/>
            <sz val="9"/>
            <color indexed="81"/>
            <rFont val="Tahoma"/>
            <family val="2"/>
          </rPr>
          <t>bijnensa:</t>
        </r>
        <r>
          <rPr>
            <sz val="9"/>
            <color indexed="81"/>
            <rFont val="Tahoma"/>
            <family val="2"/>
          </rPr>
          <t xml:space="preserve">
Sewerage charges shown include surface water drainage charges.</t>
        </r>
      </text>
    </comment>
    <comment ref="N282" authorId="1" shapeId="0">
      <text>
        <r>
          <rPr>
            <b/>
            <sz val="9"/>
            <color indexed="81"/>
            <rFont val="Tahoma"/>
            <family val="2"/>
          </rPr>
          <t>bijnensa:</t>
        </r>
        <r>
          <rPr>
            <sz val="9"/>
            <color indexed="81"/>
            <rFont val="Tahoma"/>
            <family val="2"/>
          </rPr>
          <t xml:space="preserve">
Sewerage charges shown include surface water drainage charges.</t>
        </r>
      </text>
    </comment>
    <comment ref="A290" authorId="0" shapeId="0">
      <text>
        <r>
          <rPr>
            <b/>
            <sz val="9"/>
            <color indexed="81"/>
            <rFont val="Tahoma"/>
            <family val="2"/>
          </rPr>
          <t>Ann Bijnens:</t>
        </r>
        <r>
          <rPr>
            <sz val="9"/>
            <color indexed="81"/>
            <rFont val="Tahoma"/>
            <family val="2"/>
          </rPr>
          <t xml:space="preserve">
- FIXED CHARGES FOR DOMESTIC CUSTOMERS.
- SEWERAGE CHARGE FOR DOMESTIC CUSTOMERS IS 20%OF WATER BILL FOR; MWSC, NWSC, &amp; 30% for LWSC&amp;KWSC 40% NWWSC &amp; KWSC .
- Other charges: SANITATION SURCHARGE AT 2.5% OF WATER BILL, EXCEPT FOR NKANA WSC (NWSC) AT 3%.</t>
        </r>
      </text>
    </comment>
    <comment ref="B290" authorId="0" shapeId="0">
      <text>
        <r>
          <rPr>
            <b/>
            <sz val="9"/>
            <color indexed="81"/>
            <rFont val="Tahoma"/>
            <family val="2"/>
          </rPr>
          <t>Ann Bijnens:</t>
        </r>
        <r>
          <rPr>
            <sz val="9"/>
            <color indexed="81"/>
            <rFont val="Tahoma"/>
            <family val="2"/>
          </rPr>
          <t xml:space="preserve">
LWSC = Lusaka Water &amp; Sewerage Company</t>
        </r>
      </text>
    </comment>
    <comment ref="AM290" authorId="0" shapeId="0">
      <text>
        <r>
          <rPr>
            <b/>
            <sz val="9"/>
            <color indexed="81"/>
            <rFont val="Tahoma"/>
            <family val="2"/>
          </rPr>
          <t>Ann Bijnens:</t>
        </r>
        <r>
          <rPr>
            <sz val="9"/>
            <color indexed="81"/>
            <rFont val="Tahoma"/>
            <family val="2"/>
          </rPr>
          <t xml:space="preserve">
fixed charges for service = meter charges</t>
        </r>
      </text>
    </comment>
    <comment ref="AN290" authorId="0" shapeId="0">
      <text>
        <r>
          <rPr>
            <b/>
            <sz val="9"/>
            <color indexed="81"/>
            <rFont val="Tahoma"/>
            <family val="2"/>
          </rPr>
          <t>Ann Bijnens:</t>
        </r>
        <r>
          <rPr>
            <sz val="9"/>
            <color indexed="81"/>
            <rFont val="Tahoma"/>
            <family val="2"/>
          </rPr>
          <t xml:space="preserve">
sanitation surcharges which are a percentage of the water bill</t>
        </r>
      </text>
    </comment>
    <comment ref="B291" authorId="0" shapeId="0">
      <text>
        <r>
          <rPr>
            <b/>
            <sz val="9"/>
            <color indexed="81"/>
            <rFont val="Tahoma"/>
            <family val="2"/>
          </rPr>
          <t>Ann Bijnens:</t>
        </r>
        <r>
          <rPr>
            <sz val="9"/>
            <color indexed="81"/>
            <rFont val="Tahoma"/>
            <family val="2"/>
          </rPr>
          <t xml:space="preserve">
KWSC = Kafubu Water and Sewerage Company</t>
        </r>
      </text>
    </comment>
    <comment ref="AM291" authorId="0" shapeId="0">
      <text>
        <r>
          <rPr>
            <b/>
            <sz val="9"/>
            <color indexed="81"/>
            <rFont val="Tahoma"/>
            <family val="2"/>
          </rPr>
          <t>Ann Bijnens:</t>
        </r>
        <r>
          <rPr>
            <sz val="9"/>
            <color indexed="81"/>
            <rFont val="Tahoma"/>
            <family val="2"/>
          </rPr>
          <t xml:space="preserve">
fixed charges for service = meter charges</t>
        </r>
      </text>
    </comment>
    <comment ref="AN291" authorId="0" shapeId="0">
      <text>
        <r>
          <rPr>
            <b/>
            <sz val="9"/>
            <color indexed="81"/>
            <rFont val="Tahoma"/>
            <family val="2"/>
          </rPr>
          <t>Ann Bijnens:</t>
        </r>
        <r>
          <rPr>
            <sz val="9"/>
            <color indexed="81"/>
            <rFont val="Tahoma"/>
            <family val="2"/>
          </rPr>
          <t xml:space="preserve">
sanitation surcharges which are a percentage of the water bill</t>
        </r>
      </text>
    </comment>
    <comment ref="B292" authorId="0" shapeId="0">
      <text>
        <r>
          <rPr>
            <b/>
            <sz val="9"/>
            <color indexed="81"/>
            <rFont val="Tahoma"/>
            <family val="2"/>
          </rPr>
          <t>Ann Bijnens:</t>
        </r>
        <r>
          <rPr>
            <sz val="9"/>
            <color indexed="81"/>
            <rFont val="Tahoma"/>
            <family val="2"/>
          </rPr>
          <t xml:space="preserve">
MWSC = Mulonga Water and Sewerage Company</t>
        </r>
      </text>
    </comment>
    <comment ref="AM292" authorId="0" shapeId="0">
      <text>
        <r>
          <rPr>
            <b/>
            <sz val="9"/>
            <color indexed="81"/>
            <rFont val="Tahoma"/>
            <family val="2"/>
          </rPr>
          <t>Ann Bijnens:</t>
        </r>
        <r>
          <rPr>
            <sz val="9"/>
            <color indexed="81"/>
            <rFont val="Tahoma"/>
            <family val="2"/>
          </rPr>
          <t xml:space="preserve">
fixed charges for service = meter charges</t>
        </r>
      </text>
    </comment>
    <comment ref="AN292" authorId="0" shapeId="0">
      <text>
        <r>
          <rPr>
            <b/>
            <sz val="9"/>
            <color indexed="81"/>
            <rFont val="Tahoma"/>
            <family val="2"/>
          </rPr>
          <t>Ann Bijnens:</t>
        </r>
        <r>
          <rPr>
            <sz val="9"/>
            <color indexed="81"/>
            <rFont val="Tahoma"/>
            <family val="2"/>
          </rPr>
          <t xml:space="preserve">
sanitation surcharges which are a percentage of the water bill</t>
        </r>
      </text>
    </comment>
    <comment ref="B293" authorId="0" shapeId="0">
      <text>
        <r>
          <rPr>
            <b/>
            <sz val="9"/>
            <color indexed="81"/>
            <rFont val="Tahoma"/>
            <family val="2"/>
          </rPr>
          <t>Ann Bijnens:</t>
        </r>
        <r>
          <rPr>
            <sz val="9"/>
            <color indexed="81"/>
            <rFont val="Tahoma"/>
            <family val="2"/>
          </rPr>
          <t xml:space="preserve">
NWWSSC = North Western Water Supply and Sewerage Company</t>
        </r>
      </text>
    </comment>
    <comment ref="AM293" authorId="0" shapeId="0">
      <text>
        <r>
          <rPr>
            <b/>
            <sz val="9"/>
            <color indexed="81"/>
            <rFont val="Tahoma"/>
            <family val="2"/>
          </rPr>
          <t>Ann Bijnens:</t>
        </r>
        <r>
          <rPr>
            <sz val="9"/>
            <color indexed="81"/>
            <rFont val="Tahoma"/>
            <family val="2"/>
          </rPr>
          <t xml:space="preserve">
fixed charges for service = meter charges</t>
        </r>
      </text>
    </comment>
    <comment ref="G298" authorId="0" shapeId="0">
      <text>
        <r>
          <rPr>
            <b/>
            <sz val="9"/>
            <color indexed="81"/>
            <rFont val="Tahoma"/>
            <family val="2"/>
          </rPr>
          <t>Ann Bijnens:</t>
        </r>
        <r>
          <rPr>
            <sz val="9"/>
            <color indexed="81"/>
            <rFont val="Tahoma"/>
            <family val="2"/>
          </rPr>
          <t xml:space="preserve">
21% for 2017</t>
        </r>
      </text>
    </comment>
    <comment ref="J298" authorId="0" shapeId="0">
      <text>
        <r>
          <rPr>
            <b/>
            <sz val="9"/>
            <color indexed="81"/>
            <rFont val="Tahoma"/>
            <family val="2"/>
          </rPr>
          <t>Ann Bijnens:</t>
        </r>
        <r>
          <rPr>
            <sz val="9"/>
            <color indexed="81"/>
            <rFont val="Tahoma"/>
            <family val="2"/>
          </rPr>
          <t xml:space="preserve">
21% for 2017</t>
        </r>
      </text>
    </comment>
    <comment ref="L298" authorId="0" shapeId="0">
      <text>
        <r>
          <rPr>
            <b/>
            <sz val="9"/>
            <color indexed="81"/>
            <rFont val="Tahoma"/>
            <family val="2"/>
          </rPr>
          <t>Ann Bijnens:</t>
        </r>
        <r>
          <rPr>
            <sz val="9"/>
            <color indexed="81"/>
            <rFont val="Tahoma"/>
            <family val="2"/>
          </rPr>
          <t xml:space="preserve">
21% for 2017</t>
        </r>
      </text>
    </comment>
    <comment ref="P298" authorId="0" shapeId="0">
      <text>
        <r>
          <rPr>
            <b/>
            <sz val="9"/>
            <color indexed="81"/>
            <rFont val="Tahoma"/>
            <family val="2"/>
          </rPr>
          <t>Ann Bijnens:</t>
        </r>
        <r>
          <rPr>
            <sz val="9"/>
            <color indexed="81"/>
            <rFont val="Tahoma"/>
            <family val="2"/>
          </rPr>
          <t xml:space="preserve">
21% for 2017</t>
        </r>
      </text>
    </comment>
    <comment ref="A305" authorId="0" shapeId="0">
      <text>
        <r>
          <rPr>
            <b/>
            <sz val="9"/>
            <color indexed="81"/>
            <rFont val="Tahoma"/>
            <family val="2"/>
          </rPr>
          <t>Ann Bijnens:</t>
        </r>
        <r>
          <rPr>
            <sz val="9"/>
            <color indexed="81"/>
            <rFont val="Tahoma"/>
            <family val="2"/>
          </rPr>
          <t xml:space="preserve">
charges 2017: charges for wastewater treatment are included in sewerage taxes.
Bill is not depending on the volume of consumption.</t>
        </r>
      </text>
    </comment>
    <comment ref="A368" authorId="0" shapeId="0">
      <text>
        <r>
          <rPr>
            <b/>
            <sz val="9"/>
            <color indexed="81"/>
            <rFont val="Tahoma"/>
            <family val="2"/>
          </rPr>
          <t>Ann Bijnens:</t>
        </r>
        <r>
          <rPr>
            <sz val="9"/>
            <color indexed="81"/>
            <rFont val="Tahoma"/>
            <family val="2"/>
          </rPr>
          <t xml:space="preserve">
data of 2014</t>
        </r>
      </text>
    </comment>
    <comment ref="A393" authorId="0" shapeId="0">
      <text>
        <r>
          <rPr>
            <b/>
            <sz val="9"/>
            <color indexed="81"/>
            <rFont val="Tahoma"/>
            <family val="2"/>
          </rPr>
          <t>Ann Bijnens:</t>
        </r>
        <r>
          <rPr>
            <sz val="9"/>
            <color indexed="81"/>
            <rFont val="Tahoma"/>
            <family val="2"/>
          </rPr>
          <t xml:space="preserve">
for a 3 persons household</t>
        </r>
      </text>
    </comment>
    <comment ref="E393" authorId="0" shapeId="0">
      <text>
        <r>
          <rPr>
            <b/>
            <sz val="9"/>
            <color indexed="81"/>
            <rFont val="Tahoma"/>
            <family val="2"/>
          </rPr>
          <t>Ann Bijnens:</t>
        </r>
        <r>
          <rPr>
            <sz val="9"/>
            <color indexed="81"/>
            <rFont val="Tahoma"/>
            <family val="2"/>
          </rPr>
          <t xml:space="preserve">
Increasing block tariff at €1.3965/m3 up to 33m3/person/annum and €5.1395/m3 above 33m3/person/annum. Assume water consumption spread evenly over the year.</t>
        </r>
      </text>
    </comment>
    <comment ref="K393" authorId="0" shapeId="0">
      <text>
        <r>
          <rPr>
            <b/>
            <sz val="9"/>
            <color indexed="81"/>
            <rFont val="Tahoma"/>
            <family val="2"/>
          </rPr>
          <t>Ann Bijnens:</t>
        </r>
        <r>
          <rPr>
            <sz val="9"/>
            <color indexed="81"/>
            <rFont val="Tahoma"/>
            <family val="2"/>
          </rPr>
          <t xml:space="preserve">
rates incorporate sewerage contribution</t>
        </r>
      </text>
    </comment>
    <comment ref="K400" authorId="0" shapeId="0">
      <text>
        <r>
          <rPr>
            <b/>
            <sz val="9"/>
            <color indexed="81"/>
            <rFont val="Tahoma"/>
            <family val="2"/>
          </rPr>
          <t>Ann Bijnens:</t>
        </r>
        <r>
          <rPr>
            <sz val="9"/>
            <color indexed="81"/>
            <rFont val="Tahoma"/>
            <family val="2"/>
          </rPr>
          <t xml:space="preserve">
charges 2017: 100 m³ of drinking water pertains to a household consiting of 2,2 inhabitants, they receive a bill for 3 pollution units</t>
        </r>
      </text>
    </comment>
    <comment ref="O400" authorId="1" shapeId="0">
      <text>
        <r>
          <rPr>
            <b/>
            <sz val="9"/>
            <color indexed="81"/>
            <rFont val="Tahoma"/>
            <family val="2"/>
          </rPr>
          <t>bijnensa:</t>
        </r>
        <r>
          <rPr>
            <sz val="9"/>
            <color indexed="81"/>
            <rFont val="Tahoma"/>
            <family val="2"/>
          </rPr>
          <t xml:space="preserve">
charges 2017: other charges: tap water tax</t>
        </r>
      </text>
    </comment>
    <comment ref="A401" authorId="0" shapeId="0">
      <text>
        <r>
          <rPr>
            <b/>
            <sz val="9"/>
            <color indexed="81"/>
            <rFont val="Tahoma"/>
            <family val="2"/>
          </rPr>
          <t>Ann Bijnens:</t>
        </r>
        <r>
          <rPr>
            <sz val="9"/>
            <color indexed="81"/>
            <rFont val="Tahoma"/>
            <family val="2"/>
          </rPr>
          <t xml:space="preserve">
charges 2017: Rotterdam is Water Authority HHSK</t>
        </r>
      </text>
    </comment>
    <comment ref="F401" authorId="1" shapeId="0">
      <text>
        <r>
          <rPr>
            <b/>
            <sz val="9"/>
            <color indexed="81"/>
            <rFont val="Tahoma"/>
            <family val="2"/>
          </rPr>
          <t>bijnensa:</t>
        </r>
        <r>
          <rPr>
            <sz val="9"/>
            <color indexed="81"/>
            <rFont val="Tahoma"/>
            <family val="2"/>
          </rPr>
          <t xml:space="preserve">
charges 2017: distribution and concession reimbursements ("precario")</t>
        </r>
      </text>
    </comment>
    <comment ref="K401" authorId="0" shapeId="0">
      <text>
        <r>
          <rPr>
            <b/>
            <sz val="9"/>
            <color indexed="81"/>
            <rFont val="Tahoma"/>
            <family val="2"/>
          </rPr>
          <t>Ann Bijnens:</t>
        </r>
        <r>
          <rPr>
            <sz val="9"/>
            <color indexed="81"/>
            <rFont val="Tahoma"/>
            <family val="2"/>
          </rPr>
          <t xml:space="preserve">
charges 2017: 100 m³ of drinking water pertains to a household consiting of 2,2 inhabitants, they receive a bill for 3 pollution units</t>
        </r>
      </text>
    </comment>
    <comment ref="O401" authorId="1" shapeId="0">
      <text>
        <r>
          <rPr>
            <b/>
            <sz val="9"/>
            <color indexed="81"/>
            <rFont val="Tahoma"/>
            <family val="2"/>
          </rPr>
          <t>bijnensa:</t>
        </r>
        <r>
          <rPr>
            <sz val="9"/>
            <color indexed="81"/>
            <rFont val="Tahoma"/>
            <family val="2"/>
          </rPr>
          <t xml:space="preserve">
other charges: tap water tax</t>
        </r>
      </text>
    </comment>
    <comment ref="F402" authorId="1" shapeId="0">
      <text>
        <r>
          <rPr>
            <b/>
            <sz val="9"/>
            <color indexed="81"/>
            <rFont val="Tahoma"/>
            <family val="2"/>
          </rPr>
          <t>bijnensa:</t>
        </r>
        <r>
          <rPr>
            <sz val="9"/>
            <color indexed="81"/>
            <rFont val="Tahoma"/>
            <family val="2"/>
          </rPr>
          <t xml:space="preserve">
charges 2017: distribution and concession reimbursements ("precario")</t>
        </r>
      </text>
    </comment>
    <comment ref="K402" authorId="0" shapeId="0">
      <text>
        <r>
          <rPr>
            <b/>
            <sz val="9"/>
            <color indexed="81"/>
            <rFont val="Tahoma"/>
            <family val="2"/>
          </rPr>
          <t>Ann Bijnens:</t>
        </r>
        <r>
          <rPr>
            <sz val="9"/>
            <color indexed="81"/>
            <rFont val="Tahoma"/>
            <family val="2"/>
          </rPr>
          <t xml:space="preserve">
charges 2017: 100 m³ of drinking water pertains to a household consiting of 2,2 inhabitants, they receive a bill for 3 pollution units</t>
        </r>
      </text>
    </comment>
    <comment ref="O402" authorId="1" shapeId="0">
      <text>
        <r>
          <rPr>
            <b/>
            <sz val="9"/>
            <color indexed="81"/>
            <rFont val="Tahoma"/>
            <family val="2"/>
          </rPr>
          <t>bijnensa:</t>
        </r>
        <r>
          <rPr>
            <sz val="9"/>
            <color indexed="81"/>
            <rFont val="Tahoma"/>
            <family val="2"/>
          </rPr>
          <t xml:space="preserve">
other charges: tap water tax</t>
        </r>
      </text>
    </comment>
    <comment ref="K403" authorId="0" shapeId="0">
      <text>
        <r>
          <rPr>
            <b/>
            <sz val="9"/>
            <color indexed="81"/>
            <rFont val="Tahoma"/>
            <family val="2"/>
          </rPr>
          <t>Ann Bijnens:</t>
        </r>
        <r>
          <rPr>
            <sz val="9"/>
            <color indexed="81"/>
            <rFont val="Tahoma"/>
            <family val="2"/>
          </rPr>
          <t xml:space="preserve">
charges 2017: 100 m³ of drinking water pertains to a household consiting of 2,2 inhabitants, they receive a bill for 3 pollution units</t>
        </r>
      </text>
    </comment>
    <comment ref="O403" authorId="1" shapeId="0">
      <text>
        <r>
          <rPr>
            <b/>
            <sz val="9"/>
            <color indexed="81"/>
            <rFont val="Tahoma"/>
            <family val="2"/>
          </rPr>
          <t>bijnensa:</t>
        </r>
        <r>
          <rPr>
            <sz val="9"/>
            <color indexed="81"/>
            <rFont val="Tahoma"/>
            <family val="2"/>
          </rPr>
          <t xml:space="preserve">
other charges: tap water tax</t>
        </r>
      </text>
    </comment>
    <comment ref="K404" authorId="0" shapeId="0">
      <text>
        <r>
          <rPr>
            <b/>
            <sz val="9"/>
            <color indexed="81"/>
            <rFont val="Tahoma"/>
            <family val="2"/>
          </rPr>
          <t>Ann Bijnens:</t>
        </r>
        <r>
          <rPr>
            <sz val="9"/>
            <color indexed="81"/>
            <rFont val="Tahoma"/>
            <family val="2"/>
          </rPr>
          <t xml:space="preserve">
charges 2017: 100 m³ of drinking water pertains to a household consiting of 2,2 inhabitants, they receive a bill for 3 pollution units</t>
        </r>
      </text>
    </comment>
    <comment ref="O404" authorId="1" shapeId="0">
      <text>
        <r>
          <rPr>
            <b/>
            <sz val="9"/>
            <color indexed="81"/>
            <rFont val="Tahoma"/>
            <family val="2"/>
          </rPr>
          <t>bijnensa:</t>
        </r>
        <r>
          <rPr>
            <sz val="9"/>
            <color indexed="81"/>
            <rFont val="Tahoma"/>
            <family val="2"/>
          </rPr>
          <t xml:space="preserve">
other charges: tap water tax</t>
        </r>
      </text>
    </comment>
    <comment ref="G472" authorId="0" shapeId="0">
      <text>
        <r>
          <rPr>
            <b/>
            <sz val="9"/>
            <color indexed="81"/>
            <rFont val="Tahoma"/>
            <family val="2"/>
          </rPr>
          <t>Ann Bijnens:</t>
        </r>
        <r>
          <rPr>
            <sz val="9"/>
            <color indexed="81"/>
            <rFont val="Tahoma"/>
            <family val="2"/>
          </rPr>
          <t xml:space="preserve">
8% VAT on drinking water</t>
        </r>
      </text>
    </comment>
    <comment ref="I472" authorId="0" shapeId="0">
      <text>
        <r>
          <rPr>
            <b/>
            <sz val="9"/>
            <color indexed="81"/>
            <rFont val="Tahoma"/>
            <family val="2"/>
          </rPr>
          <t>Ann Bijnens:</t>
        </r>
        <r>
          <rPr>
            <sz val="9"/>
            <color indexed="81"/>
            <rFont val="Tahoma"/>
            <family val="2"/>
          </rPr>
          <t xml:space="preserve">
including WWT</t>
        </r>
      </text>
    </comment>
    <comment ref="J472" authorId="0" shapeId="0">
      <text>
        <r>
          <rPr>
            <b/>
            <sz val="9"/>
            <color indexed="81"/>
            <rFont val="Tahoma"/>
            <family val="2"/>
          </rPr>
          <t>Ann Bijnens:</t>
        </r>
        <r>
          <rPr>
            <sz val="9"/>
            <color indexed="81"/>
            <rFont val="Tahoma"/>
            <family val="2"/>
          </rPr>
          <t xml:space="preserve">
2,5% VAT on sewerage</t>
        </r>
      </text>
    </comment>
    <comment ref="G473" authorId="0" shapeId="0">
      <text>
        <r>
          <rPr>
            <b/>
            <sz val="9"/>
            <color indexed="81"/>
            <rFont val="Tahoma"/>
            <family val="2"/>
          </rPr>
          <t>Ann Bijnens:</t>
        </r>
        <r>
          <rPr>
            <sz val="9"/>
            <color indexed="81"/>
            <rFont val="Tahoma"/>
            <family val="2"/>
          </rPr>
          <t xml:space="preserve">
8% VAT on drinking water</t>
        </r>
      </text>
    </comment>
    <comment ref="I473" authorId="0" shapeId="0">
      <text>
        <r>
          <rPr>
            <b/>
            <sz val="9"/>
            <color indexed="81"/>
            <rFont val="Tahoma"/>
            <family val="2"/>
          </rPr>
          <t>Ann Bijnens:</t>
        </r>
        <r>
          <rPr>
            <sz val="9"/>
            <color indexed="81"/>
            <rFont val="Tahoma"/>
            <family val="2"/>
          </rPr>
          <t xml:space="preserve">
including WWT</t>
        </r>
      </text>
    </comment>
    <comment ref="J473" authorId="0" shapeId="0">
      <text>
        <r>
          <rPr>
            <b/>
            <sz val="9"/>
            <color indexed="81"/>
            <rFont val="Tahoma"/>
            <family val="2"/>
          </rPr>
          <t>Ann Bijnens:</t>
        </r>
        <r>
          <rPr>
            <sz val="9"/>
            <color indexed="81"/>
            <rFont val="Tahoma"/>
            <family val="2"/>
          </rPr>
          <t xml:space="preserve">
2,5% VAT on sewerage</t>
        </r>
      </text>
    </comment>
    <comment ref="G474" authorId="0" shapeId="0">
      <text>
        <r>
          <rPr>
            <b/>
            <sz val="9"/>
            <color indexed="81"/>
            <rFont val="Tahoma"/>
            <family val="2"/>
          </rPr>
          <t>Ann Bijnens:</t>
        </r>
        <r>
          <rPr>
            <sz val="9"/>
            <color indexed="81"/>
            <rFont val="Tahoma"/>
            <family val="2"/>
          </rPr>
          <t xml:space="preserve">
8% VAT on drinking water</t>
        </r>
      </text>
    </comment>
    <comment ref="I474" authorId="0" shapeId="0">
      <text>
        <r>
          <rPr>
            <b/>
            <sz val="9"/>
            <color indexed="81"/>
            <rFont val="Tahoma"/>
            <family val="2"/>
          </rPr>
          <t>Ann Bijnens:</t>
        </r>
        <r>
          <rPr>
            <sz val="9"/>
            <color indexed="81"/>
            <rFont val="Tahoma"/>
            <family val="2"/>
          </rPr>
          <t xml:space="preserve">
including WWT</t>
        </r>
      </text>
    </comment>
    <comment ref="J474" authorId="0" shapeId="0">
      <text>
        <r>
          <rPr>
            <b/>
            <sz val="9"/>
            <color indexed="81"/>
            <rFont val="Tahoma"/>
            <family val="2"/>
          </rPr>
          <t>Ann Bijnens:</t>
        </r>
        <r>
          <rPr>
            <sz val="9"/>
            <color indexed="81"/>
            <rFont val="Tahoma"/>
            <family val="2"/>
          </rPr>
          <t xml:space="preserve">
2,5% VAT on sewerage</t>
        </r>
      </text>
    </comment>
    <comment ref="G475" authorId="0" shapeId="0">
      <text>
        <r>
          <rPr>
            <b/>
            <sz val="9"/>
            <color indexed="81"/>
            <rFont val="Tahoma"/>
            <family val="2"/>
          </rPr>
          <t>Ann Bijnens:</t>
        </r>
        <r>
          <rPr>
            <sz val="9"/>
            <color indexed="81"/>
            <rFont val="Tahoma"/>
            <family val="2"/>
          </rPr>
          <t xml:space="preserve">
8% VAT on drinking water</t>
        </r>
      </text>
    </comment>
    <comment ref="I475" authorId="0" shapeId="0">
      <text>
        <r>
          <rPr>
            <b/>
            <sz val="9"/>
            <color indexed="81"/>
            <rFont val="Tahoma"/>
            <family val="2"/>
          </rPr>
          <t>Ann Bijnens:</t>
        </r>
        <r>
          <rPr>
            <sz val="9"/>
            <color indexed="81"/>
            <rFont val="Tahoma"/>
            <family val="2"/>
          </rPr>
          <t xml:space="preserve">
including WWT</t>
        </r>
      </text>
    </comment>
    <comment ref="J475" authorId="0" shapeId="0">
      <text>
        <r>
          <rPr>
            <b/>
            <sz val="9"/>
            <color indexed="81"/>
            <rFont val="Tahoma"/>
            <family val="2"/>
          </rPr>
          <t>Ann Bijnens:</t>
        </r>
        <r>
          <rPr>
            <sz val="9"/>
            <color indexed="81"/>
            <rFont val="Tahoma"/>
            <family val="2"/>
          </rPr>
          <t xml:space="preserve">
2,5% VAT on sewerage</t>
        </r>
      </text>
    </comment>
    <comment ref="G476" authorId="0" shapeId="0">
      <text>
        <r>
          <rPr>
            <b/>
            <sz val="9"/>
            <color indexed="81"/>
            <rFont val="Tahoma"/>
            <family val="2"/>
          </rPr>
          <t>Ann Bijnens:</t>
        </r>
        <r>
          <rPr>
            <sz val="9"/>
            <color indexed="81"/>
            <rFont val="Tahoma"/>
            <family val="2"/>
          </rPr>
          <t xml:space="preserve">
8% VAT on drinking water</t>
        </r>
      </text>
    </comment>
    <comment ref="I476" authorId="0" shapeId="0">
      <text>
        <r>
          <rPr>
            <b/>
            <sz val="9"/>
            <color indexed="81"/>
            <rFont val="Tahoma"/>
            <family val="2"/>
          </rPr>
          <t>Ann Bijnens:</t>
        </r>
        <r>
          <rPr>
            <sz val="9"/>
            <color indexed="81"/>
            <rFont val="Tahoma"/>
            <family val="2"/>
          </rPr>
          <t xml:space="preserve">
including WWT</t>
        </r>
      </text>
    </comment>
    <comment ref="J476" authorId="0" shapeId="0">
      <text>
        <r>
          <rPr>
            <b/>
            <sz val="9"/>
            <color indexed="81"/>
            <rFont val="Tahoma"/>
            <family val="2"/>
          </rPr>
          <t>Ann Bijnens:</t>
        </r>
        <r>
          <rPr>
            <sz val="9"/>
            <color indexed="81"/>
            <rFont val="Tahoma"/>
            <family val="2"/>
          </rPr>
          <t xml:space="preserve">
2,5% VAT on sewerage</t>
        </r>
      </text>
    </comment>
    <comment ref="O477" authorId="0" shapeId="0">
      <text>
        <r>
          <rPr>
            <b/>
            <sz val="9"/>
            <color indexed="81"/>
            <rFont val="Tahoma"/>
            <family val="2"/>
          </rPr>
          <t>Ann Bijnens:</t>
        </r>
        <r>
          <rPr>
            <sz val="9"/>
            <color indexed="81"/>
            <rFont val="Tahoma"/>
            <family val="2"/>
          </rPr>
          <t xml:space="preserve">
charges 2017: environmental cleaning tax</t>
        </r>
      </text>
    </comment>
    <comment ref="F478" authorId="0" shapeId="0">
      <text>
        <r>
          <rPr>
            <b/>
            <sz val="9"/>
            <color indexed="81"/>
            <rFont val="Tahoma"/>
            <family val="2"/>
          </rPr>
          <t>Ann Bijnens:</t>
        </r>
        <r>
          <rPr>
            <sz val="9"/>
            <color indexed="81"/>
            <rFont val="Tahoma"/>
            <family val="2"/>
          </rPr>
          <t xml:space="preserve">
charges 2017: maintenance cost</t>
        </r>
      </text>
    </comment>
    <comment ref="O478" authorId="0" shapeId="0">
      <text>
        <r>
          <rPr>
            <b/>
            <sz val="9"/>
            <color indexed="81"/>
            <rFont val="Tahoma"/>
            <family val="2"/>
          </rPr>
          <t>Ann Bijnens:</t>
        </r>
        <r>
          <rPr>
            <sz val="9"/>
            <color indexed="81"/>
            <rFont val="Tahoma"/>
            <family val="2"/>
          </rPr>
          <t xml:space="preserve">
charges 2017: environmental cleaning tax</t>
        </r>
      </text>
    </comment>
    <comment ref="O479" authorId="0" shapeId="0">
      <text>
        <r>
          <rPr>
            <b/>
            <sz val="9"/>
            <color indexed="81"/>
            <rFont val="Tahoma"/>
            <family val="2"/>
          </rPr>
          <t>Ann Bijnens:</t>
        </r>
        <r>
          <rPr>
            <sz val="9"/>
            <color indexed="81"/>
            <rFont val="Tahoma"/>
            <family val="2"/>
          </rPr>
          <t xml:space="preserve">
charges 2017: environmental cleaning tax</t>
        </r>
      </text>
    </comment>
    <comment ref="K484" authorId="1" shapeId="0">
      <text>
        <r>
          <rPr>
            <b/>
            <sz val="9"/>
            <color indexed="81"/>
            <rFont val="Tahoma"/>
            <family val="2"/>
          </rPr>
          <t>bijnensa:</t>
        </r>
        <r>
          <rPr>
            <sz val="9"/>
            <color indexed="81"/>
            <rFont val="Tahoma"/>
            <family val="2"/>
          </rPr>
          <t xml:space="preserve">
Sewerage charges shown include surface water drainage charges. Households in Birmingham pay for their surface water drainage either through a fixed charge based on property type or a charge based on the rateable value. The figures presented assume a 'zone 4' bill based on a property with a rateable value of £200 as an example.</t>
        </r>
      </text>
    </comment>
    <comment ref="K485" authorId="1" shapeId="0">
      <text>
        <r>
          <rPr>
            <b/>
            <sz val="9"/>
            <color indexed="81"/>
            <rFont val="Tahoma"/>
            <family val="2"/>
          </rPr>
          <t>bijnensa:</t>
        </r>
        <r>
          <rPr>
            <sz val="9"/>
            <color indexed="81"/>
            <rFont val="Tahoma"/>
            <family val="2"/>
          </rPr>
          <t xml:space="preserve">
Sewerage charges shown include surface water drainage charges.</t>
        </r>
      </text>
    </comment>
    <comment ref="K486" authorId="1" shapeId="0">
      <text>
        <r>
          <rPr>
            <b/>
            <sz val="9"/>
            <color indexed="81"/>
            <rFont val="Tahoma"/>
            <family val="2"/>
          </rPr>
          <t>bijnensa:</t>
        </r>
        <r>
          <rPr>
            <sz val="9"/>
            <color indexed="81"/>
            <rFont val="Tahoma"/>
            <family val="2"/>
          </rPr>
          <t xml:space="preserve">
Sewerage charges shown include surface water drainage charges.</t>
        </r>
      </text>
    </comment>
    <comment ref="K487" authorId="1" shapeId="0">
      <text>
        <r>
          <rPr>
            <b/>
            <sz val="9"/>
            <color indexed="81"/>
            <rFont val="Tahoma"/>
            <family val="2"/>
          </rPr>
          <t>bijnensa:</t>
        </r>
        <r>
          <rPr>
            <sz val="9"/>
            <color indexed="81"/>
            <rFont val="Tahoma"/>
            <family val="2"/>
          </rPr>
          <t xml:space="preserve">
Sewerage charges shown include surface water drainage charges.</t>
        </r>
      </text>
    </comment>
    <comment ref="K488" authorId="1" shapeId="0">
      <text>
        <r>
          <rPr>
            <b/>
            <sz val="9"/>
            <color indexed="81"/>
            <rFont val="Tahoma"/>
            <family val="2"/>
          </rPr>
          <t>bijnensa:</t>
        </r>
        <r>
          <rPr>
            <sz val="9"/>
            <color indexed="81"/>
            <rFont val="Tahoma"/>
            <family val="2"/>
          </rPr>
          <t xml:space="preserve">
Sewerage charges shown include surface water drainage charges.</t>
        </r>
      </text>
    </comment>
    <comment ref="A501" authorId="0" shapeId="0">
      <text>
        <r>
          <rPr>
            <b/>
            <sz val="9"/>
            <color indexed="81"/>
            <rFont val="Tahoma"/>
            <family val="2"/>
          </rPr>
          <t>Ann Bijnens:</t>
        </r>
        <r>
          <rPr>
            <sz val="9"/>
            <color indexed="81"/>
            <rFont val="Tahoma"/>
            <family val="2"/>
          </rPr>
          <t xml:space="preserve">
charges 2017: charges for wastewater treatment are included in sewerage taxes.
Bill is not depending on the volume of consumption.</t>
        </r>
      </text>
    </comment>
    <comment ref="A606" authorId="0" shapeId="0">
      <text>
        <r>
          <rPr>
            <b/>
            <sz val="9"/>
            <color indexed="81"/>
            <rFont val="Tahoma"/>
            <family val="2"/>
          </rPr>
          <t>Ann Bijnens:</t>
        </r>
        <r>
          <rPr>
            <sz val="9"/>
            <color indexed="81"/>
            <rFont val="Tahoma"/>
            <family val="2"/>
          </rPr>
          <t xml:space="preserve">
charges 2017: Rotterdam is Water Authority HHSK</t>
        </r>
      </text>
    </comment>
    <comment ref="E606" authorId="1" shapeId="0">
      <text>
        <r>
          <rPr>
            <b/>
            <sz val="9"/>
            <color indexed="81"/>
            <rFont val="Tahoma"/>
            <family val="2"/>
          </rPr>
          <t>bijnensa:</t>
        </r>
        <r>
          <rPr>
            <sz val="9"/>
            <color indexed="81"/>
            <rFont val="Tahoma"/>
            <family val="2"/>
          </rPr>
          <t xml:space="preserve">
charges 2017: distribution and concession reimbursements ("precario")</t>
        </r>
      </text>
    </comment>
    <comment ref="E618" authorId="1" shapeId="0">
      <text>
        <r>
          <rPr>
            <b/>
            <sz val="9"/>
            <color indexed="81"/>
            <rFont val="Tahoma"/>
            <family val="2"/>
          </rPr>
          <t>bijnensa:</t>
        </r>
        <r>
          <rPr>
            <sz val="9"/>
            <color indexed="81"/>
            <rFont val="Tahoma"/>
            <family val="2"/>
          </rPr>
          <t xml:space="preserve">
charges 2017: distribution and concession reimbursements ("precario")</t>
        </r>
      </text>
    </comment>
    <comment ref="A619" authorId="0" shapeId="0">
      <text>
        <r>
          <rPr>
            <b/>
            <sz val="9"/>
            <color indexed="81"/>
            <rFont val="Tahoma"/>
            <family val="2"/>
          </rPr>
          <t>Ann Bijnens:</t>
        </r>
        <r>
          <rPr>
            <sz val="9"/>
            <color indexed="81"/>
            <rFont val="Tahoma"/>
            <family val="2"/>
          </rPr>
          <t xml:space="preserve">
data of 2014</t>
        </r>
      </text>
    </comment>
    <comment ref="F620" authorId="0" shapeId="0">
      <text>
        <r>
          <rPr>
            <b/>
            <sz val="9"/>
            <color indexed="81"/>
            <rFont val="Tahoma"/>
            <family val="2"/>
          </rPr>
          <t>Ann Bijnens:</t>
        </r>
        <r>
          <rPr>
            <sz val="9"/>
            <color indexed="81"/>
            <rFont val="Tahoma"/>
            <family val="2"/>
          </rPr>
          <t xml:space="preserve">
8% VAT on drinking water</t>
        </r>
      </text>
    </comment>
    <comment ref="E623" authorId="0" shapeId="0">
      <text>
        <r>
          <rPr>
            <b/>
            <sz val="9"/>
            <color indexed="81"/>
            <rFont val="Tahoma"/>
            <family val="2"/>
          </rPr>
          <t>Ann Bijnens:</t>
        </r>
        <r>
          <rPr>
            <sz val="9"/>
            <color indexed="81"/>
            <rFont val="Tahoma"/>
            <family val="2"/>
          </rPr>
          <t xml:space="preserve">
charges 2017: maintenance cost</t>
        </r>
      </text>
    </comment>
    <comment ref="F637" authorId="0" shapeId="0">
      <text>
        <r>
          <rPr>
            <b/>
            <sz val="9"/>
            <color indexed="81"/>
            <rFont val="Tahoma"/>
            <family val="2"/>
          </rPr>
          <t>Ann Bijnens:</t>
        </r>
        <r>
          <rPr>
            <sz val="9"/>
            <color indexed="81"/>
            <rFont val="Tahoma"/>
            <family val="2"/>
          </rPr>
          <t xml:space="preserve">
8% VAT on drinking water</t>
        </r>
      </text>
    </comment>
    <comment ref="F662" authorId="0" shapeId="0">
      <text>
        <r>
          <rPr>
            <b/>
            <sz val="9"/>
            <color indexed="81"/>
            <rFont val="Tahoma"/>
            <family val="2"/>
          </rPr>
          <t>Ann Bijnens:</t>
        </r>
        <r>
          <rPr>
            <sz val="9"/>
            <color indexed="81"/>
            <rFont val="Tahoma"/>
            <family val="2"/>
          </rPr>
          <t xml:space="preserve">
8% VAT on drinking water</t>
        </r>
      </text>
    </comment>
    <comment ref="F672" authorId="0" shapeId="0">
      <text>
        <r>
          <rPr>
            <b/>
            <sz val="9"/>
            <color indexed="81"/>
            <rFont val="Tahoma"/>
            <family val="2"/>
          </rPr>
          <t>Ann Bijnens:</t>
        </r>
        <r>
          <rPr>
            <sz val="9"/>
            <color indexed="81"/>
            <rFont val="Tahoma"/>
            <family val="2"/>
          </rPr>
          <t xml:space="preserve">
8% VAT on drinking water</t>
        </r>
      </text>
    </comment>
    <comment ref="F673" authorId="0" shapeId="0">
      <text>
        <r>
          <rPr>
            <b/>
            <sz val="9"/>
            <color indexed="81"/>
            <rFont val="Tahoma"/>
            <family val="2"/>
          </rPr>
          <t>Ann Bijnens:</t>
        </r>
        <r>
          <rPr>
            <sz val="9"/>
            <color indexed="81"/>
            <rFont val="Tahoma"/>
            <family val="2"/>
          </rPr>
          <t xml:space="preserve">
8% VAT on drinking water</t>
        </r>
      </text>
    </comment>
    <comment ref="A687" authorId="0" shapeId="0">
      <text>
        <r>
          <rPr>
            <b/>
            <sz val="9"/>
            <color indexed="81"/>
            <rFont val="Tahoma"/>
            <family val="2"/>
          </rPr>
          <t>Ann Bijnens:</t>
        </r>
        <r>
          <rPr>
            <sz val="9"/>
            <color indexed="81"/>
            <rFont val="Tahoma"/>
            <family val="2"/>
          </rPr>
          <t xml:space="preserve">
for a 3 persons household</t>
        </r>
      </text>
    </comment>
    <comment ref="D687" authorId="0" shapeId="0">
      <text>
        <r>
          <rPr>
            <b/>
            <sz val="9"/>
            <color indexed="81"/>
            <rFont val="Tahoma"/>
            <family val="2"/>
          </rPr>
          <t>Ann Bijnens:</t>
        </r>
        <r>
          <rPr>
            <sz val="9"/>
            <color indexed="81"/>
            <rFont val="Tahoma"/>
            <family val="2"/>
          </rPr>
          <t xml:space="preserve">
Increasing block tariff at €1.3965/m3 up to 33m3/person/annum and €5.1395/m3 above 33m3/person/annum. Assume water consumption spread evenly over the year.</t>
        </r>
      </text>
    </comment>
    <comment ref="F688" authorId="0" shapeId="0">
      <text>
        <r>
          <rPr>
            <b/>
            <sz val="9"/>
            <color indexed="81"/>
            <rFont val="Tahoma"/>
            <family val="2"/>
          </rPr>
          <t>Ann Bijnens:</t>
        </r>
        <r>
          <rPr>
            <sz val="9"/>
            <color indexed="81"/>
            <rFont val="Tahoma"/>
            <family val="2"/>
          </rPr>
          <t xml:space="preserve">
21% for 2017</t>
        </r>
      </text>
    </comment>
  </commentList>
</comments>
</file>

<file path=xl/comments9.xml><?xml version="1.0" encoding="utf-8"?>
<comments xmlns="http://schemas.openxmlformats.org/spreadsheetml/2006/main">
  <authors>
    <author>bijnensa</author>
    <author>Ann Bijnens</author>
  </authors>
  <commentList>
    <comment ref="C7" authorId="0" shapeId="0">
      <text>
        <r>
          <rPr>
            <b/>
            <sz val="9"/>
            <color indexed="81"/>
            <rFont val="Tahoma"/>
            <family val="2"/>
          </rPr>
          <t>bijnensa:</t>
        </r>
        <r>
          <rPr>
            <sz val="9"/>
            <color indexed="81"/>
            <rFont val="Tahoma"/>
            <family val="2"/>
          </rPr>
          <t xml:space="preserve">
the average bill for residential (domestic) users. Total annual water bill for 100 m³ and 200 m³ is the same because 88% of users are unmetered. This percentage is even bigger for residential users.</t>
        </r>
      </text>
    </comment>
    <comment ref="AB7" authorId="0" shapeId="0">
      <text>
        <r>
          <rPr>
            <b/>
            <sz val="9"/>
            <color indexed="81"/>
            <rFont val="Tahoma"/>
            <family val="2"/>
          </rPr>
          <t>bijnensa:</t>
        </r>
        <r>
          <rPr>
            <sz val="9"/>
            <color indexed="81"/>
            <rFont val="Tahoma"/>
            <family val="2"/>
          </rPr>
          <t xml:space="preserve">
88% of users are unmetered (flat rate). Metered users pay a fixed charge (50% of flat rate for unmetered) plus a uniform rate for consumption over 20 m³ each two months.</t>
        </r>
      </text>
    </comment>
    <comment ref="C34" authorId="0" shapeId="0">
      <text>
        <r>
          <rPr>
            <b/>
            <sz val="9"/>
            <color indexed="81"/>
            <rFont val="Tahoma"/>
            <family val="2"/>
          </rPr>
          <t>bijnensa:</t>
        </r>
        <r>
          <rPr>
            <sz val="9"/>
            <color indexed="81"/>
            <rFont val="Tahoma"/>
            <family val="2"/>
          </rPr>
          <t xml:space="preserve">
SNIS - National System of Information on Water and Sanitation - Reference Year 2014</t>
        </r>
      </text>
    </comment>
    <comment ref="C35" authorId="0" shapeId="0">
      <text>
        <r>
          <rPr>
            <b/>
            <sz val="9"/>
            <color indexed="81"/>
            <rFont val="Tahoma"/>
            <family val="2"/>
          </rPr>
          <t>bijnensa:</t>
        </r>
        <r>
          <rPr>
            <sz val="9"/>
            <color indexed="81"/>
            <rFont val="Tahoma"/>
            <family val="2"/>
          </rPr>
          <t xml:space="preserve">
SABESP: Water Utility of São Paulo State with Full Concession of Water and Sanitation in 364 Municipalities of São Paulo State, deserving around 27 million people. The average tarig ranges from RS 114/100 m3(Turiúba/SP) to R4 359/100 m3 ( Barueri/SP)</t>
        </r>
      </text>
    </comment>
    <comment ref="C36" authorId="0" shapeId="0">
      <text>
        <r>
          <rPr>
            <b/>
            <sz val="9"/>
            <color indexed="81"/>
            <rFont val="Tahoma"/>
            <family val="2"/>
          </rPr>
          <t>bijnensa:</t>
        </r>
        <r>
          <rPr>
            <sz val="9"/>
            <color indexed="81"/>
            <rFont val="Tahoma"/>
            <family val="2"/>
          </rPr>
          <t xml:space="preserve">
Brasília -the Federal District - is desserved in water and sanitation by CAESB - the local Water Utility. With the highest income per capita in the country, Brasília is not very representative of the Brazilian Average</t>
        </r>
      </text>
    </comment>
    <comment ref="D132" authorId="0" shapeId="0">
      <text>
        <r>
          <rPr>
            <b/>
            <sz val="9"/>
            <color indexed="81"/>
            <rFont val="Tahoma"/>
            <family val="2"/>
          </rPr>
          <t>bijnensa:</t>
        </r>
        <r>
          <rPr>
            <sz val="9"/>
            <color indexed="81"/>
            <rFont val="Tahoma"/>
            <family val="2"/>
          </rPr>
          <t xml:space="preserve">
laatst gekende GDP van jaar 2013</t>
        </r>
      </text>
    </comment>
    <comment ref="A134" authorId="1" shapeId="0">
      <text>
        <r>
          <rPr>
            <b/>
            <sz val="9"/>
            <color indexed="81"/>
            <rFont val="Tahoma"/>
            <family val="2"/>
          </rPr>
          <t xml:space="preserve">Ann Bijnens:
</t>
        </r>
        <r>
          <rPr>
            <sz val="9"/>
            <color indexed="81"/>
            <rFont val="Tahoma"/>
            <family val="2"/>
          </rPr>
          <t>There are no regional differences in water rates</t>
        </r>
      </text>
    </comment>
    <comment ref="G134" authorId="1" shapeId="0">
      <text>
        <r>
          <rPr>
            <b/>
            <sz val="9"/>
            <color indexed="81"/>
            <rFont val="Tahoma"/>
            <family val="2"/>
          </rPr>
          <t>Ann Bijnens:</t>
        </r>
        <r>
          <rPr>
            <sz val="9"/>
            <color indexed="81"/>
            <rFont val="Tahoma"/>
            <family val="2"/>
          </rPr>
          <t xml:space="preserve">
Increasing block tariff at €1.3965/m3 up to 33m3/person/annum and €5.1395/m3 above 33m3/person/annum. Assume water consumption spread evenly over the year.</t>
        </r>
      </text>
    </comment>
    <comment ref="K134" authorId="1" shapeId="0">
      <text>
        <r>
          <rPr>
            <b/>
            <sz val="9"/>
            <color indexed="81"/>
            <rFont val="Tahoma"/>
            <family val="2"/>
          </rPr>
          <t>Ann Bijnens:</t>
        </r>
        <r>
          <rPr>
            <sz val="9"/>
            <color indexed="81"/>
            <rFont val="Tahoma"/>
            <family val="2"/>
          </rPr>
          <t xml:space="preserve">
rates incorporate sewerage contribution</t>
        </r>
      </text>
    </comment>
    <comment ref="M147" authorId="0" shapeId="0">
      <text>
        <r>
          <rPr>
            <b/>
            <sz val="9"/>
            <color indexed="81"/>
            <rFont val="Tahoma"/>
            <family val="2"/>
          </rPr>
          <t>bijnensa:</t>
        </r>
        <r>
          <rPr>
            <sz val="9"/>
            <color indexed="81"/>
            <rFont val="Tahoma"/>
            <family val="2"/>
          </rPr>
          <t xml:space="preserve">
other charges: tap water tax</t>
        </r>
      </text>
    </comment>
    <comment ref="H148" authorId="0" shapeId="0">
      <text>
        <r>
          <rPr>
            <b/>
            <sz val="9"/>
            <color indexed="81"/>
            <rFont val="Tahoma"/>
            <family val="2"/>
          </rPr>
          <t>bijnensa:</t>
        </r>
        <r>
          <rPr>
            <sz val="9"/>
            <color indexed="81"/>
            <rFont val="Tahoma"/>
            <family val="2"/>
          </rPr>
          <t xml:space="preserve">
distribution and concession reimbursements ("precario")</t>
        </r>
      </text>
    </comment>
    <comment ref="M148" authorId="0" shapeId="0">
      <text>
        <r>
          <rPr>
            <b/>
            <sz val="9"/>
            <color indexed="81"/>
            <rFont val="Tahoma"/>
            <family val="2"/>
          </rPr>
          <t>bijnensa:</t>
        </r>
        <r>
          <rPr>
            <sz val="9"/>
            <color indexed="81"/>
            <rFont val="Tahoma"/>
            <family val="2"/>
          </rPr>
          <t xml:space="preserve">
other charges: tap water tax</t>
        </r>
      </text>
    </comment>
    <comment ref="H149" authorId="0" shapeId="0">
      <text>
        <r>
          <rPr>
            <b/>
            <sz val="9"/>
            <color indexed="81"/>
            <rFont val="Tahoma"/>
            <family val="2"/>
          </rPr>
          <t>bijnensa:</t>
        </r>
        <r>
          <rPr>
            <sz val="9"/>
            <color indexed="81"/>
            <rFont val="Tahoma"/>
            <family val="2"/>
          </rPr>
          <t xml:space="preserve">
distribution and concession reimbursements ("precario")</t>
        </r>
      </text>
    </comment>
    <comment ref="M149" authorId="0" shapeId="0">
      <text>
        <r>
          <rPr>
            <b/>
            <sz val="9"/>
            <color indexed="81"/>
            <rFont val="Tahoma"/>
            <family val="2"/>
          </rPr>
          <t>bijnensa:</t>
        </r>
        <r>
          <rPr>
            <sz val="9"/>
            <color indexed="81"/>
            <rFont val="Tahoma"/>
            <family val="2"/>
          </rPr>
          <t xml:space="preserve">
other charges: tap water tax</t>
        </r>
      </text>
    </comment>
    <comment ref="M150" authorId="0" shapeId="0">
      <text>
        <r>
          <rPr>
            <b/>
            <sz val="9"/>
            <color indexed="81"/>
            <rFont val="Tahoma"/>
            <family val="2"/>
          </rPr>
          <t>bijnensa:</t>
        </r>
        <r>
          <rPr>
            <sz val="9"/>
            <color indexed="81"/>
            <rFont val="Tahoma"/>
            <family val="2"/>
          </rPr>
          <t xml:space="preserve">
other charges: tap water tax</t>
        </r>
      </text>
    </comment>
    <comment ref="M151" authorId="0" shapeId="0">
      <text>
        <r>
          <rPr>
            <b/>
            <sz val="9"/>
            <color indexed="81"/>
            <rFont val="Tahoma"/>
            <family val="2"/>
          </rPr>
          <t>bijnensa:</t>
        </r>
        <r>
          <rPr>
            <sz val="9"/>
            <color indexed="81"/>
            <rFont val="Tahoma"/>
            <family val="2"/>
          </rPr>
          <t xml:space="preserve">
other charges: tap water tax</t>
        </r>
      </text>
    </comment>
    <comment ref="M152" authorId="0" shapeId="0">
      <text>
        <r>
          <rPr>
            <b/>
            <sz val="9"/>
            <color indexed="81"/>
            <rFont val="Tahoma"/>
            <family val="2"/>
          </rPr>
          <t>bijnensa:</t>
        </r>
        <r>
          <rPr>
            <sz val="9"/>
            <color indexed="81"/>
            <rFont val="Tahoma"/>
            <family val="2"/>
          </rPr>
          <t xml:space="preserve">
other charges: tap water tax</t>
        </r>
      </text>
    </comment>
    <comment ref="C181" authorId="1" shapeId="0">
      <text>
        <r>
          <rPr>
            <b/>
            <sz val="9"/>
            <color indexed="81"/>
            <rFont val="Tahoma"/>
            <family val="2"/>
          </rPr>
          <t>Ann Bijnens:</t>
        </r>
        <r>
          <rPr>
            <sz val="9"/>
            <color indexed="81"/>
            <rFont val="Tahoma"/>
            <family val="2"/>
          </rPr>
          <t xml:space="preserve">
charges 2015: during summer the population supplied is over 1.000.000 inhabitans due the seaside areas</t>
        </r>
      </text>
    </comment>
    <comment ref="C194" authorId="1" shapeId="0">
      <text>
        <r>
          <rPr>
            <b/>
            <sz val="9"/>
            <color indexed="81"/>
            <rFont val="Tahoma"/>
            <family val="2"/>
          </rPr>
          <t>Ann Bijnens:</t>
        </r>
        <r>
          <rPr>
            <sz val="9"/>
            <color indexed="81"/>
            <rFont val="Tahoma"/>
            <family val="2"/>
          </rPr>
          <t xml:space="preserve">
charges 2015: population data are calculated based on clients declaration. All citizen have acces to water supply and sewerage services</t>
        </r>
      </text>
    </comment>
    <comment ref="K219" authorId="0" shapeId="0">
      <text>
        <r>
          <rPr>
            <b/>
            <sz val="9"/>
            <color indexed="81"/>
            <rFont val="Tahoma"/>
            <family val="2"/>
          </rPr>
          <t>bijnensa:</t>
        </r>
        <r>
          <rPr>
            <sz val="9"/>
            <color indexed="81"/>
            <rFont val="Tahoma"/>
            <family val="2"/>
          </rPr>
          <t xml:space="preserve">
not separately charged. Inherent to sewerage charge</t>
        </r>
      </text>
    </comment>
    <comment ref="G220" authorId="0" shapeId="0">
      <text>
        <r>
          <rPr>
            <b/>
            <sz val="9"/>
            <color indexed="81"/>
            <rFont val="Tahoma"/>
            <family val="2"/>
          </rPr>
          <t>bijnensa:</t>
        </r>
        <r>
          <rPr>
            <sz val="9"/>
            <color indexed="81"/>
            <rFont val="Tahoma"/>
            <family val="2"/>
          </rPr>
          <t xml:space="preserve">
assumes the customers water consumption is equally distributed in each quarter</t>
        </r>
      </text>
    </comment>
    <comment ref="H220" authorId="0" shapeId="0">
      <text>
        <r>
          <rPr>
            <b/>
            <sz val="9"/>
            <color indexed="81"/>
            <rFont val="Tahoma"/>
            <family val="2"/>
          </rPr>
          <t>bijnensa:</t>
        </r>
        <r>
          <rPr>
            <sz val="9"/>
            <color indexed="81"/>
            <rFont val="Tahoma"/>
            <family val="2"/>
          </rPr>
          <t xml:space="preserve">
River Murray Levy</t>
        </r>
      </text>
    </comment>
    <comment ref="J220" authorId="0" shapeId="0">
      <text>
        <r>
          <rPr>
            <b/>
            <sz val="9"/>
            <color indexed="81"/>
            <rFont val="Tahoma"/>
            <family val="2"/>
          </rPr>
          <t>bijnensa:</t>
        </r>
        <r>
          <rPr>
            <sz val="9"/>
            <color indexed="81"/>
            <rFont val="Tahoma"/>
            <family val="2"/>
          </rPr>
          <t xml:space="preserve">
based on the average valued property</t>
        </r>
      </text>
    </comment>
    <comment ref="A229" authorId="1" shapeId="0">
      <text>
        <r>
          <rPr>
            <b/>
            <sz val="9"/>
            <color indexed="81"/>
            <rFont val="Tahoma"/>
            <family val="2"/>
          </rPr>
          <t>Ann Bijnens:</t>
        </r>
        <r>
          <rPr>
            <sz val="9"/>
            <color indexed="81"/>
            <rFont val="Tahoma"/>
            <family val="2"/>
          </rPr>
          <t xml:space="preserve">
In general, water tariffs in Spain have fixed rates and increasing block depending on how much water is consumed. Nevertheless, in some part of the water cycle (for example sewer system) and depending on the city the price is set via a flat rate or uniform rate.</t>
        </r>
      </text>
    </comment>
    <comment ref="M234" authorId="0" shapeId="0">
      <text>
        <r>
          <rPr>
            <b/>
            <sz val="9"/>
            <color indexed="81"/>
            <rFont val="Tahoma"/>
            <family val="2"/>
          </rPr>
          <t>bijnensa:</t>
        </r>
        <r>
          <rPr>
            <sz val="9"/>
            <color indexed="81"/>
            <rFont val="Tahoma"/>
            <family val="2"/>
          </rPr>
          <t xml:space="preserve">
charge for stormwater (rainwater and drainage) from the houses which are let to the communities pipes for stormwater</t>
        </r>
      </text>
    </comment>
    <comment ref="M236" authorId="0" shapeId="0">
      <text>
        <r>
          <rPr>
            <b/>
            <sz val="9"/>
            <color indexed="81"/>
            <rFont val="Tahoma"/>
            <family val="2"/>
          </rPr>
          <t>bijnensa:</t>
        </r>
        <r>
          <rPr>
            <sz val="9"/>
            <color indexed="81"/>
            <rFont val="Tahoma"/>
            <family val="2"/>
          </rPr>
          <t xml:space="preserve">
charge for stormwater (rainwater and drainage) from the houses which are let to the communities pipes for stormwater</t>
        </r>
      </text>
    </comment>
    <comment ref="A245" authorId="1" shapeId="0">
      <text>
        <r>
          <rPr>
            <b/>
            <sz val="9"/>
            <color indexed="81"/>
            <rFont val="Tahoma"/>
            <family val="2"/>
          </rPr>
          <t>Ann Bijnens:</t>
        </r>
        <r>
          <rPr>
            <sz val="9"/>
            <color indexed="81"/>
            <rFont val="Tahoma"/>
            <family val="2"/>
          </rPr>
          <t xml:space="preserve">
data of 2014: bill for consumption depends on customer type. Here we use type 1 residence.</t>
        </r>
      </text>
    </comment>
    <comment ref="A247" authorId="1" shapeId="0">
      <text>
        <r>
          <rPr>
            <b/>
            <sz val="9"/>
            <color indexed="81"/>
            <rFont val="Tahoma"/>
            <family val="2"/>
          </rPr>
          <t>Ann Bijnens:</t>
        </r>
        <r>
          <rPr>
            <sz val="9"/>
            <color indexed="81"/>
            <rFont val="Tahoma"/>
            <family val="2"/>
          </rPr>
          <t xml:space="preserve">
The Corporation applies a uniform tariff across all consumer categories in all its areas of operation. The Domestic rate/tariff is uniform in all the Corporation's operational areas.
Fixed charge is the same across all the operational areas.
</t>
        </r>
      </text>
    </comment>
    <comment ref="K251" authorId="0" shapeId="0">
      <text>
        <r>
          <rPr>
            <b/>
            <sz val="9"/>
            <color indexed="81"/>
            <rFont val="Tahoma"/>
            <family val="2"/>
          </rPr>
          <t>bijnensa:</t>
        </r>
        <r>
          <rPr>
            <sz val="9"/>
            <color indexed="81"/>
            <rFont val="Tahoma"/>
            <family val="2"/>
          </rPr>
          <t xml:space="preserve">
Sewerage charges shown include surface water drainage charges. Households in Birmingham pay for their surface water drainage either through a fixed charge based on property type or a charge based on the rateable value. The figures presented assume a 'zone 4' bill based on a property with a rateable value of £200 as an example.</t>
        </r>
      </text>
    </comment>
    <comment ref="K252" authorId="0" shapeId="0">
      <text>
        <r>
          <rPr>
            <b/>
            <sz val="9"/>
            <color indexed="81"/>
            <rFont val="Tahoma"/>
            <family val="2"/>
          </rPr>
          <t>bijnensa:</t>
        </r>
        <r>
          <rPr>
            <sz val="9"/>
            <color indexed="81"/>
            <rFont val="Tahoma"/>
            <family val="2"/>
          </rPr>
          <t xml:space="preserve">
Sewerage charges shown include surface water drainage charges.</t>
        </r>
      </text>
    </comment>
    <comment ref="K253" authorId="0" shapeId="0">
      <text>
        <r>
          <rPr>
            <b/>
            <sz val="9"/>
            <color indexed="81"/>
            <rFont val="Tahoma"/>
            <family val="2"/>
          </rPr>
          <t>bijnensa:</t>
        </r>
        <r>
          <rPr>
            <sz val="9"/>
            <color indexed="81"/>
            <rFont val="Tahoma"/>
            <family val="2"/>
          </rPr>
          <t xml:space="preserve">
Sewerage charges shown include surface water drainage charges.</t>
        </r>
      </text>
    </comment>
    <comment ref="K254" authorId="0" shapeId="0">
      <text>
        <r>
          <rPr>
            <b/>
            <sz val="9"/>
            <color indexed="81"/>
            <rFont val="Tahoma"/>
            <family val="2"/>
          </rPr>
          <t>bijnensa:</t>
        </r>
        <r>
          <rPr>
            <sz val="9"/>
            <color indexed="81"/>
            <rFont val="Tahoma"/>
            <family val="2"/>
          </rPr>
          <t xml:space="preserve">
Sewerage charges shown include surface water drainage charges.</t>
        </r>
      </text>
    </comment>
    <comment ref="K255" authorId="0" shapeId="0">
      <text>
        <r>
          <rPr>
            <b/>
            <sz val="9"/>
            <color indexed="81"/>
            <rFont val="Tahoma"/>
            <family val="2"/>
          </rPr>
          <t>bijnensa:</t>
        </r>
        <r>
          <rPr>
            <sz val="9"/>
            <color indexed="81"/>
            <rFont val="Tahoma"/>
            <family val="2"/>
          </rPr>
          <t xml:space="preserve">
Sewerage charges shown include surface water drainage charges.</t>
        </r>
      </text>
    </comment>
    <comment ref="A263" authorId="1" shapeId="0">
      <text>
        <r>
          <rPr>
            <b/>
            <sz val="9"/>
            <color indexed="81"/>
            <rFont val="Tahoma"/>
            <family val="2"/>
          </rPr>
          <t>Ann Bijnens:</t>
        </r>
        <r>
          <rPr>
            <sz val="9"/>
            <color indexed="81"/>
            <rFont val="Tahoma"/>
            <family val="2"/>
          </rPr>
          <t xml:space="preserve">
- FIXED CHARGES FOR DOMESTIC CUSTOMERS.
- SEWERAGE CHARGE FOR DOMESTIC CUSTOMERS IS 20%OF WATER BILL FOR; MWSC, NWSC, &amp; 30% for LWSC&amp;KWSC 40% NWWSC &amp; KWSC .
- Other charges: SANITATION SURCHARGE AT 2.5% OF WATER BILL, EXCEPT FOR NKANA WSC (NWSC) AT 3%.</t>
        </r>
      </text>
    </comment>
    <comment ref="C263" authorId="1" shapeId="0">
      <text>
        <r>
          <rPr>
            <b/>
            <sz val="9"/>
            <color indexed="81"/>
            <rFont val="Tahoma"/>
            <family val="2"/>
          </rPr>
          <t>Ann Bijnens:</t>
        </r>
        <r>
          <rPr>
            <sz val="9"/>
            <color indexed="81"/>
            <rFont val="Tahoma"/>
            <family val="2"/>
          </rPr>
          <t xml:space="preserve">
LWSC = Lusaka Water &amp; Sewerage Company</t>
        </r>
      </text>
    </comment>
    <comment ref="AF263" authorId="1" shapeId="0">
      <text>
        <r>
          <rPr>
            <b/>
            <sz val="9"/>
            <color indexed="81"/>
            <rFont val="Tahoma"/>
            <family val="2"/>
          </rPr>
          <t>Ann Bijnens:</t>
        </r>
        <r>
          <rPr>
            <sz val="9"/>
            <color indexed="81"/>
            <rFont val="Tahoma"/>
            <family val="2"/>
          </rPr>
          <t xml:space="preserve">
fixed charges for service = meter charges</t>
        </r>
      </text>
    </comment>
    <comment ref="AG263" authorId="1" shapeId="0">
      <text>
        <r>
          <rPr>
            <b/>
            <sz val="9"/>
            <color indexed="81"/>
            <rFont val="Tahoma"/>
            <family val="2"/>
          </rPr>
          <t>Ann Bijnens:</t>
        </r>
        <r>
          <rPr>
            <sz val="9"/>
            <color indexed="81"/>
            <rFont val="Tahoma"/>
            <family val="2"/>
          </rPr>
          <t xml:space="preserve">
sanitation surcharges which are a percentage of the water bill</t>
        </r>
      </text>
    </comment>
    <comment ref="C264" authorId="1" shapeId="0">
      <text>
        <r>
          <rPr>
            <b/>
            <sz val="9"/>
            <color indexed="81"/>
            <rFont val="Tahoma"/>
            <family val="2"/>
          </rPr>
          <t>Ann Bijnens:</t>
        </r>
        <r>
          <rPr>
            <sz val="9"/>
            <color indexed="81"/>
            <rFont val="Tahoma"/>
            <family val="2"/>
          </rPr>
          <t xml:space="preserve">
NWSC = National Water and Sewerage Corporation</t>
        </r>
      </text>
    </comment>
    <comment ref="AF264" authorId="1" shapeId="0">
      <text>
        <r>
          <rPr>
            <b/>
            <sz val="9"/>
            <color indexed="81"/>
            <rFont val="Tahoma"/>
            <family val="2"/>
          </rPr>
          <t>Ann Bijnens:</t>
        </r>
        <r>
          <rPr>
            <sz val="9"/>
            <color indexed="81"/>
            <rFont val="Tahoma"/>
            <family val="2"/>
          </rPr>
          <t xml:space="preserve">
fixed charges for service = meter charges</t>
        </r>
      </text>
    </comment>
    <comment ref="AG264" authorId="1" shapeId="0">
      <text>
        <r>
          <rPr>
            <b/>
            <sz val="9"/>
            <color indexed="81"/>
            <rFont val="Tahoma"/>
            <family val="2"/>
          </rPr>
          <t>Ann Bijnens:</t>
        </r>
        <r>
          <rPr>
            <sz val="9"/>
            <color indexed="81"/>
            <rFont val="Tahoma"/>
            <family val="2"/>
          </rPr>
          <t xml:space="preserve">
sanitation surcharges which are a percentage of the water bill</t>
        </r>
      </text>
    </comment>
    <comment ref="C265" authorId="1" shapeId="0">
      <text>
        <r>
          <rPr>
            <b/>
            <sz val="9"/>
            <color indexed="81"/>
            <rFont val="Tahoma"/>
            <family val="2"/>
          </rPr>
          <t>Ann Bijnens:</t>
        </r>
        <r>
          <rPr>
            <sz val="9"/>
            <color indexed="81"/>
            <rFont val="Tahoma"/>
            <family val="2"/>
          </rPr>
          <t xml:space="preserve">
KWSC = Kafubu Water and Sewerage Company</t>
        </r>
      </text>
    </comment>
    <comment ref="AF265" authorId="1" shapeId="0">
      <text>
        <r>
          <rPr>
            <b/>
            <sz val="9"/>
            <color indexed="81"/>
            <rFont val="Tahoma"/>
            <family val="2"/>
          </rPr>
          <t>Ann Bijnens:</t>
        </r>
        <r>
          <rPr>
            <sz val="9"/>
            <color indexed="81"/>
            <rFont val="Tahoma"/>
            <family val="2"/>
          </rPr>
          <t xml:space="preserve">
fixed charges for service = meter charges</t>
        </r>
      </text>
    </comment>
    <comment ref="AG265" authorId="1" shapeId="0">
      <text>
        <r>
          <rPr>
            <b/>
            <sz val="9"/>
            <color indexed="81"/>
            <rFont val="Tahoma"/>
            <family val="2"/>
          </rPr>
          <t>Ann Bijnens:</t>
        </r>
        <r>
          <rPr>
            <sz val="9"/>
            <color indexed="81"/>
            <rFont val="Tahoma"/>
            <family val="2"/>
          </rPr>
          <t xml:space="preserve">
sanitation surcharges which are a percentage of the water bill</t>
        </r>
      </text>
    </comment>
    <comment ref="C266" authorId="1" shapeId="0">
      <text>
        <r>
          <rPr>
            <b/>
            <sz val="9"/>
            <color indexed="81"/>
            <rFont val="Tahoma"/>
            <family val="2"/>
          </rPr>
          <t>Ann Bijnens:</t>
        </r>
        <r>
          <rPr>
            <sz val="9"/>
            <color indexed="81"/>
            <rFont val="Tahoma"/>
            <family val="2"/>
          </rPr>
          <t xml:space="preserve">
MWSC = Mulonga Water and Sewerage Company</t>
        </r>
      </text>
    </comment>
    <comment ref="AF266" authorId="1" shapeId="0">
      <text>
        <r>
          <rPr>
            <b/>
            <sz val="9"/>
            <color indexed="81"/>
            <rFont val="Tahoma"/>
            <family val="2"/>
          </rPr>
          <t>Ann Bijnens:</t>
        </r>
        <r>
          <rPr>
            <sz val="9"/>
            <color indexed="81"/>
            <rFont val="Tahoma"/>
            <family val="2"/>
          </rPr>
          <t xml:space="preserve">
fixed charges for service = meter charges</t>
        </r>
      </text>
    </comment>
    <comment ref="AG266" authorId="1" shapeId="0">
      <text>
        <r>
          <rPr>
            <b/>
            <sz val="9"/>
            <color indexed="81"/>
            <rFont val="Tahoma"/>
            <family val="2"/>
          </rPr>
          <t>Ann Bijnens:</t>
        </r>
        <r>
          <rPr>
            <sz val="9"/>
            <color indexed="81"/>
            <rFont val="Tahoma"/>
            <family val="2"/>
          </rPr>
          <t xml:space="preserve">
sanitation surcharges which are a percentage of the water bill</t>
        </r>
      </text>
    </comment>
    <comment ref="C267" authorId="1" shapeId="0">
      <text>
        <r>
          <rPr>
            <b/>
            <sz val="9"/>
            <color indexed="81"/>
            <rFont val="Tahoma"/>
            <family val="2"/>
          </rPr>
          <t>Ann Bijnens:</t>
        </r>
        <r>
          <rPr>
            <sz val="9"/>
            <color indexed="81"/>
            <rFont val="Tahoma"/>
            <family val="2"/>
          </rPr>
          <t xml:space="preserve">
NWWSSC = North Western Water Supply and Sewerage Company</t>
        </r>
      </text>
    </comment>
    <comment ref="AF267" authorId="1" shapeId="0">
      <text>
        <r>
          <rPr>
            <b/>
            <sz val="9"/>
            <color indexed="81"/>
            <rFont val="Tahoma"/>
            <family val="2"/>
          </rPr>
          <t>Ann Bijnens:</t>
        </r>
        <r>
          <rPr>
            <sz val="9"/>
            <color indexed="81"/>
            <rFont val="Tahoma"/>
            <family val="2"/>
          </rPr>
          <t xml:space="preserve">
fixed charges for service = meter charges</t>
        </r>
      </text>
    </comment>
    <comment ref="A282" authorId="1" shapeId="0">
      <text>
        <r>
          <rPr>
            <b/>
            <sz val="9"/>
            <color indexed="81"/>
            <rFont val="Tahoma"/>
            <family val="2"/>
          </rPr>
          <t>Ann Bijnens:</t>
        </r>
        <r>
          <rPr>
            <sz val="9"/>
            <color indexed="81"/>
            <rFont val="Tahoma"/>
            <family val="2"/>
          </rPr>
          <t xml:space="preserve">
KWSC = Kafubu Water and Sewerage Company</t>
        </r>
      </text>
    </comment>
    <comment ref="A285" authorId="1" shapeId="0">
      <text>
        <r>
          <rPr>
            <b/>
            <sz val="9"/>
            <color indexed="81"/>
            <rFont val="Tahoma"/>
            <family val="2"/>
          </rPr>
          <t>Ann Bijnens:</t>
        </r>
        <r>
          <rPr>
            <sz val="9"/>
            <color indexed="81"/>
            <rFont val="Tahoma"/>
            <family val="2"/>
          </rPr>
          <t xml:space="preserve">
MWSC = Mulonga Water and Sewerage Company</t>
        </r>
      </text>
    </comment>
    <comment ref="A288" authorId="1" shapeId="0">
      <text>
        <r>
          <rPr>
            <b/>
            <sz val="9"/>
            <color indexed="81"/>
            <rFont val="Tahoma"/>
            <family val="2"/>
          </rPr>
          <t>Ann Bijnens:</t>
        </r>
        <r>
          <rPr>
            <sz val="9"/>
            <color indexed="81"/>
            <rFont val="Tahoma"/>
            <family val="2"/>
          </rPr>
          <t xml:space="preserve">
LWSC = Lusaka Water &amp; Sewerage Company</t>
        </r>
      </text>
    </comment>
    <comment ref="A297" authorId="1" shapeId="0">
      <text>
        <r>
          <rPr>
            <b/>
            <sz val="9"/>
            <color indexed="81"/>
            <rFont val="Tahoma"/>
            <family val="2"/>
          </rPr>
          <t>Ann Bijnens:</t>
        </r>
        <r>
          <rPr>
            <sz val="9"/>
            <color indexed="81"/>
            <rFont val="Tahoma"/>
            <family val="2"/>
          </rPr>
          <t xml:space="preserve">
NWWSSC = North Western Water Supply and Sewerage Company</t>
        </r>
      </text>
    </comment>
    <comment ref="A333" authorId="1" shapeId="0">
      <text>
        <r>
          <rPr>
            <b/>
            <sz val="9"/>
            <color indexed="81"/>
            <rFont val="Tahoma"/>
            <family val="2"/>
          </rPr>
          <t>Ann Bijnens:</t>
        </r>
        <r>
          <rPr>
            <sz val="9"/>
            <color indexed="81"/>
            <rFont val="Tahoma"/>
            <family val="2"/>
          </rPr>
          <t xml:space="preserve">
charges 2015: during summer the population supplied is over 1.000.000 inhabitans due the seaside areas</t>
        </r>
      </text>
    </comment>
    <comment ref="A347" authorId="1" shapeId="0">
      <text>
        <r>
          <rPr>
            <b/>
            <sz val="9"/>
            <color indexed="81"/>
            <rFont val="Tahoma"/>
            <family val="2"/>
          </rPr>
          <t>Ann Bijnens:</t>
        </r>
        <r>
          <rPr>
            <sz val="9"/>
            <color indexed="81"/>
            <rFont val="Tahoma"/>
            <family val="2"/>
          </rPr>
          <t xml:space="preserve">
charges 2015: population data are calculated based on clients declaration. All citizen have acces to water supply and sewerage services</t>
        </r>
      </text>
    </comment>
    <comment ref="E363" authorId="0" shapeId="0">
      <text>
        <r>
          <rPr>
            <b/>
            <sz val="9"/>
            <color indexed="81"/>
            <rFont val="Tahoma"/>
            <family val="2"/>
          </rPr>
          <t>bijnensa:</t>
        </r>
        <r>
          <rPr>
            <sz val="9"/>
            <color indexed="81"/>
            <rFont val="Tahoma"/>
            <family val="2"/>
          </rPr>
          <t xml:space="preserve">
distribution and concession reimbursements ("precario")</t>
        </r>
      </text>
    </comment>
    <comment ref="E379" authorId="0" shapeId="0">
      <text>
        <r>
          <rPr>
            <b/>
            <sz val="9"/>
            <color indexed="81"/>
            <rFont val="Tahoma"/>
            <family val="2"/>
          </rPr>
          <t>bijnensa:</t>
        </r>
        <r>
          <rPr>
            <sz val="9"/>
            <color indexed="81"/>
            <rFont val="Tahoma"/>
            <family val="2"/>
          </rPr>
          <t xml:space="preserve">
distribution and concession reimbursements ("precario")</t>
        </r>
      </text>
    </comment>
    <comment ref="D428" authorId="1" shapeId="0">
      <text>
        <r>
          <rPr>
            <b/>
            <sz val="9"/>
            <color indexed="81"/>
            <rFont val="Tahoma"/>
            <family val="2"/>
          </rPr>
          <t>Ann Bijnens:</t>
        </r>
        <r>
          <rPr>
            <sz val="9"/>
            <color indexed="81"/>
            <rFont val="Tahoma"/>
            <family val="2"/>
          </rPr>
          <t xml:space="preserve">
Increasing block tariff at €1.3965/m3 up to 33m3/person/annum and €5.1395/m3 above 33m3/person/annum. Assume water consumption spread evenly over the year.</t>
        </r>
      </text>
    </comment>
  </commentList>
</comments>
</file>

<file path=xl/comments10.xml><?xml version="1.0" encoding="utf-8"?>
<comments xmlns="http://schemas.openxmlformats.org/spreadsheetml/2006/main">
  <authors>
    <author>Ann Bijnens</author>
    <author>bijnensa</author>
  </authors>
  <commentList>
    <comment ref="J7" authorId="0" shapeId="0">
      <text>
        <r>
          <rPr>
            <b/>
            <sz val="9"/>
            <color indexed="81"/>
            <rFont val="Tahoma"/>
            <family val="2"/>
          </rPr>
          <t>Ann Bijnens:</t>
        </r>
        <r>
          <rPr>
            <sz val="9"/>
            <color indexed="81"/>
            <rFont val="Tahoma"/>
            <family val="2"/>
          </rPr>
          <t xml:space="preserve">
21% for 2017</t>
        </r>
      </text>
    </comment>
    <comment ref="M7" authorId="0" shapeId="0">
      <text>
        <r>
          <rPr>
            <b/>
            <sz val="9"/>
            <color indexed="81"/>
            <rFont val="Tahoma"/>
            <family val="2"/>
          </rPr>
          <t>Ann Bijnens:</t>
        </r>
        <r>
          <rPr>
            <sz val="9"/>
            <color indexed="81"/>
            <rFont val="Tahoma"/>
            <family val="2"/>
          </rPr>
          <t xml:space="preserve">
21% for 2017</t>
        </r>
      </text>
    </comment>
    <comment ref="O7" authorId="0" shapeId="0">
      <text>
        <r>
          <rPr>
            <b/>
            <sz val="9"/>
            <color indexed="81"/>
            <rFont val="Tahoma"/>
            <family val="2"/>
          </rPr>
          <t>Ann Bijnens:</t>
        </r>
        <r>
          <rPr>
            <sz val="9"/>
            <color indexed="81"/>
            <rFont val="Tahoma"/>
            <family val="2"/>
          </rPr>
          <t xml:space="preserve">
21% for 2017</t>
        </r>
      </text>
    </comment>
    <comment ref="Q7" authorId="0" shapeId="0">
      <text>
        <r>
          <rPr>
            <b/>
            <sz val="9"/>
            <color indexed="81"/>
            <rFont val="Tahoma"/>
            <family val="2"/>
          </rPr>
          <t>Ann Bijnens:</t>
        </r>
        <r>
          <rPr>
            <sz val="9"/>
            <color indexed="81"/>
            <rFont val="Tahoma"/>
            <family val="2"/>
          </rPr>
          <t xml:space="preserve">
21% for 2017</t>
        </r>
      </text>
    </comment>
    <comment ref="B14" authorId="0" shapeId="0">
      <text>
        <r>
          <rPr>
            <b/>
            <sz val="9"/>
            <color indexed="81"/>
            <rFont val="Tahoma"/>
            <family val="2"/>
          </rPr>
          <t>Ann Bijnens:</t>
        </r>
        <r>
          <rPr>
            <sz val="9"/>
            <color indexed="81"/>
            <rFont val="Tahoma"/>
            <family val="2"/>
          </rPr>
          <t xml:space="preserve">
charges 2017: charges for wastewater treatment are included in sewerage taxes.
Bill is not depending on the volume of consumption.</t>
        </r>
      </text>
    </comment>
    <comment ref="H16" authorId="1" shapeId="0">
      <text>
        <r>
          <rPr>
            <b/>
            <sz val="9"/>
            <color indexed="81"/>
            <rFont val="Tahoma"/>
            <family val="2"/>
          </rPr>
          <t>bijnensa:</t>
        </r>
        <r>
          <rPr>
            <sz val="9"/>
            <color indexed="81"/>
            <rFont val="Tahoma"/>
            <family val="2"/>
          </rPr>
          <t xml:space="preserve">
assumes the customers water consumption is equally distributed in each quarter</t>
        </r>
      </text>
    </comment>
    <comment ref="I16" authorId="1" shapeId="0">
      <text>
        <r>
          <rPr>
            <b/>
            <sz val="9"/>
            <color indexed="81"/>
            <rFont val="Tahoma"/>
            <family val="2"/>
          </rPr>
          <t>bijnensa:</t>
        </r>
        <r>
          <rPr>
            <sz val="9"/>
            <color indexed="81"/>
            <rFont val="Tahoma"/>
            <family val="2"/>
          </rPr>
          <t xml:space="preserve">
River Murray Levy</t>
        </r>
      </text>
    </comment>
    <comment ref="L16" authorId="1" shapeId="0">
      <text>
        <r>
          <rPr>
            <b/>
            <sz val="9"/>
            <color indexed="81"/>
            <rFont val="Tahoma"/>
            <family val="2"/>
          </rPr>
          <t>bijnensa:</t>
        </r>
        <r>
          <rPr>
            <sz val="9"/>
            <color indexed="81"/>
            <rFont val="Tahoma"/>
            <family val="2"/>
          </rPr>
          <t xml:space="preserve">
based on the average valued property</t>
        </r>
      </text>
    </comment>
    <comment ref="A37" authorId="0" shapeId="0">
      <text>
        <r>
          <rPr>
            <b/>
            <sz val="9"/>
            <color indexed="81"/>
            <rFont val="Tahoma"/>
            <family val="2"/>
          </rPr>
          <t>Ann Bijnens:</t>
        </r>
        <r>
          <rPr>
            <sz val="9"/>
            <color indexed="81"/>
            <rFont val="Tahoma"/>
            <family val="2"/>
          </rPr>
          <t xml:space="preserve">
charges of 2015:
Source: SNIS - National System of Information on Water and Sanitation    Reference Year - 2015 - Last Edition published                                                           SABESP - Water Utility of São Paulo State with full concession of Water and Sanitation Services in 368 Municipalities of São Paulo Stae, deserving around 27,9 millioon inhabitants.                                                                                                                                                                                      BRASÍLIA - The Federal District is deserved in water and sanitation by CAESB, the local water utility.  CAESB deserves about 2,59 million inhabitants.</t>
        </r>
      </text>
    </comment>
    <comment ref="A45" authorId="0" shapeId="0">
      <text>
        <r>
          <rPr>
            <b/>
            <sz val="9"/>
            <color indexed="81"/>
            <rFont val="Tahoma"/>
            <family val="2"/>
          </rPr>
          <t>Ann Bijnens:</t>
        </r>
        <r>
          <rPr>
            <sz val="9"/>
            <color indexed="81"/>
            <rFont val="Tahoma"/>
            <family val="2"/>
          </rPr>
          <t xml:space="preserve">
charges of 2017:
Tariffs for 3 services (water supply, sewerage and waste water treatment are billed per m3 consumed. No fix or variable components are applied. VAT is 20%.
Tariffs in Sofia and Burgas are established in 2017, in Pleven and Razgrad in 2016, and in Stara Zagora in 2012</t>
        </r>
      </text>
    </comment>
    <comment ref="A75" authorId="0" shapeId="0">
      <text>
        <r>
          <rPr>
            <b/>
            <sz val="9"/>
            <color indexed="81"/>
            <rFont val="Tahoma"/>
            <family val="2"/>
          </rPr>
          <t>Ann Bijnens:</t>
        </r>
        <r>
          <rPr>
            <sz val="9"/>
            <color indexed="81"/>
            <rFont val="Tahoma"/>
            <family val="2"/>
          </rPr>
          <t xml:space="preserve">
charges 2017:
- variable component includes all other taxes and charges applied in the Czech Republic, for example water abstraction, wastewater discharges, etc
- rate 15% VAT
- WWT includes the charges for sewerage</t>
        </r>
      </text>
    </comment>
    <comment ref="A85" authorId="0" shapeId="0">
      <text>
        <r>
          <rPr>
            <b/>
            <sz val="9"/>
            <color indexed="81"/>
            <rFont val="Tahoma"/>
            <family val="2"/>
          </rPr>
          <t>Ann Bijnens:</t>
        </r>
        <r>
          <rPr>
            <sz val="9"/>
            <color indexed="81"/>
            <rFont val="Tahoma"/>
            <family val="2"/>
          </rPr>
          <t xml:space="preserve">
charges of 2017:
sewerage charges variable component based on water consumption, includes waste water treatment.
Other charges: service charge or fixed bill component  sewerage including waste water treatment</t>
        </r>
      </text>
    </comment>
    <comment ref="A91" authorId="0" shapeId="0">
      <text>
        <r>
          <rPr>
            <b/>
            <sz val="9"/>
            <color indexed="81"/>
            <rFont val="Tahoma"/>
            <family val="2"/>
          </rPr>
          <t>Ann Bijnens:</t>
        </r>
        <r>
          <rPr>
            <sz val="9"/>
            <color indexed="81"/>
            <rFont val="Tahoma"/>
            <family val="2"/>
          </rPr>
          <t xml:space="preserve">
data of 2015/2017? Other charges = water agency
VAT on drinking water = 5%
VAT on sew&amp;WWT = 10%</t>
        </r>
      </text>
    </comment>
    <comment ref="B97" authorId="0" shapeId="0">
      <text>
        <r>
          <rPr>
            <b/>
            <sz val="9"/>
            <color indexed="81"/>
            <rFont val="Tahoma"/>
            <family val="2"/>
          </rPr>
          <t>Ann Bijnens:</t>
        </r>
        <r>
          <rPr>
            <sz val="9"/>
            <color indexed="81"/>
            <rFont val="Tahoma"/>
            <family val="2"/>
          </rPr>
          <t xml:space="preserve">
data of 2014</t>
        </r>
      </text>
    </comment>
    <comment ref="A141" authorId="0" shapeId="0">
      <text>
        <r>
          <rPr>
            <b/>
            <sz val="9"/>
            <color indexed="81"/>
            <rFont val="Tahoma"/>
            <family val="2"/>
          </rPr>
          <t>Ann Bijnens:</t>
        </r>
        <r>
          <rPr>
            <sz val="9"/>
            <color indexed="81"/>
            <rFont val="Tahoma"/>
            <family val="2"/>
          </rPr>
          <t xml:space="preserve">
In comparison with the data of 2015 the charges for 200 m³ are decreased in 2017.
Due to the domestic consumption has considerably increased in the past few years, therefore, we have also included the domestic customers in the 2017 data.
</t>
        </r>
      </text>
    </comment>
    <comment ref="A143" authorId="0" shapeId="0">
      <text>
        <r>
          <rPr>
            <b/>
            <sz val="9"/>
            <color indexed="81"/>
            <rFont val="Tahoma"/>
            <family val="2"/>
          </rPr>
          <t xml:space="preserve">Ann Bijnens:
</t>
        </r>
        <r>
          <rPr>
            <sz val="9"/>
            <color indexed="81"/>
            <rFont val="Tahoma"/>
            <family val="2"/>
          </rPr>
          <t>There are no regional differences in water rates</t>
        </r>
      </text>
    </comment>
    <comment ref="B143" authorId="0" shapeId="0">
      <text>
        <r>
          <rPr>
            <b/>
            <sz val="9"/>
            <color indexed="81"/>
            <rFont val="Tahoma"/>
            <family val="2"/>
          </rPr>
          <t>Ann Bijnens:</t>
        </r>
        <r>
          <rPr>
            <sz val="9"/>
            <color indexed="81"/>
            <rFont val="Tahoma"/>
            <family val="2"/>
          </rPr>
          <t xml:space="preserve">
for a 3 persons household</t>
        </r>
      </text>
    </comment>
    <comment ref="H143" authorId="0" shapeId="0">
      <text>
        <r>
          <rPr>
            <b/>
            <sz val="9"/>
            <color indexed="81"/>
            <rFont val="Tahoma"/>
            <family val="2"/>
          </rPr>
          <t>Ann Bijnens:</t>
        </r>
        <r>
          <rPr>
            <sz val="9"/>
            <color indexed="81"/>
            <rFont val="Tahoma"/>
            <family val="2"/>
          </rPr>
          <t xml:space="preserve">
Increasing block tariff at €1.3965/m3 up to 33m3/person/annum and €5.1395/m3 above 33m3/person/annum. Assume water consumption spread evenly over the year.</t>
        </r>
      </text>
    </comment>
    <comment ref="N143" authorId="0" shapeId="0">
      <text>
        <r>
          <rPr>
            <b/>
            <sz val="9"/>
            <color indexed="81"/>
            <rFont val="Tahoma"/>
            <family val="2"/>
          </rPr>
          <t>Ann Bijnens:</t>
        </r>
        <r>
          <rPr>
            <sz val="9"/>
            <color indexed="81"/>
            <rFont val="Tahoma"/>
            <family val="2"/>
          </rPr>
          <t xml:space="preserve">
rates incorporate sewerage contribution</t>
        </r>
      </text>
    </comment>
    <comment ref="N157" authorId="0" shapeId="0">
      <text>
        <r>
          <rPr>
            <b/>
            <sz val="9"/>
            <color indexed="81"/>
            <rFont val="Tahoma"/>
            <family val="2"/>
          </rPr>
          <t>Ann Bijnens:</t>
        </r>
        <r>
          <rPr>
            <sz val="9"/>
            <color indexed="81"/>
            <rFont val="Tahoma"/>
            <family val="2"/>
          </rPr>
          <t xml:space="preserve">
charges 2017: 100 m³ of drinking water pertains to a household consiting of 2,2 inhabitants, they receive a bill for 3 pollution units</t>
        </r>
      </text>
    </comment>
    <comment ref="P157" authorId="1" shapeId="0">
      <text>
        <r>
          <rPr>
            <b/>
            <sz val="9"/>
            <color indexed="81"/>
            <rFont val="Tahoma"/>
            <family val="2"/>
          </rPr>
          <t>bijnensa:</t>
        </r>
        <r>
          <rPr>
            <sz val="9"/>
            <color indexed="81"/>
            <rFont val="Tahoma"/>
            <family val="2"/>
          </rPr>
          <t xml:space="preserve">
charges 2017: other charges: tap water tax</t>
        </r>
      </text>
    </comment>
    <comment ref="B158" authorId="0" shapeId="0">
      <text>
        <r>
          <rPr>
            <b/>
            <sz val="9"/>
            <color indexed="81"/>
            <rFont val="Tahoma"/>
            <family val="2"/>
          </rPr>
          <t>Ann Bijnens:</t>
        </r>
        <r>
          <rPr>
            <sz val="9"/>
            <color indexed="81"/>
            <rFont val="Tahoma"/>
            <family val="2"/>
          </rPr>
          <t xml:space="preserve">
charges 2017: Rotterdam is Water Authority HHSK</t>
        </r>
      </text>
    </comment>
    <comment ref="I158" authorId="1" shapeId="0">
      <text>
        <r>
          <rPr>
            <b/>
            <sz val="9"/>
            <color indexed="81"/>
            <rFont val="Tahoma"/>
            <family val="2"/>
          </rPr>
          <t>bijnensa:</t>
        </r>
        <r>
          <rPr>
            <sz val="9"/>
            <color indexed="81"/>
            <rFont val="Tahoma"/>
            <family val="2"/>
          </rPr>
          <t xml:space="preserve">
charges 2017: distribution and concession reimbursements ("precario")</t>
        </r>
      </text>
    </comment>
    <comment ref="N158" authorId="0" shapeId="0">
      <text>
        <r>
          <rPr>
            <b/>
            <sz val="9"/>
            <color indexed="81"/>
            <rFont val="Tahoma"/>
            <family val="2"/>
          </rPr>
          <t>Ann Bijnens:</t>
        </r>
        <r>
          <rPr>
            <sz val="9"/>
            <color indexed="81"/>
            <rFont val="Tahoma"/>
            <family val="2"/>
          </rPr>
          <t xml:space="preserve">
charges 2017: 100 m³ of drinking water pertains to a household consiting of 2,2 inhabitants, they receive a bill for 3 pollution units</t>
        </r>
      </text>
    </comment>
    <comment ref="P158" authorId="1" shapeId="0">
      <text>
        <r>
          <rPr>
            <b/>
            <sz val="9"/>
            <color indexed="81"/>
            <rFont val="Tahoma"/>
            <family val="2"/>
          </rPr>
          <t>bijnensa:</t>
        </r>
        <r>
          <rPr>
            <sz val="9"/>
            <color indexed="81"/>
            <rFont val="Tahoma"/>
            <family val="2"/>
          </rPr>
          <t xml:space="preserve">
other charges: tap water tax</t>
        </r>
      </text>
    </comment>
    <comment ref="I159" authorId="1" shapeId="0">
      <text>
        <r>
          <rPr>
            <b/>
            <sz val="9"/>
            <color indexed="81"/>
            <rFont val="Tahoma"/>
            <family val="2"/>
          </rPr>
          <t>bijnensa:</t>
        </r>
        <r>
          <rPr>
            <sz val="9"/>
            <color indexed="81"/>
            <rFont val="Tahoma"/>
            <family val="2"/>
          </rPr>
          <t xml:space="preserve">
charges 2017: distribution and concession reimbursements ("precario")</t>
        </r>
      </text>
    </comment>
    <comment ref="N159" authorId="0" shapeId="0">
      <text>
        <r>
          <rPr>
            <b/>
            <sz val="9"/>
            <color indexed="81"/>
            <rFont val="Tahoma"/>
            <family val="2"/>
          </rPr>
          <t>Ann Bijnens:</t>
        </r>
        <r>
          <rPr>
            <sz val="9"/>
            <color indexed="81"/>
            <rFont val="Tahoma"/>
            <family val="2"/>
          </rPr>
          <t xml:space="preserve">
charges 2017: 100 m³ of drinking water pertains to a household consiting of 2,2 inhabitants, they receive a bill for 3 pollution units</t>
        </r>
      </text>
    </comment>
    <comment ref="P159" authorId="1" shapeId="0">
      <text>
        <r>
          <rPr>
            <b/>
            <sz val="9"/>
            <color indexed="81"/>
            <rFont val="Tahoma"/>
            <family val="2"/>
          </rPr>
          <t>bijnensa:</t>
        </r>
        <r>
          <rPr>
            <sz val="9"/>
            <color indexed="81"/>
            <rFont val="Tahoma"/>
            <family val="2"/>
          </rPr>
          <t xml:space="preserve">
other charges: tap water tax</t>
        </r>
      </text>
    </comment>
    <comment ref="N160" authorId="0" shapeId="0">
      <text>
        <r>
          <rPr>
            <b/>
            <sz val="9"/>
            <color indexed="81"/>
            <rFont val="Tahoma"/>
            <family val="2"/>
          </rPr>
          <t>Ann Bijnens:</t>
        </r>
        <r>
          <rPr>
            <sz val="9"/>
            <color indexed="81"/>
            <rFont val="Tahoma"/>
            <family val="2"/>
          </rPr>
          <t xml:space="preserve">
charges 2017: 100 m³ of drinking water pertains to a household consiting of 2,2 inhabitants, they receive a bill for 3 pollution units</t>
        </r>
      </text>
    </comment>
    <comment ref="P160" authorId="1" shapeId="0">
      <text>
        <r>
          <rPr>
            <b/>
            <sz val="9"/>
            <color indexed="81"/>
            <rFont val="Tahoma"/>
            <family val="2"/>
          </rPr>
          <t>bijnensa:</t>
        </r>
        <r>
          <rPr>
            <sz val="9"/>
            <color indexed="81"/>
            <rFont val="Tahoma"/>
            <family val="2"/>
          </rPr>
          <t xml:space="preserve">
other charges: tap water tax</t>
        </r>
      </text>
    </comment>
    <comment ref="N161" authorId="0" shapeId="0">
      <text>
        <r>
          <rPr>
            <b/>
            <sz val="9"/>
            <color indexed="81"/>
            <rFont val="Tahoma"/>
            <family val="2"/>
          </rPr>
          <t>Ann Bijnens:</t>
        </r>
        <r>
          <rPr>
            <sz val="9"/>
            <color indexed="81"/>
            <rFont val="Tahoma"/>
            <family val="2"/>
          </rPr>
          <t xml:space="preserve">
charges 2017: 100 m³ of drinking water pertains to a household consiting of 2,2 inhabitants, they receive a bill for 3 pollution units</t>
        </r>
      </text>
    </comment>
    <comment ref="P161" authorId="1" shapeId="0">
      <text>
        <r>
          <rPr>
            <b/>
            <sz val="9"/>
            <color indexed="81"/>
            <rFont val="Tahoma"/>
            <family val="2"/>
          </rPr>
          <t>bijnensa:</t>
        </r>
        <r>
          <rPr>
            <sz val="9"/>
            <color indexed="81"/>
            <rFont val="Tahoma"/>
            <family val="2"/>
          </rPr>
          <t xml:space="preserve">
other charges: tap water tax</t>
        </r>
      </text>
    </comment>
    <comment ref="A227" authorId="0" shapeId="0">
      <text>
        <r>
          <rPr>
            <b/>
            <sz val="9"/>
            <color indexed="81"/>
            <rFont val="Tahoma"/>
            <family val="2"/>
          </rPr>
          <t>Ann Bijnens:</t>
        </r>
        <r>
          <rPr>
            <sz val="9"/>
            <color indexed="81"/>
            <rFont val="Tahoma"/>
            <family val="2"/>
          </rPr>
          <t xml:space="preserve">
data of 2017:
In Scotland all public supply is charged at a fixed rate (unmetered) and collected by local authorities along with council (local property) tax. It is banded according to the value of the property but the levels of charges are the same everywhere. This link gives the table with the banded rates. http://www.scottishwater.co.uk/you-and-your-home/your-charges/2018-19-charges/2018-19-umc If households are in receipt of benefit or a single adult, there is a reduction. There is a separate charge for water and for sewerage though most people and certainly in urban areas have both elements of public supply. 
banded tariffs for water start at £134.66 / pa and rise (8 bands) to £404.82 / pa. Banded charges for wastewater start ar £156.66 / pa and rise to £469.98 / pa. </t>
        </r>
      </text>
    </comment>
    <comment ref="N243" authorId="1" shapeId="0">
      <text>
        <r>
          <rPr>
            <b/>
            <sz val="9"/>
            <color indexed="81"/>
            <rFont val="Tahoma"/>
            <family val="2"/>
          </rPr>
          <t>bijnensa:</t>
        </r>
        <r>
          <rPr>
            <sz val="9"/>
            <color indexed="81"/>
            <rFont val="Tahoma"/>
            <family val="2"/>
          </rPr>
          <t xml:space="preserve">
not separately charged. Inherent to sewerage charge</t>
        </r>
      </text>
    </comment>
    <comment ref="H244" authorId="1" shapeId="0">
      <text>
        <r>
          <rPr>
            <b/>
            <sz val="9"/>
            <color indexed="81"/>
            <rFont val="Tahoma"/>
            <family val="2"/>
          </rPr>
          <t>bijnensa:</t>
        </r>
        <r>
          <rPr>
            <sz val="9"/>
            <color indexed="81"/>
            <rFont val="Tahoma"/>
            <family val="2"/>
          </rPr>
          <t xml:space="preserve">
assumes the customers water consumption is equally distributed in each quarter</t>
        </r>
      </text>
    </comment>
    <comment ref="I244" authorId="1" shapeId="0">
      <text>
        <r>
          <rPr>
            <b/>
            <sz val="9"/>
            <color indexed="81"/>
            <rFont val="Tahoma"/>
            <family val="2"/>
          </rPr>
          <t>bijnensa:</t>
        </r>
        <r>
          <rPr>
            <sz val="9"/>
            <color indexed="81"/>
            <rFont val="Tahoma"/>
            <family val="2"/>
          </rPr>
          <t xml:space="preserve">
River Murray Levy</t>
        </r>
      </text>
    </comment>
    <comment ref="L244" authorId="1" shapeId="0">
      <text>
        <r>
          <rPr>
            <b/>
            <sz val="9"/>
            <color indexed="81"/>
            <rFont val="Tahoma"/>
            <family val="2"/>
          </rPr>
          <t>bijnensa:</t>
        </r>
        <r>
          <rPr>
            <sz val="9"/>
            <color indexed="81"/>
            <rFont val="Tahoma"/>
            <family val="2"/>
          </rPr>
          <t xml:space="preserve">
based on the average valued property</t>
        </r>
      </text>
    </comment>
    <comment ref="A253" authorId="0" shapeId="0">
      <text>
        <r>
          <rPr>
            <b/>
            <sz val="9"/>
            <color indexed="81"/>
            <rFont val="Tahoma"/>
            <family val="2"/>
          </rPr>
          <t>Ann Bijnens:</t>
        </r>
        <r>
          <rPr>
            <sz val="9"/>
            <color indexed="81"/>
            <rFont val="Tahoma"/>
            <family val="2"/>
          </rPr>
          <t xml:space="preserve">
charges of 2017:
The drinking water bill for all cities (Madrid, Barcelona, Bilbao, Sevilla and Valencia) consists of both variable and fixed components. But as we perform our tariff studies in Spain, we do not separate fixed and variable component.  So as a convention, we have decided to include the drinking water bill on variable component.
We also have variable and fixed components in Sewerage and WWT services, but in our tariff studies we do not separate each concept.
VAT in Spain for water services is 10% of the total value for the majority of concepts included on the bill </t>
        </r>
      </text>
    </comment>
    <comment ref="A263" authorId="0" shapeId="0">
      <text>
        <r>
          <rPr>
            <b/>
            <sz val="9"/>
            <color indexed="81"/>
            <rFont val="Tahoma"/>
            <family val="2"/>
          </rPr>
          <t>Ann Bijnens:</t>
        </r>
        <r>
          <rPr>
            <sz val="9"/>
            <color indexed="81"/>
            <rFont val="Tahoma"/>
            <family val="2"/>
          </rPr>
          <t xml:space="preserve">
data of 2017: calculated for a household in a six-flat-apartment</t>
        </r>
      </text>
    </comment>
    <comment ref="J263" authorId="0" shapeId="0">
      <text>
        <r>
          <rPr>
            <b/>
            <sz val="9"/>
            <color indexed="81"/>
            <rFont val="Tahoma"/>
            <family val="2"/>
          </rPr>
          <t>Ann Bijnens:</t>
        </r>
        <r>
          <rPr>
            <sz val="9"/>
            <color indexed="81"/>
            <rFont val="Tahoma"/>
            <family val="2"/>
          </rPr>
          <t xml:space="preserve">
8% VAT on drinking water</t>
        </r>
      </text>
    </comment>
    <comment ref="L263" authorId="0" shapeId="0">
      <text>
        <r>
          <rPr>
            <b/>
            <sz val="9"/>
            <color indexed="81"/>
            <rFont val="Tahoma"/>
            <family val="2"/>
          </rPr>
          <t>Ann Bijnens:</t>
        </r>
        <r>
          <rPr>
            <sz val="9"/>
            <color indexed="81"/>
            <rFont val="Tahoma"/>
            <family val="2"/>
          </rPr>
          <t xml:space="preserve">
including WWT</t>
        </r>
      </text>
    </comment>
    <comment ref="M263" authorId="0" shapeId="0">
      <text>
        <r>
          <rPr>
            <b/>
            <sz val="9"/>
            <color indexed="81"/>
            <rFont val="Tahoma"/>
            <family val="2"/>
          </rPr>
          <t>Ann Bijnens:</t>
        </r>
        <r>
          <rPr>
            <sz val="9"/>
            <color indexed="81"/>
            <rFont val="Tahoma"/>
            <family val="2"/>
          </rPr>
          <t xml:space="preserve">
2,5% VAT on sewerage</t>
        </r>
      </text>
    </comment>
    <comment ref="J264" authorId="0" shapeId="0">
      <text>
        <r>
          <rPr>
            <b/>
            <sz val="9"/>
            <color indexed="81"/>
            <rFont val="Tahoma"/>
            <family val="2"/>
          </rPr>
          <t>Ann Bijnens:</t>
        </r>
        <r>
          <rPr>
            <sz val="9"/>
            <color indexed="81"/>
            <rFont val="Tahoma"/>
            <family val="2"/>
          </rPr>
          <t xml:space="preserve">
8% VAT on drinking water</t>
        </r>
      </text>
    </comment>
    <comment ref="L264" authorId="0" shapeId="0">
      <text>
        <r>
          <rPr>
            <b/>
            <sz val="9"/>
            <color indexed="81"/>
            <rFont val="Tahoma"/>
            <family val="2"/>
          </rPr>
          <t>Ann Bijnens:</t>
        </r>
        <r>
          <rPr>
            <sz val="9"/>
            <color indexed="81"/>
            <rFont val="Tahoma"/>
            <family val="2"/>
          </rPr>
          <t xml:space="preserve">
including WWT</t>
        </r>
      </text>
    </comment>
    <comment ref="M264" authorId="0" shapeId="0">
      <text>
        <r>
          <rPr>
            <b/>
            <sz val="9"/>
            <color indexed="81"/>
            <rFont val="Tahoma"/>
            <family val="2"/>
          </rPr>
          <t>Ann Bijnens:</t>
        </r>
        <r>
          <rPr>
            <sz val="9"/>
            <color indexed="81"/>
            <rFont val="Tahoma"/>
            <family val="2"/>
          </rPr>
          <t xml:space="preserve">
2,5% VAT on sewerage</t>
        </r>
      </text>
    </comment>
    <comment ref="J265" authorId="0" shapeId="0">
      <text>
        <r>
          <rPr>
            <b/>
            <sz val="9"/>
            <color indexed="81"/>
            <rFont val="Tahoma"/>
            <family val="2"/>
          </rPr>
          <t>Ann Bijnens:</t>
        </r>
        <r>
          <rPr>
            <sz val="9"/>
            <color indexed="81"/>
            <rFont val="Tahoma"/>
            <family val="2"/>
          </rPr>
          <t xml:space="preserve">
8% VAT on drinking water</t>
        </r>
      </text>
    </comment>
    <comment ref="L265" authorId="0" shapeId="0">
      <text>
        <r>
          <rPr>
            <b/>
            <sz val="9"/>
            <color indexed="81"/>
            <rFont val="Tahoma"/>
            <family val="2"/>
          </rPr>
          <t>Ann Bijnens:</t>
        </r>
        <r>
          <rPr>
            <sz val="9"/>
            <color indexed="81"/>
            <rFont val="Tahoma"/>
            <family val="2"/>
          </rPr>
          <t xml:space="preserve">
including WWT</t>
        </r>
      </text>
    </comment>
    <comment ref="M265" authorId="0" shapeId="0">
      <text>
        <r>
          <rPr>
            <b/>
            <sz val="9"/>
            <color indexed="81"/>
            <rFont val="Tahoma"/>
            <family val="2"/>
          </rPr>
          <t>Ann Bijnens:</t>
        </r>
        <r>
          <rPr>
            <sz val="9"/>
            <color indexed="81"/>
            <rFont val="Tahoma"/>
            <family val="2"/>
          </rPr>
          <t xml:space="preserve">
2,5% VAT on sewerage</t>
        </r>
      </text>
    </comment>
    <comment ref="J266" authorId="0" shapeId="0">
      <text>
        <r>
          <rPr>
            <b/>
            <sz val="9"/>
            <color indexed="81"/>
            <rFont val="Tahoma"/>
            <family val="2"/>
          </rPr>
          <t>Ann Bijnens:</t>
        </r>
        <r>
          <rPr>
            <sz val="9"/>
            <color indexed="81"/>
            <rFont val="Tahoma"/>
            <family val="2"/>
          </rPr>
          <t xml:space="preserve">
8% VAT on drinking water</t>
        </r>
      </text>
    </comment>
    <comment ref="L266" authorId="0" shapeId="0">
      <text>
        <r>
          <rPr>
            <b/>
            <sz val="9"/>
            <color indexed="81"/>
            <rFont val="Tahoma"/>
            <family val="2"/>
          </rPr>
          <t>Ann Bijnens:</t>
        </r>
        <r>
          <rPr>
            <sz val="9"/>
            <color indexed="81"/>
            <rFont val="Tahoma"/>
            <family val="2"/>
          </rPr>
          <t xml:space="preserve">
including WWT</t>
        </r>
      </text>
    </comment>
    <comment ref="M266" authorId="0" shapeId="0">
      <text>
        <r>
          <rPr>
            <b/>
            <sz val="9"/>
            <color indexed="81"/>
            <rFont val="Tahoma"/>
            <family val="2"/>
          </rPr>
          <t>Ann Bijnens:</t>
        </r>
        <r>
          <rPr>
            <sz val="9"/>
            <color indexed="81"/>
            <rFont val="Tahoma"/>
            <family val="2"/>
          </rPr>
          <t xml:space="preserve">
2,5% VAT on sewerage</t>
        </r>
      </text>
    </comment>
    <comment ref="J267" authorId="0" shapeId="0">
      <text>
        <r>
          <rPr>
            <b/>
            <sz val="9"/>
            <color indexed="81"/>
            <rFont val="Tahoma"/>
            <family val="2"/>
          </rPr>
          <t>Ann Bijnens:</t>
        </r>
        <r>
          <rPr>
            <sz val="9"/>
            <color indexed="81"/>
            <rFont val="Tahoma"/>
            <family val="2"/>
          </rPr>
          <t xml:space="preserve">
8% VAT on drinking water</t>
        </r>
      </text>
    </comment>
    <comment ref="L267" authorId="0" shapeId="0">
      <text>
        <r>
          <rPr>
            <b/>
            <sz val="9"/>
            <color indexed="81"/>
            <rFont val="Tahoma"/>
            <family val="2"/>
          </rPr>
          <t>Ann Bijnens:</t>
        </r>
        <r>
          <rPr>
            <sz val="9"/>
            <color indexed="81"/>
            <rFont val="Tahoma"/>
            <family val="2"/>
          </rPr>
          <t xml:space="preserve">
including WWT</t>
        </r>
      </text>
    </comment>
    <comment ref="M267" authorId="0" shapeId="0">
      <text>
        <r>
          <rPr>
            <b/>
            <sz val="9"/>
            <color indexed="81"/>
            <rFont val="Tahoma"/>
            <family val="2"/>
          </rPr>
          <t>Ann Bijnens:</t>
        </r>
        <r>
          <rPr>
            <sz val="9"/>
            <color indexed="81"/>
            <rFont val="Tahoma"/>
            <family val="2"/>
          </rPr>
          <t xml:space="preserve">
2,5% VAT on sewerage</t>
        </r>
      </text>
    </comment>
    <comment ref="A269" authorId="0" shapeId="0">
      <text>
        <r>
          <rPr>
            <b/>
            <sz val="9"/>
            <color indexed="81"/>
            <rFont val="Tahoma"/>
            <family val="2"/>
          </rPr>
          <t>Ann Bijnens:</t>
        </r>
        <r>
          <rPr>
            <sz val="9"/>
            <color indexed="81"/>
            <rFont val="Tahoma"/>
            <family val="2"/>
          </rPr>
          <t xml:space="preserve">
data of 2014: bill for consumption depends on customer type. Here we use type 1 residence.</t>
        </r>
      </text>
    </comment>
    <comment ref="P271" authorId="0" shapeId="0">
      <text>
        <r>
          <rPr>
            <b/>
            <sz val="9"/>
            <color indexed="81"/>
            <rFont val="Tahoma"/>
            <family val="2"/>
          </rPr>
          <t>Ann Bijnens:</t>
        </r>
        <r>
          <rPr>
            <sz val="9"/>
            <color indexed="81"/>
            <rFont val="Tahoma"/>
            <family val="2"/>
          </rPr>
          <t xml:space="preserve">
charges 2017: environmental cleaning tax</t>
        </r>
      </text>
    </comment>
    <comment ref="I272" authorId="0" shapeId="0">
      <text>
        <r>
          <rPr>
            <b/>
            <sz val="9"/>
            <color indexed="81"/>
            <rFont val="Tahoma"/>
            <family val="2"/>
          </rPr>
          <t>Ann Bijnens:</t>
        </r>
        <r>
          <rPr>
            <sz val="9"/>
            <color indexed="81"/>
            <rFont val="Tahoma"/>
            <family val="2"/>
          </rPr>
          <t xml:space="preserve">
charges 2017: maintenance cost</t>
        </r>
      </text>
    </comment>
    <comment ref="P272" authorId="0" shapeId="0">
      <text>
        <r>
          <rPr>
            <b/>
            <sz val="9"/>
            <color indexed="81"/>
            <rFont val="Tahoma"/>
            <family val="2"/>
          </rPr>
          <t>Ann Bijnens:</t>
        </r>
        <r>
          <rPr>
            <sz val="9"/>
            <color indexed="81"/>
            <rFont val="Tahoma"/>
            <family val="2"/>
          </rPr>
          <t xml:space="preserve">
charges 2017: environmental cleaning tax</t>
        </r>
      </text>
    </comment>
    <comment ref="P273" authorId="0" shapeId="0">
      <text>
        <r>
          <rPr>
            <b/>
            <sz val="9"/>
            <color indexed="81"/>
            <rFont val="Tahoma"/>
            <family val="2"/>
          </rPr>
          <t>Ann Bijnens:</t>
        </r>
        <r>
          <rPr>
            <sz val="9"/>
            <color indexed="81"/>
            <rFont val="Tahoma"/>
            <family val="2"/>
          </rPr>
          <t xml:space="preserve">
charges 2017: environmental cleaning tax</t>
        </r>
      </text>
    </comment>
    <comment ref="A274" authorId="0" shapeId="0">
      <text>
        <r>
          <rPr>
            <b/>
            <sz val="9"/>
            <color indexed="81"/>
            <rFont val="Tahoma"/>
            <family val="2"/>
          </rPr>
          <t>Ann Bijnens:</t>
        </r>
        <r>
          <rPr>
            <sz val="9"/>
            <color indexed="81"/>
            <rFont val="Tahoma"/>
            <family val="2"/>
          </rPr>
          <t xml:space="preserve">
data of 2015: The Corporation applies a uniform tariff across all consumer categories in all its areas of operation. The Domestic rate/tariff is uniform in all the Corporation's operational areas.
Fixed charge is the same across all the operational areas.
</t>
        </r>
      </text>
    </comment>
    <comment ref="N278" authorId="1" shapeId="0">
      <text>
        <r>
          <rPr>
            <b/>
            <sz val="9"/>
            <color indexed="81"/>
            <rFont val="Tahoma"/>
            <family val="2"/>
          </rPr>
          <t>bijnensa:</t>
        </r>
        <r>
          <rPr>
            <sz val="9"/>
            <color indexed="81"/>
            <rFont val="Tahoma"/>
            <family val="2"/>
          </rPr>
          <t xml:space="preserve">
Sewerage charges shown include surface water drainage charges. Households in Birmingham pay for their surface water drainage either through a fixed charge based on property type or a charge based on the rateable value. The figures presented assume a 'zone 4' bill based on a property with a rateable value of £200 as an example.</t>
        </r>
      </text>
    </comment>
    <comment ref="N279" authorId="1" shapeId="0">
      <text>
        <r>
          <rPr>
            <b/>
            <sz val="9"/>
            <color indexed="81"/>
            <rFont val="Tahoma"/>
            <family val="2"/>
          </rPr>
          <t>bijnensa:</t>
        </r>
        <r>
          <rPr>
            <sz val="9"/>
            <color indexed="81"/>
            <rFont val="Tahoma"/>
            <family val="2"/>
          </rPr>
          <t xml:space="preserve">
Sewerage charges shown include surface water drainage charges.</t>
        </r>
      </text>
    </comment>
    <comment ref="N280" authorId="1" shapeId="0">
      <text>
        <r>
          <rPr>
            <b/>
            <sz val="9"/>
            <color indexed="81"/>
            <rFont val="Tahoma"/>
            <family val="2"/>
          </rPr>
          <t>bijnensa:</t>
        </r>
        <r>
          <rPr>
            <sz val="9"/>
            <color indexed="81"/>
            <rFont val="Tahoma"/>
            <family val="2"/>
          </rPr>
          <t xml:space="preserve">
Sewerage charges shown include surface water drainage charges.</t>
        </r>
      </text>
    </comment>
    <comment ref="N281" authorId="1" shapeId="0">
      <text>
        <r>
          <rPr>
            <b/>
            <sz val="9"/>
            <color indexed="81"/>
            <rFont val="Tahoma"/>
            <family val="2"/>
          </rPr>
          <t>bijnensa:</t>
        </r>
        <r>
          <rPr>
            <sz val="9"/>
            <color indexed="81"/>
            <rFont val="Tahoma"/>
            <family val="2"/>
          </rPr>
          <t xml:space="preserve">
Sewerage charges shown include surface water drainage charges.</t>
        </r>
      </text>
    </comment>
    <comment ref="N282" authorId="1" shapeId="0">
      <text>
        <r>
          <rPr>
            <b/>
            <sz val="9"/>
            <color indexed="81"/>
            <rFont val="Tahoma"/>
            <family val="2"/>
          </rPr>
          <t>bijnensa:</t>
        </r>
        <r>
          <rPr>
            <sz val="9"/>
            <color indexed="81"/>
            <rFont val="Tahoma"/>
            <family val="2"/>
          </rPr>
          <t xml:space="preserve">
Sewerage charges shown include surface water drainage charges.</t>
        </r>
      </text>
    </comment>
    <comment ref="A290" authorId="0" shapeId="0">
      <text>
        <r>
          <rPr>
            <b/>
            <sz val="9"/>
            <color indexed="81"/>
            <rFont val="Tahoma"/>
            <family val="2"/>
          </rPr>
          <t>Ann Bijnens:</t>
        </r>
        <r>
          <rPr>
            <sz val="9"/>
            <color indexed="81"/>
            <rFont val="Tahoma"/>
            <family val="2"/>
          </rPr>
          <t xml:space="preserve">
- FIXED CHARGES FOR DOMESTIC CUSTOMERS.
- SEWERAGE CHARGE FOR DOMESTIC CUSTOMERS IS 20%OF WATER BILL FOR; MWSC, NWSC, &amp; 30% for LWSC&amp;KWSC 40% NWWSC &amp; KWSC .
- Other charges: SANITATION SURCHARGE AT 2.5% OF WATER BILL, EXCEPT FOR NKANA WSC (NWSC) AT 3%.</t>
        </r>
      </text>
    </comment>
    <comment ref="B290" authorId="0" shapeId="0">
      <text>
        <r>
          <rPr>
            <b/>
            <sz val="9"/>
            <color indexed="81"/>
            <rFont val="Tahoma"/>
            <family val="2"/>
          </rPr>
          <t>Ann Bijnens:</t>
        </r>
        <r>
          <rPr>
            <sz val="9"/>
            <color indexed="81"/>
            <rFont val="Tahoma"/>
            <family val="2"/>
          </rPr>
          <t xml:space="preserve">
LWSC = Lusaka Water &amp; Sewerage Company</t>
        </r>
      </text>
    </comment>
    <comment ref="AM290" authorId="0" shapeId="0">
      <text>
        <r>
          <rPr>
            <b/>
            <sz val="9"/>
            <color indexed="81"/>
            <rFont val="Tahoma"/>
            <family val="2"/>
          </rPr>
          <t>Ann Bijnens:</t>
        </r>
        <r>
          <rPr>
            <sz val="9"/>
            <color indexed="81"/>
            <rFont val="Tahoma"/>
            <family val="2"/>
          </rPr>
          <t xml:space="preserve">
fixed charges for service = meter charges</t>
        </r>
      </text>
    </comment>
    <comment ref="AN290" authorId="0" shapeId="0">
      <text>
        <r>
          <rPr>
            <b/>
            <sz val="9"/>
            <color indexed="81"/>
            <rFont val="Tahoma"/>
            <family val="2"/>
          </rPr>
          <t>Ann Bijnens:</t>
        </r>
        <r>
          <rPr>
            <sz val="9"/>
            <color indexed="81"/>
            <rFont val="Tahoma"/>
            <family val="2"/>
          </rPr>
          <t xml:space="preserve">
sanitation surcharges which are a percentage of the water bill</t>
        </r>
      </text>
    </comment>
    <comment ref="B291" authorId="0" shapeId="0">
      <text>
        <r>
          <rPr>
            <b/>
            <sz val="9"/>
            <color indexed="81"/>
            <rFont val="Tahoma"/>
            <family val="2"/>
          </rPr>
          <t>Ann Bijnens:</t>
        </r>
        <r>
          <rPr>
            <sz val="9"/>
            <color indexed="81"/>
            <rFont val="Tahoma"/>
            <family val="2"/>
          </rPr>
          <t xml:space="preserve">
KWSC = Kafubu Water and Sewerage Company</t>
        </r>
      </text>
    </comment>
    <comment ref="AM291" authorId="0" shapeId="0">
      <text>
        <r>
          <rPr>
            <b/>
            <sz val="9"/>
            <color indexed="81"/>
            <rFont val="Tahoma"/>
            <family val="2"/>
          </rPr>
          <t>Ann Bijnens:</t>
        </r>
        <r>
          <rPr>
            <sz val="9"/>
            <color indexed="81"/>
            <rFont val="Tahoma"/>
            <family val="2"/>
          </rPr>
          <t xml:space="preserve">
fixed charges for service = meter charges</t>
        </r>
      </text>
    </comment>
    <comment ref="AN291" authorId="0" shapeId="0">
      <text>
        <r>
          <rPr>
            <b/>
            <sz val="9"/>
            <color indexed="81"/>
            <rFont val="Tahoma"/>
            <family val="2"/>
          </rPr>
          <t>Ann Bijnens:</t>
        </r>
        <r>
          <rPr>
            <sz val="9"/>
            <color indexed="81"/>
            <rFont val="Tahoma"/>
            <family val="2"/>
          </rPr>
          <t xml:space="preserve">
sanitation surcharges which are a percentage of the water bill</t>
        </r>
      </text>
    </comment>
    <comment ref="B292" authorId="0" shapeId="0">
      <text>
        <r>
          <rPr>
            <b/>
            <sz val="9"/>
            <color indexed="81"/>
            <rFont val="Tahoma"/>
            <family val="2"/>
          </rPr>
          <t>Ann Bijnens:</t>
        </r>
        <r>
          <rPr>
            <sz val="9"/>
            <color indexed="81"/>
            <rFont val="Tahoma"/>
            <family val="2"/>
          </rPr>
          <t xml:space="preserve">
MWSC = Mulonga Water and Sewerage Company</t>
        </r>
      </text>
    </comment>
    <comment ref="AM292" authorId="0" shapeId="0">
      <text>
        <r>
          <rPr>
            <b/>
            <sz val="9"/>
            <color indexed="81"/>
            <rFont val="Tahoma"/>
            <family val="2"/>
          </rPr>
          <t>Ann Bijnens:</t>
        </r>
        <r>
          <rPr>
            <sz val="9"/>
            <color indexed="81"/>
            <rFont val="Tahoma"/>
            <family val="2"/>
          </rPr>
          <t xml:space="preserve">
fixed charges for service = meter charges</t>
        </r>
      </text>
    </comment>
    <comment ref="AN292" authorId="0" shapeId="0">
      <text>
        <r>
          <rPr>
            <b/>
            <sz val="9"/>
            <color indexed="81"/>
            <rFont val="Tahoma"/>
            <family val="2"/>
          </rPr>
          <t>Ann Bijnens:</t>
        </r>
        <r>
          <rPr>
            <sz val="9"/>
            <color indexed="81"/>
            <rFont val="Tahoma"/>
            <family val="2"/>
          </rPr>
          <t xml:space="preserve">
sanitation surcharges which are a percentage of the water bill</t>
        </r>
      </text>
    </comment>
    <comment ref="B293" authorId="0" shapeId="0">
      <text>
        <r>
          <rPr>
            <b/>
            <sz val="9"/>
            <color indexed="81"/>
            <rFont val="Tahoma"/>
            <family val="2"/>
          </rPr>
          <t>Ann Bijnens:</t>
        </r>
        <r>
          <rPr>
            <sz val="9"/>
            <color indexed="81"/>
            <rFont val="Tahoma"/>
            <family val="2"/>
          </rPr>
          <t xml:space="preserve">
NWWSSC = North Western Water Supply and Sewerage Company</t>
        </r>
      </text>
    </comment>
    <comment ref="AM293" authorId="0" shapeId="0">
      <text>
        <r>
          <rPr>
            <b/>
            <sz val="9"/>
            <color indexed="81"/>
            <rFont val="Tahoma"/>
            <family val="2"/>
          </rPr>
          <t>Ann Bijnens:</t>
        </r>
        <r>
          <rPr>
            <sz val="9"/>
            <color indexed="81"/>
            <rFont val="Tahoma"/>
            <family val="2"/>
          </rPr>
          <t xml:space="preserve">
fixed charges for service = meter charges</t>
        </r>
      </text>
    </comment>
    <comment ref="G298" authorId="0" shapeId="0">
      <text>
        <r>
          <rPr>
            <b/>
            <sz val="9"/>
            <color indexed="81"/>
            <rFont val="Tahoma"/>
            <family val="2"/>
          </rPr>
          <t>Ann Bijnens:</t>
        </r>
        <r>
          <rPr>
            <sz val="9"/>
            <color indexed="81"/>
            <rFont val="Tahoma"/>
            <family val="2"/>
          </rPr>
          <t xml:space="preserve">
21% for 2017</t>
        </r>
      </text>
    </comment>
    <comment ref="J298" authorId="0" shapeId="0">
      <text>
        <r>
          <rPr>
            <b/>
            <sz val="9"/>
            <color indexed="81"/>
            <rFont val="Tahoma"/>
            <family val="2"/>
          </rPr>
          <t>Ann Bijnens:</t>
        </r>
        <r>
          <rPr>
            <sz val="9"/>
            <color indexed="81"/>
            <rFont val="Tahoma"/>
            <family val="2"/>
          </rPr>
          <t xml:space="preserve">
21% for 2017</t>
        </r>
      </text>
    </comment>
    <comment ref="L298" authorId="0" shapeId="0">
      <text>
        <r>
          <rPr>
            <b/>
            <sz val="9"/>
            <color indexed="81"/>
            <rFont val="Tahoma"/>
            <family val="2"/>
          </rPr>
          <t>Ann Bijnens:</t>
        </r>
        <r>
          <rPr>
            <sz val="9"/>
            <color indexed="81"/>
            <rFont val="Tahoma"/>
            <family val="2"/>
          </rPr>
          <t xml:space="preserve">
21% for 2017</t>
        </r>
      </text>
    </comment>
    <comment ref="P298" authorId="0" shapeId="0">
      <text>
        <r>
          <rPr>
            <b/>
            <sz val="9"/>
            <color indexed="81"/>
            <rFont val="Tahoma"/>
            <family val="2"/>
          </rPr>
          <t>Ann Bijnens:</t>
        </r>
        <r>
          <rPr>
            <sz val="9"/>
            <color indexed="81"/>
            <rFont val="Tahoma"/>
            <family val="2"/>
          </rPr>
          <t xml:space="preserve">
21% for 2017</t>
        </r>
      </text>
    </comment>
    <comment ref="A305" authorId="0" shapeId="0">
      <text>
        <r>
          <rPr>
            <b/>
            <sz val="9"/>
            <color indexed="81"/>
            <rFont val="Tahoma"/>
            <family val="2"/>
          </rPr>
          <t>Ann Bijnens:</t>
        </r>
        <r>
          <rPr>
            <sz val="9"/>
            <color indexed="81"/>
            <rFont val="Tahoma"/>
            <family val="2"/>
          </rPr>
          <t xml:space="preserve">
charges 2017: charges for wastewater treatment are included in sewerage taxes.
Bill is not depending on the volume of consumption.</t>
        </r>
      </text>
    </comment>
    <comment ref="A368" authorId="0" shapeId="0">
      <text>
        <r>
          <rPr>
            <b/>
            <sz val="9"/>
            <color indexed="81"/>
            <rFont val="Tahoma"/>
            <family val="2"/>
          </rPr>
          <t>Ann Bijnens:</t>
        </r>
        <r>
          <rPr>
            <sz val="9"/>
            <color indexed="81"/>
            <rFont val="Tahoma"/>
            <family val="2"/>
          </rPr>
          <t xml:space="preserve">
data of 2014</t>
        </r>
      </text>
    </comment>
    <comment ref="A393" authorId="0" shapeId="0">
      <text>
        <r>
          <rPr>
            <b/>
            <sz val="9"/>
            <color indexed="81"/>
            <rFont val="Tahoma"/>
            <family val="2"/>
          </rPr>
          <t>Ann Bijnens:</t>
        </r>
        <r>
          <rPr>
            <sz val="9"/>
            <color indexed="81"/>
            <rFont val="Tahoma"/>
            <family val="2"/>
          </rPr>
          <t xml:space="preserve">
for a 3 persons household</t>
        </r>
      </text>
    </comment>
    <comment ref="E393" authorId="0" shapeId="0">
      <text>
        <r>
          <rPr>
            <b/>
            <sz val="9"/>
            <color indexed="81"/>
            <rFont val="Tahoma"/>
            <family val="2"/>
          </rPr>
          <t>Ann Bijnens:</t>
        </r>
        <r>
          <rPr>
            <sz val="9"/>
            <color indexed="81"/>
            <rFont val="Tahoma"/>
            <family val="2"/>
          </rPr>
          <t xml:space="preserve">
Increasing block tariff at €1.3965/m3 up to 33m3/person/annum and €5.1395/m3 above 33m3/person/annum. Assume water consumption spread evenly over the year.</t>
        </r>
      </text>
    </comment>
    <comment ref="K393" authorId="0" shapeId="0">
      <text>
        <r>
          <rPr>
            <b/>
            <sz val="9"/>
            <color indexed="81"/>
            <rFont val="Tahoma"/>
            <family val="2"/>
          </rPr>
          <t>Ann Bijnens:</t>
        </r>
        <r>
          <rPr>
            <sz val="9"/>
            <color indexed="81"/>
            <rFont val="Tahoma"/>
            <family val="2"/>
          </rPr>
          <t xml:space="preserve">
rates incorporate sewerage contribution</t>
        </r>
      </text>
    </comment>
    <comment ref="K400" authorId="0" shapeId="0">
      <text>
        <r>
          <rPr>
            <b/>
            <sz val="9"/>
            <color indexed="81"/>
            <rFont val="Tahoma"/>
            <family val="2"/>
          </rPr>
          <t>Ann Bijnens:</t>
        </r>
        <r>
          <rPr>
            <sz val="9"/>
            <color indexed="81"/>
            <rFont val="Tahoma"/>
            <family val="2"/>
          </rPr>
          <t xml:space="preserve">
charges 2017: 100 m³ of drinking water pertains to a household consiting of 2,2 inhabitants, they receive a bill for 3 pollution units</t>
        </r>
      </text>
    </comment>
    <comment ref="O400" authorId="1" shapeId="0">
      <text>
        <r>
          <rPr>
            <b/>
            <sz val="9"/>
            <color indexed="81"/>
            <rFont val="Tahoma"/>
            <family val="2"/>
          </rPr>
          <t>bijnensa:</t>
        </r>
        <r>
          <rPr>
            <sz val="9"/>
            <color indexed="81"/>
            <rFont val="Tahoma"/>
            <family val="2"/>
          </rPr>
          <t xml:space="preserve">
charges 2017: other charges: tap water tax</t>
        </r>
      </text>
    </comment>
    <comment ref="A401" authorId="0" shapeId="0">
      <text>
        <r>
          <rPr>
            <b/>
            <sz val="9"/>
            <color indexed="81"/>
            <rFont val="Tahoma"/>
            <family val="2"/>
          </rPr>
          <t>Ann Bijnens:</t>
        </r>
        <r>
          <rPr>
            <sz val="9"/>
            <color indexed="81"/>
            <rFont val="Tahoma"/>
            <family val="2"/>
          </rPr>
          <t xml:space="preserve">
charges 2017: Rotterdam is Water Authority HHSK</t>
        </r>
      </text>
    </comment>
    <comment ref="F401" authorId="1" shapeId="0">
      <text>
        <r>
          <rPr>
            <b/>
            <sz val="9"/>
            <color indexed="81"/>
            <rFont val="Tahoma"/>
            <family val="2"/>
          </rPr>
          <t>bijnensa:</t>
        </r>
        <r>
          <rPr>
            <sz val="9"/>
            <color indexed="81"/>
            <rFont val="Tahoma"/>
            <family val="2"/>
          </rPr>
          <t xml:space="preserve">
charges 2017: distribution and concession reimbursements ("precario")</t>
        </r>
      </text>
    </comment>
    <comment ref="K401" authorId="0" shapeId="0">
      <text>
        <r>
          <rPr>
            <b/>
            <sz val="9"/>
            <color indexed="81"/>
            <rFont val="Tahoma"/>
            <family val="2"/>
          </rPr>
          <t>Ann Bijnens:</t>
        </r>
        <r>
          <rPr>
            <sz val="9"/>
            <color indexed="81"/>
            <rFont val="Tahoma"/>
            <family val="2"/>
          </rPr>
          <t xml:space="preserve">
charges 2017: 100 m³ of drinking water pertains to a household consiting of 2,2 inhabitants, they receive a bill for 3 pollution units</t>
        </r>
      </text>
    </comment>
    <comment ref="O401" authorId="1" shapeId="0">
      <text>
        <r>
          <rPr>
            <b/>
            <sz val="9"/>
            <color indexed="81"/>
            <rFont val="Tahoma"/>
            <family val="2"/>
          </rPr>
          <t>bijnensa:</t>
        </r>
        <r>
          <rPr>
            <sz val="9"/>
            <color indexed="81"/>
            <rFont val="Tahoma"/>
            <family val="2"/>
          </rPr>
          <t xml:space="preserve">
other charges: tap water tax</t>
        </r>
      </text>
    </comment>
    <comment ref="F402" authorId="1" shapeId="0">
      <text>
        <r>
          <rPr>
            <b/>
            <sz val="9"/>
            <color indexed="81"/>
            <rFont val="Tahoma"/>
            <family val="2"/>
          </rPr>
          <t>bijnensa:</t>
        </r>
        <r>
          <rPr>
            <sz val="9"/>
            <color indexed="81"/>
            <rFont val="Tahoma"/>
            <family val="2"/>
          </rPr>
          <t xml:space="preserve">
charges 2017: distribution and concession reimbursements ("precario")</t>
        </r>
      </text>
    </comment>
    <comment ref="K402" authorId="0" shapeId="0">
      <text>
        <r>
          <rPr>
            <b/>
            <sz val="9"/>
            <color indexed="81"/>
            <rFont val="Tahoma"/>
            <family val="2"/>
          </rPr>
          <t>Ann Bijnens:</t>
        </r>
        <r>
          <rPr>
            <sz val="9"/>
            <color indexed="81"/>
            <rFont val="Tahoma"/>
            <family val="2"/>
          </rPr>
          <t xml:space="preserve">
charges 2017: 100 m³ of drinking water pertains to a household consiting of 2,2 inhabitants, they receive a bill for 3 pollution units</t>
        </r>
      </text>
    </comment>
    <comment ref="O402" authorId="1" shapeId="0">
      <text>
        <r>
          <rPr>
            <b/>
            <sz val="9"/>
            <color indexed="81"/>
            <rFont val="Tahoma"/>
            <family val="2"/>
          </rPr>
          <t>bijnensa:</t>
        </r>
        <r>
          <rPr>
            <sz val="9"/>
            <color indexed="81"/>
            <rFont val="Tahoma"/>
            <family val="2"/>
          </rPr>
          <t xml:space="preserve">
other charges: tap water tax</t>
        </r>
      </text>
    </comment>
    <comment ref="K403" authorId="0" shapeId="0">
      <text>
        <r>
          <rPr>
            <b/>
            <sz val="9"/>
            <color indexed="81"/>
            <rFont val="Tahoma"/>
            <family val="2"/>
          </rPr>
          <t>Ann Bijnens:</t>
        </r>
        <r>
          <rPr>
            <sz val="9"/>
            <color indexed="81"/>
            <rFont val="Tahoma"/>
            <family val="2"/>
          </rPr>
          <t xml:space="preserve">
charges 2017: 100 m³ of drinking water pertains to a household consiting of 2,2 inhabitants, they receive a bill for 3 pollution units</t>
        </r>
      </text>
    </comment>
    <comment ref="O403" authorId="1" shapeId="0">
      <text>
        <r>
          <rPr>
            <b/>
            <sz val="9"/>
            <color indexed="81"/>
            <rFont val="Tahoma"/>
            <family val="2"/>
          </rPr>
          <t>bijnensa:</t>
        </r>
        <r>
          <rPr>
            <sz val="9"/>
            <color indexed="81"/>
            <rFont val="Tahoma"/>
            <family val="2"/>
          </rPr>
          <t xml:space="preserve">
other charges: tap water tax</t>
        </r>
      </text>
    </comment>
    <comment ref="K404" authorId="0" shapeId="0">
      <text>
        <r>
          <rPr>
            <b/>
            <sz val="9"/>
            <color indexed="81"/>
            <rFont val="Tahoma"/>
            <family val="2"/>
          </rPr>
          <t>Ann Bijnens:</t>
        </r>
        <r>
          <rPr>
            <sz val="9"/>
            <color indexed="81"/>
            <rFont val="Tahoma"/>
            <family val="2"/>
          </rPr>
          <t xml:space="preserve">
charges 2017: 100 m³ of drinking water pertains to a household consiting of 2,2 inhabitants, they receive a bill for 3 pollution units</t>
        </r>
      </text>
    </comment>
    <comment ref="O404" authorId="1" shapeId="0">
      <text>
        <r>
          <rPr>
            <b/>
            <sz val="9"/>
            <color indexed="81"/>
            <rFont val="Tahoma"/>
            <family val="2"/>
          </rPr>
          <t>bijnensa:</t>
        </r>
        <r>
          <rPr>
            <sz val="9"/>
            <color indexed="81"/>
            <rFont val="Tahoma"/>
            <family val="2"/>
          </rPr>
          <t xml:space="preserve">
other charges: tap water tax</t>
        </r>
      </text>
    </comment>
    <comment ref="G472" authorId="0" shapeId="0">
      <text>
        <r>
          <rPr>
            <b/>
            <sz val="9"/>
            <color indexed="81"/>
            <rFont val="Tahoma"/>
            <family val="2"/>
          </rPr>
          <t>Ann Bijnens:</t>
        </r>
        <r>
          <rPr>
            <sz val="9"/>
            <color indexed="81"/>
            <rFont val="Tahoma"/>
            <family val="2"/>
          </rPr>
          <t xml:space="preserve">
8% VAT on drinking water</t>
        </r>
      </text>
    </comment>
    <comment ref="I472" authorId="0" shapeId="0">
      <text>
        <r>
          <rPr>
            <b/>
            <sz val="9"/>
            <color indexed="81"/>
            <rFont val="Tahoma"/>
            <family val="2"/>
          </rPr>
          <t>Ann Bijnens:</t>
        </r>
        <r>
          <rPr>
            <sz val="9"/>
            <color indexed="81"/>
            <rFont val="Tahoma"/>
            <family val="2"/>
          </rPr>
          <t xml:space="preserve">
including WWT</t>
        </r>
      </text>
    </comment>
    <comment ref="J472" authorId="0" shapeId="0">
      <text>
        <r>
          <rPr>
            <b/>
            <sz val="9"/>
            <color indexed="81"/>
            <rFont val="Tahoma"/>
            <family val="2"/>
          </rPr>
          <t>Ann Bijnens:</t>
        </r>
        <r>
          <rPr>
            <sz val="9"/>
            <color indexed="81"/>
            <rFont val="Tahoma"/>
            <family val="2"/>
          </rPr>
          <t xml:space="preserve">
2,5% VAT on sewerage</t>
        </r>
      </text>
    </comment>
    <comment ref="G473" authorId="0" shapeId="0">
      <text>
        <r>
          <rPr>
            <b/>
            <sz val="9"/>
            <color indexed="81"/>
            <rFont val="Tahoma"/>
            <family val="2"/>
          </rPr>
          <t>Ann Bijnens:</t>
        </r>
        <r>
          <rPr>
            <sz val="9"/>
            <color indexed="81"/>
            <rFont val="Tahoma"/>
            <family val="2"/>
          </rPr>
          <t xml:space="preserve">
8% VAT on drinking water</t>
        </r>
      </text>
    </comment>
    <comment ref="I473" authorId="0" shapeId="0">
      <text>
        <r>
          <rPr>
            <b/>
            <sz val="9"/>
            <color indexed="81"/>
            <rFont val="Tahoma"/>
            <family val="2"/>
          </rPr>
          <t>Ann Bijnens:</t>
        </r>
        <r>
          <rPr>
            <sz val="9"/>
            <color indexed="81"/>
            <rFont val="Tahoma"/>
            <family val="2"/>
          </rPr>
          <t xml:space="preserve">
including WWT</t>
        </r>
      </text>
    </comment>
    <comment ref="J473" authorId="0" shapeId="0">
      <text>
        <r>
          <rPr>
            <b/>
            <sz val="9"/>
            <color indexed="81"/>
            <rFont val="Tahoma"/>
            <family val="2"/>
          </rPr>
          <t>Ann Bijnens:</t>
        </r>
        <r>
          <rPr>
            <sz val="9"/>
            <color indexed="81"/>
            <rFont val="Tahoma"/>
            <family val="2"/>
          </rPr>
          <t xml:space="preserve">
2,5% VAT on sewerage</t>
        </r>
      </text>
    </comment>
    <comment ref="G474" authorId="0" shapeId="0">
      <text>
        <r>
          <rPr>
            <b/>
            <sz val="9"/>
            <color indexed="81"/>
            <rFont val="Tahoma"/>
            <family val="2"/>
          </rPr>
          <t>Ann Bijnens:</t>
        </r>
        <r>
          <rPr>
            <sz val="9"/>
            <color indexed="81"/>
            <rFont val="Tahoma"/>
            <family val="2"/>
          </rPr>
          <t xml:space="preserve">
8% VAT on drinking water</t>
        </r>
      </text>
    </comment>
    <comment ref="I474" authorId="0" shapeId="0">
      <text>
        <r>
          <rPr>
            <b/>
            <sz val="9"/>
            <color indexed="81"/>
            <rFont val="Tahoma"/>
            <family val="2"/>
          </rPr>
          <t>Ann Bijnens:</t>
        </r>
        <r>
          <rPr>
            <sz val="9"/>
            <color indexed="81"/>
            <rFont val="Tahoma"/>
            <family val="2"/>
          </rPr>
          <t xml:space="preserve">
including WWT</t>
        </r>
      </text>
    </comment>
    <comment ref="J474" authorId="0" shapeId="0">
      <text>
        <r>
          <rPr>
            <b/>
            <sz val="9"/>
            <color indexed="81"/>
            <rFont val="Tahoma"/>
            <family val="2"/>
          </rPr>
          <t>Ann Bijnens:</t>
        </r>
        <r>
          <rPr>
            <sz val="9"/>
            <color indexed="81"/>
            <rFont val="Tahoma"/>
            <family val="2"/>
          </rPr>
          <t xml:space="preserve">
2,5% VAT on sewerage</t>
        </r>
      </text>
    </comment>
    <comment ref="G475" authorId="0" shapeId="0">
      <text>
        <r>
          <rPr>
            <b/>
            <sz val="9"/>
            <color indexed="81"/>
            <rFont val="Tahoma"/>
            <family val="2"/>
          </rPr>
          <t>Ann Bijnens:</t>
        </r>
        <r>
          <rPr>
            <sz val="9"/>
            <color indexed="81"/>
            <rFont val="Tahoma"/>
            <family val="2"/>
          </rPr>
          <t xml:space="preserve">
8% VAT on drinking water</t>
        </r>
      </text>
    </comment>
    <comment ref="I475" authorId="0" shapeId="0">
      <text>
        <r>
          <rPr>
            <b/>
            <sz val="9"/>
            <color indexed="81"/>
            <rFont val="Tahoma"/>
            <family val="2"/>
          </rPr>
          <t>Ann Bijnens:</t>
        </r>
        <r>
          <rPr>
            <sz val="9"/>
            <color indexed="81"/>
            <rFont val="Tahoma"/>
            <family val="2"/>
          </rPr>
          <t xml:space="preserve">
including WWT</t>
        </r>
      </text>
    </comment>
    <comment ref="J475" authorId="0" shapeId="0">
      <text>
        <r>
          <rPr>
            <b/>
            <sz val="9"/>
            <color indexed="81"/>
            <rFont val="Tahoma"/>
            <family val="2"/>
          </rPr>
          <t>Ann Bijnens:</t>
        </r>
        <r>
          <rPr>
            <sz val="9"/>
            <color indexed="81"/>
            <rFont val="Tahoma"/>
            <family val="2"/>
          </rPr>
          <t xml:space="preserve">
2,5% VAT on sewerage</t>
        </r>
      </text>
    </comment>
    <comment ref="G476" authorId="0" shapeId="0">
      <text>
        <r>
          <rPr>
            <b/>
            <sz val="9"/>
            <color indexed="81"/>
            <rFont val="Tahoma"/>
            <family val="2"/>
          </rPr>
          <t>Ann Bijnens:</t>
        </r>
        <r>
          <rPr>
            <sz val="9"/>
            <color indexed="81"/>
            <rFont val="Tahoma"/>
            <family val="2"/>
          </rPr>
          <t xml:space="preserve">
8% VAT on drinking water</t>
        </r>
      </text>
    </comment>
    <comment ref="I476" authorId="0" shapeId="0">
      <text>
        <r>
          <rPr>
            <b/>
            <sz val="9"/>
            <color indexed="81"/>
            <rFont val="Tahoma"/>
            <family val="2"/>
          </rPr>
          <t>Ann Bijnens:</t>
        </r>
        <r>
          <rPr>
            <sz val="9"/>
            <color indexed="81"/>
            <rFont val="Tahoma"/>
            <family val="2"/>
          </rPr>
          <t xml:space="preserve">
including WWT</t>
        </r>
      </text>
    </comment>
    <comment ref="J476" authorId="0" shapeId="0">
      <text>
        <r>
          <rPr>
            <b/>
            <sz val="9"/>
            <color indexed="81"/>
            <rFont val="Tahoma"/>
            <family val="2"/>
          </rPr>
          <t>Ann Bijnens:</t>
        </r>
        <r>
          <rPr>
            <sz val="9"/>
            <color indexed="81"/>
            <rFont val="Tahoma"/>
            <family val="2"/>
          </rPr>
          <t xml:space="preserve">
2,5% VAT on sewerage</t>
        </r>
      </text>
    </comment>
    <comment ref="O477" authorId="0" shapeId="0">
      <text>
        <r>
          <rPr>
            <b/>
            <sz val="9"/>
            <color indexed="81"/>
            <rFont val="Tahoma"/>
            <family val="2"/>
          </rPr>
          <t>Ann Bijnens:</t>
        </r>
        <r>
          <rPr>
            <sz val="9"/>
            <color indexed="81"/>
            <rFont val="Tahoma"/>
            <family val="2"/>
          </rPr>
          <t xml:space="preserve">
charges 2017: environmental cleaning tax</t>
        </r>
      </text>
    </comment>
    <comment ref="F478" authorId="0" shapeId="0">
      <text>
        <r>
          <rPr>
            <b/>
            <sz val="9"/>
            <color indexed="81"/>
            <rFont val="Tahoma"/>
            <family val="2"/>
          </rPr>
          <t>Ann Bijnens:</t>
        </r>
        <r>
          <rPr>
            <sz val="9"/>
            <color indexed="81"/>
            <rFont val="Tahoma"/>
            <family val="2"/>
          </rPr>
          <t xml:space="preserve">
charges 2017: maintenance cost</t>
        </r>
      </text>
    </comment>
    <comment ref="O478" authorId="0" shapeId="0">
      <text>
        <r>
          <rPr>
            <b/>
            <sz val="9"/>
            <color indexed="81"/>
            <rFont val="Tahoma"/>
            <family val="2"/>
          </rPr>
          <t>Ann Bijnens:</t>
        </r>
        <r>
          <rPr>
            <sz val="9"/>
            <color indexed="81"/>
            <rFont val="Tahoma"/>
            <family val="2"/>
          </rPr>
          <t xml:space="preserve">
charges 2017: environmental cleaning tax</t>
        </r>
      </text>
    </comment>
    <comment ref="O479" authorId="0" shapeId="0">
      <text>
        <r>
          <rPr>
            <b/>
            <sz val="9"/>
            <color indexed="81"/>
            <rFont val="Tahoma"/>
            <family val="2"/>
          </rPr>
          <t>Ann Bijnens:</t>
        </r>
        <r>
          <rPr>
            <sz val="9"/>
            <color indexed="81"/>
            <rFont val="Tahoma"/>
            <family val="2"/>
          </rPr>
          <t xml:space="preserve">
charges 2017: environmental cleaning tax</t>
        </r>
      </text>
    </comment>
    <comment ref="K484" authorId="1" shapeId="0">
      <text>
        <r>
          <rPr>
            <b/>
            <sz val="9"/>
            <color indexed="81"/>
            <rFont val="Tahoma"/>
            <family val="2"/>
          </rPr>
          <t>bijnensa:</t>
        </r>
        <r>
          <rPr>
            <sz val="9"/>
            <color indexed="81"/>
            <rFont val="Tahoma"/>
            <family val="2"/>
          </rPr>
          <t xml:space="preserve">
Sewerage charges shown include surface water drainage charges. Households in Birmingham pay for their surface water drainage either through a fixed charge based on property type or a charge based on the rateable value. The figures presented assume a 'zone 4' bill based on a property with a rateable value of £200 as an example.</t>
        </r>
      </text>
    </comment>
    <comment ref="K485" authorId="1" shapeId="0">
      <text>
        <r>
          <rPr>
            <b/>
            <sz val="9"/>
            <color indexed="81"/>
            <rFont val="Tahoma"/>
            <family val="2"/>
          </rPr>
          <t>bijnensa:</t>
        </r>
        <r>
          <rPr>
            <sz val="9"/>
            <color indexed="81"/>
            <rFont val="Tahoma"/>
            <family val="2"/>
          </rPr>
          <t xml:space="preserve">
Sewerage charges shown include surface water drainage charges.</t>
        </r>
      </text>
    </comment>
    <comment ref="K486" authorId="1" shapeId="0">
      <text>
        <r>
          <rPr>
            <b/>
            <sz val="9"/>
            <color indexed="81"/>
            <rFont val="Tahoma"/>
            <family val="2"/>
          </rPr>
          <t>bijnensa:</t>
        </r>
        <r>
          <rPr>
            <sz val="9"/>
            <color indexed="81"/>
            <rFont val="Tahoma"/>
            <family val="2"/>
          </rPr>
          <t xml:space="preserve">
Sewerage charges shown include surface water drainage charges.</t>
        </r>
      </text>
    </comment>
    <comment ref="K487" authorId="1" shapeId="0">
      <text>
        <r>
          <rPr>
            <b/>
            <sz val="9"/>
            <color indexed="81"/>
            <rFont val="Tahoma"/>
            <family val="2"/>
          </rPr>
          <t>bijnensa:</t>
        </r>
        <r>
          <rPr>
            <sz val="9"/>
            <color indexed="81"/>
            <rFont val="Tahoma"/>
            <family val="2"/>
          </rPr>
          <t xml:space="preserve">
Sewerage charges shown include surface water drainage charges.</t>
        </r>
      </text>
    </comment>
    <comment ref="K488" authorId="1" shapeId="0">
      <text>
        <r>
          <rPr>
            <b/>
            <sz val="9"/>
            <color indexed="81"/>
            <rFont val="Tahoma"/>
            <family val="2"/>
          </rPr>
          <t>bijnensa:</t>
        </r>
        <r>
          <rPr>
            <sz val="9"/>
            <color indexed="81"/>
            <rFont val="Tahoma"/>
            <family val="2"/>
          </rPr>
          <t xml:space="preserve">
Sewerage charges shown include surface water drainage charges.</t>
        </r>
      </text>
    </comment>
    <comment ref="A500" authorId="0" shapeId="0">
      <text>
        <r>
          <rPr>
            <b/>
            <sz val="9"/>
            <color indexed="81"/>
            <rFont val="Tahoma"/>
            <family val="2"/>
          </rPr>
          <t>Ann Bijnens:</t>
        </r>
        <r>
          <rPr>
            <sz val="9"/>
            <color indexed="81"/>
            <rFont val="Tahoma"/>
            <family val="2"/>
          </rPr>
          <t xml:space="preserve">
charges 2017: charges for wastewater treatment are included in sewerage taxes.
Bill is not depending on the volume of consumption.</t>
        </r>
      </text>
    </comment>
    <comment ref="G501" authorId="0" shapeId="0">
      <text>
        <r>
          <rPr>
            <b/>
            <sz val="9"/>
            <color indexed="81"/>
            <rFont val="Tahoma"/>
            <family val="2"/>
          </rPr>
          <t>Ann Bijnens:</t>
        </r>
        <r>
          <rPr>
            <sz val="9"/>
            <color indexed="81"/>
            <rFont val="Tahoma"/>
            <family val="2"/>
          </rPr>
          <t xml:space="preserve">
21% for 2017</t>
        </r>
      </text>
    </comment>
    <comment ref="L501" authorId="0" shapeId="0">
      <text>
        <r>
          <rPr>
            <b/>
            <sz val="9"/>
            <color indexed="81"/>
            <rFont val="Tahoma"/>
            <family val="2"/>
          </rPr>
          <t>Ann Bijnens:</t>
        </r>
        <r>
          <rPr>
            <sz val="9"/>
            <color indexed="81"/>
            <rFont val="Tahoma"/>
            <family val="2"/>
          </rPr>
          <t xml:space="preserve">
21% for 2017</t>
        </r>
      </text>
    </comment>
    <comment ref="K514" authorId="0" shapeId="0">
      <text>
        <r>
          <rPr>
            <b/>
            <sz val="9"/>
            <color indexed="81"/>
            <rFont val="Tahoma"/>
            <family val="2"/>
          </rPr>
          <t>Ann Bijnens:</t>
        </r>
        <r>
          <rPr>
            <sz val="9"/>
            <color indexed="81"/>
            <rFont val="Tahoma"/>
            <family val="2"/>
          </rPr>
          <t xml:space="preserve">
charges 2017: environmental cleaning tax</t>
        </r>
      </text>
    </comment>
    <comment ref="K522" authorId="1" shapeId="0">
      <text>
        <r>
          <rPr>
            <b/>
            <sz val="9"/>
            <color indexed="81"/>
            <rFont val="Tahoma"/>
            <family val="2"/>
          </rPr>
          <t>bijnensa:</t>
        </r>
        <r>
          <rPr>
            <sz val="9"/>
            <color indexed="81"/>
            <rFont val="Tahoma"/>
            <family val="2"/>
          </rPr>
          <t xml:space="preserve">
charges 2017: other charges: tap water tax</t>
        </r>
      </text>
    </comment>
    <comment ref="G531" authorId="0" shapeId="0">
      <text>
        <r>
          <rPr>
            <b/>
            <sz val="9"/>
            <color indexed="81"/>
            <rFont val="Tahoma"/>
            <family val="2"/>
          </rPr>
          <t>Ann Bijnens:</t>
        </r>
        <r>
          <rPr>
            <sz val="9"/>
            <color indexed="81"/>
            <rFont val="Tahoma"/>
            <family val="2"/>
          </rPr>
          <t xml:space="preserve">
8% VAT on drinking water</t>
        </r>
      </text>
    </comment>
  </commentList>
</comments>
</file>

<file path=xl/comments11.xml><?xml version="1.0" encoding="utf-8"?>
<comments xmlns="http://schemas.openxmlformats.org/spreadsheetml/2006/main">
  <authors>
    <author>bijnensa</author>
    <author>Ann Bijnens</author>
  </authors>
  <commentList>
    <comment ref="C7" authorId="0" shapeId="0">
      <text>
        <r>
          <rPr>
            <b/>
            <sz val="9"/>
            <color indexed="81"/>
            <rFont val="Tahoma"/>
            <family val="2"/>
          </rPr>
          <t>bijnensa:</t>
        </r>
        <r>
          <rPr>
            <sz val="9"/>
            <color indexed="81"/>
            <rFont val="Tahoma"/>
            <family val="2"/>
          </rPr>
          <t xml:space="preserve">
the average bill for residential (domestic) users. Total annual water bill for 100 m³ and 200 m³ is the same because 88% of users are unmetered. This percentage is even bigger for residential users.</t>
        </r>
      </text>
    </comment>
    <comment ref="AB7" authorId="0" shapeId="0">
      <text>
        <r>
          <rPr>
            <b/>
            <sz val="9"/>
            <color indexed="81"/>
            <rFont val="Tahoma"/>
            <family val="2"/>
          </rPr>
          <t>bijnensa:</t>
        </r>
        <r>
          <rPr>
            <sz val="9"/>
            <color indexed="81"/>
            <rFont val="Tahoma"/>
            <family val="2"/>
          </rPr>
          <t xml:space="preserve">
88% of users are unmetered (flat rate). Metered users pay a fixed charge (50% of flat rate for unmetered) plus a uniform rate for consumption over 20 m³ each two months.</t>
        </r>
      </text>
    </comment>
    <comment ref="C34" authorId="0" shapeId="0">
      <text>
        <r>
          <rPr>
            <b/>
            <sz val="9"/>
            <color indexed="81"/>
            <rFont val="Tahoma"/>
            <family val="2"/>
          </rPr>
          <t>bijnensa:</t>
        </r>
        <r>
          <rPr>
            <sz val="9"/>
            <color indexed="81"/>
            <rFont val="Tahoma"/>
            <family val="2"/>
          </rPr>
          <t xml:space="preserve">
SNIS - National System of Information on Water and Sanitation - Reference Year 2014</t>
        </r>
      </text>
    </comment>
    <comment ref="C35" authorId="0" shapeId="0">
      <text>
        <r>
          <rPr>
            <b/>
            <sz val="9"/>
            <color indexed="81"/>
            <rFont val="Tahoma"/>
            <family val="2"/>
          </rPr>
          <t>bijnensa:</t>
        </r>
        <r>
          <rPr>
            <sz val="9"/>
            <color indexed="81"/>
            <rFont val="Tahoma"/>
            <family val="2"/>
          </rPr>
          <t xml:space="preserve">
SABESP: Water Utility of São Paulo State with Full Concession of Water and Sanitation in 364 Municipalities of São Paulo State, deserving around 27 million people. The average tarig ranges from RS 114/100 m3(Turiúba/SP) to R4 359/100 m3 ( Barueri/SP)</t>
        </r>
      </text>
    </comment>
    <comment ref="C36" authorId="0" shapeId="0">
      <text>
        <r>
          <rPr>
            <b/>
            <sz val="9"/>
            <color indexed="81"/>
            <rFont val="Tahoma"/>
            <family val="2"/>
          </rPr>
          <t>bijnensa:</t>
        </r>
        <r>
          <rPr>
            <sz val="9"/>
            <color indexed="81"/>
            <rFont val="Tahoma"/>
            <family val="2"/>
          </rPr>
          <t xml:space="preserve">
Brasília -the Federal District - is desserved in water and sanitation by CAESB - the local Water Utility. With the highest income per capita in the country, Brasília is not very representative of the Brazilian Average</t>
        </r>
      </text>
    </comment>
    <comment ref="D132" authorId="0" shapeId="0">
      <text>
        <r>
          <rPr>
            <b/>
            <sz val="9"/>
            <color indexed="81"/>
            <rFont val="Tahoma"/>
            <family val="2"/>
          </rPr>
          <t>bijnensa:</t>
        </r>
        <r>
          <rPr>
            <sz val="9"/>
            <color indexed="81"/>
            <rFont val="Tahoma"/>
            <family val="2"/>
          </rPr>
          <t xml:space="preserve">
laatst gekende GDP van jaar 2013</t>
        </r>
      </text>
    </comment>
    <comment ref="A134" authorId="1" shapeId="0">
      <text>
        <r>
          <rPr>
            <b/>
            <sz val="9"/>
            <color indexed="81"/>
            <rFont val="Tahoma"/>
            <family val="2"/>
          </rPr>
          <t xml:space="preserve">Ann Bijnens:
</t>
        </r>
        <r>
          <rPr>
            <sz val="9"/>
            <color indexed="81"/>
            <rFont val="Tahoma"/>
            <family val="2"/>
          </rPr>
          <t>There are no regional differences in water rates</t>
        </r>
      </text>
    </comment>
    <comment ref="G134" authorId="1" shapeId="0">
      <text>
        <r>
          <rPr>
            <b/>
            <sz val="9"/>
            <color indexed="81"/>
            <rFont val="Tahoma"/>
            <family val="2"/>
          </rPr>
          <t>Ann Bijnens:</t>
        </r>
        <r>
          <rPr>
            <sz val="9"/>
            <color indexed="81"/>
            <rFont val="Tahoma"/>
            <family val="2"/>
          </rPr>
          <t xml:space="preserve">
Increasing block tariff at €1.3965/m3 up to 33m3/person/annum and €5.1395/m3 above 33m3/person/annum. Assume water consumption spread evenly over the year.</t>
        </r>
      </text>
    </comment>
    <comment ref="K134" authorId="1" shapeId="0">
      <text>
        <r>
          <rPr>
            <b/>
            <sz val="9"/>
            <color indexed="81"/>
            <rFont val="Tahoma"/>
            <family val="2"/>
          </rPr>
          <t>Ann Bijnens:</t>
        </r>
        <r>
          <rPr>
            <sz val="9"/>
            <color indexed="81"/>
            <rFont val="Tahoma"/>
            <family val="2"/>
          </rPr>
          <t xml:space="preserve">
rates incorporate sewerage contribution</t>
        </r>
      </text>
    </comment>
    <comment ref="M147" authorId="0" shapeId="0">
      <text>
        <r>
          <rPr>
            <b/>
            <sz val="9"/>
            <color indexed="81"/>
            <rFont val="Tahoma"/>
            <family val="2"/>
          </rPr>
          <t>bijnensa:</t>
        </r>
        <r>
          <rPr>
            <sz val="9"/>
            <color indexed="81"/>
            <rFont val="Tahoma"/>
            <family val="2"/>
          </rPr>
          <t xml:space="preserve">
other charges: tap water tax</t>
        </r>
      </text>
    </comment>
    <comment ref="H148" authorId="0" shapeId="0">
      <text>
        <r>
          <rPr>
            <b/>
            <sz val="9"/>
            <color indexed="81"/>
            <rFont val="Tahoma"/>
            <family val="2"/>
          </rPr>
          <t>bijnensa:</t>
        </r>
        <r>
          <rPr>
            <sz val="9"/>
            <color indexed="81"/>
            <rFont val="Tahoma"/>
            <family val="2"/>
          </rPr>
          <t xml:space="preserve">
distribution and concession reimbursements ("precario")</t>
        </r>
      </text>
    </comment>
    <comment ref="M148" authorId="0" shapeId="0">
      <text>
        <r>
          <rPr>
            <b/>
            <sz val="9"/>
            <color indexed="81"/>
            <rFont val="Tahoma"/>
            <family val="2"/>
          </rPr>
          <t>bijnensa:</t>
        </r>
        <r>
          <rPr>
            <sz val="9"/>
            <color indexed="81"/>
            <rFont val="Tahoma"/>
            <family val="2"/>
          </rPr>
          <t xml:space="preserve">
other charges: tap water tax</t>
        </r>
      </text>
    </comment>
    <comment ref="H149" authorId="0" shapeId="0">
      <text>
        <r>
          <rPr>
            <b/>
            <sz val="9"/>
            <color indexed="81"/>
            <rFont val="Tahoma"/>
            <family val="2"/>
          </rPr>
          <t>bijnensa:</t>
        </r>
        <r>
          <rPr>
            <sz val="9"/>
            <color indexed="81"/>
            <rFont val="Tahoma"/>
            <family val="2"/>
          </rPr>
          <t xml:space="preserve">
distribution and concession reimbursements ("precario")</t>
        </r>
      </text>
    </comment>
    <comment ref="M149" authorId="0" shapeId="0">
      <text>
        <r>
          <rPr>
            <b/>
            <sz val="9"/>
            <color indexed="81"/>
            <rFont val="Tahoma"/>
            <family val="2"/>
          </rPr>
          <t>bijnensa:</t>
        </r>
        <r>
          <rPr>
            <sz val="9"/>
            <color indexed="81"/>
            <rFont val="Tahoma"/>
            <family val="2"/>
          </rPr>
          <t xml:space="preserve">
other charges: tap water tax</t>
        </r>
      </text>
    </comment>
    <comment ref="M150" authorId="0" shapeId="0">
      <text>
        <r>
          <rPr>
            <b/>
            <sz val="9"/>
            <color indexed="81"/>
            <rFont val="Tahoma"/>
            <family val="2"/>
          </rPr>
          <t>bijnensa:</t>
        </r>
        <r>
          <rPr>
            <sz val="9"/>
            <color indexed="81"/>
            <rFont val="Tahoma"/>
            <family val="2"/>
          </rPr>
          <t xml:space="preserve">
other charges: tap water tax</t>
        </r>
      </text>
    </comment>
    <comment ref="M151" authorId="0" shapeId="0">
      <text>
        <r>
          <rPr>
            <b/>
            <sz val="9"/>
            <color indexed="81"/>
            <rFont val="Tahoma"/>
            <family val="2"/>
          </rPr>
          <t>bijnensa:</t>
        </r>
        <r>
          <rPr>
            <sz val="9"/>
            <color indexed="81"/>
            <rFont val="Tahoma"/>
            <family val="2"/>
          </rPr>
          <t xml:space="preserve">
other charges: tap water tax</t>
        </r>
      </text>
    </comment>
    <comment ref="M152" authorId="0" shapeId="0">
      <text>
        <r>
          <rPr>
            <b/>
            <sz val="9"/>
            <color indexed="81"/>
            <rFont val="Tahoma"/>
            <family val="2"/>
          </rPr>
          <t>bijnensa:</t>
        </r>
        <r>
          <rPr>
            <sz val="9"/>
            <color indexed="81"/>
            <rFont val="Tahoma"/>
            <family val="2"/>
          </rPr>
          <t xml:space="preserve">
other charges: tap water tax</t>
        </r>
      </text>
    </comment>
    <comment ref="C181" authorId="1" shapeId="0">
      <text>
        <r>
          <rPr>
            <b/>
            <sz val="9"/>
            <color indexed="81"/>
            <rFont val="Tahoma"/>
            <family val="2"/>
          </rPr>
          <t>Ann Bijnens:</t>
        </r>
        <r>
          <rPr>
            <sz val="9"/>
            <color indexed="81"/>
            <rFont val="Tahoma"/>
            <family val="2"/>
          </rPr>
          <t xml:space="preserve">
charges 2015: during summer the population supplied is over 1.000.000 inhabitans due the seaside areas</t>
        </r>
      </text>
    </comment>
    <comment ref="C194" authorId="1" shapeId="0">
      <text>
        <r>
          <rPr>
            <b/>
            <sz val="9"/>
            <color indexed="81"/>
            <rFont val="Tahoma"/>
            <family val="2"/>
          </rPr>
          <t>Ann Bijnens:</t>
        </r>
        <r>
          <rPr>
            <sz val="9"/>
            <color indexed="81"/>
            <rFont val="Tahoma"/>
            <family val="2"/>
          </rPr>
          <t xml:space="preserve">
charges 2015: population data are calculated based on clients declaration. All citizen have acces to water supply and sewerage services</t>
        </r>
      </text>
    </comment>
    <comment ref="K219" authorId="0" shapeId="0">
      <text>
        <r>
          <rPr>
            <b/>
            <sz val="9"/>
            <color indexed="81"/>
            <rFont val="Tahoma"/>
            <family val="2"/>
          </rPr>
          <t>bijnensa:</t>
        </r>
        <r>
          <rPr>
            <sz val="9"/>
            <color indexed="81"/>
            <rFont val="Tahoma"/>
            <family val="2"/>
          </rPr>
          <t xml:space="preserve">
not separately charged. Inherent to sewerage charge</t>
        </r>
      </text>
    </comment>
    <comment ref="G220" authorId="0" shapeId="0">
      <text>
        <r>
          <rPr>
            <b/>
            <sz val="9"/>
            <color indexed="81"/>
            <rFont val="Tahoma"/>
            <family val="2"/>
          </rPr>
          <t>bijnensa:</t>
        </r>
        <r>
          <rPr>
            <sz val="9"/>
            <color indexed="81"/>
            <rFont val="Tahoma"/>
            <family val="2"/>
          </rPr>
          <t xml:space="preserve">
assumes the customers water consumption is equally distributed in each quarter</t>
        </r>
      </text>
    </comment>
    <comment ref="H220" authorId="0" shapeId="0">
      <text>
        <r>
          <rPr>
            <b/>
            <sz val="9"/>
            <color indexed="81"/>
            <rFont val="Tahoma"/>
            <family val="2"/>
          </rPr>
          <t>bijnensa:</t>
        </r>
        <r>
          <rPr>
            <sz val="9"/>
            <color indexed="81"/>
            <rFont val="Tahoma"/>
            <family val="2"/>
          </rPr>
          <t xml:space="preserve">
River Murray Levy</t>
        </r>
      </text>
    </comment>
    <comment ref="J220" authorId="0" shapeId="0">
      <text>
        <r>
          <rPr>
            <b/>
            <sz val="9"/>
            <color indexed="81"/>
            <rFont val="Tahoma"/>
            <family val="2"/>
          </rPr>
          <t>bijnensa:</t>
        </r>
        <r>
          <rPr>
            <sz val="9"/>
            <color indexed="81"/>
            <rFont val="Tahoma"/>
            <family val="2"/>
          </rPr>
          <t xml:space="preserve">
based on the average valued property</t>
        </r>
      </text>
    </comment>
    <comment ref="A229" authorId="1" shapeId="0">
      <text>
        <r>
          <rPr>
            <b/>
            <sz val="9"/>
            <color indexed="81"/>
            <rFont val="Tahoma"/>
            <family val="2"/>
          </rPr>
          <t>Ann Bijnens:</t>
        </r>
        <r>
          <rPr>
            <sz val="9"/>
            <color indexed="81"/>
            <rFont val="Tahoma"/>
            <family val="2"/>
          </rPr>
          <t xml:space="preserve">
In general, water tariffs in Spain have fixed rates and increasing block depending on how much water is consumed. Nevertheless, in some part of the water cycle (for example sewer system) and depending on the city the price is set via a flat rate or uniform rate.</t>
        </r>
      </text>
    </comment>
    <comment ref="M234" authorId="0" shapeId="0">
      <text>
        <r>
          <rPr>
            <b/>
            <sz val="9"/>
            <color indexed="81"/>
            <rFont val="Tahoma"/>
            <family val="2"/>
          </rPr>
          <t>bijnensa:</t>
        </r>
        <r>
          <rPr>
            <sz val="9"/>
            <color indexed="81"/>
            <rFont val="Tahoma"/>
            <family val="2"/>
          </rPr>
          <t xml:space="preserve">
charge for stormwater (rainwater and drainage) from the houses which are let to the communities pipes for stormwater</t>
        </r>
      </text>
    </comment>
    <comment ref="M236" authorId="0" shapeId="0">
      <text>
        <r>
          <rPr>
            <b/>
            <sz val="9"/>
            <color indexed="81"/>
            <rFont val="Tahoma"/>
            <family val="2"/>
          </rPr>
          <t>bijnensa:</t>
        </r>
        <r>
          <rPr>
            <sz val="9"/>
            <color indexed="81"/>
            <rFont val="Tahoma"/>
            <family val="2"/>
          </rPr>
          <t xml:space="preserve">
charge for stormwater (rainwater and drainage) from the houses which are let to the communities pipes for stormwater</t>
        </r>
      </text>
    </comment>
    <comment ref="A245" authorId="1" shapeId="0">
      <text>
        <r>
          <rPr>
            <b/>
            <sz val="9"/>
            <color indexed="81"/>
            <rFont val="Tahoma"/>
            <family val="2"/>
          </rPr>
          <t>Ann Bijnens:</t>
        </r>
        <r>
          <rPr>
            <sz val="9"/>
            <color indexed="81"/>
            <rFont val="Tahoma"/>
            <family val="2"/>
          </rPr>
          <t xml:space="preserve">
data of 2014: bill for consumption depends on customer type. Here we use type 1 residence.</t>
        </r>
      </text>
    </comment>
    <comment ref="A247" authorId="1" shapeId="0">
      <text>
        <r>
          <rPr>
            <b/>
            <sz val="9"/>
            <color indexed="81"/>
            <rFont val="Tahoma"/>
            <family val="2"/>
          </rPr>
          <t>Ann Bijnens:</t>
        </r>
        <r>
          <rPr>
            <sz val="9"/>
            <color indexed="81"/>
            <rFont val="Tahoma"/>
            <family val="2"/>
          </rPr>
          <t xml:space="preserve">
The Corporation applies a uniform tariff across all consumer categories in all its areas of operation. The Domestic rate/tariff is uniform in all the Corporation's operational areas.
Fixed charge is the same across all the operational areas.
</t>
        </r>
      </text>
    </comment>
    <comment ref="K251" authorId="0" shapeId="0">
      <text>
        <r>
          <rPr>
            <b/>
            <sz val="9"/>
            <color indexed="81"/>
            <rFont val="Tahoma"/>
            <family val="2"/>
          </rPr>
          <t>bijnensa:</t>
        </r>
        <r>
          <rPr>
            <sz val="9"/>
            <color indexed="81"/>
            <rFont val="Tahoma"/>
            <family val="2"/>
          </rPr>
          <t xml:space="preserve">
Sewerage charges shown include surface water drainage charges. Households in Birmingham pay for their surface water drainage either through a fixed charge based on property type or a charge based on the rateable value. The figures presented assume a 'zone 4' bill based on a property with a rateable value of £200 as an example.</t>
        </r>
      </text>
    </comment>
    <comment ref="K252" authorId="0" shapeId="0">
      <text>
        <r>
          <rPr>
            <b/>
            <sz val="9"/>
            <color indexed="81"/>
            <rFont val="Tahoma"/>
            <family val="2"/>
          </rPr>
          <t>bijnensa:</t>
        </r>
        <r>
          <rPr>
            <sz val="9"/>
            <color indexed="81"/>
            <rFont val="Tahoma"/>
            <family val="2"/>
          </rPr>
          <t xml:space="preserve">
Sewerage charges shown include surface water drainage charges.</t>
        </r>
      </text>
    </comment>
    <comment ref="K253" authorId="0" shapeId="0">
      <text>
        <r>
          <rPr>
            <b/>
            <sz val="9"/>
            <color indexed="81"/>
            <rFont val="Tahoma"/>
            <family val="2"/>
          </rPr>
          <t>bijnensa:</t>
        </r>
        <r>
          <rPr>
            <sz val="9"/>
            <color indexed="81"/>
            <rFont val="Tahoma"/>
            <family val="2"/>
          </rPr>
          <t xml:space="preserve">
Sewerage charges shown include surface water drainage charges.</t>
        </r>
      </text>
    </comment>
    <comment ref="K254" authorId="0" shapeId="0">
      <text>
        <r>
          <rPr>
            <b/>
            <sz val="9"/>
            <color indexed="81"/>
            <rFont val="Tahoma"/>
            <family val="2"/>
          </rPr>
          <t>bijnensa:</t>
        </r>
        <r>
          <rPr>
            <sz val="9"/>
            <color indexed="81"/>
            <rFont val="Tahoma"/>
            <family val="2"/>
          </rPr>
          <t xml:space="preserve">
Sewerage charges shown include surface water drainage charges.</t>
        </r>
      </text>
    </comment>
    <comment ref="K255" authorId="0" shapeId="0">
      <text>
        <r>
          <rPr>
            <b/>
            <sz val="9"/>
            <color indexed="81"/>
            <rFont val="Tahoma"/>
            <family val="2"/>
          </rPr>
          <t>bijnensa:</t>
        </r>
        <r>
          <rPr>
            <sz val="9"/>
            <color indexed="81"/>
            <rFont val="Tahoma"/>
            <family val="2"/>
          </rPr>
          <t xml:space="preserve">
Sewerage charges shown include surface water drainage charges.</t>
        </r>
      </text>
    </comment>
    <comment ref="A263" authorId="1" shapeId="0">
      <text>
        <r>
          <rPr>
            <b/>
            <sz val="9"/>
            <color indexed="81"/>
            <rFont val="Tahoma"/>
            <family val="2"/>
          </rPr>
          <t>Ann Bijnens:</t>
        </r>
        <r>
          <rPr>
            <sz val="9"/>
            <color indexed="81"/>
            <rFont val="Tahoma"/>
            <family val="2"/>
          </rPr>
          <t xml:space="preserve">
- FIXED CHARGES FOR DOMESTIC CUSTOMERS.
- SEWERAGE CHARGE FOR DOMESTIC CUSTOMERS IS 20%OF WATER BILL FOR; MWSC, NWSC, &amp; 30% for LWSC&amp;KWSC 40% NWWSC &amp; KWSC .
- Other charges: SANITATION SURCHARGE AT 2.5% OF WATER BILL, EXCEPT FOR NKANA WSC (NWSC) AT 3%.</t>
        </r>
      </text>
    </comment>
    <comment ref="C263" authorId="1" shapeId="0">
      <text>
        <r>
          <rPr>
            <b/>
            <sz val="9"/>
            <color indexed="81"/>
            <rFont val="Tahoma"/>
            <family val="2"/>
          </rPr>
          <t>Ann Bijnens:</t>
        </r>
        <r>
          <rPr>
            <sz val="9"/>
            <color indexed="81"/>
            <rFont val="Tahoma"/>
            <family val="2"/>
          </rPr>
          <t xml:space="preserve">
LWSC = Lusaka Water &amp; Sewerage Company</t>
        </r>
      </text>
    </comment>
    <comment ref="AF263" authorId="1" shapeId="0">
      <text>
        <r>
          <rPr>
            <b/>
            <sz val="9"/>
            <color indexed="81"/>
            <rFont val="Tahoma"/>
            <family val="2"/>
          </rPr>
          <t>Ann Bijnens:</t>
        </r>
        <r>
          <rPr>
            <sz val="9"/>
            <color indexed="81"/>
            <rFont val="Tahoma"/>
            <family val="2"/>
          </rPr>
          <t xml:space="preserve">
fixed charges for service = meter charges</t>
        </r>
      </text>
    </comment>
    <comment ref="AG263" authorId="1" shapeId="0">
      <text>
        <r>
          <rPr>
            <b/>
            <sz val="9"/>
            <color indexed="81"/>
            <rFont val="Tahoma"/>
            <family val="2"/>
          </rPr>
          <t>Ann Bijnens:</t>
        </r>
        <r>
          <rPr>
            <sz val="9"/>
            <color indexed="81"/>
            <rFont val="Tahoma"/>
            <family val="2"/>
          </rPr>
          <t xml:space="preserve">
sanitation surcharges which are a percentage of the water bill</t>
        </r>
      </text>
    </comment>
    <comment ref="C264" authorId="1" shapeId="0">
      <text>
        <r>
          <rPr>
            <b/>
            <sz val="9"/>
            <color indexed="81"/>
            <rFont val="Tahoma"/>
            <family val="2"/>
          </rPr>
          <t>Ann Bijnens:</t>
        </r>
        <r>
          <rPr>
            <sz val="9"/>
            <color indexed="81"/>
            <rFont val="Tahoma"/>
            <family val="2"/>
          </rPr>
          <t xml:space="preserve">
NWSC = National Water and Sewerage Corporation</t>
        </r>
      </text>
    </comment>
    <comment ref="AF264" authorId="1" shapeId="0">
      <text>
        <r>
          <rPr>
            <b/>
            <sz val="9"/>
            <color indexed="81"/>
            <rFont val="Tahoma"/>
            <family val="2"/>
          </rPr>
          <t>Ann Bijnens:</t>
        </r>
        <r>
          <rPr>
            <sz val="9"/>
            <color indexed="81"/>
            <rFont val="Tahoma"/>
            <family val="2"/>
          </rPr>
          <t xml:space="preserve">
fixed charges for service = meter charges</t>
        </r>
      </text>
    </comment>
    <comment ref="AG264" authorId="1" shapeId="0">
      <text>
        <r>
          <rPr>
            <b/>
            <sz val="9"/>
            <color indexed="81"/>
            <rFont val="Tahoma"/>
            <family val="2"/>
          </rPr>
          <t>Ann Bijnens:</t>
        </r>
        <r>
          <rPr>
            <sz val="9"/>
            <color indexed="81"/>
            <rFont val="Tahoma"/>
            <family val="2"/>
          </rPr>
          <t xml:space="preserve">
sanitation surcharges which are a percentage of the water bill</t>
        </r>
      </text>
    </comment>
    <comment ref="C265" authorId="1" shapeId="0">
      <text>
        <r>
          <rPr>
            <b/>
            <sz val="9"/>
            <color indexed="81"/>
            <rFont val="Tahoma"/>
            <family val="2"/>
          </rPr>
          <t>Ann Bijnens:</t>
        </r>
        <r>
          <rPr>
            <sz val="9"/>
            <color indexed="81"/>
            <rFont val="Tahoma"/>
            <family val="2"/>
          </rPr>
          <t xml:space="preserve">
KWSC = Kafubu Water and Sewerage Company</t>
        </r>
      </text>
    </comment>
    <comment ref="AF265" authorId="1" shapeId="0">
      <text>
        <r>
          <rPr>
            <b/>
            <sz val="9"/>
            <color indexed="81"/>
            <rFont val="Tahoma"/>
            <family val="2"/>
          </rPr>
          <t>Ann Bijnens:</t>
        </r>
        <r>
          <rPr>
            <sz val="9"/>
            <color indexed="81"/>
            <rFont val="Tahoma"/>
            <family val="2"/>
          </rPr>
          <t xml:space="preserve">
fixed charges for service = meter charges</t>
        </r>
      </text>
    </comment>
    <comment ref="AG265" authorId="1" shapeId="0">
      <text>
        <r>
          <rPr>
            <b/>
            <sz val="9"/>
            <color indexed="81"/>
            <rFont val="Tahoma"/>
            <family val="2"/>
          </rPr>
          <t>Ann Bijnens:</t>
        </r>
        <r>
          <rPr>
            <sz val="9"/>
            <color indexed="81"/>
            <rFont val="Tahoma"/>
            <family val="2"/>
          </rPr>
          <t xml:space="preserve">
sanitation surcharges which are a percentage of the water bill</t>
        </r>
      </text>
    </comment>
    <comment ref="C266" authorId="1" shapeId="0">
      <text>
        <r>
          <rPr>
            <b/>
            <sz val="9"/>
            <color indexed="81"/>
            <rFont val="Tahoma"/>
            <family val="2"/>
          </rPr>
          <t>Ann Bijnens:</t>
        </r>
        <r>
          <rPr>
            <sz val="9"/>
            <color indexed="81"/>
            <rFont val="Tahoma"/>
            <family val="2"/>
          </rPr>
          <t xml:space="preserve">
MWSC = Mulonga Water and Sewerage Company</t>
        </r>
      </text>
    </comment>
    <comment ref="AF266" authorId="1" shapeId="0">
      <text>
        <r>
          <rPr>
            <b/>
            <sz val="9"/>
            <color indexed="81"/>
            <rFont val="Tahoma"/>
            <family val="2"/>
          </rPr>
          <t>Ann Bijnens:</t>
        </r>
        <r>
          <rPr>
            <sz val="9"/>
            <color indexed="81"/>
            <rFont val="Tahoma"/>
            <family val="2"/>
          </rPr>
          <t xml:space="preserve">
fixed charges for service = meter charges</t>
        </r>
      </text>
    </comment>
    <comment ref="AG266" authorId="1" shapeId="0">
      <text>
        <r>
          <rPr>
            <b/>
            <sz val="9"/>
            <color indexed="81"/>
            <rFont val="Tahoma"/>
            <family val="2"/>
          </rPr>
          <t>Ann Bijnens:</t>
        </r>
        <r>
          <rPr>
            <sz val="9"/>
            <color indexed="81"/>
            <rFont val="Tahoma"/>
            <family val="2"/>
          </rPr>
          <t xml:space="preserve">
sanitation surcharges which are a percentage of the water bill</t>
        </r>
      </text>
    </comment>
    <comment ref="C267" authorId="1" shapeId="0">
      <text>
        <r>
          <rPr>
            <b/>
            <sz val="9"/>
            <color indexed="81"/>
            <rFont val="Tahoma"/>
            <family val="2"/>
          </rPr>
          <t>Ann Bijnens:</t>
        </r>
        <r>
          <rPr>
            <sz val="9"/>
            <color indexed="81"/>
            <rFont val="Tahoma"/>
            <family val="2"/>
          </rPr>
          <t xml:space="preserve">
NWWSSC = North Western Water Supply and Sewerage Company</t>
        </r>
      </text>
    </comment>
    <comment ref="AF267" authorId="1" shapeId="0">
      <text>
        <r>
          <rPr>
            <b/>
            <sz val="9"/>
            <color indexed="81"/>
            <rFont val="Tahoma"/>
            <family val="2"/>
          </rPr>
          <t>Ann Bijnens:</t>
        </r>
        <r>
          <rPr>
            <sz val="9"/>
            <color indexed="81"/>
            <rFont val="Tahoma"/>
            <family val="2"/>
          </rPr>
          <t xml:space="preserve">
fixed charges for service = meter charges</t>
        </r>
      </text>
    </comment>
    <comment ref="C286" authorId="0" shapeId="0">
      <text>
        <r>
          <rPr>
            <b/>
            <sz val="9"/>
            <color indexed="81"/>
            <rFont val="Tahoma"/>
            <family val="2"/>
          </rPr>
          <t>bijnensa:</t>
        </r>
        <r>
          <rPr>
            <sz val="9"/>
            <color indexed="81"/>
            <rFont val="Tahoma"/>
            <family val="2"/>
          </rPr>
          <t xml:space="preserve">
SNIS - National System of Information on Water and Sanitation - Reference Year 2014</t>
        </r>
      </text>
    </comment>
    <comment ref="C287" authorId="0" shapeId="0">
      <text>
        <r>
          <rPr>
            <b/>
            <sz val="9"/>
            <color indexed="81"/>
            <rFont val="Tahoma"/>
            <family val="2"/>
          </rPr>
          <t>bijnensa:</t>
        </r>
        <r>
          <rPr>
            <sz val="9"/>
            <color indexed="81"/>
            <rFont val="Tahoma"/>
            <family val="2"/>
          </rPr>
          <t xml:space="preserve">
SABESP: Water Utility of São Paulo State with Full Concession of Water and Sanitation in 364 Municipalities of São Paulo State, deserving around 27 million people. The average tarig ranges from RS 114/100 m3(Turiúba/SP) to R4 359/100 m3 ( Barueri/SP)</t>
        </r>
      </text>
    </comment>
    <comment ref="C288" authorId="0" shapeId="0">
      <text>
        <r>
          <rPr>
            <b/>
            <sz val="9"/>
            <color indexed="81"/>
            <rFont val="Tahoma"/>
            <family val="2"/>
          </rPr>
          <t>bijnensa:</t>
        </r>
        <r>
          <rPr>
            <sz val="9"/>
            <color indexed="81"/>
            <rFont val="Tahoma"/>
            <family val="2"/>
          </rPr>
          <t xml:space="preserve">
Brasília -the Federal District - is desserved in water and sanitation by CAESB - the local Water Utility. With the highest income per capita in the country, Brasília is not very representative of the Brazilian Average</t>
        </r>
      </text>
    </comment>
    <comment ref="D348" authorId="0" shapeId="0">
      <text>
        <r>
          <rPr>
            <b/>
            <sz val="9"/>
            <color indexed="81"/>
            <rFont val="Tahoma"/>
            <family val="2"/>
          </rPr>
          <t>bijnensa:</t>
        </r>
        <r>
          <rPr>
            <sz val="9"/>
            <color indexed="81"/>
            <rFont val="Tahoma"/>
            <family val="2"/>
          </rPr>
          <t xml:space="preserve">
laatst gekende GDP van jaar 2013</t>
        </r>
      </text>
    </comment>
    <comment ref="A349" authorId="1" shapeId="0">
      <text>
        <r>
          <rPr>
            <b/>
            <sz val="9"/>
            <color indexed="81"/>
            <rFont val="Tahoma"/>
            <family val="2"/>
          </rPr>
          <t xml:space="preserve">Ann Bijnens:
</t>
        </r>
        <r>
          <rPr>
            <sz val="9"/>
            <color indexed="81"/>
            <rFont val="Tahoma"/>
            <family val="2"/>
          </rPr>
          <t>There are no regional differences in water rates</t>
        </r>
      </text>
    </comment>
    <comment ref="F349" authorId="1" shapeId="0">
      <text>
        <r>
          <rPr>
            <b/>
            <sz val="9"/>
            <color indexed="81"/>
            <rFont val="Tahoma"/>
            <family val="2"/>
          </rPr>
          <t>Ann Bijnens:</t>
        </r>
        <r>
          <rPr>
            <sz val="9"/>
            <color indexed="81"/>
            <rFont val="Tahoma"/>
            <family val="2"/>
          </rPr>
          <t xml:space="preserve">
Increasing block tariff at €1.3965/m3 up to 33m3/person/annum and €5.1395/m3 above 33m3/person/annum. Assume water consumption spread evenly over the year.</t>
        </r>
      </text>
    </comment>
    <comment ref="G357" authorId="0" shapeId="0">
      <text>
        <r>
          <rPr>
            <b/>
            <sz val="9"/>
            <color indexed="81"/>
            <rFont val="Tahoma"/>
            <family val="2"/>
          </rPr>
          <t>bijnensa:</t>
        </r>
        <r>
          <rPr>
            <sz val="9"/>
            <color indexed="81"/>
            <rFont val="Tahoma"/>
            <family val="2"/>
          </rPr>
          <t xml:space="preserve">
distribution and concession reimbursements ("precario")</t>
        </r>
      </text>
    </comment>
    <comment ref="G358" authorId="0" shapeId="0">
      <text>
        <r>
          <rPr>
            <b/>
            <sz val="9"/>
            <color indexed="81"/>
            <rFont val="Tahoma"/>
            <family val="2"/>
          </rPr>
          <t>bijnensa:</t>
        </r>
        <r>
          <rPr>
            <sz val="9"/>
            <color indexed="81"/>
            <rFont val="Tahoma"/>
            <family val="2"/>
          </rPr>
          <t xml:space="preserve">
distribution and concession reimbursements ("precario")</t>
        </r>
      </text>
    </comment>
    <comment ref="C379" authorId="1" shapeId="0">
      <text>
        <r>
          <rPr>
            <b/>
            <sz val="9"/>
            <color indexed="81"/>
            <rFont val="Tahoma"/>
            <family val="2"/>
          </rPr>
          <t>Ann Bijnens:</t>
        </r>
        <r>
          <rPr>
            <sz val="9"/>
            <color indexed="81"/>
            <rFont val="Tahoma"/>
            <family val="2"/>
          </rPr>
          <t xml:space="preserve">
charges 2015: during summer the population supplied is over 1.000.000 inhabitans due the seaside areas</t>
        </r>
      </text>
    </comment>
    <comment ref="C385" authorId="1" shapeId="0">
      <text>
        <r>
          <rPr>
            <b/>
            <sz val="9"/>
            <color indexed="81"/>
            <rFont val="Tahoma"/>
            <family val="2"/>
          </rPr>
          <t>Ann Bijnens:</t>
        </r>
        <r>
          <rPr>
            <sz val="9"/>
            <color indexed="81"/>
            <rFont val="Tahoma"/>
            <family val="2"/>
          </rPr>
          <t xml:space="preserve">
charges 2015: population data are calculated based on clients declaration. All citizen have acces to water supply and sewerage services</t>
        </r>
      </text>
    </comment>
    <comment ref="A402" authorId="1" shapeId="0">
      <text>
        <r>
          <rPr>
            <b/>
            <sz val="9"/>
            <color indexed="81"/>
            <rFont val="Tahoma"/>
            <family val="2"/>
          </rPr>
          <t>Ann Bijnens:</t>
        </r>
        <r>
          <rPr>
            <sz val="9"/>
            <color indexed="81"/>
            <rFont val="Tahoma"/>
            <family val="2"/>
          </rPr>
          <t xml:space="preserve">
In general, water tariffs in Spain have fixed rates and increasing block depending on how much water is consumed. Nevertheless, in some part of the water cycle (for example sewer system) and depending on the city the price is set via a flat rate or uniform rate.</t>
        </r>
      </text>
    </comment>
    <comment ref="A412" authorId="1" shapeId="0">
      <text>
        <r>
          <rPr>
            <b/>
            <sz val="9"/>
            <color indexed="81"/>
            <rFont val="Tahoma"/>
            <family val="2"/>
          </rPr>
          <t>Ann Bijnens:</t>
        </r>
        <r>
          <rPr>
            <sz val="9"/>
            <color indexed="81"/>
            <rFont val="Tahoma"/>
            <family val="2"/>
          </rPr>
          <t xml:space="preserve">
data of 2014: bill for consumption depends on customer type. Here we use type 1 residence.</t>
        </r>
      </text>
    </comment>
    <comment ref="A413" authorId="1" shapeId="0">
      <text>
        <r>
          <rPr>
            <b/>
            <sz val="9"/>
            <color indexed="81"/>
            <rFont val="Tahoma"/>
            <family val="2"/>
          </rPr>
          <t>Ann Bijnens:</t>
        </r>
        <r>
          <rPr>
            <sz val="9"/>
            <color indexed="81"/>
            <rFont val="Tahoma"/>
            <family val="2"/>
          </rPr>
          <t xml:space="preserve">
The Corporation applies a uniform tariff across all consumer categories in all its areas of operation. The Domestic rate/tariff is uniform in all the Corporation's operational areas.
Fixed charge is the same across all the operational areas.
</t>
        </r>
      </text>
    </comment>
    <comment ref="A429" authorId="1" shapeId="0">
      <text>
        <r>
          <rPr>
            <b/>
            <sz val="9"/>
            <color indexed="81"/>
            <rFont val="Tahoma"/>
            <family val="2"/>
          </rPr>
          <t>Ann Bijnens:</t>
        </r>
        <r>
          <rPr>
            <sz val="9"/>
            <color indexed="81"/>
            <rFont val="Tahoma"/>
            <family val="2"/>
          </rPr>
          <t xml:space="preserve">
- FIXED CHARGES FOR DOMESTIC CUSTOMERS.
- SEWERAGE CHARGE FOR DOMESTIC CUSTOMERS IS 20%OF WATER BILL FOR; MWSC, NWSC, &amp; 30% for LWSC&amp;KWSC 40% NWWSC &amp; KWSC .
- Other charges: SANITATION SURCHARGE AT 2.5% OF WATER BILL, EXCEPT FOR NKANA WSC (NWSC) AT 3%.</t>
        </r>
      </text>
    </comment>
    <comment ref="C429" authorId="1" shapeId="0">
      <text>
        <r>
          <rPr>
            <b/>
            <sz val="9"/>
            <color indexed="81"/>
            <rFont val="Tahoma"/>
            <family val="2"/>
          </rPr>
          <t>Ann Bijnens:</t>
        </r>
        <r>
          <rPr>
            <sz val="9"/>
            <color indexed="81"/>
            <rFont val="Tahoma"/>
            <family val="2"/>
          </rPr>
          <t xml:space="preserve">
LWSC = Lusaka Water &amp; Sewerage Company</t>
        </r>
      </text>
    </comment>
    <comment ref="Q429" authorId="1" shapeId="0">
      <text>
        <r>
          <rPr>
            <b/>
            <sz val="9"/>
            <color indexed="81"/>
            <rFont val="Tahoma"/>
            <family val="2"/>
          </rPr>
          <t>Ann Bijnens:</t>
        </r>
        <r>
          <rPr>
            <sz val="9"/>
            <color indexed="81"/>
            <rFont val="Tahoma"/>
            <family val="2"/>
          </rPr>
          <t xml:space="preserve">
fixed charges for service = meter charges</t>
        </r>
      </text>
    </comment>
    <comment ref="R429" authorId="1" shapeId="0">
      <text>
        <r>
          <rPr>
            <b/>
            <sz val="9"/>
            <color indexed="81"/>
            <rFont val="Tahoma"/>
            <family val="2"/>
          </rPr>
          <t>Ann Bijnens:</t>
        </r>
        <r>
          <rPr>
            <sz val="9"/>
            <color indexed="81"/>
            <rFont val="Tahoma"/>
            <family val="2"/>
          </rPr>
          <t xml:space="preserve">
sanitation surcharges which are a percentage of the water bill</t>
        </r>
      </text>
    </comment>
    <comment ref="C430" authorId="1" shapeId="0">
      <text>
        <r>
          <rPr>
            <b/>
            <sz val="9"/>
            <color indexed="81"/>
            <rFont val="Tahoma"/>
            <family val="2"/>
          </rPr>
          <t>Ann Bijnens:</t>
        </r>
        <r>
          <rPr>
            <sz val="9"/>
            <color indexed="81"/>
            <rFont val="Tahoma"/>
            <family val="2"/>
          </rPr>
          <t xml:space="preserve">
NWSC = National Water and Sewerage Corporation</t>
        </r>
      </text>
    </comment>
    <comment ref="Q430" authorId="1" shapeId="0">
      <text>
        <r>
          <rPr>
            <b/>
            <sz val="9"/>
            <color indexed="81"/>
            <rFont val="Tahoma"/>
            <family val="2"/>
          </rPr>
          <t>Ann Bijnens:</t>
        </r>
        <r>
          <rPr>
            <sz val="9"/>
            <color indexed="81"/>
            <rFont val="Tahoma"/>
            <family val="2"/>
          </rPr>
          <t xml:space="preserve">
fixed charges for service = meter charges</t>
        </r>
      </text>
    </comment>
    <comment ref="R430" authorId="1" shapeId="0">
      <text>
        <r>
          <rPr>
            <b/>
            <sz val="9"/>
            <color indexed="81"/>
            <rFont val="Tahoma"/>
            <family val="2"/>
          </rPr>
          <t>Ann Bijnens:</t>
        </r>
        <r>
          <rPr>
            <sz val="9"/>
            <color indexed="81"/>
            <rFont val="Tahoma"/>
            <family val="2"/>
          </rPr>
          <t xml:space="preserve">
sanitation surcharges which are a percentage of the water bill</t>
        </r>
      </text>
    </comment>
    <comment ref="C431" authorId="1" shapeId="0">
      <text>
        <r>
          <rPr>
            <b/>
            <sz val="9"/>
            <color indexed="81"/>
            <rFont val="Tahoma"/>
            <family val="2"/>
          </rPr>
          <t>Ann Bijnens:</t>
        </r>
        <r>
          <rPr>
            <sz val="9"/>
            <color indexed="81"/>
            <rFont val="Tahoma"/>
            <family val="2"/>
          </rPr>
          <t xml:space="preserve">
KWSC = Kafubu Water and Sewerage Company</t>
        </r>
      </text>
    </comment>
    <comment ref="Q431" authorId="1" shapeId="0">
      <text>
        <r>
          <rPr>
            <b/>
            <sz val="9"/>
            <color indexed="81"/>
            <rFont val="Tahoma"/>
            <family val="2"/>
          </rPr>
          <t>Ann Bijnens:</t>
        </r>
        <r>
          <rPr>
            <sz val="9"/>
            <color indexed="81"/>
            <rFont val="Tahoma"/>
            <family val="2"/>
          </rPr>
          <t xml:space="preserve">
fixed charges for service = meter charges</t>
        </r>
      </text>
    </comment>
    <comment ref="R431" authorId="1" shapeId="0">
      <text>
        <r>
          <rPr>
            <b/>
            <sz val="9"/>
            <color indexed="81"/>
            <rFont val="Tahoma"/>
            <family val="2"/>
          </rPr>
          <t>Ann Bijnens:</t>
        </r>
        <r>
          <rPr>
            <sz val="9"/>
            <color indexed="81"/>
            <rFont val="Tahoma"/>
            <family val="2"/>
          </rPr>
          <t xml:space="preserve">
sanitation surcharges which are a percentage of the water bill</t>
        </r>
      </text>
    </comment>
    <comment ref="C432" authorId="1" shapeId="0">
      <text>
        <r>
          <rPr>
            <b/>
            <sz val="9"/>
            <color indexed="81"/>
            <rFont val="Tahoma"/>
            <family val="2"/>
          </rPr>
          <t>Ann Bijnens:</t>
        </r>
        <r>
          <rPr>
            <sz val="9"/>
            <color indexed="81"/>
            <rFont val="Tahoma"/>
            <family val="2"/>
          </rPr>
          <t xml:space="preserve">
MWSC = Mulonga Water and Sewerage Company</t>
        </r>
      </text>
    </comment>
    <comment ref="Q432" authorId="1" shapeId="0">
      <text>
        <r>
          <rPr>
            <b/>
            <sz val="9"/>
            <color indexed="81"/>
            <rFont val="Tahoma"/>
            <family val="2"/>
          </rPr>
          <t>Ann Bijnens:</t>
        </r>
        <r>
          <rPr>
            <sz val="9"/>
            <color indexed="81"/>
            <rFont val="Tahoma"/>
            <family val="2"/>
          </rPr>
          <t xml:space="preserve">
fixed charges for service = meter charges</t>
        </r>
      </text>
    </comment>
    <comment ref="R432" authorId="1" shapeId="0">
      <text>
        <r>
          <rPr>
            <b/>
            <sz val="9"/>
            <color indexed="81"/>
            <rFont val="Tahoma"/>
            <family val="2"/>
          </rPr>
          <t>Ann Bijnens:</t>
        </r>
        <r>
          <rPr>
            <sz val="9"/>
            <color indexed="81"/>
            <rFont val="Tahoma"/>
            <family val="2"/>
          </rPr>
          <t xml:space="preserve">
sanitation surcharges which are a percentage of the water bill</t>
        </r>
      </text>
    </comment>
    <comment ref="C433" authorId="1" shapeId="0">
      <text>
        <r>
          <rPr>
            <b/>
            <sz val="9"/>
            <color indexed="81"/>
            <rFont val="Tahoma"/>
            <family val="2"/>
          </rPr>
          <t>Ann Bijnens:</t>
        </r>
        <r>
          <rPr>
            <sz val="9"/>
            <color indexed="81"/>
            <rFont val="Tahoma"/>
            <family val="2"/>
          </rPr>
          <t xml:space="preserve">
NWWSSC = North Western Water Supply and Sewerage Company</t>
        </r>
      </text>
    </comment>
    <comment ref="Q433" authorId="1" shapeId="0">
      <text>
        <r>
          <rPr>
            <b/>
            <sz val="9"/>
            <color indexed="81"/>
            <rFont val="Tahoma"/>
            <family val="2"/>
          </rPr>
          <t>Ann Bijnens:</t>
        </r>
        <r>
          <rPr>
            <sz val="9"/>
            <color indexed="81"/>
            <rFont val="Tahoma"/>
            <family val="2"/>
          </rPr>
          <t xml:space="preserve">
fixed charges for service = meter charges</t>
        </r>
      </text>
    </comment>
    <comment ref="A438" authorId="1" shapeId="0">
      <text>
        <r>
          <rPr>
            <b/>
            <sz val="9"/>
            <color indexed="81"/>
            <rFont val="Tahoma"/>
            <family val="2"/>
          </rPr>
          <t>Ann Bijnens:</t>
        </r>
        <r>
          <rPr>
            <sz val="9"/>
            <color indexed="81"/>
            <rFont val="Tahoma"/>
            <family val="2"/>
          </rPr>
          <t xml:space="preserve">
LWSC = Lusaka Water &amp; Sewerage Company</t>
        </r>
      </text>
    </comment>
    <comment ref="A442" authorId="0" shapeId="0">
      <text>
        <r>
          <rPr>
            <b/>
            <sz val="9"/>
            <color indexed="81"/>
            <rFont val="Tahoma"/>
            <family val="2"/>
          </rPr>
          <t>bijnensa:</t>
        </r>
        <r>
          <rPr>
            <sz val="9"/>
            <color indexed="81"/>
            <rFont val="Tahoma"/>
            <family val="2"/>
          </rPr>
          <t xml:space="preserve">
Brasília -the Federal District - is desserved in water and sanitation by CAESB - the local Water Utility. With the highest income per capita in the country, Brasília is not very representative of the Brazilian Average</t>
        </r>
      </text>
    </comment>
    <comment ref="A445" authorId="1" shapeId="0">
      <text>
        <r>
          <rPr>
            <b/>
            <sz val="9"/>
            <color indexed="81"/>
            <rFont val="Tahoma"/>
            <family val="2"/>
          </rPr>
          <t>Ann Bijnens:</t>
        </r>
        <r>
          <rPr>
            <sz val="9"/>
            <color indexed="81"/>
            <rFont val="Tahoma"/>
            <family val="2"/>
          </rPr>
          <t xml:space="preserve">
charges 2015: population data are calculated based on clients declaration. All citizen have acces to water supply and sewerage services</t>
        </r>
      </text>
    </comment>
  </commentList>
</comments>
</file>

<file path=xl/comments12.xml><?xml version="1.0" encoding="utf-8"?>
<comments xmlns="http://schemas.openxmlformats.org/spreadsheetml/2006/main">
  <authors>
    <author>bijnensa</author>
    <author>Ann Bijnens</author>
  </authors>
  <commentList>
    <comment ref="H16" authorId="0" shapeId="0">
      <text>
        <r>
          <rPr>
            <b/>
            <sz val="9"/>
            <color indexed="81"/>
            <rFont val="Tahoma"/>
            <family val="2"/>
          </rPr>
          <t>bijnensa:</t>
        </r>
        <r>
          <rPr>
            <sz val="9"/>
            <color indexed="81"/>
            <rFont val="Tahoma"/>
            <family val="2"/>
          </rPr>
          <t xml:space="preserve">
assumes the customers water consumption is equally distributed in each quarter</t>
        </r>
      </text>
    </comment>
    <comment ref="I16" authorId="0" shapeId="0">
      <text>
        <r>
          <rPr>
            <b/>
            <sz val="9"/>
            <color indexed="81"/>
            <rFont val="Tahoma"/>
            <family val="2"/>
          </rPr>
          <t>bijnensa:</t>
        </r>
        <r>
          <rPr>
            <sz val="9"/>
            <color indexed="81"/>
            <rFont val="Tahoma"/>
            <family val="2"/>
          </rPr>
          <t xml:space="preserve">
River Murray Levy</t>
        </r>
      </text>
    </comment>
    <comment ref="L16" authorId="0" shapeId="0">
      <text>
        <r>
          <rPr>
            <b/>
            <sz val="9"/>
            <color indexed="81"/>
            <rFont val="Tahoma"/>
            <family val="2"/>
          </rPr>
          <t>bijnensa:</t>
        </r>
        <r>
          <rPr>
            <sz val="9"/>
            <color indexed="81"/>
            <rFont val="Tahoma"/>
            <family val="2"/>
          </rPr>
          <t xml:space="preserve">
based on the average valued property</t>
        </r>
      </text>
    </comment>
    <comment ref="A37" authorId="1" shapeId="0">
      <text>
        <r>
          <rPr>
            <b/>
            <sz val="9"/>
            <color indexed="81"/>
            <rFont val="Tahoma"/>
            <family val="2"/>
          </rPr>
          <t>Ann Bijnens:</t>
        </r>
        <r>
          <rPr>
            <sz val="9"/>
            <color indexed="81"/>
            <rFont val="Tahoma"/>
            <family val="2"/>
          </rPr>
          <t xml:space="preserve">
charges of 2015:
Source: SNIS - National System of Information on Water and Sanitation    Reference Year - 2015 - Last Edition published                                                           SABESP - Water Utility of São Paulo State with full concession of Water and Sanitation Services in 368 Municipalities of São Paulo Stae, deserving around 27,9 millioon inhabitants.                                                                                                                                                                                      BRASÍLIA - The Federal District is deserved in water and sanitation by CAESB, the local water utility.  CAESB deserves about 2,59 million inhabitants.</t>
        </r>
      </text>
    </comment>
    <comment ref="A45" authorId="1" shapeId="0">
      <text>
        <r>
          <rPr>
            <b/>
            <sz val="9"/>
            <color indexed="81"/>
            <rFont val="Tahoma"/>
            <family val="2"/>
          </rPr>
          <t>Ann Bijnens:</t>
        </r>
        <r>
          <rPr>
            <sz val="9"/>
            <color indexed="81"/>
            <rFont val="Tahoma"/>
            <family val="2"/>
          </rPr>
          <t xml:space="preserve">
charges of 2017:
Tariffs for 3 services (water supply, sewerage and waste water treatment are billed per m3 consumed. No fix or variable components are applied. VAT is 20%.
Tariffs in Sofia and Burgas are established in 2017, in Pleven and Razgrad in 2016, and in Stara Zagora in 2012</t>
        </r>
      </text>
    </comment>
    <comment ref="A143" authorId="1" shapeId="0">
      <text>
        <r>
          <rPr>
            <b/>
            <sz val="9"/>
            <color indexed="81"/>
            <rFont val="Tahoma"/>
            <family val="2"/>
          </rPr>
          <t xml:space="preserve">Ann Bijnens:
</t>
        </r>
        <r>
          <rPr>
            <sz val="9"/>
            <color indexed="81"/>
            <rFont val="Tahoma"/>
            <family val="2"/>
          </rPr>
          <t>There are no regional differences in water rates</t>
        </r>
      </text>
    </comment>
    <comment ref="H143" authorId="1" shapeId="0">
      <text>
        <r>
          <rPr>
            <b/>
            <sz val="9"/>
            <color indexed="81"/>
            <rFont val="Tahoma"/>
            <family val="2"/>
          </rPr>
          <t>Ann Bijnens:</t>
        </r>
        <r>
          <rPr>
            <sz val="9"/>
            <color indexed="81"/>
            <rFont val="Tahoma"/>
            <family val="2"/>
          </rPr>
          <t xml:space="preserve">
Increasing block tariff at €1.3965/m3 up to 33m3/person/annum and €5.1395/m3 above 33m3/person/annum. Assume water consumption spread evenly over the year.</t>
        </r>
      </text>
    </comment>
    <comment ref="N143" authorId="1" shapeId="0">
      <text>
        <r>
          <rPr>
            <b/>
            <sz val="9"/>
            <color indexed="81"/>
            <rFont val="Tahoma"/>
            <family val="2"/>
          </rPr>
          <t>Ann Bijnens:</t>
        </r>
        <r>
          <rPr>
            <sz val="9"/>
            <color indexed="81"/>
            <rFont val="Tahoma"/>
            <family val="2"/>
          </rPr>
          <t xml:space="preserve">
rates incorporate sewerage contribution</t>
        </r>
      </text>
    </comment>
    <comment ref="P157" authorId="0" shapeId="0">
      <text>
        <r>
          <rPr>
            <b/>
            <sz val="9"/>
            <color indexed="81"/>
            <rFont val="Tahoma"/>
            <family val="2"/>
          </rPr>
          <t>bijnensa:</t>
        </r>
        <r>
          <rPr>
            <sz val="9"/>
            <color indexed="81"/>
            <rFont val="Tahoma"/>
            <family val="2"/>
          </rPr>
          <t xml:space="preserve">
other charges: tap water tax</t>
        </r>
      </text>
    </comment>
    <comment ref="I158" authorId="0" shapeId="0">
      <text>
        <r>
          <rPr>
            <b/>
            <sz val="9"/>
            <color indexed="81"/>
            <rFont val="Tahoma"/>
            <family val="2"/>
          </rPr>
          <t>bijnensa:</t>
        </r>
        <r>
          <rPr>
            <sz val="9"/>
            <color indexed="81"/>
            <rFont val="Tahoma"/>
            <family val="2"/>
          </rPr>
          <t xml:space="preserve">
distribution and concession reimbursements ("precario")</t>
        </r>
      </text>
    </comment>
    <comment ref="P158" authorId="0" shapeId="0">
      <text>
        <r>
          <rPr>
            <b/>
            <sz val="9"/>
            <color indexed="81"/>
            <rFont val="Tahoma"/>
            <family val="2"/>
          </rPr>
          <t>bijnensa:</t>
        </r>
        <r>
          <rPr>
            <sz val="9"/>
            <color indexed="81"/>
            <rFont val="Tahoma"/>
            <family val="2"/>
          </rPr>
          <t xml:space="preserve">
other charges: tap water tax</t>
        </r>
      </text>
    </comment>
    <comment ref="I159" authorId="0" shapeId="0">
      <text>
        <r>
          <rPr>
            <b/>
            <sz val="9"/>
            <color indexed="81"/>
            <rFont val="Tahoma"/>
            <family val="2"/>
          </rPr>
          <t>bijnensa:</t>
        </r>
        <r>
          <rPr>
            <sz val="9"/>
            <color indexed="81"/>
            <rFont val="Tahoma"/>
            <family val="2"/>
          </rPr>
          <t xml:space="preserve">
distribution and concession reimbursements ("precario")</t>
        </r>
      </text>
    </comment>
    <comment ref="P159" authorId="0" shapeId="0">
      <text>
        <r>
          <rPr>
            <b/>
            <sz val="9"/>
            <color indexed="81"/>
            <rFont val="Tahoma"/>
            <family val="2"/>
          </rPr>
          <t>bijnensa:</t>
        </r>
        <r>
          <rPr>
            <sz val="9"/>
            <color indexed="81"/>
            <rFont val="Tahoma"/>
            <family val="2"/>
          </rPr>
          <t xml:space="preserve">
other charges: tap water tax</t>
        </r>
      </text>
    </comment>
    <comment ref="P160" authorId="0" shapeId="0">
      <text>
        <r>
          <rPr>
            <b/>
            <sz val="9"/>
            <color indexed="81"/>
            <rFont val="Tahoma"/>
            <family val="2"/>
          </rPr>
          <t>bijnensa:</t>
        </r>
        <r>
          <rPr>
            <sz val="9"/>
            <color indexed="81"/>
            <rFont val="Tahoma"/>
            <family val="2"/>
          </rPr>
          <t xml:space="preserve">
other charges: tap water tax</t>
        </r>
      </text>
    </comment>
    <comment ref="P161" authorId="0" shapeId="0">
      <text>
        <r>
          <rPr>
            <b/>
            <sz val="9"/>
            <color indexed="81"/>
            <rFont val="Tahoma"/>
            <family val="2"/>
          </rPr>
          <t>bijnensa:</t>
        </r>
        <r>
          <rPr>
            <sz val="9"/>
            <color indexed="81"/>
            <rFont val="Tahoma"/>
            <family val="2"/>
          </rPr>
          <t xml:space="preserve">
other charges: tap water tax</t>
        </r>
      </text>
    </comment>
    <comment ref="A227" authorId="1" shapeId="0">
      <text>
        <r>
          <rPr>
            <b/>
            <sz val="9"/>
            <color indexed="81"/>
            <rFont val="Tahoma"/>
            <family val="2"/>
          </rPr>
          <t>Ann Bijnens:</t>
        </r>
        <r>
          <rPr>
            <sz val="9"/>
            <color indexed="81"/>
            <rFont val="Tahoma"/>
            <family val="2"/>
          </rPr>
          <t xml:space="preserve">
data of 2017:
In Scotland all public supply is charged at a fixed rate (unmetered) and collected by local authorities along with council (local property) tax. It is banded according to the value of the property but the levels of charges are the same everywhere. This link gives the table with the banded rates. http://www.scottishwater.co.uk/you-and-your-home/your-charges/2018-19-charges/2018-19-umc If households are in receipt of benefit or a single adult, there is a reduction. There is a separate charge for water and for sewerage though most people and certainly in urban areas have both elements of public supply. 
banded tariffs for water start at £134.66 / pa and rise (8 bands) to £404.82 / pa. Banded charges for wastewater start ar £156.66 / pa and rise to £469.98 / pa. </t>
        </r>
      </text>
    </comment>
    <comment ref="N243" authorId="0" shapeId="0">
      <text>
        <r>
          <rPr>
            <b/>
            <sz val="9"/>
            <color indexed="81"/>
            <rFont val="Tahoma"/>
            <family val="2"/>
          </rPr>
          <t>bijnensa:</t>
        </r>
        <r>
          <rPr>
            <sz val="9"/>
            <color indexed="81"/>
            <rFont val="Tahoma"/>
            <family val="2"/>
          </rPr>
          <t xml:space="preserve">
not separately charged. Inherent to sewerage charge</t>
        </r>
      </text>
    </comment>
    <comment ref="H244" authorId="0" shapeId="0">
      <text>
        <r>
          <rPr>
            <b/>
            <sz val="9"/>
            <color indexed="81"/>
            <rFont val="Tahoma"/>
            <family val="2"/>
          </rPr>
          <t>bijnensa:</t>
        </r>
        <r>
          <rPr>
            <sz val="9"/>
            <color indexed="81"/>
            <rFont val="Tahoma"/>
            <family val="2"/>
          </rPr>
          <t xml:space="preserve">
assumes the customers water consumption is equally distributed in each quarter</t>
        </r>
      </text>
    </comment>
    <comment ref="I244" authorId="0" shapeId="0">
      <text>
        <r>
          <rPr>
            <b/>
            <sz val="9"/>
            <color indexed="81"/>
            <rFont val="Tahoma"/>
            <family val="2"/>
          </rPr>
          <t>bijnensa:</t>
        </r>
        <r>
          <rPr>
            <sz val="9"/>
            <color indexed="81"/>
            <rFont val="Tahoma"/>
            <family val="2"/>
          </rPr>
          <t xml:space="preserve">
River Murray Levy</t>
        </r>
      </text>
    </comment>
    <comment ref="L244" authorId="0" shapeId="0">
      <text>
        <r>
          <rPr>
            <b/>
            <sz val="9"/>
            <color indexed="81"/>
            <rFont val="Tahoma"/>
            <family val="2"/>
          </rPr>
          <t>bijnensa:</t>
        </r>
        <r>
          <rPr>
            <sz val="9"/>
            <color indexed="81"/>
            <rFont val="Tahoma"/>
            <family val="2"/>
          </rPr>
          <t xml:space="preserve">
based on the average valued property</t>
        </r>
      </text>
    </comment>
    <comment ref="A253" authorId="1" shapeId="0">
      <text>
        <r>
          <rPr>
            <b/>
            <sz val="9"/>
            <color indexed="81"/>
            <rFont val="Tahoma"/>
            <family val="2"/>
          </rPr>
          <t>Ann Bijnens:</t>
        </r>
        <r>
          <rPr>
            <sz val="9"/>
            <color indexed="81"/>
            <rFont val="Tahoma"/>
            <family val="2"/>
          </rPr>
          <t xml:space="preserve">
charges of 2017:
The drinking water bill for all cities (Madrid, Barcelona, Bilbao, Sevilla and Valencia) consists of both variable and fixed components. But as we perform our tariff studies in Spain, we do not separate fixed and variable component.  So as a convention, we have decided to include the drinking water bill on variable component.
We also have variable and fixed components in Sewerage and WWT services, but in our tariff studies we do not separate each concept.
VAT in Spain for water services is 10% of the total value for the majority of concepts included on the bill </t>
        </r>
      </text>
    </comment>
    <comment ref="A269" authorId="1" shapeId="0">
      <text>
        <r>
          <rPr>
            <b/>
            <sz val="9"/>
            <color indexed="81"/>
            <rFont val="Tahoma"/>
            <family val="2"/>
          </rPr>
          <t>Ann Bijnens:</t>
        </r>
        <r>
          <rPr>
            <sz val="9"/>
            <color indexed="81"/>
            <rFont val="Tahoma"/>
            <family val="2"/>
          </rPr>
          <t xml:space="preserve">
data of 2014: bill for consumption depends on customer type. Here we use type 1 residence.</t>
        </r>
      </text>
    </comment>
    <comment ref="P271" authorId="1" shapeId="0">
      <text>
        <r>
          <rPr>
            <b/>
            <sz val="9"/>
            <color indexed="81"/>
            <rFont val="Tahoma"/>
            <family val="2"/>
          </rPr>
          <t>Ann Bijnens:</t>
        </r>
        <r>
          <rPr>
            <sz val="9"/>
            <color indexed="81"/>
            <rFont val="Tahoma"/>
            <family val="2"/>
          </rPr>
          <t xml:space="preserve">
charges 2017: environmental cleaning tax</t>
        </r>
      </text>
    </comment>
    <comment ref="I272" authorId="1" shapeId="0">
      <text>
        <r>
          <rPr>
            <b/>
            <sz val="9"/>
            <color indexed="81"/>
            <rFont val="Tahoma"/>
            <family val="2"/>
          </rPr>
          <t>Ann Bijnens:</t>
        </r>
        <r>
          <rPr>
            <sz val="9"/>
            <color indexed="81"/>
            <rFont val="Tahoma"/>
            <family val="2"/>
          </rPr>
          <t xml:space="preserve">
charges 2017: maintenance cost</t>
        </r>
      </text>
    </comment>
    <comment ref="P272" authorId="1" shapeId="0">
      <text>
        <r>
          <rPr>
            <b/>
            <sz val="9"/>
            <color indexed="81"/>
            <rFont val="Tahoma"/>
            <family val="2"/>
          </rPr>
          <t>Ann Bijnens:</t>
        </r>
        <r>
          <rPr>
            <sz val="9"/>
            <color indexed="81"/>
            <rFont val="Tahoma"/>
            <family val="2"/>
          </rPr>
          <t xml:space="preserve">
charges 2017: environmental cleaning tax</t>
        </r>
      </text>
    </comment>
    <comment ref="P273" authorId="1" shapeId="0">
      <text>
        <r>
          <rPr>
            <b/>
            <sz val="9"/>
            <color indexed="81"/>
            <rFont val="Tahoma"/>
            <family val="2"/>
          </rPr>
          <t>Ann Bijnens:</t>
        </r>
        <r>
          <rPr>
            <sz val="9"/>
            <color indexed="81"/>
            <rFont val="Tahoma"/>
            <family val="2"/>
          </rPr>
          <t xml:space="preserve">
charges 2017: environmental cleaning tax</t>
        </r>
      </text>
    </comment>
    <comment ref="A274" authorId="1" shapeId="0">
      <text>
        <r>
          <rPr>
            <b/>
            <sz val="9"/>
            <color indexed="81"/>
            <rFont val="Tahoma"/>
            <family val="2"/>
          </rPr>
          <t>Ann Bijnens:</t>
        </r>
        <r>
          <rPr>
            <sz val="9"/>
            <color indexed="81"/>
            <rFont val="Tahoma"/>
            <family val="2"/>
          </rPr>
          <t xml:space="preserve">
data of 2015: The Corporation applies a uniform tariff across all consumer categories in all its areas of operation. The Domestic rate/tariff is uniform in all the Corporation's operational areas.
Fixed charge is the same across all the operational areas.
</t>
        </r>
      </text>
    </comment>
    <comment ref="N278" authorId="0" shapeId="0">
      <text>
        <r>
          <rPr>
            <b/>
            <sz val="9"/>
            <color indexed="81"/>
            <rFont val="Tahoma"/>
            <family val="2"/>
          </rPr>
          <t>bijnensa:</t>
        </r>
        <r>
          <rPr>
            <sz val="9"/>
            <color indexed="81"/>
            <rFont val="Tahoma"/>
            <family val="2"/>
          </rPr>
          <t xml:space="preserve">
Sewerage charges shown include surface water drainage charges. Households in Birmingham pay for their surface water drainage either through a fixed charge based on property type or a charge based on the rateable value. The figures presented assume a 'zone 4' bill based on a property with a rateable value of £200 as an example.</t>
        </r>
      </text>
    </comment>
    <comment ref="N279" authorId="0" shapeId="0">
      <text>
        <r>
          <rPr>
            <b/>
            <sz val="9"/>
            <color indexed="81"/>
            <rFont val="Tahoma"/>
            <family val="2"/>
          </rPr>
          <t>bijnensa:</t>
        </r>
        <r>
          <rPr>
            <sz val="9"/>
            <color indexed="81"/>
            <rFont val="Tahoma"/>
            <family val="2"/>
          </rPr>
          <t xml:space="preserve">
Sewerage charges shown include surface water drainage charges.</t>
        </r>
      </text>
    </comment>
    <comment ref="N280" authorId="0" shapeId="0">
      <text>
        <r>
          <rPr>
            <b/>
            <sz val="9"/>
            <color indexed="81"/>
            <rFont val="Tahoma"/>
            <family val="2"/>
          </rPr>
          <t>bijnensa:</t>
        </r>
        <r>
          <rPr>
            <sz val="9"/>
            <color indexed="81"/>
            <rFont val="Tahoma"/>
            <family val="2"/>
          </rPr>
          <t xml:space="preserve">
Sewerage charges shown include surface water drainage charges.</t>
        </r>
      </text>
    </comment>
    <comment ref="N281" authorId="0" shapeId="0">
      <text>
        <r>
          <rPr>
            <b/>
            <sz val="9"/>
            <color indexed="81"/>
            <rFont val="Tahoma"/>
            <family val="2"/>
          </rPr>
          <t>bijnensa:</t>
        </r>
        <r>
          <rPr>
            <sz val="9"/>
            <color indexed="81"/>
            <rFont val="Tahoma"/>
            <family val="2"/>
          </rPr>
          <t xml:space="preserve">
Sewerage charges shown include surface water drainage charges.</t>
        </r>
      </text>
    </comment>
    <comment ref="N282" authorId="0" shapeId="0">
      <text>
        <r>
          <rPr>
            <b/>
            <sz val="9"/>
            <color indexed="81"/>
            <rFont val="Tahoma"/>
            <family val="2"/>
          </rPr>
          <t>bijnensa:</t>
        </r>
        <r>
          <rPr>
            <sz val="9"/>
            <color indexed="81"/>
            <rFont val="Tahoma"/>
            <family val="2"/>
          </rPr>
          <t xml:space="preserve">
Sewerage charges shown include surface water drainage charges.</t>
        </r>
      </text>
    </comment>
    <comment ref="A290" authorId="1" shapeId="0">
      <text>
        <r>
          <rPr>
            <b/>
            <sz val="9"/>
            <color indexed="81"/>
            <rFont val="Tahoma"/>
            <family val="2"/>
          </rPr>
          <t>Ann Bijnens:</t>
        </r>
        <r>
          <rPr>
            <sz val="9"/>
            <color indexed="81"/>
            <rFont val="Tahoma"/>
            <family val="2"/>
          </rPr>
          <t xml:space="preserve">
- FIXED CHARGES FOR DOMESTIC CUSTOMERS.
- SEWERAGE CHARGE FOR DOMESTIC CUSTOMERS IS 20%OF WATER BILL FOR; MWSC, NWSC, &amp; 30% for LWSC&amp;KWSC 40% NWWSC &amp; KWSC .
- Other charges: SANITATION SURCHARGE AT 2.5% OF WATER BILL, EXCEPT FOR NKANA WSC (NWSC) AT 3%.</t>
        </r>
      </text>
    </comment>
    <comment ref="B290" authorId="1" shapeId="0">
      <text>
        <r>
          <rPr>
            <b/>
            <sz val="9"/>
            <color indexed="81"/>
            <rFont val="Tahoma"/>
            <family val="2"/>
          </rPr>
          <t>Ann Bijnens:</t>
        </r>
        <r>
          <rPr>
            <sz val="9"/>
            <color indexed="81"/>
            <rFont val="Tahoma"/>
            <family val="2"/>
          </rPr>
          <t xml:space="preserve">
LWSC = Lusaka Water &amp; Sewerage Company</t>
        </r>
      </text>
    </comment>
    <comment ref="AM290" authorId="1" shapeId="0">
      <text>
        <r>
          <rPr>
            <b/>
            <sz val="9"/>
            <color indexed="81"/>
            <rFont val="Tahoma"/>
            <family val="2"/>
          </rPr>
          <t>Ann Bijnens:</t>
        </r>
        <r>
          <rPr>
            <sz val="9"/>
            <color indexed="81"/>
            <rFont val="Tahoma"/>
            <family val="2"/>
          </rPr>
          <t xml:space="preserve">
fixed charges for service = meter charges</t>
        </r>
      </text>
    </comment>
    <comment ref="AN290" authorId="1" shapeId="0">
      <text>
        <r>
          <rPr>
            <b/>
            <sz val="9"/>
            <color indexed="81"/>
            <rFont val="Tahoma"/>
            <family val="2"/>
          </rPr>
          <t>Ann Bijnens:</t>
        </r>
        <r>
          <rPr>
            <sz val="9"/>
            <color indexed="81"/>
            <rFont val="Tahoma"/>
            <family val="2"/>
          </rPr>
          <t xml:space="preserve">
sanitation surcharges which are a percentage of the water bill</t>
        </r>
      </text>
    </comment>
    <comment ref="B291" authorId="1" shapeId="0">
      <text>
        <r>
          <rPr>
            <b/>
            <sz val="9"/>
            <color indexed="81"/>
            <rFont val="Tahoma"/>
            <family val="2"/>
          </rPr>
          <t>Ann Bijnens:</t>
        </r>
        <r>
          <rPr>
            <sz val="9"/>
            <color indexed="81"/>
            <rFont val="Tahoma"/>
            <family val="2"/>
          </rPr>
          <t xml:space="preserve">
KWSC = Kafubu Water and Sewerage Company</t>
        </r>
      </text>
    </comment>
    <comment ref="AM291" authorId="1" shapeId="0">
      <text>
        <r>
          <rPr>
            <b/>
            <sz val="9"/>
            <color indexed="81"/>
            <rFont val="Tahoma"/>
            <family val="2"/>
          </rPr>
          <t>Ann Bijnens:</t>
        </r>
        <r>
          <rPr>
            <sz val="9"/>
            <color indexed="81"/>
            <rFont val="Tahoma"/>
            <family val="2"/>
          </rPr>
          <t xml:space="preserve">
fixed charges for service = meter charges</t>
        </r>
      </text>
    </comment>
    <comment ref="AN291" authorId="1" shapeId="0">
      <text>
        <r>
          <rPr>
            <b/>
            <sz val="9"/>
            <color indexed="81"/>
            <rFont val="Tahoma"/>
            <family val="2"/>
          </rPr>
          <t>Ann Bijnens:</t>
        </r>
        <r>
          <rPr>
            <sz val="9"/>
            <color indexed="81"/>
            <rFont val="Tahoma"/>
            <family val="2"/>
          </rPr>
          <t xml:space="preserve">
sanitation surcharges which are a percentage of the water bill</t>
        </r>
      </text>
    </comment>
    <comment ref="B292" authorId="1" shapeId="0">
      <text>
        <r>
          <rPr>
            <b/>
            <sz val="9"/>
            <color indexed="81"/>
            <rFont val="Tahoma"/>
            <family val="2"/>
          </rPr>
          <t>Ann Bijnens:</t>
        </r>
        <r>
          <rPr>
            <sz val="9"/>
            <color indexed="81"/>
            <rFont val="Tahoma"/>
            <family val="2"/>
          </rPr>
          <t xml:space="preserve">
MWSC = Mulonga Water and Sewerage Company</t>
        </r>
      </text>
    </comment>
    <comment ref="AM292" authorId="1" shapeId="0">
      <text>
        <r>
          <rPr>
            <b/>
            <sz val="9"/>
            <color indexed="81"/>
            <rFont val="Tahoma"/>
            <family val="2"/>
          </rPr>
          <t>Ann Bijnens:</t>
        </r>
        <r>
          <rPr>
            <sz val="9"/>
            <color indexed="81"/>
            <rFont val="Tahoma"/>
            <family val="2"/>
          </rPr>
          <t xml:space="preserve">
fixed charges for service = meter charges</t>
        </r>
      </text>
    </comment>
    <comment ref="AN292" authorId="1" shapeId="0">
      <text>
        <r>
          <rPr>
            <b/>
            <sz val="9"/>
            <color indexed="81"/>
            <rFont val="Tahoma"/>
            <family val="2"/>
          </rPr>
          <t>Ann Bijnens:</t>
        </r>
        <r>
          <rPr>
            <sz val="9"/>
            <color indexed="81"/>
            <rFont val="Tahoma"/>
            <family val="2"/>
          </rPr>
          <t xml:space="preserve">
sanitation surcharges which are a percentage of the water bill</t>
        </r>
      </text>
    </comment>
    <comment ref="B293" authorId="1" shapeId="0">
      <text>
        <r>
          <rPr>
            <b/>
            <sz val="9"/>
            <color indexed="81"/>
            <rFont val="Tahoma"/>
            <family val="2"/>
          </rPr>
          <t>Ann Bijnens:</t>
        </r>
        <r>
          <rPr>
            <sz val="9"/>
            <color indexed="81"/>
            <rFont val="Tahoma"/>
            <family val="2"/>
          </rPr>
          <t xml:space="preserve">
NWWSSC = North Western Water Supply and Sewerage Company</t>
        </r>
      </text>
    </comment>
    <comment ref="AM293" authorId="1" shapeId="0">
      <text>
        <r>
          <rPr>
            <b/>
            <sz val="9"/>
            <color indexed="81"/>
            <rFont val="Tahoma"/>
            <family val="2"/>
          </rPr>
          <t>Ann Bijnens:</t>
        </r>
        <r>
          <rPr>
            <sz val="9"/>
            <color indexed="81"/>
            <rFont val="Tahoma"/>
            <family val="2"/>
          </rPr>
          <t xml:space="preserve">
fixed charges for service = meter charges</t>
        </r>
      </text>
    </comment>
    <comment ref="E393" authorId="1" shapeId="0">
      <text>
        <r>
          <rPr>
            <b/>
            <sz val="9"/>
            <color indexed="81"/>
            <rFont val="Tahoma"/>
            <family val="2"/>
          </rPr>
          <t>Ann Bijnens:</t>
        </r>
        <r>
          <rPr>
            <sz val="9"/>
            <color indexed="81"/>
            <rFont val="Tahoma"/>
            <family val="2"/>
          </rPr>
          <t xml:space="preserve">
Increasing block tariff at €1.3965/m3 up to 33m3/person/annum and €5.1395/m3 above 33m3/person/annum. Assume water consumption spread evenly over the year.</t>
        </r>
      </text>
    </comment>
    <comment ref="K393" authorId="1" shapeId="0">
      <text>
        <r>
          <rPr>
            <b/>
            <sz val="9"/>
            <color indexed="81"/>
            <rFont val="Tahoma"/>
            <family val="2"/>
          </rPr>
          <t>Ann Bijnens:</t>
        </r>
        <r>
          <rPr>
            <sz val="9"/>
            <color indexed="81"/>
            <rFont val="Tahoma"/>
            <family val="2"/>
          </rPr>
          <t xml:space="preserve">
rates incorporate sewerage contribution</t>
        </r>
      </text>
    </comment>
    <comment ref="O400" authorId="0" shapeId="0">
      <text>
        <r>
          <rPr>
            <b/>
            <sz val="9"/>
            <color indexed="81"/>
            <rFont val="Tahoma"/>
            <family val="2"/>
          </rPr>
          <t>bijnensa:</t>
        </r>
        <r>
          <rPr>
            <sz val="9"/>
            <color indexed="81"/>
            <rFont val="Tahoma"/>
            <family val="2"/>
          </rPr>
          <t xml:space="preserve">
other charges: tap water tax</t>
        </r>
      </text>
    </comment>
    <comment ref="F401" authorId="0" shapeId="0">
      <text>
        <r>
          <rPr>
            <b/>
            <sz val="9"/>
            <color indexed="81"/>
            <rFont val="Tahoma"/>
            <family val="2"/>
          </rPr>
          <t>bijnensa:</t>
        </r>
        <r>
          <rPr>
            <sz val="9"/>
            <color indexed="81"/>
            <rFont val="Tahoma"/>
            <family val="2"/>
          </rPr>
          <t xml:space="preserve">
distribution and concession reimbursements ("precario")</t>
        </r>
      </text>
    </comment>
    <comment ref="O401" authorId="0" shapeId="0">
      <text>
        <r>
          <rPr>
            <b/>
            <sz val="9"/>
            <color indexed="81"/>
            <rFont val="Tahoma"/>
            <family val="2"/>
          </rPr>
          <t>bijnensa:</t>
        </r>
        <r>
          <rPr>
            <sz val="9"/>
            <color indexed="81"/>
            <rFont val="Tahoma"/>
            <family val="2"/>
          </rPr>
          <t xml:space="preserve">
other charges: tap water tax</t>
        </r>
      </text>
    </comment>
    <comment ref="F402" authorId="0" shapeId="0">
      <text>
        <r>
          <rPr>
            <b/>
            <sz val="9"/>
            <color indexed="81"/>
            <rFont val="Tahoma"/>
            <family val="2"/>
          </rPr>
          <t>bijnensa:</t>
        </r>
        <r>
          <rPr>
            <sz val="9"/>
            <color indexed="81"/>
            <rFont val="Tahoma"/>
            <family val="2"/>
          </rPr>
          <t xml:space="preserve">
distribution and concession reimbursements ("precario")</t>
        </r>
      </text>
    </comment>
    <comment ref="O402" authorId="0" shapeId="0">
      <text>
        <r>
          <rPr>
            <b/>
            <sz val="9"/>
            <color indexed="81"/>
            <rFont val="Tahoma"/>
            <family val="2"/>
          </rPr>
          <t>bijnensa:</t>
        </r>
        <r>
          <rPr>
            <sz val="9"/>
            <color indexed="81"/>
            <rFont val="Tahoma"/>
            <family val="2"/>
          </rPr>
          <t xml:space="preserve">
other charges: tap water tax</t>
        </r>
      </text>
    </comment>
    <comment ref="O403" authorId="0" shapeId="0">
      <text>
        <r>
          <rPr>
            <b/>
            <sz val="9"/>
            <color indexed="81"/>
            <rFont val="Tahoma"/>
            <family val="2"/>
          </rPr>
          <t>bijnensa:</t>
        </r>
        <r>
          <rPr>
            <sz val="9"/>
            <color indexed="81"/>
            <rFont val="Tahoma"/>
            <family val="2"/>
          </rPr>
          <t xml:space="preserve">
other charges: tap water tax</t>
        </r>
      </text>
    </comment>
    <comment ref="O404" authorId="0" shapeId="0">
      <text>
        <r>
          <rPr>
            <b/>
            <sz val="9"/>
            <color indexed="81"/>
            <rFont val="Tahoma"/>
            <family val="2"/>
          </rPr>
          <t>bijnensa:</t>
        </r>
        <r>
          <rPr>
            <sz val="9"/>
            <color indexed="81"/>
            <rFont val="Tahoma"/>
            <family val="2"/>
          </rPr>
          <t xml:space="preserve">
other charges: tap water tax</t>
        </r>
      </text>
    </comment>
    <comment ref="O477" authorId="1" shapeId="0">
      <text>
        <r>
          <rPr>
            <b/>
            <sz val="9"/>
            <color indexed="81"/>
            <rFont val="Tahoma"/>
            <family val="2"/>
          </rPr>
          <t>Ann Bijnens:</t>
        </r>
        <r>
          <rPr>
            <sz val="9"/>
            <color indexed="81"/>
            <rFont val="Tahoma"/>
            <family val="2"/>
          </rPr>
          <t xml:space="preserve">
charges 2017: environmental cleaning tax</t>
        </r>
      </text>
    </comment>
    <comment ref="F478" authorId="1" shapeId="0">
      <text>
        <r>
          <rPr>
            <b/>
            <sz val="9"/>
            <color indexed="81"/>
            <rFont val="Tahoma"/>
            <family val="2"/>
          </rPr>
          <t>Ann Bijnens:</t>
        </r>
        <r>
          <rPr>
            <sz val="9"/>
            <color indexed="81"/>
            <rFont val="Tahoma"/>
            <family val="2"/>
          </rPr>
          <t xml:space="preserve">
charges 2017: maintenance cost</t>
        </r>
      </text>
    </comment>
    <comment ref="O478" authorId="1" shapeId="0">
      <text>
        <r>
          <rPr>
            <b/>
            <sz val="9"/>
            <color indexed="81"/>
            <rFont val="Tahoma"/>
            <family val="2"/>
          </rPr>
          <t>Ann Bijnens:</t>
        </r>
        <r>
          <rPr>
            <sz val="9"/>
            <color indexed="81"/>
            <rFont val="Tahoma"/>
            <family val="2"/>
          </rPr>
          <t xml:space="preserve">
charges 2017: environmental cleaning tax</t>
        </r>
      </text>
    </comment>
    <comment ref="O479" authorId="1" shapeId="0">
      <text>
        <r>
          <rPr>
            <b/>
            <sz val="9"/>
            <color indexed="81"/>
            <rFont val="Tahoma"/>
            <family val="2"/>
          </rPr>
          <t>Ann Bijnens:</t>
        </r>
        <r>
          <rPr>
            <sz val="9"/>
            <color indexed="81"/>
            <rFont val="Tahoma"/>
            <family val="2"/>
          </rPr>
          <t xml:space="preserve">
charges 2017: environmental cleaning tax</t>
        </r>
      </text>
    </comment>
    <comment ref="K484" authorId="0" shapeId="0">
      <text>
        <r>
          <rPr>
            <b/>
            <sz val="9"/>
            <color indexed="81"/>
            <rFont val="Tahoma"/>
            <family val="2"/>
          </rPr>
          <t>bijnensa:</t>
        </r>
        <r>
          <rPr>
            <sz val="9"/>
            <color indexed="81"/>
            <rFont val="Tahoma"/>
            <family val="2"/>
          </rPr>
          <t xml:space="preserve">
Sewerage charges shown include surface water drainage charges. Households in Birmingham pay for their surface water drainage either through a fixed charge based on property type or a charge based on the rateable value. The figures presented assume a 'zone 4' bill based on a property with a rateable value of £200 as an example.</t>
        </r>
      </text>
    </comment>
    <comment ref="K485" authorId="0" shapeId="0">
      <text>
        <r>
          <rPr>
            <b/>
            <sz val="9"/>
            <color indexed="81"/>
            <rFont val="Tahoma"/>
            <family val="2"/>
          </rPr>
          <t>bijnensa:</t>
        </r>
        <r>
          <rPr>
            <sz val="9"/>
            <color indexed="81"/>
            <rFont val="Tahoma"/>
            <family val="2"/>
          </rPr>
          <t xml:space="preserve">
Sewerage charges shown include surface water drainage charges.</t>
        </r>
      </text>
    </comment>
    <comment ref="K486" authorId="0" shapeId="0">
      <text>
        <r>
          <rPr>
            <b/>
            <sz val="9"/>
            <color indexed="81"/>
            <rFont val="Tahoma"/>
            <family val="2"/>
          </rPr>
          <t>bijnensa:</t>
        </r>
        <r>
          <rPr>
            <sz val="9"/>
            <color indexed="81"/>
            <rFont val="Tahoma"/>
            <family val="2"/>
          </rPr>
          <t xml:space="preserve">
Sewerage charges shown include surface water drainage charges.</t>
        </r>
      </text>
    </comment>
    <comment ref="K487" authorId="0" shapeId="0">
      <text>
        <r>
          <rPr>
            <b/>
            <sz val="9"/>
            <color indexed="81"/>
            <rFont val="Tahoma"/>
            <family val="2"/>
          </rPr>
          <t>bijnensa:</t>
        </r>
        <r>
          <rPr>
            <sz val="9"/>
            <color indexed="81"/>
            <rFont val="Tahoma"/>
            <family val="2"/>
          </rPr>
          <t xml:space="preserve">
Sewerage charges shown include surface water drainage charges.</t>
        </r>
      </text>
    </comment>
    <comment ref="K488" authorId="0" shapeId="0">
      <text>
        <r>
          <rPr>
            <b/>
            <sz val="9"/>
            <color indexed="81"/>
            <rFont val="Tahoma"/>
            <family val="2"/>
          </rPr>
          <t>bijnensa:</t>
        </r>
        <r>
          <rPr>
            <sz val="9"/>
            <color indexed="81"/>
            <rFont val="Tahoma"/>
            <family val="2"/>
          </rPr>
          <t xml:space="preserve">
Sewerage charges shown include surface water drainage charges.</t>
        </r>
      </text>
    </comment>
    <comment ref="J535" authorId="1" shapeId="0">
      <text>
        <r>
          <rPr>
            <b/>
            <sz val="9"/>
            <color indexed="81"/>
            <rFont val="Tahoma"/>
            <family val="2"/>
          </rPr>
          <t>Ann Bijnens:</t>
        </r>
        <r>
          <rPr>
            <sz val="9"/>
            <color indexed="81"/>
            <rFont val="Tahoma"/>
            <family val="2"/>
          </rPr>
          <t xml:space="preserve">
charges 2017: environmental cleaning tax</t>
        </r>
      </text>
    </comment>
    <comment ref="E577" authorId="1" shapeId="0">
      <text>
        <r>
          <rPr>
            <b/>
            <sz val="9"/>
            <color indexed="81"/>
            <rFont val="Tahoma"/>
            <family val="2"/>
          </rPr>
          <t>Ann Bijnens:</t>
        </r>
        <r>
          <rPr>
            <sz val="9"/>
            <color indexed="81"/>
            <rFont val="Tahoma"/>
            <family val="2"/>
          </rPr>
          <t xml:space="preserve">
charges 2017: maintenance cost</t>
        </r>
      </text>
    </comment>
    <comment ref="J577" authorId="1" shapeId="0">
      <text>
        <r>
          <rPr>
            <b/>
            <sz val="9"/>
            <color indexed="81"/>
            <rFont val="Tahoma"/>
            <family val="2"/>
          </rPr>
          <t>Ann Bijnens:</t>
        </r>
        <r>
          <rPr>
            <sz val="9"/>
            <color indexed="81"/>
            <rFont val="Tahoma"/>
            <family val="2"/>
          </rPr>
          <t xml:space="preserve">
charges 2017: environmental cleaning tax</t>
        </r>
      </text>
    </comment>
    <comment ref="J579" authorId="1" shapeId="0">
      <text>
        <r>
          <rPr>
            <b/>
            <sz val="9"/>
            <color indexed="81"/>
            <rFont val="Tahoma"/>
            <family val="2"/>
          </rPr>
          <t>Ann Bijnens:</t>
        </r>
        <r>
          <rPr>
            <sz val="9"/>
            <color indexed="81"/>
            <rFont val="Tahoma"/>
            <family val="2"/>
          </rPr>
          <t xml:space="preserve">
charges 2017: environmental cleaning tax</t>
        </r>
      </text>
    </comment>
    <comment ref="D602" authorId="1" shapeId="0">
      <text>
        <r>
          <rPr>
            <b/>
            <sz val="9"/>
            <color indexed="81"/>
            <rFont val="Tahoma"/>
            <family val="2"/>
          </rPr>
          <t>Ann Bijnens:</t>
        </r>
        <r>
          <rPr>
            <sz val="9"/>
            <color indexed="81"/>
            <rFont val="Tahoma"/>
            <family val="2"/>
          </rPr>
          <t xml:space="preserve">
Increasing block tariff at €1.3965/m3 up to 33m3/person/annum and €5.1395/m3 above 33m3/person/annum. Assume water consumption spread evenly over the year.</t>
        </r>
      </text>
    </comment>
    <comment ref="J661" authorId="0" shapeId="0">
      <text>
        <r>
          <rPr>
            <b/>
            <sz val="9"/>
            <color indexed="81"/>
            <rFont val="Tahoma"/>
            <family val="2"/>
          </rPr>
          <t>bijnensa:</t>
        </r>
        <r>
          <rPr>
            <sz val="9"/>
            <color indexed="81"/>
            <rFont val="Tahoma"/>
            <family val="2"/>
          </rPr>
          <t xml:space="preserve">
other charges: tap water tax</t>
        </r>
      </text>
    </comment>
    <comment ref="J671" authorId="0" shapeId="0">
      <text>
        <r>
          <rPr>
            <b/>
            <sz val="9"/>
            <color indexed="81"/>
            <rFont val="Tahoma"/>
            <family val="2"/>
          </rPr>
          <t>bijnensa:</t>
        </r>
        <r>
          <rPr>
            <sz val="9"/>
            <color indexed="81"/>
            <rFont val="Tahoma"/>
            <family val="2"/>
          </rPr>
          <t xml:space="preserve">
other charges: tap water tax</t>
        </r>
      </text>
    </comment>
    <comment ref="E680" authorId="0" shapeId="0">
      <text>
        <r>
          <rPr>
            <b/>
            <sz val="9"/>
            <color indexed="81"/>
            <rFont val="Tahoma"/>
            <family val="2"/>
          </rPr>
          <t>bijnensa:</t>
        </r>
        <r>
          <rPr>
            <sz val="9"/>
            <color indexed="81"/>
            <rFont val="Tahoma"/>
            <family val="2"/>
          </rPr>
          <t xml:space="preserve">
distribution and concession reimbursements ("precario")</t>
        </r>
      </text>
    </comment>
    <comment ref="J680" authorId="0" shapeId="0">
      <text>
        <r>
          <rPr>
            <b/>
            <sz val="9"/>
            <color indexed="81"/>
            <rFont val="Tahoma"/>
            <family val="2"/>
          </rPr>
          <t>bijnensa:</t>
        </r>
        <r>
          <rPr>
            <sz val="9"/>
            <color indexed="81"/>
            <rFont val="Tahoma"/>
            <family val="2"/>
          </rPr>
          <t xml:space="preserve">
other charges: tap water tax</t>
        </r>
      </text>
    </comment>
    <comment ref="J683" authorId="0" shapeId="0">
      <text>
        <r>
          <rPr>
            <b/>
            <sz val="9"/>
            <color indexed="81"/>
            <rFont val="Tahoma"/>
            <family val="2"/>
          </rPr>
          <t>bijnensa:</t>
        </r>
        <r>
          <rPr>
            <sz val="9"/>
            <color indexed="81"/>
            <rFont val="Tahoma"/>
            <family val="2"/>
          </rPr>
          <t xml:space="preserve">
other charges: tap water tax</t>
        </r>
      </text>
    </comment>
    <comment ref="E687" authorId="0" shapeId="0">
      <text>
        <r>
          <rPr>
            <b/>
            <sz val="9"/>
            <color indexed="81"/>
            <rFont val="Tahoma"/>
            <family val="2"/>
          </rPr>
          <t>bijnensa:</t>
        </r>
        <r>
          <rPr>
            <sz val="9"/>
            <color indexed="81"/>
            <rFont val="Tahoma"/>
            <family val="2"/>
          </rPr>
          <t xml:space="preserve">
distribution and concession reimbursements ("precario")</t>
        </r>
      </text>
    </comment>
    <comment ref="J687" authorId="0" shapeId="0">
      <text>
        <r>
          <rPr>
            <b/>
            <sz val="9"/>
            <color indexed="81"/>
            <rFont val="Tahoma"/>
            <family val="2"/>
          </rPr>
          <t>bijnensa:</t>
        </r>
        <r>
          <rPr>
            <sz val="9"/>
            <color indexed="81"/>
            <rFont val="Tahoma"/>
            <family val="2"/>
          </rPr>
          <t xml:space="preserve">
other charges: tap water tax</t>
        </r>
      </text>
    </comment>
  </commentList>
</comments>
</file>

<file path=xl/comments13.xml><?xml version="1.0" encoding="utf-8"?>
<comments xmlns="http://schemas.openxmlformats.org/spreadsheetml/2006/main">
  <authors>
    <author>bijnensa</author>
    <author>Ann Bijnens</author>
  </authors>
  <commentList>
    <comment ref="C7" authorId="0" shapeId="0">
      <text>
        <r>
          <rPr>
            <b/>
            <sz val="9"/>
            <color indexed="81"/>
            <rFont val="Tahoma"/>
            <family val="2"/>
          </rPr>
          <t>bijnensa:</t>
        </r>
        <r>
          <rPr>
            <sz val="9"/>
            <color indexed="81"/>
            <rFont val="Tahoma"/>
            <family val="2"/>
          </rPr>
          <t xml:space="preserve">
the average bill for residential (domestic) users. Total annual water bill for 100 m³ and 200 m³ is the same because 88% of users are unmetered. This percentage is even bigger for residential users.</t>
        </r>
      </text>
    </comment>
    <comment ref="A82" authorId="1" shapeId="0">
      <text>
        <r>
          <rPr>
            <b/>
            <sz val="9"/>
            <color indexed="81"/>
            <rFont val="Tahoma"/>
            <family val="2"/>
          </rPr>
          <t>Ann Bijnens:</t>
        </r>
        <r>
          <rPr>
            <sz val="9"/>
            <color indexed="81"/>
            <rFont val="Tahoma"/>
            <family val="2"/>
          </rPr>
          <t xml:space="preserve">
charges 2015: VAT of 5% on drinking water and VAT of 10% on sewerage and waste water components </t>
        </r>
      </text>
    </comment>
    <comment ref="D132" authorId="0" shapeId="0">
      <text>
        <r>
          <rPr>
            <b/>
            <sz val="9"/>
            <color indexed="81"/>
            <rFont val="Tahoma"/>
            <family val="2"/>
          </rPr>
          <t>bijnensa:</t>
        </r>
        <r>
          <rPr>
            <sz val="9"/>
            <color indexed="81"/>
            <rFont val="Tahoma"/>
            <family val="2"/>
          </rPr>
          <t xml:space="preserve">
laatst gekende GDP van jaar 2013</t>
        </r>
      </text>
    </comment>
    <comment ref="A134" authorId="1" shapeId="0">
      <text>
        <r>
          <rPr>
            <b/>
            <sz val="9"/>
            <color indexed="81"/>
            <rFont val="Tahoma"/>
            <family val="2"/>
          </rPr>
          <t xml:space="preserve">Ann Bijnens:
</t>
        </r>
        <r>
          <rPr>
            <sz val="9"/>
            <color indexed="81"/>
            <rFont val="Tahoma"/>
            <family val="2"/>
          </rPr>
          <t>There are no regional differences in water rates</t>
        </r>
      </text>
    </comment>
    <comment ref="G134" authorId="1" shapeId="0">
      <text>
        <r>
          <rPr>
            <b/>
            <sz val="9"/>
            <color indexed="81"/>
            <rFont val="Tahoma"/>
            <family val="2"/>
          </rPr>
          <t>Ann Bijnens:</t>
        </r>
        <r>
          <rPr>
            <sz val="9"/>
            <color indexed="81"/>
            <rFont val="Tahoma"/>
            <family val="2"/>
          </rPr>
          <t xml:space="preserve">
Increasing block tariff at €1.3965/m3 up to 33m3/person/annum and €5.1395/m3 above 33m3/person/annum. Assume water consumption spread evenly over the year.</t>
        </r>
      </text>
    </comment>
    <comment ref="J134" authorId="1" shapeId="0">
      <text>
        <r>
          <rPr>
            <b/>
            <sz val="9"/>
            <color indexed="81"/>
            <rFont val="Tahoma"/>
            <family val="2"/>
          </rPr>
          <t>Ann Bijnens:</t>
        </r>
        <r>
          <rPr>
            <sz val="9"/>
            <color indexed="81"/>
            <rFont val="Tahoma"/>
            <family val="2"/>
          </rPr>
          <t xml:space="preserve">
rates incorporate sewerage contribution</t>
        </r>
      </text>
    </comment>
    <comment ref="N147" authorId="0" shapeId="0">
      <text>
        <r>
          <rPr>
            <b/>
            <sz val="9"/>
            <color indexed="81"/>
            <rFont val="Tahoma"/>
            <family val="2"/>
          </rPr>
          <t>bijnensa:</t>
        </r>
        <r>
          <rPr>
            <sz val="9"/>
            <color indexed="81"/>
            <rFont val="Tahoma"/>
            <family val="2"/>
          </rPr>
          <t xml:space="preserve">
other charges: tap water tax</t>
        </r>
      </text>
    </comment>
    <comment ref="H148" authorId="0" shapeId="0">
      <text>
        <r>
          <rPr>
            <b/>
            <sz val="9"/>
            <color indexed="81"/>
            <rFont val="Tahoma"/>
            <family val="2"/>
          </rPr>
          <t>bijnensa:</t>
        </r>
        <r>
          <rPr>
            <sz val="9"/>
            <color indexed="81"/>
            <rFont val="Tahoma"/>
            <family val="2"/>
          </rPr>
          <t xml:space="preserve">
distribution and concession reimbursements ("precario")</t>
        </r>
      </text>
    </comment>
    <comment ref="N148" authorId="0" shapeId="0">
      <text>
        <r>
          <rPr>
            <b/>
            <sz val="9"/>
            <color indexed="81"/>
            <rFont val="Tahoma"/>
            <family val="2"/>
          </rPr>
          <t>bijnensa:</t>
        </r>
        <r>
          <rPr>
            <sz val="9"/>
            <color indexed="81"/>
            <rFont val="Tahoma"/>
            <family val="2"/>
          </rPr>
          <t xml:space="preserve">
other charges: tap water tax</t>
        </r>
      </text>
    </comment>
    <comment ref="H149" authorId="0" shapeId="0">
      <text>
        <r>
          <rPr>
            <b/>
            <sz val="9"/>
            <color indexed="81"/>
            <rFont val="Tahoma"/>
            <family val="2"/>
          </rPr>
          <t>bijnensa:</t>
        </r>
        <r>
          <rPr>
            <sz val="9"/>
            <color indexed="81"/>
            <rFont val="Tahoma"/>
            <family val="2"/>
          </rPr>
          <t xml:space="preserve">
distribution and concession reimbursements ("precario")</t>
        </r>
      </text>
    </comment>
    <comment ref="N149" authorId="0" shapeId="0">
      <text>
        <r>
          <rPr>
            <b/>
            <sz val="9"/>
            <color indexed="81"/>
            <rFont val="Tahoma"/>
            <family val="2"/>
          </rPr>
          <t>bijnensa:</t>
        </r>
        <r>
          <rPr>
            <sz val="9"/>
            <color indexed="81"/>
            <rFont val="Tahoma"/>
            <family val="2"/>
          </rPr>
          <t xml:space="preserve">
other charges: tap water tax</t>
        </r>
      </text>
    </comment>
    <comment ref="N150" authorId="0" shapeId="0">
      <text>
        <r>
          <rPr>
            <b/>
            <sz val="9"/>
            <color indexed="81"/>
            <rFont val="Tahoma"/>
            <family val="2"/>
          </rPr>
          <t>bijnensa:</t>
        </r>
        <r>
          <rPr>
            <sz val="9"/>
            <color indexed="81"/>
            <rFont val="Tahoma"/>
            <family val="2"/>
          </rPr>
          <t xml:space="preserve">
other charges: tap water tax</t>
        </r>
      </text>
    </comment>
    <comment ref="N151" authorId="0" shapeId="0">
      <text>
        <r>
          <rPr>
            <b/>
            <sz val="9"/>
            <color indexed="81"/>
            <rFont val="Tahoma"/>
            <family val="2"/>
          </rPr>
          <t>bijnensa:</t>
        </r>
        <r>
          <rPr>
            <sz val="9"/>
            <color indexed="81"/>
            <rFont val="Tahoma"/>
            <family val="2"/>
          </rPr>
          <t xml:space="preserve">
other charges: tap water tax</t>
        </r>
      </text>
    </comment>
    <comment ref="N152" authorId="0" shapeId="0">
      <text>
        <r>
          <rPr>
            <b/>
            <sz val="9"/>
            <color indexed="81"/>
            <rFont val="Tahoma"/>
            <family val="2"/>
          </rPr>
          <t>bijnensa:</t>
        </r>
        <r>
          <rPr>
            <sz val="9"/>
            <color indexed="81"/>
            <rFont val="Tahoma"/>
            <family val="2"/>
          </rPr>
          <t xml:space="preserve">
other charges: tap water tax</t>
        </r>
      </text>
    </comment>
    <comment ref="C176" authorId="1" shapeId="0">
      <text>
        <r>
          <rPr>
            <b/>
            <sz val="9"/>
            <color indexed="81"/>
            <rFont val="Tahoma"/>
            <family val="2"/>
          </rPr>
          <t>Ann Bijnens:</t>
        </r>
        <r>
          <rPr>
            <sz val="9"/>
            <color indexed="81"/>
            <rFont val="Tahoma"/>
            <family val="2"/>
          </rPr>
          <t xml:space="preserve">
charges 2015: during summer the population supplied is over 1.000.000 inhabitans due the seaside areas</t>
        </r>
      </text>
    </comment>
    <comment ref="C189" authorId="1" shapeId="0">
      <text>
        <r>
          <rPr>
            <b/>
            <sz val="9"/>
            <color indexed="81"/>
            <rFont val="Tahoma"/>
            <family val="2"/>
          </rPr>
          <t>Ann Bijnens:</t>
        </r>
        <r>
          <rPr>
            <sz val="9"/>
            <color indexed="81"/>
            <rFont val="Tahoma"/>
            <family val="2"/>
          </rPr>
          <t xml:space="preserve">
charges 2015: population data are calculated based on clients declaration. All citizen have acces to water supply and sewerage services</t>
        </r>
      </text>
    </comment>
    <comment ref="A199" authorId="1" shapeId="0">
      <text>
        <r>
          <rPr>
            <b/>
            <sz val="9"/>
            <color indexed="81"/>
            <rFont val="Tahoma"/>
            <family val="2"/>
          </rPr>
          <t>Ann Bijnens:</t>
        </r>
        <r>
          <rPr>
            <sz val="9"/>
            <color indexed="81"/>
            <rFont val="Tahoma"/>
            <family val="2"/>
          </rPr>
          <t xml:space="preserve">
In Scotland the majority of domestic properties pay their water charges based upon the rateable value of the property. The rateable value is a  value ascribed to a domestic or commercial building based on its size, location, and other factors, and is used to determine the local tax payable by its owner to the local authority. The rateable value is assigned to one of 8 bands - A to H and a property is allocated to a band, with Band A properties generally being the smallest properties.</t>
        </r>
      </text>
    </comment>
    <comment ref="K210" authorId="0" shapeId="0">
      <text>
        <r>
          <rPr>
            <b/>
            <sz val="9"/>
            <color indexed="81"/>
            <rFont val="Tahoma"/>
            <family val="2"/>
          </rPr>
          <t>bijnensa:</t>
        </r>
        <r>
          <rPr>
            <sz val="9"/>
            <color indexed="81"/>
            <rFont val="Tahoma"/>
            <family val="2"/>
          </rPr>
          <t xml:space="preserve">
water borne fee</t>
        </r>
      </text>
    </comment>
    <comment ref="N210" authorId="0" shapeId="0">
      <text>
        <r>
          <rPr>
            <b/>
            <sz val="9"/>
            <color indexed="81"/>
            <rFont val="Tahoma"/>
            <family val="2"/>
          </rPr>
          <t>bijnensa:</t>
        </r>
        <r>
          <rPr>
            <sz val="9"/>
            <color indexed="81"/>
            <rFont val="Tahoma"/>
            <family val="2"/>
          </rPr>
          <t xml:space="preserve">
sanitary appliance fee (assumed 2 fittings)</t>
        </r>
      </text>
    </comment>
    <comment ref="O210" authorId="0" shapeId="0">
      <text>
        <r>
          <rPr>
            <b/>
            <sz val="9"/>
            <color indexed="81"/>
            <rFont val="Tahoma"/>
            <family val="2"/>
          </rPr>
          <t>bijnensa:</t>
        </r>
        <r>
          <rPr>
            <sz val="9"/>
            <color indexed="81"/>
            <rFont val="Tahoma"/>
            <family val="2"/>
          </rPr>
          <t xml:space="preserve">
goods and service taxes of 7%</t>
        </r>
      </text>
    </comment>
    <comment ref="G215" authorId="0" shapeId="0">
      <text>
        <r>
          <rPr>
            <b/>
            <sz val="9"/>
            <color indexed="81"/>
            <rFont val="Tahoma"/>
            <family val="2"/>
          </rPr>
          <t>bijnensa:</t>
        </r>
        <r>
          <rPr>
            <sz val="9"/>
            <color indexed="81"/>
            <rFont val="Tahoma"/>
            <family val="2"/>
          </rPr>
          <t xml:space="preserve">
assumes the customers water consumption is equally distributed in each quarter</t>
        </r>
      </text>
    </comment>
    <comment ref="H215" authorId="0" shapeId="0">
      <text>
        <r>
          <rPr>
            <b/>
            <sz val="9"/>
            <color indexed="81"/>
            <rFont val="Tahoma"/>
            <family val="2"/>
          </rPr>
          <t>bijnensa:</t>
        </r>
        <r>
          <rPr>
            <sz val="9"/>
            <color indexed="81"/>
            <rFont val="Tahoma"/>
            <family val="2"/>
          </rPr>
          <t xml:space="preserve">
River Murray Levy</t>
        </r>
      </text>
    </comment>
    <comment ref="J215" authorId="0" shapeId="0">
      <text>
        <r>
          <rPr>
            <b/>
            <sz val="9"/>
            <color indexed="81"/>
            <rFont val="Tahoma"/>
            <family val="2"/>
          </rPr>
          <t>bijnensa:</t>
        </r>
        <r>
          <rPr>
            <sz val="9"/>
            <color indexed="81"/>
            <rFont val="Tahoma"/>
            <family val="2"/>
          </rPr>
          <t xml:space="preserve">
based on the average valued property</t>
        </r>
      </text>
    </comment>
    <comment ref="N229" authorId="0" shapeId="0">
      <text>
        <r>
          <rPr>
            <b/>
            <sz val="9"/>
            <color indexed="81"/>
            <rFont val="Tahoma"/>
            <family val="2"/>
          </rPr>
          <t>bijnensa:</t>
        </r>
        <r>
          <rPr>
            <sz val="9"/>
            <color indexed="81"/>
            <rFont val="Tahoma"/>
            <family val="2"/>
          </rPr>
          <t xml:space="preserve">
charge for stormwater (rainwater and drainage) from the houses which are let to the communities pipes for stormwater</t>
        </r>
      </text>
    </comment>
    <comment ref="N231" authorId="0" shapeId="0">
      <text>
        <r>
          <rPr>
            <b/>
            <sz val="9"/>
            <color indexed="81"/>
            <rFont val="Tahoma"/>
            <family val="2"/>
          </rPr>
          <t>bijnensa:</t>
        </r>
        <r>
          <rPr>
            <sz val="9"/>
            <color indexed="81"/>
            <rFont val="Tahoma"/>
            <family val="2"/>
          </rPr>
          <t xml:space="preserve">
charge for stormwater (rainwater and drainage) from the houses which are let to the communities pipes for stormwater</t>
        </r>
      </text>
    </comment>
    <comment ref="K246" authorId="0" shapeId="0">
      <text>
        <r>
          <rPr>
            <b/>
            <sz val="9"/>
            <color indexed="81"/>
            <rFont val="Tahoma"/>
            <family val="2"/>
          </rPr>
          <t>bijnensa:</t>
        </r>
        <r>
          <rPr>
            <sz val="9"/>
            <color indexed="81"/>
            <rFont val="Tahoma"/>
            <family val="2"/>
          </rPr>
          <t xml:space="preserve">
Sewerage charges shown include surface water drainage charges. Households in Birmingham pay for their surface water drainage either through a fixed charge based on property type or a charge based on the rateable value. The figures presented assume a 'zone 4' bill based on a property with a rateable value of £200 as an example.</t>
        </r>
      </text>
    </comment>
    <comment ref="K247" authorId="0" shapeId="0">
      <text>
        <r>
          <rPr>
            <b/>
            <sz val="9"/>
            <color indexed="81"/>
            <rFont val="Tahoma"/>
            <family val="2"/>
          </rPr>
          <t>bijnensa:</t>
        </r>
        <r>
          <rPr>
            <sz val="9"/>
            <color indexed="81"/>
            <rFont val="Tahoma"/>
            <family val="2"/>
          </rPr>
          <t xml:space="preserve">
Sewerage charges shown include surface water drainage charges.</t>
        </r>
      </text>
    </comment>
    <comment ref="K248" authorId="0" shapeId="0">
      <text>
        <r>
          <rPr>
            <b/>
            <sz val="9"/>
            <color indexed="81"/>
            <rFont val="Tahoma"/>
            <family val="2"/>
          </rPr>
          <t>bijnensa:</t>
        </r>
        <r>
          <rPr>
            <sz val="9"/>
            <color indexed="81"/>
            <rFont val="Tahoma"/>
            <family val="2"/>
          </rPr>
          <t xml:space="preserve">
Sewerage charges shown include surface water drainage charges.</t>
        </r>
      </text>
    </comment>
    <comment ref="K249" authorId="0" shapeId="0">
      <text>
        <r>
          <rPr>
            <b/>
            <sz val="9"/>
            <color indexed="81"/>
            <rFont val="Tahoma"/>
            <family val="2"/>
          </rPr>
          <t>bijnensa:</t>
        </r>
        <r>
          <rPr>
            <sz val="9"/>
            <color indexed="81"/>
            <rFont val="Tahoma"/>
            <family val="2"/>
          </rPr>
          <t xml:space="preserve">
Sewerage charges shown include surface water drainage charges.</t>
        </r>
      </text>
    </comment>
    <comment ref="K250" authorId="0" shapeId="0">
      <text>
        <r>
          <rPr>
            <b/>
            <sz val="9"/>
            <color indexed="81"/>
            <rFont val="Tahoma"/>
            <family val="2"/>
          </rPr>
          <t>bijnensa:</t>
        </r>
        <r>
          <rPr>
            <sz val="9"/>
            <color indexed="81"/>
            <rFont val="Tahoma"/>
            <family val="2"/>
          </rPr>
          <t xml:space="preserve">
Sewerage charges shown include surface water drainage charges.</t>
        </r>
      </text>
    </comment>
    <comment ref="A258" authorId="1" shapeId="0">
      <text>
        <r>
          <rPr>
            <b/>
            <sz val="9"/>
            <color indexed="81"/>
            <rFont val="Tahoma"/>
            <family val="2"/>
          </rPr>
          <t>Ann Bijnens:</t>
        </r>
        <r>
          <rPr>
            <sz val="9"/>
            <color indexed="81"/>
            <rFont val="Tahoma"/>
            <family val="2"/>
          </rPr>
          <t xml:space="preserve">
- FIXED CHARGES FOR DOMESTIC CUSTOMERS.
- SEWERAGE CHARGE FOR DOMESTIC CUSTOMERS IS 20%OF WATER BILL FOR; MWSC, NWSC, &amp; 30% for LWSC&amp;KWSC 40% NWWSC &amp; KWSC .
- Other charges: SANITATION SURCHARGE AT 2.5% OF WATER BILL, EXCEPT FOR NKANA WSC (NWSC) AT 3%.</t>
        </r>
      </text>
    </comment>
    <comment ref="C258" authorId="1" shapeId="0">
      <text>
        <r>
          <rPr>
            <b/>
            <sz val="9"/>
            <color indexed="81"/>
            <rFont val="Tahoma"/>
            <family val="2"/>
          </rPr>
          <t>Ann Bijnens:</t>
        </r>
        <r>
          <rPr>
            <sz val="9"/>
            <color indexed="81"/>
            <rFont val="Tahoma"/>
            <family val="2"/>
          </rPr>
          <t xml:space="preserve">
LWSC = Lusaka Water &amp; Sewerage Company</t>
        </r>
      </text>
    </comment>
    <comment ref="C259" authorId="1" shapeId="0">
      <text>
        <r>
          <rPr>
            <b/>
            <sz val="9"/>
            <color indexed="81"/>
            <rFont val="Tahoma"/>
            <family val="2"/>
          </rPr>
          <t>Ann Bijnens:</t>
        </r>
        <r>
          <rPr>
            <sz val="9"/>
            <color indexed="81"/>
            <rFont val="Tahoma"/>
            <family val="2"/>
          </rPr>
          <t xml:space="preserve">
NWSC = National Water and Sewerage Corporation</t>
        </r>
      </text>
    </comment>
    <comment ref="C260" authorId="1" shapeId="0">
      <text>
        <r>
          <rPr>
            <b/>
            <sz val="9"/>
            <color indexed="81"/>
            <rFont val="Tahoma"/>
            <family val="2"/>
          </rPr>
          <t>Ann Bijnens:</t>
        </r>
        <r>
          <rPr>
            <sz val="9"/>
            <color indexed="81"/>
            <rFont val="Tahoma"/>
            <family val="2"/>
          </rPr>
          <t xml:space="preserve">
KWSC = Kafubu Water and Sewerage Company</t>
        </r>
      </text>
    </comment>
    <comment ref="C261" authorId="1" shapeId="0">
      <text>
        <r>
          <rPr>
            <b/>
            <sz val="9"/>
            <color indexed="81"/>
            <rFont val="Tahoma"/>
            <family val="2"/>
          </rPr>
          <t>Ann Bijnens:</t>
        </r>
        <r>
          <rPr>
            <sz val="9"/>
            <color indexed="81"/>
            <rFont val="Tahoma"/>
            <family val="2"/>
          </rPr>
          <t xml:space="preserve">
MWSC = Mulonga Water and Sewerage Company</t>
        </r>
      </text>
    </comment>
    <comment ref="C262" authorId="1" shapeId="0">
      <text>
        <r>
          <rPr>
            <b/>
            <sz val="9"/>
            <color indexed="81"/>
            <rFont val="Tahoma"/>
            <family val="2"/>
          </rPr>
          <t>Ann Bijnens:</t>
        </r>
        <r>
          <rPr>
            <sz val="9"/>
            <color indexed="81"/>
            <rFont val="Tahoma"/>
            <family val="2"/>
          </rPr>
          <t xml:space="preserve">
NWWSSC = North Western Water Supply and Sewerage Company</t>
        </r>
      </text>
    </comment>
    <comment ref="A311" authorId="1" shapeId="0">
      <text>
        <r>
          <rPr>
            <b/>
            <sz val="9"/>
            <color indexed="81"/>
            <rFont val="Tahoma"/>
            <family val="2"/>
          </rPr>
          <t>Ann Bijnens:</t>
        </r>
        <r>
          <rPr>
            <sz val="9"/>
            <color indexed="81"/>
            <rFont val="Tahoma"/>
            <family val="2"/>
          </rPr>
          <t xml:space="preserve">
charges 2015: VAT of 5% on drinking water and VAT of 10% on sewerage and waste water components </t>
        </r>
      </text>
    </comment>
    <comment ref="D341" authorId="0" shapeId="0">
      <text>
        <r>
          <rPr>
            <b/>
            <sz val="9"/>
            <color indexed="81"/>
            <rFont val="Tahoma"/>
            <family val="2"/>
          </rPr>
          <t>bijnensa:</t>
        </r>
        <r>
          <rPr>
            <sz val="9"/>
            <color indexed="81"/>
            <rFont val="Tahoma"/>
            <family val="2"/>
          </rPr>
          <t xml:space="preserve">
laatst gekende GDP van jaar 2013</t>
        </r>
      </text>
    </comment>
    <comment ref="A342" authorId="1" shapeId="0">
      <text>
        <r>
          <rPr>
            <b/>
            <sz val="9"/>
            <color indexed="81"/>
            <rFont val="Tahoma"/>
            <family val="2"/>
          </rPr>
          <t xml:space="preserve">Ann Bijnens:
</t>
        </r>
        <r>
          <rPr>
            <sz val="9"/>
            <color indexed="81"/>
            <rFont val="Tahoma"/>
            <family val="2"/>
          </rPr>
          <t>There are no regional differences in water rates</t>
        </r>
      </text>
    </comment>
    <comment ref="F342" authorId="1" shapeId="0">
      <text>
        <r>
          <rPr>
            <b/>
            <sz val="9"/>
            <color indexed="81"/>
            <rFont val="Tahoma"/>
            <family val="2"/>
          </rPr>
          <t>Ann Bijnens:</t>
        </r>
        <r>
          <rPr>
            <sz val="9"/>
            <color indexed="81"/>
            <rFont val="Tahoma"/>
            <family val="2"/>
          </rPr>
          <t xml:space="preserve">
Increasing block tariff at €1.3965/m3 up to 33m3/person/annum and €5.1395/m3 above 33m3/person/annum. Assume water consumption spread evenly over the year.</t>
        </r>
      </text>
    </comment>
    <comment ref="I349" authorId="1" shapeId="0">
      <text>
        <r>
          <rPr>
            <b/>
            <sz val="9"/>
            <color indexed="81"/>
            <rFont val="Tahoma"/>
            <family val="2"/>
          </rPr>
          <t>Ann Bijnens:</t>
        </r>
        <r>
          <rPr>
            <sz val="9"/>
            <color indexed="81"/>
            <rFont val="Tahoma"/>
            <family val="2"/>
          </rPr>
          <t xml:space="preserve">
other charges: tap water tax</t>
        </r>
      </text>
    </comment>
    <comment ref="G350" authorId="0" shapeId="0">
      <text>
        <r>
          <rPr>
            <b/>
            <sz val="9"/>
            <color indexed="81"/>
            <rFont val="Tahoma"/>
            <family val="2"/>
          </rPr>
          <t>bijnensa:</t>
        </r>
        <r>
          <rPr>
            <sz val="9"/>
            <color indexed="81"/>
            <rFont val="Tahoma"/>
            <family val="2"/>
          </rPr>
          <t xml:space="preserve">
distribution and concession reimbursements ("precario")</t>
        </r>
      </text>
    </comment>
    <comment ref="I350" authorId="1" shapeId="0">
      <text>
        <r>
          <rPr>
            <b/>
            <sz val="9"/>
            <color indexed="81"/>
            <rFont val="Tahoma"/>
            <family val="2"/>
          </rPr>
          <t>Ann Bijnens:</t>
        </r>
        <r>
          <rPr>
            <sz val="9"/>
            <color indexed="81"/>
            <rFont val="Tahoma"/>
            <family val="2"/>
          </rPr>
          <t xml:space="preserve">
other charges: tap water tax</t>
        </r>
      </text>
    </comment>
    <comment ref="G351" authorId="0" shapeId="0">
      <text>
        <r>
          <rPr>
            <b/>
            <sz val="9"/>
            <color indexed="81"/>
            <rFont val="Tahoma"/>
            <family val="2"/>
          </rPr>
          <t>bijnensa:</t>
        </r>
        <r>
          <rPr>
            <sz val="9"/>
            <color indexed="81"/>
            <rFont val="Tahoma"/>
            <family val="2"/>
          </rPr>
          <t xml:space="preserve">
distribution and concession reimbursements ("precario")</t>
        </r>
      </text>
    </comment>
    <comment ref="I351" authorId="1" shapeId="0">
      <text>
        <r>
          <rPr>
            <b/>
            <sz val="9"/>
            <color indexed="81"/>
            <rFont val="Tahoma"/>
            <family val="2"/>
          </rPr>
          <t>Ann Bijnens:</t>
        </r>
        <r>
          <rPr>
            <sz val="9"/>
            <color indexed="81"/>
            <rFont val="Tahoma"/>
            <family val="2"/>
          </rPr>
          <t xml:space="preserve">
other charges: tap water tax</t>
        </r>
      </text>
    </comment>
    <comment ref="I352" authorId="1" shapeId="0">
      <text>
        <r>
          <rPr>
            <b/>
            <sz val="9"/>
            <color indexed="81"/>
            <rFont val="Tahoma"/>
            <family val="2"/>
          </rPr>
          <t>Ann Bijnens:</t>
        </r>
        <r>
          <rPr>
            <sz val="9"/>
            <color indexed="81"/>
            <rFont val="Tahoma"/>
            <family val="2"/>
          </rPr>
          <t xml:space="preserve">
other charges: tap water tax</t>
        </r>
      </text>
    </comment>
    <comment ref="I353" authorId="1" shapeId="0">
      <text>
        <r>
          <rPr>
            <b/>
            <sz val="9"/>
            <color indexed="81"/>
            <rFont val="Tahoma"/>
            <family val="2"/>
          </rPr>
          <t>Ann Bijnens:</t>
        </r>
        <r>
          <rPr>
            <sz val="9"/>
            <color indexed="81"/>
            <rFont val="Tahoma"/>
            <family val="2"/>
          </rPr>
          <t xml:space="preserve">
other charges: tap water tax</t>
        </r>
      </text>
    </comment>
    <comment ref="C372" authorId="1" shapeId="0">
      <text>
        <r>
          <rPr>
            <b/>
            <sz val="9"/>
            <color indexed="81"/>
            <rFont val="Tahoma"/>
            <family val="2"/>
          </rPr>
          <t>Ann Bijnens:</t>
        </r>
        <r>
          <rPr>
            <sz val="9"/>
            <color indexed="81"/>
            <rFont val="Tahoma"/>
            <family val="2"/>
          </rPr>
          <t xml:space="preserve">
charges 2015: during summer the population supplied is over 1.000.000 inhabitans due the seaside areas</t>
        </r>
      </text>
    </comment>
    <comment ref="C378" authorId="1" shapeId="0">
      <text>
        <r>
          <rPr>
            <b/>
            <sz val="9"/>
            <color indexed="81"/>
            <rFont val="Tahoma"/>
            <family val="2"/>
          </rPr>
          <t>Ann Bijnens:</t>
        </r>
        <r>
          <rPr>
            <sz val="9"/>
            <color indexed="81"/>
            <rFont val="Tahoma"/>
            <family val="2"/>
          </rPr>
          <t xml:space="preserve">
charges 2015: population data are calculated based on clients declaration. All citizen have acces to water supply and sewerage services</t>
        </r>
      </text>
    </comment>
    <comment ref="A387" authorId="1" shapeId="0">
      <text>
        <r>
          <rPr>
            <b/>
            <sz val="9"/>
            <color indexed="81"/>
            <rFont val="Tahoma"/>
            <family val="2"/>
          </rPr>
          <t>Ann Bijnens:</t>
        </r>
        <r>
          <rPr>
            <sz val="9"/>
            <color indexed="81"/>
            <rFont val="Tahoma"/>
            <family val="2"/>
          </rPr>
          <t xml:space="preserve">
In Scotland the majority of domestic properties pay their water charges based upon the rateable value of the property. The rateable value is a  value ascribed to a domestic or commercial building based on its size, location, and other factors, and is used to determine the local tax payable by its owner to the local authority. The rateable value is assigned to one of 8 bands - A to H and a property is allocated to a band, with Band A properties generally being the smallest properties.</t>
        </r>
      </text>
    </comment>
    <comment ref="A430" authorId="1" shapeId="0">
      <text>
        <r>
          <rPr>
            <b/>
            <sz val="9"/>
            <color indexed="81"/>
            <rFont val="Tahoma"/>
            <family val="2"/>
          </rPr>
          <t>Ann Bijnens:</t>
        </r>
        <r>
          <rPr>
            <sz val="9"/>
            <color indexed="81"/>
            <rFont val="Tahoma"/>
            <family val="2"/>
          </rPr>
          <t xml:space="preserve">
- FIXED CHARGES FOR DOMESTIC CUSTOMERS.
- SEWERAGE CHARGE FOR DOMESTIC CUSTOMERS IS 20%OF WATER BILL FOR; MWSC, NWSC, &amp; 30% for LWSC&amp;KWSC 40% NWWSC &amp; KWSC .
- Other charges: SANITATION SURCHARGE AT 2.5% OF WATER BILL, EXCEPT FOR NKANA WSC (NWSC) AT 3%.</t>
        </r>
      </text>
    </comment>
    <comment ref="C430" authorId="1" shapeId="0">
      <text>
        <r>
          <rPr>
            <b/>
            <sz val="9"/>
            <color indexed="81"/>
            <rFont val="Tahoma"/>
            <family val="2"/>
          </rPr>
          <t>Ann Bijnens:</t>
        </r>
        <r>
          <rPr>
            <sz val="9"/>
            <color indexed="81"/>
            <rFont val="Tahoma"/>
            <family val="2"/>
          </rPr>
          <t xml:space="preserve">
LWSC = Lusaka Water &amp; Sewerage Company</t>
        </r>
      </text>
    </comment>
    <comment ref="C431" authorId="1" shapeId="0">
      <text>
        <r>
          <rPr>
            <b/>
            <sz val="9"/>
            <color indexed="81"/>
            <rFont val="Tahoma"/>
            <family val="2"/>
          </rPr>
          <t>Ann Bijnens:</t>
        </r>
        <r>
          <rPr>
            <sz val="9"/>
            <color indexed="81"/>
            <rFont val="Tahoma"/>
            <family val="2"/>
          </rPr>
          <t xml:space="preserve">
NWSC = National Water and Sewerage Corporation</t>
        </r>
      </text>
    </comment>
    <comment ref="C432" authorId="1" shapeId="0">
      <text>
        <r>
          <rPr>
            <b/>
            <sz val="9"/>
            <color indexed="81"/>
            <rFont val="Tahoma"/>
            <family val="2"/>
          </rPr>
          <t>Ann Bijnens:</t>
        </r>
        <r>
          <rPr>
            <sz val="9"/>
            <color indexed="81"/>
            <rFont val="Tahoma"/>
            <family val="2"/>
          </rPr>
          <t xml:space="preserve">
KWSC = Kafubu Water and Sewerage Company</t>
        </r>
      </text>
    </comment>
    <comment ref="C433" authorId="1" shapeId="0">
      <text>
        <r>
          <rPr>
            <b/>
            <sz val="9"/>
            <color indexed="81"/>
            <rFont val="Tahoma"/>
            <family val="2"/>
          </rPr>
          <t>Ann Bijnens:</t>
        </r>
        <r>
          <rPr>
            <sz val="9"/>
            <color indexed="81"/>
            <rFont val="Tahoma"/>
            <family val="2"/>
          </rPr>
          <t xml:space="preserve">
MWSC = Mulonga Water and Sewerage Company</t>
        </r>
      </text>
    </comment>
    <comment ref="C434" authorId="1" shapeId="0">
      <text>
        <r>
          <rPr>
            <b/>
            <sz val="9"/>
            <color indexed="81"/>
            <rFont val="Tahoma"/>
            <family val="2"/>
          </rPr>
          <t>Ann Bijnens:</t>
        </r>
        <r>
          <rPr>
            <sz val="9"/>
            <color indexed="81"/>
            <rFont val="Tahoma"/>
            <family val="2"/>
          </rPr>
          <t xml:space="preserve">
NWWSSC = North Western Water Supply and Sewerage Company</t>
        </r>
      </text>
    </comment>
    <comment ref="A446" authorId="1" shapeId="0">
      <text>
        <r>
          <rPr>
            <b/>
            <sz val="9"/>
            <color indexed="81"/>
            <rFont val="Tahoma"/>
            <family val="2"/>
          </rPr>
          <t>Ann Bijnens:</t>
        </r>
        <r>
          <rPr>
            <sz val="9"/>
            <color indexed="81"/>
            <rFont val="Tahoma"/>
            <family val="2"/>
          </rPr>
          <t xml:space="preserve">
MWSC = Mulonga Water and Sewerage Company</t>
        </r>
      </text>
    </comment>
    <comment ref="A447" authorId="1" shapeId="0">
      <text>
        <r>
          <rPr>
            <b/>
            <sz val="9"/>
            <color indexed="81"/>
            <rFont val="Tahoma"/>
            <family val="2"/>
          </rPr>
          <t>Ann Bijnens:</t>
        </r>
        <r>
          <rPr>
            <sz val="9"/>
            <color indexed="81"/>
            <rFont val="Tahoma"/>
            <family val="2"/>
          </rPr>
          <t xml:space="preserve">
KWSC = Kafubu Water and Sewerage Company</t>
        </r>
      </text>
    </comment>
    <comment ref="A450" authorId="1" shapeId="0">
      <text>
        <r>
          <rPr>
            <b/>
            <sz val="9"/>
            <color indexed="81"/>
            <rFont val="Tahoma"/>
            <family val="2"/>
          </rPr>
          <t>Ann Bijnens:</t>
        </r>
        <r>
          <rPr>
            <sz val="9"/>
            <color indexed="81"/>
            <rFont val="Tahoma"/>
            <family val="2"/>
          </rPr>
          <t xml:space="preserve">
LWSC = Lusaka Water &amp; Sewerage Company</t>
        </r>
      </text>
    </comment>
    <comment ref="A464" authorId="1" shapeId="0">
      <text>
        <r>
          <rPr>
            <b/>
            <sz val="9"/>
            <color indexed="81"/>
            <rFont val="Tahoma"/>
            <family val="2"/>
          </rPr>
          <t>Ann Bijnens:</t>
        </r>
        <r>
          <rPr>
            <sz val="9"/>
            <color indexed="81"/>
            <rFont val="Tahoma"/>
            <family val="2"/>
          </rPr>
          <t xml:space="preserve">
NWWSSC = North Western Water Supply and Sewerage Company</t>
        </r>
      </text>
    </comment>
    <comment ref="A494" authorId="1" shapeId="0">
      <text>
        <r>
          <rPr>
            <b/>
            <sz val="9"/>
            <color indexed="81"/>
            <rFont val="Tahoma"/>
            <family val="2"/>
          </rPr>
          <t>Ann Bijnens:</t>
        </r>
        <r>
          <rPr>
            <sz val="9"/>
            <color indexed="81"/>
            <rFont val="Tahoma"/>
            <family val="2"/>
          </rPr>
          <t xml:space="preserve">
charges 2015: population data are calculated based on clients declaration. All citizen have acces to water supply and sewerage services</t>
        </r>
      </text>
    </comment>
    <comment ref="A516" authorId="1" shapeId="0">
      <text>
        <r>
          <rPr>
            <b/>
            <sz val="9"/>
            <color indexed="81"/>
            <rFont val="Tahoma"/>
            <family val="2"/>
          </rPr>
          <t>Ann Bijnens:</t>
        </r>
        <r>
          <rPr>
            <sz val="9"/>
            <color indexed="81"/>
            <rFont val="Tahoma"/>
            <family val="2"/>
          </rPr>
          <t xml:space="preserve">
charges 2015: during summer the population supplied is over 1.000.000 inhabitans due the seaside areas</t>
        </r>
      </text>
    </comment>
    <comment ref="D519" authorId="1" shapeId="0">
      <text>
        <r>
          <rPr>
            <b/>
            <sz val="9"/>
            <color indexed="81"/>
            <rFont val="Tahoma"/>
            <family val="2"/>
          </rPr>
          <t>Ann Bijnens:</t>
        </r>
        <r>
          <rPr>
            <sz val="9"/>
            <color indexed="81"/>
            <rFont val="Tahoma"/>
            <family val="2"/>
          </rPr>
          <t xml:space="preserve">
Increasing block tariff at €1.3965/m3 up to 33m3/person/annum and €5.1395/m3 above 33m3/person/annum. Assume water consumption spread evenly over the year.</t>
        </r>
      </text>
    </comment>
    <comment ref="G568" authorId="1" shapeId="0">
      <text>
        <r>
          <rPr>
            <b/>
            <sz val="9"/>
            <color indexed="81"/>
            <rFont val="Tahoma"/>
            <family val="2"/>
          </rPr>
          <t>Ann Bijnens:</t>
        </r>
        <r>
          <rPr>
            <sz val="9"/>
            <color indexed="81"/>
            <rFont val="Tahoma"/>
            <family val="2"/>
          </rPr>
          <t xml:space="preserve">
other charges: tap water tax</t>
        </r>
      </text>
    </comment>
    <comment ref="G584" authorId="1" shapeId="0">
      <text>
        <r>
          <rPr>
            <b/>
            <sz val="9"/>
            <color indexed="81"/>
            <rFont val="Tahoma"/>
            <family val="2"/>
          </rPr>
          <t>Ann Bijnens:</t>
        </r>
        <r>
          <rPr>
            <sz val="9"/>
            <color indexed="81"/>
            <rFont val="Tahoma"/>
            <family val="2"/>
          </rPr>
          <t xml:space="preserve">
other charges: tap water tax</t>
        </r>
      </text>
    </comment>
    <comment ref="G587" authorId="1" shapeId="0">
      <text>
        <r>
          <rPr>
            <b/>
            <sz val="9"/>
            <color indexed="81"/>
            <rFont val="Tahoma"/>
            <family val="2"/>
          </rPr>
          <t>Ann Bijnens:</t>
        </r>
        <r>
          <rPr>
            <sz val="9"/>
            <color indexed="81"/>
            <rFont val="Tahoma"/>
            <family val="2"/>
          </rPr>
          <t xml:space="preserve">
other charges: tap water tax</t>
        </r>
      </text>
    </comment>
    <comment ref="E595" authorId="0" shapeId="0">
      <text>
        <r>
          <rPr>
            <b/>
            <sz val="9"/>
            <color indexed="81"/>
            <rFont val="Tahoma"/>
            <family val="2"/>
          </rPr>
          <t>bijnensa:</t>
        </r>
        <r>
          <rPr>
            <sz val="9"/>
            <color indexed="81"/>
            <rFont val="Tahoma"/>
            <family val="2"/>
          </rPr>
          <t xml:space="preserve">
distribution and concession reimbursements ("precario")</t>
        </r>
      </text>
    </comment>
    <comment ref="G595" authorId="1" shapeId="0">
      <text>
        <r>
          <rPr>
            <b/>
            <sz val="9"/>
            <color indexed="81"/>
            <rFont val="Tahoma"/>
            <family val="2"/>
          </rPr>
          <t>Ann Bijnens:</t>
        </r>
        <r>
          <rPr>
            <sz val="9"/>
            <color indexed="81"/>
            <rFont val="Tahoma"/>
            <family val="2"/>
          </rPr>
          <t xml:space="preserve">
other charges: tap water tax</t>
        </r>
      </text>
    </comment>
    <comment ref="E598" authorId="0" shapeId="0">
      <text>
        <r>
          <rPr>
            <b/>
            <sz val="9"/>
            <color indexed="81"/>
            <rFont val="Tahoma"/>
            <family val="2"/>
          </rPr>
          <t>bijnensa:</t>
        </r>
        <r>
          <rPr>
            <sz val="9"/>
            <color indexed="81"/>
            <rFont val="Tahoma"/>
            <family val="2"/>
          </rPr>
          <t xml:space="preserve">
distribution and concession reimbursements ("precario")</t>
        </r>
      </text>
    </comment>
    <comment ref="G598" authorId="1" shapeId="0">
      <text>
        <r>
          <rPr>
            <b/>
            <sz val="9"/>
            <color indexed="81"/>
            <rFont val="Tahoma"/>
            <family val="2"/>
          </rPr>
          <t>Ann Bijnens:</t>
        </r>
        <r>
          <rPr>
            <sz val="9"/>
            <color indexed="81"/>
            <rFont val="Tahoma"/>
            <family val="2"/>
          </rPr>
          <t xml:space="preserve">
other charges: tap water tax</t>
        </r>
      </text>
    </comment>
  </commentList>
</comments>
</file>

<file path=xl/comments14.xml><?xml version="1.0" encoding="utf-8"?>
<comments xmlns="http://schemas.openxmlformats.org/spreadsheetml/2006/main">
  <authors>
    <author>Ann Bijnens</author>
    <author>bijnensa</author>
  </authors>
  <commentList>
    <comment ref="H14" authorId="0" shapeId="0">
      <text>
        <r>
          <rPr>
            <b/>
            <sz val="9"/>
            <color indexed="81"/>
            <rFont val="Tahoma"/>
            <family val="2"/>
          </rPr>
          <t>Ann Bijnens:</t>
        </r>
        <r>
          <rPr>
            <sz val="9"/>
            <color indexed="81"/>
            <rFont val="Tahoma"/>
            <family val="2"/>
          </rPr>
          <t xml:space="preserve">
charges 2017: charges for wastewater treatment are included in sewerage taxes.
Bill is not depending on the volume of consumption.</t>
        </r>
      </text>
    </comment>
    <comment ref="L16" authorId="1" shapeId="0">
      <text>
        <r>
          <rPr>
            <b/>
            <sz val="9"/>
            <color indexed="81"/>
            <rFont val="Tahoma"/>
            <family val="2"/>
          </rPr>
          <t>bijnensa:</t>
        </r>
        <r>
          <rPr>
            <sz val="9"/>
            <color indexed="81"/>
            <rFont val="Tahoma"/>
            <family val="2"/>
          </rPr>
          <t xml:space="preserve">
based on the average valued property</t>
        </r>
      </text>
    </comment>
    <comment ref="A37" authorId="0" shapeId="0">
      <text>
        <r>
          <rPr>
            <b/>
            <sz val="9"/>
            <color indexed="81"/>
            <rFont val="Tahoma"/>
            <family val="2"/>
          </rPr>
          <t>Ann Bijnens:</t>
        </r>
        <r>
          <rPr>
            <sz val="9"/>
            <color indexed="81"/>
            <rFont val="Tahoma"/>
            <family val="2"/>
          </rPr>
          <t xml:space="preserve">
charges of 2015:
Source: SNIS - National System of Information on Water and Sanitation    Reference Year - 2015 - Last Edition published                                                           SABESP - Water Utility of São Paulo State with full concession of Water and Sanitation Services in 368 Municipalities of São Paulo Stae, deserving around 27,9 millioon inhabitants.                                                                                                                                                                                      BRASÍLIA - The Federal District is deserved in water and sanitation by CAESB, the local water utility.  CAESB deserves about 2,59 million inhabitants.</t>
        </r>
      </text>
    </comment>
    <comment ref="G37" authorId="0" shapeId="0">
      <text>
        <r>
          <rPr>
            <b/>
            <sz val="9"/>
            <color indexed="81"/>
            <rFont val="Tahoma"/>
            <family val="2"/>
          </rPr>
          <t>Ann Bijnens:</t>
        </r>
        <r>
          <rPr>
            <sz val="9"/>
            <color indexed="81"/>
            <rFont val="Tahoma"/>
            <family val="2"/>
          </rPr>
          <t xml:space="preserve">
charges of 2015:
Source: SNIS - National System of Information on Water and Sanitation    Reference Year - 2015 - Last Edition published                                                           SABESP - Water Utility of São Paulo State with full concession of Water and Sanitation Services in 368 Municipalities of São Paulo Stae, deserving around 27,9 millioon inhabitants.                                                                                                                                                                                      BRASÍLIA - The Federal District is deserved in water and sanitation by CAESB, the local water utility.  CAESB deserves about 2,59 million inhabitants.</t>
        </r>
      </text>
    </comment>
    <comment ref="A45" authorId="0" shapeId="0">
      <text>
        <r>
          <rPr>
            <b/>
            <sz val="9"/>
            <color indexed="81"/>
            <rFont val="Tahoma"/>
            <family val="2"/>
          </rPr>
          <t>Ann Bijnens:</t>
        </r>
        <r>
          <rPr>
            <sz val="9"/>
            <color indexed="81"/>
            <rFont val="Tahoma"/>
            <family val="2"/>
          </rPr>
          <t xml:space="preserve">
charges of 2017:
Tariffs for 3 services (water supply, sewerage and waste water treatment are billed per m3 consumed. No fix or variable components are applied. VAT is 20%.
Tariffs in Sofia and Burgas are established in 2017, in Pleven and Razgrad in 2016, and in Stara Zagora in 2012</t>
        </r>
      </text>
    </comment>
    <comment ref="G45" authorId="0" shapeId="0">
      <text>
        <r>
          <rPr>
            <b/>
            <sz val="9"/>
            <color indexed="81"/>
            <rFont val="Tahoma"/>
            <family val="2"/>
          </rPr>
          <t>Ann Bijnens:</t>
        </r>
        <r>
          <rPr>
            <sz val="9"/>
            <color indexed="81"/>
            <rFont val="Tahoma"/>
            <family val="2"/>
          </rPr>
          <t xml:space="preserve">
charges of 2017:
Tariffs for 3 services (water supply, sewerage and waste water treatment are billed per m3 consumed. No fix or variable components are applied. VAT is 20%.
Tariffs in Sofia and Burgas are established in 2017, in Pleven and Razgrad in 2016, and in Stara Zagora in 2012</t>
        </r>
      </text>
    </comment>
    <comment ref="G75" authorId="0" shapeId="0">
      <text>
        <r>
          <rPr>
            <b/>
            <sz val="9"/>
            <color indexed="81"/>
            <rFont val="Tahoma"/>
            <family val="2"/>
          </rPr>
          <t>Ann Bijnens:</t>
        </r>
        <r>
          <rPr>
            <sz val="9"/>
            <color indexed="81"/>
            <rFont val="Tahoma"/>
            <family val="2"/>
          </rPr>
          <t xml:space="preserve">
charges 2017:
- variable component includes all other taxes and charges applied in the Czech Republic, for example water abstraction, wastewater discharges, etc
- rate 15% VAT
- WWT includes the charges for sewerage</t>
        </r>
      </text>
    </comment>
    <comment ref="G85" authorId="0" shapeId="0">
      <text>
        <r>
          <rPr>
            <b/>
            <sz val="9"/>
            <color indexed="81"/>
            <rFont val="Tahoma"/>
            <family val="2"/>
          </rPr>
          <t>Ann Bijnens:</t>
        </r>
        <r>
          <rPr>
            <sz val="9"/>
            <color indexed="81"/>
            <rFont val="Tahoma"/>
            <family val="2"/>
          </rPr>
          <t xml:space="preserve">
charges of 2017:
sewerage charges variable component based on water consumption, includes waste water treatment.
Other charges: service charge or fixed bill component  sewerage including waste water treatment</t>
        </r>
      </text>
    </comment>
    <comment ref="G91" authorId="0" shapeId="0">
      <text>
        <r>
          <rPr>
            <b/>
            <sz val="9"/>
            <color indexed="81"/>
            <rFont val="Tahoma"/>
            <family val="2"/>
          </rPr>
          <t>Ann Bijnens:</t>
        </r>
        <r>
          <rPr>
            <sz val="9"/>
            <color indexed="81"/>
            <rFont val="Tahoma"/>
            <family val="2"/>
          </rPr>
          <t xml:space="preserve">
data of 2015/2017? Other charges = water agency
VAT on drinking water = 5%
VAT on sew&amp;WWT = 10%</t>
        </r>
      </text>
    </comment>
    <comment ref="H97" authorId="0" shapeId="0">
      <text>
        <r>
          <rPr>
            <b/>
            <sz val="9"/>
            <color indexed="81"/>
            <rFont val="Tahoma"/>
            <family val="2"/>
          </rPr>
          <t>Ann Bijnens:</t>
        </r>
        <r>
          <rPr>
            <sz val="9"/>
            <color indexed="81"/>
            <rFont val="Tahoma"/>
            <family val="2"/>
          </rPr>
          <t xml:space="preserve">
data of 2014</t>
        </r>
      </text>
    </comment>
    <comment ref="G141" authorId="0" shapeId="0">
      <text>
        <r>
          <rPr>
            <b/>
            <sz val="9"/>
            <color indexed="81"/>
            <rFont val="Tahoma"/>
            <family val="2"/>
          </rPr>
          <t>Ann Bijnens:</t>
        </r>
        <r>
          <rPr>
            <sz val="9"/>
            <color indexed="81"/>
            <rFont val="Tahoma"/>
            <family val="2"/>
          </rPr>
          <t xml:space="preserve">
In comparison with the data of 2015 the charges for 200 m³ are decreased in 2017.
Due to the domestic consumption has considerably increased in the past few years, therefore, we have also included the domestic customers in the 2017 data.
</t>
        </r>
      </text>
    </comment>
    <comment ref="A143" authorId="0" shapeId="0">
      <text>
        <r>
          <rPr>
            <b/>
            <sz val="9"/>
            <color indexed="81"/>
            <rFont val="Tahoma"/>
            <family val="2"/>
          </rPr>
          <t xml:space="preserve">Ann Bijnens:
</t>
        </r>
        <r>
          <rPr>
            <sz val="9"/>
            <color indexed="81"/>
            <rFont val="Tahoma"/>
            <family val="2"/>
          </rPr>
          <t>There are no regional differences in water rates</t>
        </r>
      </text>
    </comment>
    <comment ref="G143" authorId="0" shapeId="0">
      <text>
        <r>
          <rPr>
            <b/>
            <sz val="9"/>
            <color indexed="81"/>
            <rFont val="Tahoma"/>
            <family val="2"/>
          </rPr>
          <t xml:space="preserve">Ann Bijnens:
</t>
        </r>
        <r>
          <rPr>
            <sz val="9"/>
            <color indexed="81"/>
            <rFont val="Tahoma"/>
            <family val="2"/>
          </rPr>
          <t>There are no regional differences in water rates</t>
        </r>
      </text>
    </comment>
    <comment ref="H143" authorId="0" shapeId="0">
      <text>
        <r>
          <rPr>
            <b/>
            <sz val="9"/>
            <color indexed="81"/>
            <rFont val="Tahoma"/>
            <family val="2"/>
          </rPr>
          <t>Ann Bijnens:</t>
        </r>
        <r>
          <rPr>
            <sz val="9"/>
            <color indexed="81"/>
            <rFont val="Tahoma"/>
            <family val="2"/>
          </rPr>
          <t xml:space="preserve">
for a 3 persons household</t>
        </r>
      </text>
    </comment>
    <comment ref="N143" authorId="0" shapeId="0">
      <text>
        <r>
          <rPr>
            <b/>
            <sz val="9"/>
            <color indexed="81"/>
            <rFont val="Tahoma"/>
            <family val="2"/>
          </rPr>
          <t>Ann Bijnens:</t>
        </r>
        <r>
          <rPr>
            <sz val="9"/>
            <color indexed="81"/>
            <rFont val="Tahoma"/>
            <family val="2"/>
          </rPr>
          <t xml:space="preserve">
rates incorporate sewerage contribution</t>
        </r>
      </text>
    </comment>
    <comment ref="P157" authorId="1" shapeId="0">
      <text>
        <r>
          <rPr>
            <b/>
            <sz val="9"/>
            <color indexed="81"/>
            <rFont val="Tahoma"/>
            <family val="2"/>
          </rPr>
          <t>bijnensa:</t>
        </r>
        <r>
          <rPr>
            <sz val="9"/>
            <color indexed="81"/>
            <rFont val="Tahoma"/>
            <family val="2"/>
          </rPr>
          <t xml:space="preserve">
other charges: tap water tax</t>
        </r>
      </text>
    </comment>
    <comment ref="H158" authorId="0" shapeId="0">
      <text>
        <r>
          <rPr>
            <b/>
            <sz val="9"/>
            <color indexed="81"/>
            <rFont val="Tahoma"/>
            <family val="2"/>
          </rPr>
          <t>Ann Bijnens:</t>
        </r>
        <r>
          <rPr>
            <sz val="9"/>
            <color indexed="81"/>
            <rFont val="Tahoma"/>
            <family val="2"/>
          </rPr>
          <t xml:space="preserve">
charges 2017: Rotterdam is Water Authority HHSK</t>
        </r>
      </text>
    </comment>
    <comment ref="P158" authorId="1" shapeId="0">
      <text>
        <r>
          <rPr>
            <b/>
            <sz val="9"/>
            <color indexed="81"/>
            <rFont val="Tahoma"/>
            <family val="2"/>
          </rPr>
          <t>bijnensa:</t>
        </r>
        <r>
          <rPr>
            <sz val="9"/>
            <color indexed="81"/>
            <rFont val="Tahoma"/>
            <family val="2"/>
          </rPr>
          <t xml:space="preserve">
other charges: tap water tax</t>
        </r>
      </text>
    </comment>
    <comment ref="P159" authorId="1" shapeId="0">
      <text>
        <r>
          <rPr>
            <b/>
            <sz val="9"/>
            <color indexed="81"/>
            <rFont val="Tahoma"/>
            <family val="2"/>
          </rPr>
          <t>bijnensa:</t>
        </r>
        <r>
          <rPr>
            <sz val="9"/>
            <color indexed="81"/>
            <rFont val="Tahoma"/>
            <family val="2"/>
          </rPr>
          <t xml:space="preserve">
other charges: tap water tax</t>
        </r>
      </text>
    </comment>
    <comment ref="P160" authorId="1" shapeId="0">
      <text>
        <r>
          <rPr>
            <b/>
            <sz val="9"/>
            <color indexed="81"/>
            <rFont val="Tahoma"/>
            <family val="2"/>
          </rPr>
          <t>bijnensa:</t>
        </r>
        <r>
          <rPr>
            <sz val="9"/>
            <color indexed="81"/>
            <rFont val="Tahoma"/>
            <family val="2"/>
          </rPr>
          <t xml:space="preserve">
other charges: tap water tax</t>
        </r>
      </text>
    </comment>
    <comment ref="P161" authorId="1" shapeId="0">
      <text>
        <r>
          <rPr>
            <b/>
            <sz val="9"/>
            <color indexed="81"/>
            <rFont val="Tahoma"/>
            <family val="2"/>
          </rPr>
          <t>bijnensa:</t>
        </r>
        <r>
          <rPr>
            <sz val="9"/>
            <color indexed="81"/>
            <rFont val="Tahoma"/>
            <family val="2"/>
          </rPr>
          <t xml:space="preserve">
other charges: tap water tax</t>
        </r>
      </text>
    </comment>
    <comment ref="A227" authorId="0" shapeId="0">
      <text>
        <r>
          <rPr>
            <b/>
            <sz val="9"/>
            <color indexed="81"/>
            <rFont val="Tahoma"/>
            <family val="2"/>
          </rPr>
          <t>Ann Bijnens:</t>
        </r>
        <r>
          <rPr>
            <sz val="9"/>
            <color indexed="81"/>
            <rFont val="Tahoma"/>
            <family val="2"/>
          </rPr>
          <t xml:space="preserve">
data of 2017:
In Scotland all public supply is charged at a fixed rate (unmetered) and collected by local authorities along with council (local property) tax. It is banded according to the value of the property but the levels of charges are the same everywhere. This link gives the table with the banded rates. http://www.scottishwater.co.uk/you-and-your-home/your-charges/2018-19-charges/2018-19-umc If households are in receipt of benefit or a single adult, there is a reduction. There is a separate charge for water and for sewerage though most people and certainly in urban areas have both elements of public supply. 
banded tariffs for water start at £134.66 / pa and rise (8 bands) to £404.82 / pa. Banded charges for wastewater start ar £156.66 / pa and rise to £469.98 / pa. </t>
        </r>
      </text>
    </comment>
    <comment ref="G227" authorId="0" shapeId="0">
      <text>
        <r>
          <rPr>
            <b/>
            <sz val="9"/>
            <color indexed="81"/>
            <rFont val="Tahoma"/>
            <family val="2"/>
          </rPr>
          <t>Ann Bijnens:</t>
        </r>
        <r>
          <rPr>
            <sz val="9"/>
            <color indexed="81"/>
            <rFont val="Tahoma"/>
            <family val="2"/>
          </rPr>
          <t xml:space="preserve">
data of 2017:
In Scotland all public supply is charged at a fixed rate (unmetered) and collected by local authorities along with council (local property) tax. It is banded according to the value of the property but the levels of charges are the same everywhere. This link gives the table with the banded rates. http://www.scottishwater.co.uk/you-and-your-home/your-charges/2018-19-charges/2018-19-umc If households are in receipt of benefit or a single adult, there is a reduction. There is a separate charge for water and for sewerage though most people and certainly in urban areas have both elements of public supply. 
banded tariffs for water start at £134.66 / pa and rise (8 bands) to £404.82 / pa. Banded charges for wastewater start ar £156.66 / pa and rise to £469.98 / pa. </t>
        </r>
      </text>
    </comment>
    <comment ref="N243" authorId="1" shapeId="0">
      <text>
        <r>
          <rPr>
            <b/>
            <sz val="9"/>
            <color indexed="81"/>
            <rFont val="Tahoma"/>
            <family val="2"/>
          </rPr>
          <t>bijnensa:</t>
        </r>
        <r>
          <rPr>
            <sz val="9"/>
            <color indexed="81"/>
            <rFont val="Tahoma"/>
            <family val="2"/>
          </rPr>
          <t xml:space="preserve">
not separately charged. Inherent to sewerage charge</t>
        </r>
      </text>
    </comment>
    <comment ref="L244" authorId="1" shapeId="0">
      <text>
        <r>
          <rPr>
            <b/>
            <sz val="9"/>
            <color indexed="81"/>
            <rFont val="Tahoma"/>
            <family val="2"/>
          </rPr>
          <t>bijnensa:</t>
        </r>
        <r>
          <rPr>
            <sz val="9"/>
            <color indexed="81"/>
            <rFont val="Tahoma"/>
            <family val="2"/>
          </rPr>
          <t xml:space="preserve">
based on the average valued property</t>
        </r>
      </text>
    </comment>
    <comment ref="A253" authorId="0" shapeId="0">
      <text>
        <r>
          <rPr>
            <b/>
            <sz val="9"/>
            <color indexed="81"/>
            <rFont val="Tahoma"/>
            <family val="2"/>
          </rPr>
          <t>Ann Bijnens:</t>
        </r>
        <r>
          <rPr>
            <sz val="9"/>
            <color indexed="81"/>
            <rFont val="Tahoma"/>
            <family val="2"/>
          </rPr>
          <t xml:space="preserve">
charges of 2017:
The drinking water bill for all cities (Madrid, Barcelona, Bilbao, Sevilla and Valencia) consists of both variable and fixed components. But as we perform our tariff studies in Spain, we do not separate fixed and variable component.  So as a convention, we have decided to include the drinking water bill on variable component.
We also have variable and fixed components in Sewerage and WWT services, but in our tariff studies we do not separate each concept.
VAT in Spain for water services is 10% of the total value for the majority of concepts included on the bill </t>
        </r>
      </text>
    </comment>
    <comment ref="G253" authorId="0" shapeId="0">
      <text>
        <r>
          <rPr>
            <b/>
            <sz val="9"/>
            <color indexed="81"/>
            <rFont val="Tahoma"/>
            <family val="2"/>
          </rPr>
          <t>Ann Bijnens:</t>
        </r>
        <r>
          <rPr>
            <sz val="9"/>
            <color indexed="81"/>
            <rFont val="Tahoma"/>
            <family val="2"/>
          </rPr>
          <t xml:space="preserve">
charges of 2017:
The drinking water bill for all cities (Madrid, Barcelona, Bilbao, Sevilla and Valencia) consists of both variable and fixed components. But as we perform our tariff studies in Spain, we do not separate fixed and variable component.  So as a convention, we have decided to include the drinking water bill on variable component.
We also have variable and fixed components in Sewerage and WWT services, but in our tariff studies we do not separate each concept.
VAT in Spain for water services is 10% of the total value for the majority of concepts included on the bill </t>
        </r>
      </text>
    </comment>
    <comment ref="G263" authorId="0" shapeId="0">
      <text>
        <r>
          <rPr>
            <b/>
            <sz val="9"/>
            <color indexed="81"/>
            <rFont val="Tahoma"/>
            <family val="2"/>
          </rPr>
          <t>Ann Bijnens:</t>
        </r>
        <r>
          <rPr>
            <sz val="9"/>
            <color indexed="81"/>
            <rFont val="Tahoma"/>
            <family val="2"/>
          </rPr>
          <t xml:space="preserve">
data of 2017: calculated for a household in a six-flat-apartment</t>
        </r>
      </text>
    </comment>
    <comment ref="A269" authorId="0" shapeId="0">
      <text>
        <r>
          <rPr>
            <b/>
            <sz val="9"/>
            <color indexed="81"/>
            <rFont val="Tahoma"/>
            <family val="2"/>
          </rPr>
          <t>Ann Bijnens:</t>
        </r>
        <r>
          <rPr>
            <sz val="9"/>
            <color indexed="81"/>
            <rFont val="Tahoma"/>
            <family val="2"/>
          </rPr>
          <t xml:space="preserve">
data of 2014: bill for consumption depends on customer type. Here we use type 1 residence.</t>
        </r>
      </text>
    </comment>
    <comment ref="G269" authorId="0" shapeId="0">
      <text>
        <r>
          <rPr>
            <b/>
            <sz val="9"/>
            <color indexed="81"/>
            <rFont val="Tahoma"/>
            <family val="2"/>
          </rPr>
          <t>Ann Bijnens:</t>
        </r>
        <r>
          <rPr>
            <sz val="9"/>
            <color indexed="81"/>
            <rFont val="Tahoma"/>
            <family val="2"/>
          </rPr>
          <t xml:space="preserve">
data of 2014: bill for consumption depends on customer type. Here we use type 1 residence.</t>
        </r>
      </text>
    </comment>
    <comment ref="P271" authorId="0" shapeId="0">
      <text>
        <r>
          <rPr>
            <b/>
            <sz val="9"/>
            <color indexed="81"/>
            <rFont val="Tahoma"/>
            <family val="2"/>
          </rPr>
          <t>Ann Bijnens:</t>
        </r>
        <r>
          <rPr>
            <sz val="9"/>
            <color indexed="81"/>
            <rFont val="Tahoma"/>
            <family val="2"/>
          </rPr>
          <t xml:space="preserve">
charges 2017: environmental cleaning tax</t>
        </r>
      </text>
    </comment>
    <comment ref="P272" authorId="0" shapeId="0">
      <text>
        <r>
          <rPr>
            <b/>
            <sz val="9"/>
            <color indexed="81"/>
            <rFont val="Tahoma"/>
            <family val="2"/>
          </rPr>
          <t>Ann Bijnens:</t>
        </r>
        <r>
          <rPr>
            <sz val="9"/>
            <color indexed="81"/>
            <rFont val="Tahoma"/>
            <family val="2"/>
          </rPr>
          <t xml:space="preserve">
charges 2017: environmental cleaning tax</t>
        </r>
      </text>
    </comment>
    <comment ref="P273" authorId="0" shapeId="0">
      <text>
        <r>
          <rPr>
            <b/>
            <sz val="9"/>
            <color indexed="81"/>
            <rFont val="Tahoma"/>
            <family val="2"/>
          </rPr>
          <t>Ann Bijnens:</t>
        </r>
        <r>
          <rPr>
            <sz val="9"/>
            <color indexed="81"/>
            <rFont val="Tahoma"/>
            <family val="2"/>
          </rPr>
          <t xml:space="preserve">
charges 2017: environmental cleaning tax</t>
        </r>
      </text>
    </comment>
    <comment ref="A274" authorId="0" shapeId="0">
      <text>
        <r>
          <rPr>
            <b/>
            <sz val="9"/>
            <color indexed="81"/>
            <rFont val="Tahoma"/>
            <family val="2"/>
          </rPr>
          <t>Ann Bijnens:</t>
        </r>
        <r>
          <rPr>
            <sz val="9"/>
            <color indexed="81"/>
            <rFont val="Tahoma"/>
            <family val="2"/>
          </rPr>
          <t xml:space="preserve">
data of 2015: The Corporation applies a uniform tariff across all consumer categories in all its areas of operation. The Domestic rate/tariff is uniform in all the Corporation's operational areas.
Fixed charge is the same across all the operational areas.
</t>
        </r>
      </text>
    </comment>
    <comment ref="G274" authorId="0" shapeId="0">
      <text>
        <r>
          <rPr>
            <b/>
            <sz val="9"/>
            <color indexed="81"/>
            <rFont val="Tahoma"/>
            <family val="2"/>
          </rPr>
          <t>Ann Bijnens:</t>
        </r>
        <r>
          <rPr>
            <sz val="9"/>
            <color indexed="81"/>
            <rFont val="Tahoma"/>
            <family val="2"/>
          </rPr>
          <t xml:space="preserve">
data of 2015: The Corporation applies a uniform tariff across all consumer categories in all its areas of operation. The Domestic rate/tariff is uniform in all the Corporation's operational areas.
Fixed charge is the same across all the operational areas.
</t>
        </r>
      </text>
    </comment>
    <comment ref="N278" authorId="1" shapeId="0">
      <text>
        <r>
          <rPr>
            <b/>
            <sz val="9"/>
            <color indexed="81"/>
            <rFont val="Tahoma"/>
            <family val="2"/>
          </rPr>
          <t>bijnensa:</t>
        </r>
        <r>
          <rPr>
            <sz val="9"/>
            <color indexed="81"/>
            <rFont val="Tahoma"/>
            <family val="2"/>
          </rPr>
          <t xml:space="preserve">
Sewerage charges shown include surface water drainage charges. Households in Birmingham pay for their surface water drainage either through a fixed charge based on property type or a charge based on the rateable value. The figures presented assume a 'zone 4' bill based on a property with a rateable value of £200 as an example.</t>
        </r>
      </text>
    </comment>
    <comment ref="N279" authorId="1" shapeId="0">
      <text>
        <r>
          <rPr>
            <b/>
            <sz val="9"/>
            <color indexed="81"/>
            <rFont val="Tahoma"/>
            <family val="2"/>
          </rPr>
          <t>bijnensa:</t>
        </r>
        <r>
          <rPr>
            <sz val="9"/>
            <color indexed="81"/>
            <rFont val="Tahoma"/>
            <family val="2"/>
          </rPr>
          <t xml:space="preserve">
Sewerage charges shown include surface water drainage charges.</t>
        </r>
      </text>
    </comment>
    <comment ref="N280" authorId="1" shapeId="0">
      <text>
        <r>
          <rPr>
            <b/>
            <sz val="9"/>
            <color indexed="81"/>
            <rFont val="Tahoma"/>
            <family val="2"/>
          </rPr>
          <t>bijnensa:</t>
        </r>
        <r>
          <rPr>
            <sz val="9"/>
            <color indexed="81"/>
            <rFont val="Tahoma"/>
            <family val="2"/>
          </rPr>
          <t xml:space="preserve">
Sewerage charges shown include surface water drainage charges.</t>
        </r>
      </text>
    </comment>
    <comment ref="N281" authorId="1" shapeId="0">
      <text>
        <r>
          <rPr>
            <b/>
            <sz val="9"/>
            <color indexed="81"/>
            <rFont val="Tahoma"/>
            <family val="2"/>
          </rPr>
          <t>bijnensa:</t>
        </r>
        <r>
          <rPr>
            <sz val="9"/>
            <color indexed="81"/>
            <rFont val="Tahoma"/>
            <family val="2"/>
          </rPr>
          <t xml:space="preserve">
Sewerage charges shown include surface water drainage charges.</t>
        </r>
      </text>
    </comment>
    <comment ref="N282" authorId="1" shapeId="0">
      <text>
        <r>
          <rPr>
            <b/>
            <sz val="9"/>
            <color indexed="81"/>
            <rFont val="Tahoma"/>
            <family val="2"/>
          </rPr>
          <t>bijnensa:</t>
        </r>
        <r>
          <rPr>
            <sz val="9"/>
            <color indexed="81"/>
            <rFont val="Tahoma"/>
            <family val="2"/>
          </rPr>
          <t xml:space="preserve">
Sewerage charges shown include surface water drainage charges.</t>
        </r>
      </text>
    </comment>
    <comment ref="A290" authorId="0" shapeId="0">
      <text>
        <r>
          <rPr>
            <b/>
            <sz val="9"/>
            <color indexed="81"/>
            <rFont val="Tahoma"/>
            <family val="2"/>
          </rPr>
          <t>Ann Bijnens:</t>
        </r>
        <r>
          <rPr>
            <sz val="9"/>
            <color indexed="81"/>
            <rFont val="Tahoma"/>
            <family val="2"/>
          </rPr>
          <t xml:space="preserve">
- FIXED CHARGES FOR DOMESTIC CUSTOMERS.
- SEWERAGE CHARGE FOR DOMESTIC CUSTOMERS IS 20%OF WATER BILL FOR; MWSC, NWSC, &amp; 30% for LWSC&amp;KWSC 40% NWWSC &amp; KWSC .
- Other charges: SANITATION SURCHARGE AT 2.5% OF WATER BILL, EXCEPT FOR NKANA WSC (NWSC) AT 3%.</t>
        </r>
      </text>
    </comment>
    <comment ref="B290" authorId="0" shapeId="0">
      <text>
        <r>
          <rPr>
            <b/>
            <sz val="9"/>
            <color indexed="81"/>
            <rFont val="Tahoma"/>
            <family val="2"/>
          </rPr>
          <t>Ann Bijnens:</t>
        </r>
        <r>
          <rPr>
            <sz val="9"/>
            <color indexed="81"/>
            <rFont val="Tahoma"/>
            <family val="2"/>
          </rPr>
          <t xml:space="preserve">
LWSC = Lusaka Water &amp; Sewerage Company</t>
        </r>
      </text>
    </comment>
    <comment ref="G290" authorId="0" shapeId="0">
      <text>
        <r>
          <rPr>
            <b/>
            <sz val="9"/>
            <color indexed="81"/>
            <rFont val="Tahoma"/>
            <family val="2"/>
          </rPr>
          <t>Ann Bijnens:</t>
        </r>
        <r>
          <rPr>
            <sz val="9"/>
            <color indexed="81"/>
            <rFont val="Tahoma"/>
            <family val="2"/>
          </rPr>
          <t xml:space="preserve">
- FIXED CHARGES FOR DOMESTIC CUSTOMERS.
- SEWERAGE CHARGE FOR DOMESTIC CUSTOMERS IS 20%OF WATER BILL FOR; MWSC, NWSC, &amp; 30% for LWSC&amp;KWSC 40% NWWSC &amp; KWSC .
- Other charges: SANITATION SURCHARGE AT 2.5% OF WATER BILL, EXCEPT FOR NKANA WSC (NWSC) AT 3%.</t>
        </r>
      </text>
    </comment>
    <comment ref="H290" authorId="0" shapeId="0">
      <text>
        <r>
          <rPr>
            <b/>
            <sz val="9"/>
            <color indexed="81"/>
            <rFont val="Tahoma"/>
            <family val="2"/>
          </rPr>
          <t>Ann Bijnens:</t>
        </r>
        <r>
          <rPr>
            <sz val="9"/>
            <color indexed="81"/>
            <rFont val="Tahoma"/>
            <family val="2"/>
          </rPr>
          <t xml:space="preserve">
LWSC = Lusaka Water &amp; Sewerage Company</t>
        </r>
      </text>
    </comment>
    <comment ref="AM290" authorId="0" shapeId="0">
      <text>
        <r>
          <rPr>
            <b/>
            <sz val="9"/>
            <color indexed="81"/>
            <rFont val="Tahoma"/>
            <family val="2"/>
          </rPr>
          <t>Ann Bijnens:</t>
        </r>
        <r>
          <rPr>
            <sz val="9"/>
            <color indexed="81"/>
            <rFont val="Tahoma"/>
            <family val="2"/>
          </rPr>
          <t xml:space="preserve">
fixed charges for service = meter charges</t>
        </r>
      </text>
    </comment>
    <comment ref="AN290" authorId="0" shapeId="0">
      <text>
        <r>
          <rPr>
            <b/>
            <sz val="9"/>
            <color indexed="81"/>
            <rFont val="Tahoma"/>
            <family val="2"/>
          </rPr>
          <t>Ann Bijnens:</t>
        </r>
        <r>
          <rPr>
            <sz val="9"/>
            <color indexed="81"/>
            <rFont val="Tahoma"/>
            <family val="2"/>
          </rPr>
          <t xml:space="preserve">
sanitation surcharges which are a percentage of the water bill</t>
        </r>
      </text>
    </comment>
    <comment ref="B291" authorId="0" shapeId="0">
      <text>
        <r>
          <rPr>
            <b/>
            <sz val="9"/>
            <color indexed="81"/>
            <rFont val="Tahoma"/>
            <family val="2"/>
          </rPr>
          <t>Ann Bijnens:</t>
        </r>
        <r>
          <rPr>
            <sz val="9"/>
            <color indexed="81"/>
            <rFont val="Tahoma"/>
            <family val="2"/>
          </rPr>
          <t xml:space="preserve">
KWSC = Kafubu Water and Sewerage Company</t>
        </r>
      </text>
    </comment>
    <comment ref="H291" authorId="0" shapeId="0">
      <text>
        <r>
          <rPr>
            <b/>
            <sz val="9"/>
            <color indexed="81"/>
            <rFont val="Tahoma"/>
            <family val="2"/>
          </rPr>
          <t>Ann Bijnens:</t>
        </r>
        <r>
          <rPr>
            <sz val="9"/>
            <color indexed="81"/>
            <rFont val="Tahoma"/>
            <family val="2"/>
          </rPr>
          <t xml:space="preserve">
KWSC = Kafubu Water and Sewerage Company</t>
        </r>
      </text>
    </comment>
    <comment ref="AM291" authorId="0" shapeId="0">
      <text>
        <r>
          <rPr>
            <b/>
            <sz val="9"/>
            <color indexed="81"/>
            <rFont val="Tahoma"/>
            <family val="2"/>
          </rPr>
          <t>Ann Bijnens:</t>
        </r>
        <r>
          <rPr>
            <sz val="9"/>
            <color indexed="81"/>
            <rFont val="Tahoma"/>
            <family val="2"/>
          </rPr>
          <t xml:space="preserve">
fixed charges for service = meter charges</t>
        </r>
      </text>
    </comment>
    <comment ref="AN291" authorId="0" shapeId="0">
      <text>
        <r>
          <rPr>
            <b/>
            <sz val="9"/>
            <color indexed="81"/>
            <rFont val="Tahoma"/>
            <family val="2"/>
          </rPr>
          <t>Ann Bijnens:</t>
        </r>
        <r>
          <rPr>
            <sz val="9"/>
            <color indexed="81"/>
            <rFont val="Tahoma"/>
            <family val="2"/>
          </rPr>
          <t xml:space="preserve">
sanitation surcharges which are a percentage of the water bill</t>
        </r>
      </text>
    </comment>
    <comment ref="B292" authorId="0" shapeId="0">
      <text>
        <r>
          <rPr>
            <b/>
            <sz val="9"/>
            <color indexed="81"/>
            <rFont val="Tahoma"/>
            <family val="2"/>
          </rPr>
          <t>Ann Bijnens:</t>
        </r>
        <r>
          <rPr>
            <sz val="9"/>
            <color indexed="81"/>
            <rFont val="Tahoma"/>
            <family val="2"/>
          </rPr>
          <t xml:space="preserve">
MWSC = Mulonga Water and Sewerage Company</t>
        </r>
      </text>
    </comment>
    <comment ref="H292" authorId="0" shapeId="0">
      <text>
        <r>
          <rPr>
            <b/>
            <sz val="9"/>
            <color indexed="81"/>
            <rFont val="Tahoma"/>
            <family val="2"/>
          </rPr>
          <t>Ann Bijnens:</t>
        </r>
        <r>
          <rPr>
            <sz val="9"/>
            <color indexed="81"/>
            <rFont val="Tahoma"/>
            <family val="2"/>
          </rPr>
          <t xml:space="preserve">
MWSC = Mulonga Water and Sewerage Company</t>
        </r>
      </text>
    </comment>
    <comment ref="AM292" authorId="0" shapeId="0">
      <text>
        <r>
          <rPr>
            <b/>
            <sz val="9"/>
            <color indexed="81"/>
            <rFont val="Tahoma"/>
            <family val="2"/>
          </rPr>
          <t>Ann Bijnens:</t>
        </r>
        <r>
          <rPr>
            <sz val="9"/>
            <color indexed="81"/>
            <rFont val="Tahoma"/>
            <family val="2"/>
          </rPr>
          <t xml:space="preserve">
fixed charges for service = meter charges</t>
        </r>
      </text>
    </comment>
    <comment ref="AN292" authorId="0" shapeId="0">
      <text>
        <r>
          <rPr>
            <b/>
            <sz val="9"/>
            <color indexed="81"/>
            <rFont val="Tahoma"/>
            <family val="2"/>
          </rPr>
          <t>Ann Bijnens:</t>
        </r>
        <r>
          <rPr>
            <sz val="9"/>
            <color indexed="81"/>
            <rFont val="Tahoma"/>
            <family val="2"/>
          </rPr>
          <t xml:space="preserve">
sanitation surcharges which are a percentage of the water bill</t>
        </r>
      </text>
    </comment>
    <comment ref="B293" authorId="0" shapeId="0">
      <text>
        <r>
          <rPr>
            <b/>
            <sz val="9"/>
            <color indexed="81"/>
            <rFont val="Tahoma"/>
            <family val="2"/>
          </rPr>
          <t>Ann Bijnens:</t>
        </r>
        <r>
          <rPr>
            <sz val="9"/>
            <color indexed="81"/>
            <rFont val="Tahoma"/>
            <family val="2"/>
          </rPr>
          <t xml:space="preserve">
NWWSSC = North Western Water Supply and Sewerage Company</t>
        </r>
      </text>
    </comment>
    <comment ref="H293" authorId="0" shapeId="0">
      <text>
        <r>
          <rPr>
            <b/>
            <sz val="9"/>
            <color indexed="81"/>
            <rFont val="Tahoma"/>
            <family val="2"/>
          </rPr>
          <t>Ann Bijnens:</t>
        </r>
        <r>
          <rPr>
            <sz val="9"/>
            <color indexed="81"/>
            <rFont val="Tahoma"/>
            <family val="2"/>
          </rPr>
          <t xml:space="preserve">
NWWSSC = North Western Water Supply and Sewerage Company</t>
        </r>
      </text>
    </comment>
    <comment ref="AM293" authorId="0" shapeId="0">
      <text>
        <r>
          <rPr>
            <b/>
            <sz val="9"/>
            <color indexed="81"/>
            <rFont val="Tahoma"/>
            <family val="2"/>
          </rPr>
          <t>Ann Bijnens:</t>
        </r>
        <r>
          <rPr>
            <sz val="9"/>
            <color indexed="81"/>
            <rFont val="Tahoma"/>
            <family val="2"/>
          </rPr>
          <t xml:space="preserve">
fixed charges for service = meter charges</t>
        </r>
      </text>
    </comment>
    <comment ref="E393" authorId="0" shapeId="0">
      <text>
        <r>
          <rPr>
            <b/>
            <sz val="9"/>
            <color indexed="81"/>
            <rFont val="Tahoma"/>
            <family val="2"/>
          </rPr>
          <t>Ann Bijnens:</t>
        </r>
        <r>
          <rPr>
            <sz val="9"/>
            <color indexed="81"/>
            <rFont val="Tahoma"/>
            <family val="2"/>
          </rPr>
          <t xml:space="preserve">
Increasing block tariff at €1.3965/m3 up to 33m3/person/annum and €5.1395/m3 above 33m3/person/annum. Assume water consumption spread evenly over the year.</t>
        </r>
      </text>
    </comment>
    <comment ref="K393" authorId="0" shapeId="0">
      <text>
        <r>
          <rPr>
            <b/>
            <sz val="9"/>
            <color indexed="81"/>
            <rFont val="Tahoma"/>
            <family val="2"/>
          </rPr>
          <t>Ann Bijnens:</t>
        </r>
        <r>
          <rPr>
            <sz val="9"/>
            <color indexed="81"/>
            <rFont val="Tahoma"/>
            <family val="2"/>
          </rPr>
          <t xml:space="preserve">
rates incorporate sewerage contribution</t>
        </r>
      </text>
    </comment>
    <comment ref="O400" authorId="1" shapeId="0">
      <text>
        <r>
          <rPr>
            <b/>
            <sz val="9"/>
            <color indexed="81"/>
            <rFont val="Tahoma"/>
            <family val="2"/>
          </rPr>
          <t>bijnensa:</t>
        </r>
        <r>
          <rPr>
            <sz val="9"/>
            <color indexed="81"/>
            <rFont val="Tahoma"/>
            <family val="2"/>
          </rPr>
          <t xml:space="preserve">
other charges: tap water tax</t>
        </r>
      </text>
    </comment>
    <comment ref="F401" authorId="1" shapeId="0">
      <text>
        <r>
          <rPr>
            <b/>
            <sz val="9"/>
            <color indexed="81"/>
            <rFont val="Tahoma"/>
            <family val="2"/>
          </rPr>
          <t>bijnensa:</t>
        </r>
        <r>
          <rPr>
            <sz val="9"/>
            <color indexed="81"/>
            <rFont val="Tahoma"/>
            <family val="2"/>
          </rPr>
          <t xml:space="preserve">
distribution and concession reimbursements ("precario")</t>
        </r>
      </text>
    </comment>
    <comment ref="O401" authorId="1" shapeId="0">
      <text>
        <r>
          <rPr>
            <b/>
            <sz val="9"/>
            <color indexed="81"/>
            <rFont val="Tahoma"/>
            <family val="2"/>
          </rPr>
          <t>bijnensa:</t>
        </r>
        <r>
          <rPr>
            <sz val="9"/>
            <color indexed="81"/>
            <rFont val="Tahoma"/>
            <family val="2"/>
          </rPr>
          <t xml:space="preserve">
other charges: tap water tax</t>
        </r>
      </text>
    </comment>
    <comment ref="F402" authorId="1" shapeId="0">
      <text>
        <r>
          <rPr>
            <b/>
            <sz val="9"/>
            <color indexed="81"/>
            <rFont val="Tahoma"/>
            <family val="2"/>
          </rPr>
          <t>bijnensa:</t>
        </r>
        <r>
          <rPr>
            <sz val="9"/>
            <color indexed="81"/>
            <rFont val="Tahoma"/>
            <family val="2"/>
          </rPr>
          <t xml:space="preserve">
distribution and concession reimbursements ("precario")</t>
        </r>
      </text>
    </comment>
    <comment ref="O402" authorId="1" shapeId="0">
      <text>
        <r>
          <rPr>
            <b/>
            <sz val="9"/>
            <color indexed="81"/>
            <rFont val="Tahoma"/>
            <family val="2"/>
          </rPr>
          <t>bijnensa:</t>
        </r>
        <r>
          <rPr>
            <sz val="9"/>
            <color indexed="81"/>
            <rFont val="Tahoma"/>
            <family val="2"/>
          </rPr>
          <t xml:space="preserve">
other charges: tap water tax</t>
        </r>
      </text>
    </comment>
    <comment ref="O403" authorId="1" shapeId="0">
      <text>
        <r>
          <rPr>
            <b/>
            <sz val="9"/>
            <color indexed="81"/>
            <rFont val="Tahoma"/>
            <family val="2"/>
          </rPr>
          <t>bijnensa:</t>
        </r>
        <r>
          <rPr>
            <sz val="9"/>
            <color indexed="81"/>
            <rFont val="Tahoma"/>
            <family val="2"/>
          </rPr>
          <t xml:space="preserve">
other charges: tap water tax</t>
        </r>
      </text>
    </comment>
    <comment ref="O404" authorId="1" shapeId="0">
      <text>
        <r>
          <rPr>
            <b/>
            <sz val="9"/>
            <color indexed="81"/>
            <rFont val="Tahoma"/>
            <family val="2"/>
          </rPr>
          <t>bijnensa:</t>
        </r>
        <r>
          <rPr>
            <sz val="9"/>
            <color indexed="81"/>
            <rFont val="Tahoma"/>
            <family val="2"/>
          </rPr>
          <t xml:space="preserve">
other charges: tap water tax</t>
        </r>
      </text>
    </comment>
    <comment ref="O477" authorId="0" shapeId="0">
      <text>
        <r>
          <rPr>
            <b/>
            <sz val="9"/>
            <color indexed="81"/>
            <rFont val="Tahoma"/>
            <family val="2"/>
          </rPr>
          <t>Ann Bijnens:</t>
        </r>
        <r>
          <rPr>
            <sz val="9"/>
            <color indexed="81"/>
            <rFont val="Tahoma"/>
            <family val="2"/>
          </rPr>
          <t xml:space="preserve">
charges 2017: environmental cleaning tax</t>
        </r>
      </text>
    </comment>
    <comment ref="F478" authorId="0" shapeId="0">
      <text>
        <r>
          <rPr>
            <b/>
            <sz val="9"/>
            <color indexed="81"/>
            <rFont val="Tahoma"/>
            <family val="2"/>
          </rPr>
          <t>Ann Bijnens:</t>
        </r>
        <r>
          <rPr>
            <sz val="9"/>
            <color indexed="81"/>
            <rFont val="Tahoma"/>
            <family val="2"/>
          </rPr>
          <t xml:space="preserve">
charges 2017: maintenance cost</t>
        </r>
      </text>
    </comment>
    <comment ref="O478" authorId="0" shapeId="0">
      <text>
        <r>
          <rPr>
            <b/>
            <sz val="9"/>
            <color indexed="81"/>
            <rFont val="Tahoma"/>
            <family val="2"/>
          </rPr>
          <t>Ann Bijnens:</t>
        </r>
        <r>
          <rPr>
            <sz val="9"/>
            <color indexed="81"/>
            <rFont val="Tahoma"/>
            <family val="2"/>
          </rPr>
          <t xml:space="preserve">
charges 2017: environmental cleaning tax</t>
        </r>
      </text>
    </comment>
    <comment ref="O479" authorId="0" shapeId="0">
      <text>
        <r>
          <rPr>
            <b/>
            <sz val="9"/>
            <color indexed="81"/>
            <rFont val="Tahoma"/>
            <family val="2"/>
          </rPr>
          <t>Ann Bijnens:</t>
        </r>
        <r>
          <rPr>
            <sz val="9"/>
            <color indexed="81"/>
            <rFont val="Tahoma"/>
            <family val="2"/>
          </rPr>
          <t xml:space="preserve">
charges 2017: environmental cleaning tax</t>
        </r>
      </text>
    </comment>
    <comment ref="K484" authorId="1" shapeId="0">
      <text>
        <r>
          <rPr>
            <b/>
            <sz val="9"/>
            <color indexed="81"/>
            <rFont val="Tahoma"/>
            <family val="2"/>
          </rPr>
          <t>bijnensa:</t>
        </r>
        <r>
          <rPr>
            <sz val="9"/>
            <color indexed="81"/>
            <rFont val="Tahoma"/>
            <family val="2"/>
          </rPr>
          <t xml:space="preserve">
Sewerage charges shown include surface water drainage charges. Households in Birmingham pay for their surface water drainage either through a fixed charge based on property type or a charge based on the rateable value. The figures presented assume a 'zone 4' bill based on a property with a rateable value of £200 as an example.</t>
        </r>
      </text>
    </comment>
    <comment ref="K485" authorId="1" shapeId="0">
      <text>
        <r>
          <rPr>
            <b/>
            <sz val="9"/>
            <color indexed="81"/>
            <rFont val="Tahoma"/>
            <family val="2"/>
          </rPr>
          <t>bijnensa:</t>
        </r>
        <r>
          <rPr>
            <sz val="9"/>
            <color indexed="81"/>
            <rFont val="Tahoma"/>
            <family val="2"/>
          </rPr>
          <t xml:space="preserve">
Sewerage charges shown include surface water drainage charges.</t>
        </r>
      </text>
    </comment>
    <comment ref="K486" authorId="1" shapeId="0">
      <text>
        <r>
          <rPr>
            <b/>
            <sz val="9"/>
            <color indexed="81"/>
            <rFont val="Tahoma"/>
            <family val="2"/>
          </rPr>
          <t>bijnensa:</t>
        </r>
        <r>
          <rPr>
            <sz val="9"/>
            <color indexed="81"/>
            <rFont val="Tahoma"/>
            <family val="2"/>
          </rPr>
          <t xml:space="preserve">
Sewerage charges shown include surface water drainage charges.</t>
        </r>
      </text>
    </comment>
    <comment ref="K487" authorId="1" shapeId="0">
      <text>
        <r>
          <rPr>
            <b/>
            <sz val="9"/>
            <color indexed="81"/>
            <rFont val="Tahoma"/>
            <family val="2"/>
          </rPr>
          <t>bijnensa:</t>
        </r>
        <r>
          <rPr>
            <sz val="9"/>
            <color indexed="81"/>
            <rFont val="Tahoma"/>
            <family val="2"/>
          </rPr>
          <t xml:space="preserve">
Sewerage charges shown include surface water drainage charges.</t>
        </r>
      </text>
    </comment>
    <comment ref="K488" authorId="1" shapeId="0">
      <text>
        <r>
          <rPr>
            <b/>
            <sz val="9"/>
            <color indexed="81"/>
            <rFont val="Tahoma"/>
            <family val="2"/>
          </rPr>
          <t>bijnensa:</t>
        </r>
        <r>
          <rPr>
            <sz val="9"/>
            <color indexed="81"/>
            <rFont val="Tahoma"/>
            <family val="2"/>
          </rPr>
          <t xml:space="preserve">
Sewerage charges shown include surface water drainage charges.</t>
        </r>
      </text>
    </comment>
    <comment ref="E593" authorId="0" shapeId="0">
      <text>
        <r>
          <rPr>
            <b/>
            <sz val="9"/>
            <color indexed="81"/>
            <rFont val="Tahoma"/>
            <family val="2"/>
          </rPr>
          <t>Ann Bijnens:</t>
        </r>
        <r>
          <rPr>
            <sz val="9"/>
            <color indexed="81"/>
            <rFont val="Tahoma"/>
            <family val="2"/>
          </rPr>
          <t xml:space="preserve">
charges 2017: maintenance cost</t>
        </r>
      </text>
    </comment>
    <comment ref="E619" authorId="1" shapeId="0">
      <text>
        <r>
          <rPr>
            <b/>
            <sz val="9"/>
            <color indexed="81"/>
            <rFont val="Tahoma"/>
            <family val="2"/>
          </rPr>
          <t>bijnensa:</t>
        </r>
        <r>
          <rPr>
            <sz val="9"/>
            <color indexed="81"/>
            <rFont val="Tahoma"/>
            <family val="2"/>
          </rPr>
          <t xml:space="preserve">
distribution and concession reimbursements ("precario")</t>
        </r>
      </text>
    </comment>
    <comment ref="E638" authorId="1" shapeId="0">
      <text>
        <r>
          <rPr>
            <b/>
            <sz val="9"/>
            <color indexed="81"/>
            <rFont val="Tahoma"/>
            <family val="2"/>
          </rPr>
          <t>bijnensa:</t>
        </r>
        <r>
          <rPr>
            <sz val="9"/>
            <color indexed="81"/>
            <rFont val="Tahoma"/>
            <family val="2"/>
          </rPr>
          <t xml:space="preserve">
distribution and concession reimbursements ("precario")</t>
        </r>
      </text>
    </comment>
    <comment ref="D646" authorId="0" shapeId="0">
      <text>
        <r>
          <rPr>
            <b/>
            <sz val="9"/>
            <color indexed="81"/>
            <rFont val="Tahoma"/>
            <family val="2"/>
          </rPr>
          <t>Ann Bijnens:</t>
        </r>
        <r>
          <rPr>
            <sz val="9"/>
            <color indexed="81"/>
            <rFont val="Tahoma"/>
            <family val="2"/>
          </rPr>
          <t xml:space="preserve">
Increasing block tariff at €1.3965/m3 up to 33m3/person/annum and €5.1395/m3 above 33m3/person/annum. Assume water consumption spread evenly over the year.</t>
        </r>
      </text>
    </comment>
  </commentList>
</comments>
</file>

<file path=xl/comments15.xml><?xml version="1.0" encoding="utf-8"?>
<comments xmlns="http://schemas.openxmlformats.org/spreadsheetml/2006/main">
  <authors>
    <author>bijnensa</author>
    <author>Ann Bijnens</author>
  </authors>
  <commentList>
    <comment ref="C7" authorId="0" shapeId="0">
      <text>
        <r>
          <rPr>
            <b/>
            <sz val="9"/>
            <color indexed="81"/>
            <rFont val="Tahoma"/>
            <family val="2"/>
          </rPr>
          <t>bijnensa:</t>
        </r>
        <r>
          <rPr>
            <sz val="9"/>
            <color indexed="81"/>
            <rFont val="Tahoma"/>
            <family val="2"/>
          </rPr>
          <t xml:space="preserve">
the average bill for residential (domestic) users. Total annual water bill for 100 m³ and 200 m³ is the same because 88% of users are unmetered. This percentage is even bigger for residential users.</t>
        </r>
      </text>
    </comment>
    <comment ref="A82" authorId="1" shapeId="0">
      <text>
        <r>
          <rPr>
            <b/>
            <sz val="9"/>
            <color indexed="81"/>
            <rFont val="Tahoma"/>
            <family val="2"/>
          </rPr>
          <t>Ann Bijnens:</t>
        </r>
        <r>
          <rPr>
            <sz val="9"/>
            <color indexed="81"/>
            <rFont val="Tahoma"/>
            <family val="2"/>
          </rPr>
          <t xml:space="preserve">
charges 2015: VAT of 5% on drinking water and VAT of 10% on sewerage and waste water components </t>
        </r>
      </text>
    </comment>
    <comment ref="D132" authorId="0" shapeId="0">
      <text>
        <r>
          <rPr>
            <b/>
            <sz val="9"/>
            <color indexed="81"/>
            <rFont val="Tahoma"/>
            <family val="2"/>
          </rPr>
          <t>bijnensa:</t>
        </r>
        <r>
          <rPr>
            <sz val="9"/>
            <color indexed="81"/>
            <rFont val="Tahoma"/>
            <family val="2"/>
          </rPr>
          <t xml:space="preserve">
laatst gekende GDP van jaar 2013</t>
        </r>
      </text>
    </comment>
    <comment ref="A134" authorId="1" shapeId="0">
      <text>
        <r>
          <rPr>
            <b/>
            <sz val="9"/>
            <color indexed="81"/>
            <rFont val="Tahoma"/>
            <family val="2"/>
          </rPr>
          <t xml:space="preserve">Ann Bijnens:
</t>
        </r>
        <r>
          <rPr>
            <sz val="9"/>
            <color indexed="81"/>
            <rFont val="Tahoma"/>
            <family val="2"/>
          </rPr>
          <t>There are no regional differences in water rates</t>
        </r>
      </text>
    </comment>
    <comment ref="G134" authorId="1" shapeId="0">
      <text>
        <r>
          <rPr>
            <b/>
            <sz val="9"/>
            <color indexed="81"/>
            <rFont val="Tahoma"/>
            <family val="2"/>
          </rPr>
          <t>Ann Bijnens:</t>
        </r>
        <r>
          <rPr>
            <sz val="9"/>
            <color indexed="81"/>
            <rFont val="Tahoma"/>
            <family val="2"/>
          </rPr>
          <t xml:space="preserve">
Increasing block tariff at €1.3965/m3 up to 33m3/person/annum and €5.1395/m3 above 33m3/person/annum. Assume water consumption spread evenly over the year.</t>
        </r>
      </text>
    </comment>
    <comment ref="J134" authorId="1" shapeId="0">
      <text>
        <r>
          <rPr>
            <b/>
            <sz val="9"/>
            <color indexed="81"/>
            <rFont val="Tahoma"/>
            <family val="2"/>
          </rPr>
          <t>Ann Bijnens:</t>
        </r>
        <r>
          <rPr>
            <sz val="9"/>
            <color indexed="81"/>
            <rFont val="Tahoma"/>
            <family val="2"/>
          </rPr>
          <t xml:space="preserve">
rates incorporate sewerage contribution</t>
        </r>
      </text>
    </comment>
    <comment ref="N147" authorId="0" shapeId="0">
      <text>
        <r>
          <rPr>
            <b/>
            <sz val="9"/>
            <color indexed="81"/>
            <rFont val="Tahoma"/>
            <family val="2"/>
          </rPr>
          <t>bijnensa:</t>
        </r>
        <r>
          <rPr>
            <sz val="9"/>
            <color indexed="81"/>
            <rFont val="Tahoma"/>
            <family val="2"/>
          </rPr>
          <t xml:space="preserve">
other charges: tap water tax</t>
        </r>
      </text>
    </comment>
    <comment ref="H148" authorId="0" shapeId="0">
      <text>
        <r>
          <rPr>
            <b/>
            <sz val="9"/>
            <color indexed="81"/>
            <rFont val="Tahoma"/>
            <family val="2"/>
          </rPr>
          <t>bijnensa:</t>
        </r>
        <r>
          <rPr>
            <sz val="9"/>
            <color indexed="81"/>
            <rFont val="Tahoma"/>
            <family val="2"/>
          </rPr>
          <t xml:space="preserve">
distribution and concession reimbursements ("precario")</t>
        </r>
      </text>
    </comment>
    <comment ref="N148" authorId="0" shapeId="0">
      <text>
        <r>
          <rPr>
            <b/>
            <sz val="9"/>
            <color indexed="81"/>
            <rFont val="Tahoma"/>
            <family val="2"/>
          </rPr>
          <t>bijnensa:</t>
        </r>
        <r>
          <rPr>
            <sz val="9"/>
            <color indexed="81"/>
            <rFont val="Tahoma"/>
            <family val="2"/>
          </rPr>
          <t xml:space="preserve">
other charges: tap water tax</t>
        </r>
      </text>
    </comment>
    <comment ref="H149" authorId="0" shapeId="0">
      <text>
        <r>
          <rPr>
            <b/>
            <sz val="9"/>
            <color indexed="81"/>
            <rFont val="Tahoma"/>
            <family val="2"/>
          </rPr>
          <t>bijnensa:</t>
        </r>
        <r>
          <rPr>
            <sz val="9"/>
            <color indexed="81"/>
            <rFont val="Tahoma"/>
            <family val="2"/>
          </rPr>
          <t xml:space="preserve">
distribution and concession reimbursements ("precario")</t>
        </r>
      </text>
    </comment>
    <comment ref="N149" authorId="0" shapeId="0">
      <text>
        <r>
          <rPr>
            <b/>
            <sz val="9"/>
            <color indexed="81"/>
            <rFont val="Tahoma"/>
            <family val="2"/>
          </rPr>
          <t>bijnensa:</t>
        </r>
        <r>
          <rPr>
            <sz val="9"/>
            <color indexed="81"/>
            <rFont val="Tahoma"/>
            <family val="2"/>
          </rPr>
          <t xml:space="preserve">
other charges: tap water tax</t>
        </r>
      </text>
    </comment>
    <comment ref="N150" authorId="0" shapeId="0">
      <text>
        <r>
          <rPr>
            <b/>
            <sz val="9"/>
            <color indexed="81"/>
            <rFont val="Tahoma"/>
            <family val="2"/>
          </rPr>
          <t>bijnensa:</t>
        </r>
        <r>
          <rPr>
            <sz val="9"/>
            <color indexed="81"/>
            <rFont val="Tahoma"/>
            <family val="2"/>
          </rPr>
          <t xml:space="preserve">
other charges: tap water tax</t>
        </r>
      </text>
    </comment>
    <comment ref="N151" authorId="0" shapeId="0">
      <text>
        <r>
          <rPr>
            <b/>
            <sz val="9"/>
            <color indexed="81"/>
            <rFont val="Tahoma"/>
            <family val="2"/>
          </rPr>
          <t>bijnensa:</t>
        </r>
        <r>
          <rPr>
            <sz val="9"/>
            <color indexed="81"/>
            <rFont val="Tahoma"/>
            <family val="2"/>
          </rPr>
          <t xml:space="preserve">
other charges: tap water tax</t>
        </r>
      </text>
    </comment>
    <comment ref="N152" authorId="0" shapeId="0">
      <text>
        <r>
          <rPr>
            <b/>
            <sz val="9"/>
            <color indexed="81"/>
            <rFont val="Tahoma"/>
            <family val="2"/>
          </rPr>
          <t>bijnensa:</t>
        </r>
        <r>
          <rPr>
            <sz val="9"/>
            <color indexed="81"/>
            <rFont val="Tahoma"/>
            <family val="2"/>
          </rPr>
          <t xml:space="preserve">
other charges: tap water tax</t>
        </r>
      </text>
    </comment>
    <comment ref="C176" authorId="1" shapeId="0">
      <text>
        <r>
          <rPr>
            <b/>
            <sz val="9"/>
            <color indexed="81"/>
            <rFont val="Tahoma"/>
            <family val="2"/>
          </rPr>
          <t>Ann Bijnens:</t>
        </r>
        <r>
          <rPr>
            <sz val="9"/>
            <color indexed="81"/>
            <rFont val="Tahoma"/>
            <family val="2"/>
          </rPr>
          <t xml:space="preserve">
charges 2015: during summer the population supplied is over 1.000.000 inhabitans due the seaside areas</t>
        </r>
      </text>
    </comment>
    <comment ref="C189" authorId="1" shapeId="0">
      <text>
        <r>
          <rPr>
            <b/>
            <sz val="9"/>
            <color indexed="81"/>
            <rFont val="Tahoma"/>
            <family val="2"/>
          </rPr>
          <t>Ann Bijnens:</t>
        </r>
        <r>
          <rPr>
            <sz val="9"/>
            <color indexed="81"/>
            <rFont val="Tahoma"/>
            <family val="2"/>
          </rPr>
          <t xml:space="preserve">
charges 2015: population data are calculated based on clients declaration. All citizen have acces to water supply and sewerage services</t>
        </r>
      </text>
    </comment>
    <comment ref="A199" authorId="1" shapeId="0">
      <text>
        <r>
          <rPr>
            <b/>
            <sz val="9"/>
            <color indexed="81"/>
            <rFont val="Tahoma"/>
            <family val="2"/>
          </rPr>
          <t>Ann Bijnens:</t>
        </r>
        <r>
          <rPr>
            <sz val="9"/>
            <color indexed="81"/>
            <rFont val="Tahoma"/>
            <family val="2"/>
          </rPr>
          <t xml:space="preserve">
In Scotland the majority of domestic properties pay their water charges based upon the rateable value of the property. The rateable value is a  value ascribed to a domestic or commercial building based on its size, location, and other factors, and is used to determine the local tax payable by its owner to the local authority. The rateable value is assigned to one of 8 bands - A to H and a property is allocated to a band, with Band A properties generally being the smallest properties.</t>
        </r>
      </text>
    </comment>
    <comment ref="K210" authorId="0" shapeId="0">
      <text>
        <r>
          <rPr>
            <b/>
            <sz val="9"/>
            <color indexed="81"/>
            <rFont val="Tahoma"/>
            <family val="2"/>
          </rPr>
          <t>bijnensa:</t>
        </r>
        <r>
          <rPr>
            <sz val="9"/>
            <color indexed="81"/>
            <rFont val="Tahoma"/>
            <family val="2"/>
          </rPr>
          <t xml:space="preserve">
water borne fee</t>
        </r>
      </text>
    </comment>
    <comment ref="N210" authorId="0" shapeId="0">
      <text>
        <r>
          <rPr>
            <b/>
            <sz val="9"/>
            <color indexed="81"/>
            <rFont val="Tahoma"/>
            <family val="2"/>
          </rPr>
          <t>bijnensa:</t>
        </r>
        <r>
          <rPr>
            <sz val="9"/>
            <color indexed="81"/>
            <rFont val="Tahoma"/>
            <family val="2"/>
          </rPr>
          <t xml:space="preserve">
sanitary appliance fee (assumed 2 fittings)</t>
        </r>
      </text>
    </comment>
    <comment ref="O210" authorId="0" shapeId="0">
      <text>
        <r>
          <rPr>
            <b/>
            <sz val="9"/>
            <color indexed="81"/>
            <rFont val="Tahoma"/>
            <family val="2"/>
          </rPr>
          <t>bijnensa:</t>
        </r>
        <r>
          <rPr>
            <sz val="9"/>
            <color indexed="81"/>
            <rFont val="Tahoma"/>
            <family val="2"/>
          </rPr>
          <t xml:space="preserve">
goods and service taxes of 7%</t>
        </r>
      </text>
    </comment>
    <comment ref="G215" authorId="0" shapeId="0">
      <text>
        <r>
          <rPr>
            <b/>
            <sz val="9"/>
            <color indexed="81"/>
            <rFont val="Tahoma"/>
            <family val="2"/>
          </rPr>
          <t>bijnensa:</t>
        </r>
        <r>
          <rPr>
            <sz val="9"/>
            <color indexed="81"/>
            <rFont val="Tahoma"/>
            <family val="2"/>
          </rPr>
          <t xml:space="preserve">
assumes the customers water consumption is equally distributed in each quarter</t>
        </r>
      </text>
    </comment>
    <comment ref="H215" authorId="0" shapeId="0">
      <text>
        <r>
          <rPr>
            <b/>
            <sz val="9"/>
            <color indexed="81"/>
            <rFont val="Tahoma"/>
            <family val="2"/>
          </rPr>
          <t>bijnensa:</t>
        </r>
        <r>
          <rPr>
            <sz val="9"/>
            <color indexed="81"/>
            <rFont val="Tahoma"/>
            <family val="2"/>
          </rPr>
          <t xml:space="preserve">
River Murray Levy</t>
        </r>
      </text>
    </comment>
    <comment ref="J215" authorId="0" shapeId="0">
      <text>
        <r>
          <rPr>
            <b/>
            <sz val="9"/>
            <color indexed="81"/>
            <rFont val="Tahoma"/>
            <family val="2"/>
          </rPr>
          <t>bijnensa:</t>
        </r>
        <r>
          <rPr>
            <sz val="9"/>
            <color indexed="81"/>
            <rFont val="Tahoma"/>
            <family val="2"/>
          </rPr>
          <t xml:space="preserve">
based on the average valued property</t>
        </r>
      </text>
    </comment>
    <comment ref="N229" authorId="0" shapeId="0">
      <text>
        <r>
          <rPr>
            <b/>
            <sz val="9"/>
            <color indexed="81"/>
            <rFont val="Tahoma"/>
            <family val="2"/>
          </rPr>
          <t>bijnensa:</t>
        </r>
        <r>
          <rPr>
            <sz val="9"/>
            <color indexed="81"/>
            <rFont val="Tahoma"/>
            <family val="2"/>
          </rPr>
          <t xml:space="preserve">
charge for stormwater (rainwater and drainage) from the houses which are let to the communities pipes for stormwater</t>
        </r>
      </text>
    </comment>
    <comment ref="N231" authorId="0" shapeId="0">
      <text>
        <r>
          <rPr>
            <b/>
            <sz val="9"/>
            <color indexed="81"/>
            <rFont val="Tahoma"/>
            <family val="2"/>
          </rPr>
          <t>bijnensa:</t>
        </r>
        <r>
          <rPr>
            <sz val="9"/>
            <color indexed="81"/>
            <rFont val="Tahoma"/>
            <family val="2"/>
          </rPr>
          <t xml:space="preserve">
charge for stormwater (rainwater and drainage) from the houses which are let to the communities pipes for stormwater</t>
        </r>
      </text>
    </comment>
    <comment ref="K246" authorId="0" shapeId="0">
      <text>
        <r>
          <rPr>
            <b/>
            <sz val="9"/>
            <color indexed="81"/>
            <rFont val="Tahoma"/>
            <family val="2"/>
          </rPr>
          <t>bijnensa:</t>
        </r>
        <r>
          <rPr>
            <sz val="9"/>
            <color indexed="81"/>
            <rFont val="Tahoma"/>
            <family val="2"/>
          </rPr>
          <t xml:space="preserve">
Sewerage charges shown include surface water drainage charges. Households in Birmingham pay for their surface water drainage either through a fixed charge based on property type or a charge based on the rateable value. The figures presented assume a 'zone 4' bill based on a property with a rateable value of £200 as an example.</t>
        </r>
      </text>
    </comment>
    <comment ref="K247" authorId="0" shapeId="0">
      <text>
        <r>
          <rPr>
            <b/>
            <sz val="9"/>
            <color indexed="81"/>
            <rFont val="Tahoma"/>
            <family val="2"/>
          </rPr>
          <t>bijnensa:</t>
        </r>
        <r>
          <rPr>
            <sz val="9"/>
            <color indexed="81"/>
            <rFont val="Tahoma"/>
            <family val="2"/>
          </rPr>
          <t xml:space="preserve">
Sewerage charges shown include surface water drainage charges.</t>
        </r>
      </text>
    </comment>
    <comment ref="K248" authorId="0" shapeId="0">
      <text>
        <r>
          <rPr>
            <b/>
            <sz val="9"/>
            <color indexed="81"/>
            <rFont val="Tahoma"/>
            <family val="2"/>
          </rPr>
          <t>bijnensa:</t>
        </r>
        <r>
          <rPr>
            <sz val="9"/>
            <color indexed="81"/>
            <rFont val="Tahoma"/>
            <family val="2"/>
          </rPr>
          <t xml:space="preserve">
Sewerage charges shown include surface water drainage charges.</t>
        </r>
      </text>
    </comment>
    <comment ref="K249" authorId="0" shapeId="0">
      <text>
        <r>
          <rPr>
            <b/>
            <sz val="9"/>
            <color indexed="81"/>
            <rFont val="Tahoma"/>
            <family val="2"/>
          </rPr>
          <t>bijnensa:</t>
        </r>
        <r>
          <rPr>
            <sz val="9"/>
            <color indexed="81"/>
            <rFont val="Tahoma"/>
            <family val="2"/>
          </rPr>
          <t xml:space="preserve">
Sewerage charges shown include surface water drainage charges.</t>
        </r>
      </text>
    </comment>
    <comment ref="K250" authorId="0" shapeId="0">
      <text>
        <r>
          <rPr>
            <b/>
            <sz val="9"/>
            <color indexed="81"/>
            <rFont val="Tahoma"/>
            <family val="2"/>
          </rPr>
          <t>bijnensa:</t>
        </r>
        <r>
          <rPr>
            <sz val="9"/>
            <color indexed="81"/>
            <rFont val="Tahoma"/>
            <family val="2"/>
          </rPr>
          <t xml:space="preserve">
Sewerage charges shown include surface water drainage charges.</t>
        </r>
      </text>
    </comment>
    <comment ref="A258" authorId="1" shapeId="0">
      <text>
        <r>
          <rPr>
            <b/>
            <sz val="9"/>
            <color indexed="81"/>
            <rFont val="Tahoma"/>
            <family val="2"/>
          </rPr>
          <t>Ann Bijnens:</t>
        </r>
        <r>
          <rPr>
            <sz val="9"/>
            <color indexed="81"/>
            <rFont val="Tahoma"/>
            <family val="2"/>
          </rPr>
          <t xml:space="preserve">
- FIXED CHARGES FOR DOMESTIC CUSTOMERS.
- SEWERAGE CHARGE FOR DOMESTIC CUSTOMERS IS 20%OF WATER BILL FOR; MWSC, NWSC, &amp; 30% for LWSC&amp;KWSC 40% NWWSC &amp; KWSC .
- Other charges: SANITATION SURCHARGE AT 2.5% OF WATER BILL, EXCEPT FOR NKANA WSC (NWSC) AT 3%.</t>
        </r>
      </text>
    </comment>
    <comment ref="C258" authorId="1" shapeId="0">
      <text>
        <r>
          <rPr>
            <b/>
            <sz val="9"/>
            <color indexed="81"/>
            <rFont val="Tahoma"/>
            <family val="2"/>
          </rPr>
          <t>Ann Bijnens:</t>
        </r>
        <r>
          <rPr>
            <sz val="9"/>
            <color indexed="81"/>
            <rFont val="Tahoma"/>
            <family val="2"/>
          </rPr>
          <t xml:space="preserve">
LWSC = Lusaka Water &amp; Sewerage Company</t>
        </r>
      </text>
    </comment>
    <comment ref="C259" authorId="1" shapeId="0">
      <text>
        <r>
          <rPr>
            <b/>
            <sz val="9"/>
            <color indexed="81"/>
            <rFont val="Tahoma"/>
            <family val="2"/>
          </rPr>
          <t>Ann Bijnens:</t>
        </r>
        <r>
          <rPr>
            <sz val="9"/>
            <color indexed="81"/>
            <rFont val="Tahoma"/>
            <family val="2"/>
          </rPr>
          <t xml:space="preserve">
KWSC = Kafubu Water and Sewerage Company</t>
        </r>
      </text>
    </comment>
    <comment ref="C260" authorId="1" shapeId="0">
      <text>
        <r>
          <rPr>
            <b/>
            <sz val="9"/>
            <color indexed="81"/>
            <rFont val="Tahoma"/>
            <family val="2"/>
          </rPr>
          <t>Ann Bijnens:</t>
        </r>
        <r>
          <rPr>
            <sz val="9"/>
            <color indexed="81"/>
            <rFont val="Tahoma"/>
            <family val="2"/>
          </rPr>
          <t xml:space="preserve">
MWSC = Mulonga Water and Sewerage Company</t>
        </r>
      </text>
    </comment>
    <comment ref="C261" authorId="1" shapeId="0">
      <text>
        <r>
          <rPr>
            <b/>
            <sz val="9"/>
            <color indexed="81"/>
            <rFont val="Tahoma"/>
            <family val="2"/>
          </rPr>
          <t>Ann Bijnens:</t>
        </r>
        <r>
          <rPr>
            <sz val="9"/>
            <color indexed="81"/>
            <rFont val="Tahoma"/>
            <family val="2"/>
          </rPr>
          <t xml:space="preserve">
NWWSSC = North Western Water Supply and Sewerage Company</t>
        </r>
      </text>
    </comment>
    <comment ref="A275" authorId="1" shapeId="0">
      <text>
        <r>
          <rPr>
            <b/>
            <sz val="9"/>
            <color indexed="81"/>
            <rFont val="Tahoma"/>
            <family val="2"/>
          </rPr>
          <t>Ann Bijnens:</t>
        </r>
        <r>
          <rPr>
            <sz val="9"/>
            <color indexed="81"/>
            <rFont val="Tahoma"/>
            <family val="2"/>
          </rPr>
          <t xml:space="preserve">
KWSC = Kafubu Water and Sewerage Company</t>
        </r>
      </text>
    </comment>
    <comment ref="A277" authorId="1" shapeId="0">
      <text>
        <r>
          <rPr>
            <b/>
            <sz val="9"/>
            <color indexed="81"/>
            <rFont val="Tahoma"/>
            <family val="2"/>
          </rPr>
          <t>Ann Bijnens:</t>
        </r>
        <r>
          <rPr>
            <sz val="9"/>
            <color indexed="81"/>
            <rFont val="Tahoma"/>
            <family val="2"/>
          </rPr>
          <t xml:space="preserve">
MWSC = Mulonga Water and Sewerage Company</t>
        </r>
      </text>
    </comment>
    <comment ref="A280" authorId="1" shapeId="0">
      <text>
        <r>
          <rPr>
            <b/>
            <sz val="9"/>
            <color indexed="81"/>
            <rFont val="Tahoma"/>
            <family val="2"/>
          </rPr>
          <t>Ann Bijnens:</t>
        </r>
        <r>
          <rPr>
            <sz val="9"/>
            <color indexed="81"/>
            <rFont val="Tahoma"/>
            <family val="2"/>
          </rPr>
          <t xml:space="preserve">
LWSC = Lusaka Water &amp; Sewerage Company</t>
        </r>
      </text>
    </comment>
    <comment ref="A292" authorId="1" shapeId="0">
      <text>
        <r>
          <rPr>
            <b/>
            <sz val="9"/>
            <color indexed="81"/>
            <rFont val="Tahoma"/>
            <family val="2"/>
          </rPr>
          <t>Ann Bijnens:</t>
        </r>
        <r>
          <rPr>
            <sz val="9"/>
            <color indexed="81"/>
            <rFont val="Tahoma"/>
            <family val="2"/>
          </rPr>
          <t xml:space="preserve">
NWWSSC = North Western Water Supply and Sewerage Company</t>
        </r>
      </text>
    </comment>
    <comment ref="A325" authorId="1" shapeId="0">
      <text>
        <r>
          <rPr>
            <b/>
            <sz val="9"/>
            <color indexed="81"/>
            <rFont val="Tahoma"/>
            <family val="2"/>
          </rPr>
          <t>Ann Bijnens:</t>
        </r>
        <r>
          <rPr>
            <sz val="9"/>
            <color indexed="81"/>
            <rFont val="Tahoma"/>
            <family val="2"/>
          </rPr>
          <t xml:space="preserve">
charges 2015: during summer the population supplied is over 1.000.000 inhabitans due the seaside areas</t>
        </r>
      </text>
    </comment>
    <comment ref="A337" authorId="1" shapeId="0">
      <text>
        <r>
          <rPr>
            <b/>
            <sz val="9"/>
            <color indexed="81"/>
            <rFont val="Tahoma"/>
            <family val="2"/>
          </rPr>
          <t>Ann Bijnens:</t>
        </r>
        <r>
          <rPr>
            <sz val="9"/>
            <color indexed="81"/>
            <rFont val="Tahoma"/>
            <family val="2"/>
          </rPr>
          <t xml:space="preserve">
charges 2015: population data are calculated based on clients declaration. All citizen have acces to water supply and sewerage services</t>
        </r>
      </text>
    </comment>
    <comment ref="E372" authorId="0" shapeId="0">
      <text>
        <r>
          <rPr>
            <b/>
            <sz val="9"/>
            <color indexed="81"/>
            <rFont val="Tahoma"/>
            <family val="2"/>
          </rPr>
          <t>bijnensa:</t>
        </r>
        <r>
          <rPr>
            <sz val="9"/>
            <color indexed="81"/>
            <rFont val="Tahoma"/>
            <family val="2"/>
          </rPr>
          <t xml:space="preserve">
distribution and concession reimbursements ("precario")</t>
        </r>
      </text>
    </comment>
    <comment ref="E389" authorId="0" shapeId="0">
      <text>
        <r>
          <rPr>
            <b/>
            <sz val="9"/>
            <color indexed="81"/>
            <rFont val="Tahoma"/>
            <family val="2"/>
          </rPr>
          <t>bijnensa:</t>
        </r>
        <r>
          <rPr>
            <sz val="9"/>
            <color indexed="81"/>
            <rFont val="Tahoma"/>
            <family val="2"/>
          </rPr>
          <t xml:space="preserve">
distribution and concession reimbursements ("precario")</t>
        </r>
      </text>
    </comment>
    <comment ref="D400" authorId="1" shapeId="0">
      <text>
        <r>
          <rPr>
            <b/>
            <sz val="9"/>
            <color indexed="81"/>
            <rFont val="Tahoma"/>
            <family val="2"/>
          </rPr>
          <t>Ann Bijnens:</t>
        </r>
        <r>
          <rPr>
            <sz val="9"/>
            <color indexed="81"/>
            <rFont val="Tahoma"/>
            <family val="2"/>
          </rPr>
          <t xml:space="preserve">
Increasing block tariff at €1.3965/m3 up to 33m3/person/annum and €5.1395/m3 above 33m3/person/annum. Assume water consumption spread evenly over the year.</t>
        </r>
      </text>
    </comment>
  </commentList>
</comments>
</file>

<file path=xl/comments16.xml><?xml version="1.0" encoding="utf-8"?>
<comments xmlns="http://schemas.openxmlformats.org/spreadsheetml/2006/main">
  <authors>
    <author>bijnensa</author>
    <author>Ann Bijnens</author>
  </authors>
  <commentList>
    <comment ref="H16" authorId="0" shapeId="0">
      <text>
        <r>
          <rPr>
            <b/>
            <sz val="9"/>
            <color indexed="81"/>
            <rFont val="Tahoma"/>
            <family val="2"/>
          </rPr>
          <t>bijnensa:</t>
        </r>
        <r>
          <rPr>
            <sz val="9"/>
            <color indexed="81"/>
            <rFont val="Tahoma"/>
            <family val="2"/>
          </rPr>
          <t xml:space="preserve">
assumes the customers water consumption is equally distributed in each quarter</t>
        </r>
      </text>
    </comment>
    <comment ref="I16" authorId="0" shapeId="0">
      <text>
        <r>
          <rPr>
            <b/>
            <sz val="9"/>
            <color indexed="81"/>
            <rFont val="Tahoma"/>
            <family val="2"/>
          </rPr>
          <t>bijnensa:</t>
        </r>
        <r>
          <rPr>
            <sz val="9"/>
            <color indexed="81"/>
            <rFont val="Tahoma"/>
            <family val="2"/>
          </rPr>
          <t xml:space="preserve">
River Murray Levy</t>
        </r>
      </text>
    </comment>
    <comment ref="L16" authorId="0" shapeId="0">
      <text>
        <r>
          <rPr>
            <b/>
            <sz val="9"/>
            <color indexed="81"/>
            <rFont val="Tahoma"/>
            <family val="2"/>
          </rPr>
          <t>bijnensa:</t>
        </r>
        <r>
          <rPr>
            <sz val="9"/>
            <color indexed="81"/>
            <rFont val="Tahoma"/>
            <family val="2"/>
          </rPr>
          <t xml:space="preserve">
based on the average valued property</t>
        </r>
      </text>
    </comment>
    <comment ref="A37" authorId="1" shapeId="0">
      <text>
        <r>
          <rPr>
            <b/>
            <sz val="9"/>
            <color indexed="81"/>
            <rFont val="Tahoma"/>
            <family val="2"/>
          </rPr>
          <t>Ann Bijnens:</t>
        </r>
        <r>
          <rPr>
            <sz val="9"/>
            <color indexed="81"/>
            <rFont val="Tahoma"/>
            <family val="2"/>
          </rPr>
          <t xml:space="preserve">
charges of 2015:
Source: SNIS - National System of Information on Water and Sanitation    Reference Year - 2015 - Last Edition published                                                           SABESP - Water Utility of São Paulo State with full concession of Water and Sanitation Services in 368 Municipalities of São Paulo Stae, deserving around 27,9 millioon inhabitants.                                                                                                                                                                                      BRASÍLIA - The Federal District is deserved in water and sanitation by CAESB, the local water utility.  CAESB deserves about 2,59 million inhabitants.</t>
        </r>
      </text>
    </comment>
    <comment ref="A45" authorId="1" shapeId="0">
      <text>
        <r>
          <rPr>
            <b/>
            <sz val="9"/>
            <color indexed="81"/>
            <rFont val="Tahoma"/>
            <family val="2"/>
          </rPr>
          <t>Ann Bijnens:</t>
        </r>
        <r>
          <rPr>
            <sz val="9"/>
            <color indexed="81"/>
            <rFont val="Tahoma"/>
            <family val="2"/>
          </rPr>
          <t xml:space="preserve">
charges of 2017:
Tariffs for 3 services (water supply, sewerage and waste water treatment are billed per m3 consumed. No fix or variable components are applied. VAT is 20%.
Tariffs in Sofia and Burgas are established in 2017, in Pleven and Razgrad in 2016, and in Stara Zagora in 2012</t>
        </r>
      </text>
    </comment>
    <comment ref="A143" authorId="1" shapeId="0">
      <text>
        <r>
          <rPr>
            <b/>
            <sz val="9"/>
            <color indexed="81"/>
            <rFont val="Tahoma"/>
            <family val="2"/>
          </rPr>
          <t xml:space="preserve">Ann Bijnens:
</t>
        </r>
        <r>
          <rPr>
            <sz val="9"/>
            <color indexed="81"/>
            <rFont val="Tahoma"/>
            <family val="2"/>
          </rPr>
          <t>There are no regional differences in water rates</t>
        </r>
      </text>
    </comment>
    <comment ref="H143" authorId="1" shapeId="0">
      <text>
        <r>
          <rPr>
            <b/>
            <sz val="9"/>
            <color indexed="81"/>
            <rFont val="Tahoma"/>
            <family val="2"/>
          </rPr>
          <t>Ann Bijnens:</t>
        </r>
        <r>
          <rPr>
            <sz val="9"/>
            <color indexed="81"/>
            <rFont val="Tahoma"/>
            <family val="2"/>
          </rPr>
          <t xml:space="preserve">
Increasing block tariff at €1.3965/m3 up to 33m3/person/annum and €5.1395/m3 above 33m3/person/annum. Assume water consumption spread evenly over the year.</t>
        </r>
      </text>
    </comment>
    <comment ref="N143" authorId="1" shapeId="0">
      <text>
        <r>
          <rPr>
            <b/>
            <sz val="9"/>
            <color indexed="81"/>
            <rFont val="Tahoma"/>
            <family val="2"/>
          </rPr>
          <t>Ann Bijnens:</t>
        </r>
        <r>
          <rPr>
            <sz val="9"/>
            <color indexed="81"/>
            <rFont val="Tahoma"/>
            <family val="2"/>
          </rPr>
          <t xml:space="preserve">
rates incorporate sewerage contribution</t>
        </r>
      </text>
    </comment>
    <comment ref="P157" authorId="0" shapeId="0">
      <text>
        <r>
          <rPr>
            <b/>
            <sz val="9"/>
            <color indexed="81"/>
            <rFont val="Tahoma"/>
            <family val="2"/>
          </rPr>
          <t>bijnensa:</t>
        </r>
        <r>
          <rPr>
            <sz val="9"/>
            <color indexed="81"/>
            <rFont val="Tahoma"/>
            <family val="2"/>
          </rPr>
          <t xml:space="preserve">
other charges: tap water tax</t>
        </r>
      </text>
    </comment>
    <comment ref="I158" authorId="0" shapeId="0">
      <text>
        <r>
          <rPr>
            <b/>
            <sz val="9"/>
            <color indexed="81"/>
            <rFont val="Tahoma"/>
            <family val="2"/>
          </rPr>
          <t>bijnensa:</t>
        </r>
        <r>
          <rPr>
            <sz val="9"/>
            <color indexed="81"/>
            <rFont val="Tahoma"/>
            <family val="2"/>
          </rPr>
          <t xml:space="preserve">
distribution and concession reimbursements ("precario")</t>
        </r>
      </text>
    </comment>
    <comment ref="P158" authorId="0" shapeId="0">
      <text>
        <r>
          <rPr>
            <b/>
            <sz val="9"/>
            <color indexed="81"/>
            <rFont val="Tahoma"/>
            <family val="2"/>
          </rPr>
          <t>bijnensa:</t>
        </r>
        <r>
          <rPr>
            <sz val="9"/>
            <color indexed="81"/>
            <rFont val="Tahoma"/>
            <family val="2"/>
          </rPr>
          <t xml:space="preserve">
other charges: tap water tax</t>
        </r>
      </text>
    </comment>
    <comment ref="I159" authorId="0" shapeId="0">
      <text>
        <r>
          <rPr>
            <b/>
            <sz val="9"/>
            <color indexed="81"/>
            <rFont val="Tahoma"/>
            <family val="2"/>
          </rPr>
          <t>bijnensa:</t>
        </r>
        <r>
          <rPr>
            <sz val="9"/>
            <color indexed="81"/>
            <rFont val="Tahoma"/>
            <family val="2"/>
          </rPr>
          <t xml:space="preserve">
distribution and concession reimbursements ("precario")</t>
        </r>
      </text>
    </comment>
    <comment ref="P159" authorId="0" shapeId="0">
      <text>
        <r>
          <rPr>
            <b/>
            <sz val="9"/>
            <color indexed="81"/>
            <rFont val="Tahoma"/>
            <family val="2"/>
          </rPr>
          <t>bijnensa:</t>
        </r>
        <r>
          <rPr>
            <sz val="9"/>
            <color indexed="81"/>
            <rFont val="Tahoma"/>
            <family val="2"/>
          </rPr>
          <t xml:space="preserve">
other charges: tap water tax</t>
        </r>
      </text>
    </comment>
    <comment ref="P160" authorId="0" shapeId="0">
      <text>
        <r>
          <rPr>
            <b/>
            <sz val="9"/>
            <color indexed="81"/>
            <rFont val="Tahoma"/>
            <family val="2"/>
          </rPr>
          <t>bijnensa:</t>
        </r>
        <r>
          <rPr>
            <sz val="9"/>
            <color indexed="81"/>
            <rFont val="Tahoma"/>
            <family val="2"/>
          </rPr>
          <t xml:space="preserve">
other charges: tap water tax</t>
        </r>
      </text>
    </comment>
    <comment ref="P161" authorId="0" shapeId="0">
      <text>
        <r>
          <rPr>
            <b/>
            <sz val="9"/>
            <color indexed="81"/>
            <rFont val="Tahoma"/>
            <family val="2"/>
          </rPr>
          <t>bijnensa:</t>
        </r>
        <r>
          <rPr>
            <sz val="9"/>
            <color indexed="81"/>
            <rFont val="Tahoma"/>
            <family val="2"/>
          </rPr>
          <t xml:space="preserve">
other charges: tap water tax</t>
        </r>
      </text>
    </comment>
    <comment ref="A227" authorId="1" shapeId="0">
      <text>
        <r>
          <rPr>
            <b/>
            <sz val="9"/>
            <color indexed="81"/>
            <rFont val="Tahoma"/>
            <family val="2"/>
          </rPr>
          <t>Ann Bijnens:</t>
        </r>
        <r>
          <rPr>
            <sz val="9"/>
            <color indexed="81"/>
            <rFont val="Tahoma"/>
            <family val="2"/>
          </rPr>
          <t xml:space="preserve">
data of 2017:
In Scotland all public supply is charged at a fixed rate (unmetered) and collected by local authorities along with council (local property) tax. It is banded according to the value of the property but the levels of charges are the same everywhere. This link gives the table with the banded rates. http://www.scottishwater.co.uk/you-and-your-home/your-charges/2018-19-charges/2018-19-umc If households are in receipt of benefit or a single adult, there is a reduction. There is a separate charge for water and for sewerage though most people and certainly in urban areas have both elements of public supply. 
banded tariffs for water start at £134.66 / pa and rise (8 bands) to £404.82 / pa. Banded charges for wastewater start ar £156.66 / pa and rise to £469.98 / pa. </t>
        </r>
      </text>
    </comment>
    <comment ref="N243" authorId="0" shapeId="0">
      <text>
        <r>
          <rPr>
            <b/>
            <sz val="9"/>
            <color indexed="81"/>
            <rFont val="Tahoma"/>
            <family val="2"/>
          </rPr>
          <t>bijnensa:</t>
        </r>
        <r>
          <rPr>
            <sz val="9"/>
            <color indexed="81"/>
            <rFont val="Tahoma"/>
            <family val="2"/>
          </rPr>
          <t xml:space="preserve">
not separately charged. Inherent to sewerage charge</t>
        </r>
      </text>
    </comment>
    <comment ref="H244" authorId="0" shapeId="0">
      <text>
        <r>
          <rPr>
            <b/>
            <sz val="9"/>
            <color indexed="81"/>
            <rFont val="Tahoma"/>
            <family val="2"/>
          </rPr>
          <t>bijnensa:</t>
        </r>
        <r>
          <rPr>
            <sz val="9"/>
            <color indexed="81"/>
            <rFont val="Tahoma"/>
            <family val="2"/>
          </rPr>
          <t xml:space="preserve">
assumes the customers water consumption is equally distributed in each quarter</t>
        </r>
      </text>
    </comment>
    <comment ref="I244" authorId="0" shapeId="0">
      <text>
        <r>
          <rPr>
            <b/>
            <sz val="9"/>
            <color indexed="81"/>
            <rFont val="Tahoma"/>
            <family val="2"/>
          </rPr>
          <t>bijnensa:</t>
        </r>
        <r>
          <rPr>
            <sz val="9"/>
            <color indexed="81"/>
            <rFont val="Tahoma"/>
            <family val="2"/>
          </rPr>
          <t xml:space="preserve">
River Murray Levy</t>
        </r>
      </text>
    </comment>
    <comment ref="L244" authorId="0" shapeId="0">
      <text>
        <r>
          <rPr>
            <b/>
            <sz val="9"/>
            <color indexed="81"/>
            <rFont val="Tahoma"/>
            <family val="2"/>
          </rPr>
          <t>bijnensa:</t>
        </r>
        <r>
          <rPr>
            <sz val="9"/>
            <color indexed="81"/>
            <rFont val="Tahoma"/>
            <family val="2"/>
          </rPr>
          <t xml:space="preserve">
based on the average valued property</t>
        </r>
      </text>
    </comment>
    <comment ref="A253" authorId="1" shapeId="0">
      <text>
        <r>
          <rPr>
            <b/>
            <sz val="9"/>
            <color indexed="81"/>
            <rFont val="Tahoma"/>
            <family val="2"/>
          </rPr>
          <t>Ann Bijnens:</t>
        </r>
        <r>
          <rPr>
            <sz val="9"/>
            <color indexed="81"/>
            <rFont val="Tahoma"/>
            <family val="2"/>
          </rPr>
          <t xml:space="preserve">
charges of 2017:
The drinking water bill for all cities (Madrid, Barcelona, Bilbao, Sevilla and Valencia) consists of both variable and fixed components. But as we perform our tariff studies in Spain, we do not separate fixed and variable component.  So as a convention, we have decided to include the drinking water bill on variable component.
We also have variable and fixed components in Sewerage and WWT services, but in our tariff studies we do not separate each concept.
VAT in Spain for water services is 10% of the total value for the majority of concepts included on the bill </t>
        </r>
      </text>
    </comment>
    <comment ref="A269" authorId="1" shapeId="0">
      <text>
        <r>
          <rPr>
            <b/>
            <sz val="9"/>
            <color indexed="81"/>
            <rFont val="Tahoma"/>
            <family val="2"/>
          </rPr>
          <t>Ann Bijnens:</t>
        </r>
        <r>
          <rPr>
            <sz val="9"/>
            <color indexed="81"/>
            <rFont val="Tahoma"/>
            <family val="2"/>
          </rPr>
          <t xml:space="preserve">
data of 2014: bill for consumption depends on customer type. Here we use type 1 residence.</t>
        </r>
      </text>
    </comment>
    <comment ref="P271" authorId="1" shapeId="0">
      <text>
        <r>
          <rPr>
            <b/>
            <sz val="9"/>
            <color indexed="81"/>
            <rFont val="Tahoma"/>
            <family val="2"/>
          </rPr>
          <t>Ann Bijnens:</t>
        </r>
        <r>
          <rPr>
            <sz val="9"/>
            <color indexed="81"/>
            <rFont val="Tahoma"/>
            <family val="2"/>
          </rPr>
          <t xml:space="preserve">
charges 2017: environmental cleaning tax</t>
        </r>
      </text>
    </comment>
    <comment ref="I272" authorId="1" shapeId="0">
      <text>
        <r>
          <rPr>
            <b/>
            <sz val="9"/>
            <color indexed="81"/>
            <rFont val="Tahoma"/>
            <family val="2"/>
          </rPr>
          <t>Ann Bijnens:</t>
        </r>
        <r>
          <rPr>
            <sz val="9"/>
            <color indexed="81"/>
            <rFont val="Tahoma"/>
            <family val="2"/>
          </rPr>
          <t xml:space="preserve">
charges 2017: maintenance cost</t>
        </r>
      </text>
    </comment>
    <comment ref="P272" authorId="1" shapeId="0">
      <text>
        <r>
          <rPr>
            <b/>
            <sz val="9"/>
            <color indexed="81"/>
            <rFont val="Tahoma"/>
            <family val="2"/>
          </rPr>
          <t>Ann Bijnens:</t>
        </r>
        <r>
          <rPr>
            <sz val="9"/>
            <color indexed="81"/>
            <rFont val="Tahoma"/>
            <family val="2"/>
          </rPr>
          <t xml:space="preserve">
charges 2017: environmental cleaning tax</t>
        </r>
      </text>
    </comment>
    <comment ref="P273" authorId="1" shapeId="0">
      <text>
        <r>
          <rPr>
            <b/>
            <sz val="9"/>
            <color indexed="81"/>
            <rFont val="Tahoma"/>
            <family val="2"/>
          </rPr>
          <t>Ann Bijnens:</t>
        </r>
        <r>
          <rPr>
            <sz val="9"/>
            <color indexed="81"/>
            <rFont val="Tahoma"/>
            <family val="2"/>
          </rPr>
          <t xml:space="preserve">
charges 2017: environmental cleaning tax</t>
        </r>
      </text>
    </comment>
    <comment ref="A274" authorId="1" shapeId="0">
      <text>
        <r>
          <rPr>
            <b/>
            <sz val="9"/>
            <color indexed="81"/>
            <rFont val="Tahoma"/>
            <family val="2"/>
          </rPr>
          <t>Ann Bijnens:</t>
        </r>
        <r>
          <rPr>
            <sz val="9"/>
            <color indexed="81"/>
            <rFont val="Tahoma"/>
            <family val="2"/>
          </rPr>
          <t xml:space="preserve">
data of 2015: The Corporation applies a uniform tariff across all consumer categories in all its areas of operation. The Domestic rate/tariff is uniform in all the Corporation's operational areas.
Fixed charge is the same across all the operational areas.
</t>
        </r>
      </text>
    </comment>
    <comment ref="N278" authorId="0" shapeId="0">
      <text>
        <r>
          <rPr>
            <b/>
            <sz val="9"/>
            <color indexed="81"/>
            <rFont val="Tahoma"/>
            <family val="2"/>
          </rPr>
          <t>bijnensa:</t>
        </r>
        <r>
          <rPr>
            <sz val="9"/>
            <color indexed="81"/>
            <rFont val="Tahoma"/>
            <family val="2"/>
          </rPr>
          <t xml:space="preserve">
Sewerage charges shown include surface water drainage charges. Households in Birmingham pay for their surface water drainage either through a fixed charge based on property type or a charge based on the rateable value. The figures presented assume a 'zone 4' bill based on a property with a rateable value of £200 as an example.</t>
        </r>
      </text>
    </comment>
    <comment ref="N279" authorId="0" shapeId="0">
      <text>
        <r>
          <rPr>
            <b/>
            <sz val="9"/>
            <color indexed="81"/>
            <rFont val="Tahoma"/>
            <family val="2"/>
          </rPr>
          <t>bijnensa:</t>
        </r>
        <r>
          <rPr>
            <sz val="9"/>
            <color indexed="81"/>
            <rFont val="Tahoma"/>
            <family val="2"/>
          </rPr>
          <t xml:space="preserve">
Sewerage charges shown include surface water drainage charges.</t>
        </r>
      </text>
    </comment>
    <comment ref="N280" authorId="0" shapeId="0">
      <text>
        <r>
          <rPr>
            <b/>
            <sz val="9"/>
            <color indexed="81"/>
            <rFont val="Tahoma"/>
            <family val="2"/>
          </rPr>
          <t>bijnensa:</t>
        </r>
        <r>
          <rPr>
            <sz val="9"/>
            <color indexed="81"/>
            <rFont val="Tahoma"/>
            <family val="2"/>
          </rPr>
          <t xml:space="preserve">
Sewerage charges shown include surface water drainage charges.</t>
        </r>
      </text>
    </comment>
    <comment ref="N281" authorId="0" shapeId="0">
      <text>
        <r>
          <rPr>
            <b/>
            <sz val="9"/>
            <color indexed="81"/>
            <rFont val="Tahoma"/>
            <family val="2"/>
          </rPr>
          <t>bijnensa:</t>
        </r>
        <r>
          <rPr>
            <sz val="9"/>
            <color indexed="81"/>
            <rFont val="Tahoma"/>
            <family val="2"/>
          </rPr>
          <t xml:space="preserve">
Sewerage charges shown include surface water drainage charges.</t>
        </r>
      </text>
    </comment>
    <comment ref="N282" authorId="0" shapeId="0">
      <text>
        <r>
          <rPr>
            <b/>
            <sz val="9"/>
            <color indexed="81"/>
            <rFont val="Tahoma"/>
            <family val="2"/>
          </rPr>
          <t>bijnensa:</t>
        </r>
        <r>
          <rPr>
            <sz val="9"/>
            <color indexed="81"/>
            <rFont val="Tahoma"/>
            <family val="2"/>
          </rPr>
          <t xml:space="preserve">
Sewerage charges shown include surface water drainage charges.</t>
        </r>
      </text>
    </comment>
    <comment ref="A290" authorId="1" shapeId="0">
      <text>
        <r>
          <rPr>
            <b/>
            <sz val="9"/>
            <color indexed="81"/>
            <rFont val="Tahoma"/>
            <family val="2"/>
          </rPr>
          <t>Ann Bijnens:</t>
        </r>
        <r>
          <rPr>
            <sz val="9"/>
            <color indexed="81"/>
            <rFont val="Tahoma"/>
            <family val="2"/>
          </rPr>
          <t xml:space="preserve">
- FIXED CHARGES FOR DOMESTIC CUSTOMERS.
- SEWERAGE CHARGE FOR DOMESTIC CUSTOMERS IS 20%OF WATER BILL FOR; MWSC, NWSC, &amp; 30% for LWSC&amp;KWSC 40% NWWSC &amp; KWSC .
- Other charges: SANITATION SURCHARGE AT 2.5% OF WATER BILL, EXCEPT FOR NKANA WSC (NWSC) AT 3%.</t>
        </r>
      </text>
    </comment>
    <comment ref="B290" authorId="1" shapeId="0">
      <text>
        <r>
          <rPr>
            <b/>
            <sz val="9"/>
            <color indexed="81"/>
            <rFont val="Tahoma"/>
            <family val="2"/>
          </rPr>
          <t>Ann Bijnens:</t>
        </r>
        <r>
          <rPr>
            <sz val="9"/>
            <color indexed="81"/>
            <rFont val="Tahoma"/>
            <family val="2"/>
          </rPr>
          <t xml:space="preserve">
LWSC = Lusaka Water &amp; Sewerage Company</t>
        </r>
      </text>
    </comment>
    <comment ref="AM290" authorId="1" shapeId="0">
      <text>
        <r>
          <rPr>
            <b/>
            <sz val="9"/>
            <color indexed="81"/>
            <rFont val="Tahoma"/>
            <family val="2"/>
          </rPr>
          <t>Ann Bijnens:</t>
        </r>
        <r>
          <rPr>
            <sz val="9"/>
            <color indexed="81"/>
            <rFont val="Tahoma"/>
            <family val="2"/>
          </rPr>
          <t xml:space="preserve">
fixed charges for service = meter charges</t>
        </r>
      </text>
    </comment>
    <comment ref="AN290" authorId="1" shapeId="0">
      <text>
        <r>
          <rPr>
            <b/>
            <sz val="9"/>
            <color indexed="81"/>
            <rFont val="Tahoma"/>
            <family val="2"/>
          </rPr>
          <t>Ann Bijnens:</t>
        </r>
        <r>
          <rPr>
            <sz val="9"/>
            <color indexed="81"/>
            <rFont val="Tahoma"/>
            <family val="2"/>
          </rPr>
          <t xml:space="preserve">
sanitation surcharges which are a percentage of the water bill</t>
        </r>
      </text>
    </comment>
    <comment ref="B291" authorId="1" shapeId="0">
      <text>
        <r>
          <rPr>
            <b/>
            <sz val="9"/>
            <color indexed="81"/>
            <rFont val="Tahoma"/>
            <family val="2"/>
          </rPr>
          <t>Ann Bijnens:</t>
        </r>
        <r>
          <rPr>
            <sz val="9"/>
            <color indexed="81"/>
            <rFont val="Tahoma"/>
            <family val="2"/>
          </rPr>
          <t xml:space="preserve">
KWSC = Kafubu Water and Sewerage Company</t>
        </r>
      </text>
    </comment>
    <comment ref="AM291" authorId="1" shapeId="0">
      <text>
        <r>
          <rPr>
            <b/>
            <sz val="9"/>
            <color indexed="81"/>
            <rFont val="Tahoma"/>
            <family val="2"/>
          </rPr>
          <t>Ann Bijnens:</t>
        </r>
        <r>
          <rPr>
            <sz val="9"/>
            <color indexed="81"/>
            <rFont val="Tahoma"/>
            <family val="2"/>
          </rPr>
          <t xml:space="preserve">
fixed charges for service = meter charges</t>
        </r>
      </text>
    </comment>
    <comment ref="AN291" authorId="1" shapeId="0">
      <text>
        <r>
          <rPr>
            <b/>
            <sz val="9"/>
            <color indexed="81"/>
            <rFont val="Tahoma"/>
            <family val="2"/>
          </rPr>
          <t>Ann Bijnens:</t>
        </r>
        <r>
          <rPr>
            <sz val="9"/>
            <color indexed="81"/>
            <rFont val="Tahoma"/>
            <family val="2"/>
          </rPr>
          <t xml:space="preserve">
sanitation surcharges which are a percentage of the water bill</t>
        </r>
      </text>
    </comment>
    <comment ref="B292" authorId="1" shapeId="0">
      <text>
        <r>
          <rPr>
            <b/>
            <sz val="9"/>
            <color indexed="81"/>
            <rFont val="Tahoma"/>
            <family val="2"/>
          </rPr>
          <t>Ann Bijnens:</t>
        </r>
        <r>
          <rPr>
            <sz val="9"/>
            <color indexed="81"/>
            <rFont val="Tahoma"/>
            <family val="2"/>
          </rPr>
          <t xml:space="preserve">
MWSC = Mulonga Water and Sewerage Company</t>
        </r>
      </text>
    </comment>
    <comment ref="AM292" authorId="1" shapeId="0">
      <text>
        <r>
          <rPr>
            <b/>
            <sz val="9"/>
            <color indexed="81"/>
            <rFont val="Tahoma"/>
            <family val="2"/>
          </rPr>
          <t>Ann Bijnens:</t>
        </r>
        <r>
          <rPr>
            <sz val="9"/>
            <color indexed="81"/>
            <rFont val="Tahoma"/>
            <family val="2"/>
          </rPr>
          <t xml:space="preserve">
fixed charges for service = meter charges</t>
        </r>
      </text>
    </comment>
    <comment ref="AN292" authorId="1" shapeId="0">
      <text>
        <r>
          <rPr>
            <b/>
            <sz val="9"/>
            <color indexed="81"/>
            <rFont val="Tahoma"/>
            <family val="2"/>
          </rPr>
          <t>Ann Bijnens:</t>
        </r>
        <r>
          <rPr>
            <sz val="9"/>
            <color indexed="81"/>
            <rFont val="Tahoma"/>
            <family val="2"/>
          </rPr>
          <t xml:space="preserve">
sanitation surcharges which are a percentage of the water bill</t>
        </r>
      </text>
    </comment>
    <comment ref="B293" authorId="1" shapeId="0">
      <text>
        <r>
          <rPr>
            <b/>
            <sz val="9"/>
            <color indexed="81"/>
            <rFont val="Tahoma"/>
            <family val="2"/>
          </rPr>
          <t>Ann Bijnens:</t>
        </r>
        <r>
          <rPr>
            <sz val="9"/>
            <color indexed="81"/>
            <rFont val="Tahoma"/>
            <family val="2"/>
          </rPr>
          <t xml:space="preserve">
NWWSSC = North Western Water Supply and Sewerage Company</t>
        </r>
      </text>
    </comment>
    <comment ref="AM293" authorId="1" shapeId="0">
      <text>
        <r>
          <rPr>
            <b/>
            <sz val="9"/>
            <color indexed="81"/>
            <rFont val="Tahoma"/>
            <family val="2"/>
          </rPr>
          <t>Ann Bijnens:</t>
        </r>
        <r>
          <rPr>
            <sz val="9"/>
            <color indexed="81"/>
            <rFont val="Tahoma"/>
            <family val="2"/>
          </rPr>
          <t xml:space="preserve">
fixed charges for service = meter charges</t>
        </r>
      </text>
    </comment>
    <comment ref="E393" authorId="1" shapeId="0">
      <text>
        <r>
          <rPr>
            <b/>
            <sz val="9"/>
            <color indexed="81"/>
            <rFont val="Tahoma"/>
            <family val="2"/>
          </rPr>
          <t>Ann Bijnens:</t>
        </r>
        <r>
          <rPr>
            <sz val="9"/>
            <color indexed="81"/>
            <rFont val="Tahoma"/>
            <family val="2"/>
          </rPr>
          <t xml:space="preserve">
Increasing block tariff at €1.3965/m3 up to 33m3/person/annum and €5.1395/m3 above 33m3/person/annum. Assume water consumption spread evenly over the year.</t>
        </r>
      </text>
    </comment>
    <comment ref="K393" authorId="1" shapeId="0">
      <text>
        <r>
          <rPr>
            <b/>
            <sz val="9"/>
            <color indexed="81"/>
            <rFont val="Tahoma"/>
            <family val="2"/>
          </rPr>
          <t>Ann Bijnens:</t>
        </r>
        <r>
          <rPr>
            <sz val="9"/>
            <color indexed="81"/>
            <rFont val="Tahoma"/>
            <family val="2"/>
          </rPr>
          <t xml:space="preserve">
rates incorporate sewerage contribution</t>
        </r>
      </text>
    </comment>
    <comment ref="O400" authorId="0" shapeId="0">
      <text>
        <r>
          <rPr>
            <b/>
            <sz val="9"/>
            <color indexed="81"/>
            <rFont val="Tahoma"/>
            <family val="2"/>
          </rPr>
          <t>bijnensa:</t>
        </r>
        <r>
          <rPr>
            <sz val="9"/>
            <color indexed="81"/>
            <rFont val="Tahoma"/>
            <family val="2"/>
          </rPr>
          <t xml:space="preserve">
other charges: tap water tax</t>
        </r>
      </text>
    </comment>
    <comment ref="F401" authorId="0" shapeId="0">
      <text>
        <r>
          <rPr>
            <b/>
            <sz val="9"/>
            <color indexed="81"/>
            <rFont val="Tahoma"/>
            <family val="2"/>
          </rPr>
          <t>bijnensa:</t>
        </r>
        <r>
          <rPr>
            <sz val="9"/>
            <color indexed="81"/>
            <rFont val="Tahoma"/>
            <family val="2"/>
          </rPr>
          <t xml:space="preserve">
distribution and concession reimbursements ("precario")</t>
        </r>
      </text>
    </comment>
    <comment ref="O401" authorId="0" shapeId="0">
      <text>
        <r>
          <rPr>
            <b/>
            <sz val="9"/>
            <color indexed="81"/>
            <rFont val="Tahoma"/>
            <family val="2"/>
          </rPr>
          <t>bijnensa:</t>
        </r>
        <r>
          <rPr>
            <sz val="9"/>
            <color indexed="81"/>
            <rFont val="Tahoma"/>
            <family val="2"/>
          </rPr>
          <t xml:space="preserve">
other charges: tap water tax</t>
        </r>
      </text>
    </comment>
    <comment ref="F402" authorId="0" shapeId="0">
      <text>
        <r>
          <rPr>
            <b/>
            <sz val="9"/>
            <color indexed="81"/>
            <rFont val="Tahoma"/>
            <family val="2"/>
          </rPr>
          <t>bijnensa:</t>
        </r>
        <r>
          <rPr>
            <sz val="9"/>
            <color indexed="81"/>
            <rFont val="Tahoma"/>
            <family val="2"/>
          </rPr>
          <t xml:space="preserve">
distribution and concession reimbursements ("precario")</t>
        </r>
      </text>
    </comment>
    <comment ref="O402" authorId="0" shapeId="0">
      <text>
        <r>
          <rPr>
            <b/>
            <sz val="9"/>
            <color indexed="81"/>
            <rFont val="Tahoma"/>
            <family val="2"/>
          </rPr>
          <t>bijnensa:</t>
        </r>
        <r>
          <rPr>
            <sz val="9"/>
            <color indexed="81"/>
            <rFont val="Tahoma"/>
            <family val="2"/>
          </rPr>
          <t xml:space="preserve">
other charges: tap water tax</t>
        </r>
      </text>
    </comment>
    <comment ref="O403" authorId="0" shapeId="0">
      <text>
        <r>
          <rPr>
            <b/>
            <sz val="9"/>
            <color indexed="81"/>
            <rFont val="Tahoma"/>
            <family val="2"/>
          </rPr>
          <t>bijnensa:</t>
        </r>
        <r>
          <rPr>
            <sz val="9"/>
            <color indexed="81"/>
            <rFont val="Tahoma"/>
            <family val="2"/>
          </rPr>
          <t xml:space="preserve">
other charges: tap water tax</t>
        </r>
      </text>
    </comment>
    <comment ref="O404" authorId="0" shapeId="0">
      <text>
        <r>
          <rPr>
            <b/>
            <sz val="9"/>
            <color indexed="81"/>
            <rFont val="Tahoma"/>
            <family val="2"/>
          </rPr>
          <t>bijnensa:</t>
        </r>
        <r>
          <rPr>
            <sz val="9"/>
            <color indexed="81"/>
            <rFont val="Tahoma"/>
            <family val="2"/>
          </rPr>
          <t xml:space="preserve">
other charges: tap water tax</t>
        </r>
      </text>
    </comment>
    <comment ref="O477" authorId="1" shapeId="0">
      <text>
        <r>
          <rPr>
            <b/>
            <sz val="9"/>
            <color indexed="81"/>
            <rFont val="Tahoma"/>
            <family val="2"/>
          </rPr>
          <t>Ann Bijnens:</t>
        </r>
        <r>
          <rPr>
            <sz val="9"/>
            <color indexed="81"/>
            <rFont val="Tahoma"/>
            <family val="2"/>
          </rPr>
          <t xml:space="preserve">
charges 2017: environmental cleaning tax</t>
        </r>
      </text>
    </comment>
    <comment ref="F478" authorId="1" shapeId="0">
      <text>
        <r>
          <rPr>
            <b/>
            <sz val="9"/>
            <color indexed="81"/>
            <rFont val="Tahoma"/>
            <family val="2"/>
          </rPr>
          <t>Ann Bijnens:</t>
        </r>
        <r>
          <rPr>
            <sz val="9"/>
            <color indexed="81"/>
            <rFont val="Tahoma"/>
            <family val="2"/>
          </rPr>
          <t xml:space="preserve">
charges 2017: maintenance cost</t>
        </r>
      </text>
    </comment>
    <comment ref="O478" authorId="1" shapeId="0">
      <text>
        <r>
          <rPr>
            <b/>
            <sz val="9"/>
            <color indexed="81"/>
            <rFont val="Tahoma"/>
            <family val="2"/>
          </rPr>
          <t>Ann Bijnens:</t>
        </r>
        <r>
          <rPr>
            <sz val="9"/>
            <color indexed="81"/>
            <rFont val="Tahoma"/>
            <family val="2"/>
          </rPr>
          <t xml:space="preserve">
charges 2017: environmental cleaning tax</t>
        </r>
      </text>
    </comment>
    <comment ref="O479" authorId="1" shapeId="0">
      <text>
        <r>
          <rPr>
            <b/>
            <sz val="9"/>
            <color indexed="81"/>
            <rFont val="Tahoma"/>
            <family val="2"/>
          </rPr>
          <t>Ann Bijnens:</t>
        </r>
        <r>
          <rPr>
            <sz val="9"/>
            <color indexed="81"/>
            <rFont val="Tahoma"/>
            <family val="2"/>
          </rPr>
          <t xml:space="preserve">
charges 2017: environmental cleaning tax</t>
        </r>
      </text>
    </comment>
    <comment ref="K484" authorId="0" shapeId="0">
      <text>
        <r>
          <rPr>
            <b/>
            <sz val="9"/>
            <color indexed="81"/>
            <rFont val="Tahoma"/>
            <family val="2"/>
          </rPr>
          <t>bijnensa:</t>
        </r>
        <r>
          <rPr>
            <sz val="9"/>
            <color indexed="81"/>
            <rFont val="Tahoma"/>
            <family val="2"/>
          </rPr>
          <t xml:space="preserve">
Sewerage charges shown include surface water drainage charges. Households in Birmingham pay for their surface water drainage either through a fixed charge based on property type or a charge based on the rateable value. The figures presented assume a 'zone 4' bill based on a property with a rateable value of £200 as an example.</t>
        </r>
      </text>
    </comment>
    <comment ref="K485" authorId="0" shapeId="0">
      <text>
        <r>
          <rPr>
            <b/>
            <sz val="9"/>
            <color indexed="81"/>
            <rFont val="Tahoma"/>
            <family val="2"/>
          </rPr>
          <t>bijnensa:</t>
        </r>
        <r>
          <rPr>
            <sz val="9"/>
            <color indexed="81"/>
            <rFont val="Tahoma"/>
            <family val="2"/>
          </rPr>
          <t xml:space="preserve">
Sewerage charges shown include surface water drainage charges.</t>
        </r>
      </text>
    </comment>
    <comment ref="K486" authorId="0" shapeId="0">
      <text>
        <r>
          <rPr>
            <b/>
            <sz val="9"/>
            <color indexed="81"/>
            <rFont val="Tahoma"/>
            <family val="2"/>
          </rPr>
          <t>bijnensa:</t>
        </r>
        <r>
          <rPr>
            <sz val="9"/>
            <color indexed="81"/>
            <rFont val="Tahoma"/>
            <family val="2"/>
          </rPr>
          <t xml:space="preserve">
Sewerage charges shown include surface water drainage charges.</t>
        </r>
      </text>
    </comment>
    <comment ref="K487" authorId="0" shapeId="0">
      <text>
        <r>
          <rPr>
            <b/>
            <sz val="9"/>
            <color indexed="81"/>
            <rFont val="Tahoma"/>
            <family val="2"/>
          </rPr>
          <t>bijnensa:</t>
        </r>
        <r>
          <rPr>
            <sz val="9"/>
            <color indexed="81"/>
            <rFont val="Tahoma"/>
            <family val="2"/>
          </rPr>
          <t xml:space="preserve">
Sewerage charges shown include surface water drainage charges.</t>
        </r>
      </text>
    </comment>
    <comment ref="K488" authorId="0" shapeId="0">
      <text>
        <r>
          <rPr>
            <b/>
            <sz val="9"/>
            <color indexed="81"/>
            <rFont val="Tahoma"/>
            <family val="2"/>
          </rPr>
          <t>bijnensa:</t>
        </r>
        <r>
          <rPr>
            <sz val="9"/>
            <color indexed="81"/>
            <rFont val="Tahoma"/>
            <family val="2"/>
          </rPr>
          <t xml:space="preserve">
Sewerage charges shown include surface water drainage charges.</t>
        </r>
      </text>
    </comment>
    <comment ref="K512" authorId="1" shapeId="0">
      <text>
        <r>
          <rPr>
            <b/>
            <sz val="9"/>
            <color indexed="81"/>
            <rFont val="Tahoma"/>
            <family val="2"/>
          </rPr>
          <t>Ann Bijnens:</t>
        </r>
        <r>
          <rPr>
            <sz val="9"/>
            <color indexed="81"/>
            <rFont val="Tahoma"/>
            <family val="2"/>
          </rPr>
          <t xml:space="preserve">
charges 2017: environmental cleaning tax</t>
        </r>
      </text>
    </comment>
    <comment ref="K530" authorId="0" shapeId="0">
      <text>
        <r>
          <rPr>
            <b/>
            <sz val="9"/>
            <color indexed="81"/>
            <rFont val="Tahoma"/>
            <family val="2"/>
          </rPr>
          <t>bijnensa:</t>
        </r>
        <r>
          <rPr>
            <sz val="9"/>
            <color indexed="81"/>
            <rFont val="Tahoma"/>
            <family val="2"/>
          </rPr>
          <t xml:space="preserve">
other charges: tap water tax</t>
        </r>
      </text>
    </comment>
  </commentList>
</comments>
</file>

<file path=xl/comments17.xml><?xml version="1.0" encoding="utf-8"?>
<comments xmlns="http://schemas.openxmlformats.org/spreadsheetml/2006/main">
  <authors>
    <author>bijnensa</author>
    <author>Ann Bijnens</author>
  </authors>
  <commentList>
    <comment ref="C7" authorId="0" shapeId="0">
      <text>
        <r>
          <rPr>
            <b/>
            <sz val="9"/>
            <color indexed="81"/>
            <rFont val="Tahoma"/>
            <family val="2"/>
          </rPr>
          <t>bijnensa:</t>
        </r>
        <r>
          <rPr>
            <sz val="9"/>
            <color indexed="81"/>
            <rFont val="Tahoma"/>
            <family val="2"/>
          </rPr>
          <t xml:space="preserve">
the average bill for residential (domestic) users. Total annual water bill for 100 m³ and 200 m³ is the same because 88% of users are unmetered. This percentage is even bigger for residential users.</t>
        </r>
      </text>
    </comment>
    <comment ref="A82" authorId="1" shapeId="0">
      <text>
        <r>
          <rPr>
            <b/>
            <sz val="9"/>
            <color indexed="81"/>
            <rFont val="Tahoma"/>
            <family val="2"/>
          </rPr>
          <t>Ann Bijnens:</t>
        </r>
        <r>
          <rPr>
            <sz val="9"/>
            <color indexed="81"/>
            <rFont val="Tahoma"/>
            <family val="2"/>
          </rPr>
          <t xml:space="preserve">
charges 2015: VAT of 5% on drinking water and VAT of 10% on sewerage and waste water components </t>
        </r>
      </text>
    </comment>
    <comment ref="D132" authorId="0" shapeId="0">
      <text>
        <r>
          <rPr>
            <b/>
            <sz val="9"/>
            <color indexed="81"/>
            <rFont val="Tahoma"/>
            <family val="2"/>
          </rPr>
          <t>bijnensa:</t>
        </r>
        <r>
          <rPr>
            <sz val="9"/>
            <color indexed="81"/>
            <rFont val="Tahoma"/>
            <family val="2"/>
          </rPr>
          <t xml:space="preserve">
laatst gekende GDP van jaar 2013</t>
        </r>
      </text>
    </comment>
    <comment ref="A134" authorId="1" shapeId="0">
      <text>
        <r>
          <rPr>
            <b/>
            <sz val="9"/>
            <color indexed="81"/>
            <rFont val="Tahoma"/>
            <family val="2"/>
          </rPr>
          <t xml:space="preserve">Ann Bijnens:
</t>
        </r>
        <r>
          <rPr>
            <sz val="9"/>
            <color indexed="81"/>
            <rFont val="Tahoma"/>
            <family val="2"/>
          </rPr>
          <t>There are no regional differences in water rates</t>
        </r>
      </text>
    </comment>
    <comment ref="G134" authorId="1" shapeId="0">
      <text>
        <r>
          <rPr>
            <b/>
            <sz val="9"/>
            <color indexed="81"/>
            <rFont val="Tahoma"/>
            <family val="2"/>
          </rPr>
          <t>Ann Bijnens:</t>
        </r>
        <r>
          <rPr>
            <sz val="9"/>
            <color indexed="81"/>
            <rFont val="Tahoma"/>
            <family val="2"/>
          </rPr>
          <t xml:space="preserve">
Increasing block tariff at €1.3965/m3 up to 33m3/person/annum and €5.1395/m3 above 33m3/person/annum. Assume water consumption spread evenly over the year.</t>
        </r>
      </text>
    </comment>
    <comment ref="J134" authorId="1" shapeId="0">
      <text>
        <r>
          <rPr>
            <b/>
            <sz val="9"/>
            <color indexed="81"/>
            <rFont val="Tahoma"/>
            <family val="2"/>
          </rPr>
          <t>Ann Bijnens:</t>
        </r>
        <r>
          <rPr>
            <sz val="9"/>
            <color indexed="81"/>
            <rFont val="Tahoma"/>
            <family val="2"/>
          </rPr>
          <t xml:space="preserve">
rates incorporate sewerage contribution</t>
        </r>
      </text>
    </comment>
    <comment ref="N147" authorId="0" shapeId="0">
      <text>
        <r>
          <rPr>
            <b/>
            <sz val="9"/>
            <color indexed="81"/>
            <rFont val="Tahoma"/>
            <family val="2"/>
          </rPr>
          <t>bijnensa:</t>
        </r>
        <r>
          <rPr>
            <sz val="9"/>
            <color indexed="81"/>
            <rFont val="Tahoma"/>
            <family val="2"/>
          </rPr>
          <t xml:space="preserve">
other charges: tap water tax</t>
        </r>
      </text>
    </comment>
    <comment ref="H148" authorId="0" shapeId="0">
      <text>
        <r>
          <rPr>
            <b/>
            <sz val="9"/>
            <color indexed="81"/>
            <rFont val="Tahoma"/>
            <family val="2"/>
          </rPr>
          <t>bijnensa:</t>
        </r>
        <r>
          <rPr>
            <sz val="9"/>
            <color indexed="81"/>
            <rFont val="Tahoma"/>
            <family val="2"/>
          </rPr>
          <t xml:space="preserve">
distribution and concession reimbursements ("precario")</t>
        </r>
      </text>
    </comment>
    <comment ref="N148" authorId="0" shapeId="0">
      <text>
        <r>
          <rPr>
            <b/>
            <sz val="9"/>
            <color indexed="81"/>
            <rFont val="Tahoma"/>
            <family val="2"/>
          </rPr>
          <t>bijnensa:</t>
        </r>
        <r>
          <rPr>
            <sz val="9"/>
            <color indexed="81"/>
            <rFont val="Tahoma"/>
            <family val="2"/>
          </rPr>
          <t xml:space="preserve">
other charges: tap water tax</t>
        </r>
      </text>
    </comment>
    <comment ref="H149" authorId="0" shapeId="0">
      <text>
        <r>
          <rPr>
            <b/>
            <sz val="9"/>
            <color indexed="81"/>
            <rFont val="Tahoma"/>
            <family val="2"/>
          </rPr>
          <t>bijnensa:</t>
        </r>
        <r>
          <rPr>
            <sz val="9"/>
            <color indexed="81"/>
            <rFont val="Tahoma"/>
            <family val="2"/>
          </rPr>
          <t xml:space="preserve">
distribution and concession reimbursements ("precario")</t>
        </r>
      </text>
    </comment>
    <comment ref="N149" authorId="0" shapeId="0">
      <text>
        <r>
          <rPr>
            <b/>
            <sz val="9"/>
            <color indexed="81"/>
            <rFont val="Tahoma"/>
            <family val="2"/>
          </rPr>
          <t>bijnensa:</t>
        </r>
        <r>
          <rPr>
            <sz val="9"/>
            <color indexed="81"/>
            <rFont val="Tahoma"/>
            <family val="2"/>
          </rPr>
          <t xml:space="preserve">
other charges: tap water tax</t>
        </r>
      </text>
    </comment>
    <comment ref="N150" authorId="0" shapeId="0">
      <text>
        <r>
          <rPr>
            <b/>
            <sz val="9"/>
            <color indexed="81"/>
            <rFont val="Tahoma"/>
            <family val="2"/>
          </rPr>
          <t>bijnensa:</t>
        </r>
        <r>
          <rPr>
            <sz val="9"/>
            <color indexed="81"/>
            <rFont val="Tahoma"/>
            <family val="2"/>
          </rPr>
          <t xml:space="preserve">
other charges: tap water tax</t>
        </r>
      </text>
    </comment>
    <comment ref="N151" authorId="0" shapeId="0">
      <text>
        <r>
          <rPr>
            <b/>
            <sz val="9"/>
            <color indexed="81"/>
            <rFont val="Tahoma"/>
            <family val="2"/>
          </rPr>
          <t>bijnensa:</t>
        </r>
        <r>
          <rPr>
            <sz val="9"/>
            <color indexed="81"/>
            <rFont val="Tahoma"/>
            <family val="2"/>
          </rPr>
          <t xml:space="preserve">
other charges: tap water tax</t>
        </r>
      </text>
    </comment>
    <comment ref="N152" authorId="0" shapeId="0">
      <text>
        <r>
          <rPr>
            <b/>
            <sz val="9"/>
            <color indexed="81"/>
            <rFont val="Tahoma"/>
            <family val="2"/>
          </rPr>
          <t>bijnensa:</t>
        </r>
        <r>
          <rPr>
            <sz val="9"/>
            <color indexed="81"/>
            <rFont val="Tahoma"/>
            <family val="2"/>
          </rPr>
          <t xml:space="preserve">
other charges: tap water tax</t>
        </r>
      </text>
    </comment>
    <comment ref="C176" authorId="1" shapeId="0">
      <text>
        <r>
          <rPr>
            <b/>
            <sz val="9"/>
            <color indexed="81"/>
            <rFont val="Tahoma"/>
            <family val="2"/>
          </rPr>
          <t>Ann Bijnens:</t>
        </r>
        <r>
          <rPr>
            <sz val="9"/>
            <color indexed="81"/>
            <rFont val="Tahoma"/>
            <family val="2"/>
          </rPr>
          <t xml:space="preserve">
charges 2015: during summer the population supplied is over 1.000.000 inhabitans due the seaside areas</t>
        </r>
      </text>
    </comment>
    <comment ref="C189" authorId="1" shapeId="0">
      <text>
        <r>
          <rPr>
            <b/>
            <sz val="9"/>
            <color indexed="81"/>
            <rFont val="Tahoma"/>
            <family val="2"/>
          </rPr>
          <t>Ann Bijnens:</t>
        </r>
        <r>
          <rPr>
            <sz val="9"/>
            <color indexed="81"/>
            <rFont val="Tahoma"/>
            <family val="2"/>
          </rPr>
          <t xml:space="preserve">
charges 2015: population data are calculated based on clients declaration. All citizen have acces to water supply and sewerage services</t>
        </r>
      </text>
    </comment>
    <comment ref="A199" authorId="1" shapeId="0">
      <text>
        <r>
          <rPr>
            <b/>
            <sz val="9"/>
            <color indexed="81"/>
            <rFont val="Tahoma"/>
            <family val="2"/>
          </rPr>
          <t>Ann Bijnens:</t>
        </r>
        <r>
          <rPr>
            <sz val="9"/>
            <color indexed="81"/>
            <rFont val="Tahoma"/>
            <family val="2"/>
          </rPr>
          <t xml:space="preserve">
In Scotland the majority of domestic properties pay their water charges based upon the rateable value of the property. The rateable value is a  value ascribed to a domestic or commercial building based on its size, location, and other factors, and is used to determine the local tax payable by its owner to the local authority. The rateable value is assigned to one of 8 bands - A to H and a property is allocated to a band, with Band A properties generally being the smallest properties.</t>
        </r>
      </text>
    </comment>
    <comment ref="K210" authorId="0" shapeId="0">
      <text>
        <r>
          <rPr>
            <b/>
            <sz val="9"/>
            <color indexed="81"/>
            <rFont val="Tahoma"/>
            <family val="2"/>
          </rPr>
          <t>bijnensa:</t>
        </r>
        <r>
          <rPr>
            <sz val="9"/>
            <color indexed="81"/>
            <rFont val="Tahoma"/>
            <family val="2"/>
          </rPr>
          <t xml:space="preserve">
water borne fee</t>
        </r>
      </text>
    </comment>
    <comment ref="N210" authorId="0" shapeId="0">
      <text>
        <r>
          <rPr>
            <b/>
            <sz val="9"/>
            <color indexed="81"/>
            <rFont val="Tahoma"/>
            <family val="2"/>
          </rPr>
          <t>bijnensa:</t>
        </r>
        <r>
          <rPr>
            <sz val="9"/>
            <color indexed="81"/>
            <rFont val="Tahoma"/>
            <family val="2"/>
          </rPr>
          <t xml:space="preserve">
sanitary appliance fee (assumed 2 fittings)</t>
        </r>
      </text>
    </comment>
    <comment ref="O210" authorId="0" shapeId="0">
      <text>
        <r>
          <rPr>
            <b/>
            <sz val="9"/>
            <color indexed="81"/>
            <rFont val="Tahoma"/>
            <family val="2"/>
          </rPr>
          <t>bijnensa:</t>
        </r>
        <r>
          <rPr>
            <sz val="9"/>
            <color indexed="81"/>
            <rFont val="Tahoma"/>
            <family val="2"/>
          </rPr>
          <t xml:space="preserve">
goods and service taxes of 7%</t>
        </r>
      </text>
    </comment>
    <comment ref="G215" authorId="0" shapeId="0">
      <text>
        <r>
          <rPr>
            <b/>
            <sz val="9"/>
            <color indexed="81"/>
            <rFont val="Tahoma"/>
            <family val="2"/>
          </rPr>
          <t>bijnensa:</t>
        </r>
        <r>
          <rPr>
            <sz val="9"/>
            <color indexed="81"/>
            <rFont val="Tahoma"/>
            <family val="2"/>
          </rPr>
          <t xml:space="preserve">
assumes the customers water consumption is equally distributed in each quarter</t>
        </r>
      </text>
    </comment>
    <comment ref="H215" authorId="0" shapeId="0">
      <text>
        <r>
          <rPr>
            <b/>
            <sz val="9"/>
            <color indexed="81"/>
            <rFont val="Tahoma"/>
            <family val="2"/>
          </rPr>
          <t>bijnensa:</t>
        </r>
        <r>
          <rPr>
            <sz val="9"/>
            <color indexed="81"/>
            <rFont val="Tahoma"/>
            <family val="2"/>
          </rPr>
          <t xml:space="preserve">
River Murray Levy</t>
        </r>
      </text>
    </comment>
    <comment ref="J215" authorId="0" shapeId="0">
      <text>
        <r>
          <rPr>
            <b/>
            <sz val="9"/>
            <color indexed="81"/>
            <rFont val="Tahoma"/>
            <family val="2"/>
          </rPr>
          <t>bijnensa:</t>
        </r>
        <r>
          <rPr>
            <sz val="9"/>
            <color indexed="81"/>
            <rFont val="Tahoma"/>
            <family val="2"/>
          </rPr>
          <t xml:space="preserve">
based on the average valued property</t>
        </r>
      </text>
    </comment>
    <comment ref="N229" authorId="0" shapeId="0">
      <text>
        <r>
          <rPr>
            <b/>
            <sz val="9"/>
            <color indexed="81"/>
            <rFont val="Tahoma"/>
            <family val="2"/>
          </rPr>
          <t>bijnensa:</t>
        </r>
        <r>
          <rPr>
            <sz val="9"/>
            <color indexed="81"/>
            <rFont val="Tahoma"/>
            <family val="2"/>
          </rPr>
          <t xml:space="preserve">
charge for stormwater (rainwater and drainage) from the houses which are let to the communities pipes for stormwater</t>
        </r>
      </text>
    </comment>
    <comment ref="N231" authorId="0" shapeId="0">
      <text>
        <r>
          <rPr>
            <b/>
            <sz val="9"/>
            <color indexed="81"/>
            <rFont val="Tahoma"/>
            <family val="2"/>
          </rPr>
          <t>bijnensa:</t>
        </r>
        <r>
          <rPr>
            <sz val="9"/>
            <color indexed="81"/>
            <rFont val="Tahoma"/>
            <family val="2"/>
          </rPr>
          <t xml:space="preserve">
charge for stormwater (rainwater and drainage) from the houses which are let to the communities pipes for stormwater</t>
        </r>
      </text>
    </comment>
    <comment ref="K246" authorId="0" shapeId="0">
      <text>
        <r>
          <rPr>
            <b/>
            <sz val="9"/>
            <color indexed="81"/>
            <rFont val="Tahoma"/>
            <family val="2"/>
          </rPr>
          <t>bijnensa:</t>
        </r>
        <r>
          <rPr>
            <sz val="9"/>
            <color indexed="81"/>
            <rFont val="Tahoma"/>
            <family val="2"/>
          </rPr>
          <t xml:space="preserve">
Sewerage charges shown include surface water drainage charges. Households in Birmingham pay for their surface water drainage either through a fixed charge based on property type or a charge based on the rateable value. The figures presented assume a 'zone 4' bill based on a property with a rateable value of £200 as an example.</t>
        </r>
      </text>
    </comment>
    <comment ref="K247" authorId="0" shapeId="0">
      <text>
        <r>
          <rPr>
            <b/>
            <sz val="9"/>
            <color indexed="81"/>
            <rFont val="Tahoma"/>
            <family val="2"/>
          </rPr>
          <t>bijnensa:</t>
        </r>
        <r>
          <rPr>
            <sz val="9"/>
            <color indexed="81"/>
            <rFont val="Tahoma"/>
            <family val="2"/>
          </rPr>
          <t xml:space="preserve">
Sewerage charges shown include surface water drainage charges.</t>
        </r>
      </text>
    </comment>
    <comment ref="K248" authorId="0" shapeId="0">
      <text>
        <r>
          <rPr>
            <b/>
            <sz val="9"/>
            <color indexed="81"/>
            <rFont val="Tahoma"/>
            <family val="2"/>
          </rPr>
          <t>bijnensa:</t>
        </r>
        <r>
          <rPr>
            <sz val="9"/>
            <color indexed="81"/>
            <rFont val="Tahoma"/>
            <family val="2"/>
          </rPr>
          <t xml:space="preserve">
Sewerage charges shown include surface water drainage charges.</t>
        </r>
      </text>
    </comment>
    <comment ref="K249" authorId="0" shapeId="0">
      <text>
        <r>
          <rPr>
            <b/>
            <sz val="9"/>
            <color indexed="81"/>
            <rFont val="Tahoma"/>
            <family val="2"/>
          </rPr>
          <t>bijnensa:</t>
        </r>
        <r>
          <rPr>
            <sz val="9"/>
            <color indexed="81"/>
            <rFont val="Tahoma"/>
            <family val="2"/>
          </rPr>
          <t xml:space="preserve">
Sewerage charges shown include surface water drainage charges.</t>
        </r>
      </text>
    </comment>
    <comment ref="K250" authorId="0" shapeId="0">
      <text>
        <r>
          <rPr>
            <b/>
            <sz val="9"/>
            <color indexed="81"/>
            <rFont val="Tahoma"/>
            <family val="2"/>
          </rPr>
          <t>bijnensa:</t>
        </r>
        <r>
          <rPr>
            <sz val="9"/>
            <color indexed="81"/>
            <rFont val="Tahoma"/>
            <family val="2"/>
          </rPr>
          <t xml:space="preserve">
Sewerage charges shown include surface water drainage charges.</t>
        </r>
      </text>
    </comment>
    <comment ref="A258" authorId="1" shapeId="0">
      <text>
        <r>
          <rPr>
            <b/>
            <sz val="9"/>
            <color indexed="81"/>
            <rFont val="Tahoma"/>
            <family val="2"/>
          </rPr>
          <t>Ann Bijnens:</t>
        </r>
        <r>
          <rPr>
            <sz val="9"/>
            <color indexed="81"/>
            <rFont val="Tahoma"/>
            <family val="2"/>
          </rPr>
          <t xml:space="preserve">
- FIXED CHARGES FOR DOMESTIC CUSTOMERS.
- SEWERAGE CHARGE FOR DOMESTIC CUSTOMERS IS 20%OF WATER BILL FOR; MWSC, NWSC, &amp; 30% for LWSC&amp;KWSC 40% NWWSC &amp; KWSC .
- Other charges: SANITATION SURCHARGE AT 2.5% OF WATER BILL, EXCEPT FOR NKANA WSC (NWSC) AT 3%.</t>
        </r>
      </text>
    </comment>
    <comment ref="C258" authorId="1" shapeId="0">
      <text>
        <r>
          <rPr>
            <b/>
            <sz val="9"/>
            <color indexed="81"/>
            <rFont val="Tahoma"/>
            <family val="2"/>
          </rPr>
          <t>Ann Bijnens:</t>
        </r>
        <r>
          <rPr>
            <sz val="9"/>
            <color indexed="81"/>
            <rFont val="Tahoma"/>
            <family val="2"/>
          </rPr>
          <t xml:space="preserve">
LWSC = Lusaka Water &amp; Sewerage Company</t>
        </r>
      </text>
    </comment>
    <comment ref="C259" authorId="1" shapeId="0">
      <text>
        <r>
          <rPr>
            <b/>
            <sz val="9"/>
            <color indexed="81"/>
            <rFont val="Tahoma"/>
            <family val="2"/>
          </rPr>
          <t>Ann Bijnens:</t>
        </r>
        <r>
          <rPr>
            <sz val="9"/>
            <color indexed="81"/>
            <rFont val="Tahoma"/>
            <family val="2"/>
          </rPr>
          <t xml:space="preserve">
NWSC = National Water and Sewerage Corporation</t>
        </r>
      </text>
    </comment>
    <comment ref="C260" authorId="1" shapeId="0">
      <text>
        <r>
          <rPr>
            <b/>
            <sz val="9"/>
            <color indexed="81"/>
            <rFont val="Tahoma"/>
            <family val="2"/>
          </rPr>
          <t>Ann Bijnens:</t>
        </r>
        <r>
          <rPr>
            <sz val="9"/>
            <color indexed="81"/>
            <rFont val="Tahoma"/>
            <family val="2"/>
          </rPr>
          <t xml:space="preserve">
KWSC = Kafubu Water and Sewerage Company</t>
        </r>
      </text>
    </comment>
    <comment ref="C261" authorId="1" shapeId="0">
      <text>
        <r>
          <rPr>
            <b/>
            <sz val="9"/>
            <color indexed="81"/>
            <rFont val="Tahoma"/>
            <family val="2"/>
          </rPr>
          <t>Ann Bijnens:</t>
        </r>
        <r>
          <rPr>
            <sz val="9"/>
            <color indexed="81"/>
            <rFont val="Tahoma"/>
            <family val="2"/>
          </rPr>
          <t xml:space="preserve">
MWSC = Mulonga Water and Sewerage Company</t>
        </r>
      </text>
    </comment>
    <comment ref="C262" authorId="1" shapeId="0">
      <text>
        <r>
          <rPr>
            <b/>
            <sz val="9"/>
            <color indexed="81"/>
            <rFont val="Tahoma"/>
            <family val="2"/>
          </rPr>
          <t>Ann Bijnens:</t>
        </r>
        <r>
          <rPr>
            <sz val="9"/>
            <color indexed="81"/>
            <rFont val="Tahoma"/>
            <family val="2"/>
          </rPr>
          <t xml:space="preserve">
NWWSSC = North Western Water Supply and Sewerage Company</t>
        </r>
      </text>
    </comment>
    <comment ref="A311" authorId="1" shapeId="0">
      <text>
        <r>
          <rPr>
            <b/>
            <sz val="9"/>
            <color indexed="81"/>
            <rFont val="Tahoma"/>
            <family val="2"/>
          </rPr>
          <t>Ann Bijnens:</t>
        </r>
        <r>
          <rPr>
            <sz val="9"/>
            <color indexed="81"/>
            <rFont val="Tahoma"/>
            <family val="2"/>
          </rPr>
          <t xml:space="preserve">
charges 2015: VAT of 5% on drinking water and VAT of 10% on sewerage and waste water components </t>
        </r>
      </text>
    </comment>
    <comment ref="D341" authorId="0" shapeId="0">
      <text>
        <r>
          <rPr>
            <b/>
            <sz val="9"/>
            <color indexed="81"/>
            <rFont val="Tahoma"/>
            <family val="2"/>
          </rPr>
          <t>bijnensa:</t>
        </r>
        <r>
          <rPr>
            <sz val="9"/>
            <color indexed="81"/>
            <rFont val="Tahoma"/>
            <family val="2"/>
          </rPr>
          <t xml:space="preserve">
laatst gekende GDP van jaar 2013</t>
        </r>
      </text>
    </comment>
    <comment ref="A342" authorId="1" shapeId="0">
      <text>
        <r>
          <rPr>
            <b/>
            <sz val="9"/>
            <color indexed="81"/>
            <rFont val="Tahoma"/>
            <family val="2"/>
          </rPr>
          <t xml:space="preserve">Ann Bijnens:
</t>
        </r>
        <r>
          <rPr>
            <sz val="9"/>
            <color indexed="81"/>
            <rFont val="Tahoma"/>
            <family val="2"/>
          </rPr>
          <t>There are no regional differences in water rates</t>
        </r>
      </text>
    </comment>
    <comment ref="F342" authorId="1" shapeId="0">
      <text>
        <r>
          <rPr>
            <b/>
            <sz val="9"/>
            <color indexed="81"/>
            <rFont val="Tahoma"/>
            <family val="2"/>
          </rPr>
          <t>Ann Bijnens:</t>
        </r>
        <r>
          <rPr>
            <sz val="9"/>
            <color indexed="81"/>
            <rFont val="Tahoma"/>
            <family val="2"/>
          </rPr>
          <t xml:space="preserve">
Increasing block tariff at €1.3965/m3 up to 33m3/person/annum and €5.1395/m3 above 33m3/person/annum. Assume water consumption spread evenly over the year.</t>
        </r>
      </text>
    </comment>
    <comment ref="I349" authorId="1" shapeId="0">
      <text>
        <r>
          <rPr>
            <b/>
            <sz val="9"/>
            <color indexed="81"/>
            <rFont val="Tahoma"/>
            <family val="2"/>
          </rPr>
          <t>Ann Bijnens:</t>
        </r>
        <r>
          <rPr>
            <sz val="9"/>
            <color indexed="81"/>
            <rFont val="Tahoma"/>
            <family val="2"/>
          </rPr>
          <t xml:space="preserve">
other charges: tap water tax</t>
        </r>
      </text>
    </comment>
    <comment ref="G350" authorId="0" shapeId="0">
      <text>
        <r>
          <rPr>
            <b/>
            <sz val="9"/>
            <color indexed="81"/>
            <rFont val="Tahoma"/>
            <family val="2"/>
          </rPr>
          <t>bijnensa:</t>
        </r>
        <r>
          <rPr>
            <sz val="9"/>
            <color indexed="81"/>
            <rFont val="Tahoma"/>
            <family val="2"/>
          </rPr>
          <t xml:space="preserve">
distribution and concession reimbursements ("precario")</t>
        </r>
      </text>
    </comment>
    <comment ref="I350" authorId="1" shapeId="0">
      <text>
        <r>
          <rPr>
            <b/>
            <sz val="9"/>
            <color indexed="81"/>
            <rFont val="Tahoma"/>
            <family val="2"/>
          </rPr>
          <t>Ann Bijnens:</t>
        </r>
        <r>
          <rPr>
            <sz val="9"/>
            <color indexed="81"/>
            <rFont val="Tahoma"/>
            <family val="2"/>
          </rPr>
          <t xml:space="preserve">
other charges: tap water tax</t>
        </r>
      </text>
    </comment>
    <comment ref="G351" authorId="0" shapeId="0">
      <text>
        <r>
          <rPr>
            <b/>
            <sz val="9"/>
            <color indexed="81"/>
            <rFont val="Tahoma"/>
            <family val="2"/>
          </rPr>
          <t>bijnensa:</t>
        </r>
        <r>
          <rPr>
            <sz val="9"/>
            <color indexed="81"/>
            <rFont val="Tahoma"/>
            <family val="2"/>
          </rPr>
          <t xml:space="preserve">
distribution and concession reimbursements ("precario")</t>
        </r>
      </text>
    </comment>
    <comment ref="I351" authorId="1" shapeId="0">
      <text>
        <r>
          <rPr>
            <b/>
            <sz val="9"/>
            <color indexed="81"/>
            <rFont val="Tahoma"/>
            <family val="2"/>
          </rPr>
          <t>Ann Bijnens:</t>
        </r>
        <r>
          <rPr>
            <sz val="9"/>
            <color indexed="81"/>
            <rFont val="Tahoma"/>
            <family val="2"/>
          </rPr>
          <t xml:space="preserve">
other charges: tap water tax</t>
        </r>
      </text>
    </comment>
    <comment ref="I352" authorId="1" shapeId="0">
      <text>
        <r>
          <rPr>
            <b/>
            <sz val="9"/>
            <color indexed="81"/>
            <rFont val="Tahoma"/>
            <family val="2"/>
          </rPr>
          <t>Ann Bijnens:</t>
        </r>
        <r>
          <rPr>
            <sz val="9"/>
            <color indexed="81"/>
            <rFont val="Tahoma"/>
            <family val="2"/>
          </rPr>
          <t xml:space="preserve">
other charges: tap water tax</t>
        </r>
      </text>
    </comment>
    <comment ref="I353" authorId="1" shapeId="0">
      <text>
        <r>
          <rPr>
            <b/>
            <sz val="9"/>
            <color indexed="81"/>
            <rFont val="Tahoma"/>
            <family val="2"/>
          </rPr>
          <t>Ann Bijnens:</t>
        </r>
        <r>
          <rPr>
            <sz val="9"/>
            <color indexed="81"/>
            <rFont val="Tahoma"/>
            <family val="2"/>
          </rPr>
          <t xml:space="preserve">
other charges: tap water tax</t>
        </r>
      </text>
    </comment>
    <comment ref="C372" authorId="1" shapeId="0">
      <text>
        <r>
          <rPr>
            <b/>
            <sz val="9"/>
            <color indexed="81"/>
            <rFont val="Tahoma"/>
            <family val="2"/>
          </rPr>
          <t>Ann Bijnens:</t>
        </r>
        <r>
          <rPr>
            <sz val="9"/>
            <color indexed="81"/>
            <rFont val="Tahoma"/>
            <family val="2"/>
          </rPr>
          <t xml:space="preserve">
charges 2015: during summer the population supplied is over 1.000.000 inhabitans due the seaside areas</t>
        </r>
      </text>
    </comment>
    <comment ref="C378" authorId="1" shapeId="0">
      <text>
        <r>
          <rPr>
            <b/>
            <sz val="9"/>
            <color indexed="81"/>
            <rFont val="Tahoma"/>
            <family val="2"/>
          </rPr>
          <t>Ann Bijnens:</t>
        </r>
        <r>
          <rPr>
            <sz val="9"/>
            <color indexed="81"/>
            <rFont val="Tahoma"/>
            <family val="2"/>
          </rPr>
          <t xml:space="preserve">
charges 2015: population data are calculated based on clients declaration. All citizen have acces to water supply and sewerage services</t>
        </r>
      </text>
    </comment>
    <comment ref="A387" authorId="1" shapeId="0">
      <text>
        <r>
          <rPr>
            <b/>
            <sz val="9"/>
            <color indexed="81"/>
            <rFont val="Tahoma"/>
            <family val="2"/>
          </rPr>
          <t>Ann Bijnens:</t>
        </r>
        <r>
          <rPr>
            <sz val="9"/>
            <color indexed="81"/>
            <rFont val="Tahoma"/>
            <family val="2"/>
          </rPr>
          <t xml:space="preserve">
In Scotland the majority of domestic properties pay their water charges based upon the rateable value of the property. The rateable value is a  value ascribed to a domestic or commercial building based on its size, location, and other factors, and is used to determine the local tax payable by its owner to the local authority. The rateable value is assigned to one of 8 bands - A to H and a property is allocated to a band, with Band A properties generally being the smallest properties.</t>
        </r>
      </text>
    </comment>
    <comment ref="A430" authorId="1" shapeId="0">
      <text>
        <r>
          <rPr>
            <b/>
            <sz val="9"/>
            <color indexed="81"/>
            <rFont val="Tahoma"/>
            <family val="2"/>
          </rPr>
          <t>Ann Bijnens:</t>
        </r>
        <r>
          <rPr>
            <sz val="9"/>
            <color indexed="81"/>
            <rFont val="Tahoma"/>
            <family val="2"/>
          </rPr>
          <t xml:space="preserve">
- FIXED CHARGES FOR DOMESTIC CUSTOMERS.
- SEWERAGE CHARGE FOR DOMESTIC CUSTOMERS IS 20%OF WATER BILL FOR; MWSC, NWSC, &amp; 30% for LWSC&amp;KWSC 40% NWWSC &amp; KWSC .
- Other charges: SANITATION SURCHARGE AT 2.5% OF WATER BILL, EXCEPT FOR NKANA WSC (NWSC) AT 3%.</t>
        </r>
      </text>
    </comment>
    <comment ref="C430" authorId="1" shapeId="0">
      <text>
        <r>
          <rPr>
            <b/>
            <sz val="9"/>
            <color indexed="81"/>
            <rFont val="Tahoma"/>
            <family val="2"/>
          </rPr>
          <t>Ann Bijnens:</t>
        </r>
        <r>
          <rPr>
            <sz val="9"/>
            <color indexed="81"/>
            <rFont val="Tahoma"/>
            <family val="2"/>
          </rPr>
          <t xml:space="preserve">
LWSC = Lusaka Water &amp; Sewerage Company</t>
        </r>
      </text>
    </comment>
    <comment ref="C431" authorId="1" shapeId="0">
      <text>
        <r>
          <rPr>
            <b/>
            <sz val="9"/>
            <color indexed="81"/>
            <rFont val="Tahoma"/>
            <family val="2"/>
          </rPr>
          <t>Ann Bijnens:</t>
        </r>
        <r>
          <rPr>
            <sz val="9"/>
            <color indexed="81"/>
            <rFont val="Tahoma"/>
            <family val="2"/>
          </rPr>
          <t xml:space="preserve">
NWSC = National Water and Sewerage Corporation</t>
        </r>
      </text>
    </comment>
    <comment ref="C432" authorId="1" shapeId="0">
      <text>
        <r>
          <rPr>
            <b/>
            <sz val="9"/>
            <color indexed="81"/>
            <rFont val="Tahoma"/>
            <family val="2"/>
          </rPr>
          <t>Ann Bijnens:</t>
        </r>
        <r>
          <rPr>
            <sz val="9"/>
            <color indexed="81"/>
            <rFont val="Tahoma"/>
            <family val="2"/>
          </rPr>
          <t xml:space="preserve">
KWSC = Kafubu Water and Sewerage Company</t>
        </r>
      </text>
    </comment>
    <comment ref="C433" authorId="1" shapeId="0">
      <text>
        <r>
          <rPr>
            <b/>
            <sz val="9"/>
            <color indexed="81"/>
            <rFont val="Tahoma"/>
            <family val="2"/>
          </rPr>
          <t>Ann Bijnens:</t>
        </r>
        <r>
          <rPr>
            <sz val="9"/>
            <color indexed="81"/>
            <rFont val="Tahoma"/>
            <family val="2"/>
          </rPr>
          <t xml:space="preserve">
MWSC = Mulonga Water and Sewerage Company</t>
        </r>
      </text>
    </comment>
    <comment ref="C434" authorId="1" shapeId="0">
      <text>
        <r>
          <rPr>
            <b/>
            <sz val="9"/>
            <color indexed="81"/>
            <rFont val="Tahoma"/>
            <family val="2"/>
          </rPr>
          <t>Ann Bijnens:</t>
        </r>
        <r>
          <rPr>
            <sz val="9"/>
            <color indexed="81"/>
            <rFont val="Tahoma"/>
            <family val="2"/>
          </rPr>
          <t xml:space="preserve">
NWWSSC = North Western Water Supply and Sewerage Company</t>
        </r>
      </text>
    </comment>
    <comment ref="A439" authorId="1" shapeId="0">
      <text>
        <r>
          <rPr>
            <b/>
            <sz val="9"/>
            <color indexed="81"/>
            <rFont val="Tahoma"/>
            <family val="2"/>
          </rPr>
          <t>Ann Bijnens:</t>
        </r>
        <r>
          <rPr>
            <sz val="9"/>
            <color indexed="81"/>
            <rFont val="Tahoma"/>
            <family val="2"/>
          </rPr>
          <t xml:space="preserve">
LWSC = Lusaka Water &amp; Sewerage Company</t>
        </r>
      </text>
    </comment>
    <comment ref="A446" authorId="1" shapeId="0">
      <text>
        <r>
          <rPr>
            <b/>
            <sz val="9"/>
            <color indexed="81"/>
            <rFont val="Tahoma"/>
            <family val="2"/>
          </rPr>
          <t>Ann Bijnens:</t>
        </r>
        <r>
          <rPr>
            <sz val="9"/>
            <color indexed="81"/>
            <rFont val="Tahoma"/>
            <family val="2"/>
          </rPr>
          <t xml:space="preserve">
charges 2015: population data are calculated based on clients declaration. All citizen have acces to water supply and sewerage services</t>
        </r>
      </text>
    </comment>
    <comment ref="G456" authorId="1" shapeId="0">
      <text>
        <r>
          <rPr>
            <b/>
            <sz val="9"/>
            <color indexed="81"/>
            <rFont val="Tahoma"/>
            <family val="2"/>
          </rPr>
          <t>Ann Bijnens:</t>
        </r>
        <r>
          <rPr>
            <sz val="9"/>
            <color indexed="81"/>
            <rFont val="Tahoma"/>
            <family val="2"/>
          </rPr>
          <t xml:space="preserve">
other charges: tap water tax</t>
        </r>
      </text>
    </comment>
  </commentList>
</comments>
</file>

<file path=xl/comments18.xml><?xml version="1.0" encoding="utf-8"?>
<comments xmlns="http://schemas.openxmlformats.org/spreadsheetml/2006/main">
  <authors>
    <author>Ann Bijnens</author>
    <author>bijnensa</author>
  </authors>
  <commentList>
    <comment ref="I24" authorId="0" shapeId="0">
      <text>
        <r>
          <rPr>
            <b/>
            <sz val="9"/>
            <color indexed="81"/>
            <rFont val="Tahoma"/>
            <family val="2"/>
          </rPr>
          <t>Ann Bijnens:</t>
        </r>
        <r>
          <rPr>
            <sz val="9"/>
            <color indexed="81"/>
            <rFont val="Tahoma"/>
            <family val="2"/>
          </rPr>
          <t xml:space="preserve">
Federal Ministry of Agriculture, Forestry, Environment and Water Management, University of Natural Resources and Life Sciences, 2012</t>
        </r>
      </text>
    </comment>
    <comment ref="A42" authorId="0" shapeId="0">
      <text>
        <r>
          <rPr>
            <b/>
            <sz val="9"/>
            <color indexed="81"/>
            <rFont val="Tahoma"/>
            <family val="2"/>
          </rPr>
          <t>Ann Bijnens:</t>
        </r>
        <r>
          <rPr>
            <sz val="9"/>
            <color indexed="81"/>
            <rFont val="Tahoma"/>
            <family val="2"/>
          </rPr>
          <t xml:space="preserve">
consumption 2016: the billed volume includes industry, administrations and all other consumers</t>
        </r>
      </text>
    </comment>
    <comment ref="B47" authorId="1" shapeId="0">
      <text>
        <r>
          <rPr>
            <b/>
            <sz val="9"/>
            <color indexed="81"/>
            <rFont val="Tahoma"/>
            <family val="2"/>
          </rPr>
          <t>bijnensa:</t>
        </r>
        <r>
          <rPr>
            <sz val="9"/>
            <color indexed="81"/>
            <rFont val="Tahoma"/>
            <family val="2"/>
          </rPr>
          <t xml:space="preserve">
domestic and standpipes</t>
        </r>
      </text>
    </comment>
    <comment ref="A68" authorId="1" shapeId="0">
      <text>
        <r>
          <rPr>
            <b/>
            <sz val="9"/>
            <color indexed="81"/>
            <rFont val="Tahoma"/>
            <family val="2"/>
          </rPr>
          <t>bijnensa:</t>
        </r>
        <r>
          <rPr>
            <sz val="9"/>
            <color indexed="81"/>
            <rFont val="Tahoma"/>
            <family val="2"/>
          </rPr>
          <t xml:space="preserve">
figures in 2010: In Hong Kong the water resources are basically from rainfall and Dongjijang Water (Import from China). We make use of impounding reservoirs to store the raw water as reserve from these two sources to cater for the fluctuating demand. Whenever the water demand exceeds Water Abstraction in a particular year, the water stored as reserve in previous years would be used to meet the demand. As no recycled water was used as fresh water supply in Hong Kong, this means some reserves were used in 2010. This resulted in the total volume of Annual Water Consumption greater than that of Total Water Abstraction in 2010.</t>
        </r>
      </text>
    </comment>
    <comment ref="F85" authorId="1" shapeId="0">
      <text>
        <r>
          <rPr>
            <b/>
            <sz val="9"/>
            <color indexed="81"/>
            <rFont val="Tahoma"/>
            <family val="2"/>
          </rPr>
          <t>bijnensa:</t>
        </r>
        <r>
          <rPr>
            <sz val="9"/>
            <color indexed="81"/>
            <rFont val="Tahoma"/>
            <family val="2"/>
          </rPr>
          <t xml:space="preserve">
total invoiced consumption of Helsinki Region Environmental Services Authority (operating in cities of Espoo, Kauniainen, Helsinki and Vantaa)</t>
        </r>
      </text>
    </comment>
    <comment ref="G85" authorId="1" shapeId="0">
      <text>
        <r>
          <rPr>
            <b/>
            <sz val="9"/>
            <color indexed="81"/>
            <rFont val="Tahoma"/>
            <family val="2"/>
          </rPr>
          <t>bijnensa:</t>
        </r>
        <r>
          <rPr>
            <sz val="9"/>
            <color indexed="81"/>
            <rFont val="Tahoma"/>
            <family val="2"/>
          </rPr>
          <t xml:space="preserve">
total invoiced consumption of Helsinki Region Environmental Services Authority (operating in cities of Espoo, Kauniainen, Helsinki and Vantaa)</t>
        </r>
      </text>
    </comment>
    <comment ref="N85" authorId="1" shapeId="0">
      <text>
        <r>
          <rPr>
            <b/>
            <sz val="9"/>
            <color indexed="81"/>
            <rFont val="Tahoma"/>
            <family val="2"/>
          </rPr>
          <t>bijnensa:</t>
        </r>
        <r>
          <rPr>
            <sz val="9"/>
            <color indexed="81"/>
            <rFont val="Tahoma"/>
            <family val="2"/>
          </rPr>
          <t xml:space="preserve">
total invoiced consumption of Helsinki Region Environmental Services Authority (operating in cities of Espoo, Kauniainen, Helsinki and Vantaa)</t>
        </r>
      </text>
    </comment>
    <comment ref="O85" authorId="1" shapeId="0">
      <text>
        <r>
          <rPr>
            <b/>
            <sz val="9"/>
            <color indexed="81"/>
            <rFont val="Tahoma"/>
            <family val="2"/>
          </rPr>
          <t>bijnensa:</t>
        </r>
        <r>
          <rPr>
            <sz val="9"/>
            <color indexed="81"/>
            <rFont val="Tahoma"/>
            <family val="2"/>
          </rPr>
          <t xml:space="preserve">
total invoiced consumption of Helsinki Region Environmental Services Authority (operating in cities of Espoo, Kauniainen, Helsinki and Vantaa)</t>
        </r>
      </text>
    </comment>
    <comment ref="Q85" authorId="0" shapeId="0">
      <text>
        <r>
          <rPr>
            <b/>
            <sz val="9"/>
            <color indexed="81"/>
            <rFont val="Tahoma"/>
            <family val="2"/>
          </rPr>
          <t>Ann Bijnens:</t>
        </r>
        <r>
          <rPr>
            <sz val="9"/>
            <color indexed="81"/>
            <rFont val="Tahoma"/>
            <family val="2"/>
          </rPr>
          <t xml:space="preserve">
total invoiced consumption of Helsinki Region Environmental Services Authority (operating in cities of Espoo, Kauniainen, Helsinki and Vantaa)</t>
        </r>
      </text>
    </comment>
    <comment ref="F86" authorId="1" shapeId="0">
      <text>
        <r>
          <rPr>
            <b/>
            <sz val="9"/>
            <color indexed="81"/>
            <rFont val="Tahoma"/>
            <family val="2"/>
          </rPr>
          <t>bijnensa:</t>
        </r>
        <r>
          <rPr>
            <sz val="9"/>
            <color indexed="81"/>
            <rFont val="Tahoma"/>
            <family val="2"/>
          </rPr>
          <t xml:space="preserve">
total invoiced consumption of Helsinki Region Environmental Services Authority (operating in cities of Espoo, Kauniainen, Helsinki and Vantaa)</t>
        </r>
      </text>
    </comment>
    <comment ref="G86" authorId="1" shapeId="0">
      <text>
        <r>
          <rPr>
            <b/>
            <sz val="9"/>
            <color indexed="81"/>
            <rFont val="Tahoma"/>
            <family val="2"/>
          </rPr>
          <t>bijnensa:</t>
        </r>
        <r>
          <rPr>
            <sz val="9"/>
            <color indexed="81"/>
            <rFont val="Tahoma"/>
            <family val="2"/>
          </rPr>
          <t xml:space="preserve">
total invoiced consumption of Helsinki Region Environmental Services Authority (operating in cities of Espoo, Kauniainen, Helsinki and Vantaa)</t>
        </r>
      </text>
    </comment>
    <comment ref="N86" authorId="1" shapeId="0">
      <text>
        <r>
          <rPr>
            <b/>
            <sz val="9"/>
            <color indexed="81"/>
            <rFont val="Tahoma"/>
            <family val="2"/>
          </rPr>
          <t>bijnensa:</t>
        </r>
        <r>
          <rPr>
            <sz val="9"/>
            <color indexed="81"/>
            <rFont val="Tahoma"/>
            <family val="2"/>
          </rPr>
          <t xml:space="preserve">
total invoiced consumption of Helsinki Region Environmental Services Authority (operating in cities of Espoo, Kauniainen, Helsinki and Vantaa)</t>
        </r>
      </text>
    </comment>
    <comment ref="O86" authorId="1" shapeId="0">
      <text>
        <r>
          <rPr>
            <b/>
            <sz val="9"/>
            <color indexed="81"/>
            <rFont val="Tahoma"/>
            <family val="2"/>
          </rPr>
          <t>bijnensa:</t>
        </r>
        <r>
          <rPr>
            <sz val="9"/>
            <color indexed="81"/>
            <rFont val="Tahoma"/>
            <family val="2"/>
          </rPr>
          <t xml:space="preserve">
total invoiced consumption of Helsinki Region Environmental Services Authority (operating in cities of Espoo, Kauniainen, Helsinki and Vantaa)</t>
        </r>
      </text>
    </comment>
    <comment ref="Q86" authorId="0" shapeId="0">
      <text>
        <r>
          <rPr>
            <b/>
            <sz val="9"/>
            <color indexed="81"/>
            <rFont val="Tahoma"/>
            <family val="2"/>
          </rPr>
          <t>Ann Bijnens:</t>
        </r>
        <r>
          <rPr>
            <sz val="9"/>
            <color indexed="81"/>
            <rFont val="Tahoma"/>
            <family val="2"/>
          </rPr>
          <t xml:space="preserve">
total invoiced consumption of Helsinki Region Environmental Services Authority (operating in cities of Espoo, Kauniainen, Helsinki and Vantaa)</t>
        </r>
      </text>
    </comment>
    <comment ref="F88" authorId="1" shapeId="0">
      <text>
        <r>
          <rPr>
            <b/>
            <sz val="9"/>
            <color indexed="81"/>
            <rFont val="Tahoma"/>
            <family val="2"/>
          </rPr>
          <t>bijnensa:</t>
        </r>
        <r>
          <rPr>
            <sz val="9"/>
            <color indexed="81"/>
            <rFont val="Tahoma"/>
            <family val="2"/>
          </rPr>
          <t xml:space="preserve">
data from year 2009</t>
        </r>
      </text>
    </comment>
    <comment ref="F90" authorId="1" shapeId="0">
      <text>
        <r>
          <rPr>
            <b/>
            <sz val="9"/>
            <color indexed="81"/>
            <rFont val="Tahoma"/>
            <family val="2"/>
          </rPr>
          <t>bijnensa:</t>
        </r>
        <r>
          <rPr>
            <sz val="9"/>
            <color indexed="81"/>
            <rFont val="Tahoma"/>
            <family val="2"/>
          </rPr>
          <t xml:space="preserve">
total invoiced consumption of Helsinki Region Environmental Services Authority (operating in cities of Espoo, Kauniainen, Helsinki and Vantaa)</t>
        </r>
      </text>
    </comment>
    <comment ref="G90" authorId="1" shapeId="0">
      <text>
        <r>
          <rPr>
            <b/>
            <sz val="9"/>
            <color indexed="81"/>
            <rFont val="Tahoma"/>
            <family val="2"/>
          </rPr>
          <t>bijnensa:</t>
        </r>
        <r>
          <rPr>
            <sz val="9"/>
            <color indexed="81"/>
            <rFont val="Tahoma"/>
            <family val="2"/>
          </rPr>
          <t xml:space="preserve">
total invoiced consumption of Helsinki Region Environmental Services Authority (operating in cities of Espoo, Kauniainen, Helsinki and Vantaa)</t>
        </r>
      </text>
    </comment>
    <comment ref="N90" authorId="1" shapeId="0">
      <text>
        <r>
          <rPr>
            <b/>
            <sz val="9"/>
            <color indexed="81"/>
            <rFont val="Tahoma"/>
            <family val="2"/>
          </rPr>
          <t>bijnensa:</t>
        </r>
        <r>
          <rPr>
            <sz val="9"/>
            <color indexed="81"/>
            <rFont val="Tahoma"/>
            <family val="2"/>
          </rPr>
          <t xml:space="preserve">
total invoiced consumption of Helsinki Region Environmental Services Authority (operating in cities of Espoo, Kauniainen, Helsinki and Vantaa)</t>
        </r>
      </text>
    </comment>
    <comment ref="O90" authorId="1" shapeId="0">
      <text>
        <r>
          <rPr>
            <b/>
            <sz val="9"/>
            <color indexed="81"/>
            <rFont val="Tahoma"/>
            <family val="2"/>
          </rPr>
          <t>bijnensa:</t>
        </r>
        <r>
          <rPr>
            <sz val="9"/>
            <color indexed="81"/>
            <rFont val="Tahoma"/>
            <family val="2"/>
          </rPr>
          <t xml:space="preserve">
total invoiced consumption of Helsinki Region Environmental Services Authority (operating in cities of Espoo, Kauniainen, Helsinki and Vantaa)</t>
        </r>
      </text>
    </comment>
    <comment ref="Q90" authorId="0" shapeId="0">
      <text>
        <r>
          <rPr>
            <b/>
            <sz val="9"/>
            <color indexed="81"/>
            <rFont val="Tahoma"/>
            <family val="2"/>
          </rPr>
          <t>Ann Bijnens:</t>
        </r>
        <r>
          <rPr>
            <sz val="9"/>
            <color indexed="81"/>
            <rFont val="Tahoma"/>
            <family val="2"/>
          </rPr>
          <t xml:space="preserve">
total invoiced consumption of Helsinki Region Environmental Services Authority (operating in cities of Espoo, Kauniainen, Helsinki and Vantaa)</t>
        </r>
      </text>
    </comment>
    <comment ref="G121" authorId="1" shapeId="0">
      <text>
        <r>
          <rPr>
            <b/>
            <sz val="9"/>
            <color indexed="81"/>
            <rFont val="Tahoma"/>
            <family val="2"/>
          </rPr>
          <t>bijnensa:</t>
        </r>
        <r>
          <rPr>
            <sz val="9"/>
            <color indexed="81"/>
            <rFont val="Tahoma"/>
            <family val="2"/>
          </rPr>
          <t xml:space="preserve">
including use by municipality and institutions (schools…)</t>
        </r>
      </text>
    </comment>
    <comment ref="O121" authorId="1" shapeId="0">
      <text>
        <r>
          <rPr>
            <b/>
            <sz val="9"/>
            <color indexed="81"/>
            <rFont val="Tahoma"/>
            <family val="2"/>
          </rPr>
          <t>bijnensa:</t>
        </r>
        <r>
          <rPr>
            <sz val="9"/>
            <color indexed="81"/>
            <rFont val="Tahoma"/>
            <family val="2"/>
          </rPr>
          <t xml:space="preserve">
figure of year 2011</t>
        </r>
      </text>
    </comment>
    <comment ref="G122" authorId="1" shapeId="0">
      <text>
        <r>
          <rPr>
            <b/>
            <sz val="9"/>
            <color indexed="81"/>
            <rFont val="Tahoma"/>
            <family val="2"/>
          </rPr>
          <t>bijnensa:</t>
        </r>
        <r>
          <rPr>
            <sz val="9"/>
            <color indexed="81"/>
            <rFont val="Tahoma"/>
            <family val="2"/>
          </rPr>
          <t xml:space="preserve">
data of 2010 due to lack of more recent data</t>
        </r>
      </text>
    </comment>
    <comment ref="O122" authorId="1" shapeId="0">
      <text>
        <r>
          <rPr>
            <b/>
            <sz val="9"/>
            <color indexed="81"/>
            <rFont val="Tahoma"/>
            <family val="2"/>
          </rPr>
          <t>bijnensa:</t>
        </r>
        <r>
          <rPr>
            <sz val="9"/>
            <color indexed="81"/>
            <rFont val="Tahoma"/>
            <family val="2"/>
          </rPr>
          <t xml:space="preserve">
data of 2011</t>
        </r>
      </text>
    </comment>
    <comment ref="G123" authorId="1" shapeId="0">
      <text>
        <r>
          <rPr>
            <b/>
            <sz val="9"/>
            <color indexed="81"/>
            <rFont val="Tahoma"/>
            <family val="2"/>
          </rPr>
          <t>bijnensa:</t>
        </r>
        <r>
          <rPr>
            <sz val="9"/>
            <color indexed="81"/>
            <rFont val="Tahoma"/>
            <family val="2"/>
          </rPr>
          <t xml:space="preserve">
data of 2010 due to lack of more recent data</t>
        </r>
      </text>
    </comment>
    <comment ref="O123" authorId="1" shapeId="0">
      <text>
        <r>
          <rPr>
            <b/>
            <sz val="9"/>
            <color indexed="81"/>
            <rFont val="Tahoma"/>
            <family val="2"/>
          </rPr>
          <t>bijnensa:</t>
        </r>
        <r>
          <rPr>
            <sz val="9"/>
            <color indexed="81"/>
            <rFont val="Tahoma"/>
            <family val="2"/>
          </rPr>
          <t xml:space="preserve">
data of 2011</t>
        </r>
      </text>
    </comment>
    <comment ref="G124" authorId="1" shapeId="0">
      <text>
        <r>
          <rPr>
            <b/>
            <sz val="9"/>
            <color indexed="81"/>
            <rFont val="Tahoma"/>
            <family val="2"/>
          </rPr>
          <t>bijnensa:</t>
        </r>
        <r>
          <rPr>
            <sz val="9"/>
            <color indexed="81"/>
            <rFont val="Tahoma"/>
            <family val="2"/>
          </rPr>
          <t xml:space="preserve">
data of 2010 due to lack of more recent data</t>
        </r>
      </text>
    </comment>
    <comment ref="O124" authorId="1" shapeId="0">
      <text>
        <r>
          <rPr>
            <b/>
            <sz val="9"/>
            <color indexed="81"/>
            <rFont val="Tahoma"/>
            <family val="2"/>
          </rPr>
          <t>bijnensa:</t>
        </r>
        <r>
          <rPr>
            <sz val="9"/>
            <color indexed="81"/>
            <rFont val="Tahoma"/>
            <family val="2"/>
          </rPr>
          <t xml:space="preserve">
data of 2011</t>
        </r>
      </text>
    </comment>
    <comment ref="G125" authorId="1" shapeId="0">
      <text>
        <r>
          <rPr>
            <b/>
            <sz val="9"/>
            <color indexed="81"/>
            <rFont val="Tahoma"/>
            <family val="2"/>
          </rPr>
          <t>bijnensa:</t>
        </r>
        <r>
          <rPr>
            <sz val="9"/>
            <color indexed="81"/>
            <rFont val="Tahoma"/>
            <family val="2"/>
          </rPr>
          <t xml:space="preserve">
data of 2010 due to lack of more recent data</t>
        </r>
      </text>
    </comment>
    <comment ref="O125" authorId="1" shapeId="0">
      <text>
        <r>
          <rPr>
            <b/>
            <sz val="9"/>
            <color indexed="81"/>
            <rFont val="Tahoma"/>
            <family val="2"/>
          </rPr>
          <t>bijnensa:</t>
        </r>
        <r>
          <rPr>
            <sz val="9"/>
            <color indexed="81"/>
            <rFont val="Tahoma"/>
            <family val="2"/>
          </rPr>
          <t xml:space="preserve">
data of 2011</t>
        </r>
      </text>
    </comment>
    <comment ref="G126" authorId="1" shapeId="0">
      <text>
        <r>
          <rPr>
            <b/>
            <sz val="9"/>
            <color indexed="81"/>
            <rFont val="Tahoma"/>
            <family val="2"/>
          </rPr>
          <t>bijnensa:</t>
        </r>
        <r>
          <rPr>
            <sz val="9"/>
            <color indexed="81"/>
            <rFont val="Tahoma"/>
            <family val="2"/>
          </rPr>
          <t xml:space="preserve">
aanlevering via Renato Parena</t>
        </r>
      </text>
    </comment>
    <comment ref="O126" authorId="1" shapeId="0">
      <text>
        <r>
          <rPr>
            <b/>
            <sz val="9"/>
            <color indexed="81"/>
            <rFont val="Tahoma"/>
            <family val="2"/>
          </rPr>
          <t>bijnensa:</t>
        </r>
        <r>
          <rPr>
            <sz val="9"/>
            <color indexed="81"/>
            <rFont val="Tahoma"/>
            <family val="2"/>
          </rPr>
          <t xml:space="preserve">
data of 2011</t>
        </r>
      </text>
    </comment>
    <comment ref="A144" authorId="0" shapeId="0">
      <text>
        <r>
          <rPr>
            <b/>
            <sz val="9"/>
            <color indexed="81"/>
            <rFont val="Tahoma"/>
            <family val="2"/>
          </rPr>
          <t>Ann Bijnens:</t>
        </r>
        <r>
          <rPr>
            <sz val="9"/>
            <color indexed="81"/>
            <rFont val="Tahoma"/>
            <family val="2"/>
          </rPr>
          <t xml:space="preserve">
only the billed water consumption for households </t>
        </r>
      </text>
    </comment>
    <comment ref="H158" authorId="0" shapeId="0">
      <text>
        <r>
          <rPr>
            <b/>
            <sz val="9"/>
            <color indexed="81"/>
            <rFont val="Tahoma"/>
            <family val="2"/>
          </rPr>
          <t>Ann Bijnens:</t>
        </r>
        <r>
          <rPr>
            <sz val="9"/>
            <color indexed="81"/>
            <rFont val="Tahoma"/>
            <family val="2"/>
          </rPr>
          <t xml:space="preserve">
data of 2013</t>
        </r>
      </text>
    </comment>
    <comment ref="H159" authorId="0" shapeId="0">
      <text>
        <r>
          <rPr>
            <b/>
            <sz val="9"/>
            <color indexed="81"/>
            <rFont val="Tahoma"/>
            <family val="2"/>
          </rPr>
          <t>Ann Bijnens:</t>
        </r>
        <r>
          <rPr>
            <sz val="9"/>
            <color indexed="81"/>
            <rFont val="Tahoma"/>
            <family val="2"/>
          </rPr>
          <t xml:space="preserve">
data of 2013</t>
        </r>
      </text>
    </comment>
    <comment ref="H160" authorId="0" shapeId="0">
      <text>
        <r>
          <rPr>
            <b/>
            <sz val="9"/>
            <color indexed="81"/>
            <rFont val="Tahoma"/>
            <family val="2"/>
          </rPr>
          <t>Ann Bijnens:</t>
        </r>
        <r>
          <rPr>
            <sz val="9"/>
            <color indexed="81"/>
            <rFont val="Tahoma"/>
            <family val="2"/>
          </rPr>
          <t xml:space="preserve">
data of 2013</t>
        </r>
      </text>
    </comment>
    <comment ref="H161" authorId="0" shapeId="0">
      <text>
        <r>
          <rPr>
            <b/>
            <sz val="9"/>
            <color indexed="81"/>
            <rFont val="Tahoma"/>
            <family val="2"/>
          </rPr>
          <t>Ann Bijnens:</t>
        </r>
        <r>
          <rPr>
            <sz val="9"/>
            <color indexed="81"/>
            <rFont val="Tahoma"/>
            <family val="2"/>
          </rPr>
          <t xml:space="preserve">
data of 2013</t>
        </r>
      </text>
    </comment>
    <comment ref="H162" authorId="0" shapeId="0">
      <text>
        <r>
          <rPr>
            <b/>
            <sz val="9"/>
            <color indexed="81"/>
            <rFont val="Tahoma"/>
            <family val="2"/>
          </rPr>
          <t>Ann Bijnens:</t>
        </r>
        <r>
          <rPr>
            <sz val="9"/>
            <color indexed="81"/>
            <rFont val="Tahoma"/>
            <family val="2"/>
          </rPr>
          <t xml:space="preserve">
data of 2013</t>
        </r>
      </text>
    </comment>
    <comment ref="H163" authorId="0" shapeId="0">
      <text>
        <r>
          <rPr>
            <b/>
            <sz val="9"/>
            <color indexed="81"/>
            <rFont val="Tahoma"/>
            <family val="2"/>
          </rPr>
          <t>Ann Bijnens:</t>
        </r>
        <r>
          <rPr>
            <sz val="9"/>
            <color indexed="81"/>
            <rFont val="Tahoma"/>
            <family val="2"/>
          </rPr>
          <t xml:space="preserve">
data of 2013</t>
        </r>
      </text>
    </comment>
    <comment ref="G180" authorId="0" shapeId="0">
      <text>
        <r>
          <rPr>
            <b/>
            <sz val="9"/>
            <color indexed="81"/>
            <rFont val="Tahoma"/>
            <family val="2"/>
          </rPr>
          <t>Ann Bijnens:</t>
        </r>
        <r>
          <rPr>
            <sz val="9"/>
            <color indexed="81"/>
            <rFont val="Tahoma"/>
            <family val="2"/>
          </rPr>
          <t xml:space="preserve">
adjustment from A. Cunha dd. 10/4/2018: from 173 to 134 l</t>
        </r>
      </text>
    </comment>
    <comment ref="H180" authorId="0" shapeId="0">
      <text>
        <r>
          <rPr>
            <b/>
            <sz val="9"/>
            <color indexed="81"/>
            <rFont val="Tahoma"/>
            <family val="2"/>
          </rPr>
          <t>Ann Bijnens:</t>
        </r>
        <r>
          <rPr>
            <sz val="9"/>
            <color indexed="81"/>
            <rFont val="Tahoma"/>
            <family val="2"/>
          </rPr>
          <t xml:space="preserve">
adjustment from A. Cunha dd. 10/4/2018: from 260 to 142 l</t>
        </r>
      </text>
    </comment>
    <comment ref="I180" authorId="0" shapeId="0">
      <text>
        <r>
          <rPr>
            <b/>
            <sz val="9"/>
            <color indexed="81"/>
            <rFont val="Tahoma"/>
            <family val="2"/>
          </rPr>
          <t>Ann Bijnens:</t>
        </r>
        <r>
          <rPr>
            <sz val="9"/>
            <color indexed="81"/>
            <rFont val="Tahoma"/>
            <family val="2"/>
          </rPr>
          <t xml:space="preserve">
adjustment from A. Cunha dd. 10/4/2018: from 149 to 148 l</t>
        </r>
      </text>
    </comment>
    <comment ref="G246" authorId="1" shapeId="0">
      <text>
        <r>
          <rPr>
            <b/>
            <sz val="9"/>
            <color indexed="81"/>
            <rFont val="Tahoma"/>
            <family val="2"/>
          </rPr>
          <t>bijnensa:</t>
        </r>
        <r>
          <rPr>
            <sz val="9"/>
            <color indexed="81"/>
            <rFont val="Tahoma"/>
            <family val="2"/>
          </rPr>
          <t xml:space="preserve">
calculation with consumption "domestic full", total invoiced water consumption for 2012/2013 financial year</t>
        </r>
      </text>
    </comment>
    <comment ref="O246" authorId="1" shapeId="0">
      <text>
        <r>
          <rPr>
            <b/>
            <sz val="9"/>
            <color indexed="81"/>
            <rFont val="Tahoma"/>
            <family val="2"/>
          </rPr>
          <t>bijnensa:</t>
        </r>
        <r>
          <rPr>
            <sz val="9"/>
            <color indexed="81"/>
            <rFont val="Tahoma"/>
            <family val="2"/>
          </rPr>
          <t xml:space="preserve">
calculated based on total water treated before losses for all consumption categories</t>
        </r>
      </text>
    </comment>
    <comment ref="A256" authorId="0" shapeId="0">
      <text>
        <r>
          <rPr>
            <b/>
            <sz val="9"/>
            <color indexed="81"/>
            <rFont val="Tahoma"/>
            <family val="2"/>
          </rPr>
          <t>Ann Bijnens:</t>
        </r>
        <r>
          <rPr>
            <sz val="9"/>
            <color indexed="81"/>
            <rFont val="Tahoma"/>
            <family val="2"/>
          </rPr>
          <t xml:space="preserve">
data for 2014 are from year 2012 National Survey AEAS
data for 2016 is the average water consumption for household of Metropolitan Areas of Spain (all these cities are metropolitan areas)</t>
        </r>
      </text>
    </comment>
    <comment ref="A266" authorId="0" shapeId="0">
      <text>
        <r>
          <rPr>
            <b/>
            <sz val="9"/>
            <color indexed="81"/>
            <rFont val="Tahoma"/>
            <family val="2"/>
          </rPr>
          <t>Ann Bijnens:</t>
        </r>
        <r>
          <rPr>
            <sz val="9"/>
            <color indexed="81"/>
            <rFont val="Tahoma"/>
            <family val="2"/>
          </rPr>
          <t xml:space="preserve">
data of 2016 based on the total invoiced consumption in 2016</t>
        </r>
      </text>
    </comment>
    <comment ref="AA266" authorId="1" shapeId="0">
      <text>
        <r>
          <rPr>
            <b/>
            <sz val="9"/>
            <color indexed="81"/>
            <rFont val="Tahoma"/>
            <family val="2"/>
          </rPr>
          <t>bijnensa:</t>
        </r>
        <r>
          <rPr>
            <sz val="9"/>
            <color indexed="81"/>
            <rFont val="Tahoma"/>
            <family val="2"/>
          </rPr>
          <t xml:space="preserve">
including industry, public services and water losses</t>
        </r>
      </text>
    </comment>
    <comment ref="B272" authorId="0" shapeId="0">
      <text>
        <r>
          <rPr>
            <b/>
            <sz val="9"/>
            <color indexed="81"/>
            <rFont val="Tahoma"/>
            <family val="2"/>
          </rPr>
          <t>Ann Bijnens:</t>
        </r>
        <r>
          <rPr>
            <sz val="9"/>
            <color indexed="81"/>
            <rFont val="Tahoma"/>
            <family val="2"/>
          </rPr>
          <t xml:space="preserve">
data 2014 from Metropolitan Waterworks Authority = average for Bangkok, Nonthaburi and Samutprakan</t>
        </r>
      </text>
    </comment>
    <comment ref="G281" authorId="1" shapeId="0">
      <text>
        <r>
          <rPr>
            <b/>
            <sz val="9"/>
            <color indexed="81"/>
            <rFont val="Tahoma"/>
            <family val="2"/>
          </rPr>
          <t>bijnensa:</t>
        </r>
        <r>
          <rPr>
            <sz val="9"/>
            <color indexed="81"/>
            <rFont val="Tahoma"/>
            <family val="2"/>
          </rPr>
          <t xml:space="preserve">
data of year 2010-2011</t>
        </r>
      </text>
    </comment>
    <comment ref="G282" authorId="1" shapeId="0">
      <text>
        <r>
          <rPr>
            <b/>
            <sz val="9"/>
            <color indexed="81"/>
            <rFont val="Tahoma"/>
            <family val="2"/>
          </rPr>
          <t>bijnensa:</t>
        </r>
        <r>
          <rPr>
            <sz val="9"/>
            <color indexed="81"/>
            <rFont val="Tahoma"/>
            <family val="2"/>
          </rPr>
          <t xml:space="preserve">
data of year 2010-2011</t>
        </r>
      </text>
    </comment>
    <comment ref="G283" authorId="1" shapeId="0">
      <text>
        <r>
          <rPr>
            <b/>
            <sz val="9"/>
            <color indexed="81"/>
            <rFont val="Tahoma"/>
            <family val="2"/>
          </rPr>
          <t>bijnensa:</t>
        </r>
        <r>
          <rPr>
            <sz val="9"/>
            <color indexed="81"/>
            <rFont val="Tahoma"/>
            <family val="2"/>
          </rPr>
          <t xml:space="preserve">
data of year 2010-2011</t>
        </r>
      </text>
    </comment>
    <comment ref="G284" authorId="1" shapeId="0">
      <text>
        <r>
          <rPr>
            <b/>
            <sz val="9"/>
            <color indexed="81"/>
            <rFont val="Tahoma"/>
            <family val="2"/>
          </rPr>
          <t>bijnensa:</t>
        </r>
        <r>
          <rPr>
            <sz val="9"/>
            <color indexed="81"/>
            <rFont val="Tahoma"/>
            <family val="2"/>
          </rPr>
          <t xml:space="preserve">
data of year 2010-2011</t>
        </r>
      </text>
    </comment>
    <comment ref="G285" authorId="1" shapeId="0">
      <text>
        <r>
          <rPr>
            <b/>
            <sz val="9"/>
            <color indexed="81"/>
            <rFont val="Tahoma"/>
            <family val="2"/>
          </rPr>
          <t>bijnensa:</t>
        </r>
        <r>
          <rPr>
            <sz val="9"/>
            <color indexed="81"/>
            <rFont val="Tahoma"/>
            <family val="2"/>
          </rPr>
          <t xml:space="preserve">
data of year 2010-2011</t>
        </r>
      </text>
    </comment>
    <comment ref="B293" authorId="0" shapeId="0">
      <text>
        <r>
          <rPr>
            <b/>
            <sz val="9"/>
            <color indexed="81"/>
            <rFont val="Tahoma"/>
            <family val="2"/>
          </rPr>
          <t>Ann Bijnens:</t>
        </r>
        <r>
          <rPr>
            <sz val="9"/>
            <color indexed="81"/>
            <rFont val="Tahoma"/>
            <family val="2"/>
          </rPr>
          <t xml:space="preserve">
LWSC = Lusaka Water &amp; Sewerage Company</t>
        </r>
      </text>
    </comment>
    <comment ref="B294" authorId="0" shapeId="0">
      <text>
        <r>
          <rPr>
            <b/>
            <sz val="9"/>
            <color indexed="81"/>
            <rFont val="Tahoma"/>
            <family val="2"/>
          </rPr>
          <t>Ann Bijnens:</t>
        </r>
        <r>
          <rPr>
            <sz val="9"/>
            <color indexed="81"/>
            <rFont val="Tahoma"/>
            <family val="2"/>
          </rPr>
          <t xml:space="preserve">
KWSC = Kafubu Water and Sewerage Company</t>
        </r>
      </text>
    </comment>
    <comment ref="B295" authorId="0" shapeId="0">
      <text>
        <r>
          <rPr>
            <b/>
            <sz val="9"/>
            <color indexed="81"/>
            <rFont val="Tahoma"/>
            <family val="2"/>
          </rPr>
          <t>Ann Bijnens:</t>
        </r>
        <r>
          <rPr>
            <sz val="9"/>
            <color indexed="81"/>
            <rFont val="Tahoma"/>
            <family val="2"/>
          </rPr>
          <t xml:space="preserve">
MWSC = Mulonga Water and Sewerage Company</t>
        </r>
      </text>
    </comment>
    <comment ref="B296" authorId="0" shapeId="0">
      <text>
        <r>
          <rPr>
            <b/>
            <sz val="9"/>
            <color indexed="81"/>
            <rFont val="Tahoma"/>
            <family val="2"/>
          </rPr>
          <t>Ann Bijnens:</t>
        </r>
        <r>
          <rPr>
            <sz val="9"/>
            <color indexed="81"/>
            <rFont val="Tahoma"/>
            <family val="2"/>
          </rPr>
          <t xml:space="preserve">
NWWSSC = North Western Water Supply and Sewerage Company</t>
        </r>
      </text>
    </comment>
    <comment ref="E382" authorId="0" shapeId="0">
      <text>
        <r>
          <rPr>
            <b/>
            <sz val="9"/>
            <color indexed="81"/>
            <rFont val="Tahoma"/>
            <family val="2"/>
          </rPr>
          <t>Ann Bijnens:</t>
        </r>
        <r>
          <rPr>
            <sz val="9"/>
            <color indexed="81"/>
            <rFont val="Tahoma"/>
            <family val="2"/>
          </rPr>
          <t xml:space="preserve">
Federal Ministry of Agriculture, Forestry, Environment and Water Management, University of Natural Resources and Life Sciences, 2012</t>
        </r>
      </text>
    </comment>
    <comment ref="D402" authorId="0" shapeId="0">
      <text>
        <r>
          <rPr>
            <b/>
            <sz val="9"/>
            <color indexed="81"/>
            <rFont val="Tahoma"/>
            <family val="2"/>
          </rPr>
          <t>Ann Bijnens:</t>
        </r>
        <r>
          <rPr>
            <sz val="9"/>
            <color indexed="81"/>
            <rFont val="Tahoma"/>
            <family val="2"/>
          </rPr>
          <t xml:space="preserve">
adjustment from A. Cunha dd. 10/4/2018: from 260 to 142 l</t>
        </r>
      </text>
    </comment>
    <comment ref="E402" authorId="0" shapeId="0">
      <text>
        <r>
          <rPr>
            <b/>
            <sz val="9"/>
            <color indexed="81"/>
            <rFont val="Tahoma"/>
            <family val="2"/>
          </rPr>
          <t>Ann Bijnens:</t>
        </r>
        <r>
          <rPr>
            <sz val="9"/>
            <color indexed="81"/>
            <rFont val="Tahoma"/>
            <family val="2"/>
          </rPr>
          <t xml:space="preserve">
adjustment from A. Cunha dd. 10/4/2018: from 149 to 148 l</t>
        </r>
      </text>
    </comment>
    <comment ref="D494" authorId="0" shapeId="0">
      <text>
        <r>
          <rPr>
            <b/>
            <sz val="9"/>
            <color indexed="81"/>
            <rFont val="Tahoma"/>
            <family val="2"/>
          </rPr>
          <t>Ann Bijnens:</t>
        </r>
        <r>
          <rPr>
            <sz val="9"/>
            <color indexed="81"/>
            <rFont val="Tahoma"/>
            <family val="2"/>
          </rPr>
          <t xml:space="preserve">
data of 2013</t>
        </r>
      </text>
    </comment>
    <comment ref="D495" authorId="0" shapeId="0">
      <text>
        <r>
          <rPr>
            <b/>
            <sz val="9"/>
            <color indexed="81"/>
            <rFont val="Tahoma"/>
            <family val="2"/>
          </rPr>
          <t>Ann Bijnens:</t>
        </r>
        <r>
          <rPr>
            <sz val="9"/>
            <color indexed="81"/>
            <rFont val="Tahoma"/>
            <family val="2"/>
          </rPr>
          <t xml:space="preserve">
data of 2013</t>
        </r>
      </text>
    </comment>
    <comment ref="D496" authorId="0" shapeId="0">
      <text>
        <r>
          <rPr>
            <b/>
            <sz val="9"/>
            <color indexed="81"/>
            <rFont val="Tahoma"/>
            <family val="2"/>
          </rPr>
          <t>Ann Bijnens:</t>
        </r>
        <r>
          <rPr>
            <sz val="9"/>
            <color indexed="81"/>
            <rFont val="Tahoma"/>
            <family val="2"/>
          </rPr>
          <t xml:space="preserve">
data of 2013</t>
        </r>
      </text>
    </comment>
    <comment ref="D497" authorId="0" shapeId="0">
      <text>
        <r>
          <rPr>
            <b/>
            <sz val="9"/>
            <color indexed="81"/>
            <rFont val="Tahoma"/>
            <family val="2"/>
          </rPr>
          <t>Ann Bijnens:</t>
        </r>
        <r>
          <rPr>
            <sz val="9"/>
            <color indexed="81"/>
            <rFont val="Tahoma"/>
            <family val="2"/>
          </rPr>
          <t xml:space="preserve">
data of 2013</t>
        </r>
      </text>
    </comment>
    <comment ref="D498" authorId="0" shapeId="0">
      <text>
        <r>
          <rPr>
            <b/>
            <sz val="9"/>
            <color indexed="81"/>
            <rFont val="Tahoma"/>
            <family val="2"/>
          </rPr>
          <t>Ann Bijnens:</t>
        </r>
        <r>
          <rPr>
            <sz val="9"/>
            <color indexed="81"/>
            <rFont val="Tahoma"/>
            <family val="2"/>
          </rPr>
          <t xml:space="preserve">
data of 2013</t>
        </r>
      </text>
    </comment>
    <comment ref="D499" authorId="0" shapeId="0">
      <text>
        <r>
          <rPr>
            <b/>
            <sz val="9"/>
            <color indexed="81"/>
            <rFont val="Tahoma"/>
            <family val="2"/>
          </rPr>
          <t>Ann Bijnens:</t>
        </r>
        <r>
          <rPr>
            <sz val="9"/>
            <color indexed="81"/>
            <rFont val="Tahoma"/>
            <family val="2"/>
          </rPr>
          <t xml:space="preserve">
data of 2013</t>
        </r>
      </text>
    </comment>
    <comment ref="A515" authorId="0" shapeId="0">
      <text>
        <r>
          <rPr>
            <b/>
            <sz val="9"/>
            <color indexed="81"/>
            <rFont val="Tahoma"/>
            <family val="2"/>
          </rPr>
          <t>Ann Bijnens:</t>
        </r>
        <r>
          <rPr>
            <sz val="9"/>
            <color indexed="81"/>
            <rFont val="Tahoma"/>
            <family val="2"/>
          </rPr>
          <t xml:space="preserve">
data 2014 from Metropolitan Waterworks Authority = average for Bangkok, Nonthaburi and Samutprakan</t>
        </r>
      </text>
    </comment>
    <comment ref="A516" authorId="0" shapeId="0">
      <text>
        <r>
          <rPr>
            <b/>
            <sz val="9"/>
            <color indexed="81"/>
            <rFont val="Tahoma"/>
            <family val="2"/>
          </rPr>
          <t>Ann Bijnens:</t>
        </r>
        <r>
          <rPr>
            <sz val="9"/>
            <color indexed="81"/>
            <rFont val="Tahoma"/>
            <family val="2"/>
          </rPr>
          <t xml:space="preserve">
LWSC = Lusaka Water &amp; Sewerage Company</t>
        </r>
      </text>
    </comment>
    <comment ref="A517" authorId="0" shapeId="0">
      <text>
        <r>
          <rPr>
            <b/>
            <sz val="9"/>
            <color indexed="81"/>
            <rFont val="Tahoma"/>
            <family val="2"/>
          </rPr>
          <t>Ann Bijnens:</t>
        </r>
        <r>
          <rPr>
            <sz val="9"/>
            <color indexed="81"/>
            <rFont val="Tahoma"/>
            <family val="2"/>
          </rPr>
          <t xml:space="preserve">
KWSC = Kafubu Water and Sewerage Company</t>
        </r>
      </text>
    </comment>
    <comment ref="A518" authorId="0" shapeId="0">
      <text>
        <r>
          <rPr>
            <b/>
            <sz val="9"/>
            <color indexed="81"/>
            <rFont val="Tahoma"/>
            <family val="2"/>
          </rPr>
          <t>Ann Bijnens:</t>
        </r>
        <r>
          <rPr>
            <sz val="9"/>
            <color indexed="81"/>
            <rFont val="Tahoma"/>
            <family val="2"/>
          </rPr>
          <t xml:space="preserve">
MWSC = Mulonga Water and Sewerage Company</t>
        </r>
      </text>
    </comment>
    <comment ref="A519" authorId="0" shapeId="0">
      <text>
        <r>
          <rPr>
            <b/>
            <sz val="9"/>
            <color indexed="81"/>
            <rFont val="Tahoma"/>
            <family val="2"/>
          </rPr>
          <t>Ann Bijnens:</t>
        </r>
        <r>
          <rPr>
            <sz val="9"/>
            <color indexed="81"/>
            <rFont val="Tahoma"/>
            <family val="2"/>
          </rPr>
          <t xml:space="preserve">
NWWSSC = North Western Water Supply and Sewerage Company</t>
        </r>
      </text>
    </comment>
  </commentList>
</comments>
</file>

<file path=xl/comments19.xml><?xml version="1.0" encoding="utf-8"?>
<comments xmlns="http://schemas.openxmlformats.org/spreadsheetml/2006/main">
  <authors>
    <author>Ann Bijnens</author>
    <author>bijnensa</author>
  </authors>
  <commentList>
    <comment ref="I24" authorId="0" shapeId="0">
      <text>
        <r>
          <rPr>
            <b/>
            <sz val="9"/>
            <color indexed="81"/>
            <rFont val="Tahoma"/>
            <family val="2"/>
          </rPr>
          <t>Ann Bijnens:</t>
        </r>
        <r>
          <rPr>
            <sz val="9"/>
            <color indexed="81"/>
            <rFont val="Tahoma"/>
            <family val="2"/>
          </rPr>
          <t xml:space="preserve">
Federal Ministry of Agriculture, Forestry, Environment and Water Management, University of Natural Resources and Life Sciences, 2012</t>
        </r>
      </text>
    </comment>
    <comment ref="A42" authorId="0" shapeId="0">
      <text>
        <r>
          <rPr>
            <b/>
            <sz val="9"/>
            <color indexed="81"/>
            <rFont val="Tahoma"/>
            <family val="2"/>
          </rPr>
          <t>Ann Bijnens:</t>
        </r>
        <r>
          <rPr>
            <sz val="9"/>
            <color indexed="81"/>
            <rFont val="Tahoma"/>
            <family val="2"/>
          </rPr>
          <t xml:space="preserve">
consumption 2016: the billed volume includes industry, administrations and all other consumers</t>
        </r>
      </text>
    </comment>
    <comment ref="B47" authorId="1" shapeId="0">
      <text>
        <r>
          <rPr>
            <b/>
            <sz val="9"/>
            <color indexed="81"/>
            <rFont val="Tahoma"/>
            <family val="2"/>
          </rPr>
          <t>bijnensa:</t>
        </r>
        <r>
          <rPr>
            <sz val="9"/>
            <color indexed="81"/>
            <rFont val="Tahoma"/>
            <family val="2"/>
          </rPr>
          <t xml:space="preserve">
domestic and standpipes</t>
        </r>
      </text>
    </comment>
    <comment ref="A68" authorId="1" shapeId="0">
      <text>
        <r>
          <rPr>
            <b/>
            <sz val="9"/>
            <color indexed="81"/>
            <rFont val="Tahoma"/>
            <family val="2"/>
          </rPr>
          <t>bijnensa:</t>
        </r>
        <r>
          <rPr>
            <sz val="9"/>
            <color indexed="81"/>
            <rFont val="Tahoma"/>
            <family val="2"/>
          </rPr>
          <t xml:space="preserve">
figures in 2010: In Hong Kong the water resources are basically from rainfall and Dongjijang Water (Import from China). We make use of impounding reservoirs to store the raw water as reserve from these two sources to cater for the fluctuating demand. Whenever the water demand exceeds Water Abstraction in a particular year, the water stored as reserve in previous years would be used to meet the demand. As no recycled water was used as fresh water supply in Hong Kong, this means some reserves were used in 2010. This resulted in the total volume of Annual Water Consumption greater than that of Total Water Abstraction in 2010.</t>
        </r>
      </text>
    </comment>
    <comment ref="F85" authorId="1" shapeId="0">
      <text>
        <r>
          <rPr>
            <b/>
            <sz val="9"/>
            <color indexed="81"/>
            <rFont val="Tahoma"/>
            <family val="2"/>
          </rPr>
          <t>bijnensa:</t>
        </r>
        <r>
          <rPr>
            <sz val="9"/>
            <color indexed="81"/>
            <rFont val="Tahoma"/>
            <family val="2"/>
          </rPr>
          <t xml:space="preserve">
total invoiced consumption of Helsinki Region Environmental Services Authority (operating in cities of Espoo, Kauniainen, Helsinki and Vantaa)</t>
        </r>
      </text>
    </comment>
    <comment ref="G85" authorId="1" shapeId="0">
      <text>
        <r>
          <rPr>
            <b/>
            <sz val="9"/>
            <color indexed="81"/>
            <rFont val="Tahoma"/>
            <family val="2"/>
          </rPr>
          <t>bijnensa:</t>
        </r>
        <r>
          <rPr>
            <sz val="9"/>
            <color indexed="81"/>
            <rFont val="Tahoma"/>
            <family val="2"/>
          </rPr>
          <t xml:space="preserve">
total invoiced consumption of Helsinki Region Environmental Services Authority (operating in cities of Espoo, Kauniainen, Helsinki and Vantaa)</t>
        </r>
      </text>
    </comment>
    <comment ref="N85" authorId="1" shapeId="0">
      <text>
        <r>
          <rPr>
            <b/>
            <sz val="9"/>
            <color indexed="81"/>
            <rFont val="Tahoma"/>
            <family val="2"/>
          </rPr>
          <t>bijnensa:</t>
        </r>
        <r>
          <rPr>
            <sz val="9"/>
            <color indexed="81"/>
            <rFont val="Tahoma"/>
            <family val="2"/>
          </rPr>
          <t xml:space="preserve">
total invoiced consumption of Helsinki Region Environmental Services Authority (operating in cities of Espoo, Kauniainen, Helsinki and Vantaa)</t>
        </r>
      </text>
    </comment>
    <comment ref="O85" authorId="1" shapeId="0">
      <text>
        <r>
          <rPr>
            <b/>
            <sz val="9"/>
            <color indexed="81"/>
            <rFont val="Tahoma"/>
            <family val="2"/>
          </rPr>
          <t>bijnensa:</t>
        </r>
        <r>
          <rPr>
            <sz val="9"/>
            <color indexed="81"/>
            <rFont val="Tahoma"/>
            <family val="2"/>
          </rPr>
          <t xml:space="preserve">
total invoiced consumption of Helsinki Region Environmental Services Authority (operating in cities of Espoo, Kauniainen, Helsinki and Vantaa)</t>
        </r>
      </text>
    </comment>
    <comment ref="Q85" authorId="0" shapeId="0">
      <text>
        <r>
          <rPr>
            <b/>
            <sz val="9"/>
            <color indexed="81"/>
            <rFont val="Tahoma"/>
            <family val="2"/>
          </rPr>
          <t>Ann Bijnens:</t>
        </r>
        <r>
          <rPr>
            <sz val="9"/>
            <color indexed="81"/>
            <rFont val="Tahoma"/>
            <family val="2"/>
          </rPr>
          <t xml:space="preserve">
total invoiced consumption of Helsinki Region Environmental Services Authority (operating in cities of Espoo, Kauniainen, Helsinki and Vantaa)</t>
        </r>
      </text>
    </comment>
    <comment ref="F86" authorId="1" shapeId="0">
      <text>
        <r>
          <rPr>
            <b/>
            <sz val="9"/>
            <color indexed="81"/>
            <rFont val="Tahoma"/>
            <family val="2"/>
          </rPr>
          <t>bijnensa:</t>
        </r>
        <r>
          <rPr>
            <sz val="9"/>
            <color indexed="81"/>
            <rFont val="Tahoma"/>
            <family val="2"/>
          </rPr>
          <t xml:space="preserve">
total invoiced consumption of Helsinki Region Environmental Services Authority (operating in cities of Espoo, Kauniainen, Helsinki and Vantaa)</t>
        </r>
      </text>
    </comment>
    <comment ref="G86" authorId="1" shapeId="0">
      <text>
        <r>
          <rPr>
            <b/>
            <sz val="9"/>
            <color indexed="81"/>
            <rFont val="Tahoma"/>
            <family val="2"/>
          </rPr>
          <t>bijnensa:</t>
        </r>
        <r>
          <rPr>
            <sz val="9"/>
            <color indexed="81"/>
            <rFont val="Tahoma"/>
            <family val="2"/>
          </rPr>
          <t xml:space="preserve">
total invoiced consumption of Helsinki Region Environmental Services Authority (operating in cities of Espoo, Kauniainen, Helsinki and Vantaa)</t>
        </r>
      </text>
    </comment>
    <comment ref="N86" authorId="1" shapeId="0">
      <text>
        <r>
          <rPr>
            <b/>
            <sz val="9"/>
            <color indexed="81"/>
            <rFont val="Tahoma"/>
            <family val="2"/>
          </rPr>
          <t>bijnensa:</t>
        </r>
        <r>
          <rPr>
            <sz val="9"/>
            <color indexed="81"/>
            <rFont val="Tahoma"/>
            <family val="2"/>
          </rPr>
          <t xml:space="preserve">
total invoiced consumption of Helsinki Region Environmental Services Authority (operating in cities of Espoo, Kauniainen, Helsinki and Vantaa)</t>
        </r>
      </text>
    </comment>
    <comment ref="O86" authorId="1" shapeId="0">
      <text>
        <r>
          <rPr>
            <b/>
            <sz val="9"/>
            <color indexed="81"/>
            <rFont val="Tahoma"/>
            <family val="2"/>
          </rPr>
          <t>bijnensa:</t>
        </r>
        <r>
          <rPr>
            <sz val="9"/>
            <color indexed="81"/>
            <rFont val="Tahoma"/>
            <family val="2"/>
          </rPr>
          <t xml:space="preserve">
total invoiced consumption of Helsinki Region Environmental Services Authority (operating in cities of Espoo, Kauniainen, Helsinki and Vantaa)</t>
        </r>
      </text>
    </comment>
    <comment ref="Q86" authorId="0" shapeId="0">
      <text>
        <r>
          <rPr>
            <b/>
            <sz val="9"/>
            <color indexed="81"/>
            <rFont val="Tahoma"/>
            <family val="2"/>
          </rPr>
          <t>Ann Bijnens:</t>
        </r>
        <r>
          <rPr>
            <sz val="9"/>
            <color indexed="81"/>
            <rFont val="Tahoma"/>
            <family val="2"/>
          </rPr>
          <t xml:space="preserve">
total invoiced consumption of Helsinki Region Environmental Services Authority (operating in cities of Espoo, Kauniainen, Helsinki and Vantaa)</t>
        </r>
      </text>
    </comment>
    <comment ref="F88" authorId="1" shapeId="0">
      <text>
        <r>
          <rPr>
            <b/>
            <sz val="9"/>
            <color indexed="81"/>
            <rFont val="Tahoma"/>
            <family val="2"/>
          </rPr>
          <t>bijnensa:</t>
        </r>
        <r>
          <rPr>
            <sz val="9"/>
            <color indexed="81"/>
            <rFont val="Tahoma"/>
            <family val="2"/>
          </rPr>
          <t xml:space="preserve">
data from year 2009</t>
        </r>
      </text>
    </comment>
    <comment ref="F90" authorId="1" shapeId="0">
      <text>
        <r>
          <rPr>
            <b/>
            <sz val="9"/>
            <color indexed="81"/>
            <rFont val="Tahoma"/>
            <family val="2"/>
          </rPr>
          <t>bijnensa:</t>
        </r>
        <r>
          <rPr>
            <sz val="9"/>
            <color indexed="81"/>
            <rFont val="Tahoma"/>
            <family val="2"/>
          </rPr>
          <t xml:space="preserve">
total invoiced consumption of Helsinki Region Environmental Services Authority (operating in cities of Espoo, Kauniainen, Helsinki and Vantaa)</t>
        </r>
      </text>
    </comment>
    <comment ref="G90" authorId="1" shapeId="0">
      <text>
        <r>
          <rPr>
            <b/>
            <sz val="9"/>
            <color indexed="81"/>
            <rFont val="Tahoma"/>
            <family val="2"/>
          </rPr>
          <t>bijnensa:</t>
        </r>
        <r>
          <rPr>
            <sz val="9"/>
            <color indexed="81"/>
            <rFont val="Tahoma"/>
            <family val="2"/>
          </rPr>
          <t xml:space="preserve">
total invoiced consumption of Helsinki Region Environmental Services Authority (operating in cities of Espoo, Kauniainen, Helsinki and Vantaa)</t>
        </r>
      </text>
    </comment>
    <comment ref="N90" authorId="1" shapeId="0">
      <text>
        <r>
          <rPr>
            <b/>
            <sz val="9"/>
            <color indexed="81"/>
            <rFont val="Tahoma"/>
            <family val="2"/>
          </rPr>
          <t>bijnensa:</t>
        </r>
        <r>
          <rPr>
            <sz val="9"/>
            <color indexed="81"/>
            <rFont val="Tahoma"/>
            <family val="2"/>
          </rPr>
          <t xml:space="preserve">
total invoiced consumption of Helsinki Region Environmental Services Authority (operating in cities of Espoo, Kauniainen, Helsinki and Vantaa)</t>
        </r>
      </text>
    </comment>
    <comment ref="O90" authorId="1" shapeId="0">
      <text>
        <r>
          <rPr>
            <b/>
            <sz val="9"/>
            <color indexed="81"/>
            <rFont val="Tahoma"/>
            <family val="2"/>
          </rPr>
          <t>bijnensa:</t>
        </r>
        <r>
          <rPr>
            <sz val="9"/>
            <color indexed="81"/>
            <rFont val="Tahoma"/>
            <family val="2"/>
          </rPr>
          <t xml:space="preserve">
total invoiced consumption of Helsinki Region Environmental Services Authority (operating in cities of Espoo, Kauniainen, Helsinki and Vantaa)</t>
        </r>
      </text>
    </comment>
    <comment ref="Q90" authorId="0" shapeId="0">
      <text>
        <r>
          <rPr>
            <b/>
            <sz val="9"/>
            <color indexed="81"/>
            <rFont val="Tahoma"/>
            <family val="2"/>
          </rPr>
          <t>Ann Bijnens:</t>
        </r>
        <r>
          <rPr>
            <sz val="9"/>
            <color indexed="81"/>
            <rFont val="Tahoma"/>
            <family val="2"/>
          </rPr>
          <t xml:space="preserve">
total invoiced consumption of Helsinki Region Environmental Services Authority (operating in cities of Espoo, Kauniainen, Helsinki and Vantaa)</t>
        </r>
      </text>
    </comment>
    <comment ref="G121" authorId="1" shapeId="0">
      <text>
        <r>
          <rPr>
            <b/>
            <sz val="9"/>
            <color indexed="81"/>
            <rFont val="Tahoma"/>
            <family val="2"/>
          </rPr>
          <t>bijnensa:</t>
        </r>
        <r>
          <rPr>
            <sz val="9"/>
            <color indexed="81"/>
            <rFont val="Tahoma"/>
            <family val="2"/>
          </rPr>
          <t xml:space="preserve">
including use by municipality and institutions (schools…)</t>
        </r>
      </text>
    </comment>
    <comment ref="O121" authorId="1" shapeId="0">
      <text>
        <r>
          <rPr>
            <b/>
            <sz val="9"/>
            <color indexed="81"/>
            <rFont val="Tahoma"/>
            <family val="2"/>
          </rPr>
          <t>bijnensa:</t>
        </r>
        <r>
          <rPr>
            <sz val="9"/>
            <color indexed="81"/>
            <rFont val="Tahoma"/>
            <family val="2"/>
          </rPr>
          <t xml:space="preserve">
figure of year 2011</t>
        </r>
      </text>
    </comment>
    <comment ref="G122" authorId="1" shapeId="0">
      <text>
        <r>
          <rPr>
            <b/>
            <sz val="9"/>
            <color indexed="81"/>
            <rFont val="Tahoma"/>
            <family val="2"/>
          </rPr>
          <t>bijnensa:</t>
        </r>
        <r>
          <rPr>
            <sz val="9"/>
            <color indexed="81"/>
            <rFont val="Tahoma"/>
            <family val="2"/>
          </rPr>
          <t xml:space="preserve">
data of 2010 due to lack of more recent data</t>
        </r>
      </text>
    </comment>
    <comment ref="O122" authorId="1" shapeId="0">
      <text>
        <r>
          <rPr>
            <b/>
            <sz val="9"/>
            <color indexed="81"/>
            <rFont val="Tahoma"/>
            <family val="2"/>
          </rPr>
          <t>bijnensa:</t>
        </r>
        <r>
          <rPr>
            <sz val="9"/>
            <color indexed="81"/>
            <rFont val="Tahoma"/>
            <family val="2"/>
          </rPr>
          <t xml:space="preserve">
data of 2011</t>
        </r>
      </text>
    </comment>
    <comment ref="G123" authorId="1" shapeId="0">
      <text>
        <r>
          <rPr>
            <b/>
            <sz val="9"/>
            <color indexed="81"/>
            <rFont val="Tahoma"/>
            <family val="2"/>
          </rPr>
          <t>bijnensa:</t>
        </r>
        <r>
          <rPr>
            <sz val="9"/>
            <color indexed="81"/>
            <rFont val="Tahoma"/>
            <family val="2"/>
          </rPr>
          <t xml:space="preserve">
data of 2010 due to lack of more recent data</t>
        </r>
      </text>
    </comment>
    <comment ref="O123" authorId="1" shapeId="0">
      <text>
        <r>
          <rPr>
            <b/>
            <sz val="9"/>
            <color indexed="81"/>
            <rFont val="Tahoma"/>
            <family val="2"/>
          </rPr>
          <t>bijnensa:</t>
        </r>
        <r>
          <rPr>
            <sz val="9"/>
            <color indexed="81"/>
            <rFont val="Tahoma"/>
            <family val="2"/>
          </rPr>
          <t xml:space="preserve">
data of 2011</t>
        </r>
      </text>
    </comment>
    <comment ref="G124" authorId="1" shapeId="0">
      <text>
        <r>
          <rPr>
            <b/>
            <sz val="9"/>
            <color indexed="81"/>
            <rFont val="Tahoma"/>
            <family val="2"/>
          </rPr>
          <t>bijnensa:</t>
        </r>
        <r>
          <rPr>
            <sz val="9"/>
            <color indexed="81"/>
            <rFont val="Tahoma"/>
            <family val="2"/>
          </rPr>
          <t xml:space="preserve">
data of 2010 due to lack of more recent data</t>
        </r>
      </text>
    </comment>
    <comment ref="O124" authorId="1" shapeId="0">
      <text>
        <r>
          <rPr>
            <b/>
            <sz val="9"/>
            <color indexed="81"/>
            <rFont val="Tahoma"/>
            <family val="2"/>
          </rPr>
          <t>bijnensa:</t>
        </r>
        <r>
          <rPr>
            <sz val="9"/>
            <color indexed="81"/>
            <rFont val="Tahoma"/>
            <family val="2"/>
          </rPr>
          <t xml:space="preserve">
data of 2011</t>
        </r>
      </text>
    </comment>
    <comment ref="G125" authorId="1" shapeId="0">
      <text>
        <r>
          <rPr>
            <b/>
            <sz val="9"/>
            <color indexed="81"/>
            <rFont val="Tahoma"/>
            <family val="2"/>
          </rPr>
          <t>bijnensa:</t>
        </r>
        <r>
          <rPr>
            <sz val="9"/>
            <color indexed="81"/>
            <rFont val="Tahoma"/>
            <family val="2"/>
          </rPr>
          <t xml:space="preserve">
data of 2010 due to lack of more recent data</t>
        </r>
      </text>
    </comment>
    <comment ref="O125" authorId="1" shapeId="0">
      <text>
        <r>
          <rPr>
            <b/>
            <sz val="9"/>
            <color indexed="81"/>
            <rFont val="Tahoma"/>
            <family val="2"/>
          </rPr>
          <t>bijnensa:</t>
        </r>
        <r>
          <rPr>
            <sz val="9"/>
            <color indexed="81"/>
            <rFont val="Tahoma"/>
            <family val="2"/>
          </rPr>
          <t xml:space="preserve">
data of 2011</t>
        </r>
      </text>
    </comment>
    <comment ref="G126" authorId="1" shapeId="0">
      <text>
        <r>
          <rPr>
            <b/>
            <sz val="9"/>
            <color indexed="81"/>
            <rFont val="Tahoma"/>
            <family val="2"/>
          </rPr>
          <t>bijnensa:</t>
        </r>
        <r>
          <rPr>
            <sz val="9"/>
            <color indexed="81"/>
            <rFont val="Tahoma"/>
            <family val="2"/>
          </rPr>
          <t xml:space="preserve">
aanlevering via Renato Parena</t>
        </r>
      </text>
    </comment>
    <comment ref="O126" authorId="1" shapeId="0">
      <text>
        <r>
          <rPr>
            <b/>
            <sz val="9"/>
            <color indexed="81"/>
            <rFont val="Tahoma"/>
            <family val="2"/>
          </rPr>
          <t>bijnensa:</t>
        </r>
        <r>
          <rPr>
            <sz val="9"/>
            <color indexed="81"/>
            <rFont val="Tahoma"/>
            <family val="2"/>
          </rPr>
          <t xml:space="preserve">
data of 2011</t>
        </r>
      </text>
    </comment>
    <comment ref="A144" authorId="0" shapeId="0">
      <text>
        <r>
          <rPr>
            <b/>
            <sz val="9"/>
            <color indexed="81"/>
            <rFont val="Tahoma"/>
            <family val="2"/>
          </rPr>
          <t>Ann Bijnens:</t>
        </r>
        <r>
          <rPr>
            <sz val="9"/>
            <color indexed="81"/>
            <rFont val="Tahoma"/>
            <family val="2"/>
          </rPr>
          <t xml:space="preserve">
only the billed water consumption for households </t>
        </r>
      </text>
    </comment>
    <comment ref="H158" authorId="0" shapeId="0">
      <text>
        <r>
          <rPr>
            <b/>
            <sz val="9"/>
            <color indexed="81"/>
            <rFont val="Tahoma"/>
            <family val="2"/>
          </rPr>
          <t>Ann Bijnens:</t>
        </r>
        <r>
          <rPr>
            <sz val="9"/>
            <color indexed="81"/>
            <rFont val="Tahoma"/>
            <family val="2"/>
          </rPr>
          <t xml:space="preserve">
data of 2013</t>
        </r>
      </text>
    </comment>
    <comment ref="H159" authorId="0" shapeId="0">
      <text>
        <r>
          <rPr>
            <b/>
            <sz val="9"/>
            <color indexed="81"/>
            <rFont val="Tahoma"/>
            <family val="2"/>
          </rPr>
          <t>Ann Bijnens:</t>
        </r>
        <r>
          <rPr>
            <sz val="9"/>
            <color indexed="81"/>
            <rFont val="Tahoma"/>
            <family val="2"/>
          </rPr>
          <t xml:space="preserve">
data of 2013</t>
        </r>
      </text>
    </comment>
    <comment ref="H160" authorId="0" shapeId="0">
      <text>
        <r>
          <rPr>
            <b/>
            <sz val="9"/>
            <color indexed="81"/>
            <rFont val="Tahoma"/>
            <family val="2"/>
          </rPr>
          <t>Ann Bijnens:</t>
        </r>
        <r>
          <rPr>
            <sz val="9"/>
            <color indexed="81"/>
            <rFont val="Tahoma"/>
            <family val="2"/>
          </rPr>
          <t xml:space="preserve">
data of 2013</t>
        </r>
      </text>
    </comment>
    <comment ref="H161" authorId="0" shapeId="0">
      <text>
        <r>
          <rPr>
            <b/>
            <sz val="9"/>
            <color indexed="81"/>
            <rFont val="Tahoma"/>
            <family val="2"/>
          </rPr>
          <t>Ann Bijnens:</t>
        </r>
        <r>
          <rPr>
            <sz val="9"/>
            <color indexed="81"/>
            <rFont val="Tahoma"/>
            <family val="2"/>
          </rPr>
          <t xml:space="preserve">
data of 2013</t>
        </r>
      </text>
    </comment>
    <comment ref="H162" authorId="0" shapeId="0">
      <text>
        <r>
          <rPr>
            <b/>
            <sz val="9"/>
            <color indexed="81"/>
            <rFont val="Tahoma"/>
            <family val="2"/>
          </rPr>
          <t>Ann Bijnens:</t>
        </r>
        <r>
          <rPr>
            <sz val="9"/>
            <color indexed="81"/>
            <rFont val="Tahoma"/>
            <family val="2"/>
          </rPr>
          <t xml:space="preserve">
data of 2013</t>
        </r>
      </text>
    </comment>
    <comment ref="H163" authorId="0" shapeId="0">
      <text>
        <r>
          <rPr>
            <b/>
            <sz val="9"/>
            <color indexed="81"/>
            <rFont val="Tahoma"/>
            <family val="2"/>
          </rPr>
          <t>Ann Bijnens:</t>
        </r>
        <r>
          <rPr>
            <sz val="9"/>
            <color indexed="81"/>
            <rFont val="Tahoma"/>
            <family val="2"/>
          </rPr>
          <t xml:space="preserve">
data of 2013</t>
        </r>
      </text>
    </comment>
    <comment ref="G180" authorId="0" shapeId="0">
      <text>
        <r>
          <rPr>
            <b/>
            <sz val="9"/>
            <color indexed="81"/>
            <rFont val="Tahoma"/>
            <family val="2"/>
          </rPr>
          <t>Ann Bijnens:</t>
        </r>
        <r>
          <rPr>
            <sz val="9"/>
            <color indexed="81"/>
            <rFont val="Tahoma"/>
            <family val="2"/>
          </rPr>
          <t xml:space="preserve">
adjustment from A. Cunha dd. 10/4/2018: from 173 to 134 l</t>
        </r>
      </text>
    </comment>
    <comment ref="H180" authorId="0" shapeId="0">
      <text>
        <r>
          <rPr>
            <b/>
            <sz val="9"/>
            <color indexed="81"/>
            <rFont val="Tahoma"/>
            <family val="2"/>
          </rPr>
          <t>Ann Bijnens:</t>
        </r>
        <r>
          <rPr>
            <sz val="9"/>
            <color indexed="81"/>
            <rFont val="Tahoma"/>
            <family val="2"/>
          </rPr>
          <t xml:space="preserve">
adjustment from A. Cunha dd. 10/4/2018: from 260 to 142 l</t>
        </r>
      </text>
    </comment>
    <comment ref="I180" authorId="0" shapeId="0">
      <text>
        <r>
          <rPr>
            <b/>
            <sz val="9"/>
            <color indexed="81"/>
            <rFont val="Tahoma"/>
            <family val="2"/>
          </rPr>
          <t>Ann Bijnens:</t>
        </r>
        <r>
          <rPr>
            <sz val="9"/>
            <color indexed="81"/>
            <rFont val="Tahoma"/>
            <family val="2"/>
          </rPr>
          <t xml:space="preserve">
adjustment from A. Cunha dd. 10/4/2018: from 149 to 148 l</t>
        </r>
      </text>
    </comment>
    <comment ref="G246" authorId="1" shapeId="0">
      <text>
        <r>
          <rPr>
            <b/>
            <sz val="9"/>
            <color indexed="81"/>
            <rFont val="Tahoma"/>
            <family val="2"/>
          </rPr>
          <t>bijnensa:</t>
        </r>
        <r>
          <rPr>
            <sz val="9"/>
            <color indexed="81"/>
            <rFont val="Tahoma"/>
            <family val="2"/>
          </rPr>
          <t xml:space="preserve">
calculation with consumption "domestic full", total invoiced water consumption for 2012/2013 financial year</t>
        </r>
      </text>
    </comment>
    <comment ref="O246" authorId="1" shapeId="0">
      <text>
        <r>
          <rPr>
            <b/>
            <sz val="9"/>
            <color indexed="81"/>
            <rFont val="Tahoma"/>
            <family val="2"/>
          </rPr>
          <t>bijnensa:</t>
        </r>
        <r>
          <rPr>
            <sz val="9"/>
            <color indexed="81"/>
            <rFont val="Tahoma"/>
            <family val="2"/>
          </rPr>
          <t xml:space="preserve">
calculated based on total water treated before losses for all consumption categories</t>
        </r>
      </text>
    </comment>
    <comment ref="A256" authorId="0" shapeId="0">
      <text>
        <r>
          <rPr>
            <b/>
            <sz val="9"/>
            <color indexed="81"/>
            <rFont val="Tahoma"/>
            <family val="2"/>
          </rPr>
          <t>Ann Bijnens:</t>
        </r>
        <r>
          <rPr>
            <sz val="9"/>
            <color indexed="81"/>
            <rFont val="Tahoma"/>
            <family val="2"/>
          </rPr>
          <t xml:space="preserve">
data for 2014 are from year 2012 National Survey AEAS
data for 2016 is the average water consumption for household of Metropolitan Areas of Spain (all these cities are metropolitan areas)</t>
        </r>
      </text>
    </comment>
    <comment ref="A266" authorId="0" shapeId="0">
      <text>
        <r>
          <rPr>
            <b/>
            <sz val="9"/>
            <color indexed="81"/>
            <rFont val="Tahoma"/>
            <family val="2"/>
          </rPr>
          <t>Ann Bijnens:</t>
        </r>
        <r>
          <rPr>
            <sz val="9"/>
            <color indexed="81"/>
            <rFont val="Tahoma"/>
            <family val="2"/>
          </rPr>
          <t xml:space="preserve">
data of 2016 based on the total invoiced consumption in 2016</t>
        </r>
      </text>
    </comment>
    <comment ref="AA266" authorId="1" shapeId="0">
      <text>
        <r>
          <rPr>
            <b/>
            <sz val="9"/>
            <color indexed="81"/>
            <rFont val="Tahoma"/>
            <family val="2"/>
          </rPr>
          <t>bijnensa:</t>
        </r>
        <r>
          <rPr>
            <sz val="9"/>
            <color indexed="81"/>
            <rFont val="Tahoma"/>
            <family val="2"/>
          </rPr>
          <t xml:space="preserve">
including industry, public services and water losses</t>
        </r>
      </text>
    </comment>
    <comment ref="B272" authorId="0" shapeId="0">
      <text>
        <r>
          <rPr>
            <b/>
            <sz val="9"/>
            <color indexed="81"/>
            <rFont val="Tahoma"/>
            <family val="2"/>
          </rPr>
          <t>Ann Bijnens:</t>
        </r>
        <r>
          <rPr>
            <sz val="9"/>
            <color indexed="81"/>
            <rFont val="Tahoma"/>
            <family val="2"/>
          </rPr>
          <t xml:space="preserve">
data 2014 from Metropolitan Waterworks Authority = average for Bangkok, Nonthaburi and Samutprakan</t>
        </r>
      </text>
    </comment>
    <comment ref="G281" authorId="1" shapeId="0">
      <text>
        <r>
          <rPr>
            <b/>
            <sz val="9"/>
            <color indexed="81"/>
            <rFont val="Tahoma"/>
            <family val="2"/>
          </rPr>
          <t>bijnensa:</t>
        </r>
        <r>
          <rPr>
            <sz val="9"/>
            <color indexed="81"/>
            <rFont val="Tahoma"/>
            <family val="2"/>
          </rPr>
          <t xml:space="preserve">
data of year 2010-2011</t>
        </r>
      </text>
    </comment>
    <comment ref="G282" authorId="1" shapeId="0">
      <text>
        <r>
          <rPr>
            <b/>
            <sz val="9"/>
            <color indexed="81"/>
            <rFont val="Tahoma"/>
            <family val="2"/>
          </rPr>
          <t>bijnensa:</t>
        </r>
        <r>
          <rPr>
            <sz val="9"/>
            <color indexed="81"/>
            <rFont val="Tahoma"/>
            <family val="2"/>
          </rPr>
          <t xml:space="preserve">
data of year 2010-2011</t>
        </r>
      </text>
    </comment>
    <comment ref="G283" authorId="1" shapeId="0">
      <text>
        <r>
          <rPr>
            <b/>
            <sz val="9"/>
            <color indexed="81"/>
            <rFont val="Tahoma"/>
            <family val="2"/>
          </rPr>
          <t>bijnensa:</t>
        </r>
        <r>
          <rPr>
            <sz val="9"/>
            <color indexed="81"/>
            <rFont val="Tahoma"/>
            <family val="2"/>
          </rPr>
          <t xml:space="preserve">
data of year 2010-2011</t>
        </r>
      </text>
    </comment>
    <comment ref="G284" authorId="1" shapeId="0">
      <text>
        <r>
          <rPr>
            <b/>
            <sz val="9"/>
            <color indexed="81"/>
            <rFont val="Tahoma"/>
            <family val="2"/>
          </rPr>
          <t>bijnensa:</t>
        </r>
        <r>
          <rPr>
            <sz val="9"/>
            <color indexed="81"/>
            <rFont val="Tahoma"/>
            <family val="2"/>
          </rPr>
          <t xml:space="preserve">
data of year 2010-2011</t>
        </r>
      </text>
    </comment>
    <comment ref="G285" authorId="1" shapeId="0">
      <text>
        <r>
          <rPr>
            <b/>
            <sz val="9"/>
            <color indexed="81"/>
            <rFont val="Tahoma"/>
            <family val="2"/>
          </rPr>
          <t>bijnensa:</t>
        </r>
        <r>
          <rPr>
            <sz val="9"/>
            <color indexed="81"/>
            <rFont val="Tahoma"/>
            <family val="2"/>
          </rPr>
          <t xml:space="preserve">
data of year 2010-2011</t>
        </r>
      </text>
    </comment>
    <comment ref="B293" authorId="0" shapeId="0">
      <text>
        <r>
          <rPr>
            <b/>
            <sz val="9"/>
            <color indexed="81"/>
            <rFont val="Tahoma"/>
            <family val="2"/>
          </rPr>
          <t>Ann Bijnens:</t>
        </r>
        <r>
          <rPr>
            <sz val="9"/>
            <color indexed="81"/>
            <rFont val="Tahoma"/>
            <family val="2"/>
          </rPr>
          <t xml:space="preserve">
LWSC = Lusaka Water &amp; Sewerage Company</t>
        </r>
      </text>
    </comment>
    <comment ref="B294" authorId="0" shapeId="0">
      <text>
        <r>
          <rPr>
            <b/>
            <sz val="9"/>
            <color indexed="81"/>
            <rFont val="Tahoma"/>
            <family val="2"/>
          </rPr>
          <t>Ann Bijnens:</t>
        </r>
        <r>
          <rPr>
            <sz val="9"/>
            <color indexed="81"/>
            <rFont val="Tahoma"/>
            <family val="2"/>
          </rPr>
          <t xml:space="preserve">
KWSC = Kafubu Water and Sewerage Company</t>
        </r>
      </text>
    </comment>
    <comment ref="B295" authorId="0" shapeId="0">
      <text>
        <r>
          <rPr>
            <b/>
            <sz val="9"/>
            <color indexed="81"/>
            <rFont val="Tahoma"/>
            <family val="2"/>
          </rPr>
          <t>Ann Bijnens:</t>
        </r>
        <r>
          <rPr>
            <sz val="9"/>
            <color indexed="81"/>
            <rFont val="Tahoma"/>
            <family val="2"/>
          </rPr>
          <t xml:space="preserve">
MWSC = Mulonga Water and Sewerage Company</t>
        </r>
      </text>
    </comment>
    <comment ref="B296" authorId="0" shapeId="0">
      <text>
        <r>
          <rPr>
            <b/>
            <sz val="9"/>
            <color indexed="81"/>
            <rFont val="Tahoma"/>
            <family val="2"/>
          </rPr>
          <t>Ann Bijnens:</t>
        </r>
        <r>
          <rPr>
            <sz val="9"/>
            <color indexed="81"/>
            <rFont val="Tahoma"/>
            <family val="2"/>
          </rPr>
          <t xml:space="preserve">
NWWSSC = North Western Water Supply and Sewerage Company</t>
        </r>
      </text>
    </comment>
    <comment ref="D309" authorId="1" shapeId="0">
      <text>
        <r>
          <rPr>
            <b/>
            <sz val="9"/>
            <color indexed="81"/>
            <rFont val="Tahoma"/>
            <family val="2"/>
          </rPr>
          <t>bijnensa:</t>
        </r>
        <r>
          <rPr>
            <sz val="9"/>
            <color indexed="81"/>
            <rFont val="Tahoma"/>
            <family val="2"/>
          </rPr>
          <t xml:space="preserve">
total invoiced consumption of Helsinki Region Environmental Services Authority (operating in cities of Espoo, Kauniainen, Helsinki and Vantaa)</t>
        </r>
      </text>
    </comment>
    <comment ref="E309" authorId="1" shapeId="0">
      <text>
        <r>
          <rPr>
            <b/>
            <sz val="9"/>
            <color indexed="81"/>
            <rFont val="Tahoma"/>
            <family val="2"/>
          </rPr>
          <t>bijnensa:</t>
        </r>
        <r>
          <rPr>
            <sz val="9"/>
            <color indexed="81"/>
            <rFont val="Tahoma"/>
            <family val="2"/>
          </rPr>
          <t xml:space="preserve">
total invoiced consumption of Helsinki Region Environmental Services Authority (operating in cities of Espoo, Kauniainen, Helsinki and Vantaa)</t>
        </r>
      </text>
    </comment>
    <comment ref="E311" authorId="1" shapeId="0">
      <text>
        <r>
          <rPr>
            <b/>
            <sz val="9"/>
            <color indexed="81"/>
            <rFont val="Tahoma"/>
            <family val="2"/>
          </rPr>
          <t>bijnensa:</t>
        </r>
        <r>
          <rPr>
            <sz val="9"/>
            <color indexed="81"/>
            <rFont val="Tahoma"/>
            <family val="2"/>
          </rPr>
          <t xml:space="preserve">
data of year 2010-2011</t>
        </r>
      </text>
    </comment>
    <comment ref="E313" authorId="0" shapeId="0">
      <text>
        <r>
          <rPr>
            <b/>
            <sz val="9"/>
            <color indexed="81"/>
            <rFont val="Tahoma"/>
            <family val="2"/>
          </rPr>
          <t>Ann Bijnens:</t>
        </r>
        <r>
          <rPr>
            <sz val="9"/>
            <color indexed="81"/>
            <rFont val="Tahoma"/>
            <family val="2"/>
          </rPr>
          <t xml:space="preserve">
adjustment from A. Cunha dd. 10/4/2018: from 173 to 134 l</t>
        </r>
      </text>
    </comment>
    <comment ref="F313" authorId="0" shapeId="0">
      <text>
        <r>
          <rPr>
            <b/>
            <sz val="9"/>
            <color indexed="81"/>
            <rFont val="Tahoma"/>
            <family val="2"/>
          </rPr>
          <t>Ann Bijnens:</t>
        </r>
        <r>
          <rPr>
            <sz val="9"/>
            <color indexed="81"/>
            <rFont val="Tahoma"/>
            <family val="2"/>
          </rPr>
          <t xml:space="preserve">
adjustment from A. Cunha dd. 10/4/2018: from 260 to 142 l</t>
        </r>
      </text>
    </comment>
    <comment ref="G313" authorId="0" shapeId="0">
      <text>
        <r>
          <rPr>
            <b/>
            <sz val="9"/>
            <color indexed="81"/>
            <rFont val="Tahoma"/>
            <family val="2"/>
          </rPr>
          <t>Ann Bijnens:</t>
        </r>
        <r>
          <rPr>
            <sz val="9"/>
            <color indexed="81"/>
            <rFont val="Tahoma"/>
            <family val="2"/>
          </rPr>
          <t xml:space="preserve">
adjustment from A. Cunha dd. 10/4/2018: from 149 to 148 l</t>
        </r>
      </text>
    </comment>
    <comment ref="E317" authorId="1" shapeId="0">
      <text>
        <r>
          <rPr>
            <b/>
            <sz val="9"/>
            <color indexed="81"/>
            <rFont val="Tahoma"/>
            <family val="2"/>
          </rPr>
          <t>bijnensa:</t>
        </r>
        <r>
          <rPr>
            <sz val="9"/>
            <color indexed="81"/>
            <rFont val="Tahoma"/>
            <family val="2"/>
          </rPr>
          <t xml:space="preserve">
data of year 2010-2011</t>
        </r>
      </text>
    </comment>
    <comment ref="E336" authorId="1" shapeId="0">
      <text>
        <r>
          <rPr>
            <b/>
            <sz val="9"/>
            <color indexed="81"/>
            <rFont val="Tahoma"/>
            <family val="2"/>
          </rPr>
          <t>bijnensa:</t>
        </r>
        <r>
          <rPr>
            <sz val="9"/>
            <color indexed="81"/>
            <rFont val="Tahoma"/>
            <family val="2"/>
          </rPr>
          <t xml:space="preserve">
including use by municipality and institutions (schools…)</t>
        </r>
      </text>
    </comment>
    <comment ref="E337" authorId="1" shapeId="0">
      <text>
        <r>
          <rPr>
            <b/>
            <sz val="9"/>
            <color indexed="81"/>
            <rFont val="Tahoma"/>
            <family val="2"/>
          </rPr>
          <t>bijnensa:</t>
        </r>
        <r>
          <rPr>
            <sz val="9"/>
            <color indexed="81"/>
            <rFont val="Tahoma"/>
            <family val="2"/>
          </rPr>
          <t xml:space="preserve">
data of 2010 due to lack of more recent data</t>
        </r>
      </text>
    </comment>
    <comment ref="F339" authorId="0" shapeId="0">
      <text>
        <r>
          <rPr>
            <b/>
            <sz val="9"/>
            <color indexed="81"/>
            <rFont val="Tahoma"/>
            <family val="2"/>
          </rPr>
          <t>Ann Bijnens:</t>
        </r>
        <r>
          <rPr>
            <sz val="9"/>
            <color indexed="81"/>
            <rFont val="Tahoma"/>
            <family val="2"/>
          </rPr>
          <t xml:space="preserve">
data of 2013</t>
        </r>
      </text>
    </comment>
    <comment ref="E343" authorId="1" shapeId="0">
      <text>
        <r>
          <rPr>
            <b/>
            <sz val="9"/>
            <color indexed="81"/>
            <rFont val="Tahoma"/>
            <family val="2"/>
          </rPr>
          <t>bijnensa:</t>
        </r>
        <r>
          <rPr>
            <sz val="9"/>
            <color indexed="81"/>
            <rFont val="Tahoma"/>
            <family val="2"/>
          </rPr>
          <t xml:space="preserve">
calculation with consumption "domestic full", total invoiced water consumption for 2012/2013 financial year</t>
        </r>
      </text>
    </comment>
    <comment ref="A345" authorId="0" shapeId="0">
      <text>
        <r>
          <rPr>
            <b/>
            <sz val="9"/>
            <color indexed="81"/>
            <rFont val="Tahoma"/>
            <family val="2"/>
          </rPr>
          <t>Ann Bijnens:</t>
        </r>
        <r>
          <rPr>
            <sz val="9"/>
            <color indexed="81"/>
            <rFont val="Tahoma"/>
            <family val="2"/>
          </rPr>
          <t xml:space="preserve">
LWSC = Lusaka Water &amp; Sewerage Company</t>
        </r>
      </text>
    </comment>
  </commentList>
</comments>
</file>

<file path=xl/comments20.xml><?xml version="1.0" encoding="utf-8"?>
<comments xmlns="http://schemas.openxmlformats.org/spreadsheetml/2006/main">
  <authors>
    <author>Ann Bijnens</author>
  </authors>
  <commentList>
    <comment ref="A26" authorId="0" shapeId="0">
      <text>
        <r>
          <rPr>
            <b/>
            <sz val="9"/>
            <color indexed="81"/>
            <rFont val="Tahoma"/>
            <family val="2"/>
          </rPr>
          <t>Ann Bijnens:</t>
        </r>
        <r>
          <rPr>
            <sz val="9"/>
            <color indexed="81"/>
            <rFont val="Tahoma"/>
            <family val="2"/>
          </rPr>
          <t xml:space="preserve">
data of 2011</t>
        </r>
      </text>
    </comment>
    <comment ref="A42" authorId="0" shapeId="0">
      <text>
        <r>
          <rPr>
            <b/>
            <sz val="9"/>
            <color indexed="81"/>
            <rFont val="Tahoma"/>
            <family val="2"/>
          </rPr>
          <t>Ann Bijnens:</t>
        </r>
        <r>
          <rPr>
            <sz val="9"/>
            <color indexed="81"/>
            <rFont val="Tahoma"/>
            <family val="2"/>
          </rPr>
          <t xml:space="preserve">
data for 2014 are from year 2012 National Survey AEAS</t>
        </r>
      </text>
    </comment>
    <comment ref="B44" authorId="0" shapeId="0">
      <text>
        <r>
          <rPr>
            <b/>
            <sz val="9"/>
            <color indexed="81"/>
            <rFont val="Tahoma"/>
            <family val="2"/>
          </rPr>
          <t>Ann Bijnens:</t>
        </r>
        <r>
          <rPr>
            <sz val="9"/>
            <color indexed="81"/>
            <rFont val="Tahoma"/>
            <family val="2"/>
          </rPr>
          <t xml:space="preserve">
data of 2010</t>
        </r>
      </text>
    </comment>
  </commentList>
</comments>
</file>

<file path=xl/comments21.xml><?xml version="1.0" encoding="utf-8"?>
<comments xmlns="http://schemas.openxmlformats.org/spreadsheetml/2006/main">
  <authors>
    <author>bijnensa</author>
    <author>Ann Bijnens</author>
  </authors>
  <commentList>
    <comment ref="H16" authorId="0" shapeId="0">
      <text>
        <r>
          <rPr>
            <b/>
            <sz val="9"/>
            <color indexed="81"/>
            <rFont val="Tahoma"/>
            <family val="2"/>
          </rPr>
          <t>bijnensa:</t>
        </r>
        <r>
          <rPr>
            <sz val="9"/>
            <color indexed="81"/>
            <rFont val="Tahoma"/>
            <family val="2"/>
          </rPr>
          <t xml:space="preserve">
assumes the customers water consumption is equally distributed in each quarter</t>
        </r>
      </text>
    </comment>
    <comment ref="I16" authorId="0" shapeId="0">
      <text>
        <r>
          <rPr>
            <b/>
            <sz val="9"/>
            <color indexed="81"/>
            <rFont val="Tahoma"/>
            <family val="2"/>
          </rPr>
          <t>bijnensa:</t>
        </r>
        <r>
          <rPr>
            <sz val="9"/>
            <color indexed="81"/>
            <rFont val="Tahoma"/>
            <family val="2"/>
          </rPr>
          <t xml:space="preserve">
River Murray Levy</t>
        </r>
      </text>
    </comment>
    <comment ref="L16" authorId="0" shapeId="0">
      <text>
        <r>
          <rPr>
            <b/>
            <sz val="9"/>
            <color indexed="81"/>
            <rFont val="Tahoma"/>
            <family val="2"/>
          </rPr>
          <t>bijnensa:</t>
        </r>
        <r>
          <rPr>
            <sz val="9"/>
            <color indexed="81"/>
            <rFont val="Tahoma"/>
            <family val="2"/>
          </rPr>
          <t xml:space="preserve">
based on the average valued property</t>
        </r>
      </text>
    </comment>
    <comment ref="A37" authorId="1" shapeId="0">
      <text>
        <r>
          <rPr>
            <b/>
            <sz val="9"/>
            <color indexed="81"/>
            <rFont val="Tahoma"/>
            <family val="2"/>
          </rPr>
          <t>Ann Bijnens:</t>
        </r>
        <r>
          <rPr>
            <sz val="9"/>
            <color indexed="81"/>
            <rFont val="Tahoma"/>
            <family val="2"/>
          </rPr>
          <t xml:space="preserve">
charges of 2015:
Source: SNIS - National System of Information on Water and Sanitation    Reference Year - 2015 - Last Edition published                                                           SABESP - Water Utility of São Paulo State with full concession of Water and Sanitation Services in 368 Municipalities of São Paulo Stae, deserving around 27,9 millioon inhabitants.                                                                                                                                                                                      BRASÍLIA - The Federal District is deserved in water and sanitation by CAESB, the local water utility.  CAESB deserves about 2,59 million inhabitants.</t>
        </r>
      </text>
    </comment>
    <comment ref="A45" authorId="1" shapeId="0">
      <text>
        <r>
          <rPr>
            <b/>
            <sz val="9"/>
            <color indexed="81"/>
            <rFont val="Tahoma"/>
            <family val="2"/>
          </rPr>
          <t>Ann Bijnens:</t>
        </r>
        <r>
          <rPr>
            <sz val="9"/>
            <color indexed="81"/>
            <rFont val="Tahoma"/>
            <family val="2"/>
          </rPr>
          <t xml:space="preserve">
charges of 2017:
Tariffs for 3 services (water supply, sewerage and waste water treatment are billed per m3 consumed. No fix or variable components are applied. VAT is 20%.
Tariffs in Sofia and Burgas are established in 2017, in Pleven and Razgrad in 2016, and in Stara Zagora in 2012</t>
        </r>
      </text>
    </comment>
    <comment ref="A143" authorId="1" shapeId="0">
      <text>
        <r>
          <rPr>
            <b/>
            <sz val="9"/>
            <color indexed="81"/>
            <rFont val="Tahoma"/>
            <family val="2"/>
          </rPr>
          <t xml:space="preserve">Ann Bijnens:
</t>
        </r>
        <r>
          <rPr>
            <sz val="9"/>
            <color indexed="81"/>
            <rFont val="Tahoma"/>
            <family val="2"/>
          </rPr>
          <t>There are no regional differences in water rates</t>
        </r>
      </text>
    </comment>
    <comment ref="H143" authorId="1" shapeId="0">
      <text>
        <r>
          <rPr>
            <b/>
            <sz val="9"/>
            <color indexed="81"/>
            <rFont val="Tahoma"/>
            <family val="2"/>
          </rPr>
          <t>Ann Bijnens:</t>
        </r>
        <r>
          <rPr>
            <sz val="9"/>
            <color indexed="81"/>
            <rFont val="Tahoma"/>
            <family val="2"/>
          </rPr>
          <t xml:space="preserve">
Increasing block tariff at €1.3965/m3 up to 33m3/person/annum and €5.1395/m3 above 33m3/person/annum. Assume water consumption spread evenly over the year.</t>
        </r>
      </text>
    </comment>
    <comment ref="N143" authorId="1" shapeId="0">
      <text>
        <r>
          <rPr>
            <b/>
            <sz val="9"/>
            <color indexed="81"/>
            <rFont val="Tahoma"/>
            <family val="2"/>
          </rPr>
          <t>Ann Bijnens:</t>
        </r>
        <r>
          <rPr>
            <sz val="9"/>
            <color indexed="81"/>
            <rFont val="Tahoma"/>
            <family val="2"/>
          </rPr>
          <t xml:space="preserve">
rates incorporate sewerage contribution</t>
        </r>
      </text>
    </comment>
    <comment ref="P157" authorId="0" shapeId="0">
      <text>
        <r>
          <rPr>
            <b/>
            <sz val="9"/>
            <color indexed="81"/>
            <rFont val="Tahoma"/>
            <family val="2"/>
          </rPr>
          <t>bijnensa:</t>
        </r>
        <r>
          <rPr>
            <sz val="9"/>
            <color indexed="81"/>
            <rFont val="Tahoma"/>
            <family val="2"/>
          </rPr>
          <t xml:space="preserve">
other charges: tap water tax</t>
        </r>
      </text>
    </comment>
    <comment ref="I158" authorId="0" shapeId="0">
      <text>
        <r>
          <rPr>
            <b/>
            <sz val="9"/>
            <color indexed="81"/>
            <rFont val="Tahoma"/>
            <family val="2"/>
          </rPr>
          <t>bijnensa:</t>
        </r>
        <r>
          <rPr>
            <sz val="9"/>
            <color indexed="81"/>
            <rFont val="Tahoma"/>
            <family val="2"/>
          </rPr>
          <t xml:space="preserve">
distribution and concession reimbursements ("precario")</t>
        </r>
      </text>
    </comment>
    <comment ref="P158" authorId="0" shapeId="0">
      <text>
        <r>
          <rPr>
            <b/>
            <sz val="9"/>
            <color indexed="81"/>
            <rFont val="Tahoma"/>
            <family val="2"/>
          </rPr>
          <t>bijnensa:</t>
        </r>
        <r>
          <rPr>
            <sz val="9"/>
            <color indexed="81"/>
            <rFont val="Tahoma"/>
            <family val="2"/>
          </rPr>
          <t xml:space="preserve">
other charges: tap water tax</t>
        </r>
      </text>
    </comment>
    <comment ref="I159" authorId="0" shapeId="0">
      <text>
        <r>
          <rPr>
            <b/>
            <sz val="9"/>
            <color indexed="81"/>
            <rFont val="Tahoma"/>
            <family val="2"/>
          </rPr>
          <t>bijnensa:</t>
        </r>
        <r>
          <rPr>
            <sz val="9"/>
            <color indexed="81"/>
            <rFont val="Tahoma"/>
            <family val="2"/>
          </rPr>
          <t xml:space="preserve">
distribution and concession reimbursements ("precario")</t>
        </r>
      </text>
    </comment>
    <comment ref="P159" authorId="0" shapeId="0">
      <text>
        <r>
          <rPr>
            <b/>
            <sz val="9"/>
            <color indexed="81"/>
            <rFont val="Tahoma"/>
            <family val="2"/>
          </rPr>
          <t>bijnensa:</t>
        </r>
        <r>
          <rPr>
            <sz val="9"/>
            <color indexed="81"/>
            <rFont val="Tahoma"/>
            <family val="2"/>
          </rPr>
          <t xml:space="preserve">
other charges: tap water tax</t>
        </r>
      </text>
    </comment>
    <comment ref="P160" authorId="0" shapeId="0">
      <text>
        <r>
          <rPr>
            <b/>
            <sz val="9"/>
            <color indexed="81"/>
            <rFont val="Tahoma"/>
            <family val="2"/>
          </rPr>
          <t>bijnensa:</t>
        </r>
        <r>
          <rPr>
            <sz val="9"/>
            <color indexed="81"/>
            <rFont val="Tahoma"/>
            <family val="2"/>
          </rPr>
          <t xml:space="preserve">
other charges: tap water tax</t>
        </r>
      </text>
    </comment>
    <comment ref="P161" authorId="0" shapeId="0">
      <text>
        <r>
          <rPr>
            <b/>
            <sz val="9"/>
            <color indexed="81"/>
            <rFont val="Tahoma"/>
            <family val="2"/>
          </rPr>
          <t>bijnensa:</t>
        </r>
        <r>
          <rPr>
            <sz val="9"/>
            <color indexed="81"/>
            <rFont val="Tahoma"/>
            <family val="2"/>
          </rPr>
          <t xml:space="preserve">
other charges: tap water tax</t>
        </r>
      </text>
    </comment>
    <comment ref="A227" authorId="1" shapeId="0">
      <text>
        <r>
          <rPr>
            <b/>
            <sz val="9"/>
            <color indexed="81"/>
            <rFont val="Tahoma"/>
            <family val="2"/>
          </rPr>
          <t>Ann Bijnens:</t>
        </r>
        <r>
          <rPr>
            <sz val="9"/>
            <color indexed="81"/>
            <rFont val="Tahoma"/>
            <family val="2"/>
          </rPr>
          <t xml:space="preserve">
data of 2017:
In Scotland all public supply is charged at a fixed rate (unmetered) and collected by local authorities along with council (local property) tax. It is banded according to the value of the property but the levels of charges are the same everywhere. This link gives the table with the banded rates. http://www.scottishwater.co.uk/you-and-your-home/your-charges/2018-19-charges/2018-19-umc If households are in receipt of benefit or a single adult, there is a reduction. There is a separate charge for water and for sewerage though most people and certainly in urban areas have both elements of public supply. 
banded tariffs for water start at £134.66 / pa and rise (8 bands) to £404.82 / pa. Banded charges for wastewater start ar £156.66 / pa and rise to £469.98 / pa. </t>
        </r>
      </text>
    </comment>
    <comment ref="N243" authorId="0" shapeId="0">
      <text>
        <r>
          <rPr>
            <b/>
            <sz val="9"/>
            <color indexed="81"/>
            <rFont val="Tahoma"/>
            <family val="2"/>
          </rPr>
          <t>bijnensa:</t>
        </r>
        <r>
          <rPr>
            <sz val="9"/>
            <color indexed="81"/>
            <rFont val="Tahoma"/>
            <family val="2"/>
          </rPr>
          <t xml:space="preserve">
not separately charged. Inherent to sewerage charge</t>
        </r>
      </text>
    </comment>
    <comment ref="H244" authorId="0" shapeId="0">
      <text>
        <r>
          <rPr>
            <b/>
            <sz val="9"/>
            <color indexed="81"/>
            <rFont val="Tahoma"/>
            <family val="2"/>
          </rPr>
          <t>bijnensa:</t>
        </r>
        <r>
          <rPr>
            <sz val="9"/>
            <color indexed="81"/>
            <rFont val="Tahoma"/>
            <family val="2"/>
          </rPr>
          <t xml:space="preserve">
assumes the customers water consumption is equally distributed in each quarter</t>
        </r>
      </text>
    </comment>
    <comment ref="I244" authorId="0" shapeId="0">
      <text>
        <r>
          <rPr>
            <b/>
            <sz val="9"/>
            <color indexed="81"/>
            <rFont val="Tahoma"/>
            <family val="2"/>
          </rPr>
          <t>bijnensa:</t>
        </r>
        <r>
          <rPr>
            <sz val="9"/>
            <color indexed="81"/>
            <rFont val="Tahoma"/>
            <family val="2"/>
          </rPr>
          <t xml:space="preserve">
River Murray Levy</t>
        </r>
      </text>
    </comment>
    <comment ref="L244" authorId="0" shapeId="0">
      <text>
        <r>
          <rPr>
            <b/>
            <sz val="9"/>
            <color indexed="81"/>
            <rFont val="Tahoma"/>
            <family val="2"/>
          </rPr>
          <t>bijnensa:</t>
        </r>
        <r>
          <rPr>
            <sz val="9"/>
            <color indexed="81"/>
            <rFont val="Tahoma"/>
            <family val="2"/>
          </rPr>
          <t xml:space="preserve">
based on the average valued property</t>
        </r>
      </text>
    </comment>
    <comment ref="A253" authorId="1" shapeId="0">
      <text>
        <r>
          <rPr>
            <b/>
            <sz val="9"/>
            <color indexed="81"/>
            <rFont val="Tahoma"/>
            <family val="2"/>
          </rPr>
          <t>Ann Bijnens:</t>
        </r>
        <r>
          <rPr>
            <sz val="9"/>
            <color indexed="81"/>
            <rFont val="Tahoma"/>
            <family val="2"/>
          </rPr>
          <t xml:space="preserve">
charges of 2017:
The drinking water bill for all cities (Madrid, Barcelona, Bilbao, Sevilla and Valencia) consists of both variable and fixed components. But as we perform our tariff studies in Spain, we do not separate fixed and variable component.  So as a convention, we have decided to include the drinking water bill on variable component.
We also have variable and fixed components in Sewerage and WWT services, but in our tariff studies we do not separate each concept.
VAT in Spain for water services is 10% of the total value for the majority of concepts included on the bill </t>
        </r>
      </text>
    </comment>
    <comment ref="A269" authorId="1" shapeId="0">
      <text>
        <r>
          <rPr>
            <b/>
            <sz val="9"/>
            <color indexed="81"/>
            <rFont val="Tahoma"/>
            <family val="2"/>
          </rPr>
          <t>Ann Bijnens:</t>
        </r>
        <r>
          <rPr>
            <sz val="9"/>
            <color indexed="81"/>
            <rFont val="Tahoma"/>
            <family val="2"/>
          </rPr>
          <t xml:space="preserve">
data of 2014: bill for consumption depends on customer type. Here we use type 1 residence.</t>
        </r>
      </text>
    </comment>
    <comment ref="P271" authorId="1" shapeId="0">
      <text>
        <r>
          <rPr>
            <b/>
            <sz val="9"/>
            <color indexed="81"/>
            <rFont val="Tahoma"/>
            <family val="2"/>
          </rPr>
          <t>Ann Bijnens:</t>
        </r>
        <r>
          <rPr>
            <sz val="9"/>
            <color indexed="81"/>
            <rFont val="Tahoma"/>
            <family val="2"/>
          </rPr>
          <t xml:space="preserve">
charges 2017: environmental cleaning tax</t>
        </r>
      </text>
    </comment>
    <comment ref="I272" authorId="1" shapeId="0">
      <text>
        <r>
          <rPr>
            <b/>
            <sz val="9"/>
            <color indexed="81"/>
            <rFont val="Tahoma"/>
            <family val="2"/>
          </rPr>
          <t>Ann Bijnens:</t>
        </r>
        <r>
          <rPr>
            <sz val="9"/>
            <color indexed="81"/>
            <rFont val="Tahoma"/>
            <family val="2"/>
          </rPr>
          <t xml:space="preserve">
charges 2017: maintenance cost</t>
        </r>
      </text>
    </comment>
    <comment ref="P272" authorId="1" shapeId="0">
      <text>
        <r>
          <rPr>
            <b/>
            <sz val="9"/>
            <color indexed="81"/>
            <rFont val="Tahoma"/>
            <family val="2"/>
          </rPr>
          <t>Ann Bijnens:</t>
        </r>
        <r>
          <rPr>
            <sz val="9"/>
            <color indexed="81"/>
            <rFont val="Tahoma"/>
            <family val="2"/>
          </rPr>
          <t xml:space="preserve">
charges 2017: environmental cleaning tax</t>
        </r>
      </text>
    </comment>
    <comment ref="P273" authorId="1" shapeId="0">
      <text>
        <r>
          <rPr>
            <b/>
            <sz val="9"/>
            <color indexed="81"/>
            <rFont val="Tahoma"/>
            <family val="2"/>
          </rPr>
          <t>Ann Bijnens:</t>
        </r>
        <r>
          <rPr>
            <sz val="9"/>
            <color indexed="81"/>
            <rFont val="Tahoma"/>
            <family val="2"/>
          </rPr>
          <t xml:space="preserve">
charges 2017: environmental cleaning tax</t>
        </r>
      </text>
    </comment>
    <comment ref="A274" authorId="1" shapeId="0">
      <text>
        <r>
          <rPr>
            <b/>
            <sz val="9"/>
            <color indexed="81"/>
            <rFont val="Tahoma"/>
            <family val="2"/>
          </rPr>
          <t>Ann Bijnens:</t>
        </r>
        <r>
          <rPr>
            <sz val="9"/>
            <color indexed="81"/>
            <rFont val="Tahoma"/>
            <family val="2"/>
          </rPr>
          <t xml:space="preserve">
data of 2015: The Corporation applies a uniform tariff across all consumer categories in all its areas of operation. The Domestic rate/tariff is uniform in all the Corporation's operational areas.
Fixed charge is the same across all the operational areas.
</t>
        </r>
      </text>
    </comment>
    <comment ref="N278" authorId="0" shapeId="0">
      <text>
        <r>
          <rPr>
            <b/>
            <sz val="9"/>
            <color indexed="81"/>
            <rFont val="Tahoma"/>
            <family val="2"/>
          </rPr>
          <t>bijnensa:</t>
        </r>
        <r>
          <rPr>
            <sz val="9"/>
            <color indexed="81"/>
            <rFont val="Tahoma"/>
            <family val="2"/>
          </rPr>
          <t xml:space="preserve">
Sewerage charges shown include surface water drainage charges. Households in Birmingham pay for their surface water drainage either through a fixed charge based on property type or a charge based on the rateable value. The figures presented assume a 'zone 4' bill based on a property with a rateable value of £200 as an example.</t>
        </r>
      </text>
    </comment>
    <comment ref="N279" authorId="0" shapeId="0">
      <text>
        <r>
          <rPr>
            <b/>
            <sz val="9"/>
            <color indexed="81"/>
            <rFont val="Tahoma"/>
            <family val="2"/>
          </rPr>
          <t>bijnensa:</t>
        </r>
        <r>
          <rPr>
            <sz val="9"/>
            <color indexed="81"/>
            <rFont val="Tahoma"/>
            <family val="2"/>
          </rPr>
          <t xml:space="preserve">
Sewerage charges shown include surface water drainage charges.</t>
        </r>
      </text>
    </comment>
    <comment ref="N280" authorId="0" shapeId="0">
      <text>
        <r>
          <rPr>
            <b/>
            <sz val="9"/>
            <color indexed="81"/>
            <rFont val="Tahoma"/>
            <family val="2"/>
          </rPr>
          <t>bijnensa:</t>
        </r>
        <r>
          <rPr>
            <sz val="9"/>
            <color indexed="81"/>
            <rFont val="Tahoma"/>
            <family val="2"/>
          </rPr>
          <t xml:space="preserve">
Sewerage charges shown include surface water drainage charges.</t>
        </r>
      </text>
    </comment>
    <comment ref="N281" authorId="0" shapeId="0">
      <text>
        <r>
          <rPr>
            <b/>
            <sz val="9"/>
            <color indexed="81"/>
            <rFont val="Tahoma"/>
            <family val="2"/>
          </rPr>
          <t>bijnensa:</t>
        </r>
        <r>
          <rPr>
            <sz val="9"/>
            <color indexed="81"/>
            <rFont val="Tahoma"/>
            <family val="2"/>
          </rPr>
          <t xml:space="preserve">
Sewerage charges shown include surface water drainage charges.</t>
        </r>
      </text>
    </comment>
    <comment ref="N282" authorId="0" shapeId="0">
      <text>
        <r>
          <rPr>
            <b/>
            <sz val="9"/>
            <color indexed="81"/>
            <rFont val="Tahoma"/>
            <family val="2"/>
          </rPr>
          <t>bijnensa:</t>
        </r>
        <r>
          <rPr>
            <sz val="9"/>
            <color indexed="81"/>
            <rFont val="Tahoma"/>
            <family val="2"/>
          </rPr>
          <t xml:space="preserve">
Sewerage charges shown include surface water drainage charges.</t>
        </r>
      </text>
    </comment>
    <comment ref="A290" authorId="1" shapeId="0">
      <text>
        <r>
          <rPr>
            <b/>
            <sz val="9"/>
            <color indexed="81"/>
            <rFont val="Tahoma"/>
            <family val="2"/>
          </rPr>
          <t>Ann Bijnens:</t>
        </r>
        <r>
          <rPr>
            <sz val="9"/>
            <color indexed="81"/>
            <rFont val="Tahoma"/>
            <family val="2"/>
          </rPr>
          <t xml:space="preserve">
- FIXED CHARGES FOR DOMESTIC CUSTOMERS.
- SEWERAGE CHARGE FOR DOMESTIC CUSTOMERS IS 20%OF WATER BILL FOR; MWSC, NWSC, &amp; 30% for LWSC&amp;KWSC 40% NWWSC &amp; KWSC .
- Other charges: SANITATION SURCHARGE AT 2.5% OF WATER BILL, EXCEPT FOR NKANA WSC (NWSC) AT 3%.</t>
        </r>
      </text>
    </comment>
    <comment ref="B290" authorId="1" shapeId="0">
      <text>
        <r>
          <rPr>
            <b/>
            <sz val="9"/>
            <color indexed="81"/>
            <rFont val="Tahoma"/>
            <family val="2"/>
          </rPr>
          <t>Ann Bijnens:</t>
        </r>
        <r>
          <rPr>
            <sz val="9"/>
            <color indexed="81"/>
            <rFont val="Tahoma"/>
            <family val="2"/>
          </rPr>
          <t xml:space="preserve">
LWSC = Lusaka Water &amp; Sewerage Company</t>
        </r>
      </text>
    </comment>
    <comment ref="AM290" authorId="1" shapeId="0">
      <text>
        <r>
          <rPr>
            <b/>
            <sz val="9"/>
            <color indexed="81"/>
            <rFont val="Tahoma"/>
            <family val="2"/>
          </rPr>
          <t>Ann Bijnens:</t>
        </r>
        <r>
          <rPr>
            <sz val="9"/>
            <color indexed="81"/>
            <rFont val="Tahoma"/>
            <family val="2"/>
          </rPr>
          <t xml:space="preserve">
fixed charges for service = meter charges</t>
        </r>
      </text>
    </comment>
    <comment ref="AN290" authorId="1" shapeId="0">
      <text>
        <r>
          <rPr>
            <b/>
            <sz val="9"/>
            <color indexed="81"/>
            <rFont val="Tahoma"/>
            <family val="2"/>
          </rPr>
          <t>Ann Bijnens:</t>
        </r>
        <r>
          <rPr>
            <sz val="9"/>
            <color indexed="81"/>
            <rFont val="Tahoma"/>
            <family val="2"/>
          </rPr>
          <t xml:space="preserve">
sanitation surcharges which are a percentage of the water bill</t>
        </r>
      </text>
    </comment>
    <comment ref="B291" authorId="1" shapeId="0">
      <text>
        <r>
          <rPr>
            <b/>
            <sz val="9"/>
            <color indexed="81"/>
            <rFont val="Tahoma"/>
            <family val="2"/>
          </rPr>
          <t>Ann Bijnens:</t>
        </r>
        <r>
          <rPr>
            <sz val="9"/>
            <color indexed="81"/>
            <rFont val="Tahoma"/>
            <family val="2"/>
          </rPr>
          <t xml:space="preserve">
KWSC = Kafubu Water and Sewerage Company</t>
        </r>
      </text>
    </comment>
    <comment ref="AM291" authorId="1" shapeId="0">
      <text>
        <r>
          <rPr>
            <b/>
            <sz val="9"/>
            <color indexed="81"/>
            <rFont val="Tahoma"/>
            <family val="2"/>
          </rPr>
          <t>Ann Bijnens:</t>
        </r>
        <r>
          <rPr>
            <sz val="9"/>
            <color indexed="81"/>
            <rFont val="Tahoma"/>
            <family val="2"/>
          </rPr>
          <t xml:space="preserve">
fixed charges for service = meter charges</t>
        </r>
      </text>
    </comment>
    <comment ref="AN291" authorId="1" shapeId="0">
      <text>
        <r>
          <rPr>
            <b/>
            <sz val="9"/>
            <color indexed="81"/>
            <rFont val="Tahoma"/>
            <family val="2"/>
          </rPr>
          <t>Ann Bijnens:</t>
        </r>
        <r>
          <rPr>
            <sz val="9"/>
            <color indexed="81"/>
            <rFont val="Tahoma"/>
            <family val="2"/>
          </rPr>
          <t xml:space="preserve">
sanitation surcharges which are a percentage of the water bill</t>
        </r>
      </text>
    </comment>
    <comment ref="B292" authorId="1" shapeId="0">
      <text>
        <r>
          <rPr>
            <b/>
            <sz val="9"/>
            <color indexed="81"/>
            <rFont val="Tahoma"/>
            <family val="2"/>
          </rPr>
          <t>Ann Bijnens:</t>
        </r>
        <r>
          <rPr>
            <sz val="9"/>
            <color indexed="81"/>
            <rFont val="Tahoma"/>
            <family val="2"/>
          </rPr>
          <t xml:space="preserve">
MWSC = Mulonga Water and Sewerage Company</t>
        </r>
      </text>
    </comment>
    <comment ref="AM292" authorId="1" shapeId="0">
      <text>
        <r>
          <rPr>
            <b/>
            <sz val="9"/>
            <color indexed="81"/>
            <rFont val="Tahoma"/>
            <family val="2"/>
          </rPr>
          <t>Ann Bijnens:</t>
        </r>
        <r>
          <rPr>
            <sz val="9"/>
            <color indexed="81"/>
            <rFont val="Tahoma"/>
            <family val="2"/>
          </rPr>
          <t xml:space="preserve">
fixed charges for service = meter charges</t>
        </r>
      </text>
    </comment>
    <comment ref="AN292" authorId="1" shapeId="0">
      <text>
        <r>
          <rPr>
            <b/>
            <sz val="9"/>
            <color indexed="81"/>
            <rFont val="Tahoma"/>
            <family val="2"/>
          </rPr>
          <t>Ann Bijnens:</t>
        </r>
        <r>
          <rPr>
            <sz val="9"/>
            <color indexed="81"/>
            <rFont val="Tahoma"/>
            <family val="2"/>
          </rPr>
          <t xml:space="preserve">
sanitation surcharges which are a percentage of the water bill</t>
        </r>
      </text>
    </comment>
    <comment ref="B293" authorId="1" shapeId="0">
      <text>
        <r>
          <rPr>
            <b/>
            <sz val="9"/>
            <color indexed="81"/>
            <rFont val="Tahoma"/>
            <family val="2"/>
          </rPr>
          <t>Ann Bijnens:</t>
        </r>
        <r>
          <rPr>
            <sz val="9"/>
            <color indexed="81"/>
            <rFont val="Tahoma"/>
            <family val="2"/>
          </rPr>
          <t xml:space="preserve">
NWWSSC = North Western Water Supply and Sewerage Company</t>
        </r>
      </text>
    </comment>
    <comment ref="AM293" authorId="1" shapeId="0">
      <text>
        <r>
          <rPr>
            <b/>
            <sz val="9"/>
            <color indexed="81"/>
            <rFont val="Tahoma"/>
            <family val="2"/>
          </rPr>
          <t>Ann Bijnens:</t>
        </r>
        <r>
          <rPr>
            <sz val="9"/>
            <color indexed="81"/>
            <rFont val="Tahoma"/>
            <family val="2"/>
          </rPr>
          <t xml:space="preserve">
fixed charges for service = meter charges</t>
        </r>
      </text>
    </comment>
    <comment ref="E393" authorId="1" shapeId="0">
      <text>
        <r>
          <rPr>
            <b/>
            <sz val="9"/>
            <color indexed="81"/>
            <rFont val="Tahoma"/>
            <family val="2"/>
          </rPr>
          <t>Ann Bijnens:</t>
        </r>
        <r>
          <rPr>
            <sz val="9"/>
            <color indexed="81"/>
            <rFont val="Tahoma"/>
            <family val="2"/>
          </rPr>
          <t xml:space="preserve">
Increasing block tariff at €1.3965/m3 up to 33m3/person/annum and €5.1395/m3 above 33m3/person/annum. Assume water consumption spread evenly over the year.</t>
        </r>
      </text>
    </comment>
    <comment ref="K393" authorId="1" shapeId="0">
      <text>
        <r>
          <rPr>
            <b/>
            <sz val="9"/>
            <color indexed="81"/>
            <rFont val="Tahoma"/>
            <family val="2"/>
          </rPr>
          <t>Ann Bijnens:</t>
        </r>
        <r>
          <rPr>
            <sz val="9"/>
            <color indexed="81"/>
            <rFont val="Tahoma"/>
            <family val="2"/>
          </rPr>
          <t xml:space="preserve">
rates incorporate sewerage contribution</t>
        </r>
      </text>
    </comment>
    <comment ref="O400" authorId="0" shapeId="0">
      <text>
        <r>
          <rPr>
            <b/>
            <sz val="9"/>
            <color indexed="81"/>
            <rFont val="Tahoma"/>
            <family val="2"/>
          </rPr>
          <t>bijnensa:</t>
        </r>
        <r>
          <rPr>
            <sz val="9"/>
            <color indexed="81"/>
            <rFont val="Tahoma"/>
            <family val="2"/>
          </rPr>
          <t xml:space="preserve">
other charges: tap water tax</t>
        </r>
      </text>
    </comment>
    <comment ref="F401" authorId="0" shapeId="0">
      <text>
        <r>
          <rPr>
            <b/>
            <sz val="9"/>
            <color indexed="81"/>
            <rFont val="Tahoma"/>
            <family val="2"/>
          </rPr>
          <t>bijnensa:</t>
        </r>
        <r>
          <rPr>
            <sz val="9"/>
            <color indexed="81"/>
            <rFont val="Tahoma"/>
            <family val="2"/>
          </rPr>
          <t xml:space="preserve">
distribution and concession reimbursements ("precario")</t>
        </r>
      </text>
    </comment>
    <comment ref="O401" authorId="0" shapeId="0">
      <text>
        <r>
          <rPr>
            <b/>
            <sz val="9"/>
            <color indexed="81"/>
            <rFont val="Tahoma"/>
            <family val="2"/>
          </rPr>
          <t>bijnensa:</t>
        </r>
        <r>
          <rPr>
            <sz val="9"/>
            <color indexed="81"/>
            <rFont val="Tahoma"/>
            <family val="2"/>
          </rPr>
          <t xml:space="preserve">
other charges: tap water tax</t>
        </r>
      </text>
    </comment>
    <comment ref="F402" authorId="0" shapeId="0">
      <text>
        <r>
          <rPr>
            <b/>
            <sz val="9"/>
            <color indexed="81"/>
            <rFont val="Tahoma"/>
            <family val="2"/>
          </rPr>
          <t>bijnensa:</t>
        </r>
        <r>
          <rPr>
            <sz val="9"/>
            <color indexed="81"/>
            <rFont val="Tahoma"/>
            <family val="2"/>
          </rPr>
          <t xml:space="preserve">
distribution and concession reimbursements ("precario")</t>
        </r>
      </text>
    </comment>
    <comment ref="O402" authorId="0" shapeId="0">
      <text>
        <r>
          <rPr>
            <b/>
            <sz val="9"/>
            <color indexed="81"/>
            <rFont val="Tahoma"/>
            <family val="2"/>
          </rPr>
          <t>bijnensa:</t>
        </r>
        <r>
          <rPr>
            <sz val="9"/>
            <color indexed="81"/>
            <rFont val="Tahoma"/>
            <family val="2"/>
          </rPr>
          <t xml:space="preserve">
other charges: tap water tax</t>
        </r>
      </text>
    </comment>
    <comment ref="O403" authorId="0" shapeId="0">
      <text>
        <r>
          <rPr>
            <b/>
            <sz val="9"/>
            <color indexed="81"/>
            <rFont val="Tahoma"/>
            <family val="2"/>
          </rPr>
          <t>bijnensa:</t>
        </r>
        <r>
          <rPr>
            <sz val="9"/>
            <color indexed="81"/>
            <rFont val="Tahoma"/>
            <family val="2"/>
          </rPr>
          <t xml:space="preserve">
other charges: tap water tax</t>
        </r>
      </text>
    </comment>
    <comment ref="O404" authorId="0" shapeId="0">
      <text>
        <r>
          <rPr>
            <b/>
            <sz val="9"/>
            <color indexed="81"/>
            <rFont val="Tahoma"/>
            <family val="2"/>
          </rPr>
          <t>bijnensa:</t>
        </r>
        <r>
          <rPr>
            <sz val="9"/>
            <color indexed="81"/>
            <rFont val="Tahoma"/>
            <family val="2"/>
          </rPr>
          <t xml:space="preserve">
other charges: tap water tax</t>
        </r>
      </text>
    </comment>
    <comment ref="O477" authorId="1" shapeId="0">
      <text>
        <r>
          <rPr>
            <b/>
            <sz val="9"/>
            <color indexed="81"/>
            <rFont val="Tahoma"/>
            <family val="2"/>
          </rPr>
          <t>Ann Bijnens:</t>
        </r>
        <r>
          <rPr>
            <sz val="9"/>
            <color indexed="81"/>
            <rFont val="Tahoma"/>
            <family val="2"/>
          </rPr>
          <t xml:space="preserve">
charges 2017: environmental cleaning tax</t>
        </r>
      </text>
    </comment>
    <comment ref="F478" authorId="1" shapeId="0">
      <text>
        <r>
          <rPr>
            <b/>
            <sz val="9"/>
            <color indexed="81"/>
            <rFont val="Tahoma"/>
            <family val="2"/>
          </rPr>
          <t>Ann Bijnens:</t>
        </r>
        <r>
          <rPr>
            <sz val="9"/>
            <color indexed="81"/>
            <rFont val="Tahoma"/>
            <family val="2"/>
          </rPr>
          <t xml:space="preserve">
charges 2017: maintenance cost</t>
        </r>
      </text>
    </comment>
    <comment ref="O478" authorId="1" shapeId="0">
      <text>
        <r>
          <rPr>
            <b/>
            <sz val="9"/>
            <color indexed="81"/>
            <rFont val="Tahoma"/>
            <family val="2"/>
          </rPr>
          <t>Ann Bijnens:</t>
        </r>
        <r>
          <rPr>
            <sz val="9"/>
            <color indexed="81"/>
            <rFont val="Tahoma"/>
            <family val="2"/>
          </rPr>
          <t xml:space="preserve">
charges 2017: environmental cleaning tax</t>
        </r>
      </text>
    </comment>
    <comment ref="O479" authorId="1" shapeId="0">
      <text>
        <r>
          <rPr>
            <b/>
            <sz val="9"/>
            <color indexed="81"/>
            <rFont val="Tahoma"/>
            <family val="2"/>
          </rPr>
          <t>Ann Bijnens:</t>
        </r>
        <r>
          <rPr>
            <sz val="9"/>
            <color indexed="81"/>
            <rFont val="Tahoma"/>
            <family val="2"/>
          </rPr>
          <t xml:space="preserve">
charges 2017: environmental cleaning tax</t>
        </r>
      </text>
    </comment>
    <comment ref="K484" authorId="0" shapeId="0">
      <text>
        <r>
          <rPr>
            <b/>
            <sz val="9"/>
            <color indexed="81"/>
            <rFont val="Tahoma"/>
            <family val="2"/>
          </rPr>
          <t>bijnensa:</t>
        </r>
        <r>
          <rPr>
            <sz val="9"/>
            <color indexed="81"/>
            <rFont val="Tahoma"/>
            <family val="2"/>
          </rPr>
          <t xml:space="preserve">
Sewerage charges shown include surface water drainage charges. Households in Birmingham pay for their surface water drainage either through a fixed charge based on property type or a charge based on the rateable value. The figures presented assume a 'zone 4' bill based on a property with a rateable value of £200 as an example.</t>
        </r>
      </text>
    </comment>
    <comment ref="K485" authorId="0" shapeId="0">
      <text>
        <r>
          <rPr>
            <b/>
            <sz val="9"/>
            <color indexed="81"/>
            <rFont val="Tahoma"/>
            <family val="2"/>
          </rPr>
          <t>bijnensa:</t>
        </r>
        <r>
          <rPr>
            <sz val="9"/>
            <color indexed="81"/>
            <rFont val="Tahoma"/>
            <family val="2"/>
          </rPr>
          <t xml:space="preserve">
Sewerage charges shown include surface water drainage charges.</t>
        </r>
      </text>
    </comment>
    <comment ref="K486" authorId="0" shapeId="0">
      <text>
        <r>
          <rPr>
            <b/>
            <sz val="9"/>
            <color indexed="81"/>
            <rFont val="Tahoma"/>
            <family val="2"/>
          </rPr>
          <t>bijnensa:</t>
        </r>
        <r>
          <rPr>
            <sz val="9"/>
            <color indexed="81"/>
            <rFont val="Tahoma"/>
            <family val="2"/>
          </rPr>
          <t xml:space="preserve">
Sewerage charges shown include surface water drainage charges.</t>
        </r>
      </text>
    </comment>
    <comment ref="K487" authorId="0" shapeId="0">
      <text>
        <r>
          <rPr>
            <b/>
            <sz val="9"/>
            <color indexed="81"/>
            <rFont val="Tahoma"/>
            <family val="2"/>
          </rPr>
          <t>bijnensa:</t>
        </r>
        <r>
          <rPr>
            <sz val="9"/>
            <color indexed="81"/>
            <rFont val="Tahoma"/>
            <family val="2"/>
          </rPr>
          <t xml:space="preserve">
Sewerage charges shown include surface water drainage charges.</t>
        </r>
      </text>
    </comment>
    <comment ref="K488" authorId="0" shapeId="0">
      <text>
        <r>
          <rPr>
            <b/>
            <sz val="9"/>
            <color indexed="81"/>
            <rFont val="Tahoma"/>
            <family val="2"/>
          </rPr>
          <t>bijnensa:</t>
        </r>
        <r>
          <rPr>
            <sz val="9"/>
            <color indexed="81"/>
            <rFont val="Tahoma"/>
            <family val="2"/>
          </rPr>
          <t xml:space="preserve">
Sewerage charges shown include surface water drainage charges.</t>
        </r>
      </text>
    </comment>
    <comment ref="J535" authorId="1" shapeId="0">
      <text>
        <r>
          <rPr>
            <b/>
            <sz val="9"/>
            <color indexed="81"/>
            <rFont val="Tahoma"/>
            <family val="2"/>
          </rPr>
          <t>Ann Bijnens:</t>
        </r>
        <r>
          <rPr>
            <sz val="9"/>
            <color indexed="81"/>
            <rFont val="Tahoma"/>
            <family val="2"/>
          </rPr>
          <t xml:space="preserve">
charges 2017: environmental cleaning tax</t>
        </r>
      </text>
    </comment>
    <comment ref="E577" authorId="1" shapeId="0">
      <text>
        <r>
          <rPr>
            <b/>
            <sz val="9"/>
            <color indexed="81"/>
            <rFont val="Tahoma"/>
            <family val="2"/>
          </rPr>
          <t>Ann Bijnens:</t>
        </r>
        <r>
          <rPr>
            <sz val="9"/>
            <color indexed="81"/>
            <rFont val="Tahoma"/>
            <family val="2"/>
          </rPr>
          <t xml:space="preserve">
charges 2017: maintenance cost</t>
        </r>
      </text>
    </comment>
    <comment ref="J577" authorId="1" shapeId="0">
      <text>
        <r>
          <rPr>
            <b/>
            <sz val="9"/>
            <color indexed="81"/>
            <rFont val="Tahoma"/>
            <family val="2"/>
          </rPr>
          <t>Ann Bijnens:</t>
        </r>
        <r>
          <rPr>
            <sz val="9"/>
            <color indexed="81"/>
            <rFont val="Tahoma"/>
            <family val="2"/>
          </rPr>
          <t xml:space="preserve">
charges 2017: environmental cleaning tax</t>
        </r>
      </text>
    </comment>
    <comment ref="J579" authorId="1" shapeId="0">
      <text>
        <r>
          <rPr>
            <b/>
            <sz val="9"/>
            <color indexed="81"/>
            <rFont val="Tahoma"/>
            <family val="2"/>
          </rPr>
          <t>Ann Bijnens:</t>
        </r>
        <r>
          <rPr>
            <sz val="9"/>
            <color indexed="81"/>
            <rFont val="Tahoma"/>
            <family val="2"/>
          </rPr>
          <t xml:space="preserve">
charges 2017: environmental cleaning tax</t>
        </r>
      </text>
    </comment>
    <comment ref="D602" authorId="1" shapeId="0">
      <text>
        <r>
          <rPr>
            <b/>
            <sz val="9"/>
            <color indexed="81"/>
            <rFont val="Tahoma"/>
            <family val="2"/>
          </rPr>
          <t>Ann Bijnens:</t>
        </r>
        <r>
          <rPr>
            <sz val="9"/>
            <color indexed="81"/>
            <rFont val="Tahoma"/>
            <family val="2"/>
          </rPr>
          <t xml:space="preserve">
Increasing block tariff at €1.3965/m3 up to 33m3/person/annum and €5.1395/m3 above 33m3/person/annum. Assume water consumption spread evenly over the year.</t>
        </r>
      </text>
    </comment>
    <comment ref="J661" authorId="0" shapeId="0">
      <text>
        <r>
          <rPr>
            <b/>
            <sz val="9"/>
            <color indexed="81"/>
            <rFont val="Tahoma"/>
            <family val="2"/>
          </rPr>
          <t>bijnensa:</t>
        </r>
        <r>
          <rPr>
            <sz val="9"/>
            <color indexed="81"/>
            <rFont val="Tahoma"/>
            <family val="2"/>
          </rPr>
          <t xml:space="preserve">
other charges: tap water tax</t>
        </r>
      </text>
    </comment>
    <comment ref="J671" authorId="0" shapeId="0">
      <text>
        <r>
          <rPr>
            <b/>
            <sz val="9"/>
            <color indexed="81"/>
            <rFont val="Tahoma"/>
            <family val="2"/>
          </rPr>
          <t>bijnensa:</t>
        </r>
        <r>
          <rPr>
            <sz val="9"/>
            <color indexed="81"/>
            <rFont val="Tahoma"/>
            <family val="2"/>
          </rPr>
          <t xml:space="preserve">
other charges: tap water tax</t>
        </r>
      </text>
    </comment>
    <comment ref="E680" authorId="0" shapeId="0">
      <text>
        <r>
          <rPr>
            <b/>
            <sz val="9"/>
            <color indexed="81"/>
            <rFont val="Tahoma"/>
            <family val="2"/>
          </rPr>
          <t>bijnensa:</t>
        </r>
        <r>
          <rPr>
            <sz val="9"/>
            <color indexed="81"/>
            <rFont val="Tahoma"/>
            <family val="2"/>
          </rPr>
          <t xml:space="preserve">
distribution and concession reimbursements ("precario")</t>
        </r>
      </text>
    </comment>
    <comment ref="J680" authorId="0" shapeId="0">
      <text>
        <r>
          <rPr>
            <b/>
            <sz val="9"/>
            <color indexed="81"/>
            <rFont val="Tahoma"/>
            <family val="2"/>
          </rPr>
          <t>bijnensa:</t>
        </r>
        <r>
          <rPr>
            <sz val="9"/>
            <color indexed="81"/>
            <rFont val="Tahoma"/>
            <family val="2"/>
          </rPr>
          <t xml:space="preserve">
other charges: tap water tax</t>
        </r>
      </text>
    </comment>
    <comment ref="J683" authorId="0" shapeId="0">
      <text>
        <r>
          <rPr>
            <b/>
            <sz val="9"/>
            <color indexed="81"/>
            <rFont val="Tahoma"/>
            <family val="2"/>
          </rPr>
          <t>bijnensa:</t>
        </r>
        <r>
          <rPr>
            <sz val="9"/>
            <color indexed="81"/>
            <rFont val="Tahoma"/>
            <family val="2"/>
          </rPr>
          <t xml:space="preserve">
other charges: tap water tax</t>
        </r>
      </text>
    </comment>
    <comment ref="E687" authorId="0" shapeId="0">
      <text>
        <r>
          <rPr>
            <b/>
            <sz val="9"/>
            <color indexed="81"/>
            <rFont val="Tahoma"/>
            <family val="2"/>
          </rPr>
          <t>bijnensa:</t>
        </r>
        <r>
          <rPr>
            <sz val="9"/>
            <color indexed="81"/>
            <rFont val="Tahoma"/>
            <family val="2"/>
          </rPr>
          <t xml:space="preserve">
distribution and concession reimbursements ("precario")</t>
        </r>
      </text>
    </comment>
    <comment ref="J687" authorId="0" shapeId="0">
      <text>
        <r>
          <rPr>
            <b/>
            <sz val="9"/>
            <color indexed="81"/>
            <rFont val="Tahoma"/>
            <family val="2"/>
          </rPr>
          <t>bijnensa:</t>
        </r>
        <r>
          <rPr>
            <sz val="9"/>
            <color indexed="81"/>
            <rFont val="Tahoma"/>
            <family val="2"/>
          </rPr>
          <t xml:space="preserve">
other charges: tap water tax</t>
        </r>
      </text>
    </comment>
  </commentList>
</comments>
</file>

<file path=xl/sharedStrings.xml><?xml version="1.0" encoding="utf-8"?>
<sst xmlns="http://schemas.openxmlformats.org/spreadsheetml/2006/main" count="34241" uniqueCount="1381">
  <si>
    <t>SPRING WATER</t>
  </si>
  <si>
    <t>OTHER SOURCES</t>
  </si>
  <si>
    <t>TOTAL WATER ABSTRACTION</t>
  </si>
  <si>
    <t>Country</t>
  </si>
  <si>
    <t>Austria</t>
  </si>
  <si>
    <t>n/a</t>
  </si>
  <si>
    <t>Belgium</t>
  </si>
  <si>
    <t>Bulgaria</t>
  </si>
  <si>
    <t>China</t>
  </si>
  <si>
    <t>Chinese Taiwan</t>
  </si>
  <si>
    <t>Cyprus</t>
  </si>
  <si>
    <t>Denmark</t>
  </si>
  <si>
    <t>Finland</t>
  </si>
  <si>
    <t>France</t>
  </si>
  <si>
    <t>Germany</t>
  </si>
  <si>
    <t xml:space="preserve">Hungary </t>
  </si>
  <si>
    <t>Israel</t>
  </si>
  <si>
    <t>Italy</t>
  </si>
  <si>
    <t>Japan</t>
  </si>
  <si>
    <t>Lithuania</t>
  </si>
  <si>
    <t>Netherlands</t>
  </si>
  <si>
    <t>Norway</t>
  </si>
  <si>
    <t>Poland</t>
  </si>
  <si>
    <t>Portugal</t>
  </si>
  <si>
    <t>Slovakia</t>
  </si>
  <si>
    <t>South Korea</t>
  </si>
  <si>
    <t>Spain</t>
  </si>
  <si>
    <t xml:space="preserve">Sweden </t>
  </si>
  <si>
    <t>Switzerland</t>
  </si>
  <si>
    <t>Tunisia</t>
  </si>
  <si>
    <t xml:space="preserve">United Kingdom </t>
  </si>
  <si>
    <t>United States of America</t>
  </si>
  <si>
    <t>in mio m³/year</t>
  </si>
  <si>
    <t>Argentina</t>
  </si>
  <si>
    <t>Australia</t>
  </si>
  <si>
    <t>Greece</t>
  </si>
  <si>
    <t>Malawi</t>
  </si>
  <si>
    <t>Mauritius</t>
  </si>
  <si>
    <t>Mexico</t>
  </si>
  <si>
    <t>Morocco</t>
  </si>
  <si>
    <t>Romania</t>
  </si>
  <si>
    <t>Serbia</t>
  </si>
  <si>
    <t>Singapore</t>
  </si>
  <si>
    <t>South Africa</t>
  </si>
  <si>
    <t>Luxemburg</t>
  </si>
  <si>
    <t>Hungary</t>
  </si>
  <si>
    <t>Northern Ireland (UK)</t>
  </si>
  <si>
    <t>Scotland (UK)</t>
  </si>
  <si>
    <t>Sweden</t>
  </si>
  <si>
    <t>Brazil</t>
  </si>
  <si>
    <t>Luxembourg</t>
  </si>
  <si>
    <t>UK</t>
  </si>
  <si>
    <t>Population in mio inhabitants</t>
  </si>
  <si>
    <t>Northern-Ireland (UK)</t>
  </si>
  <si>
    <t>Supply Rate in %</t>
  </si>
  <si>
    <t>in m³/capita/year</t>
  </si>
  <si>
    <t>Abstraction in m³/capita/year</t>
  </si>
  <si>
    <t>in liters/capita/day</t>
  </si>
  <si>
    <t>City</t>
  </si>
  <si>
    <t>Graz</t>
  </si>
  <si>
    <t>Innsbruck</t>
  </si>
  <si>
    <t>Linz</t>
  </si>
  <si>
    <t>Salzburg</t>
  </si>
  <si>
    <t>Vienna</t>
  </si>
  <si>
    <t>Industry and others</t>
  </si>
  <si>
    <t>Total</t>
  </si>
  <si>
    <t>Average total</t>
  </si>
  <si>
    <t>Louvain</t>
  </si>
  <si>
    <t>Brussels</t>
  </si>
  <si>
    <t>Kortrijk</t>
  </si>
  <si>
    <t>Genk</t>
  </si>
  <si>
    <t>Antwerp</t>
  </si>
  <si>
    <t>Liège</t>
  </si>
  <si>
    <t>Sofia</t>
  </si>
  <si>
    <t>Burgas</t>
  </si>
  <si>
    <t>Pleven</t>
  </si>
  <si>
    <t>Razgrad</t>
  </si>
  <si>
    <t>Stara Zagora</t>
  </si>
  <si>
    <t>Beijing</t>
  </si>
  <si>
    <t>Shanghai</t>
  </si>
  <si>
    <t>Tianjin</t>
  </si>
  <si>
    <t>Shenzhen</t>
  </si>
  <si>
    <t>Taipei</t>
  </si>
  <si>
    <t>Kaohsiung</t>
  </si>
  <si>
    <t>Hong Kong</t>
  </si>
  <si>
    <t>Larnaca</t>
  </si>
  <si>
    <t>Paphos</t>
  </si>
  <si>
    <t>Aalborg</t>
  </si>
  <si>
    <t>Copenhagen</t>
  </si>
  <si>
    <t>Esbjerg</t>
  </si>
  <si>
    <t>Odense</t>
  </si>
  <si>
    <t>Espoo</t>
  </si>
  <si>
    <t>Helsinki</t>
  </si>
  <si>
    <t>Oulu</t>
  </si>
  <si>
    <t>Tampere</t>
  </si>
  <si>
    <t>Turku</t>
  </si>
  <si>
    <t>Germany Average</t>
  </si>
  <si>
    <t>Bordeaux</t>
  </si>
  <si>
    <t>SEDIF</t>
  </si>
  <si>
    <t>Lille</t>
  </si>
  <si>
    <t>Lyon</t>
  </si>
  <si>
    <t>Paris</t>
  </si>
  <si>
    <t>Budapest</t>
  </si>
  <si>
    <t>Debrecen</t>
  </si>
  <si>
    <t>Miskolc</t>
  </si>
  <si>
    <t>Pécs</t>
  </si>
  <si>
    <t>Jerusalem</t>
  </si>
  <si>
    <t>Bologna</t>
  </si>
  <si>
    <t>Milan</t>
  </si>
  <si>
    <t>Naples</t>
  </si>
  <si>
    <t>Rome</t>
  </si>
  <si>
    <t>Turin</t>
  </si>
  <si>
    <t>Nagoya</t>
  </si>
  <si>
    <t>Osaka</t>
  </si>
  <si>
    <t>Hiroshima</t>
  </si>
  <si>
    <t>Fukuoka</t>
  </si>
  <si>
    <t>Sapporo</t>
  </si>
  <si>
    <t>Sendai</t>
  </si>
  <si>
    <t>Tokyo</t>
  </si>
  <si>
    <t>Yokohama</t>
  </si>
  <si>
    <t>Kaunas</t>
  </si>
  <si>
    <t>Klaipeda</t>
  </si>
  <si>
    <t>Panevezys</t>
  </si>
  <si>
    <t>Siauliai</t>
  </si>
  <si>
    <t>Vilnius</t>
  </si>
  <si>
    <t>Bergen</t>
  </si>
  <si>
    <t>Oslo</t>
  </si>
  <si>
    <t>Trondheim</t>
  </si>
  <si>
    <t>Bydgoszcz</t>
  </si>
  <si>
    <t>Wroclaw</t>
  </si>
  <si>
    <t>Radom</t>
  </si>
  <si>
    <t>Bialystok</t>
  </si>
  <si>
    <t>Tarnow</t>
  </si>
  <si>
    <t>Lisbon</t>
  </si>
  <si>
    <t>Sintra</t>
  </si>
  <si>
    <t>Porto</t>
  </si>
  <si>
    <t>Loures</t>
  </si>
  <si>
    <t>Braga</t>
  </si>
  <si>
    <t>Coimbra</t>
  </si>
  <si>
    <t>Faro</t>
  </si>
  <si>
    <t>Bratislava</t>
  </si>
  <si>
    <t>Nitra</t>
  </si>
  <si>
    <t>Koŝice</t>
  </si>
  <si>
    <t>Seoul</t>
  </si>
  <si>
    <t>Busan</t>
  </si>
  <si>
    <t>Daegu</t>
  </si>
  <si>
    <t>Incheon</t>
  </si>
  <si>
    <t>Gwangju</t>
  </si>
  <si>
    <t>Daejeon</t>
  </si>
  <si>
    <t>Ulsan</t>
  </si>
  <si>
    <t>Gyeounggi</t>
  </si>
  <si>
    <t>Barcelona</t>
  </si>
  <si>
    <t>Bilbao</t>
  </si>
  <si>
    <t>Madrid</t>
  </si>
  <si>
    <t>Valencia</t>
  </si>
  <si>
    <t>Stockholm</t>
  </si>
  <si>
    <t>Göteborg</t>
  </si>
  <si>
    <t>Malmö</t>
  </si>
  <si>
    <t>Uppsala</t>
  </si>
  <si>
    <t>Linköping</t>
  </si>
  <si>
    <t>Geneva</t>
  </si>
  <si>
    <t>Basel</t>
  </si>
  <si>
    <t>Lausanne</t>
  </si>
  <si>
    <t>Bern</t>
  </si>
  <si>
    <t>Tunisia Average</t>
  </si>
  <si>
    <t>Birmingham</t>
  </si>
  <si>
    <t>Cardiff</t>
  </si>
  <si>
    <t>London</t>
  </si>
  <si>
    <t>Manchester</t>
  </si>
  <si>
    <t>Leeds</t>
  </si>
  <si>
    <t>New York</t>
  </si>
  <si>
    <t>Washington D.C.</t>
  </si>
  <si>
    <t>Los Angeles</t>
  </si>
  <si>
    <t>Chicago</t>
  </si>
  <si>
    <t>Denver</t>
  </si>
  <si>
    <t>Miami</t>
  </si>
  <si>
    <t>Brisbane</t>
  </si>
  <si>
    <t>Adelaide</t>
  </si>
  <si>
    <t>Melbourne</t>
  </si>
  <si>
    <t>Perth</t>
  </si>
  <si>
    <t>Sydney</t>
  </si>
  <si>
    <t>Blantyre</t>
  </si>
  <si>
    <t>Amsterdam</t>
  </si>
  <si>
    <t>Rotterdam</t>
  </si>
  <si>
    <t>Den Haag</t>
  </si>
  <si>
    <t>Utrecht</t>
  </si>
  <si>
    <t>Eindhoven</t>
  </si>
  <si>
    <t>Maastricht</t>
  </si>
  <si>
    <t>Iasi</t>
  </si>
  <si>
    <t>Oradea</t>
  </si>
  <si>
    <t>Brasov</t>
  </si>
  <si>
    <t>Timisoara</t>
  </si>
  <si>
    <t>Belgrade</t>
  </si>
  <si>
    <t>Niŝ</t>
  </si>
  <si>
    <t>Novi Sad</t>
  </si>
  <si>
    <t>Vantaa</t>
  </si>
  <si>
    <t>Fixed charge</t>
  </si>
  <si>
    <t>Variable charge</t>
  </si>
  <si>
    <t>Other charges drinking water</t>
  </si>
  <si>
    <t>Other charges</t>
  </si>
  <si>
    <t>TOTAL CHARGE drinking water</t>
  </si>
  <si>
    <t>Waste water treatment</t>
  </si>
  <si>
    <t>Total annual charge 200 m³</t>
  </si>
  <si>
    <t>Total annual charge 100 m³</t>
  </si>
  <si>
    <t>Scotland: Band A</t>
  </si>
  <si>
    <t>Scotland: Band B</t>
  </si>
  <si>
    <t>Scotland: Band C</t>
  </si>
  <si>
    <t>Scotland: Band D</t>
  </si>
  <si>
    <t>Scotland: Band E</t>
  </si>
  <si>
    <t>Scotland: Band F</t>
  </si>
  <si>
    <t>Scotland: Band G</t>
  </si>
  <si>
    <t>Scotland: Band H</t>
  </si>
  <si>
    <t>Minneapolis</t>
  </si>
  <si>
    <t>Aarhus</t>
  </si>
  <si>
    <t>Sevilla</t>
  </si>
  <si>
    <t>GDP per capita in US$</t>
  </si>
  <si>
    <t>Ghent</t>
  </si>
  <si>
    <t>Buenos Aires</t>
  </si>
  <si>
    <t>Braila</t>
  </si>
  <si>
    <t>Sibiu</t>
  </si>
  <si>
    <t>Households and small business</t>
  </si>
  <si>
    <t>GW 2010</t>
  </si>
  <si>
    <t>SP 2010</t>
  </si>
  <si>
    <t>SFW 2010</t>
  </si>
  <si>
    <t>OS 2010</t>
  </si>
  <si>
    <t>TOTAL 2010</t>
  </si>
  <si>
    <t>HH 2010</t>
  </si>
  <si>
    <t>I 2010</t>
  </si>
  <si>
    <t>Total Del 2010</t>
  </si>
  <si>
    <t>Unbilled water consumption &amp; Water Losses</t>
  </si>
  <si>
    <t>Exported drinking water</t>
  </si>
  <si>
    <t>UC&amp;WL 2010</t>
  </si>
  <si>
    <t>EDW 2010</t>
  </si>
  <si>
    <t>Pop 2010</t>
  </si>
  <si>
    <t>Supply % 2010</t>
  </si>
  <si>
    <t>Total Abs 2010</t>
  </si>
  <si>
    <t>Abs capita 2010</t>
  </si>
  <si>
    <t>total 2010</t>
  </si>
  <si>
    <t>Av. HH 2010</t>
  </si>
  <si>
    <t>Av. Total 2010</t>
  </si>
  <si>
    <t>Av. Fixed charge</t>
  </si>
  <si>
    <t>Av. Variable charge</t>
  </si>
  <si>
    <t>Av. Other charges drinking water</t>
  </si>
  <si>
    <t>Av. TOTAL CHARGE drinking water</t>
  </si>
  <si>
    <t>Av. Sewerage</t>
  </si>
  <si>
    <t>Av. Waste water treatment</t>
  </si>
  <si>
    <t>Av. Other charges</t>
  </si>
  <si>
    <t>Av. Total annual charge 200 m³</t>
  </si>
  <si>
    <t>Water rate design for domestic use</t>
  </si>
  <si>
    <t>Flat rate (unmetered)</t>
  </si>
  <si>
    <t>uniform rate</t>
  </si>
  <si>
    <t>decreasing block</t>
  </si>
  <si>
    <t>increasing block</t>
  </si>
  <si>
    <t>unique tariff sew.&amp;WW</t>
  </si>
  <si>
    <t>other</t>
  </si>
  <si>
    <t>RESPONSIBILITIES</t>
  </si>
  <si>
    <t xml:space="preserve">   organizing the water services</t>
  </si>
  <si>
    <t>Responsibilities which can be transferred to private operators:</t>
  </si>
  <si>
    <t>Can they yes/no?</t>
  </si>
  <si>
    <t xml:space="preserve">   water service operation</t>
  </si>
  <si>
    <t xml:space="preserve">   customer relation management</t>
  </si>
  <si>
    <t xml:space="preserve">   electromechanical equipment renewal</t>
  </si>
  <si>
    <t xml:space="preserve">   existing infrastructure renewal</t>
  </si>
  <si>
    <t xml:space="preserve">   main infrastructure extension</t>
  </si>
  <si>
    <t xml:space="preserve">   research and development</t>
  </si>
  <si>
    <t xml:space="preserve">   others, please specify</t>
  </si>
  <si>
    <t>Do they exist yes/no?</t>
  </si>
  <si>
    <t xml:space="preserve">   cost covering principles</t>
  </si>
  <si>
    <t xml:space="preserve">   inflation rate growth</t>
  </si>
  <si>
    <t xml:space="preserve">   annual price limits</t>
  </si>
  <si>
    <t xml:space="preserve">   general principle of price cap</t>
  </si>
  <si>
    <t>Responsibilities Key:</t>
  </si>
  <si>
    <t>G:</t>
  </si>
  <si>
    <t xml:space="preserve"> Government</t>
  </si>
  <si>
    <t>M:</t>
  </si>
  <si>
    <t xml:space="preserve"> Municipalities</t>
  </si>
  <si>
    <t>ME</t>
  </si>
  <si>
    <t xml:space="preserve"> Municipal enterprises</t>
  </si>
  <si>
    <t>O:</t>
  </si>
  <si>
    <t xml:space="preserve"> Operators</t>
  </si>
  <si>
    <t>O/WC:</t>
  </si>
  <si>
    <t xml:space="preserve"> Owners/water companies</t>
  </si>
  <si>
    <t>RA:</t>
  </si>
  <si>
    <t xml:space="preserve"> Regional Agency</t>
  </si>
  <si>
    <t>RG:</t>
  </si>
  <si>
    <t xml:space="preserve"> Regional Governments</t>
  </si>
  <si>
    <t>RM:</t>
  </si>
  <si>
    <t xml:space="preserve"> Regulatory ministry</t>
  </si>
  <si>
    <t>RWH:</t>
  </si>
  <si>
    <t xml:space="preserve"> Regional water holdings</t>
  </si>
  <si>
    <t>S:</t>
  </si>
  <si>
    <t xml:space="preserve"> State</t>
  </si>
  <si>
    <t>SH:</t>
  </si>
  <si>
    <t xml:space="preserve"> Shareholders</t>
  </si>
  <si>
    <t>WC:</t>
  </si>
  <si>
    <t xml:space="preserve"> Water companies</t>
  </si>
  <si>
    <t>WS:</t>
  </si>
  <si>
    <t xml:space="preserve"> Water services</t>
  </si>
  <si>
    <t>Who is responsible for:</t>
  </si>
  <si>
    <t xml:space="preserve">   pricesetting of water services</t>
  </si>
  <si>
    <t xml:space="preserve">   new investments and the way to finance them</t>
  </si>
  <si>
    <t>What are the principles for waterpricing?</t>
  </si>
  <si>
    <t>ACCESS TO WATER AND SANITATION FOR NON CONNECTED PEOPLE</t>
  </si>
  <si>
    <t>They have:</t>
  </si>
  <si>
    <t xml:space="preserve"> Potable water from:</t>
  </si>
  <si>
    <t xml:space="preserve">   public taps or fountains</t>
  </si>
  <si>
    <t xml:space="preserve">   private wells or springs</t>
  </si>
  <si>
    <t xml:space="preserve"> Sanitation:</t>
  </si>
  <si>
    <t>Solidarity mechanism to facilitate to water and sanitation: they are funded by?</t>
  </si>
  <si>
    <t xml:space="preserve">   customers of the watercompanies</t>
  </si>
  <si>
    <t xml:space="preserve">   decentralized treatment</t>
  </si>
  <si>
    <t xml:space="preserve">   local/national tax payers</t>
  </si>
  <si>
    <t xml:space="preserve">   others, please specify (for example international solidarity)</t>
  </si>
  <si>
    <t>THE FOLLOWING PEOPLE MADE STATISTICAL DATA AVAILABLE FOR THIS PUBLICATION:</t>
  </si>
  <si>
    <t>A. Riha, OVGW</t>
  </si>
  <si>
    <t>T. Li, IWA-China Regional Office</t>
  </si>
  <si>
    <t>M. Shibuya, Japan Water Works Association</t>
  </si>
  <si>
    <t xml:space="preserve">Netherlands </t>
  </si>
  <si>
    <t>United Kingdom</t>
  </si>
  <si>
    <t>CHECK NAMES*****</t>
  </si>
  <si>
    <t>WORKING GROUP STATISTICS</t>
  </si>
  <si>
    <t>SURFACE WATER</t>
  </si>
  <si>
    <t>IMPORTED/EXPORTED  WATER (from abroad)</t>
  </si>
  <si>
    <t>I/E WATER 2010</t>
  </si>
  <si>
    <t>Exchange rates Oanda.com                 31 October 2002</t>
  </si>
  <si>
    <t>Exchange rates   iccfx.com 31 December 2005</t>
  </si>
  <si>
    <t>Exchange rates  31 december 2007</t>
  </si>
  <si>
    <t>Exchange rates  31 december 2009</t>
  </si>
  <si>
    <t>1 US $ = 3,55 ARS</t>
  </si>
  <si>
    <t>1 US $ = 3,0473 ARS</t>
  </si>
  <si>
    <t>1 US $ = 1,80819 AUD</t>
  </si>
  <si>
    <t>1 US $ = 1,363 AUD</t>
  </si>
  <si>
    <t>1US $ = 1,1928 AUD</t>
  </si>
  <si>
    <t>1 US $ = 1,01605 EUR</t>
  </si>
  <si>
    <t>1 US $ = 0,8445 EUR</t>
  </si>
  <si>
    <t>1US $ = 0,7297 EUR</t>
  </si>
  <si>
    <t>1US $ = 0,697 EUR</t>
  </si>
  <si>
    <t>.70</t>
  </si>
  <si>
    <t>1US $ = 1,78 BR</t>
  </si>
  <si>
    <t>1 US $ = 1,96895 BGL</t>
  </si>
  <si>
    <t>1 US $ = 1,6564 BGL</t>
  </si>
  <si>
    <t>1 US $ = 1,4271 BGL</t>
  </si>
  <si>
    <t>1US $ = 1,37 BGN</t>
  </si>
  <si>
    <t>Canada</t>
  </si>
  <si>
    <t>1 US $ = 1,56610 CAD</t>
  </si>
  <si>
    <t>1 US $ = 0,4854 CYP</t>
  </si>
  <si>
    <t>1US $ = 6,8636 CNY</t>
  </si>
  <si>
    <t>1 US $ = 7,80180 HKD</t>
  </si>
  <si>
    <t>1 US $ = 7,7536 HKD</t>
  </si>
  <si>
    <t>1 US $ = 7,8009 HKD</t>
  </si>
  <si>
    <t>1 US $ = 7,75 HKD</t>
  </si>
  <si>
    <t>1 US $ = 34,85 TWD</t>
  </si>
  <si>
    <t>1 US $ = 32,824 TWD</t>
  </si>
  <si>
    <t>1 US $ = 33 TWD</t>
  </si>
  <si>
    <t>1 US $ = 32,15 TWD</t>
  </si>
  <si>
    <t>1 US $ = 0,5893 CYP</t>
  </si>
  <si>
    <t>1 US $ = 0,4251 CYP</t>
  </si>
  <si>
    <t>1 US $ = 7,55210 DKK</t>
  </si>
  <si>
    <t>1 US $ = 6,3022 DKK</t>
  </si>
  <si>
    <t>1 US $ = 5,4364 DKK</t>
  </si>
  <si>
    <t>1 US $ = 5,19 DKK</t>
  </si>
  <si>
    <t>1 US $ = 245,810 HUF</t>
  </si>
  <si>
    <t>1 US $ = 213,5 HUF</t>
  </si>
  <si>
    <t>1 US $ = 183,4002 HUF</t>
  </si>
  <si>
    <t>1 US $ = 188,90 HUF</t>
  </si>
  <si>
    <t>India</t>
  </si>
  <si>
    <t>1 US $ = 48,485 INR</t>
  </si>
  <si>
    <t>1 US $ = 44,998 INR</t>
  </si>
  <si>
    <t>1US $ = 3,517 ILS</t>
  </si>
  <si>
    <t>1US $ = 3,79 ILS</t>
  </si>
  <si>
    <t>1 US $ = 122,940 JPY</t>
  </si>
  <si>
    <t>1 US $ = 117,93 JPY</t>
  </si>
  <si>
    <t>1 US $ = 117,6578 JPY</t>
  </si>
  <si>
    <t>1 US $ = 92.98 JPY</t>
  </si>
  <si>
    <t>92.98</t>
  </si>
  <si>
    <t>Korea</t>
  </si>
  <si>
    <t>1 US $ = 1247,92 KRW</t>
  </si>
  <si>
    <t>1 US $ = 1011,19 KRW</t>
  </si>
  <si>
    <t>1 US $ = 1171,58 KRW</t>
  </si>
  <si>
    <t>1 US $ = 3,50823 LTL</t>
  </si>
  <si>
    <t>1 US $ = 2,9102 LTL</t>
  </si>
  <si>
    <t>1 US $ = 2,5194 LTL</t>
  </si>
  <si>
    <t>1 US $ = 2,40 LTL</t>
  </si>
  <si>
    <t>1 US $ = 8,34240 MOP</t>
  </si>
  <si>
    <t>1 US $ = 8,30408 MOP</t>
  </si>
  <si>
    <t>1 US $ = 162,1241 Kwacha</t>
  </si>
  <si>
    <t>1 US $ = 29,80 MUR</t>
  </si>
  <si>
    <t>1 US $ = 31,78 MUR</t>
  </si>
  <si>
    <t>1 US $ = 29,6020 MUR</t>
  </si>
  <si>
    <t>1 US $ = 10,2 MXN</t>
  </si>
  <si>
    <t>1 US $ = 11,40901 MXN</t>
  </si>
  <si>
    <t>1 US $ = 10,728 MAD</t>
  </si>
  <si>
    <t>1 US $ = 9,2457MAD</t>
  </si>
  <si>
    <t>1 US $ = 7,49360 NOK</t>
  </si>
  <si>
    <t>1 US $ = 6,7471 NOK</t>
  </si>
  <si>
    <t>1 US $ = 5,8493 NOK</t>
  </si>
  <si>
    <t>1 US $ = 4,04920 PLN</t>
  </si>
  <si>
    <t>1 US $ = 3,2494 PLN</t>
  </si>
  <si>
    <t>1 US $ = 2.86PLN</t>
  </si>
  <si>
    <t>1 US $ = 34484 ROL</t>
  </si>
  <si>
    <t>1 US $ = 3,1078 RON</t>
  </si>
  <si>
    <t>1 US $ = 2,4336 RON</t>
  </si>
  <si>
    <t>1 US $ = ,6198 GBP</t>
  </si>
  <si>
    <t>1 US $ = 54,6372 CSD</t>
  </si>
  <si>
    <t>1 US $ = 72,2 CSD</t>
  </si>
  <si>
    <t>1 US $ = 60,2112 CSD</t>
  </si>
  <si>
    <t>1 US $ =1,7668 SGD</t>
  </si>
  <si>
    <t>1 US $ = 1,6632 SGD</t>
  </si>
  <si>
    <t>1 US $ = 1,3617 SGD</t>
  </si>
  <si>
    <t>1 US $ = 38,038 SKK</t>
  </si>
  <si>
    <t>1 US $ = 31,96 SKK</t>
  </si>
  <si>
    <t>1 US $ = 6,575 ZAR</t>
  </si>
  <si>
    <t>1 US $ = 6,3399 ZAR</t>
  </si>
  <si>
    <t>1 US $ = 7,0482 ZAR</t>
  </si>
  <si>
    <t>1 US $ = 9,21160 SEK</t>
  </si>
  <si>
    <t>1 US $ = 7,9475 SEK</t>
  </si>
  <si>
    <t>1 US $ = 6,7494 SEK</t>
  </si>
  <si>
    <t>1 US $ = 7.16 SEK</t>
  </si>
  <si>
    <t>1 US $ = 1,48830 CHF</t>
  </si>
  <si>
    <t>1 US $ = 1,3161 CHF</t>
  </si>
  <si>
    <t>1 US $ = 1,1986 CHF</t>
  </si>
  <si>
    <t>1US $ = 1,035 CHF</t>
  </si>
  <si>
    <t>1 US $ = 1,326 TND</t>
  </si>
  <si>
    <t>1 US $ = 0,64205 GBP</t>
  </si>
  <si>
    <t>1 US $ = 0,5819 GBP</t>
  </si>
  <si>
    <t>1 US $ = 0,4993 GBP</t>
  </si>
  <si>
    <t>1USD = ,6198 GBP</t>
  </si>
  <si>
    <t>1 US $ = 1 US $</t>
  </si>
  <si>
    <t>Exchange rates 31 december 2011</t>
  </si>
  <si>
    <t>X</t>
  </si>
  <si>
    <t>RG,M</t>
  </si>
  <si>
    <t>Water Regulation Appendice:</t>
  </si>
  <si>
    <t>Yes</t>
  </si>
  <si>
    <t>No</t>
  </si>
  <si>
    <t>-</t>
  </si>
  <si>
    <t>M</t>
  </si>
  <si>
    <t>WS</t>
  </si>
  <si>
    <t>WS, S</t>
  </si>
  <si>
    <t>fixed charges for service</t>
  </si>
  <si>
    <t>RG, M</t>
  </si>
  <si>
    <t>1US $ = 0,77167 EUR</t>
  </si>
  <si>
    <t>1 US $ = 243,01337 HUF</t>
  </si>
  <si>
    <t>1 US $ = 77,06999 JPY</t>
  </si>
  <si>
    <t>1US $ = 0,93854 CHF</t>
  </si>
  <si>
    <t>volumetric charge (based on water consumption)</t>
  </si>
  <si>
    <t>(10)</t>
  </si>
  <si>
    <t>1US $ = 3,32942 RON</t>
  </si>
  <si>
    <t>1 US $ = 2,66448 LTL</t>
  </si>
  <si>
    <t>M. Rontu, Finnish Water Utilities Association</t>
  </si>
  <si>
    <t>1 US $ = 5,73150 DKK</t>
  </si>
  <si>
    <t>South Australia</t>
  </si>
  <si>
    <t>1US $ = 0,97959 AUD</t>
  </si>
  <si>
    <t>sewerage rates are based on the capital value of the property, set by the Valuer General for each financial year.</t>
  </si>
  <si>
    <t>RG,M, S</t>
  </si>
  <si>
    <t>S</t>
  </si>
  <si>
    <t>Yes (17)</t>
  </si>
  <si>
    <t>England &amp; Wales</t>
  </si>
  <si>
    <t>1USD = 0,64418 GBP</t>
  </si>
  <si>
    <t>England&amp;Wales</t>
  </si>
  <si>
    <t>Brazil Average</t>
  </si>
  <si>
    <t>Sao Paulo State (SABESP)</t>
  </si>
  <si>
    <t>1US $ =1,86534 BRL</t>
  </si>
  <si>
    <t>Sao Paulo (SABESP)</t>
  </si>
  <si>
    <t>WS, RWH</t>
  </si>
  <si>
    <t>1 US $ = 7,76669 HKD</t>
  </si>
  <si>
    <t>RG</t>
  </si>
  <si>
    <t>Iran</t>
  </si>
  <si>
    <t>1US $ = 11153,53301 IRR</t>
  </si>
  <si>
    <t>Guangzhou</t>
  </si>
  <si>
    <t>1US $ = 6,29925 CNY</t>
  </si>
  <si>
    <t>WS, RWH, S</t>
  </si>
  <si>
    <t>Scotland</t>
  </si>
  <si>
    <t>1US $ = 3,81854 ILS</t>
  </si>
  <si>
    <t>1 US $ = 30,23358 TWD</t>
  </si>
  <si>
    <t>1US $ = 163,83132 MWK</t>
  </si>
  <si>
    <t>1US $ = 1,50914 BGN</t>
  </si>
  <si>
    <t>All domestic usage, including a domestic allowance for non-domestic customers, is funded/subsidsed via a block grant from the government.</t>
  </si>
  <si>
    <t>Average N. Ireland</t>
  </si>
  <si>
    <t>(28)</t>
  </si>
  <si>
    <t>1 US $ = 3,43969 PLN</t>
  </si>
  <si>
    <t>P. Bartoszczuk, Warshau School of Economics</t>
  </si>
  <si>
    <t>SABESP - social</t>
  </si>
  <si>
    <t>SABESP - favela</t>
  </si>
  <si>
    <t>SABESP - residential normal</t>
  </si>
  <si>
    <t>SABESP - social assistance entity</t>
  </si>
  <si>
    <t>SABESP - commercial</t>
  </si>
  <si>
    <t>largest example in the world of rates discriminated both by client category (including serveral households categories) and by increasing blocks</t>
  </si>
  <si>
    <t>Brazil 2</t>
  </si>
  <si>
    <t>SABESP</t>
  </si>
  <si>
    <t>Chile</t>
  </si>
  <si>
    <t>average Chile</t>
  </si>
  <si>
    <t>1US $ = 518,46834 CLP</t>
  </si>
  <si>
    <t>Valparaiso</t>
  </si>
  <si>
    <t>Concepcion</t>
  </si>
  <si>
    <t>Casablanca</t>
  </si>
  <si>
    <t>Rabat/Sale</t>
  </si>
  <si>
    <t>Tanger</t>
  </si>
  <si>
    <t>Tetouan</t>
  </si>
  <si>
    <t>Marrakech</t>
  </si>
  <si>
    <t>1US $ = 8,58322 MAD</t>
  </si>
  <si>
    <t>M, S</t>
  </si>
  <si>
    <t>Burkina Faso</t>
  </si>
  <si>
    <t>average Burkina Faso</t>
  </si>
  <si>
    <t>1US $ = 506,17870 CFA</t>
  </si>
  <si>
    <t>Burkina Faso average</t>
  </si>
  <si>
    <t>Uganda</t>
  </si>
  <si>
    <t>1US $ = 2476,81147 UGX</t>
  </si>
  <si>
    <t>1US $ = 1,29663 SGD</t>
  </si>
  <si>
    <t>1US $ = 1160,59884 KRW</t>
  </si>
  <si>
    <t>TRUE GROUND WATER</t>
  </si>
  <si>
    <t>RG,M,S</t>
  </si>
  <si>
    <t>P. Potamou, Limassol Water Board</t>
  </si>
  <si>
    <t>1 US $ = 6,90061 SEK</t>
  </si>
  <si>
    <t>Constanta</t>
  </si>
  <si>
    <t>Arad</t>
  </si>
  <si>
    <t>Bistrita</t>
  </si>
  <si>
    <t>Buzau</t>
  </si>
  <si>
    <t>Satu Mare</t>
  </si>
  <si>
    <t>Vrancea</t>
  </si>
  <si>
    <t>Alba</t>
  </si>
  <si>
    <t>Medias</t>
  </si>
  <si>
    <t>Gabon</t>
  </si>
  <si>
    <t>Gabon Urban Average</t>
  </si>
  <si>
    <t xml:space="preserve"> Gabon Average (urban)</t>
  </si>
  <si>
    <t>Armenia</t>
  </si>
  <si>
    <t>1US $ = 385,82000 AMD</t>
  </si>
  <si>
    <t>Yerevan</t>
  </si>
  <si>
    <t>New Zealand</t>
  </si>
  <si>
    <t>Wellington</t>
  </si>
  <si>
    <t>Dunedin</t>
  </si>
  <si>
    <t>Palmerston</t>
  </si>
  <si>
    <t>Tauranga</t>
  </si>
  <si>
    <t>Whangarei</t>
  </si>
  <si>
    <t>1US $ = 1,28559 NZD</t>
  </si>
  <si>
    <t xml:space="preserve"> Scotland Band A</t>
  </si>
  <si>
    <t xml:space="preserve"> Scotland Band B</t>
  </si>
  <si>
    <t xml:space="preserve"> Scotland Band C</t>
  </si>
  <si>
    <t xml:space="preserve"> Scotland Band D</t>
  </si>
  <si>
    <t xml:space="preserve"> Scotland Band E</t>
  </si>
  <si>
    <t xml:space="preserve"> Scotland Band F</t>
  </si>
  <si>
    <t xml:space="preserve"> Scotland Band G</t>
  </si>
  <si>
    <t xml:space="preserve"> Scotland Band H</t>
  </si>
  <si>
    <t>1 US $ = 5,97778 NOK</t>
  </si>
  <si>
    <t>1US $ = 7,98989 MOP</t>
  </si>
  <si>
    <t>Canberra</t>
  </si>
  <si>
    <t>Hobart</t>
  </si>
  <si>
    <t>Darwin</t>
  </si>
  <si>
    <t>Austria average</t>
  </si>
  <si>
    <t>Calgary</t>
  </si>
  <si>
    <t>Winnipeg</t>
  </si>
  <si>
    <t>Regina</t>
  </si>
  <si>
    <t>Richmond</t>
  </si>
  <si>
    <t>Durham</t>
  </si>
  <si>
    <t>1US $ = 1,01790 CAD</t>
  </si>
  <si>
    <t>D. Main and A. Kolesov, AECOM</t>
  </si>
  <si>
    <t>1US $ = 4,30897 ARS</t>
  </si>
  <si>
    <t>1US $ = 29,43128 MUR</t>
  </si>
  <si>
    <t>Gabon (urban)</t>
  </si>
  <si>
    <t>Burkina Faso (urban)</t>
  </si>
  <si>
    <t>GW 2012</t>
  </si>
  <si>
    <t>SP 2012</t>
  </si>
  <si>
    <t>SFW 2012</t>
  </si>
  <si>
    <t>OS 2012</t>
  </si>
  <si>
    <t>I/E WATER 2012</t>
  </si>
  <si>
    <t>TOTAL 2012</t>
  </si>
  <si>
    <t>HH 2012</t>
  </si>
  <si>
    <t>I 2012</t>
  </si>
  <si>
    <t>UC&amp;WL 2012</t>
  </si>
  <si>
    <t>EDW 2012</t>
  </si>
  <si>
    <t>Total Del 2012</t>
  </si>
  <si>
    <t>Total Delivery (without unbilled/water losses and exported water)</t>
  </si>
  <si>
    <t>Pop 2012</t>
  </si>
  <si>
    <t>Supply % 2012</t>
  </si>
  <si>
    <t>Total Abs 2012</t>
  </si>
  <si>
    <t>Abs capita 2012</t>
  </si>
  <si>
    <t>total 2012</t>
  </si>
  <si>
    <t>Av. HH 2012</t>
  </si>
  <si>
    <t>Av. Total 2012</t>
  </si>
  <si>
    <t>Exchange rates 31 december 2013</t>
  </si>
  <si>
    <t xml:space="preserve">SPECIALIST GROUP STATISTICS AND ECONOMICS </t>
  </si>
  <si>
    <t>CHAIRMAN: ED SMEETS, STEIN, THE NETHERLANDS</t>
  </si>
  <si>
    <t>WORKING GROUP LEADER STATISTICS: JAN HAMMENECKER, DE WATERGROEP, BRUSSELS, BELGIUM</t>
  </si>
  <si>
    <t>EMAIL: IWA@dewatergroep.be</t>
  </si>
  <si>
    <t xml:space="preserve">With compliments to Ann Bijnens and Katleen De Leu, experts in statistics De Watergroep, Brussels, Belgium </t>
  </si>
  <si>
    <t>Delivered for HH in m³/capita/year</t>
  </si>
  <si>
    <t>Hong Kong, China</t>
  </si>
  <si>
    <t>Macao, China</t>
  </si>
  <si>
    <t>Macao, China Average</t>
  </si>
  <si>
    <t>1 US $ = 6,43839 SEK</t>
  </si>
  <si>
    <t>1US $ = 3,46910 ILS</t>
  </si>
  <si>
    <t>increasing block rate, by number of inhabitants, assumed 4 in household, identical tariff applies to all cities.</t>
  </si>
  <si>
    <t>1US $ = 0,72762 EUR</t>
  </si>
  <si>
    <t>1US $ = 30,28341 MUR</t>
  </si>
  <si>
    <t>1 US $ = 3,02200 PLN</t>
  </si>
  <si>
    <t>1US $ = 1,42300 BGN</t>
  </si>
  <si>
    <t>1US $ = 6,05400 CNY</t>
  </si>
  <si>
    <t>Maramures</t>
  </si>
  <si>
    <t>Suceava</t>
  </si>
  <si>
    <t>Pitesti</t>
  </si>
  <si>
    <t>1US $ = 3,24699 RON</t>
  </si>
  <si>
    <t>1 US $ = 5,42817 DKK</t>
  </si>
  <si>
    <t>T. Sorensen, Danish Water and Wastewater Association</t>
  </si>
  <si>
    <t>1US $ = 1055,80094 KRW</t>
  </si>
  <si>
    <t>Zürich</t>
  </si>
  <si>
    <t>1US $ = 0,89304 CHF</t>
  </si>
  <si>
    <t>1US $ =2,36228 BRL</t>
  </si>
  <si>
    <t>Tehran</t>
  </si>
  <si>
    <t>Esfahan</t>
  </si>
  <si>
    <t>Shiraz</t>
  </si>
  <si>
    <t>Tabriz</t>
  </si>
  <si>
    <t>Bandar Abbas</t>
  </si>
  <si>
    <t>1US $ = 11241,5367 IRR</t>
  </si>
  <si>
    <t>1US $ = 7,99978 MOP</t>
  </si>
  <si>
    <t>Kaposvár</t>
  </si>
  <si>
    <t>1 US $ = 216,37865 HUF</t>
  </si>
  <si>
    <t>1 US $ = 29,87304 TWD</t>
  </si>
  <si>
    <t>Libya</t>
  </si>
  <si>
    <t>1 US $ = 1507,25796 LBP</t>
  </si>
  <si>
    <t>1 US $ = 6,07003 NOK</t>
  </si>
  <si>
    <t>1US $ = 1,06225 CAD</t>
  </si>
  <si>
    <t>San Luis Potosi</t>
  </si>
  <si>
    <t>Guadalajara</t>
  </si>
  <si>
    <t>León, Guanajuato</t>
  </si>
  <si>
    <t>Monterrey</t>
  </si>
  <si>
    <t>Puebla</t>
  </si>
  <si>
    <t>1US $ = 13,03816 MXN</t>
  </si>
  <si>
    <t>R. Olivares, IWA representacion Mexico</t>
  </si>
  <si>
    <t>1 US $ = 7,75395 HKD</t>
  </si>
  <si>
    <t>1 US $ = 105,33343 JPY</t>
  </si>
  <si>
    <t>Charleroi</t>
  </si>
  <si>
    <t>Strassbourg</t>
  </si>
  <si>
    <t>Reims</t>
  </si>
  <si>
    <t>Nancy</t>
  </si>
  <si>
    <t>Le Havre</t>
  </si>
  <si>
    <t>Marseille</t>
  </si>
  <si>
    <t>Brest</t>
  </si>
  <si>
    <t>S. Pouradier-Duteil, Veolia</t>
  </si>
  <si>
    <t>1USD = 0,60454 GBP</t>
  </si>
  <si>
    <t>K. Ridout, Ofwat</t>
  </si>
  <si>
    <t>Indonesia</t>
  </si>
  <si>
    <t>1 US $ = 12160,50000 IDR</t>
  </si>
  <si>
    <t>D. Riantara, PERPAMSI (Indonesian Water Supply Association)</t>
  </si>
  <si>
    <t>Av. Total annual charge 100 m³</t>
  </si>
  <si>
    <t>S. Lacatusu, Romanian Water Association and D. Popa, Water company Brasov</t>
  </si>
  <si>
    <t>Cape Town</t>
  </si>
  <si>
    <t>1US $ = 10,49856 ZAR</t>
  </si>
  <si>
    <t>GW 2014</t>
  </si>
  <si>
    <t>SP 2014</t>
  </si>
  <si>
    <t>SFW 2014</t>
  </si>
  <si>
    <t>GROUND WATER</t>
  </si>
  <si>
    <t>OS 2014</t>
  </si>
  <si>
    <t>I/E WATER 2014</t>
  </si>
  <si>
    <t>TOTAL 2014</t>
  </si>
  <si>
    <t>% GW 2014</t>
  </si>
  <si>
    <t>% SP 2014</t>
  </si>
  <si>
    <t>% SFW 2014</t>
  </si>
  <si>
    <t>% OS 2014</t>
  </si>
  <si>
    <t>% I/E WATER 2014</t>
  </si>
  <si>
    <t>HH 2014</t>
  </si>
  <si>
    <t>I 2014</t>
  </si>
  <si>
    <t>Industry and Other Billed Water consumption</t>
  </si>
  <si>
    <t>UC&amp;WL 2014</t>
  </si>
  <si>
    <t>EDW 2014</t>
  </si>
  <si>
    <t>Total Del 2014</t>
  </si>
  <si>
    <t>Households and Small Business</t>
  </si>
  <si>
    <t>Pop 2014</t>
  </si>
  <si>
    <t>Supply % 2014</t>
  </si>
  <si>
    <t>Del HH capita 2014</t>
  </si>
  <si>
    <t>Del  HH capita 2012</t>
  </si>
  <si>
    <t>Del HH capita 2010</t>
  </si>
  <si>
    <t>Total Abs 2014</t>
  </si>
  <si>
    <t>Abs capita 2014</t>
  </si>
  <si>
    <t>alles inclusief voor abstraction</t>
  </si>
  <si>
    <t>366 dagen</t>
  </si>
  <si>
    <t>total 2014</t>
  </si>
  <si>
    <t>Av. HH 2014</t>
  </si>
  <si>
    <t>Av. Total 2014</t>
  </si>
  <si>
    <t>Exchange rates
31 december 2015</t>
  </si>
  <si>
    <t>Exchange rates 31 december 2015</t>
  </si>
  <si>
    <t>MEDIAN</t>
  </si>
  <si>
    <t>household size: average number of people living in one household</t>
  </si>
  <si>
    <t>household size
in 2014</t>
  </si>
  <si>
    <t>NEW!!!</t>
  </si>
  <si>
    <t>Median HH 2014</t>
  </si>
  <si>
    <t>1 US $ = 290,45297 HUF</t>
  </si>
  <si>
    <t>B. Balazs, Kaposvar Waterworks (member of Hungarian Water Association)</t>
  </si>
  <si>
    <t>Households</t>
  </si>
  <si>
    <t>1US $ = 1,00150 CHF</t>
  </si>
  <si>
    <t>1US $ = 6,51381 CNY</t>
  </si>
  <si>
    <t>1US $ = 0,92094 EUR</t>
  </si>
  <si>
    <t>(3)</t>
  </si>
  <si>
    <t>(5)</t>
  </si>
  <si>
    <t>1US $ = 35,84989 MUR</t>
  </si>
  <si>
    <t>Russia</t>
  </si>
  <si>
    <t>Russia Average</t>
  </si>
  <si>
    <t>1US $ = 72,99662 RUB</t>
  </si>
  <si>
    <t>A. Epshtein, Russian Water and Wastewater Association</t>
  </si>
  <si>
    <t>1US $ = 8,04909 MOP</t>
  </si>
  <si>
    <t>N. Kuan, Macao Water</t>
  </si>
  <si>
    <t>1USD = 0,67855 GBP</t>
  </si>
  <si>
    <t>A. Castilla, AEAS</t>
  </si>
  <si>
    <t>1 US $ = 7,77562 HKD</t>
  </si>
  <si>
    <t>1 US $ = 3,95199 PLN</t>
  </si>
  <si>
    <t>1 US $ = 33,06664 TWD</t>
  </si>
  <si>
    <t>S-L. Lo, Chinese Taiwan National Committee</t>
  </si>
  <si>
    <t>1 US $ = 8,86030 NOK</t>
  </si>
  <si>
    <t>Tanzania</t>
  </si>
  <si>
    <t>1US $ = 2171,83668 TZS</t>
  </si>
  <si>
    <t>Tanzania Average</t>
  </si>
  <si>
    <t>Yes (13)</t>
  </si>
  <si>
    <t>1US $ = 1180,20528 KRW</t>
  </si>
  <si>
    <t>Z. Yun, Korean Society on Water Environment</t>
  </si>
  <si>
    <t>Serres</t>
  </si>
  <si>
    <t>Alexandroupolis</t>
  </si>
  <si>
    <t>Igoumenitsa</t>
  </si>
  <si>
    <t>Athens</t>
  </si>
  <si>
    <t>Thessaloniki</t>
  </si>
  <si>
    <t>R. Craley, American Water Works Association and Raftelis Financial Consultants</t>
  </si>
  <si>
    <t>Zambia</t>
  </si>
  <si>
    <t>1 US $ = 11,06053 ZMW</t>
  </si>
  <si>
    <t>1 US $ = 6,87275 DKK</t>
  </si>
  <si>
    <t>(22)</t>
  </si>
  <si>
    <t>Saskatoon</t>
  </si>
  <si>
    <t>Vancouver</t>
  </si>
  <si>
    <t>1US $ = 1,39011 CAD</t>
  </si>
  <si>
    <t>1 US $ = 120,30594 JPY</t>
  </si>
  <si>
    <t>(23)</t>
  </si>
  <si>
    <t>1US $ =3,96086 BRL</t>
  </si>
  <si>
    <t>Antofagasta</t>
  </si>
  <si>
    <t>Vina del Mar</t>
  </si>
  <si>
    <t>Temuco</t>
  </si>
  <si>
    <t>Gran Santiago</t>
  </si>
  <si>
    <t>1US $ = 711,0292 CLP</t>
  </si>
  <si>
    <t>1US $ = 17,27323 MXN</t>
  </si>
  <si>
    <t>Namibia</t>
  </si>
  <si>
    <t>Namibia Average</t>
  </si>
  <si>
    <t>1US $ =15,68222 NAD</t>
  </si>
  <si>
    <t>Thailand</t>
  </si>
  <si>
    <t>Thailand Average</t>
  </si>
  <si>
    <t>1US $ = 36,15138 THB</t>
  </si>
  <si>
    <t>(29)</t>
  </si>
  <si>
    <t>(31)</t>
  </si>
  <si>
    <t>Kenya</t>
  </si>
  <si>
    <t>Kenya Average</t>
  </si>
  <si>
    <t>1 US $ = 102,86302 KES</t>
  </si>
  <si>
    <t>sewer charged 75% of the water bill</t>
  </si>
  <si>
    <t>Kampala</t>
  </si>
  <si>
    <t>Jinja</t>
  </si>
  <si>
    <t>Entebbe</t>
  </si>
  <si>
    <t>Mbarara</t>
  </si>
  <si>
    <t>1US $ = 3401,52324 UGX</t>
  </si>
  <si>
    <t>G. Katongole, National Water and Sewerage Corporation</t>
  </si>
  <si>
    <t>(41)</t>
  </si>
  <si>
    <t>T. Herkner, Bundesverband der Energie- und Wasserwirtschaft e.V.</t>
  </si>
  <si>
    <t>Iceland</t>
  </si>
  <si>
    <t>Iceland Average</t>
  </si>
  <si>
    <t>1 US $ = 130,32431 ISK</t>
  </si>
  <si>
    <t>Median HH 2012</t>
  </si>
  <si>
    <t>Median HH 2010</t>
  </si>
  <si>
    <t>Average household en Median household</t>
  </si>
  <si>
    <t>Netherlands Average</t>
  </si>
  <si>
    <t>Lusaka</t>
  </si>
  <si>
    <t>Kafubu</t>
  </si>
  <si>
    <t>Mulonga</t>
  </si>
  <si>
    <t>NWWSC of Zambia</t>
  </si>
  <si>
    <t>Miercurea Ciuc</t>
  </si>
  <si>
    <t>Calarasi</t>
  </si>
  <si>
    <t>Giurgiu</t>
  </si>
  <si>
    <t>Deva</t>
  </si>
  <si>
    <t>Baia Mare</t>
  </si>
  <si>
    <t>Apaserv SA Valea Jiului</t>
  </si>
  <si>
    <t>Craiova</t>
  </si>
  <si>
    <t>Resita</t>
  </si>
  <si>
    <t>1US $ = 4,17495 RON</t>
  </si>
  <si>
    <t>Malta</t>
  </si>
  <si>
    <t>Malta Average</t>
  </si>
  <si>
    <t>(44)</t>
  </si>
  <si>
    <t>A. Sammut, regulator for Energy and Water Services</t>
  </si>
  <si>
    <t>1 US $ = 13830,42699 IDR</t>
  </si>
  <si>
    <t>South East Queensland</t>
  </si>
  <si>
    <t>1US $ = 1,36829 AUD</t>
  </si>
  <si>
    <t>GW 2016</t>
  </si>
  <si>
    <t>SP 2016</t>
  </si>
  <si>
    <t>SFW 2016</t>
  </si>
  <si>
    <t>OS 2016</t>
  </si>
  <si>
    <t>I/E WATER 2016</t>
  </si>
  <si>
    <t>TOTAL 2016</t>
  </si>
  <si>
    <t>% GW 2016</t>
  </si>
  <si>
    <t>% SP 2016</t>
  </si>
  <si>
    <t>% SFW 2016</t>
  </si>
  <si>
    <t>% OS 2016</t>
  </si>
  <si>
    <t>% I/E WATER 2016</t>
  </si>
  <si>
    <t>HH 2016</t>
  </si>
  <si>
    <t>I 2016</t>
  </si>
  <si>
    <t>UC&amp;WL 2016</t>
  </si>
  <si>
    <t>EDW 2016</t>
  </si>
  <si>
    <t>Total Del 2016</t>
  </si>
  <si>
    <t>Pop 2016</t>
  </si>
  <si>
    <t>Supply % 2016</t>
  </si>
  <si>
    <t>Del HH capita 2016</t>
  </si>
  <si>
    <t>Total Abs 2016</t>
  </si>
  <si>
    <t>Abs capita 2016</t>
  </si>
  <si>
    <t>total 2016</t>
  </si>
  <si>
    <t>Av. HH 2016</t>
  </si>
  <si>
    <t>Median HH 2016</t>
  </si>
  <si>
    <t>Av. Total 2016</t>
  </si>
  <si>
    <t>household size
in 2016</t>
  </si>
  <si>
    <t>Exchange rates
31 december 2017</t>
  </si>
  <si>
    <t>Exchange rates 31 december 2017</t>
  </si>
  <si>
    <t>GDP 2017</t>
  </si>
  <si>
    <t>currency rate 2017</t>
  </si>
  <si>
    <t>Fix.ch. 2017</t>
  </si>
  <si>
    <t>Var. ch. 2017</t>
  </si>
  <si>
    <t>Oth. ch. DW 2017</t>
  </si>
  <si>
    <t>Total. ch. DW 2017</t>
  </si>
  <si>
    <t>Sew. 2017</t>
  </si>
  <si>
    <t>WW 2017</t>
  </si>
  <si>
    <t>Other ch. 2017</t>
  </si>
  <si>
    <t>total charge 2017</t>
  </si>
  <si>
    <t>Av. Fix.ch. 2017</t>
  </si>
  <si>
    <t>Av. Var. ch. 2017</t>
  </si>
  <si>
    <t>Av. Oth. ch. DW 2017</t>
  </si>
  <si>
    <t>Av. Total. ch. DW 2017</t>
  </si>
  <si>
    <t>Av. Sew. 2017</t>
  </si>
  <si>
    <t>Av. Other ch. 2017</t>
  </si>
  <si>
    <t>Av. total charge 2017</t>
  </si>
  <si>
    <t>AANPASSEN VOOR 2017, nu ingevulde gegevens van vorige editie 2015</t>
  </si>
  <si>
    <t>Currency rate at 31/12/2017</t>
  </si>
  <si>
    <t>HH/SB 2010</t>
  </si>
  <si>
    <t>HH/SB 2012</t>
  </si>
  <si>
    <t>HH/SB 2014</t>
  </si>
  <si>
    <t>HH/SB 2016</t>
  </si>
  <si>
    <t>VAT DW 2017</t>
  </si>
  <si>
    <t>VAT on drinking water</t>
  </si>
  <si>
    <t>Sewerage-taxes</t>
  </si>
  <si>
    <t>VAT on sewerage</t>
  </si>
  <si>
    <t>VAT on WWT</t>
  </si>
  <si>
    <t>VAT WW 2017</t>
  </si>
  <si>
    <t>VAT Sew. 2017</t>
  </si>
  <si>
    <t>VAT Other ch. 2017</t>
  </si>
  <si>
    <t>VAT on other charges</t>
  </si>
  <si>
    <t>Total VAT</t>
  </si>
  <si>
    <t>Total VAT 2017</t>
  </si>
  <si>
    <t>Av. VAT on drinking water</t>
  </si>
  <si>
    <t>Av. VAT DW 2017</t>
  </si>
  <si>
    <t>Av. VAT on sewerage</t>
  </si>
  <si>
    <t>Av. VAT Sew. 2017</t>
  </si>
  <si>
    <t>Av. VAT on WWT</t>
  </si>
  <si>
    <t>Av. VAT WWT 2017</t>
  </si>
  <si>
    <t>Av. WWT 2017</t>
  </si>
  <si>
    <t>Av. VAT other charges</t>
  </si>
  <si>
    <t>Av. VAT other charges 2017</t>
  </si>
  <si>
    <t>Av. Total VAT and other taxes</t>
  </si>
  <si>
    <t>Av. Total VAT 2017</t>
  </si>
  <si>
    <t>WS, M</t>
  </si>
  <si>
    <t>M. Freiburghaus, Swiss Gas and Water Industry Association</t>
  </si>
  <si>
    <t>1 US $ = 258,86743 HUF</t>
  </si>
  <si>
    <t>1US $ = 0,97442 CHF</t>
  </si>
  <si>
    <t>1 US $ = 112,66098 JPY</t>
  </si>
  <si>
    <t>1 US $ = 29,66181 TWD</t>
  </si>
  <si>
    <t>Bucharest</t>
  </si>
  <si>
    <t>Ramnicu Valcea</t>
  </si>
  <si>
    <t>Prahova</t>
  </si>
  <si>
    <t>Botosani</t>
  </si>
  <si>
    <t>Piatra Neamt</t>
  </si>
  <si>
    <t>Bacau</t>
  </si>
  <si>
    <t>Vaslui</t>
  </si>
  <si>
    <t>Turda</t>
  </si>
  <si>
    <t>Alexandria</t>
  </si>
  <si>
    <t>Cluj Napoca</t>
  </si>
  <si>
    <t>Petrosani</t>
  </si>
  <si>
    <t>Voluntari</t>
  </si>
  <si>
    <t>Galati</t>
  </si>
  <si>
    <t>Drobeta Turnu-Severin</t>
  </si>
  <si>
    <t>Targoviste</t>
  </si>
  <si>
    <t>Targu-Mures</t>
  </si>
  <si>
    <t>1US $ = 3,88684 RON</t>
  </si>
  <si>
    <t>(49)</t>
  </si>
  <si>
    <t>Nicosia</t>
  </si>
  <si>
    <t>Limassol</t>
  </si>
  <si>
    <t>1US $ = 0,83301 EUR</t>
  </si>
  <si>
    <t>Yes (52)</t>
  </si>
  <si>
    <t>R. Parena and R Sciolotto, SMAT Group</t>
  </si>
  <si>
    <t>1US $ = 483,08548 AMD</t>
  </si>
  <si>
    <t>(55)</t>
  </si>
  <si>
    <t>(56)</t>
  </si>
  <si>
    <t>A. Sergoyan, State Committee of Water Economy of the RA MEINR</t>
  </si>
  <si>
    <t>Moscow</t>
  </si>
  <si>
    <t>1US $ = 57,61183 RUB</t>
  </si>
  <si>
    <t>Mexico City</t>
  </si>
  <si>
    <t>1US $ = 19,67040 MXN</t>
  </si>
  <si>
    <t>Warsaw</t>
  </si>
  <si>
    <t>1 US $ = 3,47850 PLN</t>
  </si>
  <si>
    <t>1 US $ = 6,20374 DKK</t>
  </si>
  <si>
    <t>M, WS</t>
  </si>
  <si>
    <t>1US $ = 1,28205 AUD</t>
  </si>
  <si>
    <t>D. Farokhi and M. Hardy, Bureau of Meteorology of Australia</t>
  </si>
  <si>
    <t>(59)</t>
  </si>
  <si>
    <t>1 US $ = 8,20533 NOK</t>
  </si>
  <si>
    <t>1US $ = 6,50176 CNY</t>
  </si>
  <si>
    <t>1 US $ = 8,16029 SEK</t>
  </si>
  <si>
    <t>(60)</t>
  </si>
  <si>
    <t>G. Svensson, Swedish Water</t>
  </si>
  <si>
    <t>A. Haarr, Norwegian Water and Wastewater Ass. and O. Ryenbakken, Water and Sewerage Works City of Oslo</t>
  </si>
  <si>
    <t>1US $ = 1066,97433 KRW</t>
  </si>
  <si>
    <t>(62)</t>
  </si>
  <si>
    <t>(63)</t>
  </si>
  <si>
    <t>1USD = 0,73992 GBP</t>
  </si>
  <si>
    <t>1US $ = 3628,41744 UGX</t>
  </si>
  <si>
    <t>Yes (67)</t>
  </si>
  <si>
    <t>Czech Republic</t>
  </si>
  <si>
    <t>Prague</t>
  </si>
  <si>
    <t>Brno</t>
  </si>
  <si>
    <t>Ostrava</t>
  </si>
  <si>
    <t>Plzeñ</t>
  </si>
  <si>
    <t>Usti nad Labem</t>
  </si>
  <si>
    <t>1US $ = 21,27548 CZK</t>
  </si>
  <si>
    <t>Yes (71)</t>
  </si>
  <si>
    <t>F. Wanner, The Water Supply and Sewerage Ass. Of the Czech Republic (SOVAK CR)</t>
  </si>
  <si>
    <t>1US $ = 8,04451 MOP</t>
  </si>
  <si>
    <t>1 US $ = 13481,64037 IDR</t>
  </si>
  <si>
    <t xml:space="preserve"> M</t>
  </si>
  <si>
    <t>1 US $ = 7,81239 HKD</t>
  </si>
  <si>
    <t>Yes (73)</t>
  </si>
  <si>
    <t>J. TC Louie, Water Supplies Department Hong Kong SAR Government</t>
  </si>
  <si>
    <t>separate tariffs for sewerage (tariff to municipality) and for wastewater treatment (tariff to water authority)</t>
  </si>
  <si>
    <t>P.J.J.G. Geudens, Vewin</t>
  </si>
  <si>
    <t>Turkey</t>
  </si>
  <si>
    <t>Ankara</t>
  </si>
  <si>
    <t>Istanbul</t>
  </si>
  <si>
    <t>Izmir</t>
  </si>
  <si>
    <t>1USD = 3,79470 TRY</t>
  </si>
  <si>
    <t>average Austria</t>
  </si>
  <si>
    <t>Brasilia</t>
  </si>
  <si>
    <t>1US $ =3,31173 BRL</t>
  </si>
  <si>
    <t>Brazil national average</t>
  </si>
  <si>
    <t>C. Rosito, ABES - Brazilian Association of Water and Sanitation Engineering</t>
  </si>
  <si>
    <t>In general, water tariffs in Spain have fixed and variable component, the last one consists of several blocks with increasing rate €/m3. In some cases, sewerage has only fixed component. Only Bilbao has a unique tarifff for sewage (waste water sewage collectors) and WWT.</t>
  </si>
  <si>
    <t>C. Legros, Belgaqua and A. Bijnens, De Watergroep</t>
  </si>
  <si>
    <t>Berlin</t>
  </si>
  <si>
    <t>Ottawa</t>
  </si>
  <si>
    <t>1US $ = 1,25759 CAD</t>
  </si>
  <si>
    <t>Provincia Buenos Aires (ABSA)</t>
  </si>
  <si>
    <t>Jujuy (Aqua Potable de Jujuy S.E.)</t>
  </si>
  <si>
    <t>La Rioja (Aquas Riojanas)</t>
  </si>
  <si>
    <t>Mar del Plata (OSSE)</t>
  </si>
  <si>
    <t>Provincia de Salta (CoSAySa)</t>
  </si>
  <si>
    <t>Santiago del Estero (Aquas de Santiago)</t>
  </si>
  <si>
    <t>1US $ = 18,60029 ARS</t>
  </si>
  <si>
    <t>D. A. Nolasco, Nolasco Associates (Water, Environment &amp; Business Consulting)</t>
  </si>
  <si>
    <t>1US $ = 1,62938 BGN</t>
  </si>
  <si>
    <t>I. Kastchiev, Energy and Water Regulatory Commission</t>
  </si>
  <si>
    <t>O. Yenigun, Turkish National Committee on Water Pollution Research and Control</t>
  </si>
  <si>
    <t>M (1)</t>
  </si>
  <si>
    <t>RWH (2)</t>
  </si>
  <si>
    <t>(4)</t>
  </si>
  <si>
    <t xml:space="preserve">(1) In the scope of state asset management the tariff for water services is set by the Public Services Regulatory Commission. </t>
  </si>
  <si>
    <t>(2) In the service area of unique operator new investments are being implemented by Government and operator (partially). In other service areas it is done by regional government and municipalities and other sources.</t>
  </si>
  <si>
    <t>(3) Improvement of water networks, enhancement of management of system.</t>
  </si>
  <si>
    <t xml:space="preserve">(4) Depending on annual consumption volume, currency and electricity tariff changes, the tariff for services can be regulated. </t>
  </si>
  <si>
    <t>M, S (6)</t>
  </si>
  <si>
    <t>(7)</t>
  </si>
  <si>
    <t>RG,M (8)</t>
  </si>
  <si>
    <t>WS, RWH, S (9)</t>
  </si>
  <si>
    <t>(11)</t>
  </si>
  <si>
    <t>WS, S (12)</t>
  </si>
  <si>
    <t>Yes (14)</t>
  </si>
  <si>
    <t>No (15)</t>
  </si>
  <si>
    <t>Yes (16)</t>
  </si>
  <si>
    <t xml:space="preserve">(19) Water tariffs are included in the list of goods with regulated prices and governed by the Law on Prices. Water tariffs are calculated by water operators based on constraints following from Law on Prices. The Ministry of Finance acts as regulating authority which supervises cost elements and prices. </t>
  </si>
  <si>
    <t>M (18)</t>
  </si>
  <si>
    <t>M, S, WS (18)</t>
  </si>
  <si>
    <t>S, WS (18)</t>
  </si>
  <si>
    <t>(19)</t>
  </si>
  <si>
    <t>Yes (20)</t>
  </si>
  <si>
    <t>Yes (21)</t>
  </si>
  <si>
    <t>(22) Privately owned water companies hold licences to provide water services in a regulated environment.</t>
  </si>
  <si>
    <t>(23) The economic regulator (Ofwat) sets price limits (limits on the amount by which companies are allowed to vary their charges to customers).</t>
  </si>
  <si>
    <t>(24) The physical connection to the public water supply or public sewer is funded by the developer (or self-lay organisation), while the new customer pays an "infrastructure charge" to fund local reinforcement of the public system and the general customer base funds any non-local reinforcement costs.</t>
  </si>
  <si>
    <t>(24)</t>
  </si>
  <si>
    <t>WS (25)</t>
  </si>
  <si>
    <t>Yes (26)</t>
  </si>
  <si>
    <t>(27)</t>
  </si>
  <si>
    <t>M, S (30)</t>
  </si>
  <si>
    <t>(32)</t>
  </si>
  <si>
    <t>Yes (33)</t>
  </si>
  <si>
    <t>Yes (34)</t>
  </si>
  <si>
    <t>Yes (35)</t>
  </si>
  <si>
    <t>(36)</t>
  </si>
  <si>
    <t>(37)</t>
  </si>
  <si>
    <t>Yes (38)</t>
  </si>
  <si>
    <t>(39) Grants from government for the installation of decentralised treatment systems. Grants from government for the expansion of water services.</t>
  </si>
  <si>
    <t>(39)</t>
  </si>
  <si>
    <t>(40) The water utility (Water Servcies Corporation) is state owned with responsibilties established at law for production, distribution, selling water and for the collection, treatment and disposal of wastewater.</t>
  </si>
  <si>
    <t>S (40)</t>
  </si>
  <si>
    <t>S (42)</t>
  </si>
  <si>
    <t>(43)</t>
  </si>
  <si>
    <t>WS, M (45)</t>
  </si>
  <si>
    <t>WS (46)</t>
  </si>
  <si>
    <t>(47)</t>
  </si>
  <si>
    <t>(48)</t>
  </si>
  <si>
    <t>Yes (50)</t>
  </si>
  <si>
    <t>M, S (51)</t>
  </si>
  <si>
    <t>WS, RWH, S (51)</t>
  </si>
  <si>
    <t>(53)</t>
  </si>
  <si>
    <t>(54)</t>
  </si>
  <si>
    <t>(59) The titularity of the assets cannot be transferred to private operators, because they belong to the municipalities. Activities involved in water services: operation, research, renewal, etc can be transferred to private operators.</t>
  </si>
  <si>
    <t>(60) The principles for waterpricing in Spain are set by municipalities and water operators. There are more than 2.000 water supply systems in Spain, so it is not representative to answer the last questions. In general, all these principles are taken into account, but there is no rule which it is stablished by any authority.</t>
  </si>
  <si>
    <t>(62) Spanish water operators have a long tradition in the application of Solidarity mechanisms for those customers who can have problems with the payment of water services bill. More than 80% of water operators have set solidarity mechanisms to facilitate access to water and sanitation. The most common Solidarity mechanisms in Spain are: (i) water tariffs with discount, and (ii) funds provided by water operator or municipality which is intended to cover the water bill for users who have economic problems.
Depending on the municipality, water operators can separately apply the discount or the social fund, but there are also municipalities that provide both mechanism as an integrated solution for those users. 
In the end, both water tariff discounts and social funds are funded by the customers of water operators that support the costs, or via local or regional budget.</t>
  </si>
  <si>
    <t>RG,M (57)</t>
  </si>
  <si>
    <t>RG,M (58)</t>
  </si>
  <si>
    <t>Yes (61)</t>
  </si>
  <si>
    <t>(64)</t>
  </si>
  <si>
    <t>WS, S (65)</t>
  </si>
  <si>
    <t>Yes (66)</t>
  </si>
  <si>
    <t>(68)</t>
  </si>
  <si>
    <t>Yes (69)</t>
  </si>
  <si>
    <t>Yes (70)</t>
  </si>
  <si>
    <t>(72)</t>
  </si>
  <si>
    <t>Yes (74)</t>
  </si>
  <si>
    <t>Yes (75)</t>
  </si>
  <si>
    <t>landcode 2</t>
  </si>
  <si>
    <t>landcode 3</t>
  </si>
  <si>
    <t>AR</t>
  </si>
  <si>
    <t>ARG</t>
  </si>
  <si>
    <t>AM</t>
  </si>
  <si>
    <t>ARM</t>
  </si>
  <si>
    <t>AU</t>
  </si>
  <si>
    <t>AUS</t>
  </si>
  <si>
    <t>AT</t>
  </si>
  <si>
    <t>AUT</t>
  </si>
  <si>
    <t>BE</t>
  </si>
  <si>
    <t>BEL</t>
  </si>
  <si>
    <t>BR</t>
  </si>
  <si>
    <t>BRA</t>
  </si>
  <si>
    <t>BG</t>
  </si>
  <si>
    <t>BGR</t>
  </si>
  <si>
    <t>BF</t>
  </si>
  <si>
    <t>BFA</t>
  </si>
  <si>
    <t>CA</t>
  </si>
  <si>
    <t>CAN</t>
  </si>
  <si>
    <t>CL</t>
  </si>
  <si>
    <t>CHL</t>
  </si>
  <si>
    <t>CN</t>
  </si>
  <si>
    <t>CHN</t>
  </si>
  <si>
    <t>HK</t>
  </si>
  <si>
    <t>HKG</t>
  </si>
  <si>
    <t>TW</t>
  </si>
  <si>
    <t>TWN</t>
  </si>
  <si>
    <t>CY</t>
  </si>
  <si>
    <t>CYP</t>
  </si>
  <si>
    <t>CZ</t>
  </si>
  <si>
    <t>CZE</t>
  </si>
  <si>
    <t>DK</t>
  </si>
  <si>
    <t>DNK</t>
  </si>
  <si>
    <t>FI</t>
  </si>
  <si>
    <t>FIN</t>
  </si>
  <si>
    <t>FR</t>
  </si>
  <si>
    <t>FRA</t>
  </si>
  <si>
    <t>GA</t>
  </si>
  <si>
    <t>GAB</t>
  </si>
  <si>
    <t>DE</t>
  </si>
  <si>
    <t>DEU</t>
  </si>
  <si>
    <t>GR</t>
  </si>
  <si>
    <t>GRC</t>
  </si>
  <si>
    <t>HU</t>
  </si>
  <si>
    <t>HUN</t>
  </si>
  <si>
    <t>IS</t>
  </si>
  <si>
    <t>ISL</t>
  </si>
  <si>
    <t>IR</t>
  </si>
  <si>
    <t>IRN</t>
  </si>
  <si>
    <t>IL</t>
  </si>
  <si>
    <t>ISR</t>
  </si>
  <si>
    <t>IT</t>
  </si>
  <si>
    <t>ITA</t>
  </si>
  <si>
    <t>JP</t>
  </si>
  <si>
    <t>JPN</t>
  </si>
  <si>
    <t>KE</t>
  </si>
  <si>
    <t>KEN</t>
  </si>
  <si>
    <t>LT</t>
  </si>
  <si>
    <t>LTU</t>
  </si>
  <si>
    <t>LU</t>
  </si>
  <si>
    <t>LUX</t>
  </si>
  <si>
    <t>MO</t>
  </si>
  <si>
    <t>MAC</t>
  </si>
  <si>
    <t>MW</t>
  </si>
  <si>
    <t>MWI</t>
  </si>
  <si>
    <t>MT</t>
  </si>
  <si>
    <t>MLT</t>
  </si>
  <si>
    <t>MU</t>
  </si>
  <si>
    <t>MUS</t>
  </si>
  <si>
    <t>MX</t>
  </si>
  <si>
    <t>MEX</t>
  </si>
  <si>
    <t>MA</t>
  </si>
  <si>
    <t>MAR</t>
  </si>
  <si>
    <t>DI</t>
  </si>
  <si>
    <t>APR</t>
  </si>
  <si>
    <t>WO</t>
  </si>
  <si>
    <t>MAY</t>
  </si>
  <si>
    <t>DO</t>
  </si>
  <si>
    <t>JUN</t>
  </si>
  <si>
    <t>VR</t>
  </si>
  <si>
    <t>JUL</t>
  </si>
  <si>
    <t>NA</t>
  </si>
  <si>
    <t>NAM</t>
  </si>
  <si>
    <t>NL</t>
  </si>
  <si>
    <t>NLD</t>
  </si>
  <si>
    <t>NZ</t>
  </si>
  <si>
    <t>NZL</t>
  </si>
  <si>
    <t>IE</t>
  </si>
  <si>
    <t>IRL</t>
  </si>
  <si>
    <t>NO</t>
  </si>
  <si>
    <t>NOR</t>
  </si>
  <si>
    <t>PL</t>
  </si>
  <si>
    <t>POL</t>
  </si>
  <si>
    <t>PT</t>
  </si>
  <si>
    <t>PRT</t>
  </si>
  <si>
    <t>RO</t>
  </si>
  <si>
    <t>ROU</t>
  </si>
  <si>
    <t>RU</t>
  </si>
  <si>
    <t>RUS</t>
  </si>
  <si>
    <t>SCO</t>
  </si>
  <si>
    <t>RS</t>
  </si>
  <si>
    <t>SRB</t>
  </si>
  <si>
    <t>SG</t>
  </si>
  <si>
    <t>SGP</t>
  </si>
  <si>
    <t>SK</t>
  </si>
  <si>
    <t>SVK</t>
  </si>
  <si>
    <t>ZA</t>
  </si>
  <si>
    <t>ZAF</t>
  </si>
  <si>
    <t>KR</t>
  </si>
  <si>
    <t>KOR</t>
  </si>
  <si>
    <t>ES</t>
  </si>
  <si>
    <t>ESP</t>
  </si>
  <si>
    <t>SE</t>
  </si>
  <si>
    <t>SWE</t>
  </si>
  <si>
    <t>CH</t>
  </si>
  <si>
    <t>CHE</t>
  </si>
  <si>
    <t>TZ</t>
  </si>
  <si>
    <t>TZA</t>
  </si>
  <si>
    <t>TH</t>
  </si>
  <si>
    <t>THA</t>
  </si>
  <si>
    <t>TN</t>
  </si>
  <si>
    <t>TUN</t>
  </si>
  <si>
    <t>TR</t>
  </si>
  <si>
    <t>TUR</t>
  </si>
  <si>
    <t>UG</t>
  </si>
  <si>
    <t>UGA</t>
  </si>
  <si>
    <t>GB</t>
  </si>
  <si>
    <t>GBR</t>
  </si>
  <si>
    <t>US</t>
  </si>
  <si>
    <t>USA</t>
  </si>
  <si>
    <t>ZM</t>
  </si>
  <si>
    <t>ZMB</t>
  </si>
  <si>
    <t>Edinburgh</t>
  </si>
  <si>
    <t>S (76)</t>
  </si>
  <si>
    <t>(77)</t>
  </si>
  <si>
    <t>(78)</t>
  </si>
  <si>
    <t>(79)</t>
  </si>
  <si>
    <t xml:space="preserve">(79) Scottish Water can and does contract out some of infrastructure work but also does this directly. More relevant are the 27 licensed providers who provide retail services only to business customers only. These are licensed by the WICS, the economic regulator. 50% of our WWTP are run under PPP schemes and these will all come back into public ownership over the next few years. </t>
  </si>
  <si>
    <t>(80)</t>
  </si>
  <si>
    <t>(81)</t>
  </si>
  <si>
    <t>(82)</t>
  </si>
  <si>
    <t>S. Hendry, University of Dundee</t>
  </si>
  <si>
    <t>IMPORTED WATER</t>
  </si>
  <si>
    <t>I WATER 2010</t>
  </si>
  <si>
    <t>I WATER 2012</t>
  </si>
  <si>
    <t>in %</t>
  </si>
  <si>
    <t>ABSTRACTION SOURCE FOR WATER SUPPLY IN 2014 AND 2016</t>
  </si>
  <si>
    <t>groundwater
 2014</t>
  </si>
  <si>
    <t>groundwater
 2016</t>
  </si>
  <si>
    <t>springwater
 2014</t>
  </si>
  <si>
    <t>springwater
 2016</t>
  </si>
  <si>
    <t>surface water
 2014</t>
  </si>
  <si>
    <t>surface water
 2016</t>
  </si>
  <si>
    <t>other sources
 2014</t>
  </si>
  <si>
    <t>other sources
 2016</t>
  </si>
  <si>
    <t>imported water
 2014</t>
  </si>
  <si>
    <t>imported water
 2016</t>
  </si>
  <si>
    <r>
      <t>*</t>
    </r>
    <r>
      <rPr>
        <u/>
        <sz val="11"/>
        <color theme="1"/>
        <rFont val="Calibri"/>
        <family val="2"/>
        <scheme val="minor"/>
      </rPr>
      <t>Footnote</t>
    </r>
    <r>
      <rPr>
        <sz val="11"/>
        <color theme="1"/>
        <rFont val="Calibri"/>
        <family val="2"/>
        <scheme val="minor"/>
      </rPr>
      <t>: Annual volume of water abstraction from any source with the purpose of public water supply</t>
    </r>
  </si>
  <si>
    <t>ABSTRACTION PER CAPITA IN 2014 AND 2016</t>
  </si>
  <si>
    <t>Household &amp; small business 2014</t>
  </si>
  <si>
    <t>Household &amp; small business 2016</t>
  </si>
  <si>
    <t>Industry &amp; other billed water consumption 2014</t>
  </si>
  <si>
    <t>Industry &amp; other billed water consumption 2016</t>
  </si>
  <si>
    <t>TOTAL WATER DELIVERED IN 2014 AND 2016</t>
  </si>
  <si>
    <t>TOTAL WATER DELIVERED FOR HOUSEHOLDS IN 2014 AND 2016</t>
  </si>
  <si>
    <r>
      <t>*</t>
    </r>
    <r>
      <rPr>
        <u/>
        <sz val="11"/>
        <color theme="1"/>
        <rFont val="Calibri"/>
        <family val="2"/>
        <scheme val="minor"/>
      </rPr>
      <t>Footnote</t>
    </r>
    <r>
      <rPr>
        <sz val="11"/>
        <color theme="1"/>
        <rFont val="Calibri"/>
        <family val="2"/>
        <scheme val="minor"/>
      </rPr>
      <t>: Total water delivered: Annual volume of water consumption by households for domestic consumption. For example drinking, food preparation, bathing, washing clothes and dishes, flushing toilets, car washing, watering lawns and gardens.</t>
    </r>
  </si>
  <si>
    <t>Delivered households per capita in 2014</t>
  </si>
  <si>
    <t>Delivered households per capita in 2016</t>
  </si>
  <si>
    <t>capital</t>
  </si>
  <si>
    <t>for a consumption of 200 m³ in US$</t>
  </si>
  <si>
    <t>fixed charge</t>
  </si>
  <si>
    <t>variable charge</t>
  </si>
  <si>
    <t>other charges drinking water</t>
  </si>
  <si>
    <t>VAT drinking water</t>
  </si>
  <si>
    <t>Total charge drinking water</t>
  </si>
  <si>
    <t>VAT sewerage</t>
  </si>
  <si>
    <t>Sewerage charges</t>
  </si>
  <si>
    <t>Waste water treatment charges</t>
  </si>
  <si>
    <t>VAT waste water treatment</t>
  </si>
  <si>
    <t>total VAT</t>
  </si>
  <si>
    <t>total annual charges 200 m³</t>
  </si>
  <si>
    <t>controle</t>
  </si>
  <si>
    <t>verschil</t>
  </si>
  <si>
    <t>environmental charges</t>
  </si>
  <si>
    <t>other taxes</t>
  </si>
  <si>
    <t>VAT other taxes</t>
  </si>
  <si>
    <t>VAT environmental charges</t>
  </si>
  <si>
    <t>Total charges for 198 cities in 2017</t>
  </si>
  <si>
    <t>only drinking water, without environmental charges and VAT/taxes</t>
  </si>
  <si>
    <t>Total charge drinking water for 188 cities in 2017</t>
  </si>
  <si>
    <t>Total charges for the capitals in 2017</t>
  </si>
  <si>
    <t>only drinking water, without environmental charges and other taxes, included VAT drinking water</t>
  </si>
  <si>
    <t>total annual charges 100 m³</t>
  </si>
  <si>
    <t>for a consumption of 100 m³ in US$</t>
  </si>
  <si>
    <t>SPECIFIC WATER CONSUMPTION FOR HOUSEHOLDS IN 2014 AND 2016</t>
  </si>
  <si>
    <t>Households 2014</t>
  </si>
  <si>
    <t>Households 2016</t>
  </si>
  <si>
    <t>Households 2010</t>
  </si>
  <si>
    <t>Households 2012</t>
  </si>
  <si>
    <t>SPECIFIC WATER CONSUMPTION FOR CAPITALS IN 2010-2016</t>
  </si>
  <si>
    <t>average 2016</t>
  </si>
  <si>
    <t>WATER REGULATION</t>
  </si>
  <si>
    <t>(8) About 75 % of the Brazilian population is deserved in water and sanitation by State Owned Water Utilities, controled by the 26 states and the Federal District. 20% are deserved by Municipal Controled entities and 5% by Private Controlled Water Utilities. Most of the population has the tariffs controled by about 50 Agencies of Regulation.</t>
  </si>
  <si>
    <t>(9) FUNDING: The origin of the resources for investments in Water and Sanitation is: Resources of the WU 52% financing , mostly from the Brazilian Banks BNDES e CAIXA, 33 % non reimbursable from public budgets 15 %</t>
  </si>
  <si>
    <t>(10) The 27 Water Utilities that deserve the 75 % of the Brazilian population use the so called "CROSSED SUBSIDES" between the municipalities they deserve and also inside each Municipality.There is still the 15% of the investments arriving fom public budgets.</t>
  </si>
  <si>
    <t>(11) Energy and Water Regulatory Commission.</t>
  </si>
  <si>
    <t>(12) EU funds.</t>
  </si>
  <si>
    <t>(13) Only 1 PPP exists, concession contract in Sofia.</t>
  </si>
  <si>
    <t>(14) EWRC applies "Price Cap" methodology for 5 years regulatory periods.</t>
  </si>
  <si>
    <t>(15) According to our data, alsmost 100% of the population is connected to public networks.</t>
  </si>
  <si>
    <t>(16) According to our data, around 67% of the population is connected to sewerage, and around 55% to WWTP.</t>
  </si>
  <si>
    <t>(5) For example on site toilets.</t>
  </si>
  <si>
    <t>(6) Varies from state to state.</t>
  </si>
  <si>
    <t>(7) Multi-annual tariff planning agreed with regional regulator, taking into account evolution of costs, agreed investments.</t>
  </si>
  <si>
    <t>(17) Pumping away tankers.</t>
  </si>
  <si>
    <t>(18) Owner of het water infrastructure.</t>
  </si>
  <si>
    <t>(20) Cesspools, septic tanks, household wastewater treatment plants, root wastewater treatment plants.</t>
  </si>
  <si>
    <t>(21) Via so called solidarity water price valid for whole larger region.</t>
  </si>
  <si>
    <t>(25) Water agencies and operators.</t>
  </si>
  <si>
    <t>(26) If defined in the contract and asked by the municipalities.</t>
  </si>
  <si>
    <t>(27) The ownership of the assets always belong to the municipalities.</t>
  </si>
  <si>
    <t>(28) The prices are always defined and negociated by the municipalities.</t>
  </si>
  <si>
    <t>(29) The operators have created a solidarity fund for the low income people, social tariffs are now authorised by the law.</t>
  </si>
  <si>
    <t>(30) Antitrust authorities.</t>
  </si>
  <si>
    <t>(31) Management of surface waters, resource protection.</t>
  </si>
  <si>
    <t>(32) Yes for municipalities and no for private treaters.</t>
  </si>
  <si>
    <t>(33) In terms of legislation concerning the costs for municipality infrastructure (KAG).</t>
  </si>
  <si>
    <t>(34) Drainage pits, septic tanks.</t>
  </si>
  <si>
    <t>(35) Collecting sewers with special trucks and transported to WWTP-s.</t>
  </si>
  <si>
    <t>(36) National Regulatory Authority.</t>
  </si>
  <si>
    <t>(37) Regulatory Asset Base (That is the integrated water system need of investment to comply the medium/long term projections by the National Water Authority).</t>
  </si>
  <si>
    <t>(38) Private Imoff.</t>
  </si>
  <si>
    <t>(41) For any tariff review, the water utility submits such a request to the Regulator for Energy and Water Services. The Regulator analyses financial costs, reviews the apportionment methodology and demand projections and on the basis of such reviews water tariffs are approved or otherwise.</t>
  </si>
  <si>
    <t>(42) The water utility may borrow and raise capital. In addition estimates of the Water Services Corporation are presented to the House of Representatives for approval or otherwise.</t>
  </si>
  <si>
    <t>(43) All population connected to water supply.</t>
  </si>
  <si>
    <t>(44) Discharge to private cesspits and sewage, then collected by water utility for treatment.</t>
  </si>
  <si>
    <t>(45) Drinking water: water supply companies/Sewerage: municipalities/Sewage treatment: Regional Governments.</t>
  </si>
  <si>
    <t>(46) Sewerage connections new buildings are financed via groundexploitation.</t>
  </si>
  <si>
    <t>(47) Different per service: water supply, sewerage, waste water treatment.</t>
  </si>
  <si>
    <t>(48) Maximised WACC (drinking water).</t>
  </si>
  <si>
    <t>(49) Not applicable: in the Netherlands 100% acces=100% connected.</t>
  </si>
  <si>
    <t>(50) IBA.</t>
  </si>
  <si>
    <t>(51) Regulator.</t>
  </si>
  <si>
    <t>(52) Individual septic tanks.</t>
  </si>
  <si>
    <t>(53) EU investment grants, local and national funds for invest.</t>
  </si>
  <si>
    <t>(54) Only for wastewater service, not for water service.</t>
  </si>
  <si>
    <t>(55) Septic tank.</t>
  </si>
  <si>
    <t>(56) Government and municipalities.</t>
  </si>
  <si>
    <t>(57) In some cases, the water operator (in sewage and WWT) is a regional institution.</t>
  </si>
  <si>
    <t>(58) In some cases, the waterpricing (in sewage and WWT) is set by regional institution.</t>
  </si>
  <si>
    <t>(61) Cesspool, etc.</t>
  </si>
  <si>
    <t>(63) Local private treatment facility.</t>
  </si>
  <si>
    <t>(64) Ministry of Water &amp; Environment.</t>
  </si>
  <si>
    <t>(65) Development Partners.</t>
  </si>
  <si>
    <t>(66) The tariff covers operating costs, depreciation and minor capital expenditure.</t>
  </si>
  <si>
    <t>(67) Through tariff indexation.</t>
  </si>
  <si>
    <t>(68) The tariff is indexed depending on changes in the macro-economic environment such as inflation, exchange rate and changes in the electricity tariff.</t>
  </si>
  <si>
    <t>(69) On site sanitation facilities such as septic tanks and pit latrines.</t>
  </si>
  <si>
    <t>(70) Cross subsidy on the tariff.</t>
  </si>
  <si>
    <t>(71) Government contribution to capital investments.</t>
  </si>
  <si>
    <t>(72) The State, development partners and utility.</t>
  </si>
  <si>
    <t>(73) Most common approach.</t>
  </si>
  <si>
    <t>(74) Becoming more popular.</t>
  </si>
  <si>
    <t>(75) Rare; limiting of rate adjustments thereby limiting prices.</t>
  </si>
  <si>
    <t>(76) The public supplier is a public corporation owned by Scottish Government. Government sets policy objectives and principles for charging.</t>
  </si>
  <si>
    <t>(77) Independent Water Industry Commission sets prices.</t>
  </si>
  <si>
    <t>(78) The WICS agrees an investment plan with Scottish Water and the other regulators.</t>
  </si>
  <si>
    <t xml:space="preserve">(80) Cost reflexive pricing for both households and businesses. Households pay banded flat charges, businesses pay flat rate plus volume charges. Price cap is used. </t>
  </si>
  <si>
    <t>(81) Some private supply is very small scale eg individual wells or septic tanks. Other systems are larger and serve and are owned by relevant rural communities.</t>
  </si>
  <si>
    <t xml:space="preserve">(82) There is limited support for private water supply, usually these costs are borne by the relevant households and businesses. There is a formula to support owners / developers who want to connect to the network.  </t>
  </si>
  <si>
    <t>Average household size in 2014 and 2016</t>
  </si>
  <si>
    <r>
      <t>*</t>
    </r>
    <r>
      <rPr>
        <u/>
        <sz val="12"/>
        <color theme="1"/>
        <rFont val="Calibri"/>
        <family val="2"/>
        <scheme val="minor"/>
      </rPr>
      <t>Footnote</t>
    </r>
    <r>
      <rPr>
        <sz val="12"/>
        <color theme="1"/>
        <rFont val="Calibri"/>
        <family val="2"/>
        <scheme val="minor"/>
      </rPr>
      <t>: Total delivery without unbilled water / water losses and exported water</t>
    </r>
  </si>
  <si>
    <t>fixed charge drinking water</t>
  </si>
  <si>
    <t>variable charge drinking water</t>
  </si>
  <si>
    <t>F. Ruivo, P. Silvério and D. Alves, ERSAR</t>
  </si>
  <si>
    <t>ABSTRACTION FOR WATER SUPPLY ACCORDING TO SOURCE IN 2014 AND 2016</t>
  </si>
  <si>
    <t>Provincia de Salta</t>
  </si>
  <si>
    <t>La Rioja</t>
  </si>
  <si>
    <t>Mar del Plata</t>
  </si>
  <si>
    <t>Jujuy</t>
  </si>
  <si>
    <t>Santiago del Estero</t>
  </si>
  <si>
    <t>Provincia Buenos Aires</t>
  </si>
  <si>
    <t>Sao Paulo</t>
  </si>
  <si>
    <t>Macao, China average</t>
  </si>
  <si>
    <t>Malta average</t>
  </si>
  <si>
    <t>Russia average</t>
  </si>
  <si>
    <t>Brazil average</t>
  </si>
  <si>
    <t>Netherlands average</t>
  </si>
  <si>
    <t>Sao Paulo State</t>
  </si>
  <si>
    <t>Kenya average</t>
  </si>
  <si>
    <t>Thailand average</t>
  </si>
  <si>
    <t>Total charges for 160 cities in 2015</t>
  </si>
  <si>
    <t>AVERAGE</t>
  </si>
  <si>
    <t>Currency rate at 31/12/2015</t>
  </si>
  <si>
    <t>Sewerage</t>
  </si>
  <si>
    <t>Environmental charges</t>
  </si>
  <si>
    <t>VAT and other taxes</t>
  </si>
  <si>
    <t>Av. VAT and other taxes</t>
  </si>
  <si>
    <t>GDP 2015</t>
  </si>
  <si>
    <t>currency rate 2015</t>
  </si>
  <si>
    <t>Fix.ch. 2015</t>
  </si>
  <si>
    <t>Var. ch. 2015</t>
  </si>
  <si>
    <t>Oth. ch. DW 2015</t>
  </si>
  <si>
    <t>Total. ch. DW 2015</t>
  </si>
  <si>
    <t>Sew. 2015</t>
  </si>
  <si>
    <t>WW 2015</t>
  </si>
  <si>
    <t>WW 2016</t>
  </si>
  <si>
    <t>Other ch. 2015</t>
  </si>
  <si>
    <t>Environmental ch. 2015</t>
  </si>
  <si>
    <t>VAT 2015</t>
  </si>
  <si>
    <t>total charge 2015</t>
  </si>
  <si>
    <t>Av. Fix.ch. 2013</t>
  </si>
  <si>
    <t>Av. Var. ch. 2013</t>
  </si>
  <si>
    <t>Av. Oth. ch. DW 2013</t>
  </si>
  <si>
    <t>Av. Total. ch. DW 2013</t>
  </si>
  <si>
    <t>Av. Sew. 2013</t>
  </si>
  <si>
    <t>Av. WW 2013</t>
  </si>
  <si>
    <t>Av. Other ch. 2013</t>
  </si>
  <si>
    <t>Av. VAT 2013</t>
  </si>
  <si>
    <t>Av. total charge 2013</t>
  </si>
  <si>
    <t>Shirak</t>
  </si>
  <si>
    <t>Lori</t>
  </si>
  <si>
    <t>other cities</t>
  </si>
  <si>
    <t>Brazil 1</t>
  </si>
  <si>
    <t>Brasilia Federal District</t>
  </si>
  <si>
    <t>Lefkosia</t>
  </si>
  <si>
    <t>Lemesos</t>
  </si>
  <si>
    <t>uniform rate &lt; 120 m³</t>
  </si>
  <si>
    <t>separate tariffs for sewerage (tariff to municipality) and for sewage treatment (tariff to water board)</t>
  </si>
  <si>
    <t>Cluj</t>
  </si>
  <si>
    <t>Tg Mures</t>
  </si>
  <si>
    <t>Severin</t>
  </si>
  <si>
    <t>Bucuresti</t>
  </si>
  <si>
    <t>COUNTRY/REGION</t>
  </si>
  <si>
    <t>TOWN/CITY</t>
  </si>
  <si>
    <t>GDP PER CAPITA IN US$</t>
  </si>
  <si>
    <t>FIXED CHARGE</t>
  </si>
  <si>
    <t>VARIABLE CHARGE</t>
  </si>
  <si>
    <t>OTHER CHARGES DRINKING WATER</t>
  </si>
  <si>
    <t>TOTAL CHARGE DRINKING WATER</t>
  </si>
  <si>
    <t>ENVIRONMENTAL CHARGES</t>
  </si>
  <si>
    <t>VAT &amp; OTHER TAXES</t>
  </si>
  <si>
    <t>TOTAL ANNUAL CHARGES 100 m³</t>
  </si>
  <si>
    <t>TOTAL ANNUAL CHARGES 200 m³</t>
  </si>
  <si>
    <t>Total charge drinking water for 160 cities in 2015</t>
  </si>
  <si>
    <t>Total charges for the capitals in 2015</t>
  </si>
  <si>
    <t>Total charges for 170 cities in 2015</t>
  </si>
  <si>
    <t>Currency rate at 31/12/2013</t>
  </si>
  <si>
    <t>Av. Fix.ch. 2015</t>
  </si>
  <si>
    <t>Av. Var. ch. 2015</t>
  </si>
  <si>
    <t>Av. Oth. ch. DW 2015</t>
  </si>
  <si>
    <t>Av. Total. ch. DW 2015</t>
  </si>
  <si>
    <t>Av. Sew. 2015</t>
  </si>
  <si>
    <t>Av. WW 2015</t>
  </si>
  <si>
    <t>Av. Other ch. 2015</t>
  </si>
  <si>
    <t>Av. VAT 2015</t>
  </si>
  <si>
    <t>Av. total charge 2015</t>
  </si>
  <si>
    <t>Total charge drinking water for 165 cities in 2015</t>
  </si>
  <si>
    <t xml:space="preserve">Chile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</si>
</sst>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164" formatCode="_ &quot;€&quot;\ * #,##0.00_ ;_ &quot;€&quot;\ * \-#,##0.00_ ;_ &quot;€&quot;\ * &quot;-&quot;??_ ;_ @_ "/>
    <numFmt numFmtId="165" formatCode="_ * #,##0.00_ ;_ * \-#,##0.00_ ;_ * &quot;-&quot;??_ ;_ @_ "/>
    <numFmt numFmtId="166" formatCode="_ * #,##0_ ;_ * \-#,##0_ ;_ * &quot;-&quot;??_ ;_ @_ "/>
    <numFmt numFmtId="167" formatCode="#,##0.0000"/>
    <numFmt numFmtId="168" formatCode="_ * #,##0.000_ ;_ * \-#,##0.000_ ;_ * &quot;-&quot;??_ ;_ @_ "/>
    <numFmt numFmtId="169" formatCode="0.00000"/>
    <numFmt numFmtId="170" formatCode="_ * #,##0.00000_ ;_ * \-#,##0.00000_ ;_ * &quot;-&quot;??_ ;_ @_ "/>
    <numFmt numFmtId="171" formatCode="_ * #,##0.0_ ;_ * \-#,##0.0_ ;_ * &quot;-&quot;??_ ;_ @_ "/>
  </numFmts>
  <fonts count="52" x14ac:knownFonts="1">
    <font>
      <sz val="11"/>
      <color theme="1"/>
      <name val="Calibri"/>
      <family val="2"/>
      <scheme val="minor"/>
    </font>
    <font>
      <sz val="10"/>
      <name val="Arial"/>
      <family val="2"/>
    </font>
    <font>
      <b/>
      <sz val="14"/>
      <color theme="1"/>
      <name val="Calibri"/>
      <family val="2"/>
      <scheme val="minor"/>
    </font>
    <font>
      <sz val="12"/>
      <color theme="1"/>
      <name val="Calibri"/>
      <family val="2"/>
      <scheme val="minor"/>
    </font>
    <font>
      <sz val="12"/>
      <name val="Calibri"/>
      <family val="2"/>
      <scheme val="minor"/>
    </font>
    <font>
      <sz val="11"/>
      <color theme="1"/>
      <name val="Calibri"/>
      <family val="2"/>
      <scheme val="minor"/>
    </font>
    <font>
      <sz val="9"/>
      <color indexed="81"/>
      <name val="Tahoma"/>
      <family val="2"/>
    </font>
    <font>
      <b/>
      <sz val="9"/>
      <color indexed="81"/>
      <name val="Tahoma"/>
      <family val="2"/>
    </font>
    <font>
      <sz val="12"/>
      <color rgb="FFFF0000"/>
      <name val="Calibri"/>
      <family val="2"/>
      <scheme val="minor"/>
    </font>
    <font>
      <b/>
      <sz val="12"/>
      <color theme="1"/>
      <name val="Calibri"/>
      <family val="2"/>
      <scheme val="minor"/>
    </font>
    <font>
      <sz val="14"/>
      <color theme="1"/>
      <name val="Calibri"/>
      <family val="2"/>
      <scheme val="minor"/>
    </font>
    <font>
      <b/>
      <sz val="12"/>
      <color theme="0"/>
      <name val="Calibri"/>
      <family val="2"/>
      <scheme val="minor"/>
    </font>
    <font>
      <sz val="10"/>
      <color indexed="8"/>
      <name val="Arial"/>
      <family val="2"/>
    </font>
    <font>
      <sz val="11"/>
      <color indexed="8"/>
      <name val="Calibri"/>
      <family val="2"/>
      <scheme val="minor"/>
    </font>
    <font>
      <sz val="11"/>
      <name val="Calibri"/>
      <family val="2"/>
      <scheme val="minor"/>
    </font>
    <font>
      <sz val="10"/>
      <color theme="1"/>
      <name val="Arial"/>
      <family val="2"/>
    </font>
    <font>
      <b/>
      <sz val="14"/>
      <color rgb="FFFF0000"/>
      <name val="Calibri"/>
      <family val="2"/>
      <scheme val="minor"/>
    </font>
    <font>
      <b/>
      <sz val="11"/>
      <color rgb="FFFF0000"/>
      <name val="Calibri"/>
      <family val="2"/>
      <scheme val="minor"/>
    </font>
    <font>
      <b/>
      <sz val="18"/>
      <color theme="1"/>
      <name val="Calibri"/>
      <family val="2"/>
      <scheme val="minor"/>
    </font>
    <font>
      <b/>
      <u/>
      <sz val="11"/>
      <name val="Arial"/>
      <family val="2"/>
    </font>
    <font>
      <b/>
      <sz val="10"/>
      <color indexed="60"/>
      <name val="Arial"/>
      <family val="2"/>
    </font>
    <font>
      <b/>
      <i/>
      <sz val="10"/>
      <name val="Arial"/>
      <family val="2"/>
    </font>
    <font>
      <sz val="10"/>
      <color indexed="60"/>
      <name val="Arial"/>
      <family val="2"/>
    </font>
    <font>
      <b/>
      <sz val="10"/>
      <name val="Arial"/>
      <family val="2"/>
    </font>
    <font>
      <sz val="10"/>
      <name val="Verdana"/>
      <family val="2"/>
    </font>
    <font>
      <sz val="10"/>
      <color indexed="62"/>
      <name val="Arial"/>
      <family val="2"/>
    </font>
    <font>
      <sz val="10"/>
      <color indexed="10"/>
      <name val="Arial"/>
      <family val="2"/>
      <charset val="1"/>
    </font>
    <font>
      <sz val="10"/>
      <name val="Arial"/>
      <family val="2"/>
      <charset val="1"/>
    </font>
    <font>
      <sz val="10"/>
      <color indexed="10"/>
      <name val="Arial"/>
      <family val="2"/>
    </font>
    <font>
      <sz val="12"/>
      <name val="Arial"/>
      <family val="2"/>
    </font>
    <font>
      <sz val="10"/>
      <name val="Tahoma"/>
      <family val="2"/>
    </font>
    <font>
      <b/>
      <sz val="14"/>
      <name val="Arial"/>
      <family val="2"/>
    </font>
    <font>
      <sz val="14"/>
      <name val="Calibri"/>
      <family val="2"/>
      <scheme val="minor"/>
    </font>
    <font>
      <b/>
      <sz val="14"/>
      <name val="Calibri"/>
      <family val="2"/>
      <scheme val="minor"/>
    </font>
    <font>
      <sz val="11"/>
      <color rgb="FFFF0000"/>
      <name val="Calibri"/>
      <family val="2"/>
      <scheme val="minor"/>
    </font>
    <font>
      <sz val="10"/>
      <color rgb="FFFF0000"/>
      <name val="Arial"/>
      <family val="2"/>
    </font>
    <font>
      <sz val="9"/>
      <color rgb="FFFF0000"/>
      <name val="Calibri"/>
      <family val="2"/>
      <scheme val="minor"/>
    </font>
    <font>
      <sz val="16"/>
      <color theme="1"/>
      <name val="Calibri"/>
      <family val="2"/>
      <scheme val="minor"/>
    </font>
    <font>
      <sz val="12"/>
      <color rgb="FF000000"/>
      <name val="Calibri"/>
      <family val="2"/>
    </font>
    <font>
      <sz val="12"/>
      <color theme="1"/>
      <name val="Calibri"/>
      <family val="2"/>
      <scheme val="minor"/>
    </font>
    <font>
      <sz val="10"/>
      <color rgb="FFFF0000"/>
      <name val="Calibri"/>
      <family val="2"/>
      <scheme val="minor"/>
    </font>
    <font>
      <i/>
      <sz val="11"/>
      <color theme="1"/>
      <name val="Calibri"/>
      <family val="2"/>
      <scheme val="minor"/>
    </font>
    <font>
      <strike/>
      <sz val="11"/>
      <name val="Calibri"/>
      <family val="2"/>
      <scheme val="minor"/>
    </font>
    <font>
      <u/>
      <sz val="11"/>
      <color theme="1"/>
      <name val="Calibri"/>
      <family val="2"/>
      <scheme val="minor"/>
    </font>
    <font>
      <u/>
      <sz val="12"/>
      <color theme="1"/>
      <name val="Calibri"/>
      <family val="2"/>
      <scheme val="minor"/>
    </font>
    <font>
      <b/>
      <sz val="12"/>
      <color rgb="FFFF0000"/>
      <name val="Calibri"/>
      <family val="2"/>
      <scheme val="minor"/>
    </font>
    <font>
      <b/>
      <i/>
      <sz val="14"/>
      <color theme="1"/>
      <name val="Calibri"/>
      <family val="2"/>
      <scheme val="minor"/>
    </font>
    <font>
      <i/>
      <sz val="12"/>
      <color theme="1"/>
      <name val="Calibri"/>
      <family val="2"/>
      <scheme val="minor"/>
    </font>
    <font>
      <i/>
      <sz val="12"/>
      <name val="Calibri"/>
      <family val="2"/>
      <scheme val="minor"/>
    </font>
    <font>
      <i/>
      <sz val="12"/>
      <color rgb="FFFF0000"/>
      <name val="Calibri"/>
      <family val="2"/>
      <scheme val="minor"/>
    </font>
    <font>
      <sz val="12"/>
      <name val="Calibri"/>
      <family val="2"/>
      <scheme val="minor"/>
    </font>
    <font>
      <sz val="12"/>
      <color theme="1"/>
      <name val="Calibri"/>
      <family val="2"/>
      <scheme val="minor"/>
    </font>
  </fonts>
  <fills count="49">
    <fill>
      <patternFill patternType="none"/>
    </fill>
    <fill>
      <patternFill patternType="gray125"/>
    </fill>
    <fill>
      <patternFill patternType="solid">
        <fgColor rgb="FFFFC000"/>
        <bgColor indexed="64"/>
      </patternFill>
    </fill>
    <fill>
      <patternFill patternType="solid">
        <fgColor rgb="FF92D050"/>
        <bgColor indexed="64"/>
      </patternFill>
    </fill>
    <fill>
      <patternFill patternType="solid">
        <fgColor theme="3" tint="0.59999389629810485"/>
        <bgColor indexed="64"/>
      </patternFill>
    </fill>
    <fill>
      <patternFill patternType="solid">
        <fgColor rgb="FFFF3300"/>
        <bgColor indexed="64"/>
      </patternFill>
    </fill>
    <fill>
      <patternFill patternType="solid">
        <fgColor theme="5" tint="0.79998168889431442"/>
        <bgColor indexed="64"/>
      </patternFill>
    </fill>
    <fill>
      <patternFill patternType="solid">
        <fgColor theme="3" tint="0.39997558519241921"/>
        <bgColor indexed="64"/>
      </patternFill>
    </fill>
    <fill>
      <patternFill patternType="solid">
        <fgColor theme="3"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rgb="FFFF0000"/>
        <bgColor indexed="64"/>
      </patternFill>
    </fill>
    <fill>
      <patternFill patternType="gray0625">
        <bgColor rgb="FFFF0000"/>
      </patternFill>
    </fill>
    <fill>
      <patternFill patternType="solid">
        <fgColor theme="4"/>
        <bgColor theme="4"/>
      </patternFill>
    </fill>
    <fill>
      <patternFill patternType="solid">
        <fgColor theme="8" tint="0.39997558519241921"/>
        <bgColor indexed="64"/>
      </patternFill>
    </fill>
    <fill>
      <patternFill patternType="solid">
        <fgColor theme="8" tint="-0.249977111117893"/>
        <bgColor indexed="64"/>
      </patternFill>
    </fill>
    <fill>
      <patternFill patternType="solid">
        <fgColor theme="8" tint="-0.499984740745262"/>
        <bgColor indexed="64"/>
      </patternFill>
    </fill>
    <fill>
      <patternFill patternType="gray0625">
        <bgColor theme="8" tint="0.39997558519241921"/>
      </patternFill>
    </fill>
    <fill>
      <patternFill patternType="gray0625">
        <bgColor theme="8" tint="-0.499984740745262"/>
      </patternFill>
    </fill>
    <fill>
      <patternFill patternType="solid">
        <fgColor rgb="FFFFFF66"/>
        <bgColor indexed="64"/>
      </patternFill>
    </fill>
    <fill>
      <patternFill patternType="solid">
        <fgColor rgb="FFF40CA1"/>
        <bgColor indexed="64"/>
      </patternFill>
    </fill>
    <fill>
      <patternFill patternType="gray125">
        <bgColor theme="3" tint="0.39991454817346722"/>
      </patternFill>
    </fill>
    <fill>
      <patternFill patternType="solid">
        <fgColor theme="7" tint="-0.249977111117893"/>
        <bgColor indexed="64"/>
      </patternFill>
    </fill>
    <fill>
      <patternFill patternType="gray125">
        <bgColor rgb="FF00B0F0"/>
      </patternFill>
    </fill>
    <fill>
      <patternFill patternType="solid">
        <fgColor theme="9" tint="-0.249977111117893"/>
        <bgColor indexed="64"/>
      </patternFill>
    </fill>
    <fill>
      <patternFill patternType="solid">
        <fgColor theme="8" tint="0.79998168889431442"/>
        <bgColor indexed="64"/>
      </patternFill>
    </fill>
    <fill>
      <patternFill patternType="solid">
        <fgColor rgb="FF00B050"/>
        <bgColor indexed="64"/>
      </patternFill>
    </fill>
    <fill>
      <patternFill patternType="solid">
        <fgColor theme="7" tint="0.79998168889431442"/>
        <bgColor indexed="64"/>
      </patternFill>
    </fill>
    <fill>
      <patternFill patternType="gray0625">
        <bgColor rgb="FFFF3300"/>
      </patternFill>
    </fill>
    <fill>
      <patternFill patternType="gray0625">
        <bgColor rgb="FFFFC000"/>
      </patternFill>
    </fill>
    <fill>
      <patternFill patternType="gray0625">
        <bgColor rgb="FF92D050"/>
      </patternFill>
    </fill>
    <fill>
      <patternFill patternType="gray0625">
        <bgColor theme="3" tint="0.39991454817346722"/>
      </patternFill>
    </fill>
    <fill>
      <patternFill patternType="gray0625">
        <bgColor theme="7" tint="0.39997558519241921"/>
      </patternFill>
    </fill>
    <fill>
      <patternFill patternType="gray0625">
        <bgColor theme="7" tint="-0.249977111117893"/>
      </patternFill>
    </fill>
    <fill>
      <patternFill patternType="gray0625">
        <bgColor rgb="FFFFFF66"/>
      </patternFill>
    </fill>
    <fill>
      <patternFill patternType="gray0625">
        <bgColor rgb="FFF40CA1"/>
      </patternFill>
    </fill>
    <fill>
      <patternFill patternType="gray0625">
        <bgColor rgb="FF00B0F0"/>
      </patternFill>
    </fill>
    <fill>
      <patternFill patternType="gray0625">
        <bgColor theme="3" tint="0.39997558519241921"/>
      </patternFill>
    </fill>
    <fill>
      <patternFill patternType="solid">
        <fgColor theme="2" tint="-9.9978637043366805E-2"/>
        <bgColor indexed="64"/>
      </patternFill>
    </fill>
    <fill>
      <patternFill patternType="solid">
        <fgColor indexed="22"/>
        <bgColor indexed="55"/>
      </patternFill>
    </fill>
    <fill>
      <patternFill patternType="gray125">
        <bgColor rgb="FFF40CA1"/>
      </patternFill>
    </fill>
    <fill>
      <patternFill patternType="solid">
        <fgColor rgb="FFFBA7DD"/>
        <bgColor indexed="64"/>
      </patternFill>
    </fill>
    <fill>
      <patternFill patternType="gray0625">
        <bgColor rgb="FFFBA7DD"/>
      </patternFill>
    </fill>
    <fill>
      <patternFill patternType="solid">
        <fgColor theme="4" tint="0.79998168889431442"/>
        <bgColor theme="4" tint="0.79998168889431442"/>
      </patternFill>
    </fill>
    <fill>
      <patternFill patternType="gray125">
        <bgColor rgb="FF0070C0"/>
      </patternFill>
    </fill>
    <fill>
      <patternFill patternType="gray125">
        <bgColor rgb="FFFFFF00"/>
      </patternFill>
    </fill>
    <fill>
      <patternFill patternType="gray125">
        <bgColor rgb="FFFFC000"/>
      </patternFill>
    </fill>
    <fill>
      <patternFill patternType="solid">
        <fgColor theme="0"/>
        <bgColor indexed="64"/>
      </patternFill>
    </fill>
    <fill>
      <patternFill patternType="gray125">
        <bgColor theme="0"/>
      </patternFill>
    </fill>
  </fills>
  <borders count="311">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style="thin">
        <color auto="1"/>
      </right>
      <top/>
      <bottom/>
      <diagonal/>
    </border>
    <border>
      <left/>
      <right style="thin">
        <color theme="4"/>
      </right>
      <top style="thin">
        <color theme="4"/>
      </top>
      <bottom style="medium">
        <color theme="4"/>
      </bottom>
      <diagonal/>
    </border>
    <border>
      <left/>
      <right style="thin">
        <color theme="4"/>
      </right>
      <top/>
      <bottom style="thin">
        <color theme="4"/>
      </bottom>
      <diagonal/>
    </border>
    <border>
      <left/>
      <right/>
      <top/>
      <bottom style="thin">
        <color theme="4"/>
      </bottom>
      <diagonal/>
    </border>
    <border>
      <left style="thin">
        <color rgb="FF4F81BD"/>
      </left>
      <right style="thin">
        <color theme="4"/>
      </right>
      <top style="thin">
        <color theme="4"/>
      </top>
      <bottom style="medium">
        <color theme="4"/>
      </bottom>
      <diagonal/>
    </border>
    <border>
      <left style="thin">
        <color rgb="FF4F81BD"/>
      </left>
      <right style="thin">
        <color theme="4"/>
      </right>
      <top/>
      <bottom style="thin">
        <color theme="4"/>
      </bottom>
      <diagonal/>
    </border>
    <border>
      <left style="thin">
        <color rgb="FF4F81BD"/>
      </left>
      <right style="medium">
        <color indexed="8"/>
      </right>
      <top style="thin">
        <color theme="4"/>
      </top>
      <bottom/>
      <diagonal/>
    </border>
    <border>
      <left style="thin">
        <color rgb="FF4F81BD"/>
      </left>
      <right style="medium">
        <color indexed="8"/>
      </right>
      <top/>
      <bottom/>
      <diagonal/>
    </border>
    <border>
      <left style="thin">
        <color rgb="FF4F81BD"/>
      </left>
      <right style="medium">
        <color indexed="8"/>
      </right>
      <top/>
      <bottom style="thin">
        <color theme="4"/>
      </bottom>
      <diagonal/>
    </border>
    <border>
      <left/>
      <right style="medium">
        <color indexed="8"/>
      </right>
      <top/>
      <bottom/>
      <diagonal/>
    </border>
    <border>
      <left style="thin">
        <color rgb="FF4F81BD"/>
      </left>
      <right/>
      <top/>
      <bottom/>
      <diagonal/>
    </border>
    <border>
      <left style="thin">
        <color rgb="FF4F81BD"/>
      </left>
      <right/>
      <top style="thin">
        <color theme="4"/>
      </top>
      <bottom/>
      <diagonal/>
    </border>
    <border>
      <left style="thin">
        <color rgb="FF4F81BD"/>
      </left>
      <right/>
      <top/>
      <bottom style="thin">
        <color theme="4"/>
      </bottom>
      <diagonal/>
    </border>
    <border>
      <left style="thin">
        <color rgb="FF4F81BD"/>
      </left>
      <right style="thin">
        <color theme="4"/>
      </right>
      <top style="thin">
        <color theme="4"/>
      </top>
      <bottom/>
      <diagonal/>
    </border>
    <border>
      <left style="thin">
        <color rgb="FF4F81BD"/>
      </left>
      <right style="thin">
        <color theme="4"/>
      </right>
      <top/>
      <bottom/>
      <diagonal/>
    </border>
    <border>
      <left style="medium">
        <color auto="1"/>
      </left>
      <right style="medium">
        <color auto="1"/>
      </right>
      <top style="medium">
        <color auto="1"/>
      </top>
      <bottom style="medium">
        <color auto="1"/>
      </bottom>
      <diagonal/>
    </border>
    <border>
      <left style="thin">
        <color rgb="FF4F81BD"/>
      </left>
      <right/>
      <top style="thin">
        <color theme="4"/>
      </top>
      <bottom style="medium">
        <color theme="4"/>
      </bottom>
      <diagonal/>
    </border>
    <border>
      <left style="medium">
        <color indexed="64"/>
      </left>
      <right/>
      <top/>
      <bottom/>
      <diagonal/>
    </border>
    <border>
      <left style="medium">
        <color indexed="64"/>
      </left>
      <right/>
      <top/>
      <bottom style="thin">
        <color indexed="64"/>
      </bottom>
      <diagonal/>
    </border>
    <border>
      <left style="medium">
        <color indexed="8"/>
      </left>
      <right/>
      <top style="medium">
        <color indexed="8"/>
      </top>
      <bottom/>
      <diagonal/>
    </border>
    <border>
      <left style="medium">
        <color indexed="8"/>
      </left>
      <right/>
      <top/>
      <bottom/>
      <diagonal/>
    </border>
    <border>
      <left style="medium">
        <color indexed="8"/>
      </left>
      <right/>
      <top/>
      <bottom style="medium">
        <color indexed="8"/>
      </bottom>
      <diagonal/>
    </border>
    <border>
      <left style="medium">
        <color indexed="8"/>
      </left>
      <right/>
      <top style="medium">
        <color indexed="8"/>
      </top>
      <bottom style="medium">
        <color indexed="8"/>
      </bottom>
      <diagonal/>
    </border>
    <border>
      <left style="medium">
        <color indexed="64"/>
      </left>
      <right/>
      <top style="thin">
        <color indexed="64"/>
      </top>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style="medium">
        <color auto="1"/>
      </right>
      <top/>
      <bottom style="thin">
        <color theme="0"/>
      </bottom>
      <diagonal/>
    </border>
    <border>
      <left style="medium">
        <color auto="1"/>
      </left>
      <right style="medium">
        <color auto="1"/>
      </right>
      <top style="thin">
        <color theme="0"/>
      </top>
      <bottom style="thin">
        <color theme="0"/>
      </bottom>
      <diagonal/>
    </border>
    <border>
      <left style="medium">
        <color indexed="8"/>
      </left>
      <right style="medium">
        <color auto="1"/>
      </right>
      <top/>
      <bottom style="medium">
        <color indexed="8"/>
      </bottom>
      <diagonal/>
    </border>
    <border>
      <left style="medium">
        <color auto="1"/>
      </left>
      <right style="medium">
        <color auto="1"/>
      </right>
      <top style="thin">
        <color theme="0"/>
      </top>
      <bottom/>
      <diagonal/>
    </border>
    <border>
      <left style="medium">
        <color auto="1"/>
      </left>
      <right style="medium">
        <color auto="1"/>
      </right>
      <top style="medium">
        <color auto="1"/>
      </top>
      <bottom style="medium">
        <color theme="0"/>
      </bottom>
      <diagonal/>
    </border>
    <border>
      <left style="thin">
        <color theme="0"/>
      </left>
      <right style="thin">
        <color theme="0"/>
      </right>
      <top/>
      <bottom/>
      <diagonal/>
    </border>
    <border>
      <left style="thin">
        <color theme="0"/>
      </left>
      <right style="thin">
        <color theme="0"/>
      </right>
      <top style="thin">
        <color theme="0"/>
      </top>
      <bottom style="thin">
        <color theme="0"/>
      </bottom>
      <diagonal/>
    </border>
    <border>
      <left/>
      <right/>
      <top style="thin">
        <color theme="4"/>
      </top>
      <bottom/>
      <diagonal/>
    </border>
    <border>
      <left/>
      <right style="medium">
        <color indexed="64"/>
      </right>
      <top/>
      <bottom/>
      <diagonal/>
    </border>
    <border>
      <left style="medium">
        <color indexed="8"/>
      </left>
      <right/>
      <top/>
      <bottom/>
      <diagonal/>
    </border>
    <border>
      <left style="medium">
        <color auto="1"/>
      </left>
      <right style="medium">
        <color auto="1"/>
      </right>
      <top/>
      <bottom/>
      <diagonal/>
    </border>
    <border>
      <left style="medium">
        <color indexed="8"/>
      </left>
      <right style="medium">
        <color auto="1"/>
      </right>
      <top/>
      <bottom/>
      <diagonal/>
    </border>
    <border>
      <left style="medium">
        <color indexed="8"/>
      </left>
      <right style="medium">
        <color auto="1"/>
      </right>
      <top/>
      <bottom/>
      <diagonal/>
    </border>
    <border>
      <left style="medium">
        <color indexed="64"/>
      </left>
      <right style="medium">
        <color indexed="64"/>
      </right>
      <top/>
      <bottom/>
      <diagonal/>
    </border>
    <border>
      <left style="medium">
        <color indexed="8"/>
      </left>
      <right style="medium">
        <color auto="1"/>
      </right>
      <top/>
      <bottom style="medium">
        <color indexed="8"/>
      </bottom>
      <diagonal/>
    </border>
    <border>
      <left style="medium">
        <color auto="1"/>
      </left>
      <right style="medium">
        <color auto="1"/>
      </right>
      <top style="medium">
        <color theme="0"/>
      </top>
      <bottom/>
      <diagonal/>
    </border>
    <border>
      <left style="thin">
        <color rgb="FF4F81BD"/>
      </left>
      <right style="thin">
        <color theme="0"/>
      </right>
      <top/>
      <bottom/>
      <diagonal/>
    </border>
    <border>
      <left/>
      <right style="thin">
        <color theme="0"/>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auto="1"/>
      </right>
      <top style="medium">
        <color theme="4"/>
      </top>
      <bottom/>
      <diagonal/>
    </border>
    <border>
      <left style="thin">
        <color theme="0"/>
      </left>
      <right/>
      <top style="thin">
        <color theme="0"/>
      </top>
      <bottom/>
      <diagonal/>
    </border>
    <border>
      <left style="medium">
        <color indexed="64"/>
      </left>
      <right style="medium">
        <color auto="1"/>
      </right>
      <top/>
      <bottom style="thin">
        <color indexed="64"/>
      </bottom>
      <diagonal/>
    </border>
    <border>
      <left style="medium">
        <color indexed="8"/>
      </left>
      <right style="medium">
        <color auto="1"/>
      </right>
      <top style="medium">
        <color indexed="8"/>
      </top>
      <bottom/>
      <diagonal/>
    </border>
    <border>
      <left style="medium">
        <color indexed="8"/>
      </left>
      <right style="medium">
        <color auto="1"/>
      </right>
      <top style="medium">
        <color indexed="8"/>
      </top>
      <bottom style="medium">
        <color indexed="8"/>
      </bottom>
      <diagonal/>
    </border>
    <border>
      <left style="medium">
        <color auto="1"/>
      </left>
      <right style="medium">
        <color auto="1"/>
      </right>
      <top style="medium">
        <color indexed="8"/>
      </top>
      <bottom style="medium">
        <color theme="1"/>
      </bottom>
      <diagonal/>
    </border>
    <border>
      <left style="medium">
        <color auto="1"/>
      </left>
      <right style="medium">
        <color auto="1"/>
      </right>
      <top style="medium">
        <color auto="1"/>
      </top>
      <bottom style="medium">
        <color auto="1"/>
      </bottom>
      <diagonal/>
    </border>
    <border>
      <left style="thin">
        <color indexed="64"/>
      </left>
      <right style="thin">
        <color indexed="64"/>
      </right>
      <top style="thin">
        <color indexed="64"/>
      </top>
      <bottom style="thin">
        <color indexed="64"/>
      </bottom>
      <diagonal/>
    </border>
    <border>
      <left style="medium">
        <color indexed="8"/>
      </left>
      <right/>
      <top style="medium">
        <color indexed="8"/>
      </top>
      <bottom/>
      <diagonal/>
    </border>
    <border>
      <left/>
      <right/>
      <top style="medium">
        <color indexed="8"/>
      </top>
      <bottom/>
      <diagonal/>
    </border>
    <border>
      <left/>
      <right style="medium">
        <color indexed="8"/>
      </right>
      <top style="medium">
        <color indexed="8"/>
      </top>
      <bottom/>
      <diagonal/>
    </border>
    <border>
      <left style="thin">
        <color indexed="8"/>
      </left>
      <right/>
      <top style="thin">
        <color indexed="8"/>
      </top>
      <bottom/>
      <diagonal/>
    </border>
    <border>
      <left/>
      <right/>
      <top style="thin">
        <color indexed="8"/>
      </top>
      <bottom/>
      <diagonal/>
    </border>
    <border>
      <left/>
      <right style="medium">
        <color indexed="8"/>
      </right>
      <top style="thin">
        <color indexed="8"/>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right/>
      <top/>
      <bottom style="thin">
        <color indexed="8"/>
      </bottom>
      <diagonal/>
    </border>
    <border>
      <left style="thin">
        <color indexed="8"/>
      </left>
      <right/>
      <top style="thin">
        <color indexed="8"/>
      </top>
      <bottom style="hair">
        <color indexed="8"/>
      </bottom>
      <diagonal/>
    </border>
    <border>
      <left/>
      <right/>
      <top style="thin">
        <color indexed="8"/>
      </top>
      <bottom style="hair">
        <color indexed="8"/>
      </bottom>
      <diagonal/>
    </border>
    <border>
      <left/>
      <right style="medium">
        <color indexed="8"/>
      </right>
      <top style="thin">
        <color indexed="8"/>
      </top>
      <bottom style="hair">
        <color indexed="8"/>
      </bottom>
      <diagonal/>
    </border>
    <border>
      <left style="thin">
        <color indexed="8"/>
      </left>
      <right/>
      <top/>
      <bottom style="hair">
        <color indexed="8"/>
      </bottom>
      <diagonal/>
    </border>
    <border>
      <left/>
      <right/>
      <top/>
      <bottom style="hair">
        <color indexed="8"/>
      </bottom>
      <diagonal/>
    </border>
    <border>
      <left/>
      <right style="medium">
        <color indexed="8"/>
      </right>
      <top/>
      <bottom style="hair">
        <color indexed="8"/>
      </bottom>
      <diagonal/>
    </border>
    <border>
      <left style="thin">
        <color indexed="8"/>
      </left>
      <right/>
      <top/>
      <bottom style="thin">
        <color indexed="8"/>
      </bottom>
      <diagonal/>
    </border>
    <border>
      <left/>
      <right style="medium">
        <color indexed="8"/>
      </right>
      <top/>
      <bottom style="thin">
        <color indexed="8"/>
      </bottom>
      <diagonal/>
    </border>
    <border>
      <left style="thin">
        <color indexed="8"/>
      </left>
      <right/>
      <top style="hair">
        <color indexed="8"/>
      </top>
      <bottom style="hair">
        <color indexed="8"/>
      </bottom>
      <diagonal/>
    </border>
    <border>
      <left/>
      <right/>
      <top style="hair">
        <color indexed="8"/>
      </top>
      <bottom style="hair">
        <color indexed="8"/>
      </bottom>
      <diagonal/>
    </border>
    <border>
      <left/>
      <right style="medium">
        <color indexed="8"/>
      </right>
      <top style="hair">
        <color indexed="8"/>
      </top>
      <bottom style="hair">
        <color indexed="8"/>
      </bottom>
      <diagonal/>
    </border>
    <border>
      <left style="thin">
        <color indexed="8"/>
      </left>
      <right/>
      <top style="hair">
        <color indexed="8"/>
      </top>
      <bottom style="thin">
        <color indexed="8"/>
      </bottom>
      <diagonal/>
    </border>
    <border>
      <left/>
      <right/>
      <top style="hair">
        <color indexed="8"/>
      </top>
      <bottom style="thin">
        <color indexed="8"/>
      </bottom>
      <diagonal/>
    </border>
    <border>
      <left/>
      <right style="medium">
        <color indexed="8"/>
      </right>
      <top style="hair">
        <color indexed="8"/>
      </top>
      <bottom style="thin">
        <color indexed="8"/>
      </bottom>
      <diagonal/>
    </border>
    <border>
      <left style="thin">
        <color indexed="8"/>
      </left>
      <right/>
      <top style="hair">
        <color indexed="8"/>
      </top>
      <bottom/>
      <diagonal/>
    </border>
    <border>
      <left/>
      <right/>
      <top style="hair">
        <color indexed="8"/>
      </top>
      <bottom/>
      <diagonal/>
    </border>
    <border>
      <left/>
      <right style="medium">
        <color indexed="8"/>
      </right>
      <top style="hair">
        <color indexed="8"/>
      </top>
      <bottom/>
      <diagonal/>
    </border>
    <border>
      <left style="medium">
        <color indexed="8"/>
      </left>
      <right style="medium">
        <color indexed="8"/>
      </right>
      <top style="medium">
        <color indexed="8"/>
      </top>
      <bottom/>
      <diagonal/>
    </border>
    <border>
      <left style="medium">
        <color indexed="8"/>
      </left>
      <right style="medium">
        <color indexed="8"/>
      </right>
      <top/>
      <bottom/>
      <diagonal/>
    </border>
    <border>
      <left style="medium">
        <color indexed="8"/>
      </left>
      <right style="medium">
        <color indexed="8"/>
      </right>
      <top style="thin">
        <color indexed="8"/>
      </top>
      <bottom/>
      <diagonal/>
    </border>
    <border>
      <left style="medium">
        <color indexed="8"/>
      </left>
      <right style="medium">
        <color indexed="8"/>
      </right>
      <top/>
      <bottom style="thin">
        <color indexed="8"/>
      </bottom>
      <diagonal/>
    </border>
    <border>
      <left/>
      <right style="medium">
        <color indexed="8"/>
      </right>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top style="medium">
        <color indexed="8"/>
      </top>
      <bottom style="thin">
        <color indexed="8"/>
      </bottom>
      <diagonal/>
    </border>
    <border>
      <left style="medium">
        <color indexed="8"/>
      </left>
      <right style="medium">
        <color indexed="8"/>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8"/>
      </right>
      <top style="thin">
        <color indexed="8"/>
      </top>
      <bottom/>
      <diagonal/>
    </border>
    <border>
      <left style="medium">
        <color indexed="8"/>
      </left>
      <right style="thin">
        <color indexed="8"/>
      </right>
      <top/>
      <bottom/>
      <diagonal/>
    </border>
    <border>
      <left style="medium">
        <color indexed="8"/>
      </left>
      <right style="thin">
        <color indexed="8"/>
      </right>
      <top/>
      <bottom style="medium">
        <color indexed="8"/>
      </bottom>
      <diagonal/>
    </border>
    <border>
      <left/>
      <right/>
      <top/>
      <bottom style="medium">
        <color indexed="8"/>
      </bottom>
      <diagonal/>
    </border>
    <border>
      <left style="medium">
        <color indexed="8"/>
      </left>
      <right style="medium">
        <color indexed="8"/>
      </right>
      <top/>
      <bottom style="medium">
        <color indexed="8"/>
      </bottom>
      <diagonal/>
    </border>
    <border>
      <left/>
      <right/>
      <top style="medium">
        <color indexed="8"/>
      </top>
      <bottom style="thin">
        <color indexed="8"/>
      </bottom>
      <diagonal/>
    </border>
    <border>
      <left style="medium">
        <color indexed="8"/>
      </left>
      <right/>
      <top style="thin">
        <color indexed="8"/>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style="medium">
        <color indexed="8"/>
      </left>
      <right style="thin">
        <color indexed="64"/>
      </right>
      <top/>
      <bottom style="thin">
        <color indexed="8"/>
      </bottom>
      <diagonal/>
    </border>
    <border>
      <left style="medium">
        <color indexed="8"/>
      </left>
      <right style="thin">
        <color indexed="64"/>
      </right>
      <top/>
      <bottom/>
      <diagonal/>
    </border>
    <border>
      <left style="medium">
        <color indexed="64"/>
      </left>
      <right style="thin">
        <color indexed="64"/>
      </right>
      <top style="thin">
        <color indexed="64"/>
      </top>
      <bottom style="thin">
        <color indexed="64"/>
      </bottom>
      <diagonal/>
    </border>
    <border>
      <left style="medium">
        <color indexed="8"/>
      </left>
      <right style="thin">
        <color indexed="64"/>
      </right>
      <top style="thin">
        <color indexed="64"/>
      </top>
      <bottom style="thin">
        <color indexed="64"/>
      </bottom>
      <diagonal/>
    </border>
    <border>
      <left style="medium">
        <color indexed="8"/>
      </left>
      <right style="thin">
        <color indexed="64"/>
      </right>
      <top/>
      <bottom style="thin">
        <color indexed="64"/>
      </bottom>
      <diagonal/>
    </border>
    <border>
      <left style="medium">
        <color indexed="8"/>
      </left>
      <right style="medium">
        <color indexed="64"/>
      </right>
      <top/>
      <bottom style="medium">
        <color indexed="8"/>
      </bottom>
      <diagonal/>
    </border>
    <border>
      <left style="medium">
        <color indexed="64"/>
      </left>
      <right/>
      <top/>
      <bottom/>
      <diagonal/>
    </border>
    <border>
      <left style="medium">
        <color indexed="64"/>
      </left>
      <right style="medium">
        <color indexed="64"/>
      </right>
      <top style="medium">
        <color indexed="64"/>
      </top>
      <bottom style="medium">
        <color indexed="64"/>
      </bottom>
      <diagonal/>
    </border>
    <border>
      <left style="medium">
        <color indexed="8"/>
      </left>
      <right style="thin">
        <color indexed="64"/>
      </right>
      <top/>
      <bottom/>
      <diagonal/>
    </border>
    <border>
      <left style="medium">
        <color indexed="8"/>
      </left>
      <right/>
      <top/>
      <bottom/>
      <diagonal/>
    </border>
    <border>
      <left style="medium">
        <color auto="1"/>
      </left>
      <right style="medium">
        <color auto="1"/>
      </right>
      <top/>
      <bottom/>
      <diagonal/>
    </border>
    <border>
      <left style="medium">
        <color indexed="64"/>
      </left>
      <right style="medium">
        <color indexed="64"/>
      </right>
      <top style="medium">
        <color indexed="64"/>
      </top>
      <bottom/>
      <diagonal/>
    </border>
    <border>
      <left style="thin">
        <color indexed="64"/>
      </left>
      <right/>
      <top/>
      <bottom/>
      <diagonal/>
    </border>
    <border>
      <left style="medium">
        <color indexed="64"/>
      </left>
      <right style="medium">
        <color indexed="8"/>
      </right>
      <top style="thin">
        <color indexed="64"/>
      </top>
      <bottom/>
      <diagonal/>
    </border>
    <border>
      <left style="medium">
        <color auto="1"/>
      </left>
      <right style="medium">
        <color auto="1"/>
      </right>
      <top style="medium">
        <color auto="1"/>
      </top>
      <bottom/>
      <diagonal/>
    </border>
    <border>
      <left style="medium">
        <color auto="1"/>
      </left>
      <right style="medium">
        <color auto="1"/>
      </right>
      <top/>
      <bottom style="medium">
        <color indexed="8"/>
      </bottom>
      <diagonal/>
    </border>
    <border>
      <left style="medium">
        <color indexed="8"/>
      </left>
      <right style="thin">
        <color indexed="8"/>
      </right>
      <top/>
      <bottom/>
      <diagonal/>
    </border>
    <border>
      <left style="medium">
        <color indexed="8"/>
      </left>
      <right style="medium">
        <color indexed="8"/>
      </right>
      <top/>
      <bottom/>
      <diagonal/>
    </border>
    <border>
      <left style="medium">
        <color indexed="8"/>
      </left>
      <right style="medium">
        <color auto="1"/>
      </right>
      <top/>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diagonal/>
    </border>
    <border>
      <left style="thin">
        <color rgb="FF4F81BD"/>
      </left>
      <right style="medium">
        <color auto="1"/>
      </right>
      <top style="thin">
        <color theme="4"/>
      </top>
      <bottom/>
      <diagonal/>
    </border>
    <border>
      <left style="thin">
        <color rgb="FF4F81BD"/>
      </left>
      <right style="medium">
        <color auto="1"/>
      </right>
      <top/>
      <bottom/>
      <diagonal/>
    </border>
    <border>
      <left style="thin">
        <color rgb="FF4F81BD"/>
      </left>
      <right style="medium">
        <color auto="1"/>
      </right>
      <top/>
      <bottom style="thin">
        <color theme="4"/>
      </bottom>
      <diagonal/>
    </border>
    <border>
      <left style="medium">
        <color indexed="64"/>
      </left>
      <right style="medium">
        <color indexed="64"/>
      </right>
      <top style="medium">
        <color indexed="64"/>
      </top>
      <bottom/>
      <diagonal/>
    </border>
    <border>
      <left style="medium">
        <color auto="1"/>
      </left>
      <right style="medium">
        <color auto="1"/>
      </right>
      <top style="thin">
        <color theme="0"/>
      </top>
      <bottom style="medium">
        <color theme="0"/>
      </bottom>
      <diagonal/>
    </border>
    <border>
      <left style="thin">
        <color theme="4" tint="0.39997558519241921"/>
      </left>
      <right/>
      <top style="thin">
        <color theme="4" tint="0.39997558519241921"/>
      </top>
      <bottom style="thin">
        <color theme="4" tint="0.39997558519241921"/>
      </bottom>
      <diagonal/>
    </border>
    <border>
      <left style="medium">
        <color indexed="8"/>
      </left>
      <right style="medium">
        <color auto="1"/>
      </right>
      <top style="medium">
        <color indexed="8"/>
      </top>
      <bottom/>
      <diagonal/>
    </border>
    <border>
      <left style="medium">
        <color indexed="64"/>
      </left>
      <right style="medium">
        <color indexed="64"/>
      </right>
      <top style="medium">
        <color indexed="64"/>
      </top>
      <bottom/>
      <diagonal/>
    </border>
    <border>
      <left style="medium">
        <color auto="1"/>
      </left>
      <right style="medium">
        <color auto="1"/>
      </right>
      <top style="thin">
        <color theme="0"/>
      </top>
      <bottom style="medium">
        <color indexed="8"/>
      </bottom>
      <diagonal/>
    </border>
    <border>
      <left style="medium">
        <color indexed="8"/>
      </left>
      <right style="medium">
        <color auto="1"/>
      </right>
      <top/>
      <bottom style="medium">
        <color indexed="8"/>
      </bottom>
      <diagonal/>
    </border>
    <border>
      <left style="medium">
        <color indexed="8"/>
      </left>
      <right style="medium">
        <color indexed="64"/>
      </right>
      <top/>
      <bottom/>
      <diagonal/>
    </border>
    <border>
      <left style="medium">
        <color auto="1"/>
      </left>
      <right/>
      <top/>
      <bottom/>
      <diagonal/>
    </border>
    <border>
      <left/>
      <right style="medium">
        <color auto="1"/>
      </right>
      <top/>
      <bottom/>
      <diagonal/>
    </border>
    <border>
      <left/>
      <right style="medium">
        <color indexed="8"/>
      </right>
      <top/>
      <bottom/>
      <diagonal/>
    </border>
    <border>
      <left style="medium">
        <color indexed="64"/>
      </left>
      <right style="medium">
        <color indexed="64"/>
      </right>
      <top style="medium">
        <color indexed="64"/>
      </top>
      <bottom/>
      <diagonal/>
    </border>
    <border>
      <left/>
      <right style="thin">
        <color indexed="64"/>
      </right>
      <top style="thin">
        <color indexed="64"/>
      </top>
      <bottom style="thin">
        <color indexed="64"/>
      </bottom>
      <diagonal/>
    </border>
    <border>
      <left style="thin">
        <color rgb="FF4F81BD"/>
      </left>
      <right/>
      <top style="thin">
        <color theme="3"/>
      </top>
      <bottom/>
      <diagonal/>
    </border>
    <border>
      <left style="medium">
        <color indexed="64"/>
      </left>
      <right style="medium">
        <color indexed="64"/>
      </right>
      <top style="medium">
        <color indexed="64"/>
      </top>
      <bottom/>
      <diagonal/>
    </border>
    <border>
      <left style="thin">
        <color rgb="FF4F81BD"/>
      </left>
      <right style="medium">
        <color indexed="64"/>
      </right>
      <top style="medium">
        <color theme="4"/>
      </top>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diagonal/>
    </border>
    <border>
      <left/>
      <right style="medium">
        <color indexed="64"/>
      </right>
      <top/>
      <bottom style="medium">
        <color indexed="64"/>
      </bottom>
      <diagonal/>
    </border>
    <border>
      <left style="medium">
        <color indexed="64"/>
      </left>
      <right/>
      <top/>
      <bottom style="medium">
        <color indexed="64"/>
      </bottom>
      <diagonal/>
    </border>
    <border>
      <left style="thin">
        <color theme="4"/>
      </left>
      <right style="thin">
        <color theme="4"/>
      </right>
      <top style="thin">
        <color theme="4"/>
      </top>
      <bottom style="medium">
        <color theme="4"/>
      </bottom>
      <diagonal/>
    </border>
    <border>
      <left style="thin">
        <color theme="4"/>
      </left>
      <right style="thin">
        <color theme="4"/>
      </right>
      <top style="thin">
        <color theme="4"/>
      </top>
      <bottom style="thin">
        <color theme="4"/>
      </bottom>
      <diagonal/>
    </border>
    <border>
      <left/>
      <right/>
      <top style="thin">
        <color theme="4" tint="0.39997558519241921"/>
      </top>
      <bottom style="thin">
        <color theme="4" tint="0.39997558519241921"/>
      </bottom>
      <diagonal/>
    </border>
    <border>
      <left style="thin">
        <color auto="1"/>
      </left>
      <right style="thin">
        <color auto="1"/>
      </right>
      <top style="thin">
        <color theme="4" tint="0.39997558519241921"/>
      </top>
      <bottom style="thin">
        <color theme="4" tint="0.39997558519241921"/>
      </bottom>
      <diagonal/>
    </border>
    <border>
      <left style="thin">
        <color theme="4"/>
      </left>
      <right style="thin">
        <color theme="4"/>
      </right>
      <top style="thin">
        <color theme="0"/>
      </top>
      <bottom style="thin">
        <color theme="4"/>
      </bottom>
      <diagonal/>
    </border>
    <border>
      <left style="medium">
        <color indexed="64"/>
      </left>
      <right style="medium">
        <color indexed="64"/>
      </right>
      <top/>
      <bottom style="medium">
        <color indexed="64"/>
      </bottom>
      <diagonal/>
    </border>
    <border>
      <left style="medium">
        <color auto="1"/>
      </left>
      <right style="medium">
        <color auto="1"/>
      </right>
      <top/>
      <bottom style="medium">
        <color auto="1"/>
      </bottom>
      <diagonal/>
    </border>
    <border>
      <left style="medium">
        <color indexed="64"/>
      </left>
      <right style="medium">
        <color indexed="64"/>
      </right>
      <top/>
      <bottom style="medium">
        <color indexed="64"/>
      </bottom>
      <diagonal/>
    </border>
    <border>
      <left style="medium">
        <color indexed="8"/>
      </left>
      <right style="medium">
        <color indexed="8"/>
      </right>
      <top/>
      <bottom/>
      <diagonal/>
    </border>
    <border>
      <left style="medium">
        <color indexed="8"/>
      </left>
      <right style="medium">
        <color auto="1"/>
      </right>
      <top/>
      <bottom/>
      <diagonal/>
    </border>
    <border>
      <left style="medium">
        <color auto="1"/>
      </left>
      <right style="medium">
        <color indexed="64"/>
      </right>
      <top/>
      <bottom style="medium">
        <color indexed="64"/>
      </bottom>
      <diagonal/>
    </border>
    <border>
      <left style="medium">
        <color indexed="64"/>
      </left>
      <right style="medium">
        <color indexed="64"/>
      </right>
      <top style="medium">
        <color indexed="64"/>
      </top>
      <bottom/>
      <diagonal/>
    </border>
    <border>
      <left style="thin">
        <color theme="4"/>
      </left>
      <right/>
      <top style="thin">
        <color theme="4"/>
      </top>
      <bottom style="thin">
        <color theme="4"/>
      </bottom>
      <diagonal/>
    </border>
    <border>
      <left style="thin">
        <color theme="4"/>
      </left>
      <right style="thin">
        <color theme="4"/>
      </right>
      <top style="thin">
        <color theme="4"/>
      </top>
      <bottom/>
      <diagonal/>
    </border>
    <border>
      <left style="medium">
        <color auto="1"/>
      </left>
      <right style="medium">
        <color auto="1"/>
      </right>
      <top style="medium">
        <color auto="1"/>
      </top>
      <bottom style="medium">
        <color theme="0"/>
      </bottom>
      <diagonal/>
    </border>
    <border>
      <left style="thin">
        <color theme="4"/>
      </left>
      <right/>
      <top/>
      <bottom/>
      <diagonal/>
    </border>
    <border>
      <left style="thin">
        <color theme="4"/>
      </left>
      <right style="medium">
        <color indexed="8"/>
      </right>
      <top style="thin">
        <color theme="4"/>
      </top>
      <bottom/>
      <diagonal/>
    </border>
    <border>
      <left style="thin">
        <color theme="4"/>
      </left>
      <right style="medium">
        <color indexed="8"/>
      </right>
      <top/>
      <bottom/>
      <diagonal/>
    </border>
    <border>
      <left style="thin">
        <color theme="4"/>
      </left>
      <right style="medium">
        <color indexed="8"/>
      </right>
      <top/>
      <bottom style="thin">
        <color theme="4"/>
      </bottom>
      <diagonal/>
    </border>
    <border>
      <left style="thin">
        <color theme="4"/>
      </left>
      <right/>
      <top style="thin">
        <color theme="4"/>
      </top>
      <bottom/>
      <diagonal/>
    </border>
    <border>
      <left style="thin">
        <color theme="4"/>
      </left>
      <right/>
      <top/>
      <bottom style="thin">
        <color theme="4"/>
      </bottom>
      <diagonal/>
    </border>
    <border>
      <left style="medium">
        <color indexed="64"/>
      </left>
      <right style="medium">
        <color theme="0"/>
      </right>
      <top style="thin">
        <color theme="0"/>
      </top>
      <bottom style="medium">
        <color theme="0"/>
      </bottom>
      <diagonal/>
    </border>
    <border>
      <left style="medium">
        <color indexed="64"/>
      </left>
      <right style="medium">
        <color theme="0"/>
      </right>
      <top style="medium">
        <color theme="0"/>
      </top>
      <bottom style="medium">
        <color theme="0"/>
      </bottom>
      <diagonal/>
    </border>
    <border>
      <left style="medium">
        <color indexed="64"/>
      </left>
      <right style="medium">
        <color theme="0"/>
      </right>
      <top style="medium">
        <color theme="0"/>
      </top>
      <bottom style="thin">
        <color theme="0"/>
      </bottom>
      <diagonal/>
    </border>
    <border>
      <left/>
      <right style="thin">
        <color theme="0"/>
      </right>
      <top/>
      <bottom style="thin">
        <color theme="0"/>
      </bottom>
      <diagonal/>
    </border>
    <border>
      <left style="medium">
        <color theme="0"/>
      </left>
      <right style="thin">
        <color theme="0"/>
      </right>
      <top style="thin">
        <color theme="0"/>
      </top>
      <bottom style="thin">
        <color theme="0"/>
      </bottom>
      <diagonal/>
    </border>
    <border>
      <left style="medium">
        <color theme="0"/>
      </left>
      <right style="thin">
        <color theme="0"/>
      </right>
      <top style="thin">
        <color theme="0"/>
      </top>
      <bottom/>
      <diagonal/>
    </border>
    <border>
      <left style="thin">
        <color rgb="FF4F81BD"/>
      </left>
      <right/>
      <top/>
      <bottom style="thin">
        <color rgb="FF4F81BD"/>
      </bottom>
      <diagonal/>
    </border>
    <border>
      <left style="medium">
        <color auto="1"/>
      </left>
      <right style="medium">
        <color auto="1"/>
      </right>
      <top/>
      <bottom style="medium">
        <color theme="0"/>
      </bottom>
      <diagonal/>
    </border>
    <border>
      <left style="thin">
        <color rgb="FF4F81BD"/>
      </left>
      <right/>
      <top style="thin">
        <color rgb="FF4F81BD"/>
      </top>
      <bottom/>
      <diagonal/>
    </border>
    <border>
      <left style="medium">
        <color indexed="64"/>
      </left>
      <right style="medium">
        <color indexed="8"/>
      </right>
      <top/>
      <bottom style="thin">
        <color indexed="64"/>
      </bottom>
      <diagonal/>
    </border>
    <border>
      <left/>
      <right/>
      <top/>
      <bottom style="thin">
        <color theme="4" tint="0.39997558519241921"/>
      </bottom>
      <diagonal/>
    </border>
    <border>
      <left style="thin">
        <color theme="4"/>
      </left>
      <right style="thin">
        <color theme="4"/>
      </right>
      <top style="medium">
        <color theme="4"/>
      </top>
      <bottom style="thin">
        <color theme="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auto="1"/>
      </left>
      <right style="medium">
        <color auto="1"/>
      </right>
      <top style="medium">
        <color auto="1"/>
      </top>
      <bottom/>
      <diagonal/>
    </border>
    <border>
      <left/>
      <right style="medium">
        <color indexed="64"/>
      </right>
      <top style="medium">
        <color indexed="8"/>
      </top>
      <bottom/>
      <diagonal/>
    </border>
    <border>
      <left style="medium">
        <color indexed="64"/>
      </left>
      <right style="medium">
        <color indexed="64"/>
      </right>
      <top style="medium">
        <color indexed="64"/>
      </top>
      <bottom/>
      <diagonal/>
    </border>
    <border>
      <left style="medium">
        <color theme="4"/>
      </left>
      <right style="medium">
        <color theme="4"/>
      </right>
      <top style="medium">
        <color theme="4"/>
      </top>
      <bottom/>
      <diagonal/>
    </border>
    <border>
      <left style="medium">
        <color theme="4"/>
      </left>
      <right style="medium">
        <color theme="4"/>
      </right>
      <top/>
      <bottom style="medium">
        <color theme="4"/>
      </bottom>
      <diagonal/>
    </border>
    <border>
      <left/>
      <right style="medium">
        <color auto="1"/>
      </right>
      <top style="thin">
        <color theme="0"/>
      </top>
      <bottom/>
      <diagonal/>
    </border>
    <border>
      <left/>
      <right style="medium">
        <color auto="1"/>
      </right>
      <top/>
      <bottom style="thin">
        <color theme="0"/>
      </bottom>
      <diagonal/>
    </border>
    <border>
      <left style="medium">
        <color indexed="8"/>
      </left>
      <right style="medium">
        <color auto="1"/>
      </right>
      <top style="medium">
        <color indexed="8"/>
      </top>
      <bottom/>
      <diagonal/>
    </border>
    <border>
      <left/>
      <right style="medium">
        <color auto="1"/>
      </right>
      <top/>
      <bottom style="thin">
        <color indexed="64"/>
      </bottom>
      <diagonal/>
    </border>
    <border>
      <left style="thin">
        <color rgb="FF4F81BD"/>
      </left>
      <right style="medium">
        <color indexed="64"/>
      </right>
      <top style="thin">
        <color rgb="FF4F81BD"/>
      </top>
      <bottom style="thin">
        <color theme="4"/>
      </bottom>
      <diagonal/>
    </border>
    <border>
      <left style="thin">
        <color rgb="FF4F81BD"/>
      </left>
      <right style="medium">
        <color auto="1"/>
      </right>
      <top/>
      <bottom style="thin">
        <color rgb="FF4F81BD"/>
      </bottom>
      <diagonal/>
    </border>
    <border>
      <left style="medium">
        <color auto="1"/>
      </left>
      <right/>
      <top style="medium">
        <color theme="0"/>
      </top>
      <bottom/>
      <diagonal/>
    </border>
    <border>
      <left style="medium">
        <color auto="1"/>
      </left>
      <right/>
      <top/>
      <bottom style="thin">
        <color theme="0"/>
      </bottom>
      <diagonal/>
    </border>
    <border>
      <left style="medium">
        <color theme="0"/>
      </left>
      <right style="medium">
        <color auto="1"/>
      </right>
      <top style="medium">
        <color theme="0"/>
      </top>
      <bottom/>
      <diagonal/>
    </border>
    <border>
      <left style="medium">
        <color theme="0"/>
      </left>
      <right style="medium">
        <color auto="1"/>
      </right>
      <top/>
      <bottom/>
      <diagonal/>
    </border>
    <border>
      <left style="medium">
        <color theme="0"/>
      </left>
      <right style="medium">
        <color auto="1"/>
      </right>
      <top/>
      <bottom style="thin">
        <color theme="0"/>
      </bottom>
      <diagonal/>
    </border>
    <border>
      <left style="thin">
        <color rgb="FF4F81BD"/>
      </left>
      <right/>
      <top style="medium">
        <color theme="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8"/>
      </left>
      <right style="medium">
        <color indexed="8"/>
      </right>
      <top style="medium">
        <color indexed="8"/>
      </top>
      <bottom/>
      <diagonal/>
    </border>
    <border>
      <left style="medium">
        <color indexed="8"/>
      </left>
      <right style="medium">
        <color indexed="8"/>
      </right>
      <top/>
      <bottom style="medium">
        <color indexed="8"/>
      </bottom>
      <diagonal/>
    </border>
    <border>
      <left style="medium">
        <color indexed="8"/>
      </left>
      <right/>
      <top style="medium">
        <color indexed="8"/>
      </top>
      <bottom style="medium">
        <color indexed="8"/>
      </bottom>
      <diagonal/>
    </border>
    <border>
      <left style="medium">
        <color indexed="8"/>
      </left>
      <right/>
      <top style="medium">
        <color indexed="8"/>
      </top>
      <bottom/>
      <diagonal/>
    </border>
    <border>
      <left style="medium">
        <color indexed="64"/>
      </left>
      <right/>
      <top style="medium">
        <color indexed="64"/>
      </top>
      <bottom style="medium">
        <color indexed="64"/>
      </bottom>
      <diagonal/>
    </border>
    <border>
      <left style="medium">
        <color auto="1"/>
      </left>
      <right/>
      <top style="medium">
        <color indexed="8"/>
      </top>
      <bottom style="medium">
        <color theme="1"/>
      </bottom>
      <diagonal/>
    </border>
    <border>
      <left style="medium">
        <color indexed="64"/>
      </left>
      <right/>
      <top style="medium">
        <color indexed="64"/>
      </top>
      <bottom/>
      <diagonal/>
    </border>
    <border>
      <left style="medium">
        <color indexed="64"/>
      </left>
      <right/>
      <top style="medium">
        <color indexed="64"/>
      </top>
      <bottom style="medium">
        <color indexed="8"/>
      </bottom>
      <diagonal/>
    </border>
    <border>
      <left style="medium">
        <color indexed="8"/>
      </left>
      <right/>
      <top style="medium">
        <color indexed="8"/>
      </top>
      <bottom style="medium">
        <color indexed="8"/>
      </bottom>
      <diagonal/>
    </border>
    <border>
      <left style="medium">
        <color indexed="8"/>
      </left>
      <right style="medium">
        <color indexed="64"/>
      </right>
      <top style="medium">
        <color indexed="8"/>
      </top>
      <bottom/>
      <diagonal/>
    </border>
    <border>
      <left/>
      <right/>
      <top style="medium">
        <color theme="4"/>
      </top>
      <bottom/>
      <diagonal/>
    </border>
    <border>
      <left/>
      <right/>
      <top style="medium">
        <color indexed="64"/>
      </top>
      <bottom/>
      <diagonal/>
    </border>
    <border>
      <left/>
      <right style="medium">
        <color indexed="64"/>
      </right>
      <top style="medium">
        <color indexed="64"/>
      </top>
      <bottom/>
      <diagonal/>
    </border>
    <border>
      <left style="thin">
        <color rgb="FF4F81BD"/>
      </left>
      <right style="thin">
        <color rgb="FF4F81BD"/>
      </right>
      <top style="thin">
        <color theme="0"/>
      </top>
      <bottom style="thin">
        <color rgb="FF4F81BD"/>
      </bottom>
      <diagonal/>
    </border>
    <border>
      <left style="thin">
        <color rgb="FF4F81BD"/>
      </left>
      <right style="thin">
        <color rgb="FF4F81BD"/>
      </right>
      <top style="thin">
        <color rgb="FF4F81BD"/>
      </top>
      <bottom style="thin">
        <color rgb="FF4F81BD"/>
      </bottom>
      <diagonal/>
    </border>
    <border>
      <left style="thin">
        <color rgb="FF4F81BD"/>
      </left>
      <right style="thin">
        <color theme="4"/>
      </right>
      <top style="thin">
        <color rgb="FF4F81BD"/>
      </top>
      <bottom style="medium">
        <color theme="4"/>
      </bottom>
      <diagonal/>
    </border>
    <border>
      <left style="thin">
        <color theme="0"/>
      </left>
      <right style="thin">
        <color theme="0"/>
      </right>
      <top style="thin">
        <color rgb="FF4F81BD"/>
      </top>
      <bottom style="thick">
        <color theme="0"/>
      </bottom>
      <diagonal/>
    </border>
    <border>
      <left style="thin">
        <color theme="0"/>
      </left>
      <right style="thin">
        <color rgb="FF4F81BD"/>
      </right>
      <top style="thin">
        <color rgb="FF4F81BD"/>
      </top>
      <bottom style="thick">
        <color theme="0"/>
      </bottom>
      <diagonal/>
    </border>
    <border>
      <left style="medium">
        <color indexed="64"/>
      </left>
      <right/>
      <top style="medium">
        <color theme="4"/>
      </top>
      <bottom/>
      <diagonal/>
    </border>
    <border>
      <left/>
      <right/>
      <top style="medium">
        <color indexed="64"/>
      </top>
      <bottom style="medium">
        <color indexed="64"/>
      </bottom>
      <diagonal/>
    </border>
    <border>
      <left style="medium">
        <color indexed="8"/>
      </left>
      <right style="medium">
        <color auto="1"/>
      </right>
      <top style="medium">
        <color indexed="8"/>
      </top>
      <bottom style="medium">
        <color indexed="8"/>
      </bottom>
      <diagonal/>
    </border>
    <border>
      <left/>
      <right style="medium">
        <color indexed="64"/>
      </right>
      <top/>
      <bottom style="medium">
        <color auto="1"/>
      </bottom>
      <diagonal/>
    </border>
    <border>
      <left style="medium">
        <color indexed="64"/>
      </left>
      <right/>
      <top/>
      <bottom style="medium">
        <color indexed="64"/>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indexed="8"/>
      </top>
      <bottom style="medium">
        <color theme="1"/>
      </bottom>
      <diagonal/>
    </border>
    <border>
      <left style="thin">
        <color theme="0"/>
      </left>
      <right/>
      <top/>
      <bottom style="thin">
        <color theme="0"/>
      </bottom>
      <diagonal/>
    </border>
    <border>
      <left style="thin">
        <color theme="0"/>
      </left>
      <right/>
      <top style="thin">
        <color theme="0"/>
      </top>
      <bottom style="thin">
        <color theme="0"/>
      </bottom>
      <diagonal/>
    </border>
    <border>
      <left style="thin">
        <color rgb="FF4F81BD"/>
      </left>
      <right style="thin">
        <color rgb="FF4F81BD"/>
      </right>
      <top style="thin">
        <color rgb="FF4F81BD"/>
      </top>
      <bottom/>
      <diagonal/>
    </border>
    <border>
      <left style="medium">
        <color indexed="64"/>
      </left>
      <right/>
      <top style="thin">
        <color rgb="FF4F81BD"/>
      </top>
      <bottom/>
      <diagonal/>
    </border>
    <border>
      <left style="thin">
        <color rgb="FF4F81BD"/>
      </left>
      <right style="medium">
        <color indexed="64"/>
      </right>
      <top/>
      <bottom/>
      <diagonal/>
    </border>
    <border>
      <left style="thin">
        <color rgb="FF4F81BD"/>
      </left>
      <right style="medium">
        <color indexed="64"/>
      </right>
      <top style="thin">
        <color theme="4"/>
      </top>
      <bottom/>
      <diagonal/>
    </border>
    <border>
      <left style="thin">
        <color rgb="FF4F81BD"/>
      </left>
      <right style="medium">
        <color indexed="64"/>
      </right>
      <top/>
      <bottom style="thin">
        <color theme="4"/>
      </bottom>
      <diagonal/>
    </border>
    <border>
      <left style="medium">
        <color auto="1"/>
      </left>
      <right/>
      <top style="medium">
        <color auto="1"/>
      </top>
      <bottom style="medium">
        <color auto="1"/>
      </bottom>
      <diagonal/>
    </border>
    <border>
      <left style="thin">
        <color rgb="FF4F81BD"/>
      </left>
      <right style="medium">
        <color indexed="8"/>
      </right>
      <top style="thin">
        <color theme="4"/>
      </top>
      <bottom style="thin">
        <color rgb="FF4F81BD"/>
      </bottom>
      <diagonal/>
    </border>
    <border>
      <left style="thin">
        <color rgb="FF4F81BD"/>
      </left>
      <right/>
      <top style="thin">
        <color rgb="FF4F81BD"/>
      </top>
      <bottom style="thin">
        <color theme="4"/>
      </bottom>
      <diagonal/>
    </border>
    <border>
      <left style="medium">
        <color indexed="8"/>
      </left>
      <right/>
      <top style="medium">
        <color indexed="8"/>
      </top>
      <bottom style="medium">
        <color indexed="8"/>
      </bottom>
      <diagonal/>
    </border>
    <border>
      <left style="medium">
        <color auto="1"/>
      </left>
      <right/>
      <top style="medium">
        <color auto="1"/>
      </top>
      <bottom style="medium">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style="medium">
        <color indexed="8"/>
      </left>
      <right style="medium">
        <color auto="1"/>
      </right>
      <top style="medium">
        <color indexed="8"/>
      </top>
      <bottom/>
      <diagonal/>
    </border>
    <border>
      <left/>
      <right style="medium">
        <color auto="1"/>
      </right>
      <top style="thin">
        <color theme="4"/>
      </top>
      <bottom/>
      <diagonal/>
    </border>
    <border>
      <left/>
      <right style="medium">
        <color auto="1"/>
      </right>
      <top/>
      <bottom style="thin">
        <color theme="4"/>
      </bottom>
      <diagonal/>
    </border>
    <border>
      <left style="thin">
        <color rgb="FF4F81BD"/>
      </left>
      <right style="thin">
        <color rgb="FF4F81BD"/>
      </right>
      <top/>
      <bottom/>
      <diagonal/>
    </border>
    <border>
      <left style="thin">
        <color rgb="FF4F81BD"/>
      </left>
      <right style="medium">
        <color indexed="8"/>
      </right>
      <top/>
      <bottom/>
      <diagonal/>
    </border>
    <border>
      <left style="thin">
        <color rgb="FF4F81BD"/>
      </left>
      <right style="medium">
        <color indexed="8"/>
      </right>
      <top/>
      <bottom style="thin">
        <color theme="4"/>
      </bottom>
      <diagonal/>
    </border>
    <border>
      <left style="medium">
        <color auto="1"/>
      </left>
      <right style="medium">
        <color auto="1"/>
      </right>
      <top style="medium">
        <color auto="1"/>
      </top>
      <bottom/>
      <diagonal/>
    </border>
    <border>
      <left style="medium">
        <color indexed="8"/>
      </left>
      <right/>
      <top style="medium">
        <color indexed="8"/>
      </top>
      <bottom style="medium">
        <color indexed="8"/>
      </bottom>
      <diagonal/>
    </border>
    <border>
      <left style="thin">
        <color rgb="FF4F81BD"/>
      </left>
      <right style="medium">
        <color auto="1"/>
      </right>
      <top/>
      <bottom/>
      <diagonal/>
    </border>
    <border>
      <left style="thin">
        <color rgb="FF4F81BD"/>
      </left>
      <right style="medium">
        <color auto="1"/>
      </right>
      <top/>
      <bottom style="thin">
        <color theme="4"/>
      </bottom>
      <diagonal/>
    </border>
    <border>
      <left style="medium">
        <color indexed="64"/>
      </left>
      <right/>
      <top style="medium">
        <color indexed="64"/>
      </top>
      <bottom/>
      <diagonal/>
    </border>
    <border>
      <left style="medium">
        <color indexed="8"/>
      </left>
      <right style="medium">
        <color auto="1"/>
      </right>
      <top style="medium">
        <color indexed="8"/>
      </top>
      <bottom/>
      <diagonal/>
    </border>
    <border>
      <left style="medium">
        <color auto="1"/>
      </left>
      <right/>
      <top style="medium">
        <color auto="1"/>
      </top>
      <bottom style="medium">
        <color auto="1"/>
      </bottom>
      <diagonal/>
    </border>
    <border>
      <left style="medium">
        <color indexed="8"/>
      </left>
      <right/>
      <top style="medium">
        <color indexed="8"/>
      </top>
      <bottom style="medium">
        <color indexed="8"/>
      </bottom>
      <diagonal/>
    </border>
    <border>
      <left style="medium">
        <color auto="1"/>
      </left>
      <right/>
      <top style="medium">
        <color auto="1"/>
      </top>
      <bottom style="medium">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style="medium">
        <color indexed="8"/>
      </left>
      <right style="medium">
        <color auto="1"/>
      </right>
      <top style="medium">
        <color indexed="8"/>
      </top>
      <bottom/>
      <diagonal/>
    </border>
    <border>
      <left style="medium">
        <color theme="4"/>
      </left>
      <right style="medium">
        <color theme="4"/>
      </right>
      <top style="medium">
        <color theme="4"/>
      </top>
      <bottom style="thin">
        <color theme="4"/>
      </bottom>
      <diagonal/>
    </border>
    <border>
      <left/>
      <right style="thin">
        <color theme="4"/>
      </right>
      <top style="thin">
        <color theme="4"/>
      </top>
      <bottom style="thin">
        <color theme="4"/>
      </bottom>
      <diagonal/>
    </border>
    <border>
      <left style="medium">
        <color theme="4"/>
      </left>
      <right style="medium">
        <color theme="4"/>
      </right>
      <top style="thin">
        <color theme="4"/>
      </top>
      <bottom style="thin">
        <color theme="4"/>
      </bottom>
      <diagonal/>
    </border>
    <border>
      <left style="medium">
        <color theme="4"/>
      </left>
      <right style="medium">
        <color theme="4"/>
      </right>
      <top style="thin">
        <color theme="4"/>
      </top>
      <bottom style="medium">
        <color theme="4"/>
      </bottom>
      <diagonal/>
    </border>
    <border>
      <left/>
      <right style="medium">
        <color indexed="64"/>
      </right>
      <top style="medium">
        <color indexed="64"/>
      </top>
      <bottom/>
      <diagonal/>
    </border>
    <border>
      <left style="medium">
        <color auto="1"/>
      </left>
      <right style="medium">
        <color auto="1"/>
      </right>
      <top style="medium">
        <color auto="1"/>
      </top>
      <bottom/>
      <diagonal/>
    </border>
    <border>
      <left style="medium">
        <color auto="1"/>
      </left>
      <right style="medium">
        <color auto="1"/>
      </right>
      <top style="medium">
        <color auto="1"/>
      </top>
      <bottom style="medium">
        <color auto="1"/>
      </bottom>
      <diagonal/>
    </border>
    <border>
      <left style="medium">
        <color indexed="8"/>
      </left>
      <right style="medium">
        <color auto="1"/>
      </right>
      <top style="medium">
        <color indexed="8"/>
      </top>
      <bottom style="medium">
        <color indexed="8"/>
      </bottom>
      <diagonal/>
    </border>
    <border>
      <left style="medium">
        <color auto="1"/>
      </left>
      <right style="medium">
        <color auto="1"/>
      </right>
      <top style="medium">
        <color indexed="8"/>
      </top>
      <bottom style="medium">
        <color theme="1"/>
      </bottom>
      <diagonal/>
    </border>
    <border>
      <left style="medium">
        <color indexed="8"/>
      </left>
      <right/>
      <top style="medium">
        <color indexed="8"/>
      </top>
      <bottom style="medium">
        <color indexed="8"/>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theme="0"/>
      </right>
      <top style="medium">
        <color indexed="64"/>
      </top>
      <bottom style="medium">
        <color indexed="64"/>
      </bottom>
      <diagonal/>
    </border>
    <border>
      <left style="thin">
        <color theme="0"/>
      </left>
      <right style="thin">
        <color theme="0"/>
      </right>
      <top style="medium">
        <color indexed="64"/>
      </top>
      <bottom style="medium">
        <color indexed="64"/>
      </bottom>
      <diagonal/>
    </border>
    <border>
      <left style="thin">
        <color theme="0"/>
      </left>
      <right style="medium">
        <color indexed="64"/>
      </right>
      <top style="medium">
        <color indexed="64"/>
      </top>
      <bottom style="medium">
        <color indexed="64"/>
      </bottom>
      <diagonal/>
    </border>
    <border>
      <left/>
      <right style="thin">
        <color theme="0"/>
      </right>
      <top style="thin">
        <color theme="0"/>
      </top>
      <bottom style="thin">
        <color theme="0"/>
      </bottom>
      <diagonal/>
    </border>
    <border>
      <left/>
      <right style="thin">
        <color theme="0"/>
      </right>
      <top style="thin">
        <color theme="0"/>
      </top>
      <bottom/>
      <diagonal/>
    </border>
    <border>
      <left style="thin">
        <color rgb="FF4F81BD"/>
      </left>
      <right style="medium">
        <color indexed="8"/>
      </right>
      <top style="medium">
        <color theme="4"/>
      </top>
      <bottom/>
      <diagonal/>
    </border>
    <border>
      <left style="thin">
        <color rgb="FF4F81BD"/>
      </left>
      <right style="medium">
        <color indexed="8"/>
      </right>
      <top style="thin">
        <color rgb="FF4F81BD"/>
      </top>
      <bottom style="thin">
        <color theme="4"/>
      </bottom>
      <diagonal/>
    </border>
    <border>
      <left style="medium">
        <color auto="1"/>
      </left>
      <right/>
      <top style="medium">
        <color auto="1"/>
      </top>
      <bottom style="medium">
        <color auto="1"/>
      </bottom>
      <diagonal/>
    </border>
    <border>
      <left style="medium">
        <color indexed="64"/>
      </left>
      <right/>
      <top style="medium">
        <color indexed="64"/>
      </top>
      <bottom/>
      <diagonal/>
    </border>
    <border>
      <left style="medium">
        <color indexed="8"/>
      </left>
      <right style="medium">
        <color auto="1"/>
      </right>
      <top style="medium">
        <color indexed="8"/>
      </top>
      <bottom/>
      <diagonal/>
    </border>
    <border>
      <left style="medium">
        <color indexed="8"/>
      </left>
      <right style="medium">
        <color auto="1"/>
      </right>
      <top style="medium">
        <color indexed="64"/>
      </top>
      <bottom/>
      <diagonal/>
    </border>
    <border>
      <left/>
      <right style="medium">
        <color indexed="64"/>
      </right>
      <top style="medium">
        <color indexed="64"/>
      </top>
      <bottom style="medium">
        <color indexed="64"/>
      </bottom>
      <diagonal/>
    </border>
    <border>
      <left/>
      <right/>
      <top style="medium">
        <color indexed="64"/>
      </top>
      <bottom/>
      <diagonal/>
    </border>
    <border>
      <left style="medium">
        <color indexed="64"/>
      </left>
      <right style="medium">
        <color indexed="64"/>
      </right>
      <top/>
      <bottom style="medium">
        <color indexed="8"/>
      </bottom>
      <diagonal/>
    </border>
    <border>
      <left style="medium">
        <color auto="1"/>
      </left>
      <right style="thin">
        <color theme="4"/>
      </right>
      <top style="thin">
        <color theme="4"/>
      </top>
      <bottom style="thin">
        <color theme="4"/>
      </bottom>
      <diagonal/>
    </border>
    <border>
      <left style="medium">
        <color indexed="64"/>
      </left>
      <right style="medium">
        <color indexed="8"/>
      </right>
      <top/>
      <bottom/>
      <diagonal/>
    </border>
    <border>
      <left style="medium">
        <color theme="4"/>
      </left>
      <right style="thin">
        <color theme="4"/>
      </right>
      <top style="thin">
        <color theme="4"/>
      </top>
      <bottom style="thin">
        <color theme="4"/>
      </bottom>
      <diagonal/>
    </border>
    <border>
      <left style="medium">
        <color indexed="8"/>
      </left>
      <right style="medium">
        <color theme="4"/>
      </right>
      <top style="medium">
        <color theme="4"/>
      </top>
      <bottom/>
      <diagonal/>
    </border>
    <border>
      <left style="medium">
        <color indexed="8"/>
      </left>
      <right style="medium">
        <color theme="4"/>
      </right>
      <top/>
      <bottom/>
      <diagonal/>
    </border>
    <border>
      <left style="medium">
        <color auto="1"/>
      </left>
      <right style="medium">
        <color theme="4"/>
      </right>
      <top/>
      <bottom/>
      <diagonal/>
    </border>
    <border>
      <left style="medium">
        <color indexed="64"/>
      </left>
      <right style="medium">
        <color theme="4"/>
      </right>
      <top/>
      <bottom/>
      <diagonal/>
    </border>
    <border>
      <left style="medium">
        <color indexed="8"/>
      </left>
      <right style="medium">
        <color theme="4"/>
      </right>
      <top/>
      <bottom style="medium">
        <color indexed="8"/>
      </bottom>
      <diagonal/>
    </border>
    <border>
      <left style="medium">
        <color theme="4"/>
      </left>
      <right style="thin">
        <color theme="4"/>
      </right>
      <top style="thin">
        <color theme="4"/>
      </top>
      <bottom/>
      <diagonal/>
    </border>
    <border>
      <left style="thin">
        <color theme="4"/>
      </left>
      <right style="medium">
        <color theme="4"/>
      </right>
      <top style="thin">
        <color theme="4"/>
      </top>
      <bottom/>
      <diagonal/>
    </border>
    <border>
      <left style="medium">
        <color theme="4"/>
      </left>
      <right style="thin">
        <color theme="4"/>
      </right>
      <top/>
      <bottom/>
      <diagonal/>
    </border>
    <border>
      <left style="thin">
        <color theme="4"/>
      </left>
      <right style="medium">
        <color theme="4"/>
      </right>
      <top/>
      <bottom/>
      <diagonal/>
    </border>
    <border>
      <left style="medium">
        <color theme="4"/>
      </left>
      <right style="thin">
        <color theme="4"/>
      </right>
      <top/>
      <bottom style="thin">
        <color theme="4"/>
      </bottom>
      <diagonal/>
    </border>
    <border>
      <left style="thin">
        <color theme="4"/>
      </left>
      <right style="medium">
        <color theme="4"/>
      </right>
      <top/>
      <bottom style="thin">
        <color theme="4"/>
      </bottom>
      <diagonal/>
    </border>
    <border>
      <left style="medium">
        <color theme="4"/>
      </left>
      <right style="thin">
        <color theme="4"/>
      </right>
      <top style="medium">
        <color theme="4"/>
      </top>
      <bottom style="thin">
        <color theme="4"/>
      </bottom>
      <diagonal/>
    </border>
    <border>
      <left style="medium">
        <color theme="4"/>
      </left>
      <right style="thin">
        <color theme="4"/>
      </right>
      <top style="thin">
        <color theme="4"/>
      </top>
      <bottom style="medium">
        <color theme="4"/>
      </bottom>
      <diagonal/>
    </border>
  </borders>
  <cellStyleXfs count="9">
    <xf numFmtId="0" fontId="0" fillId="0" borderId="0"/>
    <xf numFmtId="0" fontId="1" fillId="0" borderId="0"/>
    <xf numFmtId="0" fontId="1" fillId="0" borderId="0"/>
    <xf numFmtId="0" fontId="1" fillId="0" borderId="0"/>
    <xf numFmtId="0" fontId="1" fillId="0" borderId="0"/>
    <xf numFmtId="0" fontId="1" fillId="0" borderId="0"/>
    <xf numFmtId="165" fontId="5" fillId="0" borderId="0" applyFont="0" applyFill="0" applyBorder="0" applyAlignment="0" applyProtection="0"/>
    <xf numFmtId="9" fontId="5" fillId="0" borderId="0" applyFont="0" applyFill="0" applyBorder="0" applyAlignment="0" applyProtection="0"/>
    <xf numFmtId="164" fontId="5" fillId="0" borderId="0" applyFont="0" applyFill="0" applyBorder="0" applyAlignment="0" applyProtection="0"/>
  </cellStyleXfs>
  <cellXfs count="3304">
    <xf numFmtId="0" fontId="0" fillId="0" borderId="0" xfId="0"/>
    <xf numFmtId="0" fontId="3" fillId="0" borderId="0" xfId="0" applyFont="1"/>
    <xf numFmtId="0" fontId="3" fillId="0" borderId="0" xfId="0" applyFont="1" applyBorder="1"/>
    <xf numFmtId="0" fontId="3" fillId="2" borderId="0" xfId="0" applyFont="1" applyFill="1" applyAlignment="1">
      <alignment horizontal="center"/>
    </xf>
    <xf numFmtId="0" fontId="3" fillId="0" borderId="0" xfId="0" applyFont="1" applyBorder="1" applyAlignment="1">
      <alignment horizontal="left"/>
    </xf>
    <xf numFmtId="14" fontId="3" fillId="3" borderId="0" xfId="0" applyNumberFormat="1" applyFont="1" applyFill="1" applyAlignment="1">
      <alignment horizontal="center"/>
    </xf>
    <xf numFmtId="14" fontId="3" fillId="4" borderId="0" xfId="0" applyNumberFormat="1" applyFont="1" applyFill="1" applyAlignment="1">
      <alignment horizontal="center" vertical="center"/>
    </xf>
    <xf numFmtId="0" fontId="3" fillId="5" borderId="0" xfId="0" applyFont="1" applyFill="1" applyAlignment="1">
      <alignment horizontal="center"/>
    </xf>
    <xf numFmtId="166" fontId="3" fillId="4" borderId="0" xfId="6" applyNumberFormat="1" applyFont="1" applyFill="1" applyAlignment="1">
      <alignment horizontal="center"/>
    </xf>
    <xf numFmtId="166" fontId="3" fillId="2" borderId="0" xfId="6" applyNumberFormat="1" applyFont="1" applyFill="1" applyAlignment="1">
      <alignment horizontal="center"/>
    </xf>
    <xf numFmtId="166" fontId="3" fillId="5" borderId="0" xfId="6" applyNumberFormat="1" applyFont="1" applyFill="1" applyAlignment="1">
      <alignment horizontal="center"/>
    </xf>
    <xf numFmtId="166" fontId="4" fillId="3" borderId="0" xfId="6" applyNumberFormat="1" applyFont="1" applyFill="1" applyBorder="1" applyAlignment="1">
      <alignment horizontal="center" vertical="center"/>
    </xf>
    <xf numFmtId="0" fontId="3" fillId="6" borderId="0" xfId="0" applyFont="1" applyFill="1" applyAlignment="1">
      <alignment horizontal="center"/>
    </xf>
    <xf numFmtId="166" fontId="3" fillId="6" borderId="0" xfId="6" applyNumberFormat="1" applyFont="1" applyFill="1" applyAlignment="1">
      <alignment horizontal="center"/>
    </xf>
    <xf numFmtId="0" fontId="3" fillId="0" borderId="0" xfId="0" applyFont="1" applyAlignment="1">
      <alignment horizontal="center"/>
    </xf>
    <xf numFmtId="166" fontId="3" fillId="3" borderId="0" xfId="6" applyNumberFormat="1" applyFont="1" applyFill="1" applyAlignment="1">
      <alignment horizontal="center"/>
    </xf>
    <xf numFmtId="166" fontId="3" fillId="4" borderId="0" xfId="6" applyNumberFormat="1" applyFont="1" applyFill="1" applyAlignment="1">
      <alignment horizontal="center" vertical="center"/>
    </xf>
    <xf numFmtId="166" fontId="3" fillId="8" borderId="0" xfId="6" applyNumberFormat="1" applyFont="1" applyFill="1" applyAlignment="1">
      <alignment horizontal="center" vertical="center"/>
    </xf>
    <xf numFmtId="0" fontId="3" fillId="8" borderId="0" xfId="0" applyFont="1" applyFill="1" applyAlignment="1">
      <alignment horizontal="center"/>
    </xf>
    <xf numFmtId="0" fontId="3" fillId="4" borderId="0" xfId="0" applyFont="1" applyFill="1" applyAlignment="1">
      <alignment horizontal="center"/>
    </xf>
    <xf numFmtId="0" fontId="3" fillId="7" borderId="0" xfId="0" applyFont="1" applyFill="1" applyAlignment="1">
      <alignment horizontal="center"/>
    </xf>
    <xf numFmtId="166" fontId="3" fillId="7" borderId="0" xfId="6" applyNumberFormat="1" applyFont="1" applyFill="1" applyAlignment="1">
      <alignment horizontal="center"/>
    </xf>
    <xf numFmtId="0" fontId="8" fillId="0" borderId="0" xfId="0" applyFont="1" applyBorder="1"/>
    <xf numFmtId="0" fontId="8" fillId="0" borderId="0" xfId="0" applyFont="1"/>
    <xf numFmtId="0" fontId="2" fillId="0" borderId="0" xfId="0" applyFont="1" applyBorder="1" applyAlignment="1"/>
    <xf numFmtId="0" fontId="3" fillId="0" borderId="0" xfId="0" applyFont="1" applyBorder="1" applyAlignment="1"/>
    <xf numFmtId="0" fontId="2" fillId="0" borderId="1" xfId="0" applyFont="1" applyBorder="1" applyAlignment="1"/>
    <xf numFmtId="0" fontId="3" fillId="0" borderId="3" xfId="0" applyFont="1" applyBorder="1" applyAlignment="1"/>
    <xf numFmtId="0" fontId="3" fillId="0" borderId="0" xfId="0" applyFont="1" applyFill="1"/>
    <xf numFmtId="0" fontId="0" fillId="0" borderId="0" xfId="0" applyFill="1"/>
    <xf numFmtId="166" fontId="3" fillId="8" borderId="0" xfId="6" applyNumberFormat="1" applyFont="1" applyFill="1" applyBorder="1" applyAlignment="1">
      <alignment horizontal="center" vertical="center"/>
    </xf>
    <xf numFmtId="166" fontId="3" fillId="4" borderId="0" xfId="6" applyNumberFormat="1" applyFont="1" applyFill="1" applyBorder="1" applyAlignment="1">
      <alignment horizontal="center"/>
    </xf>
    <xf numFmtId="0" fontId="3" fillId="9" borderId="0" xfId="0" applyFont="1" applyFill="1" applyAlignment="1">
      <alignment horizontal="center"/>
    </xf>
    <xf numFmtId="0" fontId="3" fillId="3" borderId="0" xfId="0" applyFont="1" applyFill="1" applyAlignment="1">
      <alignment horizontal="center"/>
    </xf>
    <xf numFmtId="0" fontId="3" fillId="10" borderId="0" xfId="0" applyFont="1" applyFill="1" applyAlignment="1">
      <alignment horizontal="center"/>
    </xf>
    <xf numFmtId="0" fontId="9" fillId="0" borderId="6" xfId="0" applyFont="1" applyBorder="1" applyAlignment="1">
      <alignment horizontal="center"/>
    </xf>
    <xf numFmtId="165" fontId="3" fillId="9" borderId="5" xfId="6" applyFont="1" applyFill="1" applyBorder="1" applyAlignment="1">
      <alignment horizontal="center"/>
    </xf>
    <xf numFmtId="165" fontId="3" fillId="3" borderId="5" xfId="6" applyNumberFormat="1" applyFont="1" applyFill="1" applyBorder="1" applyAlignment="1">
      <alignment horizontal="center"/>
    </xf>
    <xf numFmtId="0" fontId="3" fillId="11" borderId="0" xfId="0" applyFont="1" applyFill="1" applyAlignment="1">
      <alignment horizontal="center"/>
    </xf>
    <xf numFmtId="0" fontId="3" fillId="12" borderId="0" xfId="0" applyFont="1" applyFill="1" applyAlignment="1">
      <alignment horizontal="center"/>
    </xf>
    <xf numFmtId="165" fontId="3" fillId="12" borderId="5" xfId="6" applyFont="1" applyFill="1" applyBorder="1" applyAlignment="1">
      <alignment horizontal="center"/>
    </xf>
    <xf numFmtId="0" fontId="0" fillId="0" borderId="0" xfId="0" applyBorder="1"/>
    <xf numFmtId="0" fontId="11" fillId="13" borderId="9" xfId="0" applyFont="1" applyFill="1" applyBorder="1" applyAlignment="1">
      <alignment horizontal="center"/>
    </xf>
    <xf numFmtId="0" fontId="2" fillId="0" borderId="0" xfId="0" applyFont="1"/>
    <xf numFmtId="0" fontId="11" fillId="0" borderId="0" xfId="0" applyFont="1" applyAlignment="1">
      <alignment horizontal="center"/>
    </xf>
    <xf numFmtId="0" fontId="11" fillId="13" borderId="21" xfId="0" applyFont="1" applyFill="1" applyBorder="1" applyAlignment="1">
      <alignment horizontal="center"/>
    </xf>
    <xf numFmtId="0" fontId="11" fillId="14" borderId="29" xfId="0" applyFont="1" applyFill="1" applyBorder="1" applyAlignment="1">
      <alignment horizontal="center"/>
    </xf>
    <xf numFmtId="0" fontId="11" fillId="15" borderId="29" xfId="0" applyFont="1" applyFill="1" applyBorder="1" applyAlignment="1">
      <alignment horizontal="center"/>
    </xf>
    <xf numFmtId="0" fontId="11" fillId="16" borderId="29" xfId="0" applyFont="1" applyFill="1" applyBorder="1" applyAlignment="1">
      <alignment horizontal="center"/>
    </xf>
    <xf numFmtId="0" fontId="0" fillId="17" borderId="33" xfId="0" applyFill="1" applyBorder="1"/>
    <xf numFmtId="0" fontId="0" fillId="18" borderId="33" xfId="0" applyFill="1" applyBorder="1"/>
    <xf numFmtId="0" fontId="0" fillId="15" borderId="33" xfId="0" applyFill="1" applyBorder="1"/>
    <xf numFmtId="0" fontId="0" fillId="16" borderId="33" xfId="0" applyFill="1" applyBorder="1"/>
    <xf numFmtId="0" fontId="0" fillId="14" borderId="33" xfId="0" applyFill="1" applyBorder="1" applyAlignment="1">
      <alignment horizontal="center"/>
    </xf>
    <xf numFmtId="0" fontId="0" fillId="15" borderId="33" xfId="0" applyFill="1" applyBorder="1" applyAlignment="1">
      <alignment horizontal="center"/>
    </xf>
    <xf numFmtId="0" fontId="0" fillId="16" borderId="33" xfId="0" applyFill="1" applyBorder="1" applyAlignment="1">
      <alignment horizontal="center"/>
    </xf>
    <xf numFmtId="1" fontId="0" fillId="14" borderId="33" xfId="0" applyNumberFormat="1" applyFill="1" applyBorder="1" applyAlignment="1">
      <alignment horizontal="center"/>
    </xf>
    <xf numFmtId="1" fontId="0" fillId="15" borderId="33" xfId="0" applyNumberFormat="1" applyFill="1" applyBorder="1" applyAlignment="1">
      <alignment horizontal="center"/>
    </xf>
    <xf numFmtId="1" fontId="0" fillId="16" borderId="33" xfId="0" applyNumberFormat="1" applyFill="1" applyBorder="1" applyAlignment="1">
      <alignment horizontal="center"/>
    </xf>
    <xf numFmtId="0" fontId="0" fillId="17" borderId="33" xfId="0" applyFill="1" applyBorder="1" applyAlignment="1">
      <alignment horizontal="center"/>
    </xf>
    <xf numFmtId="0" fontId="11" fillId="17" borderId="36" xfId="0" applyFont="1" applyFill="1" applyBorder="1" applyAlignment="1">
      <alignment horizontal="center"/>
    </xf>
    <xf numFmtId="0" fontId="11" fillId="18" borderId="36" xfId="0" applyFont="1" applyFill="1" applyBorder="1" applyAlignment="1">
      <alignment horizontal="center"/>
    </xf>
    <xf numFmtId="0" fontId="0" fillId="18" borderId="33" xfId="0" applyFill="1" applyBorder="1" applyAlignment="1">
      <alignment horizontal="center"/>
    </xf>
    <xf numFmtId="0" fontId="0" fillId="0" borderId="0" xfId="0" applyAlignment="1">
      <alignment horizontal="center"/>
    </xf>
    <xf numFmtId="1" fontId="0" fillId="18" borderId="33" xfId="0" applyNumberFormat="1" applyFill="1" applyBorder="1" applyAlignment="1">
      <alignment horizontal="center"/>
    </xf>
    <xf numFmtId="165" fontId="3" fillId="2" borderId="0" xfId="6" applyFont="1" applyFill="1" applyAlignment="1">
      <alignment horizontal="center"/>
    </xf>
    <xf numFmtId="0" fontId="3" fillId="19" borderId="0" xfId="0" applyFont="1" applyFill="1" applyAlignment="1">
      <alignment horizontal="center"/>
    </xf>
    <xf numFmtId="0" fontId="3" fillId="20" borderId="0" xfId="0" applyFont="1" applyFill="1" applyAlignment="1">
      <alignment horizontal="center"/>
    </xf>
    <xf numFmtId="0" fontId="3" fillId="21" borderId="0" xfId="0" applyFont="1" applyFill="1" applyAlignment="1">
      <alignment horizontal="center"/>
    </xf>
    <xf numFmtId="0" fontId="3" fillId="22" borderId="0" xfId="0" applyFont="1" applyFill="1" applyAlignment="1">
      <alignment horizontal="center"/>
    </xf>
    <xf numFmtId="0" fontId="3" fillId="23" borderId="0" xfId="0" applyFont="1" applyFill="1" applyAlignment="1">
      <alignment horizontal="center"/>
    </xf>
    <xf numFmtId="0" fontId="0" fillId="17" borderId="45" xfId="0" applyFill="1" applyBorder="1" applyAlignment="1">
      <alignment horizontal="center"/>
    </xf>
    <xf numFmtId="0" fontId="3" fillId="24" borderId="0" xfId="0" applyFont="1" applyFill="1" applyAlignment="1">
      <alignment horizontal="center"/>
    </xf>
    <xf numFmtId="166" fontId="3" fillId="24" borderId="0" xfId="6" applyNumberFormat="1" applyFont="1" applyFill="1" applyAlignment="1">
      <alignment horizontal="center"/>
    </xf>
    <xf numFmtId="0" fontId="3" fillId="25" borderId="0" xfId="0" applyFont="1" applyFill="1" applyAlignment="1">
      <alignment horizontal="center"/>
    </xf>
    <xf numFmtId="166" fontId="3" fillId="25" borderId="0" xfId="6" applyNumberFormat="1" applyFont="1" applyFill="1" applyAlignment="1">
      <alignment horizontal="center"/>
    </xf>
    <xf numFmtId="166" fontId="3" fillId="25" borderId="0" xfId="6" applyNumberFormat="1" applyFont="1" applyFill="1" applyBorder="1" applyAlignment="1">
      <alignment horizontal="center"/>
    </xf>
    <xf numFmtId="0" fontId="3" fillId="14" borderId="0" xfId="0" applyFont="1" applyFill="1" applyAlignment="1">
      <alignment horizontal="center"/>
    </xf>
    <xf numFmtId="166" fontId="3" fillId="14" borderId="0" xfId="6" applyNumberFormat="1" applyFont="1" applyFill="1" applyAlignment="1">
      <alignment horizontal="center"/>
    </xf>
    <xf numFmtId="166" fontId="3" fillId="14" borderId="0" xfId="6" applyNumberFormat="1" applyFont="1" applyFill="1" applyBorder="1" applyAlignment="1">
      <alignment horizontal="center"/>
    </xf>
    <xf numFmtId="0" fontId="3" fillId="7" borderId="0" xfId="0" applyNumberFormat="1" applyFont="1" applyFill="1" applyAlignment="1">
      <alignment horizontal="center"/>
    </xf>
    <xf numFmtId="0" fontId="16" fillId="0" borderId="0" xfId="0" applyFont="1" applyFill="1" applyBorder="1" applyAlignment="1"/>
    <xf numFmtId="0" fontId="2" fillId="2" borderId="0" xfId="0" applyFont="1" applyFill="1" applyAlignment="1">
      <alignment horizontal="center"/>
    </xf>
    <xf numFmtId="0" fontId="0" fillId="0" borderId="0" xfId="0" applyFill="1" applyBorder="1"/>
    <xf numFmtId="0" fontId="2" fillId="19" borderId="0" xfId="0" applyFont="1" applyFill="1" applyAlignment="1"/>
    <xf numFmtId="0" fontId="2" fillId="23" borderId="0" xfId="0" applyFont="1" applyFill="1" applyAlignment="1"/>
    <xf numFmtId="0" fontId="2" fillId="0" borderId="2" xfId="0" applyFont="1" applyBorder="1" applyAlignment="1"/>
    <xf numFmtId="0" fontId="3" fillId="0" borderId="4" xfId="0" applyFont="1" applyBorder="1" applyAlignment="1"/>
    <xf numFmtId="0" fontId="17" fillId="0" borderId="0" xfId="0" applyFont="1"/>
    <xf numFmtId="0" fontId="2" fillId="26" borderId="0" xfId="0" applyFont="1" applyFill="1"/>
    <xf numFmtId="0" fontId="2" fillId="27" borderId="0" xfId="0" applyFont="1" applyFill="1"/>
    <xf numFmtId="0" fontId="11" fillId="26" borderId="48" xfId="0" applyFont="1" applyFill="1" applyBorder="1" applyAlignment="1">
      <alignment horizontal="center"/>
    </xf>
    <xf numFmtId="0" fontId="11" fillId="27" borderId="49" xfId="0" applyFont="1" applyFill="1" applyBorder="1" applyAlignment="1">
      <alignment horizontal="center"/>
    </xf>
    <xf numFmtId="0" fontId="3" fillId="28" borderId="0" xfId="0" applyFont="1" applyFill="1" applyAlignment="1">
      <alignment horizontal="center"/>
    </xf>
    <xf numFmtId="0" fontId="3" fillId="29" borderId="0" xfId="0" applyFont="1" applyFill="1" applyAlignment="1">
      <alignment horizontal="center"/>
    </xf>
    <xf numFmtId="0" fontId="3" fillId="30" borderId="0" xfId="0" applyFont="1" applyFill="1" applyAlignment="1">
      <alignment horizontal="center"/>
    </xf>
    <xf numFmtId="0" fontId="3" fillId="31" borderId="0" xfId="0" applyFont="1" applyFill="1" applyAlignment="1">
      <alignment horizontal="center"/>
    </xf>
    <xf numFmtId="0" fontId="3" fillId="32" borderId="0" xfId="0" applyFont="1" applyFill="1" applyAlignment="1">
      <alignment horizontal="center"/>
    </xf>
    <xf numFmtId="0" fontId="3" fillId="33" borderId="0" xfId="0" applyFont="1" applyFill="1" applyAlignment="1">
      <alignment horizontal="center"/>
    </xf>
    <xf numFmtId="0" fontId="3" fillId="34" borderId="0" xfId="0" applyFont="1" applyFill="1" applyAlignment="1">
      <alignment horizontal="center"/>
    </xf>
    <xf numFmtId="0" fontId="3" fillId="35" borderId="0" xfId="0" applyFont="1" applyFill="1" applyAlignment="1">
      <alignment horizontal="center"/>
    </xf>
    <xf numFmtId="0" fontId="3" fillId="36" borderId="0" xfId="0" applyFont="1" applyFill="1" applyAlignment="1">
      <alignment horizontal="center"/>
    </xf>
    <xf numFmtId="0" fontId="2" fillId="36" borderId="0" xfId="0" applyFont="1" applyFill="1" applyAlignment="1">
      <alignment horizontal="center" vertical="center" wrapText="1"/>
    </xf>
    <xf numFmtId="0" fontId="2" fillId="35" borderId="0" xfId="0" applyFont="1" applyFill="1" applyAlignment="1">
      <alignment horizontal="center" vertical="center" wrapText="1"/>
    </xf>
    <xf numFmtId="0" fontId="2" fillId="34" borderId="0" xfId="0" applyFont="1" applyFill="1" applyAlignment="1">
      <alignment horizontal="center" vertical="center" wrapText="1"/>
    </xf>
    <xf numFmtId="0" fontId="2" fillId="33" borderId="0" xfId="0" applyFont="1" applyFill="1" applyAlignment="1">
      <alignment horizontal="center" vertical="center" wrapText="1"/>
    </xf>
    <xf numFmtId="0" fontId="2" fillId="32" borderId="0" xfId="0" applyFont="1" applyFill="1" applyAlignment="1">
      <alignment horizontal="center" vertical="center" wrapText="1"/>
    </xf>
    <xf numFmtId="0" fontId="2" fillId="31" borderId="0" xfId="0" applyFont="1" applyFill="1" applyAlignment="1">
      <alignment horizontal="center" vertical="center" wrapText="1"/>
    </xf>
    <xf numFmtId="0" fontId="2" fillId="30" borderId="0" xfId="0" applyFont="1" applyFill="1" applyAlignment="1">
      <alignment horizontal="center" vertical="center" wrapText="1"/>
    </xf>
    <xf numFmtId="0" fontId="2" fillId="29" borderId="0" xfId="0" applyFont="1" applyFill="1" applyAlignment="1">
      <alignment horizontal="center" vertical="center" wrapText="1"/>
    </xf>
    <xf numFmtId="0" fontId="2" fillId="28" borderId="0" xfId="0" applyFont="1" applyFill="1" applyAlignment="1">
      <alignment horizontal="center" vertical="center" wrapText="1"/>
    </xf>
    <xf numFmtId="0" fontId="2" fillId="5" borderId="0" xfId="0" applyFont="1" applyFill="1" applyAlignment="1">
      <alignment horizontal="center" wrapText="1"/>
    </xf>
    <xf numFmtId="0" fontId="9" fillId="38" borderId="59" xfId="0" applyFont="1" applyFill="1" applyBorder="1" applyAlignment="1">
      <alignment horizontal="center" vertical="center" wrapText="1"/>
    </xf>
    <xf numFmtId="0" fontId="0" fillId="38" borderId="59" xfId="0" applyFill="1" applyBorder="1"/>
    <xf numFmtId="0" fontId="19" fillId="0" borderId="60" xfId="0" applyFont="1" applyFill="1" applyBorder="1"/>
    <xf numFmtId="0" fontId="0" fillId="0" borderId="61" xfId="0" applyFill="1" applyBorder="1"/>
    <xf numFmtId="0" fontId="0" fillId="0" borderId="62" xfId="0" applyFill="1" applyBorder="1"/>
    <xf numFmtId="0" fontId="0" fillId="0" borderId="14" xfId="0" applyFill="1" applyBorder="1"/>
    <xf numFmtId="0" fontId="21" fillId="0" borderId="63" xfId="0" applyFont="1" applyFill="1" applyBorder="1"/>
    <xf numFmtId="0" fontId="0" fillId="0" borderId="64" xfId="0" applyFill="1" applyBorder="1"/>
    <xf numFmtId="0" fontId="0" fillId="0" borderId="65" xfId="0" applyFill="1" applyBorder="1"/>
    <xf numFmtId="0" fontId="0" fillId="39" borderId="66" xfId="0" applyFont="1" applyFill="1" applyBorder="1"/>
    <xf numFmtId="0" fontId="22" fillId="39" borderId="67" xfId="0" applyFont="1" applyFill="1" applyBorder="1"/>
    <xf numFmtId="0" fontId="22" fillId="39" borderId="68" xfId="0" applyFont="1" applyFill="1" applyBorder="1"/>
    <xf numFmtId="0" fontId="23" fillId="0" borderId="70" xfId="0" applyFont="1" applyFill="1" applyBorder="1"/>
    <xf numFmtId="0" fontId="0" fillId="0" borderId="71" xfId="0" applyFill="1" applyBorder="1"/>
    <xf numFmtId="0" fontId="0" fillId="0" borderId="72" xfId="0" applyFill="1" applyBorder="1"/>
    <xf numFmtId="0" fontId="0" fillId="0" borderId="0" xfId="0" applyFont="1" applyFill="1"/>
    <xf numFmtId="0" fontId="0" fillId="0" borderId="73" xfId="0" applyFont="1" applyFill="1" applyBorder="1"/>
    <xf numFmtId="0" fontId="22" fillId="0" borderId="74" xfId="0" applyFont="1" applyFill="1" applyBorder="1"/>
    <xf numFmtId="0" fontId="22" fillId="0" borderId="75" xfId="0" applyFont="1" applyFill="1" applyBorder="1"/>
    <xf numFmtId="0" fontId="0" fillId="0" borderId="0" xfId="0" applyFont="1" applyFill="1" applyAlignment="1">
      <alignment vertical="top" wrapText="1"/>
    </xf>
    <xf numFmtId="0" fontId="0" fillId="0" borderId="0" xfId="0" applyFill="1" applyAlignment="1">
      <alignment vertical="top" wrapText="1"/>
    </xf>
    <xf numFmtId="0" fontId="22" fillId="0" borderId="69" xfId="0" applyFont="1" applyFill="1" applyBorder="1"/>
    <xf numFmtId="0" fontId="22" fillId="0" borderId="77" xfId="0" applyFont="1" applyFill="1" applyBorder="1"/>
    <xf numFmtId="0" fontId="0" fillId="0" borderId="0" xfId="0" applyFont="1" applyFill="1" applyAlignment="1">
      <alignment horizontal="center" vertical="top" wrapText="1"/>
    </xf>
    <xf numFmtId="0" fontId="0" fillId="0" borderId="0" xfId="0" applyFill="1" applyAlignment="1">
      <alignment horizontal="center" vertical="top" wrapText="1"/>
    </xf>
    <xf numFmtId="0" fontId="0" fillId="0" borderId="78" xfId="0" applyFont="1" applyFill="1" applyBorder="1"/>
    <xf numFmtId="0" fontId="0" fillId="0" borderId="79" xfId="0" applyFill="1" applyBorder="1"/>
    <xf numFmtId="0" fontId="22" fillId="0" borderId="79" xfId="0" applyFont="1" applyFill="1" applyBorder="1"/>
    <xf numFmtId="0" fontId="0" fillId="0" borderId="80" xfId="0" applyFill="1" applyBorder="1"/>
    <xf numFmtId="0" fontId="0" fillId="0" borderId="81" xfId="0" applyFont="1" applyFill="1" applyBorder="1"/>
    <xf numFmtId="0" fontId="0" fillId="0" borderId="82" xfId="0" applyFill="1" applyBorder="1"/>
    <xf numFmtId="0" fontId="0" fillId="0" borderId="83" xfId="0" applyFill="1" applyBorder="1"/>
    <xf numFmtId="0" fontId="0" fillId="39" borderId="71" xfId="0" applyFill="1" applyBorder="1"/>
    <xf numFmtId="0" fontId="0" fillId="39" borderId="72" xfId="0" applyFill="1" applyBorder="1"/>
    <xf numFmtId="0" fontId="23" fillId="0" borderId="78" xfId="0" applyFont="1" applyFill="1" applyBorder="1"/>
    <xf numFmtId="0" fontId="0" fillId="0" borderId="79" xfId="0" applyFont="1" applyFill="1" applyBorder="1"/>
    <xf numFmtId="0" fontId="0" fillId="0" borderId="80" xfId="0" applyFont="1" applyFill="1" applyBorder="1"/>
    <xf numFmtId="0" fontId="0" fillId="0" borderId="85" xfId="0" applyFont="1" applyFill="1" applyBorder="1"/>
    <xf numFmtId="0" fontId="0" fillId="0" borderId="86" xfId="0" applyFont="1" applyFill="1" applyBorder="1"/>
    <xf numFmtId="0" fontId="22" fillId="0" borderId="85" xfId="0" applyFont="1" applyFill="1" applyBorder="1"/>
    <xf numFmtId="0" fontId="0" fillId="0" borderId="82" xfId="0" applyFont="1" applyFill="1" applyBorder="1"/>
    <xf numFmtId="0" fontId="0" fillId="0" borderId="83" xfId="0" applyFont="1" applyFill="1" applyBorder="1"/>
    <xf numFmtId="0" fontId="23" fillId="0" borderId="63" xfId="0" applyFont="1" applyFill="1" applyBorder="1"/>
    <xf numFmtId="0" fontId="0" fillId="0" borderId="64" xfId="0" applyFont="1" applyFill="1" applyBorder="1"/>
    <xf numFmtId="0" fontId="0" fillId="0" borderId="65" xfId="0" applyFont="1" applyFill="1" applyBorder="1"/>
    <xf numFmtId="0" fontId="22" fillId="0" borderId="0" xfId="0" applyFont="1" applyFill="1"/>
    <xf numFmtId="0" fontId="25" fillId="0" borderId="0" xfId="0" applyFont="1" applyFill="1"/>
    <xf numFmtId="0" fontId="25" fillId="0" borderId="0" xfId="0" applyFont="1" applyFill="1" applyAlignment="1">
      <alignment horizontal="right"/>
    </xf>
    <xf numFmtId="0" fontId="25" fillId="0" borderId="0" xfId="0" applyFont="1" applyAlignment="1">
      <alignment horizontal="right"/>
    </xf>
    <xf numFmtId="0" fontId="26" fillId="0" borderId="0" xfId="0" applyFont="1" applyAlignment="1">
      <alignment horizontal="left"/>
    </xf>
    <xf numFmtId="0" fontId="27" fillId="0" borderId="0" xfId="0" applyFont="1" applyAlignment="1">
      <alignment horizontal="center"/>
    </xf>
    <xf numFmtId="0" fontId="28" fillId="0" borderId="0" xfId="0" applyFont="1"/>
    <xf numFmtId="0" fontId="0" fillId="0" borderId="73" xfId="0" applyFill="1" applyBorder="1"/>
    <xf numFmtId="0" fontId="0" fillId="0" borderId="76" xfId="0" applyFill="1" applyBorder="1"/>
    <xf numFmtId="0" fontId="0" fillId="39" borderId="70" xfId="0" applyFill="1" applyBorder="1"/>
    <xf numFmtId="0" fontId="0" fillId="0" borderId="78" xfId="0" applyFill="1" applyBorder="1"/>
    <xf numFmtId="0" fontId="0" fillId="0" borderId="84" xfId="0" applyFill="1" applyBorder="1"/>
    <xf numFmtId="0" fontId="0" fillId="0" borderId="81" xfId="0" applyFill="1" applyBorder="1"/>
    <xf numFmtId="0" fontId="0" fillId="0" borderId="88" xfId="0" applyFill="1" applyBorder="1"/>
    <xf numFmtId="0" fontId="0" fillId="0" borderId="89" xfId="0" applyFill="1" applyBorder="1"/>
    <xf numFmtId="0" fontId="22" fillId="39" borderId="90" xfId="0" applyFont="1" applyFill="1" applyBorder="1"/>
    <xf numFmtId="0" fontId="22" fillId="0" borderId="88" xfId="0" applyFont="1" applyFill="1" applyBorder="1"/>
    <xf numFmtId="0" fontId="22" fillId="0" borderId="90" xfId="0" applyFont="1" applyFill="1" applyBorder="1"/>
    <xf numFmtId="0" fontId="23" fillId="0" borderId="89" xfId="0" applyFont="1" applyFill="1" applyBorder="1" applyAlignment="1">
      <alignment horizontal="center"/>
    </xf>
    <xf numFmtId="0" fontId="0" fillId="0" borderId="90" xfId="0" applyFill="1" applyBorder="1"/>
    <xf numFmtId="0" fontId="23" fillId="0" borderId="89" xfId="0" applyFont="1" applyFill="1" applyBorder="1" applyAlignment="1">
      <alignment horizontal="center" vertical="top" wrapText="1"/>
    </xf>
    <xf numFmtId="0" fontId="0" fillId="0" borderId="88" xfId="0" applyBorder="1"/>
    <xf numFmtId="0" fontId="23" fillId="0" borderId="88" xfId="0" applyFont="1" applyFill="1" applyBorder="1" applyAlignment="1">
      <alignment horizontal="center"/>
    </xf>
    <xf numFmtId="0" fontId="22" fillId="0" borderId="89" xfId="0" applyFont="1" applyFill="1" applyBorder="1"/>
    <xf numFmtId="0" fontId="0" fillId="0" borderId="88" xfId="0" applyFont="1" applyFill="1" applyBorder="1"/>
    <xf numFmtId="0" fontId="0" fillId="0" borderId="90" xfId="0" applyFont="1" applyFill="1" applyBorder="1"/>
    <xf numFmtId="0" fontId="0" fillId="0" borderId="41" xfId="0" applyBorder="1"/>
    <xf numFmtId="0" fontId="0" fillId="0" borderId="14" xfId="0" applyBorder="1"/>
    <xf numFmtId="0" fontId="20" fillId="0" borderId="0" xfId="0" applyFont="1"/>
    <xf numFmtId="0" fontId="0" fillId="0" borderId="0" xfId="0" applyFont="1"/>
    <xf numFmtId="0" fontId="29" fillId="0" borderId="0" xfId="0" applyFont="1"/>
    <xf numFmtId="0" fontId="29" fillId="0" borderId="0" xfId="0" applyFont="1" applyFill="1"/>
    <xf numFmtId="0" fontId="30" fillId="0" borderId="0" xfId="0" applyFont="1"/>
    <xf numFmtId="0" fontId="31" fillId="0" borderId="0" xfId="0" applyFont="1" applyBorder="1" applyAlignment="1"/>
    <xf numFmtId="0" fontId="24" fillId="0" borderId="0" xfId="0" applyFont="1" applyBorder="1" applyAlignment="1"/>
    <xf numFmtId="10" fontId="3" fillId="3" borderId="5" xfId="7" applyNumberFormat="1" applyFont="1" applyFill="1" applyBorder="1" applyAlignment="1">
      <alignment horizontal="center"/>
    </xf>
    <xf numFmtId="166" fontId="0" fillId="15" borderId="33" xfId="6" applyNumberFormat="1" applyFont="1" applyFill="1" applyBorder="1" applyAlignment="1">
      <alignment horizontal="center"/>
    </xf>
    <xf numFmtId="0" fontId="24" fillId="0" borderId="64" xfId="0" applyFont="1" applyFill="1" applyBorder="1"/>
    <xf numFmtId="0" fontId="24" fillId="0" borderId="88" xfId="0" applyFont="1" applyFill="1" applyBorder="1"/>
    <xf numFmtId="0" fontId="24" fillId="0" borderId="0" xfId="0" applyFont="1" applyFill="1" applyBorder="1"/>
    <xf numFmtId="167" fontId="0" fillId="0" borderId="88" xfId="0" applyNumberFormat="1" applyFill="1" applyBorder="1"/>
    <xf numFmtId="0" fontId="24" fillId="0" borderId="99" xfId="0" applyFont="1" applyFill="1" applyBorder="1"/>
    <xf numFmtId="0" fontId="0" fillId="0" borderId="100" xfId="0" applyFill="1" applyBorder="1"/>
    <xf numFmtId="0" fontId="0" fillId="0" borderId="102" xfId="0" applyFill="1" applyBorder="1" applyAlignment="1">
      <alignment horizontal="right"/>
    </xf>
    <xf numFmtId="0" fontId="0" fillId="0" borderId="41" xfId="0" applyFill="1" applyBorder="1" applyAlignment="1">
      <alignment horizontal="right"/>
    </xf>
    <xf numFmtId="2" fontId="0" fillId="0" borderId="41" xfId="0" applyNumberFormat="1" applyFill="1" applyBorder="1" applyAlignment="1">
      <alignment horizontal="right"/>
    </xf>
    <xf numFmtId="167" fontId="0" fillId="0" borderId="41" xfId="0" applyNumberFormat="1" applyFill="1" applyBorder="1" applyAlignment="1">
      <alignment horizontal="right"/>
    </xf>
    <xf numFmtId="0" fontId="0" fillId="0" borderId="26" xfId="0" applyFill="1" applyBorder="1" applyAlignment="1">
      <alignment horizontal="right"/>
    </xf>
    <xf numFmtId="2" fontId="0" fillId="0" borderId="0" xfId="0" applyNumberFormat="1"/>
    <xf numFmtId="0" fontId="20" fillId="0" borderId="60" xfId="0" applyFont="1" applyFill="1" applyBorder="1" applyAlignment="1">
      <alignment horizontal="center"/>
    </xf>
    <xf numFmtId="0" fontId="22" fillId="0" borderId="41" xfId="0" applyFont="1" applyFill="1" applyBorder="1"/>
    <xf numFmtId="168" fontId="3" fillId="14" borderId="0" xfId="6" applyNumberFormat="1" applyFont="1" applyFill="1" applyAlignment="1">
      <alignment horizontal="center"/>
    </xf>
    <xf numFmtId="9" fontId="3" fillId="3" borderId="5" xfId="7" applyFont="1" applyFill="1" applyBorder="1" applyAlignment="1">
      <alignment horizontal="center"/>
    </xf>
    <xf numFmtId="0" fontId="0" fillId="26" borderId="88" xfId="0" applyFill="1" applyBorder="1"/>
    <xf numFmtId="165" fontId="3" fillId="6" borderId="0" xfId="6" applyNumberFormat="1" applyFont="1" applyFill="1" applyAlignment="1">
      <alignment horizontal="center"/>
    </xf>
    <xf numFmtId="165" fontId="3" fillId="2" borderId="0" xfId="6" applyNumberFormat="1" applyFont="1" applyFill="1" applyAlignment="1">
      <alignment horizontal="center"/>
    </xf>
    <xf numFmtId="165" fontId="3" fillId="4" borderId="0" xfId="6" applyNumberFormat="1" applyFont="1" applyFill="1" applyAlignment="1">
      <alignment horizontal="center"/>
    </xf>
    <xf numFmtId="165" fontId="4" fillId="3" borderId="0" xfId="6" applyNumberFormat="1" applyFont="1" applyFill="1" applyBorder="1" applyAlignment="1">
      <alignment horizontal="center" vertical="center"/>
    </xf>
    <xf numFmtId="165" fontId="3" fillId="7" borderId="0" xfId="6" applyFont="1" applyFill="1" applyAlignment="1">
      <alignment horizontal="center"/>
    </xf>
    <xf numFmtId="0" fontId="24" fillId="26" borderId="0" xfId="0" applyFont="1" applyFill="1" applyBorder="1"/>
    <xf numFmtId="0" fontId="24" fillId="26" borderId="88" xfId="0" applyFont="1" applyFill="1" applyBorder="1"/>
    <xf numFmtId="49" fontId="0" fillId="0" borderId="0" xfId="0" applyNumberFormat="1" applyAlignment="1">
      <alignment horizontal="left" vertical="center" wrapText="1"/>
    </xf>
    <xf numFmtId="49" fontId="0" fillId="0" borderId="0" xfId="0" applyNumberFormat="1" applyAlignment="1">
      <alignment horizontal="center" wrapText="1"/>
    </xf>
    <xf numFmtId="0" fontId="24" fillId="0" borderId="125" xfId="0" applyFont="1" applyFill="1" applyBorder="1"/>
    <xf numFmtId="0" fontId="0" fillId="0" borderId="125" xfId="0" applyFill="1" applyBorder="1"/>
    <xf numFmtId="0" fontId="0" fillId="0" borderId="117" xfId="0" applyFill="1" applyBorder="1" applyAlignment="1">
      <alignment horizontal="right"/>
    </xf>
    <xf numFmtId="165" fontId="0" fillId="0" borderId="0" xfId="0" applyNumberFormat="1"/>
    <xf numFmtId="0" fontId="0" fillId="17" borderId="33" xfId="0" applyFill="1" applyBorder="1" applyAlignment="1">
      <alignment horizontal="center" vertical="center"/>
    </xf>
    <xf numFmtId="165" fontId="4" fillId="3" borderId="0" xfId="6" applyFont="1" applyFill="1" applyBorder="1" applyAlignment="1">
      <alignment horizontal="center" vertical="center"/>
    </xf>
    <xf numFmtId="165" fontId="3" fillId="4" borderId="0" xfId="6" applyFont="1" applyFill="1" applyAlignment="1">
      <alignment horizontal="center"/>
    </xf>
    <xf numFmtId="1" fontId="0" fillId="17" borderId="135" xfId="0" applyNumberFormat="1" applyFill="1" applyBorder="1" applyAlignment="1">
      <alignment horizontal="center" vertical="center"/>
    </xf>
    <xf numFmtId="2" fontId="0" fillId="0" borderId="117" xfId="0" applyNumberFormat="1" applyFill="1" applyBorder="1" applyAlignment="1">
      <alignment horizontal="right"/>
    </xf>
    <xf numFmtId="170" fontId="3" fillId="24" borderId="0" xfId="6" applyNumberFormat="1" applyFont="1" applyFill="1" applyAlignment="1">
      <alignment horizontal="center"/>
    </xf>
    <xf numFmtId="171" fontId="4" fillId="3" borderId="0" xfId="6" applyNumberFormat="1" applyFont="1" applyFill="1" applyBorder="1" applyAlignment="1">
      <alignment horizontal="center" vertical="center"/>
    </xf>
    <xf numFmtId="171" fontId="3" fillId="2" borderId="0" xfId="6" applyNumberFormat="1" applyFont="1" applyFill="1" applyAlignment="1">
      <alignment horizontal="center"/>
    </xf>
    <xf numFmtId="171" fontId="3" fillId="6" borderId="0" xfId="6" applyNumberFormat="1" applyFont="1" applyFill="1" applyAlignment="1">
      <alignment horizontal="center"/>
    </xf>
    <xf numFmtId="0" fontId="0" fillId="14" borderId="139" xfId="0" applyFill="1" applyBorder="1" applyAlignment="1">
      <alignment horizontal="center"/>
    </xf>
    <xf numFmtId="0" fontId="0" fillId="15" borderId="139" xfId="0" applyFill="1" applyBorder="1" applyAlignment="1">
      <alignment horizontal="center"/>
    </xf>
    <xf numFmtId="1" fontId="0" fillId="18" borderId="35" xfId="0" applyNumberFormat="1" applyFill="1" applyBorder="1" applyAlignment="1">
      <alignment horizontal="center"/>
    </xf>
    <xf numFmtId="1" fontId="0" fillId="16" borderId="33" xfId="6" applyNumberFormat="1" applyFont="1" applyFill="1" applyBorder="1" applyAlignment="1">
      <alignment horizontal="center" vertical="center"/>
    </xf>
    <xf numFmtId="1" fontId="0" fillId="18" borderId="135" xfId="0" applyNumberFormat="1" applyFill="1" applyBorder="1" applyAlignment="1">
      <alignment horizontal="center" vertical="center"/>
    </xf>
    <xf numFmtId="1" fontId="0" fillId="16" borderId="139" xfId="0" applyNumberFormat="1" applyFill="1" applyBorder="1" applyAlignment="1">
      <alignment horizontal="center"/>
    </xf>
    <xf numFmtId="1" fontId="3" fillId="4" borderId="0" xfId="6" applyNumberFormat="1" applyFont="1" applyFill="1" applyAlignment="1">
      <alignment horizontal="right"/>
    </xf>
    <xf numFmtId="1" fontId="4" fillId="3" borderId="0" xfId="6" applyNumberFormat="1" applyFont="1" applyFill="1" applyBorder="1" applyAlignment="1">
      <alignment horizontal="right" vertical="center"/>
    </xf>
    <xf numFmtId="1" fontId="3" fillId="2" borderId="0" xfId="6" applyNumberFormat="1" applyFont="1" applyFill="1" applyAlignment="1">
      <alignment horizontal="right"/>
    </xf>
    <xf numFmtId="1" fontId="3" fillId="6" borderId="0" xfId="6" applyNumberFormat="1" applyFont="1" applyFill="1" applyAlignment="1">
      <alignment horizontal="right"/>
    </xf>
    <xf numFmtId="1" fontId="3" fillId="24" borderId="0" xfId="6" applyNumberFormat="1" applyFont="1" applyFill="1" applyAlignment="1">
      <alignment horizontal="center"/>
    </xf>
    <xf numFmtId="166" fontId="3" fillId="8" borderId="0" xfId="6" applyNumberFormat="1" applyFont="1" applyFill="1" applyAlignment="1">
      <alignment horizontal="center"/>
    </xf>
    <xf numFmtId="165" fontId="3" fillId="25" borderId="0" xfId="6" applyFont="1" applyFill="1" applyAlignment="1">
      <alignment horizontal="center"/>
    </xf>
    <xf numFmtId="165" fontId="3" fillId="14" borderId="0" xfId="6" applyFont="1" applyFill="1" applyAlignment="1">
      <alignment horizontal="center"/>
    </xf>
    <xf numFmtId="1" fontId="0" fillId="16" borderId="33" xfId="6" applyNumberFormat="1" applyFont="1" applyFill="1" applyBorder="1" applyAlignment="1">
      <alignment horizontal="center"/>
    </xf>
    <xf numFmtId="0" fontId="0" fillId="17" borderId="42" xfId="0" applyFill="1" applyBorder="1" applyAlignment="1">
      <alignment horizontal="center"/>
    </xf>
    <xf numFmtId="1" fontId="0" fillId="17" borderId="33" xfId="0" applyNumberFormat="1" applyFill="1" applyBorder="1" applyAlignment="1">
      <alignment horizontal="center"/>
    </xf>
    <xf numFmtId="0" fontId="11" fillId="13" borderId="16" xfId="0" applyFont="1" applyFill="1" applyBorder="1" applyAlignment="1">
      <alignment horizontal="center"/>
    </xf>
    <xf numFmtId="0" fontId="4" fillId="0" borderId="0" xfId="1" applyFont="1" applyFill="1" applyBorder="1" applyAlignment="1">
      <alignment horizontal="center"/>
    </xf>
    <xf numFmtId="0" fontId="2" fillId="0" borderId="150" xfId="0" applyFont="1" applyBorder="1" applyAlignment="1"/>
    <xf numFmtId="0" fontId="2" fillId="0" borderId="151" xfId="0" applyFont="1" applyBorder="1" applyAlignment="1"/>
    <xf numFmtId="0" fontId="2" fillId="0" borderId="152" xfId="0" applyFont="1" applyBorder="1" applyAlignment="1"/>
    <xf numFmtId="0" fontId="3" fillId="0" borderId="0" xfId="0" applyFont="1" applyFill="1" applyAlignment="1">
      <alignment horizontal="left"/>
    </xf>
    <xf numFmtId="0" fontId="4" fillId="0" borderId="0" xfId="1" applyFont="1" applyFill="1" applyBorder="1" applyAlignment="1">
      <alignment horizontal="left"/>
    </xf>
    <xf numFmtId="0" fontId="3" fillId="0" borderId="7" xfId="0" applyFont="1" applyFill="1" applyBorder="1" applyAlignment="1">
      <alignment horizontal="left"/>
    </xf>
    <xf numFmtId="0" fontId="3" fillId="0" borderId="7" xfId="0" applyFont="1" applyFill="1" applyBorder="1"/>
    <xf numFmtId="0" fontId="3" fillId="0" borderId="8" xfId="0" applyFont="1" applyFill="1" applyBorder="1"/>
    <xf numFmtId="0" fontId="0" fillId="0" borderId="115" xfId="0" applyFill="1" applyBorder="1" applyAlignment="1">
      <alignment horizontal="center"/>
    </xf>
    <xf numFmtId="0" fontId="14" fillId="0" borderId="45" xfId="0" applyFont="1" applyFill="1" applyBorder="1" applyAlignment="1">
      <alignment horizontal="center"/>
    </xf>
    <xf numFmtId="0" fontId="14" fillId="0" borderId="51" xfId="0" applyFont="1" applyFill="1" applyBorder="1" applyAlignment="1">
      <alignment horizontal="center"/>
    </xf>
    <xf numFmtId="0" fontId="14" fillId="0" borderId="0" xfId="0" applyFont="1" applyFill="1" applyBorder="1" applyAlignment="1">
      <alignment horizontal="center"/>
    </xf>
    <xf numFmtId="0" fontId="13" fillId="0" borderId="58" xfId="0" applyFont="1" applyFill="1" applyBorder="1" applyAlignment="1">
      <alignment horizontal="center"/>
    </xf>
    <xf numFmtId="0" fontId="13" fillId="0" borderId="145" xfId="0" applyFont="1" applyFill="1" applyBorder="1" applyAlignment="1">
      <alignment horizontal="center"/>
    </xf>
    <xf numFmtId="0" fontId="12" fillId="0" borderId="26" xfId="0" applyFont="1" applyFill="1" applyBorder="1" applyAlignment="1">
      <alignment horizontal="center"/>
    </xf>
    <xf numFmtId="0" fontId="3" fillId="0" borderId="10" xfId="0" applyFont="1" applyFill="1" applyBorder="1" applyAlignment="1">
      <alignment horizontal="center"/>
    </xf>
    <xf numFmtId="0" fontId="14" fillId="0" borderId="23" xfId="0" applyFont="1" applyFill="1" applyBorder="1" applyAlignment="1">
      <alignment horizontal="center"/>
    </xf>
    <xf numFmtId="0" fontId="12" fillId="0" borderId="44" xfId="0" applyFont="1" applyFill="1" applyBorder="1" applyAlignment="1">
      <alignment horizontal="center"/>
    </xf>
    <xf numFmtId="0" fontId="3" fillId="0" borderId="17" xfId="0" applyFont="1" applyFill="1" applyBorder="1" applyAlignment="1">
      <alignment horizontal="center"/>
    </xf>
    <xf numFmtId="0" fontId="0" fillId="0" borderId="130" xfId="0" applyFill="1" applyBorder="1" applyAlignment="1">
      <alignment horizontal="center"/>
    </xf>
    <xf numFmtId="0" fontId="0" fillId="0" borderId="42" xfId="0" applyFill="1" applyBorder="1" applyAlignment="1">
      <alignment horizontal="center"/>
    </xf>
    <xf numFmtId="0" fontId="0" fillId="0" borderId="31" xfId="0" applyFill="1" applyBorder="1" applyAlignment="1">
      <alignment horizontal="center"/>
    </xf>
    <xf numFmtId="0" fontId="14" fillId="0" borderId="22" xfId="0" applyFont="1" applyFill="1" applyBorder="1" applyAlignment="1">
      <alignment horizontal="center"/>
    </xf>
    <xf numFmtId="0" fontId="14" fillId="0" borderId="138" xfId="0" applyFont="1" applyFill="1" applyBorder="1" applyAlignment="1">
      <alignment horizontal="center"/>
    </xf>
    <xf numFmtId="0" fontId="12" fillId="0" borderId="45" xfId="0" applyFont="1" applyFill="1" applyBorder="1" applyAlignment="1">
      <alignment horizontal="center"/>
    </xf>
    <xf numFmtId="0" fontId="14" fillId="0" borderId="126" xfId="0" applyFont="1" applyFill="1" applyBorder="1" applyAlignment="1">
      <alignment horizontal="center"/>
    </xf>
    <xf numFmtId="0" fontId="0" fillId="0" borderId="0" xfId="0" applyFill="1" applyAlignment="1">
      <alignment horizontal="center"/>
    </xf>
    <xf numFmtId="0" fontId="3" fillId="0" borderId="15" xfId="0" applyFont="1" applyFill="1" applyBorder="1" applyAlignment="1">
      <alignment horizontal="center"/>
    </xf>
    <xf numFmtId="1" fontId="0" fillId="17" borderId="118" xfId="0" applyNumberFormat="1" applyFill="1" applyBorder="1" applyAlignment="1">
      <alignment horizontal="center"/>
    </xf>
    <xf numFmtId="0" fontId="24" fillId="0" borderId="97" xfId="0" applyFont="1" applyFill="1" applyBorder="1"/>
    <xf numFmtId="0" fontId="24" fillId="0" borderId="124" xfId="0" applyFont="1" applyFill="1" applyBorder="1"/>
    <xf numFmtId="0" fontId="0" fillId="0" borderId="97" xfId="0" applyFont="1" applyFill="1" applyBorder="1"/>
    <xf numFmtId="0" fontId="34" fillId="0" borderId="88" xfId="0" applyFont="1" applyFill="1" applyBorder="1"/>
    <xf numFmtId="0" fontId="34" fillId="0" borderId="103" xfId="0" applyFont="1" applyFill="1" applyBorder="1"/>
    <xf numFmtId="169" fontId="34" fillId="0" borderId="5" xfId="0" applyNumberFormat="1" applyFont="1" applyFill="1" applyBorder="1"/>
    <xf numFmtId="0" fontId="34" fillId="0" borderId="5" xfId="0" applyFont="1" applyFill="1" applyBorder="1"/>
    <xf numFmtId="0" fontId="13" fillId="0" borderId="126" xfId="0" applyFont="1" applyFill="1" applyBorder="1" applyAlignment="1">
      <alignment horizontal="center"/>
    </xf>
    <xf numFmtId="0" fontId="12" fillId="0" borderId="126" xfId="0" applyFont="1" applyFill="1" applyBorder="1" applyAlignment="1">
      <alignment horizontal="center"/>
    </xf>
    <xf numFmtId="0" fontId="12" fillId="0" borderId="46" xfId="0" applyFont="1" applyFill="1" applyBorder="1" applyAlignment="1">
      <alignment horizontal="center"/>
    </xf>
    <xf numFmtId="0" fontId="12" fillId="0" borderId="55" xfId="0" applyFont="1" applyFill="1" applyBorder="1" applyAlignment="1">
      <alignment horizontal="center"/>
    </xf>
    <xf numFmtId="0" fontId="12" fillId="0" borderId="115" xfId="0" applyFont="1" applyFill="1" applyBorder="1" applyAlignment="1">
      <alignment horizontal="center"/>
    </xf>
    <xf numFmtId="0" fontId="12" fillId="0" borderId="140" xfId="0" applyFont="1" applyFill="1" applyBorder="1" applyAlignment="1">
      <alignment horizontal="center"/>
    </xf>
    <xf numFmtId="0" fontId="14" fillId="0" borderId="54" xfId="0" applyFont="1" applyFill="1" applyBorder="1" applyAlignment="1">
      <alignment horizontal="center"/>
    </xf>
    <xf numFmtId="0" fontId="12" fillId="0" borderId="113" xfId="0" applyFont="1" applyFill="1" applyBorder="1" applyAlignment="1">
      <alignment horizontal="center"/>
    </xf>
    <xf numFmtId="0" fontId="12" fillId="0" borderId="56" xfId="0" applyFont="1" applyFill="1" applyBorder="1" applyAlignment="1">
      <alignment horizontal="center"/>
    </xf>
    <xf numFmtId="0" fontId="0" fillId="0" borderId="57" xfId="0" applyFill="1" applyBorder="1"/>
    <xf numFmtId="0" fontId="12" fillId="0" borderId="141" xfId="0" applyFont="1" applyFill="1" applyBorder="1" applyAlignment="1">
      <alignment horizontal="center"/>
    </xf>
    <xf numFmtId="0" fontId="12" fillId="0" borderId="137" xfId="0" applyFont="1" applyFill="1" applyBorder="1" applyAlignment="1">
      <alignment horizontal="center"/>
    </xf>
    <xf numFmtId="166" fontId="34" fillId="26" borderId="40" xfId="6" applyNumberFormat="1" applyFont="1" applyFill="1" applyBorder="1" applyAlignment="1">
      <alignment horizontal="center" vertical="center"/>
    </xf>
    <xf numFmtId="166" fontId="34" fillId="26" borderId="115" xfId="6" applyNumberFormat="1" applyFont="1" applyFill="1" applyBorder="1" applyAlignment="1">
      <alignment horizontal="center"/>
    </xf>
    <xf numFmtId="166" fontId="34" fillId="26" borderId="58" xfId="6" applyNumberFormat="1" applyFont="1" applyFill="1" applyBorder="1"/>
    <xf numFmtId="0" fontId="34" fillId="26" borderId="115" xfId="0" applyFont="1" applyFill="1" applyBorder="1"/>
    <xf numFmtId="0" fontId="34" fillId="26" borderId="115" xfId="0" applyFont="1" applyFill="1" applyBorder="1" applyAlignment="1">
      <alignment horizontal="center"/>
    </xf>
    <xf numFmtId="169" fontId="34" fillId="27" borderId="105" xfId="0" applyNumberFormat="1" applyFont="1" applyFill="1" applyBorder="1" applyAlignment="1">
      <alignment horizontal="center"/>
    </xf>
    <xf numFmtId="0" fontId="34" fillId="27" borderId="105" xfId="0" applyFont="1" applyFill="1" applyBorder="1" applyAlignment="1">
      <alignment horizontal="center"/>
    </xf>
    <xf numFmtId="0" fontId="35" fillId="27" borderId="105" xfId="0" applyFont="1" applyFill="1" applyBorder="1" applyAlignment="1">
      <alignment horizontal="center"/>
    </xf>
    <xf numFmtId="169" fontId="35" fillId="27" borderId="105" xfId="0" applyNumberFormat="1" applyFont="1" applyFill="1" applyBorder="1" applyAlignment="1">
      <alignment horizontal="center"/>
    </xf>
    <xf numFmtId="0" fontId="34" fillId="27" borderId="105" xfId="0" applyFont="1" applyFill="1" applyBorder="1"/>
    <xf numFmtId="2" fontId="8" fillId="5" borderId="49" xfId="6" applyNumberFormat="1" applyFont="1" applyFill="1" applyBorder="1" applyAlignment="1">
      <alignment horizontal="center"/>
    </xf>
    <xf numFmtId="2" fontId="8" fillId="2" borderId="0" xfId="6" applyNumberFormat="1" applyFont="1" applyFill="1" applyAlignment="1">
      <alignment horizontal="center"/>
    </xf>
    <xf numFmtId="2" fontId="8" fillId="3" borderId="0" xfId="6" applyNumberFormat="1" applyFont="1" applyFill="1" applyAlignment="1">
      <alignment horizontal="center"/>
    </xf>
    <xf numFmtId="165" fontId="8" fillId="21" borderId="0" xfId="6" applyFont="1" applyFill="1" applyAlignment="1">
      <alignment horizontal="center"/>
    </xf>
    <xf numFmtId="2" fontId="8" fillId="10" borderId="0" xfId="6" applyNumberFormat="1" applyFont="1" applyFill="1" applyAlignment="1">
      <alignment horizontal="center"/>
    </xf>
    <xf numFmtId="2" fontId="8" fillId="22" borderId="0" xfId="6" applyNumberFormat="1" applyFont="1" applyFill="1" applyAlignment="1">
      <alignment horizontal="center"/>
    </xf>
    <xf numFmtId="2" fontId="8" fillId="19" borderId="0" xfId="6" applyNumberFormat="1" applyFont="1" applyFill="1" applyAlignment="1">
      <alignment horizontal="center"/>
    </xf>
    <xf numFmtId="2" fontId="8" fillId="20" borderId="0" xfId="6" applyNumberFormat="1" applyFont="1" applyFill="1" applyAlignment="1">
      <alignment horizontal="center"/>
    </xf>
    <xf numFmtId="165" fontId="8" fillId="23" borderId="0" xfId="6" applyFont="1" applyFill="1" applyAlignment="1">
      <alignment horizontal="center"/>
    </xf>
    <xf numFmtId="2" fontId="8" fillId="5" borderId="0" xfId="6" applyNumberFormat="1" applyFont="1" applyFill="1" applyBorder="1" applyAlignment="1">
      <alignment horizontal="center"/>
    </xf>
    <xf numFmtId="2" fontId="8" fillId="2" borderId="0" xfId="6" applyNumberFormat="1" applyFont="1" applyFill="1" applyBorder="1" applyAlignment="1">
      <alignment horizontal="center"/>
    </xf>
    <xf numFmtId="2" fontId="8" fillId="3" borderId="0" xfId="6" applyNumberFormat="1" applyFont="1" applyFill="1" applyBorder="1" applyAlignment="1">
      <alignment horizontal="center"/>
    </xf>
    <xf numFmtId="2" fontId="8" fillId="10" borderId="0" xfId="6" applyNumberFormat="1" applyFont="1" applyFill="1" applyBorder="1" applyAlignment="1">
      <alignment horizontal="center"/>
    </xf>
    <xf numFmtId="2" fontId="8" fillId="22" borderId="0" xfId="6" applyNumberFormat="1" applyFont="1" applyFill="1" applyBorder="1" applyAlignment="1">
      <alignment horizontal="center"/>
    </xf>
    <xf numFmtId="2" fontId="8" fillId="19" borderId="0" xfId="6" applyNumberFormat="1" applyFont="1" applyFill="1" applyBorder="1" applyAlignment="1">
      <alignment horizontal="center"/>
    </xf>
    <xf numFmtId="165" fontId="8" fillId="5" borderId="0" xfId="6" applyFont="1" applyFill="1" applyBorder="1" applyAlignment="1">
      <alignment horizontal="center"/>
    </xf>
    <xf numFmtId="165" fontId="8" fillId="2" borderId="0" xfId="6" applyFont="1" applyFill="1" applyBorder="1" applyAlignment="1">
      <alignment horizontal="center"/>
    </xf>
    <xf numFmtId="165" fontId="8" fillId="3" borderId="0" xfId="6" applyFont="1" applyFill="1" applyBorder="1" applyAlignment="1">
      <alignment horizontal="center"/>
    </xf>
    <xf numFmtId="165" fontId="8" fillId="10" borderId="0" xfId="6" applyFont="1" applyFill="1" applyBorder="1" applyAlignment="1">
      <alignment horizontal="center"/>
    </xf>
    <xf numFmtId="165" fontId="8" fillId="22" borderId="0" xfId="6" applyFont="1" applyFill="1" applyBorder="1" applyAlignment="1">
      <alignment horizontal="center"/>
    </xf>
    <xf numFmtId="165" fontId="8" fillId="19" borderId="0" xfId="6" applyFont="1" applyFill="1" applyBorder="1" applyAlignment="1">
      <alignment horizontal="center"/>
    </xf>
    <xf numFmtId="2" fontId="16" fillId="28" borderId="115" xfId="0" applyNumberFormat="1" applyFont="1" applyFill="1" applyBorder="1" applyAlignment="1">
      <alignment horizontal="center"/>
    </xf>
    <xf numFmtId="2" fontId="16" fillId="29" borderId="115" xfId="0" applyNumberFormat="1" applyFont="1" applyFill="1" applyBorder="1" applyAlignment="1">
      <alignment horizontal="center"/>
    </xf>
    <xf numFmtId="2" fontId="16" fillId="30" borderId="115" xfId="0" applyNumberFormat="1" applyFont="1" applyFill="1" applyBorder="1" applyAlignment="1">
      <alignment horizontal="center"/>
    </xf>
    <xf numFmtId="2" fontId="16" fillId="37" borderId="115" xfId="0" applyNumberFormat="1" applyFont="1" applyFill="1" applyBorder="1" applyAlignment="1">
      <alignment horizontal="center"/>
    </xf>
    <xf numFmtId="2" fontId="16" fillId="32" borderId="115" xfId="0" applyNumberFormat="1" applyFont="1" applyFill="1" applyBorder="1" applyAlignment="1">
      <alignment horizontal="center"/>
    </xf>
    <xf numFmtId="2" fontId="16" fillId="33" borderId="115" xfId="0" applyNumberFormat="1" applyFont="1" applyFill="1" applyBorder="1" applyAlignment="1">
      <alignment horizontal="center"/>
    </xf>
    <xf numFmtId="2" fontId="16" fillId="34" borderId="115" xfId="0" applyNumberFormat="1" applyFont="1" applyFill="1" applyBorder="1" applyAlignment="1">
      <alignment horizontal="center"/>
    </xf>
    <xf numFmtId="2" fontId="16" fillId="35" borderId="115" xfId="0" applyNumberFormat="1" applyFont="1" applyFill="1" applyBorder="1" applyAlignment="1">
      <alignment horizontal="center"/>
    </xf>
    <xf numFmtId="165" fontId="16" fillId="36" borderId="115" xfId="6" applyFont="1" applyFill="1" applyBorder="1" applyAlignment="1">
      <alignment horizontal="center"/>
    </xf>
    <xf numFmtId="2" fontId="16" fillId="28" borderId="115" xfId="0" applyNumberFormat="1" applyFont="1" applyFill="1" applyBorder="1" applyAlignment="1">
      <alignment horizontal="center" vertical="center"/>
    </xf>
    <xf numFmtId="2" fontId="16" fillId="29" borderId="115" xfId="0" applyNumberFormat="1" applyFont="1" applyFill="1" applyBorder="1" applyAlignment="1">
      <alignment horizontal="center" vertical="center"/>
    </xf>
    <xf numFmtId="2" fontId="16" fillId="30" borderId="115" xfId="0" applyNumberFormat="1" applyFont="1" applyFill="1" applyBorder="1" applyAlignment="1">
      <alignment horizontal="center" vertical="center"/>
    </xf>
    <xf numFmtId="2" fontId="16" fillId="37" borderId="115" xfId="0" applyNumberFormat="1" applyFont="1" applyFill="1" applyBorder="1" applyAlignment="1">
      <alignment horizontal="center" vertical="center"/>
    </xf>
    <xf numFmtId="2" fontId="16" fillId="32" borderId="115" xfId="0" applyNumberFormat="1" applyFont="1" applyFill="1" applyBorder="1" applyAlignment="1">
      <alignment horizontal="center" vertical="center"/>
    </xf>
    <xf numFmtId="2" fontId="16" fillId="33" borderId="115" xfId="0" applyNumberFormat="1" applyFont="1" applyFill="1" applyBorder="1" applyAlignment="1">
      <alignment horizontal="center" vertical="center"/>
    </xf>
    <xf numFmtId="2" fontId="16" fillId="34" borderId="115" xfId="0" applyNumberFormat="1" applyFont="1" applyFill="1" applyBorder="1" applyAlignment="1">
      <alignment horizontal="center" vertical="center"/>
    </xf>
    <xf numFmtId="2" fontId="16" fillId="35" borderId="115" xfId="0" applyNumberFormat="1" applyFont="1" applyFill="1" applyBorder="1" applyAlignment="1">
      <alignment horizontal="center" vertical="center"/>
    </xf>
    <xf numFmtId="165" fontId="16" fillId="36" borderId="115" xfId="6" applyFont="1" applyFill="1" applyBorder="1" applyAlignment="1">
      <alignment horizontal="center" vertical="center"/>
    </xf>
    <xf numFmtId="0" fontId="34" fillId="28" borderId="107" xfId="0" applyFont="1" applyFill="1" applyBorder="1"/>
    <xf numFmtId="0" fontId="34" fillId="29" borderId="107" xfId="0" applyFont="1" applyFill="1" applyBorder="1"/>
    <xf numFmtId="0" fontId="34" fillId="30" borderId="107" xfId="0" applyFont="1" applyFill="1" applyBorder="1"/>
    <xf numFmtId="0" fontId="34" fillId="37" borderId="107" xfId="0" applyFont="1" applyFill="1" applyBorder="1"/>
    <xf numFmtId="0" fontId="34" fillId="32" borderId="107" xfId="0" applyFont="1" applyFill="1" applyBorder="1"/>
    <xf numFmtId="0" fontId="34" fillId="33" borderId="107" xfId="0" applyFont="1" applyFill="1" applyBorder="1"/>
    <xf numFmtId="0" fontId="34" fillId="34" borderId="107" xfId="0" applyFont="1" applyFill="1" applyBorder="1"/>
    <xf numFmtId="0" fontId="34" fillId="35" borderId="107" xfId="0" applyFont="1" applyFill="1" applyBorder="1"/>
    <xf numFmtId="0" fontId="34" fillId="36" borderId="107" xfId="0" applyFont="1" applyFill="1" applyBorder="1"/>
    <xf numFmtId="0" fontId="34" fillId="28" borderId="38" xfId="0" applyFont="1" applyFill="1" applyBorder="1"/>
    <xf numFmtId="0" fontId="34" fillId="29" borderId="38" xfId="0" applyFont="1" applyFill="1" applyBorder="1"/>
    <xf numFmtId="0" fontId="34" fillId="30" borderId="38" xfId="0" applyFont="1" applyFill="1" applyBorder="1"/>
    <xf numFmtId="0" fontId="34" fillId="37" borderId="38" xfId="0" applyFont="1" applyFill="1" applyBorder="1"/>
    <xf numFmtId="0" fontId="34" fillId="32" borderId="38" xfId="0" applyFont="1" applyFill="1" applyBorder="1"/>
    <xf numFmtId="0" fontId="34" fillId="33" borderId="38" xfId="0" applyFont="1" applyFill="1" applyBorder="1"/>
    <xf numFmtId="0" fontId="34" fillId="34" borderId="38" xfId="0" applyFont="1" applyFill="1" applyBorder="1"/>
    <xf numFmtId="0" fontId="34" fillId="35" borderId="38" xfId="0" applyFont="1" applyFill="1" applyBorder="1"/>
    <xf numFmtId="0" fontId="34" fillId="36" borderId="38" xfId="0" applyFont="1" applyFill="1" applyBorder="1"/>
    <xf numFmtId="0" fontId="34" fillId="28" borderId="106" xfId="0" applyFont="1" applyFill="1" applyBorder="1"/>
    <xf numFmtId="0" fontId="34" fillId="29" borderId="106" xfId="0" applyFont="1" applyFill="1" applyBorder="1"/>
    <xf numFmtId="0" fontId="34" fillId="30" borderId="106" xfId="0" applyFont="1" applyFill="1" applyBorder="1"/>
    <xf numFmtId="0" fontId="34" fillId="37" borderId="106" xfId="0" applyFont="1" applyFill="1" applyBorder="1"/>
    <xf numFmtId="0" fontId="34" fillId="32" borderId="106" xfId="0" applyFont="1" applyFill="1" applyBorder="1"/>
    <xf numFmtId="0" fontId="34" fillId="33" borderId="106" xfId="0" applyFont="1" applyFill="1" applyBorder="1"/>
    <xf numFmtId="0" fontId="34" fillId="34" borderId="106" xfId="0" applyFont="1" applyFill="1" applyBorder="1"/>
    <xf numFmtId="0" fontId="34" fillId="35" borderId="106" xfId="0" applyFont="1" applyFill="1" applyBorder="1"/>
    <xf numFmtId="0" fontId="34" fillId="36" borderId="106" xfId="0" applyFont="1" applyFill="1" applyBorder="1"/>
    <xf numFmtId="0" fontId="34" fillId="28" borderId="37" xfId="0" applyFont="1" applyFill="1" applyBorder="1"/>
    <xf numFmtId="0" fontId="34" fillId="29" borderId="37" xfId="0" applyFont="1" applyFill="1" applyBorder="1"/>
    <xf numFmtId="0" fontId="34" fillId="30" borderId="37" xfId="0" applyFont="1" applyFill="1" applyBorder="1"/>
    <xf numFmtId="0" fontId="34" fillId="37" borderId="37" xfId="0" applyFont="1" applyFill="1" applyBorder="1"/>
    <xf numFmtId="0" fontId="34" fillId="32" borderId="37" xfId="0" applyFont="1" applyFill="1" applyBorder="1"/>
    <xf numFmtId="0" fontId="34" fillId="33" borderId="37" xfId="0" applyFont="1" applyFill="1" applyBorder="1"/>
    <xf numFmtId="0" fontId="34" fillId="34" borderId="37" xfId="0" applyFont="1" applyFill="1" applyBorder="1"/>
    <xf numFmtId="0" fontId="34" fillId="35" borderId="37" xfId="0" applyFont="1" applyFill="1" applyBorder="1"/>
    <xf numFmtId="0" fontId="34" fillId="36" borderId="37" xfId="0" applyFont="1" applyFill="1" applyBorder="1"/>
    <xf numFmtId="2" fontId="16" fillId="28" borderId="58" xfId="0" applyNumberFormat="1" applyFont="1" applyFill="1" applyBorder="1" applyAlignment="1">
      <alignment horizontal="center"/>
    </xf>
    <xf numFmtId="2" fontId="16" fillId="29" borderId="58" xfId="0" applyNumberFormat="1" applyFont="1" applyFill="1" applyBorder="1" applyAlignment="1">
      <alignment horizontal="center"/>
    </xf>
    <xf numFmtId="2" fontId="16" fillId="30" borderId="58" xfId="0" applyNumberFormat="1" applyFont="1" applyFill="1" applyBorder="1" applyAlignment="1">
      <alignment horizontal="center"/>
    </xf>
    <xf numFmtId="2" fontId="16" fillId="37" borderId="58" xfId="0" applyNumberFormat="1" applyFont="1" applyFill="1" applyBorder="1" applyAlignment="1">
      <alignment horizontal="center"/>
    </xf>
    <xf numFmtId="2" fontId="16" fillId="32" borderId="58" xfId="0" applyNumberFormat="1" applyFont="1" applyFill="1" applyBorder="1" applyAlignment="1">
      <alignment horizontal="center"/>
    </xf>
    <xf numFmtId="2" fontId="16" fillId="33" borderId="58" xfId="0" applyNumberFormat="1" applyFont="1" applyFill="1" applyBorder="1" applyAlignment="1">
      <alignment horizontal="center"/>
    </xf>
    <xf numFmtId="2" fontId="16" fillId="34" borderId="58" xfId="0" applyNumberFormat="1" applyFont="1" applyFill="1" applyBorder="1" applyAlignment="1">
      <alignment horizontal="center"/>
    </xf>
    <xf numFmtId="2" fontId="16" fillId="35" borderId="58" xfId="0" applyNumberFormat="1" applyFont="1" applyFill="1" applyBorder="1" applyAlignment="1">
      <alignment horizontal="center"/>
    </xf>
    <xf numFmtId="165" fontId="16" fillId="36" borderId="58" xfId="6" applyFont="1" applyFill="1" applyBorder="1" applyAlignment="1">
      <alignment horizontal="center"/>
    </xf>
    <xf numFmtId="0" fontId="0" fillId="11" borderId="0" xfId="0" applyFill="1"/>
    <xf numFmtId="0" fontId="10" fillId="11" borderId="0" xfId="0" applyFont="1" applyFill="1"/>
    <xf numFmtId="0" fontId="34" fillId="38" borderId="59" xfId="0" applyFont="1" applyFill="1" applyBorder="1" applyAlignment="1">
      <alignment horizontal="center"/>
    </xf>
    <xf numFmtId="0" fontId="34" fillId="0" borderId="0" xfId="0" applyFont="1"/>
    <xf numFmtId="0" fontId="34" fillId="38" borderId="59" xfId="0" applyFont="1" applyFill="1" applyBorder="1"/>
    <xf numFmtId="0" fontId="34" fillId="0" borderId="0" xfId="0" applyFont="1" applyAlignment="1">
      <alignment horizontal="center"/>
    </xf>
    <xf numFmtId="0" fontId="34" fillId="38" borderId="59" xfId="0" applyFont="1" applyFill="1" applyBorder="1" applyAlignment="1">
      <alignment horizontal="center" vertical="center"/>
    </xf>
    <xf numFmtId="2" fontId="16" fillId="30" borderId="115" xfId="6" applyNumberFormat="1" applyFont="1" applyFill="1" applyBorder="1" applyAlignment="1">
      <alignment horizontal="center" vertical="center"/>
    </xf>
    <xf numFmtId="0" fontId="34" fillId="0" borderId="109" xfId="0" applyFont="1" applyFill="1" applyBorder="1"/>
    <xf numFmtId="0" fontId="34" fillId="0" borderId="116" xfId="0" applyFont="1" applyFill="1" applyBorder="1"/>
    <xf numFmtId="49" fontId="34" fillId="0" borderId="109" xfId="0" applyNumberFormat="1" applyFont="1" applyFill="1" applyBorder="1" applyAlignment="1">
      <alignment horizontal="center" vertical="center"/>
    </xf>
    <xf numFmtId="49" fontId="34" fillId="0" borderId="116" xfId="0" applyNumberFormat="1" applyFont="1" applyFill="1" applyBorder="1" applyAlignment="1">
      <alignment horizontal="center" vertical="center"/>
    </xf>
    <xf numFmtId="0" fontId="34" fillId="0" borderId="0" xfId="0" applyFont="1" applyFill="1"/>
    <xf numFmtId="0" fontId="3" fillId="0" borderId="114" xfId="0" applyFont="1" applyBorder="1" applyAlignment="1"/>
    <xf numFmtId="0" fontId="9" fillId="8" borderId="157" xfId="0" applyFont="1" applyFill="1" applyBorder="1" applyAlignment="1">
      <alignment horizontal="center"/>
    </xf>
    <xf numFmtId="0" fontId="3" fillId="8" borderId="158" xfId="0" applyFont="1" applyFill="1" applyBorder="1" applyAlignment="1">
      <alignment horizontal="center"/>
    </xf>
    <xf numFmtId="166" fontId="3" fillId="8" borderId="158" xfId="6" applyNumberFormat="1" applyFont="1" applyFill="1" applyBorder="1" applyAlignment="1">
      <alignment horizontal="center"/>
    </xf>
    <xf numFmtId="166" fontId="3" fillId="8" borderId="158" xfId="6" applyNumberFormat="1" applyFont="1" applyFill="1" applyBorder="1" applyAlignment="1">
      <alignment horizontal="center" vertical="center"/>
    </xf>
    <xf numFmtId="0" fontId="11" fillId="9" borderId="159" xfId="0" applyFont="1" applyFill="1" applyBorder="1" applyAlignment="1">
      <alignment horizontal="center"/>
    </xf>
    <xf numFmtId="0" fontId="11" fillId="3" borderId="159" xfId="0" applyFont="1" applyFill="1" applyBorder="1" applyAlignment="1">
      <alignment horizontal="center"/>
    </xf>
    <xf numFmtId="165" fontId="3" fillId="9" borderId="160" xfId="6" applyNumberFormat="1" applyFont="1" applyFill="1" applyBorder="1"/>
    <xf numFmtId="0" fontId="3" fillId="3" borderId="160" xfId="6" applyNumberFormat="1" applyFont="1" applyFill="1" applyBorder="1" applyAlignment="1">
      <alignment horizontal="center" vertical="top"/>
    </xf>
    <xf numFmtId="10" fontId="3" fillId="3" borderId="160" xfId="7" applyNumberFormat="1" applyFont="1" applyFill="1" applyBorder="1" applyAlignment="1">
      <alignment horizontal="center" vertical="top"/>
    </xf>
    <xf numFmtId="9" fontId="3" fillId="3" borderId="160" xfId="7" applyNumberFormat="1" applyFont="1" applyFill="1" applyBorder="1" applyAlignment="1">
      <alignment horizontal="center" vertical="top"/>
    </xf>
    <xf numFmtId="0" fontId="3" fillId="0" borderId="153" xfId="0" applyFont="1" applyBorder="1" applyAlignment="1"/>
    <xf numFmtId="0" fontId="11" fillId="13" borderId="157" xfId="0" applyFont="1" applyFill="1" applyBorder="1" applyAlignment="1">
      <alignment horizontal="center"/>
    </xf>
    <xf numFmtId="10" fontId="3" fillId="3" borderId="160" xfId="6" applyNumberFormat="1" applyFont="1" applyFill="1" applyBorder="1" applyAlignment="1">
      <alignment horizontal="center" vertical="top"/>
    </xf>
    <xf numFmtId="0" fontId="3" fillId="40" borderId="0" xfId="0" applyFont="1" applyFill="1" applyAlignment="1">
      <alignment horizontal="center"/>
    </xf>
    <xf numFmtId="2" fontId="3" fillId="40" borderId="0" xfId="0" applyNumberFormat="1" applyFont="1" applyFill="1" applyAlignment="1">
      <alignment horizontal="right"/>
    </xf>
    <xf numFmtId="0" fontId="0" fillId="0" borderId="103" xfId="0" applyFill="1" applyBorder="1"/>
    <xf numFmtId="169" fontId="0" fillId="0" borderId="5" xfId="0" applyNumberFormat="1" applyFill="1" applyBorder="1"/>
    <xf numFmtId="0" fontId="0" fillId="0" borderId="5" xfId="0" applyFill="1" applyBorder="1"/>
    <xf numFmtId="0" fontId="0" fillId="0" borderId="104" xfId="0" applyFill="1" applyBorder="1"/>
    <xf numFmtId="0" fontId="14" fillId="0" borderId="88" xfId="0" applyFont="1" applyFill="1" applyBorder="1"/>
    <xf numFmtId="0" fontId="14" fillId="0" borderId="5" xfId="0" applyFont="1" applyFill="1" applyBorder="1"/>
    <xf numFmtId="169" fontId="14" fillId="0" borderId="5" xfId="0" applyNumberFormat="1" applyFont="1" applyFill="1" applyBorder="1"/>
    <xf numFmtId="0" fontId="14" fillId="0" borderId="0" xfId="0" applyFont="1"/>
    <xf numFmtId="1" fontId="0" fillId="14" borderId="33" xfId="6" applyNumberFormat="1" applyFont="1" applyFill="1" applyBorder="1" applyAlignment="1">
      <alignment horizontal="center"/>
    </xf>
    <xf numFmtId="0" fontId="24" fillId="0" borderId="165" xfId="0" applyFont="1" applyFill="1" applyBorder="1"/>
    <xf numFmtId="0" fontId="0" fillId="0" borderId="165" xfId="0" applyFill="1" applyBorder="1"/>
    <xf numFmtId="0" fontId="14" fillId="0" borderId="165" xfId="0" applyFont="1" applyFill="1" applyBorder="1"/>
    <xf numFmtId="2" fontId="34" fillId="16" borderId="33" xfId="0" applyNumberFormat="1" applyFont="1" applyFill="1" applyBorder="1" applyAlignment="1">
      <alignment horizontal="center"/>
    </xf>
    <xf numFmtId="166" fontId="4" fillId="4" borderId="0" xfId="6" applyNumberFormat="1" applyFont="1" applyFill="1" applyAlignment="1">
      <alignment horizontal="center"/>
    </xf>
    <xf numFmtId="166" fontId="4" fillId="2" borderId="0" xfId="6" applyNumberFormat="1" applyFont="1" applyFill="1" applyAlignment="1">
      <alignment horizontal="center"/>
    </xf>
    <xf numFmtId="166" fontId="4" fillId="6" borderId="0" xfId="6" applyNumberFormat="1" applyFont="1" applyFill="1" applyAlignment="1">
      <alignment horizontal="center"/>
    </xf>
    <xf numFmtId="1" fontId="4" fillId="6" borderId="0" xfId="6" applyNumberFormat="1" applyFont="1" applyFill="1" applyAlignment="1">
      <alignment horizontal="right"/>
    </xf>
    <xf numFmtId="166" fontId="4" fillId="24" borderId="0" xfId="6" applyNumberFormat="1" applyFont="1" applyFill="1" applyAlignment="1">
      <alignment horizontal="center"/>
    </xf>
    <xf numFmtId="0" fontId="14" fillId="0" borderId="100" xfId="0" applyFont="1" applyFill="1" applyBorder="1"/>
    <xf numFmtId="0" fontId="14" fillId="0" borderId="104" xfId="0" applyFont="1" applyFill="1" applyBorder="1"/>
    <xf numFmtId="166" fontId="0" fillId="0" borderId="0" xfId="6" applyNumberFormat="1" applyFont="1" applyBorder="1"/>
    <xf numFmtId="1" fontId="14" fillId="14" borderId="33" xfId="0" applyNumberFormat="1" applyFont="1" applyFill="1" applyBorder="1" applyAlignment="1">
      <alignment horizontal="center"/>
    </xf>
    <xf numFmtId="166" fontId="3" fillId="0" borderId="0" xfId="0" applyNumberFormat="1" applyFont="1"/>
    <xf numFmtId="0" fontId="14" fillId="14" borderId="33" xfId="0" applyFont="1" applyFill="1" applyBorder="1" applyAlignment="1">
      <alignment horizontal="center"/>
    </xf>
    <xf numFmtId="0" fontId="0" fillId="17" borderId="35" xfId="0" applyFill="1" applyBorder="1" applyAlignment="1">
      <alignment horizontal="center"/>
    </xf>
    <xf numFmtId="0" fontId="0" fillId="17" borderId="32" xfId="0" applyFill="1" applyBorder="1" applyAlignment="1">
      <alignment horizontal="center"/>
    </xf>
    <xf numFmtId="0" fontId="0" fillId="17" borderId="118" xfId="0" applyFill="1" applyBorder="1" applyAlignment="1">
      <alignment horizontal="center"/>
    </xf>
    <xf numFmtId="0" fontId="0" fillId="18" borderId="42" xfId="0" applyFill="1" applyBorder="1" applyAlignment="1">
      <alignment horizontal="center"/>
    </xf>
    <xf numFmtId="0" fontId="37" fillId="0" borderId="0" xfId="0" applyFont="1" applyFill="1"/>
    <xf numFmtId="0" fontId="13" fillId="0" borderId="45" xfId="0" applyFont="1" applyFill="1" applyBorder="1" applyAlignment="1">
      <alignment horizontal="center"/>
    </xf>
    <xf numFmtId="0" fontId="13" fillId="0" borderId="51" xfId="0" applyFont="1" applyFill="1" applyBorder="1" applyAlignment="1">
      <alignment horizontal="center"/>
    </xf>
    <xf numFmtId="0" fontId="13" fillId="0" borderId="42" xfId="0" applyFont="1" applyFill="1" applyBorder="1" applyAlignment="1">
      <alignment horizontal="center"/>
    </xf>
    <xf numFmtId="0" fontId="12" fillId="0" borderId="166" xfId="0" applyFont="1" applyFill="1" applyBorder="1" applyAlignment="1">
      <alignment horizontal="center"/>
    </xf>
    <xf numFmtId="0" fontId="14" fillId="0" borderId="44" xfId="0" applyFont="1" applyFill="1" applyBorder="1" applyAlignment="1">
      <alignment horizontal="center"/>
    </xf>
    <xf numFmtId="0" fontId="14" fillId="0" borderId="114" xfId="0" applyFont="1" applyFill="1" applyBorder="1" applyAlignment="1">
      <alignment horizontal="center"/>
    </xf>
    <xf numFmtId="165" fontId="16" fillId="36" borderId="115" xfId="0" applyNumberFormat="1" applyFont="1" applyFill="1" applyBorder="1" applyAlignment="1">
      <alignment horizontal="center"/>
    </xf>
    <xf numFmtId="0" fontId="9" fillId="0" borderId="157" xfId="0" applyFont="1" applyBorder="1" applyAlignment="1">
      <alignment horizontal="center"/>
    </xf>
    <xf numFmtId="0" fontId="9" fillId="0" borderId="170" xfId="0" applyFont="1" applyBorder="1" applyAlignment="1">
      <alignment horizontal="center" wrapText="1"/>
    </xf>
    <xf numFmtId="0" fontId="11" fillId="17" borderId="171" xfId="0" applyFont="1" applyFill="1" applyBorder="1" applyAlignment="1">
      <alignment horizontal="center"/>
    </xf>
    <xf numFmtId="165" fontId="0" fillId="0" borderId="0" xfId="6" applyFont="1"/>
    <xf numFmtId="0" fontId="14" fillId="0" borderId="109" xfId="0" applyFont="1" applyFill="1" applyBorder="1"/>
    <xf numFmtId="0" fontId="3" fillId="0" borderId="156" xfId="0" applyFont="1" applyBorder="1" applyAlignment="1"/>
    <xf numFmtId="0" fontId="0" fillId="0" borderId="59" xfId="0" applyBorder="1" applyAlignment="1">
      <alignment horizontal="right"/>
    </xf>
    <xf numFmtId="0" fontId="14" fillId="0" borderId="116" xfId="0" applyFont="1" applyFill="1" applyBorder="1"/>
    <xf numFmtId="166" fontId="0" fillId="0" borderId="59" xfId="6" applyNumberFormat="1" applyFont="1" applyBorder="1" applyAlignment="1">
      <alignment horizontal="right"/>
    </xf>
    <xf numFmtId="165" fontId="3" fillId="9" borderId="160" xfId="6" applyFont="1" applyFill="1" applyBorder="1"/>
    <xf numFmtId="1" fontId="3" fillId="4" borderId="0" xfId="6" applyNumberFormat="1" applyFont="1" applyFill="1" applyAlignment="1">
      <alignment horizontal="center"/>
    </xf>
    <xf numFmtId="0" fontId="4" fillId="3" borderId="158" xfId="1" applyNumberFormat="1" applyFont="1" applyFill="1" applyBorder="1" applyAlignment="1">
      <alignment horizontal="left"/>
    </xf>
    <xf numFmtId="166" fontId="4" fillId="3" borderId="0" xfId="6" applyNumberFormat="1" applyFont="1" applyFill="1" applyAlignment="1">
      <alignment horizontal="center" vertical="center"/>
    </xf>
    <xf numFmtId="0" fontId="3" fillId="7" borderId="0" xfId="6" applyNumberFormat="1" applyFont="1" applyFill="1" applyAlignment="1">
      <alignment horizontal="center"/>
    </xf>
    <xf numFmtId="165" fontId="38" fillId="7" borderId="0" xfId="6" applyNumberFormat="1" applyFont="1" applyFill="1" applyAlignment="1">
      <alignment horizontal="center"/>
    </xf>
    <xf numFmtId="165" fontId="3" fillId="9" borderId="5" xfId="6" applyNumberFormat="1" applyFont="1" applyFill="1" applyBorder="1" applyAlignment="1">
      <alignment horizontal="center"/>
    </xf>
    <xf numFmtId="165" fontId="3" fillId="12" borderId="5" xfId="6" applyNumberFormat="1" applyFont="1" applyFill="1" applyBorder="1" applyAlignment="1">
      <alignment horizontal="center"/>
    </xf>
    <xf numFmtId="0" fontId="0" fillId="0" borderId="0" xfId="0" applyFont="1" applyBorder="1"/>
    <xf numFmtId="165" fontId="3" fillId="9" borderId="160" xfId="6" applyNumberFormat="1" applyFont="1" applyFill="1" applyBorder="1" applyAlignment="1">
      <alignment horizontal="center"/>
    </xf>
    <xf numFmtId="0" fontId="34" fillId="0" borderId="165" xfId="0" applyFont="1" applyFill="1" applyBorder="1"/>
    <xf numFmtId="0" fontId="12" fillId="0" borderId="117" xfId="0" applyFont="1" applyFill="1" applyBorder="1" applyAlignment="1">
      <alignment horizontal="center"/>
    </xf>
    <xf numFmtId="1" fontId="0" fillId="17" borderId="45" xfId="0" applyNumberFormat="1" applyFill="1" applyBorder="1" applyAlignment="1">
      <alignment horizontal="center"/>
    </xf>
    <xf numFmtId="1" fontId="4" fillId="3" borderId="0" xfId="6" applyNumberFormat="1" applyFont="1" applyFill="1" applyBorder="1" applyAlignment="1">
      <alignment horizontal="center" vertical="center"/>
    </xf>
    <xf numFmtId="1" fontId="3" fillId="6" borderId="0" xfId="6" applyNumberFormat="1" applyFont="1" applyFill="1" applyAlignment="1">
      <alignment horizontal="center"/>
    </xf>
    <xf numFmtId="165" fontId="3" fillId="40" borderId="0" xfId="6" applyFont="1" applyFill="1" applyAlignment="1">
      <alignment horizontal="right"/>
    </xf>
    <xf numFmtId="166" fontId="39" fillId="5" borderId="0" xfId="6" applyNumberFormat="1" applyFont="1" applyFill="1" applyAlignment="1">
      <alignment horizontal="center"/>
    </xf>
    <xf numFmtId="0" fontId="39" fillId="5" borderId="0" xfId="0" applyFont="1" applyFill="1" applyAlignment="1">
      <alignment horizontal="center"/>
    </xf>
    <xf numFmtId="0" fontId="4" fillId="0" borderId="0" xfId="1" applyFont="1" applyFill="1" applyAlignment="1">
      <alignment horizontal="center"/>
    </xf>
    <xf numFmtId="0" fontId="3" fillId="0" borderId="155" xfId="0" applyFont="1" applyBorder="1" applyAlignment="1"/>
    <xf numFmtId="0" fontId="2" fillId="0" borderId="114" xfId="0" applyFont="1" applyBorder="1" applyAlignment="1"/>
    <xf numFmtId="0" fontId="32" fillId="0" borderId="0" xfId="0" applyFont="1" applyFill="1" applyBorder="1"/>
    <xf numFmtId="0" fontId="24" fillId="0" borderId="0" xfId="0" applyFont="1" applyFill="1" applyBorder="1" applyAlignment="1"/>
    <xf numFmtId="0" fontId="31" fillId="0" borderId="0" xfId="0" applyFont="1" applyFill="1" applyBorder="1" applyAlignment="1"/>
    <xf numFmtId="0" fontId="3" fillId="0" borderId="0" xfId="0" applyFont="1" applyFill="1" applyBorder="1"/>
    <xf numFmtId="0" fontId="3" fillId="40" borderId="0" xfId="6" applyNumberFormat="1" applyFont="1" applyFill="1" applyAlignment="1">
      <alignment horizontal="right"/>
    </xf>
    <xf numFmtId="0" fontId="3" fillId="0" borderId="158" xfId="0" applyFont="1" applyFill="1" applyBorder="1" applyAlignment="1">
      <alignment horizontal="left"/>
    </xf>
    <xf numFmtId="0" fontId="3" fillId="0" borderId="158" xfId="0" applyFont="1" applyFill="1" applyBorder="1"/>
    <xf numFmtId="0" fontId="4" fillId="0" borderId="158" xfId="1" applyNumberFormat="1" applyFont="1" applyFill="1" applyBorder="1" applyAlignment="1">
      <alignment horizontal="left"/>
    </xf>
    <xf numFmtId="1" fontId="0" fillId="17" borderId="31" xfId="0" applyNumberFormat="1" applyFill="1" applyBorder="1" applyAlignment="1">
      <alignment horizontal="center" vertical="center"/>
    </xf>
    <xf numFmtId="0" fontId="13" fillId="0" borderId="118" xfId="0" applyFont="1" applyFill="1" applyBorder="1" applyAlignment="1">
      <alignment horizontal="center"/>
    </xf>
    <xf numFmtId="0" fontId="13" fillId="0" borderId="168" xfId="0" applyFont="1" applyFill="1" applyBorder="1" applyAlignment="1">
      <alignment horizontal="center"/>
    </xf>
    <xf numFmtId="0" fontId="13" fillId="0" borderId="123" xfId="0" applyFont="1" applyFill="1" applyBorder="1" applyAlignment="1">
      <alignment horizontal="center"/>
    </xf>
    <xf numFmtId="0" fontId="14" fillId="0" borderId="28" xfId="0" applyFont="1" applyFill="1" applyBorder="1" applyAlignment="1">
      <alignment horizontal="center"/>
    </xf>
    <xf numFmtId="0" fontId="14" fillId="0" borderId="142" xfId="0" applyFont="1" applyFill="1" applyBorder="1" applyAlignment="1">
      <alignment horizontal="center"/>
    </xf>
    <xf numFmtId="0" fontId="14" fillId="0" borderId="141" xfId="0" applyFont="1" applyFill="1" applyBorder="1" applyAlignment="1">
      <alignment horizontal="center"/>
    </xf>
    <xf numFmtId="0" fontId="3" fillId="0" borderId="169" xfId="0" applyFont="1" applyFill="1" applyBorder="1" applyAlignment="1">
      <alignment horizontal="center"/>
    </xf>
    <xf numFmtId="0" fontId="4" fillId="0" borderId="169" xfId="1" applyNumberFormat="1" applyFont="1" applyFill="1" applyBorder="1" applyAlignment="1">
      <alignment horizontal="center"/>
    </xf>
    <xf numFmtId="0" fontId="34" fillId="0" borderId="100" xfId="0" applyFont="1" applyFill="1" applyBorder="1"/>
    <xf numFmtId="0" fontId="24" fillId="0" borderId="98" xfId="0" applyFont="1" applyFill="1" applyBorder="1"/>
    <xf numFmtId="2" fontId="8" fillId="2" borderId="38" xfId="6" applyNumberFormat="1" applyFont="1" applyFill="1" applyBorder="1" applyAlignment="1">
      <alignment horizontal="center"/>
    </xf>
    <xf numFmtId="2" fontId="8" fillId="3" borderId="38" xfId="6" applyNumberFormat="1" applyFont="1" applyFill="1" applyBorder="1" applyAlignment="1">
      <alignment horizontal="center"/>
    </xf>
    <xf numFmtId="2" fontId="8" fillId="10" borderId="38" xfId="6" applyNumberFormat="1" applyFont="1" applyFill="1" applyBorder="1" applyAlignment="1">
      <alignment horizontal="center"/>
    </xf>
    <xf numFmtId="2" fontId="8" fillId="22" borderId="38" xfId="6" applyNumberFormat="1" applyFont="1" applyFill="1" applyBorder="1" applyAlignment="1">
      <alignment horizontal="center"/>
    </xf>
    <xf numFmtId="2" fontId="8" fillId="19" borderId="38" xfId="6" applyNumberFormat="1" applyFont="1" applyFill="1" applyBorder="1" applyAlignment="1">
      <alignment horizontal="center"/>
    </xf>
    <xf numFmtId="2" fontId="8" fillId="20" borderId="38" xfId="6" applyNumberFormat="1" applyFont="1" applyFill="1" applyBorder="1" applyAlignment="1">
      <alignment horizontal="center"/>
    </xf>
    <xf numFmtId="0" fontId="16" fillId="33" borderId="115" xfId="0" applyFont="1" applyFill="1" applyBorder="1" applyAlignment="1">
      <alignment horizontal="center" vertical="center"/>
    </xf>
    <xf numFmtId="0" fontId="16" fillId="36" borderId="115" xfId="0" applyFont="1" applyFill="1" applyBorder="1" applyAlignment="1">
      <alignment horizontal="center" vertical="center"/>
    </xf>
    <xf numFmtId="165" fontId="16" fillId="36" borderId="115" xfId="0" applyNumberFormat="1" applyFont="1" applyFill="1" applyBorder="1" applyAlignment="1">
      <alignment horizontal="right" vertical="center"/>
    </xf>
    <xf numFmtId="0" fontId="35" fillId="27" borderId="178" xfId="0" applyFont="1" applyFill="1" applyBorder="1" applyAlignment="1">
      <alignment horizontal="center"/>
    </xf>
    <xf numFmtId="2" fontId="8" fillId="5" borderId="182" xfId="6" applyNumberFormat="1" applyFont="1" applyFill="1" applyBorder="1" applyAlignment="1">
      <alignment horizontal="center"/>
    </xf>
    <xf numFmtId="0" fontId="35" fillId="27" borderId="179" xfId="0" applyFont="1" applyFill="1" applyBorder="1" applyAlignment="1">
      <alignment horizontal="center"/>
    </xf>
    <xf numFmtId="0" fontId="35" fillId="27" borderId="180" xfId="0" applyFont="1" applyFill="1" applyBorder="1" applyAlignment="1">
      <alignment horizontal="center"/>
    </xf>
    <xf numFmtId="2" fontId="8" fillId="5" borderId="183" xfId="6" applyNumberFormat="1" applyFont="1" applyFill="1" applyBorder="1" applyAlignment="1">
      <alignment horizontal="center"/>
    </xf>
    <xf numFmtId="2" fontId="8" fillId="2" borderId="106" xfId="6" applyNumberFormat="1" applyFont="1" applyFill="1" applyBorder="1" applyAlignment="1">
      <alignment horizontal="center"/>
    </xf>
    <xf numFmtId="2" fontId="8" fillId="3" borderId="106" xfId="6" applyNumberFormat="1" applyFont="1" applyFill="1" applyBorder="1" applyAlignment="1">
      <alignment horizontal="center"/>
    </xf>
    <xf numFmtId="2" fontId="8" fillId="10" borderId="106" xfId="6" applyNumberFormat="1" applyFont="1" applyFill="1" applyBorder="1" applyAlignment="1">
      <alignment horizontal="center"/>
    </xf>
    <xf numFmtId="0" fontId="13" fillId="0" borderId="166" xfId="0" applyFont="1" applyFill="1" applyBorder="1" applyAlignment="1">
      <alignment horizontal="center"/>
    </xf>
    <xf numFmtId="0" fontId="14" fillId="0" borderId="115" xfId="0" applyFont="1" applyFill="1" applyBorder="1" applyAlignment="1">
      <alignment horizontal="center"/>
    </xf>
    <xf numFmtId="0" fontId="0" fillId="0" borderId="190" xfId="0" applyBorder="1"/>
    <xf numFmtId="0" fontId="0" fillId="0" borderId="192" xfId="0" applyBorder="1"/>
    <xf numFmtId="49" fontId="34" fillId="0" borderId="0" xfId="0" applyNumberFormat="1" applyFont="1" applyFill="1" applyBorder="1" applyAlignment="1">
      <alignment horizontal="center" vertical="center" wrapText="1"/>
    </xf>
    <xf numFmtId="0" fontId="3" fillId="0" borderId="191" xfId="0" applyFont="1" applyBorder="1" applyAlignment="1"/>
    <xf numFmtId="0" fontId="3" fillId="0" borderId="192" xfId="0" applyFont="1" applyBorder="1" applyAlignment="1"/>
    <xf numFmtId="0" fontId="34" fillId="0" borderId="142" xfId="0" applyFont="1" applyFill="1" applyBorder="1"/>
    <xf numFmtId="0" fontId="34" fillId="0" borderId="0" xfId="0" applyNumberFormat="1" applyFont="1" applyFill="1"/>
    <xf numFmtId="0" fontId="40" fillId="0" borderId="0" xfId="0" applyFont="1" applyFill="1"/>
    <xf numFmtId="0" fontId="34" fillId="0" borderId="0" xfId="0" applyNumberFormat="1" applyFont="1" applyFill="1" applyBorder="1"/>
    <xf numFmtId="0" fontId="4" fillId="3" borderId="0" xfId="1" applyFont="1" applyFill="1" applyBorder="1" applyAlignment="1">
      <alignment horizontal="center"/>
    </xf>
    <xf numFmtId="0" fontId="3" fillId="3" borderId="0" xfId="0" applyFont="1" applyFill="1"/>
    <xf numFmtId="0" fontId="3" fillId="3" borderId="0" xfId="0" applyFont="1" applyFill="1" applyAlignment="1">
      <alignment horizontal="left"/>
    </xf>
    <xf numFmtId="0" fontId="3" fillId="3" borderId="158" xfId="0" applyFont="1" applyFill="1" applyBorder="1" applyAlignment="1">
      <alignment horizontal="left"/>
    </xf>
    <xf numFmtId="0" fontId="3" fillId="3" borderId="7" xfId="0" applyFont="1" applyFill="1" applyBorder="1" applyAlignment="1">
      <alignment horizontal="left"/>
    </xf>
    <xf numFmtId="0" fontId="12" fillId="3" borderId="24" xfId="0" applyFont="1" applyFill="1" applyBorder="1" applyAlignment="1">
      <alignment horizontal="center"/>
    </xf>
    <xf numFmtId="0" fontId="12" fillId="3" borderId="25" xfId="0" applyFont="1" applyFill="1" applyBorder="1" applyAlignment="1">
      <alignment horizontal="center"/>
    </xf>
    <xf numFmtId="0" fontId="12" fillId="3" borderId="141" xfId="0" applyFont="1" applyFill="1" applyBorder="1" applyAlignment="1">
      <alignment horizontal="center"/>
    </xf>
    <xf numFmtId="0" fontId="12" fillId="3" borderId="140" xfId="0" applyFont="1" applyFill="1" applyBorder="1" applyAlignment="1">
      <alignment horizontal="center"/>
    </xf>
    <xf numFmtId="0" fontId="24" fillId="3" borderId="97" xfId="0" applyFont="1" applyFill="1" applyBorder="1"/>
    <xf numFmtId="0" fontId="12" fillId="3" borderId="55" xfId="0" applyFont="1" applyFill="1" applyBorder="1" applyAlignment="1">
      <alignment horizontal="center"/>
    </xf>
    <xf numFmtId="0" fontId="12" fillId="3" borderId="44" xfId="0" applyFont="1" applyFill="1" applyBorder="1" applyAlignment="1">
      <alignment horizontal="center"/>
    </xf>
    <xf numFmtId="0" fontId="12" fillId="3" borderId="34" xfId="0" applyFont="1" applyFill="1" applyBorder="1" applyAlignment="1">
      <alignment horizontal="center"/>
    </xf>
    <xf numFmtId="2" fontId="4" fillId="5" borderId="0" xfId="6" applyNumberFormat="1" applyFont="1" applyFill="1" applyBorder="1" applyAlignment="1">
      <alignment horizontal="center"/>
    </xf>
    <xf numFmtId="2" fontId="4" fillId="2" borderId="0" xfId="6" applyNumberFormat="1" applyFont="1" applyFill="1" applyBorder="1" applyAlignment="1">
      <alignment horizontal="center"/>
    </xf>
    <xf numFmtId="2" fontId="4" fillId="3" borderId="0" xfId="6" applyNumberFormat="1" applyFont="1" applyFill="1" applyBorder="1" applyAlignment="1">
      <alignment horizontal="center"/>
    </xf>
    <xf numFmtId="0" fontId="2" fillId="3" borderId="0" xfId="0" applyFont="1" applyFill="1" applyAlignment="1">
      <alignment horizontal="center" wrapText="1"/>
    </xf>
    <xf numFmtId="0" fontId="2" fillId="10" borderId="0" xfId="0" applyFont="1" applyFill="1" applyAlignment="1">
      <alignment horizontal="center" wrapText="1"/>
    </xf>
    <xf numFmtId="0" fontId="2" fillId="22" borderId="0" xfId="0" applyFont="1" applyFill="1" applyAlignment="1">
      <alignment horizontal="center" wrapText="1"/>
    </xf>
    <xf numFmtId="0" fontId="2" fillId="21" borderId="0" xfId="0" applyFont="1" applyFill="1" applyAlignment="1">
      <alignment horizontal="center" wrapText="1"/>
    </xf>
    <xf numFmtId="0" fontId="2" fillId="41" borderId="0" xfId="0" applyFont="1" applyFill="1" applyAlignment="1">
      <alignment horizontal="center" wrapText="1"/>
    </xf>
    <xf numFmtId="0" fontId="3" fillId="41" borderId="0" xfId="0" applyFont="1" applyFill="1" applyAlignment="1">
      <alignment horizontal="center"/>
    </xf>
    <xf numFmtId="2" fontId="8" fillId="41" borderId="0" xfId="6" applyNumberFormat="1" applyFont="1" applyFill="1" applyAlignment="1">
      <alignment horizontal="center"/>
    </xf>
    <xf numFmtId="2" fontId="8" fillId="41" borderId="0" xfId="6" applyNumberFormat="1" applyFont="1" applyFill="1" applyBorder="1" applyAlignment="1">
      <alignment horizontal="center"/>
    </xf>
    <xf numFmtId="2" fontId="4" fillId="41" borderId="0" xfId="6" applyNumberFormat="1" applyFont="1" applyFill="1" applyBorder="1" applyAlignment="1">
      <alignment horizontal="center"/>
    </xf>
    <xf numFmtId="165" fontId="8" fillId="41" borderId="0" xfId="6" applyFont="1" applyFill="1" applyBorder="1" applyAlignment="1">
      <alignment horizontal="center"/>
    </xf>
    <xf numFmtId="2" fontId="8" fillId="41" borderId="38" xfId="6" applyNumberFormat="1" applyFont="1" applyFill="1" applyBorder="1" applyAlignment="1">
      <alignment horizontal="center"/>
    </xf>
    <xf numFmtId="2" fontId="8" fillId="41" borderId="106" xfId="6" applyNumberFormat="1" applyFont="1" applyFill="1" applyBorder="1" applyAlignment="1">
      <alignment horizontal="center"/>
    </xf>
    <xf numFmtId="0" fontId="2" fillId="20" borderId="0" xfId="0" applyFont="1" applyFill="1" applyAlignment="1">
      <alignment horizontal="center"/>
    </xf>
    <xf numFmtId="165" fontId="8" fillId="21" borderId="106" xfId="6" applyNumberFormat="1" applyFont="1" applyFill="1" applyBorder="1" applyAlignment="1">
      <alignment horizontal="center"/>
    </xf>
    <xf numFmtId="165" fontId="4" fillId="21" borderId="0" xfId="6" applyFont="1" applyFill="1" applyAlignment="1">
      <alignment horizontal="center"/>
    </xf>
    <xf numFmtId="2" fontId="4" fillId="10" borderId="0" xfId="6" applyNumberFormat="1" applyFont="1" applyFill="1" applyBorder="1" applyAlignment="1">
      <alignment horizontal="center"/>
    </xf>
    <xf numFmtId="2" fontId="4" fillId="22" borderId="0" xfId="6" applyNumberFormat="1" applyFont="1" applyFill="1" applyBorder="1" applyAlignment="1">
      <alignment horizontal="center"/>
    </xf>
    <xf numFmtId="2" fontId="4" fillId="19" borderId="0" xfId="6" applyNumberFormat="1" applyFont="1" applyFill="1" applyBorder="1" applyAlignment="1">
      <alignment horizontal="center"/>
    </xf>
    <xf numFmtId="2" fontId="4" fillId="20" borderId="0" xfId="6" applyNumberFormat="1" applyFont="1" applyFill="1" applyAlignment="1">
      <alignment horizontal="center"/>
    </xf>
    <xf numFmtId="165" fontId="4" fillId="23" borderId="0" xfId="6" applyFont="1" applyFill="1" applyAlignment="1">
      <alignment horizontal="center"/>
    </xf>
    <xf numFmtId="0" fontId="2" fillId="42" borderId="0" xfId="0" applyFont="1" applyFill="1" applyAlignment="1">
      <alignment horizontal="center" vertical="center" wrapText="1"/>
    </xf>
    <xf numFmtId="0" fontId="3" fillId="42" borderId="0" xfId="0" applyFont="1" applyFill="1" applyAlignment="1">
      <alignment horizontal="center"/>
    </xf>
    <xf numFmtId="2" fontId="16" fillId="42" borderId="115" xfId="0" applyNumberFormat="1" applyFont="1" applyFill="1" applyBorder="1" applyAlignment="1">
      <alignment horizontal="center"/>
    </xf>
    <xf numFmtId="2" fontId="16" fillId="42" borderId="168" xfId="0" applyNumberFormat="1" applyFont="1" applyFill="1" applyBorder="1" applyAlignment="1">
      <alignment horizontal="center" vertical="center"/>
    </xf>
    <xf numFmtId="2" fontId="16" fillId="42" borderId="45" xfId="0" applyNumberFormat="1" applyFont="1" applyFill="1" applyBorder="1" applyAlignment="1">
      <alignment horizontal="center" vertical="center"/>
    </xf>
    <xf numFmtId="2" fontId="16" fillId="42" borderId="167" xfId="0" applyNumberFormat="1" applyFont="1" applyFill="1" applyBorder="1" applyAlignment="1">
      <alignment horizontal="center" vertical="center"/>
    </xf>
    <xf numFmtId="0" fontId="16" fillId="42" borderId="45" xfId="0" applyFont="1" applyFill="1" applyBorder="1" applyAlignment="1">
      <alignment horizontal="center" vertical="center"/>
    </xf>
    <xf numFmtId="0" fontId="16" fillId="42" borderId="167" xfId="0" applyFont="1" applyFill="1" applyBorder="1" applyAlignment="1">
      <alignment horizontal="center" vertical="center"/>
    </xf>
    <xf numFmtId="2" fontId="16" fillId="42" borderId="115" xfId="6" applyNumberFormat="1" applyFont="1" applyFill="1" applyBorder="1" applyAlignment="1">
      <alignment horizontal="center" vertical="center"/>
    </xf>
    <xf numFmtId="2" fontId="16" fillId="42" borderId="115" xfId="0" applyNumberFormat="1" applyFont="1" applyFill="1" applyBorder="1" applyAlignment="1">
      <alignment horizontal="center" vertical="center"/>
    </xf>
    <xf numFmtId="0" fontId="34" fillId="42" borderId="107" xfId="0" applyFont="1" applyFill="1" applyBorder="1"/>
    <xf numFmtId="2" fontId="16" fillId="42" borderId="168" xfId="6" applyNumberFormat="1" applyFont="1" applyFill="1" applyBorder="1" applyAlignment="1">
      <alignment horizontal="center" vertical="center"/>
    </xf>
    <xf numFmtId="2" fontId="16" fillId="42" borderId="45" xfId="6" applyNumberFormat="1" applyFont="1" applyFill="1" applyBorder="1" applyAlignment="1">
      <alignment horizontal="center" vertical="center"/>
    </xf>
    <xf numFmtId="2" fontId="16" fillId="42" borderId="167" xfId="6" applyNumberFormat="1" applyFont="1" applyFill="1" applyBorder="1" applyAlignment="1">
      <alignment horizontal="center" vertical="center"/>
    </xf>
    <xf numFmtId="0" fontId="34" fillId="42" borderId="38" xfId="0" applyFont="1" applyFill="1" applyBorder="1"/>
    <xf numFmtId="0" fontId="34" fillId="42" borderId="106" xfId="0" applyFont="1" applyFill="1" applyBorder="1"/>
    <xf numFmtId="0" fontId="34" fillId="42" borderId="37" xfId="0" applyFont="1" applyFill="1" applyBorder="1"/>
    <xf numFmtId="166" fontId="34" fillId="26" borderId="167" xfId="6" applyNumberFormat="1" applyFont="1" applyFill="1" applyBorder="1" applyAlignment="1">
      <alignment horizontal="center" vertical="center"/>
    </xf>
    <xf numFmtId="165" fontId="8" fillId="23" borderId="53" xfId="6" applyNumberFormat="1" applyFont="1" applyFill="1" applyBorder="1" applyAlignment="1">
      <alignment horizontal="center"/>
    </xf>
    <xf numFmtId="0" fontId="14" fillId="38" borderId="59" xfId="0" applyFont="1" applyFill="1" applyBorder="1" applyAlignment="1">
      <alignment horizontal="center"/>
    </xf>
    <xf numFmtId="0" fontId="16" fillId="42" borderId="115" xfId="0" applyFont="1" applyFill="1" applyBorder="1" applyAlignment="1">
      <alignment horizontal="center" vertical="center"/>
    </xf>
    <xf numFmtId="2" fontId="4" fillId="2" borderId="0" xfId="6" applyNumberFormat="1" applyFont="1" applyFill="1" applyAlignment="1">
      <alignment horizontal="center"/>
    </xf>
    <xf numFmtId="2" fontId="4" fillId="3" borderId="0" xfId="6" applyNumberFormat="1" applyFont="1" applyFill="1" applyAlignment="1">
      <alignment horizontal="center"/>
    </xf>
    <xf numFmtId="2" fontId="4" fillId="41" borderId="0" xfId="6" applyNumberFormat="1" applyFont="1" applyFill="1" applyAlignment="1">
      <alignment horizontal="center"/>
    </xf>
    <xf numFmtId="2" fontId="4" fillId="10" borderId="0" xfId="6" applyNumberFormat="1" applyFont="1" applyFill="1" applyAlignment="1">
      <alignment horizontal="center"/>
    </xf>
    <xf numFmtId="2" fontId="4" fillId="19" borderId="0" xfId="6" applyNumberFormat="1" applyFont="1" applyFill="1" applyAlignment="1">
      <alignment horizontal="center"/>
    </xf>
    <xf numFmtId="0" fontId="14" fillId="3" borderId="59" xfId="0" applyFont="1" applyFill="1" applyBorder="1" applyAlignment="1">
      <alignment horizontal="center"/>
    </xf>
    <xf numFmtId="0" fontId="14" fillId="0" borderId="0" xfId="0" applyFont="1" applyFill="1"/>
    <xf numFmtId="0" fontId="14" fillId="0" borderId="110" xfId="0" applyFont="1" applyFill="1" applyBorder="1" applyAlignment="1">
      <alignment horizontal="center" vertical="center" wrapText="1"/>
    </xf>
    <xf numFmtId="0" fontId="14" fillId="0" borderId="111" xfId="0" applyFont="1" applyFill="1" applyBorder="1" applyAlignment="1">
      <alignment horizontal="center" vertical="center" wrapText="1"/>
    </xf>
    <xf numFmtId="0" fontId="14" fillId="0" borderId="111" xfId="0" applyFont="1" applyFill="1" applyBorder="1" applyAlignment="1">
      <alignment horizontal="center" vertical="top" wrapText="1"/>
    </xf>
    <xf numFmtId="49" fontId="14" fillId="0" borderId="109" xfId="0" applyNumberFormat="1" applyFont="1" applyFill="1" applyBorder="1" applyAlignment="1">
      <alignment horizontal="center" vertical="center"/>
    </xf>
    <xf numFmtId="0" fontId="14" fillId="0" borderId="109" xfId="0" applyFont="1" applyFill="1" applyBorder="1" applyAlignment="1">
      <alignment horizontal="center"/>
    </xf>
    <xf numFmtId="0" fontId="14" fillId="0" borderId="112" xfId="0" applyFont="1" applyFill="1" applyBorder="1" applyAlignment="1">
      <alignment horizontal="center"/>
    </xf>
    <xf numFmtId="49" fontId="14" fillId="0" borderId="109" xfId="0" applyNumberFormat="1" applyFont="1" applyFill="1" applyBorder="1" applyAlignment="1">
      <alignment horizontal="center"/>
    </xf>
    <xf numFmtId="0" fontId="14" fillId="0" borderId="108" xfId="0" applyFont="1" applyFill="1" applyBorder="1" applyAlignment="1">
      <alignment horizontal="center" vertical="top" wrapText="1"/>
    </xf>
    <xf numFmtId="0" fontId="14" fillId="3" borderId="41" xfId="0" applyFont="1" applyFill="1" applyBorder="1"/>
    <xf numFmtId="0" fontId="14" fillId="0" borderId="14" xfId="0" applyFont="1" applyFill="1" applyBorder="1"/>
    <xf numFmtId="0" fontId="3" fillId="3" borderId="158" xfId="0" applyFont="1" applyFill="1" applyBorder="1"/>
    <xf numFmtId="0" fontId="3" fillId="3" borderId="7" xfId="0" applyFont="1" applyFill="1" applyBorder="1"/>
    <xf numFmtId="0" fontId="12" fillId="3" borderId="26" xfId="0" applyFont="1" applyFill="1" applyBorder="1" applyAlignment="1">
      <alignment horizontal="center"/>
    </xf>
    <xf numFmtId="0" fontId="12" fillId="3" borderId="46" xfId="0" applyFont="1" applyFill="1" applyBorder="1" applyAlignment="1">
      <alignment horizontal="center"/>
    </xf>
    <xf numFmtId="0" fontId="14" fillId="38" borderId="59" xfId="0" applyFont="1" applyFill="1" applyBorder="1"/>
    <xf numFmtId="49" fontId="14" fillId="0" borderId="0" xfId="0" applyNumberFormat="1" applyFont="1" applyAlignment="1">
      <alignment horizontal="left" vertical="center" wrapText="1"/>
    </xf>
    <xf numFmtId="0" fontId="14" fillId="27" borderId="105" xfId="0" applyFont="1" applyFill="1" applyBorder="1" applyAlignment="1">
      <alignment horizontal="center"/>
    </xf>
    <xf numFmtId="0" fontId="1" fillId="27" borderId="105" xfId="0" applyFont="1" applyFill="1" applyBorder="1" applyAlignment="1">
      <alignment horizontal="center"/>
    </xf>
    <xf numFmtId="0" fontId="41" fillId="0" borderId="0" xfId="0" applyFont="1"/>
    <xf numFmtId="14" fontId="41" fillId="0" borderId="0" xfId="0" applyNumberFormat="1" applyFont="1"/>
    <xf numFmtId="49" fontId="14" fillId="0" borderId="108" xfId="0" applyNumberFormat="1" applyFont="1" applyFill="1" applyBorder="1" applyAlignment="1">
      <alignment horizontal="center" vertical="top" wrapText="1"/>
    </xf>
    <xf numFmtId="0" fontId="13" fillId="3" borderId="24" xfId="0" applyFont="1" applyFill="1" applyBorder="1" applyAlignment="1">
      <alignment horizontal="center"/>
    </xf>
    <xf numFmtId="0" fontId="13" fillId="3" borderId="26" xfId="0" applyFont="1" applyFill="1" applyBorder="1" applyAlignment="1">
      <alignment horizontal="center"/>
    </xf>
    <xf numFmtId="0" fontId="13" fillId="3" borderId="55" xfId="0" applyFont="1" applyFill="1" applyBorder="1" applyAlignment="1">
      <alignment horizontal="center"/>
    </xf>
    <xf numFmtId="0" fontId="13" fillId="3" borderId="126" xfId="0" applyFont="1" applyFill="1" applyBorder="1" applyAlignment="1">
      <alignment horizontal="center"/>
    </xf>
    <xf numFmtId="2" fontId="4" fillId="5" borderId="49" xfId="6" applyNumberFormat="1" applyFont="1" applyFill="1" applyBorder="1" applyAlignment="1">
      <alignment horizontal="center"/>
    </xf>
    <xf numFmtId="2" fontId="4" fillId="22" borderId="0" xfId="6" applyNumberFormat="1" applyFont="1" applyFill="1" applyAlignment="1">
      <alignment horizontal="center"/>
    </xf>
    <xf numFmtId="0" fontId="14" fillId="3" borderId="59" xfId="0" applyFont="1" applyFill="1" applyBorder="1" applyAlignment="1">
      <alignment horizontal="center" wrapText="1"/>
    </xf>
    <xf numFmtId="0" fontId="14" fillId="0" borderId="116" xfId="0" applyFont="1" applyFill="1" applyBorder="1" applyAlignment="1">
      <alignment horizontal="center"/>
    </xf>
    <xf numFmtId="0" fontId="14" fillId="0" borderId="144" xfId="0" applyFont="1" applyFill="1" applyBorder="1"/>
    <xf numFmtId="0" fontId="14" fillId="3" borderId="22" xfId="0" applyFont="1" applyFill="1" applyBorder="1" applyAlignment="1">
      <alignment horizontal="center"/>
    </xf>
    <xf numFmtId="0" fontId="14" fillId="3" borderId="45" xfId="0" applyFont="1" applyFill="1" applyBorder="1" applyAlignment="1">
      <alignment horizontal="center"/>
    </xf>
    <xf numFmtId="0" fontId="14" fillId="3" borderId="44" xfId="0" applyFont="1" applyFill="1" applyBorder="1" applyAlignment="1">
      <alignment horizontal="center"/>
    </xf>
    <xf numFmtId="0" fontId="14" fillId="3" borderId="141" xfId="0" applyFont="1" applyFill="1" applyBorder="1" applyAlignment="1">
      <alignment horizontal="center"/>
    </xf>
    <xf numFmtId="0" fontId="14" fillId="3" borderId="140" xfId="0" applyFont="1" applyFill="1" applyBorder="1" applyAlignment="1">
      <alignment horizontal="center"/>
    </xf>
    <xf numFmtId="49" fontId="14" fillId="0" borderId="116" xfId="0" applyNumberFormat="1" applyFont="1" applyFill="1" applyBorder="1" applyAlignment="1">
      <alignment horizontal="center"/>
    </xf>
    <xf numFmtId="49" fontId="14" fillId="0" borderId="112" xfId="0" applyNumberFormat="1" applyFont="1" applyFill="1" applyBorder="1" applyAlignment="1">
      <alignment horizontal="center"/>
    </xf>
    <xf numFmtId="0" fontId="14" fillId="0" borderId="14" xfId="0" applyFont="1" applyFill="1" applyBorder="1" applyAlignment="1">
      <alignment horizontal="left"/>
    </xf>
    <xf numFmtId="0" fontId="12" fillId="3" borderId="138" xfId="0" applyFont="1" applyFill="1" applyBorder="1" applyAlignment="1">
      <alignment horizontal="center"/>
    </xf>
    <xf numFmtId="0" fontId="12" fillId="3" borderId="45" xfId="0" applyFont="1" applyFill="1" applyBorder="1" applyAlignment="1">
      <alignment horizontal="center"/>
    </xf>
    <xf numFmtId="0" fontId="12" fillId="3" borderId="51" xfId="0" applyFont="1" applyFill="1" applyBorder="1" applyAlignment="1">
      <alignment horizontal="center"/>
    </xf>
    <xf numFmtId="0" fontId="12" fillId="3" borderId="166" xfId="0" applyFont="1" applyFill="1" applyBorder="1" applyAlignment="1">
      <alignment horizontal="center"/>
    </xf>
    <xf numFmtId="49" fontId="14" fillId="0" borderId="110" xfId="0" applyNumberFormat="1" applyFont="1" applyFill="1" applyBorder="1" applyAlignment="1">
      <alignment horizontal="center" vertical="center" wrapText="1"/>
    </xf>
    <xf numFmtId="49" fontId="14" fillId="0" borderId="146" xfId="0" applyNumberFormat="1" applyFont="1" applyFill="1" applyBorder="1" applyAlignment="1">
      <alignment horizontal="center" vertical="center" wrapText="1"/>
    </xf>
    <xf numFmtId="165" fontId="0" fillId="0" borderId="59" xfId="6" applyFont="1" applyBorder="1" applyAlignment="1">
      <alignment horizontal="right"/>
    </xf>
    <xf numFmtId="0" fontId="0" fillId="3" borderId="115" xfId="0" applyFill="1" applyBorder="1" applyAlignment="1">
      <alignment horizontal="center"/>
    </xf>
    <xf numFmtId="0" fontId="0" fillId="3" borderId="143" xfId="0" applyFill="1" applyBorder="1" applyAlignment="1">
      <alignment horizontal="center"/>
    </xf>
    <xf numFmtId="169" fontId="14" fillId="27" borderId="105" xfId="0" applyNumberFormat="1" applyFont="1" applyFill="1" applyBorder="1" applyAlignment="1">
      <alignment horizontal="center"/>
    </xf>
    <xf numFmtId="0" fontId="14" fillId="3" borderId="166" xfId="0" applyFont="1" applyFill="1" applyBorder="1" applyAlignment="1">
      <alignment horizontal="center"/>
    </xf>
    <xf numFmtId="0" fontId="24" fillId="3" borderId="124" xfId="0" applyFont="1" applyFill="1" applyBorder="1"/>
    <xf numFmtId="0" fontId="14" fillId="3" borderId="194" xfId="0" applyFont="1" applyFill="1" applyBorder="1" applyAlignment="1">
      <alignment horizontal="center"/>
    </xf>
    <xf numFmtId="0" fontId="12" fillId="3" borderId="192" xfId="0" applyFont="1" applyFill="1" applyBorder="1" applyAlignment="1">
      <alignment horizontal="center"/>
    </xf>
    <xf numFmtId="0" fontId="12" fillId="3" borderId="167" xfId="0" applyFont="1" applyFill="1" applyBorder="1" applyAlignment="1">
      <alignment horizontal="center"/>
    </xf>
    <xf numFmtId="0" fontId="14" fillId="3" borderId="195" xfId="0" applyFont="1" applyFill="1" applyBorder="1" applyAlignment="1">
      <alignment horizontal="center"/>
    </xf>
    <xf numFmtId="49" fontId="14" fillId="0" borderId="116" xfId="0" applyNumberFormat="1" applyFont="1" applyFill="1" applyBorder="1" applyAlignment="1">
      <alignment horizontal="center" vertical="center"/>
    </xf>
    <xf numFmtId="0" fontId="14" fillId="3" borderId="117" xfId="0" applyFont="1" applyFill="1" applyBorder="1"/>
    <xf numFmtId="0" fontId="14" fillId="0" borderId="144" xfId="0" applyFont="1" applyFill="1" applyBorder="1" applyAlignment="1">
      <alignment horizontal="left"/>
    </xf>
    <xf numFmtId="0" fontId="0" fillId="3" borderId="118" xfId="0" applyFill="1" applyBorder="1" applyAlignment="1">
      <alignment horizontal="center"/>
    </xf>
    <xf numFmtId="0" fontId="0" fillId="3" borderId="167" xfId="0" applyFill="1" applyBorder="1" applyAlignment="1">
      <alignment horizontal="center"/>
    </xf>
    <xf numFmtId="0" fontId="0" fillId="3" borderId="148" xfId="0" applyFill="1" applyBorder="1" applyAlignment="1">
      <alignment horizontal="center"/>
    </xf>
    <xf numFmtId="0" fontId="12" fillId="3" borderId="117" xfId="0" applyFont="1" applyFill="1" applyBorder="1" applyAlignment="1">
      <alignment horizontal="center"/>
    </xf>
    <xf numFmtId="169" fontId="1" fillId="27" borderId="105" xfId="0" applyNumberFormat="1" applyFont="1" applyFill="1" applyBorder="1" applyAlignment="1">
      <alignment horizontal="center"/>
    </xf>
    <xf numFmtId="0" fontId="14" fillId="38" borderId="59" xfId="0" applyFont="1" applyFill="1" applyBorder="1" applyAlignment="1">
      <alignment horizontal="center" vertical="center"/>
    </xf>
    <xf numFmtId="0" fontId="12" fillId="3" borderId="126" xfId="0" applyFont="1" applyFill="1" applyBorder="1" applyAlignment="1">
      <alignment horizontal="center"/>
    </xf>
    <xf numFmtId="0" fontId="14" fillId="3" borderId="145" xfId="0" applyFont="1" applyFill="1" applyBorder="1" applyAlignment="1">
      <alignment horizontal="center"/>
    </xf>
    <xf numFmtId="1" fontId="14" fillId="16" borderId="33" xfId="0" applyNumberFormat="1" applyFont="1" applyFill="1" applyBorder="1" applyAlignment="1">
      <alignment horizontal="center"/>
    </xf>
    <xf numFmtId="1" fontId="34" fillId="16" borderId="33" xfId="0" applyNumberFormat="1" applyFont="1" applyFill="1" applyBorder="1" applyAlignment="1">
      <alignment horizontal="center"/>
    </xf>
    <xf numFmtId="0" fontId="14" fillId="3" borderId="0" xfId="0" applyFont="1" applyFill="1"/>
    <xf numFmtId="0" fontId="14" fillId="0" borderId="143" xfId="0" applyFont="1" applyFill="1" applyBorder="1"/>
    <xf numFmtId="0" fontId="3" fillId="3" borderId="10" xfId="0" applyFont="1" applyFill="1" applyBorder="1" applyAlignment="1">
      <alignment horizontal="center"/>
    </xf>
    <xf numFmtId="1" fontId="0" fillId="17" borderId="33" xfId="0" applyNumberFormat="1" applyFill="1" applyBorder="1" applyAlignment="1">
      <alignment horizontal="center" vertical="center"/>
    </xf>
    <xf numFmtId="166" fontId="14" fillId="26" borderId="115" xfId="6" applyNumberFormat="1" applyFont="1" applyFill="1" applyBorder="1" applyAlignment="1">
      <alignment horizontal="center"/>
    </xf>
    <xf numFmtId="2" fontId="33" fillId="28" borderId="115" xfId="0" applyNumberFormat="1" applyFont="1" applyFill="1" applyBorder="1" applyAlignment="1">
      <alignment horizontal="center"/>
    </xf>
    <xf numFmtId="2" fontId="33" fillId="29" borderId="115" xfId="0" applyNumberFormat="1" applyFont="1" applyFill="1" applyBorder="1" applyAlignment="1">
      <alignment horizontal="center"/>
    </xf>
    <xf numFmtId="2" fontId="33" fillId="30" borderId="115" xfId="0" applyNumberFormat="1" applyFont="1" applyFill="1" applyBorder="1" applyAlignment="1">
      <alignment horizontal="center"/>
    </xf>
    <xf numFmtId="2" fontId="33" fillId="42" borderId="115" xfId="0" applyNumberFormat="1" applyFont="1" applyFill="1" applyBorder="1" applyAlignment="1">
      <alignment horizontal="center"/>
    </xf>
    <xf numFmtId="2" fontId="33" fillId="37" borderId="115" xfId="0" applyNumberFormat="1" applyFont="1" applyFill="1" applyBorder="1" applyAlignment="1">
      <alignment horizontal="center"/>
    </xf>
    <xf numFmtId="2" fontId="33" fillId="32" borderId="115" xfId="0" applyNumberFormat="1" applyFont="1" applyFill="1" applyBorder="1" applyAlignment="1">
      <alignment horizontal="center"/>
    </xf>
    <xf numFmtId="2" fontId="33" fillId="33" borderId="115" xfId="0" applyNumberFormat="1" applyFont="1" applyFill="1" applyBorder="1" applyAlignment="1">
      <alignment horizontal="center"/>
    </xf>
    <xf numFmtId="2" fontId="33" fillId="34" borderId="115" xfId="0" applyNumberFormat="1" applyFont="1" applyFill="1" applyBorder="1" applyAlignment="1">
      <alignment horizontal="center"/>
    </xf>
    <xf numFmtId="2" fontId="33" fillId="35" borderId="115" xfId="0" applyNumberFormat="1" applyFont="1" applyFill="1" applyBorder="1" applyAlignment="1">
      <alignment horizontal="center"/>
    </xf>
    <xf numFmtId="165" fontId="33" fillId="36" borderId="115" xfId="6" applyFont="1" applyFill="1" applyBorder="1" applyAlignment="1">
      <alignment horizontal="center"/>
    </xf>
    <xf numFmtId="0" fontId="13" fillId="3" borderId="25" xfId="0" applyFont="1" applyFill="1" applyBorder="1" applyAlignment="1">
      <alignment horizontal="center"/>
    </xf>
    <xf numFmtId="0" fontId="13" fillId="3" borderId="117" xfId="0" applyFont="1" applyFill="1" applyBorder="1" applyAlignment="1">
      <alignment horizontal="center"/>
    </xf>
    <xf numFmtId="0" fontId="13" fillId="3" borderId="113" xfId="0" applyFont="1" applyFill="1" applyBorder="1" applyAlignment="1">
      <alignment horizontal="center"/>
    </xf>
    <xf numFmtId="0" fontId="13" fillId="3" borderId="44" xfId="0" applyFont="1" applyFill="1" applyBorder="1" applyAlignment="1">
      <alignment horizontal="center"/>
    </xf>
    <xf numFmtId="2" fontId="4" fillId="5" borderId="37" xfId="6" applyNumberFormat="1" applyFont="1" applyFill="1" applyBorder="1" applyAlignment="1">
      <alignment horizontal="center"/>
    </xf>
    <xf numFmtId="170" fontId="14" fillId="0" borderId="5" xfId="6" applyNumberFormat="1" applyFont="1" applyFill="1" applyBorder="1"/>
    <xf numFmtId="0" fontId="4" fillId="3" borderId="0" xfId="1" applyFont="1" applyFill="1" applyBorder="1" applyAlignment="1">
      <alignment horizontal="left"/>
    </xf>
    <xf numFmtId="49" fontId="14" fillId="0" borderId="121" xfId="0" applyNumberFormat="1" applyFont="1" applyFill="1" applyBorder="1" applyAlignment="1">
      <alignment horizontal="center" vertical="center" wrapText="1"/>
    </xf>
    <xf numFmtId="0" fontId="12" fillId="3" borderId="168" xfId="0" applyFont="1" applyFill="1" applyBorder="1" applyAlignment="1">
      <alignment horizontal="center"/>
    </xf>
    <xf numFmtId="0" fontId="4" fillId="3" borderId="136" xfId="1" applyFont="1" applyFill="1" applyBorder="1" applyAlignment="1">
      <alignment horizontal="left"/>
    </xf>
    <xf numFmtId="49" fontId="14" fillId="0" borderId="187" xfId="0" applyNumberFormat="1" applyFont="1" applyFill="1" applyBorder="1" applyAlignment="1">
      <alignment horizontal="center" vertical="center" wrapText="1"/>
    </xf>
    <xf numFmtId="0" fontId="12" fillId="3" borderId="195" xfId="0" applyFont="1" applyFill="1" applyBorder="1" applyAlignment="1">
      <alignment horizontal="center"/>
    </xf>
    <xf numFmtId="0" fontId="4" fillId="3" borderId="158" xfId="1" applyNumberFormat="1" applyFont="1" applyFill="1" applyBorder="1" applyAlignment="1">
      <alignment horizontal="center"/>
    </xf>
    <xf numFmtId="0" fontId="3" fillId="3" borderId="17" xfId="0" applyFont="1" applyFill="1" applyBorder="1" applyAlignment="1">
      <alignment horizontal="center"/>
    </xf>
    <xf numFmtId="0" fontId="12" fillId="3" borderId="27" xfId="0" applyFont="1" applyFill="1" applyBorder="1" applyAlignment="1">
      <alignment horizontal="center"/>
    </xf>
    <xf numFmtId="166" fontId="14" fillId="26" borderId="115" xfId="6" applyNumberFormat="1" applyFont="1" applyFill="1" applyBorder="1"/>
    <xf numFmtId="0" fontId="14" fillId="0" borderId="111" xfId="0" applyFont="1" applyFill="1" applyBorder="1" applyAlignment="1">
      <alignment horizontal="center" vertical="top"/>
    </xf>
    <xf numFmtId="0" fontId="3" fillId="3" borderId="161" xfId="0" applyFont="1" applyFill="1" applyBorder="1" applyAlignment="1">
      <alignment horizontal="left"/>
    </xf>
    <xf numFmtId="166" fontId="14" fillId="26" borderId="20" xfId="6" applyNumberFormat="1" applyFont="1" applyFill="1" applyBorder="1" applyAlignment="1">
      <alignment horizontal="center"/>
    </xf>
    <xf numFmtId="2" fontId="33" fillId="28" borderId="20" xfId="6" applyNumberFormat="1" applyFont="1" applyFill="1" applyBorder="1" applyAlignment="1">
      <alignment horizontal="center" vertical="center"/>
    </xf>
    <xf numFmtId="2" fontId="33" fillId="29" borderId="20" xfId="6" applyNumberFormat="1" applyFont="1" applyFill="1" applyBorder="1" applyAlignment="1">
      <alignment horizontal="center" vertical="center"/>
    </xf>
    <xf numFmtId="2" fontId="33" fillId="30" borderId="20" xfId="6" applyNumberFormat="1" applyFont="1" applyFill="1" applyBorder="1" applyAlignment="1">
      <alignment horizontal="center" vertical="center"/>
    </xf>
    <xf numFmtId="2" fontId="33" fillId="42" borderId="115" xfId="6" applyNumberFormat="1" applyFont="1" applyFill="1" applyBorder="1" applyAlignment="1">
      <alignment horizontal="center" vertical="center"/>
    </xf>
    <xf numFmtId="2" fontId="33" fillId="37" borderId="20" xfId="6" applyNumberFormat="1" applyFont="1" applyFill="1" applyBorder="1" applyAlignment="1">
      <alignment horizontal="center" vertical="center"/>
    </xf>
    <xf numFmtId="2" fontId="33" fillId="32" borderId="20" xfId="6" applyNumberFormat="1" applyFont="1" applyFill="1" applyBorder="1" applyAlignment="1">
      <alignment horizontal="center" vertical="center"/>
    </xf>
    <xf numFmtId="2" fontId="33" fillId="33" borderId="20" xfId="6" applyNumberFormat="1" applyFont="1" applyFill="1" applyBorder="1" applyAlignment="1">
      <alignment horizontal="center" vertical="center"/>
    </xf>
    <xf numFmtId="2" fontId="33" fillId="34" borderId="20" xfId="6" applyNumberFormat="1" applyFont="1" applyFill="1" applyBorder="1" applyAlignment="1">
      <alignment horizontal="center" vertical="center"/>
    </xf>
    <xf numFmtId="2" fontId="33" fillId="35" borderId="20" xfId="6" applyNumberFormat="1" applyFont="1" applyFill="1" applyBorder="1" applyAlignment="1">
      <alignment horizontal="center" vertical="center"/>
    </xf>
    <xf numFmtId="165" fontId="33" fillId="36" borderId="20" xfId="6" applyFont="1" applyFill="1" applyBorder="1" applyAlignment="1">
      <alignment horizontal="center" vertical="center"/>
    </xf>
    <xf numFmtId="0" fontId="4" fillId="3" borderId="158" xfId="1" applyNumberFormat="1" applyFont="1" applyFill="1" applyBorder="1" applyAlignment="1">
      <alignment horizontal="center" wrapText="1"/>
    </xf>
    <xf numFmtId="0" fontId="14" fillId="38" borderId="59" xfId="0" applyFont="1" applyFill="1" applyBorder="1" applyAlignment="1">
      <alignment horizontal="left"/>
    </xf>
    <xf numFmtId="0" fontId="3" fillId="3" borderId="0" xfId="0" applyFont="1" applyFill="1" applyBorder="1"/>
    <xf numFmtId="0" fontId="15" fillId="3" borderId="31" xfId="0" applyFont="1" applyFill="1" applyBorder="1" applyAlignment="1">
      <alignment horizontal="center"/>
    </xf>
    <xf numFmtId="2" fontId="1" fillId="27" borderId="105" xfId="0" applyNumberFormat="1" applyFont="1" applyFill="1" applyBorder="1" applyAlignment="1">
      <alignment horizontal="center"/>
    </xf>
    <xf numFmtId="2" fontId="4" fillId="5" borderId="181" xfId="6" applyNumberFormat="1" applyFont="1" applyFill="1" applyBorder="1" applyAlignment="1">
      <alignment horizontal="center"/>
    </xf>
    <xf numFmtId="2" fontId="4" fillId="2" borderId="107" xfId="6" applyNumberFormat="1" applyFont="1" applyFill="1" applyBorder="1" applyAlignment="1">
      <alignment horizontal="center"/>
    </xf>
    <xf numFmtId="2" fontId="4" fillId="3" borderId="107" xfId="6" applyNumberFormat="1" applyFont="1" applyFill="1" applyBorder="1" applyAlignment="1">
      <alignment horizontal="center"/>
    </xf>
    <xf numFmtId="2" fontId="4" fillId="41" borderId="107" xfId="6" applyNumberFormat="1" applyFont="1" applyFill="1" applyBorder="1" applyAlignment="1">
      <alignment horizontal="center"/>
    </xf>
    <xf numFmtId="2" fontId="4" fillId="22" borderId="107" xfId="6" applyNumberFormat="1" applyFont="1" applyFill="1" applyBorder="1" applyAlignment="1">
      <alignment horizontal="center"/>
    </xf>
    <xf numFmtId="2" fontId="4" fillId="19" borderId="107" xfId="6" applyNumberFormat="1" applyFont="1" applyFill="1" applyBorder="1" applyAlignment="1">
      <alignment horizontal="center"/>
    </xf>
    <xf numFmtId="0" fontId="24" fillId="3" borderId="0" xfId="0" applyFont="1" applyFill="1" applyBorder="1"/>
    <xf numFmtId="0" fontId="14" fillId="0" borderId="0" xfId="0" applyNumberFormat="1" applyFont="1" applyFill="1"/>
    <xf numFmtId="0" fontId="13" fillId="3" borderId="45" xfId="0" applyFont="1" applyFill="1" applyBorder="1" applyAlignment="1">
      <alignment horizontal="center"/>
    </xf>
    <xf numFmtId="0" fontId="14" fillId="0" borderId="146" xfId="0" applyFont="1" applyFill="1" applyBorder="1" applyAlignment="1">
      <alignment horizontal="center" vertical="center" wrapText="1"/>
    </xf>
    <xf numFmtId="0" fontId="14" fillId="3" borderId="122" xfId="0" applyFont="1" applyFill="1" applyBorder="1" applyAlignment="1">
      <alignment horizontal="center"/>
    </xf>
    <xf numFmtId="0" fontId="14" fillId="3" borderId="118" xfId="0" applyFont="1" applyFill="1" applyBorder="1" applyAlignment="1">
      <alignment horizontal="center"/>
    </xf>
    <xf numFmtId="0" fontId="14" fillId="3" borderId="123" xfId="0" applyFont="1" applyFill="1" applyBorder="1" applyAlignment="1">
      <alignment horizontal="center"/>
    </xf>
    <xf numFmtId="0" fontId="14" fillId="3" borderId="55" xfId="0" applyFont="1" applyFill="1" applyBorder="1" applyAlignment="1">
      <alignment horizontal="center"/>
    </xf>
    <xf numFmtId="0" fontId="14" fillId="3" borderId="46" xfId="0" applyFont="1" applyFill="1" applyBorder="1" applyAlignment="1">
      <alignment horizontal="center"/>
    </xf>
    <xf numFmtId="0" fontId="14" fillId="0" borderId="0" xfId="0" applyFont="1" applyAlignment="1"/>
    <xf numFmtId="0" fontId="13" fillId="3" borderId="30" xfId="0" applyFont="1" applyFill="1" applyBorder="1" applyAlignment="1">
      <alignment horizontal="center"/>
    </xf>
    <xf numFmtId="0" fontId="13" fillId="3" borderId="118" xfId="0" applyFont="1" applyFill="1" applyBorder="1" applyAlignment="1">
      <alignment horizontal="center"/>
    </xf>
    <xf numFmtId="0" fontId="13" fillId="3" borderId="43" xfId="0" applyFont="1" applyFill="1" applyBorder="1" applyAlignment="1">
      <alignment horizontal="center"/>
    </xf>
    <xf numFmtId="0" fontId="13" fillId="3" borderId="141" xfId="0" applyFont="1" applyFill="1" applyBorder="1" applyAlignment="1">
      <alignment horizontal="center"/>
    </xf>
    <xf numFmtId="0" fontId="13" fillId="3" borderId="140" xfId="0" applyFont="1" applyFill="1" applyBorder="1" applyAlignment="1">
      <alignment horizontal="center"/>
    </xf>
    <xf numFmtId="0" fontId="12" fillId="0" borderId="200" xfId="0" applyFont="1" applyFill="1" applyBorder="1" applyAlignment="1">
      <alignment horizontal="center"/>
    </xf>
    <xf numFmtId="1" fontId="0" fillId="18" borderId="35" xfId="6" applyNumberFormat="1" applyFont="1" applyFill="1" applyBorder="1" applyAlignment="1">
      <alignment horizontal="center"/>
    </xf>
    <xf numFmtId="0" fontId="12" fillId="3" borderId="201" xfId="0" applyFont="1" applyFill="1" applyBorder="1" applyAlignment="1">
      <alignment horizontal="center"/>
    </xf>
    <xf numFmtId="0" fontId="13" fillId="3" borderId="145" xfId="0" applyFont="1" applyFill="1" applyBorder="1" applyAlignment="1">
      <alignment horizontal="center"/>
    </xf>
    <xf numFmtId="0" fontId="13" fillId="3" borderId="31" xfId="0" applyFont="1" applyFill="1" applyBorder="1" applyAlignment="1">
      <alignment horizontal="center"/>
    </xf>
    <xf numFmtId="0" fontId="13" fillId="3" borderId="42" xfId="0" applyFont="1" applyFill="1" applyBorder="1" applyAlignment="1">
      <alignment horizontal="center"/>
    </xf>
    <xf numFmtId="0" fontId="13" fillId="3" borderId="51" xfId="0" applyFont="1" applyFill="1" applyBorder="1" applyAlignment="1">
      <alignment horizontal="center"/>
    </xf>
    <xf numFmtId="0" fontId="3" fillId="3" borderId="189" xfId="0" applyFont="1" applyFill="1" applyBorder="1" applyAlignment="1">
      <alignment horizontal="left"/>
    </xf>
    <xf numFmtId="0" fontId="3" fillId="3" borderId="202" xfId="0" applyFont="1" applyFill="1" applyBorder="1" applyAlignment="1">
      <alignment horizontal="center" vertical="center" wrapText="1"/>
    </xf>
    <xf numFmtId="0" fontId="0" fillId="3" borderId="52" xfId="0" applyFill="1" applyBorder="1" applyAlignment="1">
      <alignment horizontal="center"/>
    </xf>
    <xf numFmtId="0" fontId="0" fillId="3" borderId="45" xfId="0" applyFill="1" applyBorder="1" applyAlignment="1">
      <alignment horizontal="center"/>
    </xf>
    <xf numFmtId="0" fontId="11" fillId="17" borderId="193" xfId="0" applyFont="1" applyFill="1" applyBorder="1" applyAlignment="1">
      <alignment horizontal="center"/>
    </xf>
    <xf numFmtId="0" fontId="24" fillId="3" borderId="96" xfId="0" applyFont="1" applyFill="1" applyBorder="1"/>
    <xf numFmtId="0" fontId="14" fillId="0" borderId="103" xfId="0" applyFont="1" applyFill="1" applyBorder="1"/>
    <xf numFmtId="0" fontId="0" fillId="3" borderId="210" xfId="0" applyFill="1" applyBorder="1" applyAlignment="1">
      <alignment horizontal="center"/>
    </xf>
    <xf numFmtId="0" fontId="0" fillId="3" borderId="195" xfId="0" applyFill="1" applyBorder="1" applyAlignment="1">
      <alignment horizontal="center"/>
    </xf>
    <xf numFmtId="165" fontId="3" fillId="9" borderId="160" xfId="6" applyNumberFormat="1" applyFont="1" applyFill="1" applyBorder="1" applyAlignment="1">
      <alignment horizontal="right"/>
    </xf>
    <xf numFmtId="0" fontId="14" fillId="3" borderId="114" xfId="0" applyFont="1" applyFill="1" applyBorder="1" applyAlignment="1">
      <alignment horizontal="center"/>
    </xf>
    <xf numFmtId="49" fontId="42" fillId="0" borderId="0" xfId="0" applyNumberFormat="1" applyFont="1" applyFill="1"/>
    <xf numFmtId="49" fontId="42" fillId="0" borderId="0" xfId="0" applyNumberFormat="1" applyFont="1" applyFill="1" applyAlignment="1"/>
    <xf numFmtId="49" fontId="14" fillId="0" borderId="211" xfId="0" applyNumberFormat="1" applyFont="1" applyFill="1" applyBorder="1" applyAlignment="1">
      <alignment horizontal="center" vertical="center" wrapText="1"/>
    </xf>
    <xf numFmtId="0" fontId="11" fillId="13" borderId="0" xfId="0" applyFont="1" applyFill="1" applyBorder="1" applyAlignment="1">
      <alignment horizontal="center"/>
    </xf>
    <xf numFmtId="0" fontId="13" fillId="3" borderId="0" xfId="0" applyFont="1" applyFill="1" applyBorder="1" applyAlignment="1">
      <alignment horizontal="center"/>
    </xf>
    <xf numFmtId="0" fontId="12" fillId="3" borderId="0" xfId="0" applyFont="1" applyFill="1" applyBorder="1" applyAlignment="1">
      <alignment horizontal="center"/>
    </xf>
    <xf numFmtId="0" fontId="12" fillId="3" borderId="143" xfId="0" applyFont="1" applyFill="1" applyBorder="1" applyAlignment="1">
      <alignment horizontal="center"/>
    </xf>
    <xf numFmtId="0" fontId="12" fillId="0" borderId="0" xfId="0" applyFont="1" applyFill="1" applyBorder="1" applyAlignment="1">
      <alignment horizontal="center"/>
    </xf>
    <xf numFmtId="0" fontId="12" fillId="0" borderId="143" xfId="0" applyFont="1" applyFill="1" applyBorder="1" applyAlignment="1">
      <alignment horizontal="center"/>
    </xf>
    <xf numFmtId="0" fontId="0" fillId="0" borderId="45" xfId="0" applyFill="1" applyBorder="1" applyAlignment="1">
      <alignment horizontal="center"/>
    </xf>
    <xf numFmtId="0" fontId="13" fillId="3" borderId="212" xfId="0" applyFont="1" applyFill="1" applyBorder="1" applyAlignment="1">
      <alignment horizontal="center"/>
    </xf>
    <xf numFmtId="0" fontId="13" fillId="3" borderId="165" xfId="0" applyFont="1" applyFill="1" applyBorder="1" applyAlignment="1">
      <alignment horizontal="center"/>
    </xf>
    <xf numFmtId="0" fontId="13" fillId="3" borderId="213" xfId="0" applyFont="1" applyFill="1" applyBorder="1" applyAlignment="1">
      <alignment horizontal="center"/>
    </xf>
    <xf numFmtId="0" fontId="12" fillId="3" borderId="165" xfId="0" applyFont="1" applyFill="1" applyBorder="1" applyAlignment="1">
      <alignment horizontal="center"/>
    </xf>
    <xf numFmtId="0" fontId="12" fillId="3" borderId="212" xfId="0" applyFont="1" applyFill="1" applyBorder="1" applyAlignment="1">
      <alignment horizontal="center"/>
    </xf>
    <xf numFmtId="0" fontId="12" fillId="3" borderId="213" xfId="0" applyFont="1" applyFill="1" applyBorder="1" applyAlignment="1">
      <alignment horizontal="center"/>
    </xf>
    <xf numFmtId="0" fontId="12" fillId="0" borderId="214" xfId="0" applyFont="1" applyFill="1" applyBorder="1" applyAlignment="1">
      <alignment horizontal="center"/>
    </xf>
    <xf numFmtId="0" fontId="12" fillId="3" borderId="215" xfId="0" applyFont="1" applyFill="1" applyBorder="1" applyAlignment="1">
      <alignment horizontal="center"/>
    </xf>
    <xf numFmtId="0" fontId="0" fillId="0" borderId="216" xfId="0" applyFill="1" applyBorder="1" applyAlignment="1">
      <alignment horizontal="center"/>
    </xf>
    <xf numFmtId="0" fontId="0" fillId="0" borderId="217" xfId="0" applyFill="1" applyBorder="1"/>
    <xf numFmtId="0" fontId="12" fillId="3" borderId="214" xfId="0" applyFont="1" applyFill="1" applyBorder="1" applyAlignment="1">
      <alignment horizontal="center"/>
    </xf>
    <xf numFmtId="0" fontId="0" fillId="3" borderId="216" xfId="0" applyFill="1" applyBorder="1" applyAlignment="1">
      <alignment horizontal="center"/>
    </xf>
    <xf numFmtId="0" fontId="14" fillId="3" borderId="151" xfId="0" applyFont="1" applyFill="1" applyBorder="1" applyAlignment="1">
      <alignment horizontal="center"/>
    </xf>
    <xf numFmtId="0" fontId="0" fillId="3" borderId="142" xfId="0" applyFill="1" applyBorder="1" applyAlignment="1">
      <alignment horizontal="center"/>
    </xf>
    <xf numFmtId="0" fontId="0" fillId="3" borderId="191" xfId="0" applyFill="1" applyBorder="1" applyAlignment="1">
      <alignment horizontal="center"/>
    </xf>
    <xf numFmtId="0" fontId="0" fillId="0" borderId="151" xfId="0" applyFill="1" applyBorder="1" applyAlignment="1">
      <alignment horizontal="center"/>
    </xf>
    <xf numFmtId="0" fontId="0" fillId="0" borderId="142" xfId="0" applyFill="1" applyBorder="1" applyAlignment="1">
      <alignment horizontal="center"/>
    </xf>
    <xf numFmtId="0" fontId="0" fillId="0" borderId="191" xfId="0" applyFill="1" applyBorder="1" applyAlignment="1">
      <alignment horizontal="center"/>
    </xf>
    <xf numFmtId="0" fontId="14" fillId="3" borderId="142" xfId="0" applyFont="1" applyFill="1" applyBorder="1" applyAlignment="1">
      <alignment horizontal="center"/>
    </xf>
    <xf numFmtId="0" fontId="14" fillId="0" borderId="218" xfId="0" applyFont="1" applyFill="1" applyBorder="1" applyAlignment="1">
      <alignment horizontal="center"/>
    </xf>
    <xf numFmtId="0" fontId="14" fillId="0" borderId="191" xfId="0" applyFont="1" applyFill="1" applyBorder="1" applyAlignment="1">
      <alignment horizontal="center"/>
    </xf>
    <xf numFmtId="0" fontId="12" fillId="3" borderId="60" xfId="0" applyFont="1" applyFill="1" applyBorder="1" applyAlignment="1">
      <alignment horizontal="center"/>
    </xf>
    <xf numFmtId="0" fontId="12" fillId="3" borderId="218" xfId="0" applyFont="1" applyFill="1" applyBorder="1" applyAlignment="1">
      <alignment horizontal="center"/>
    </xf>
    <xf numFmtId="0" fontId="12" fillId="3" borderId="114" xfId="0" applyFont="1" applyFill="1" applyBorder="1" applyAlignment="1">
      <alignment horizontal="center"/>
    </xf>
    <xf numFmtId="0" fontId="12" fillId="3" borderId="191" xfId="0" applyFont="1" applyFill="1" applyBorder="1" applyAlignment="1">
      <alignment horizontal="center"/>
    </xf>
    <xf numFmtId="0" fontId="14" fillId="3" borderId="117" xfId="0" applyFont="1" applyFill="1" applyBorder="1" applyAlignment="1">
      <alignment horizontal="center"/>
    </xf>
    <xf numFmtId="0" fontId="14" fillId="0" borderId="117" xfId="0" applyFont="1" applyFill="1" applyBorder="1" applyAlignment="1">
      <alignment horizontal="center"/>
    </xf>
    <xf numFmtId="0" fontId="14" fillId="3" borderId="26" xfId="0" applyFont="1" applyFill="1" applyBorder="1" applyAlignment="1">
      <alignment horizontal="center"/>
    </xf>
    <xf numFmtId="0" fontId="12" fillId="0" borderId="60" xfId="0" applyFont="1" applyFill="1" applyBorder="1" applyAlignment="1">
      <alignment horizontal="center"/>
    </xf>
    <xf numFmtId="0" fontId="14" fillId="0" borderId="219" xfId="0" applyFont="1" applyFill="1" applyBorder="1" applyAlignment="1">
      <alignment horizontal="center"/>
    </xf>
    <xf numFmtId="0" fontId="12" fillId="0" borderId="216" xfId="0" applyFont="1" applyFill="1" applyBorder="1" applyAlignment="1">
      <alignment horizontal="center"/>
    </xf>
    <xf numFmtId="0" fontId="12" fillId="0" borderId="218" xfId="0" applyFont="1" applyFill="1" applyBorder="1" applyAlignment="1">
      <alignment horizontal="center"/>
    </xf>
    <xf numFmtId="0" fontId="12" fillId="0" borderId="114" xfId="0" applyFont="1" applyFill="1" applyBorder="1" applyAlignment="1">
      <alignment horizontal="center"/>
    </xf>
    <xf numFmtId="0" fontId="12" fillId="0" borderId="191" xfId="0" applyFont="1" applyFill="1" applyBorder="1" applyAlignment="1">
      <alignment horizontal="center"/>
    </xf>
    <xf numFmtId="0" fontId="11" fillId="13" borderId="15" xfId="0" applyFont="1" applyFill="1" applyBorder="1" applyAlignment="1">
      <alignment horizontal="center"/>
    </xf>
    <xf numFmtId="0" fontId="14" fillId="0" borderId="167" xfId="0" applyFont="1" applyFill="1" applyBorder="1" applyAlignment="1">
      <alignment horizontal="center"/>
    </xf>
    <xf numFmtId="0" fontId="13" fillId="0" borderId="167" xfId="0" applyFont="1" applyFill="1" applyBorder="1" applyAlignment="1">
      <alignment horizontal="center"/>
    </xf>
    <xf numFmtId="0" fontId="13" fillId="3" borderId="154" xfId="0" applyFont="1" applyFill="1" applyBorder="1" applyAlignment="1">
      <alignment horizontal="center"/>
    </xf>
    <xf numFmtId="0" fontId="14" fillId="3" borderId="154" xfId="0" applyFont="1" applyFill="1" applyBorder="1" applyAlignment="1">
      <alignment horizontal="center"/>
    </xf>
    <xf numFmtId="0" fontId="14" fillId="0" borderId="154" xfId="0" applyFont="1" applyFill="1" applyBorder="1" applyAlignment="1">
      <alignment horizontal="center"/>
    </xf>
    <xf numFmtId="0" fontId="13" fillId="0" borderId="154" xfId="0" applyFont="1" applyFill="1" applyBorder="1" applyAlignment="1">
      <alignment horizontal="center"/>
    </xf>
    <xf numFmtId="0" fontId="13" fillId="3" borderId="195" xfId="0" applyFont="1" applyFill="1" applyBorder="1" applyAlignment="1">
      <alignment horizontal="center"/>
    </xf>
    <xf numFmtId="0" fontId="13" fillId="3" borderId="167" xfId="0" applyFont="1" applyFill="1" applyBorder="1" applyAlignment="1">
      <alignment horizontal="center"/>
    </xf>
    <xf numFmtId="0" fontId="14" fillId="0" borderId="210" xfId="0" applyFont="1" applyFill="1" applyBorder="1" applyAlignment="1">
      <alignment horizontal="center"/>
    </xf>
    <xf numFmtId="0" fontId="14" fillId="0" borderId="195" xfId="0" applyFont="1" applyFill="1" applyBorder="1" applyAlignment="1">
      <alignment horizontal="center"/>
    </xf>
    <xf numFmtId="0" fontId="14" fillId="3" borderId="167" xfId="0" applyFont="1" applyFill="1" applyBorder="1" applyAlignment="1">
      <alignment horizontal="center"/>
    </xf>
    <xf numFmtId="0" fontId="13" fillId="0" borderId="210" xfId="0" applyFont="1" applyFill="1" applyBorder="1" applyAlignment="1">
      <alignment horizontal="center"/>
    </xf>
    <xf numFmtId="0" fontId="13" fillId="3" borderId="210" xfId="0" applyFont="1" applyFill="1" applyBorder="1" applyAlignment="1">
      <alignment horizontal="center"/>
    </xf>
    <xf numFmtId="0" fontId="12" fillId="3" borderId="220" xfId="0" applyFont="1" applyFill="1" applyBorder="1" applyAlignment="1">
      <alignment horizontal="center"/>
    </xf>
    <xf numFmtId="0" fontId="14" fillId="0" borderId="216" xfId="0" applyFont="1" applyFill="1" applyBorder="1" applyAlignment="1">
      <alignment horizontal="center"/>
    </xf>
    <xf numFmtId="0" fontId="0" fillId="3" borderId="45" xfId="0" applyFont="1" applyFill="1" applyBorder="1" applyAlignment="1">
      <alignment horizontal="center"/>
    </xf>
    <xf numFmtId="0" fontId="0" fillId="3" borderId="195" xfId="0" applyFont="1" applyFill="1" applyBorder="1" applyAlignment="1">
      <alignment horizontal="center"/>
    </xf>
    <xf numFmtId="0" fontId="0" fillId="0" borderId="210" xfId="0" applyFont="1" applyFill="1" applyBorder="1" applyAlignment="1">
      <alignment horizontal="center"/>
    </xf>
    <xf numFmtId="0" fontId="0" fillId="3" borderId="210" xfId="0" applyFont="1" applyFill="1" applyBorder="1" applyAlignment="1">
      <alignment horizontal="center"/>
    </xf>
    <xf numFmtId="0" fontId="0" fillId="3" borderId="167" xfId="0" applyFont="1" applyFill="1" applyBorder="1" applyAlignment="1">
      <alignment horizontal="center"/>
    </xf>
    <xf numFmtId="0" fontId="0" fillId="0" borderId="195" xfId="0" applyFont="1" applyFill="1" applyBorder="1" applyAlignment="1">
      <alignment horizontal="center"/>
    </xf>
    <xf numFmtId="0" fontId="0" fillId="0" borderId="45" xfId="0" applyFont="1" applyFill="1" applyBorder="1" applyAlignment="1">
      <alignment horizontal="center"/>
    </xf>
    <xf numFmtId="0" fontId="0" fillId="0" borderId="167" xfId="0" applyFont="1" applyFill="1" applyBorder="1" applyAlignment="1">
      <alignment horizontal="center"/>
    </xf>
    <xf numFmtId="0" fontId="13" fillId="3" borderId="192" xfId="0" applyFont="1" applyFill="1" applyBorder="1" applyAlignment="1">
      <alignment horizontal="center"/>
    </xf>
    <xf numFmtId="0" fontId="14" fillId="3" borderId="221" xfId="0" applyFont="1" applyFill="1" applyBorder="1" applyAlignment="1">
      <alignment horizontal="center"/>
    </xf>
    <xf numFmtId="2" fontId="33" fillId="28" borderId="0" xfId="0" applyNumberFormat="1" applyFont="1" applyFill="1" applyBorder="1" applyAlignment="1">
      <alignment horizontal="center" vertical="center"/>
    </xf>
    <xf numFmtId="2" fontId="33" fillId="29" borderId="0" xfId="6" applyNumberFormat="1" applyFont="1" applyFill="1" applyBorder="1" applyAlignment="1">
      <alignment horizontal="center" vertical="center"/>
    </xf>
    <xf numFmtId="2" fontId="33" fillId="30" borderId="0" xfId="0" applyNumberFormat="1" applyFont="1" applyFill="1" applyBorder="1" applyAlignment="1">
      <alignment horizontal="center" vertical="center"/>
    </xf>
    <xf numFmtId="2" fontId="33" fillId="42" borderId="0" xfId="0" applyNumberFormat="1" applyFont="1" applyFill="1" applyBorder="1" applyAlignment="1">
      <alignment horizontal="center" vertical="center"/>
    </xf>
    <xf numFmtId="2" fontId="33" fillId="37" borderId="0" xfId="0" applyNumberFormat="1" applyFont="1" applyFill="1" applyBorder="1" applyAlignment="1">
      <alignment horizontal="center" vertical="center"/>
    </xf>
    <xf numFmtId="2" fontId="33" fillId="32" borderId="0" xfId="0" applyNumberFormat="1" applyFont="1" applyFill="1" applyBorder="1" applyAlignment="1">
      <alignment horizontal="center" vertical="center"/>
    </xf>
    <xf numFmtId="2" fontId="33" fillId="33" borderId="0" xfId="0" applyNumberFormat="1" applyFont="1" applyFill="1" applyBorder="1" applyAlignment="1">
      <alignment horizontal="center" vertical="center"/>
    </xf>
    <xf numFmtId="2" fontId="33" fillId="34" borderId="0" xfId="0" applyNumberFormat="1" applyFont="1" applyFill="1" applyBorder="1" applyAlignment="1">
      <alignment horizontal="center" vertical="center"/>
    </xf>
    <xf numFmtId="165" fontId="33" fillId="35" borderId="0" xfId="0" applyNumberFormat="1" applyFont="1" applyFill="1" applyBorder="1" applyAlignment="1">
      <alignment horizontal="center" vertical="center"/>
    </xf>
    <xf numFmtId="165" fontId="33" fillId="36" borderId="0" xfId="0" applyNumberFormat="1" applyFont="1" applyFill="1" applyBorder="1" applyAlignment="1">
      <alignment horizontal="center" vertical="center"/>
    </xf>
    <xf numFmtId="0" fontId="12" fillId="0" borderId="167" xfId="0" applyFont="1" applyFill="1" applyBorder="1" applyAlignment="1">
      <alignment horizontal="center"/>
    </xf>
    <xf numFmtId="2" fontId="33" fillId="35" borderId="0" xfId="0" applyNumberFormat="1" applyFont="1" applyFill="1" applyBorder="1" applyAlignment="1">
      <alignment horizontal="center" vertical="center"/>
    </xf>
    <xf numFmtId="0" fontId="12" fillId="3" borderId="193" xfId="0" applyFont="1" applyFill="1" applyBorder="1" applyAlignment="1">
      <alignment horizontal="center"/>
    </xf>
    <xf numFmtId="166" fontId="3" fillId="4" borderId="158" xfId="6" applyNumberFormat="1" applyFont="1" applyFill="1" applyBorder="1" applyAlignment="1">
      <alignment horizontal="center"/>
    </xf>
    <xf numFmtId="165" fontId="4" fillId="3" borderId="158" xfId="6" applyNumberFormat="1" applyFont="1" applyFill="1" applyBorder="1" applyAlignment="1">
      <alignment horizontal="center" vertical="center"/>
    </xf>
    <xf numFmtId="165" fontId="3" fillId="4" borderId="158" xfId="6" applyNumberFormat="1" applyFont="1" applyFill="1" applyBorder="1" applyAlignment="1">
      <alignment horizontal="center"/>
    </xf>
    <xf numFmtId="165" fontId="3" fillId="2" borderId="158" xfId="6" applyNumberFormat="1" applyFont="1" applyFill="1" applyBorder="1" applyAlignment="1">
      <alignment horizontal="center"/>
    </xf>
    <xf numFmtId="165" fontId="3" fillId="6" borderId="158" xfId="6" applyNumberFormat="1" applyFont="1" applyFill="1" applyBorder="1" applyAlignment="1">
      <alignment horizontal="center"/>
    </xf>
    <xf numFmtId="0" fontId="2" fillId="0" borderId="218" xfId="0" applyFont="1" applyBorder="1" applyAlignment="1"/>
    <xf numFmtId="0" fontId="2" fillId="3" borderId="0" xfId="0" applyFont="1" applyFill="1" applyAlignment="1">
      <alignment vertical="center"/>
    </xf>
    <xf numFmtId="0" fontId="2" fillId="4" borderId="0" xfId="0" applyFont="1" applyFill="1" applyAlignment="1">
      <alignment vertical="center"/>
    </xf>
    <xf numFmtId="0" fontId="2" fillId="2" borderId="0" xfId="0" applyFont="1" applyFill="1" applyAlignment="1">
      <alignment vertical="center"/>
    </xf>
    <xf numFmtId="0" fontId="2" fillId="6" borderId="0" xfId="0" applyFont="1" applyFill="1" applyAlignment="1">
      <alignment vertical="center"/>
    </xf>
    <xf numFmtId="0" fontId="2" fillId="24" borderId="0" xfId="0" applyFont="1" applyFill="1" applyAlignment="1">
      <alignment vertical="center" wrapText="1"/>
    </xf>
    <xf numFmtId="0" fontId="2" fillId="5" borderId="0" xfId="0" applyFont="1" applyFill="1" applyAlignment="1">
      <alignment vertical="center"/>
    </xf>
    <xf numFmtId="0" fontId="3" fillId="0" borderId="0" xfId="0" applyFont="1" applyFill="1" applyAlignment="1">
      <alignment horizontal="center"/>
    </xf>
    <xf numFmtId="0" fontId="2" fillId="0" borderId="223" xfId="0" applyFont="1" applyBorder="1" applyAlignment="1"/>
    <xf numFmtId="0" fontId="0" fillId="0" borderId="223" xfId="0" applyBorder="1"/>
    <xf numFmtId="0" fontId="0" fillId="0" borderId="224" xfId="0" applyBorder="1"/>
    <xf numFmtId="0" fontId="3" fillId="0" borderId="190" xfId="0" applyFont="1" applyBorder="1" applyAlignment="1"/>
    <xf numFmtId="1" fontId="3" fillId="2" borderId="0" xfId="6" applyNumberFormat="1" applyFont="1" applyFill="1" applyAlignment="1">
      <alignment horizontal="center"/>
    </xf>
    <xf numFmtId="1" fontId="3" fillId="4" borderId="0" xfId="6" applyNumberFormat="1" applyFont="1" applyFill="1" applyAlignment="1">
      <alignment horizontal="right" vertical="center"/>
    </xf>
    <xf numFmtId="1" fontId="4" fillId="4" borderId="0" xfId="6" applyNumberFormat="1" applyFont="1" applyFill="1" applyAlignment="1">
      <alignment horizontal="right"/>
    </xf>
    <xf numFmtId="1" fontId="4" fillId="6" borderId="0" xfId="6" applyNumberFormat="1" applyFont="1" applyFill="1" applyAlignment="1">
      <alignment horizontal="center"/>
    </xf>
    <xf numFmtId="1" fontId="3" fillId="24" borderId="0" xfId="6" applyNumberFormat="1" applyFont="1" applyFill="1" applyAlignment="1">
      <alignment horizontal="right"/>
    </xf>
    <xf numFmtId="166" fontId="3" fillId="24" borderId="0" xfId="6" applyNumberFormat="1" applyFont="1" applyFill="1" applyAlignment="1">
      <alignment horizontal="right"/>
    </xf>
    <xf numFmtId="14" fontId="9" fillId="3" borderId="157" xfId="0" applyNumberFormat="1" applyFont="1" applyFill="1" applyBorder="1" applyAlignment="1">
      <alignment horizontal="center" vertical="top" wrapText="1"/>
    </xf>
    <xf numFmtId="14" fontId="9" fillId="4" borderId="157" xfId="0" applyNumberFormat="1" applyFont="1" applyFill="1" applyBorder="1" applyAlignment="1">
      <alignment horizontal="center" vertical="top" wrapText="1"/>
    </xf>
    <xf numFmtId="0" fontId="9" fillId="2" borderId="157" xfId="0" applyFont="1" applyFill="1" applyBorder="1" applyAlignment="1">
      <alignment horizontal="center" vertical="top" wrapText="1"/>
    </xf>
    <xf numFmtId="0" fontId="9" fillId="6" borderId="157" xfId="0" applyFont="1" applyFill="1" applyBorder="1" applyAlignment="1">
      <alignment horizontal="center" vertical="top" wrapText="1"/>
    </xf>
    <xf numFmtId="0" fontId="9" fillId="24" borderId="157" xfId="0" applyFont="1" applyFill="1" applyBorder="1" applyAlignment="1">
      <alignment horizontal="center" vertical="top" wrapText="1"/>
    </xf>
    <xf numFmtId="0" fontId="3" fillId="0" borderId="158" xfId="0" applyFont="1" applyFill="1" applyBorder="1" applyAlignment="1">
      <alignment horizontal="center"/>
    </xf>
    <xf numFmtId="0" fontId="4" fillId="0" borderId="158" xfId="1" applyNumberFormat="1" applyFont="1" applyFill="1" applyBorder="1" applyAlignment="1">
      <alignment horizontal="center"/>
    </xf>
    <xf numFmtId="0" fontId="3" fillId="3" borderId="16" xfId="0" applyFont="1" applyFill="1" applyBorder="1" applyAlignment="1">
      <alignment horizontal="center" vertical="center"/>
    </xf>
    <xf numFmtId="0" fontId="3" fillId="0" borderId="15" xfId="0" applyFont="1" applyFill="1" applyBorder="1" applyAlignment="1">
      <alignment horizontal="center" vertical="center"/>
    </xf>
    <xf numFmtId="0" fontId="3" fillId="0" borderId="17" xfId="0" applyFont="1" applyFill="1" applyBorder="1" applyAlignment="1">
      <alignment horizontal="center" vertical="center"/>
    </xf>
    <xf numFmtId="0" fontId="3" fillId="0" borderId="12" xfId="0" applyFont="1" applyFill="1" applyBorder="1" applyAlignment="1">
      <alignment horizontal="center" vertical="center"/>
    </xf>
    <xf numFmtId="2" fontId="16" fillId="33" borderId="45" xfId="0" applyNumberFormat="1" applyFont="1" applyFill="1" applyBorder="1" applyAlignment="1">
      <alignment horizontal="center" vertical="center"/>
    </xf>
    <xf numFmtId="165" fontId="16" fillId="36" borderId="45" xfId="6" applyFont="1" applyFill="1" applyBorder="1" applyAlignment="1">
      <alignment horizontal="center" vertical="center"/>
    </xf>
    <xf numFmtId="2" fontId="16" fillId="35" borderId="45" xfId="0" applyNumberFormat="1" applyFont="1" applyFill="1" applyBorder="1" applyAlignment="1">
      <alignment horizontal="center" vertical="center"/>
    </xf>
    <xf numFmtId="165" fontId="16" fillId="36" borderId="118" xfId="6" applyFont="1" applyFill="1" applyBorder="1" applyAlignment="1">
      <alignment horizontal="center" vertical="center"/>
    </xf>
    <xf numFmtId="2" fontId="33" fillId="33" borderId="138" xfId="0" applyNumberFormat="1" applyFont="1" applyFill="1" applyBorder="1" applyAlignment="1">
      <alignment horizontal="center" vertical="center"/>
    </xf>
    <xf numFmtId="165" fontId="33" fillId="36" borderId="138" xfId="6" applyFont="1" applyFill="1" applyBorder="1" applyAlignment="1">
      <alignment horizontal="center" vertical="center"/>
    </xf>
    <xf numFmtId="2" fontId="33" fillId="42" borderId="168" xfId="0" applyNumberFormat="1" applyFont="1" applyFill="1" applyBorder="1" applyAlignment="1">
      <alignment horizontal="center" vertical="center"/>
    </xf>
    <xf numFmtId="2" fontId="33" fillId="29" borderId="138" xfId="0" applyNumberFormat="1" applyFont="1" applyFill="1" applyBorder="1" applyAlignment="1">
      <alignment horizontal="center" vertical="center"/>
    </xf>
    <xf numFmtId="2" fontId="16" fillId="37" borderId="45" xfId="0" applyNumberFormat="1" applyFont="1" applyFill="1" applyBorder="1" applyAlignment="1">
      <alignment horizontal="center" vertical="center"/>
    </xf>
    <xf numFmtId="2" fontId="16" fillId="32" borderId="45" xfId="0" applyNumberFormat="1" applyFont="1" applyFill="1" applyBorder="1" applyAlignment="1">
      <alignment horizontal="center" vertical="center"/>
    </xf>
    <xf numFmtId="2" fontId="33" fillId="28" borderId="138" xfId="0" applyNumberFormat="1" applyFont="1" applyFill="1" applyBorder="1" applyAlignment="1">
      <alignment horizontal="center" vertical="center"/>
    </xf>
    <xf numFmtId="2" fontId="33" fillId="30" borderId="138" xfId="0" applyNumberFormat="1" applyFont="1" applyFill="1" applyBorder="1" applyAlignment="1">
      <alignment horizontal="center" vertical="center"/>
    </xf>
    <xf numFmtId="2" fontId="33" fillId="37" borderId="138" xfId="0" applyNumberFormat="1" applyFont="1" applyFill="1" applyBorder="1" applyAlignment="1">
      <alignment horizontal="center" vertical="center"/>
    </xf>
    <xf numFmtId="166" fontId="14" fillId="26" borderId="138" xfId="6" applyNumberFormat="1" applyFont="1" applyFill="1" applyBorder="1" applyAlignment="1">
      <alignment horizontal="center" vertical="center"/>
    </xf>
    <xf numFmtId="166" fontId="34" fillId="26" borderId="118" xfId="6" applyNumberFormat="1" applyFont="1" applyFill="1" applyBorder="1" applyAlignment="1">
      <alignment horizontal="center" vertical="center"/>
    </xf>
    <xf numFmtId="2" fontId="16" fillId="30" borderId="118" xfId="0" applyNumberFormat="1" applyFont="1" applyFill="1" applyBorder="1" applyAlignment="1">
      <alignment horizontal="center" vertical="center"/>
    </xf>
    <xf numFmtId="2" fontId="16" fillId="29" borderId="118" xfId="0" applyNumberFormat="1" applyFont="1" applyFill="1" applyBorder="1" applyAlignment="1">
      <alignment horizontal="center" vertical="center"/>
    </xf>
    <xf numFmtId="2" fontId="16" fillId="30" borderId="45" xfId="0" applyNumberFormat="1" applyFont="1" applyFill="1" applyBorder="1" applyAlignment="1">
      <alignment horizontal="center" vertical="center"/>
    </xf>
    <xf numFmtId="166" fontId="34" fillId="26" borderId="45" xfId="6" applyNumberFormat="1" applyFont="1" applyFill="1" applyBorder="1" applyAlignment="1">
      <alignment horizontal="center" vertical="center"/>
    </xf>
    <xf numFmtId="2" fontId="16" fillId="29" borderId="45" xfId="0" applyNumberFormat="1" applyFont="1" applyFill="1" applyBorder="1" applyAlignment="1">
      <alignment horizontal="center" vertical="center"/>
    </xf>
    <xf numFmtId="2" fontId="16" fillId="28" borderId="45" xfId="0" applyNumberFormat="1" applyFont="1" applyFill="1" applyBorder="1" applyAlignment="1">
      <alignment horizontal="center" vertical="center"/>
    </xf>
    <xf numFmtId="2" fontId="33" fillId="35" borderId="138" xfId="0" applyNumberFormat="1" applyFont="1" applyFill="1" applyBorder="1" applyAlignment="1">
      <alignment horizontal="center" vertical="center"/>
    </xf>
    <xf numFmtId="2" fontId="16" fillId="35" borderId="118" xfId="0" applyNumberFormat="1" applyFont="1" applyFill="1" applyBorder="1" applyAlignment="1">
      <alignment horizontal="center" vertical="center"/>
    </xf>
    <xf numFmtId="2" fontId="33" fillId="34" borderId="138" xfId="0" applyNumberFormat="1" applyFont="1" applyFill="1" applyBorder="1" applyAlignment="1">
      <alignment horizontal="center" vertical="center"/>
    </xf>
    <xf numFmtId="2" fontId="33" fillId="32" borderId="138" xfId="0" applyNumberFormat="1" applyFont="1" applyFill="1" applyBorder="1" applyAlignment="1">
      <alignment horizontal="center" vertical="center"/>
    </xf>
    <xf numFmtId="2" fontId="16" fillId="34" borderId="45" xfId="0" applyNumberFormat="1" applyFont="1" applyFill="1" applyBorder="1" applyAlignment="1">
      <alignment horizontal="center" vertical="center"/>
    </xf>
    <xf numFmtId="2" fontId="16" fillId="28" borderId="118" xfId="0" applyNumberFormat="1" applyFont="1" applyFill="1" applyBorder="1" applyAlignment="1">
      <alignment horizontal="center" vertical="center"/>
    </xf>
    <xf numFmtId="2" fontId="16" fillId="34" borderId="118" xfId="0" applyNumberFormat="1" applyFont="1" applyFill="1" applyBorder="1" applyAlignment="1">
      <alignment horizontal="center" vertical="center"/>
    </xf>
    <xf numFmtId="2" fontId="16" fillId="37" borderId="118" xfId="0" applyNumberFormat="1" applyFont="1" applyFill="1" applyBorder="1" applyAlignment="1">
      <alignment horizontal="center" vertical="center"/>
    </xf>
    <xf numFmtId="2" fontId="16" fillId="32" borderId="118" xfId="0" applyNumberFormat="1" applyFont="1" applyFill="1" applyBorder="1" applyAlignment="1">
      <alignment horizontal="center" vertical="center"/>
    </xf>
    <xf numFmtId="2" fontId="16" fillId="33" borderId="118" xfId="0" applyNumberFormat="1" applyFont="1" applyFill="1" applyBorder="1" applyAlignment="1">
      <alignment horizontal="center" vertical="center"/>
    </xf>
    <xf numFmtId="0" fontId="16" fillId="0" borderId="192" xfId="0" applyFont="1" applyFill="1" applyBorder="1" applyAlignment="1"/>
    <xf numFmtId="165" fontId="3" fillId="0" borderId="225" xfId="6" applyNumberFormat="1" applyFont="1" applyFill="1" applyBorder="1" applyAlignment="1">
      <alignment horizontal="center"/>
    </xf>
    <xf numFmtId="0" fontId="3" fillId="0" borderId="226" xfId="0" applyFont="1" applyFill="1" applyBorder="1" applyAlignment="1">
      <alignment horizontal="left"/>
    </xf>
    <xf numFmtId="165" fontId="3" fillId="0" borderId="226" xfId="6" applyNumberFormat="1" applyFont="1" applyFill="1" applyBorder="1" applyAlignment="1">
      <alignment horizontal="center"/>
    </xf>
    <xf numFmtId="0" fontId="3" fillId="0" borderId="226" xfId="0" applyFont="1" applyFill="1" applyBorder="1"/>
    <xf numFmtId="0" fontId="4" fillId="0" borderId="226" xfId="1" applyNumberFormat="1" applyFont="1" applyFill="1" applyBorder="1" applyAlignment="1">
      <alignment horizontal="left"/>
    </xf>
    <xf numFmtId="0" fontId="11" fillId="13" borderId="227" xfId="0" applyFont="1" applyFill="1" applyBorder="1" applyAlignment="1">
      <alignment horizontal="center"/>
    </xf>
    <xf numFmtId="0" fontId="11" fillId="12" borderId="228" xfId="0" applyFont="1" applyFill="1" applyBorder="1" applyAlignment="1">
      <alignment horizontal="center"/>
    </xf>
    <xf numFmtId="0" fontId="11" fillId="12" borderId="229" xfId="0" applyFont="1" applyFill="1" applyBorder="1" applyAlignment="1">
      <alignment horizontal="center"/>
    </xf>
    <xf numFmtId="0" fontId="3" fillId="43" borderId="158" xfId="0" applyFont="1" applyFill="1" applyBorder="1"/>
    <xf numFmtId="0" fontId="3" fillId="0" borderId="158" xfId="0" applyFont="1" applyBorder="1"/>
    <xf numFmtId="0" fontId="3" fillId="4" borderId="158" xfId="0" applyFont="1" applyFill="1" applyBorder="1" applyAlignment="1">
      <alignment horizontal="center"/>
    </xf>
    <xf numFmtId="0" fontId="3" fillId="0" borderId="158" xfId="0" applyFont="1" applyBorder="1" applyAlignment="1">
      <alignment horizontal="left"/>
    </xf>
    <xf numFmtId="0" fontId="9" fillId="8" borderId="157" xfId="0" applyFont="1" applyFill="1" applyBorder="1" applyAlignment="1">
      <alignment horizontal="center" wrapText="1"/>
    </xf>
    <xf numFmtId="0" fontId="9" fillId="4" borderId="157" xfId="0" applyFont="1" applyFill="1" applyBorder="1" applyAlignment="1">
      <alignment horizontal="center" wrapText="1"/>
    </xf>
    <xf numFmtId="166" fontId="3" fillId="0" borderId="0" xfId="6" applyNumberFormat="1" applyFont="1"/>
    <xf numFmtId="0" fontId="34" fillId="0" borderId="190" xfId="0" applyFont="1" applyBorder="1"/>
    <xf numFmtId="0" fontId="34" fillId="0" borderId="192" xfId="0" applyFont="1" applyBorder="1"/>
    <xf numFmtId="0" fontId="3" fillId="40" borderId="0" xfId="0" applyFont="1" applyFill="1" applyAlignment="1">
      <alignment horizontal="center" wrapText="1"/>
    </xf>
    <xf numFmtId="0" fontId="0" fillId="0" borderId="114" xfId="0" applyFill="1" applyBorder="1" applyAlignment="1">
      <alignment horizontal="center"/>
    </xf>
    <xf numFmtId="0" fontId="0" fillId="0" borderId="114" xfId="0" applyFill="1" applyBorder="1"/>
    <xf numFmtId="0" fontId="0" fillId="3" borderId="114" xfId="0" applyFill="1" applyBorder="1" applyAlignment="1">
      <alignment horizontal="center"/>
    </xf>
    <xf numFmtId="0" fontId="14" fillId="3" borderId="0" xfId="0" applyFont="1" applyFill="1" applyBorder="1" applyAlignment="1">
      <alignment horizontal="center"/>
    </xf>
    <xf numFmtId="0" fontId="14" fillId="3" borderId="143" xfId="0" applyFont="1" applyFill="1" applyBorder="1" applyAlignment="1">
      <alignment horizontal="center"/>
    </xf>
    <xf numFmtId="1" fontId="0" fillId="18" borderId="45" xfId="0" applyNumberFormat="1" applyFill="1" applyBorder="1" applyAlignment="1">
      <alignment horizontal="center" vertical="center"/>
    </xf>
    <xf numFmtId="1" fontId="0" fillId="18" borderId="32" xfId="0" applyNumberFormat="1" applyFill="1" applyBorder="1" applyAlignment="1">
      <alignment horizontal="center" vertical="center"/>
    </xf>
    <xf numFmtId="0" fontId="3" fillId="3" borderId="11" xfId="0" applyFont="1" applyFill="1" applyBorder="1" applyAlignment="1">
      <alignment horizontal="center" vertical="center"/>
    </xf>
    <xf numFmtId="0" fontId="3" fillId="3" borderId="12" xfId="0" applyFont="1" applyFill="1" applyBorder="1" applyAlignment="1">
      <alignment horizontal="center" vertical="center"/>
    </xf>
    <xf numFmtId="0" fontId="3" fillId="3" borderId="13" xfId="0" applyFont="1" applyFill="1" applyBorder="1" applyAlignment="1">
      <alignment horizontal="center" vertical="center"/>
    </xf>
    <xf numFmtId="0" fontId="0" fillId="17" borderId="35" xfId="0" applyFill="1" applyBorder="1" applyAlignment="1">
      <alignment horizontal="center" vertical="center"/>
    </xf>
    <xf numFmtId="0" fontId="0" fillId="17" borderId="45" xfId="0" applyFill="1" applyBorder="1" applyAlignment="1">
      <alignment horizontal="center" vertical="center"/>
    </xf>
    <xf numFmtId="0" fontId="0" fillId="17" borderId="32" xfId="0" applyFill="1" applyBorder="1" applyAlignment="1">
      <alignment horizontal="center" vertical="center"/>
    </xf>
    <xf numFmtId="1" fontId="0" fillId="17" borderId="35" xfId="0" applyNumberFormat="1" applyFill="1" applyBorder="1" applyAlignment="1">
      <alignment horizontal="center" vertical="center"/>
    </xf>
    <xf numFmtId="1" fontId="0" fillId="17" borderId="45" xfId="0" applyNumberFormat="1" applyFill="1" applyBorder="1" applyAlignment="1">
      <alignment horizontal="center" vertical="center"/>
    </xf>
    <xf numFmtId="1" fontId="0" fillId="17" borderId="32" xfId="0" applyNumberFormat="1" applyFill="1" applyBorder="1" applyAlignment="1">
      <alignment horizontal="center" vertical="center"/>
    </xf>
    <xf numFmtId="1" fontId="0" fillId="17" borderId="118" xfId="0" applyNumberFormat="1" applyFill="1" applyBorder="1" applyAlignment="1">
      <alignment horizontal="center" vertical="center"/>
    </xf>
    <xf numFmtId="0" fontId="0" fillId="17" borderId="118" xfId="0" applyFill="1" applyBorder="1" applyAlignment="1">
      <alignment horizontal="center" vertical="center"/>
    </xf>
    <xf numFmtId="0" fontId="3" fillId="3" borderId="131" xfId="0" applyFont="1" applyFill="1" applyBorder="1" applyAlignment="1">
      <alignment horizontal="center" vertical="center"/>
    </xf>
    <xf numFmtId="0" fontId="3" fillId="3" borderId="132" xfId="0" applyFont="1" applyFill="1" applyBorder="1" applyAlignment="1">
      <alignment horizontal="center" vertical="center"/>
    </xf>
    <xf numFmtId="0" fontId="3" fillId="3" borderId="133" xfId="0" applyFont="1" applyFill="1" applyBorder="1" applyAlignment="1">
      <alignment horizontal="center" vertical="center"/>
    </xf>
    <xf numFmtId="0" fontId="0" fillId="18" borderId="35" xfId="0" applyFill="1" applyBorder="1" applyAlignment="1">
      <alignment horizontal="center" vertical="center"/>
    </xf>
    <xf numFmtId="0" fontId="0" fillId="18" borderId="32" xfId="0" applyFill="1" applyBorder="1" applyAlignment="1">
      <alignment horizontal="center" vertical="center"/>
    </xf>
    <xf numFmtId="1" fontId="0" fillId="18" borderId="118" xfId="0" applyNumberFormat="1" applyFill="1" applyBorder="1" applyAlignment="1">
      <alignment horizontal="center" vertical="center"/>
    </xf>
    <xf numFmtId="1" fontId="0" fillId="17" borderId="47" xfId="0" applyNumberFormat="1" applyFill="1" applyBorder="1" applyAlignment="1">
      <alignment horizontal="center" vertical="center"/>
    </xf>
    <xf numFmtId="0" fontId="0" fillId="18" borderId="30" xfId="0" applyFill="1" applyBorder="1" applyAlignment="1">
      <alignment horizontal="center" vertical="center"/>
    </xf>
    <xf numFmtId="0" fontId="0" fillId="18" borderId="35" xfId="0" applyFill="1" applyBorder="1" applyAlignment="1">
      <alignment horizontal="center"/>
    </xf>
    <xf numFmtId="0" fontId="0" fillId="18" borderId="30" xfId="0" applyFill="1" applyBorder="1" applyAlignment="1">
      <alignment horizontal="center"/>
    </xf>
    <xf numFmtId="0" fontId="0" fillId="18" borderId="32" xfId="0" applyFill="1" applyBorder="1" applyAlignment="1">
      <alignment horizontal="center"/>
    </xf>
    <xf numFmtId="0" fontId="3" fillId="3" borderId="16" xfId="0" applyFont="1" applyFill="1" applyBorder="1" applyAlignment="1">
      <alignment horizontal="center" vertical="center"/>
    </xf>
    <xf numFmtId="0" fontId="3" fillId="3" borderId="15" xfId="0" applyFont="1" applyFill="1" applyBorder="1" applyAlignment="1">
      <alignment horizontal="center" vertical="center"/>
    </xf>
    <xf numFmtId="0" fontId="3" fillId="3" borderId="17" xfId="0" applyFont="1" applyFill="1" applyBorder="1" applyAlignment="1">
      <alignment horizontal="center" vertical="center"/>
    </xf>
    <xf numFmtId="1" fontId="0" fillId="17" borderId="168" xfId="0" applyNumberFormat="1" applyFill="1" applyBorder="1" applyAlignment="1">
      <alignment horizontal="center" vertical="center"/>
    </xf>
    <xf numFmtId="0" fontId="3" fillId="0" borderId="18" xfId="0" applyFont="1" applyFill="1" applyBorder="1" applyAlignment="1">
      <alignment horizontal="center" vertical="center"/>
    </xf>
    <xf numFmtId="0" fontId="3" fillId="0" borderId="19" xfId="0" applyFont="1" applyFill="1" applyBorder="1" applyAlignment="1">
      <alignment horizontal="center" vertical="center"/>
    </xf>
    <xf numFmtId="0" fontId="3" fillId="0" borderId="10" xfId="0" applyFont="1" applyFill="1" applyBorder="1" applyAlignment="1">
      <alignment horizontal="center" vertical="center"/>
    </xf>
    <xf numFmtId="0" fontId="3" fillId="0" borderId="11" xfId="0" applyFont="1" applyFill="1" applyBorder="1" applyAlignment="1">
      <alignment horizontal="center" vertical="center"/>
    </xf>
    <xf numFmtId="0" fontId="3" fillId="0" borderId="12" xfId="0" applyFont="1" applyFill="1" applyBorder="1" applyAlignment="1">
      <alignment horizontal="center" vertical="center"/>
    </xf>
    <xf numFmtId="0" fontId="3" fillId="0" borderId="13" xfId="0" applyFont="1" applyFill="1" applyBorder="1" applyAlignment="1">
      <alignment horizontal="center" vertical="center"/>
    </xf>
    <xf numFmtId="0" fontId="3" fillId="0" borderId="15" xfId="0" applyFont="1" applyFill="1" applyBorder="1" applyAlignment="1">
      <alignment horizontal="center" vertical="center"/>
    </xf>
    <xf numFmtId="0" fontId="3" fillId="0" borderId="17" xfId="0" applyFont="1" applyFill="1" applyBorder="1" applyAlignment="1">
      <alignment horizontal="center" vertical="center"/>
    </xf>
    <xf numFmtId="0" fontId="3" fillId="0" borderId="16" xfId="0" applyFont="1" applyFill="1" applyBorder="1" applyAlignment="1">
      <alignment horizontal="center" vertical="center"/>
    </xf>
    <xf numFmtId="0" fontId="3" fillId="0" borderId="131" xfId="0" applyFont="1" applyFill="1" applyBorder="1" applyAlignment="1">
      <alignment horizontal="center" vertical="center"/>
    </xf>
    <xf numFmtId="0" fontId="3" fillId="0" borderId="132" xfId="0" applyFont="1" applyFill="1" applyBorder="1" applyAlignment="1">
      <alignment horizontal="center" vertical="center"/>
    </xf>
    <xf numFmtId="0" fontId="3" fillId="0" borderId="133" xfId="0" applyFont="1" applyFill="1" applyBorder="1" applyAlignment="1">
      <alignment horizontal="center" vertical="center"/>
    </xf>
    <xf numFmtId="0" fontId="3" fillId="3" borderId="209" xfId="0" applyFont="1" applyFill="1" applyBorder="1" applyAlignment="1">
      <alignment horizontal="center" vertical="center"/>
    </xf>
    <xf numFmtId="166" fontId="14" fillId="26" borderId="195" xfId="6" applyNumberFormat="1" applyFont="1" applyFill="1" applyBorder="1" applyAlignment="1">
      <alignment horizontal="center" vertical="center"/>
    </xf>
    <xf numFmtId="166" fontId="14" fillId="26" borderId="45" xfId="6" applyNumberFormat="1" applyFont="1" applyFill="1" applyBorder="1" applyAlignment="1">
      <alignment horizontal="center" vertical="center"/>
    </xf>
    <xf numFmtId="166" fontId="14" fillId="26" borderId="167" xfId="6" applyNumberFormat="1" applyFont="1" applyFill="1" applyBorder="1" applyAlignment="1">
      <alignment horizontal="center" vertical="center"/>
    </xf>
    <xf numFmtId="2" fontId="33" fillId="37" borderId="138" xfId="0" applyNumberFormat="1" applyFont="1" applyFill="1" applyBorder="1" applyAlignment="1">
      <alignment horizontal="center" vertical="center"/>
    </xf>
    <xf numFmtId="2" fontId="33" fillId="42" borderId="168" xfId="0" applyNumberFormat="1" applyFont="1" applyFill="1" applyBorder="1" applyAlignment="1">
      <alignment horizontal="center" vertical="center"/>
    </xf>
    <xf numFmtId="2" fontId="16" fillId="34" borderId="45" xfId="0" applyNumberFormat="1" applyFont="1" applyFill="1" applyBorder="1" applyAlignment="1">
      <alignment horizontal="center" vertical="center"/>
    </xf>
    <xf numFmtId="2" fontId="33" fillId="32" borderId="138" xfId="0" applyNumberFormat="1" applyFont="1" applyFill="1" applyBorder="1" applyAlignment="1">
      <alignment horizontal="center" vertical="center"/>
    </xf>
    <xf numFmtId="2" fontId="33" fillId="34" borderId="138" xfId="0" applyNumberFormat="1" applyFont="1" applyFill="1" applyBorder="1" applyAlignment="1">
      <alignment horizontal="center" vertical="center"/>
    </xf>
    <xf numFmtId="2" fontId="16" fillId="34" borderId="118" xfId="0" applyNumberFormat="1" applyFont="1" applyFill="1" applyBorder="1" applyAlignment="1">
      <alignment horizontal="center" vertical="center"/>
    </xf>
    <xf numFmtId="2" fontId="16" fillId="37" borderId="118" xfId="0" applyNumberFormat="1" applyFont="1" applyFill="1" applyBorder="1" applyAlignment="1">
      <alignment horizontal="center" vertical="center"/>
    </xf>
    <xf numFmtId="2" fontId="16" fillId="32" borderId="118" xfId="0" applyNumberFormat="1" applyFont="1" applyFill="1" applyBorder="1" applyAlignment="1">
      <alignment horizontal="center" vertical="center"/>
    </xf>
    <xf numFmtId="2" fontId="33" fillId="33" borderId="138" xfId="0" applyNumberFormat="1" applyFont="1" applyFill="1" applyBorder="1" applyAlignment="1">
      <alignment horizontal="center" vertical="center"/>
    </xf>
    <xf numFmtId="2" fontId="16" fillId="33" borderId="118" xfId="0" applyNumberFormat="1" applyFont="1" applyFill="1" applyBorder="1" applyAlignment="1">
      <alignment horizontal="center" vertical="center"/>
    </xf>
    <xf numFmtId="166" fontId="14" fillId="26" borderId="138" xfId="6" applyNumberFormat="1" applyFont="1" applyFill="1" applyBorder="1" applyAlignment="1">
      <alignment horizontal="center" vertical="center"/>
    </xf>
    <xf numFmtId="166" fontId="14" fillId="26" borderId="31" xfId="6" applyNumberFormat="1" applyFont="1" applyFill="1" applyBorder="1" applyAlignment="1">
      <alignment horizontal="center" vertical="center"/>
    </xf>
    <xf numFmtId="2" fontId="33" fillId="28" borderId="138" xfId="0" applyNumberFormat="1" applyFont="1" applyFill="1" applyBorder="1" applyAlignment="1">
      <alignment horizontal="center" vertical="center"/>
    </xf>
    <xf numFmtId="2" fontId="33" fillId="29" borderId="138" xfId="0" applyNumberFormat="1" applyFont="1" applyFill="1" applyBorder="1" applyAlignment="1">
      <alignment horizontal="center" vertical="center"/>
    </xf>
    <xf numFmtId="2" fontId="33" fillId="30" borderId="138" xfId="0" applyNumberFormat="1" applyFont="1" applyFill="1" applyBorder="1" applyAlignment="1">
      <alignment horizontal="center" vertical="center"/>
    </xf>
    <xf numFmtId="166" fontId="14" fillId="26" borderId="42" xfId="6" applyNumberFormat="1" applyFont="1" applyFill="1" applyBorder="1" applyAlignment="1">
      <alignment horizontal="center" vertical="center"/>
    </xf>
    <xf numFmtId="166" fontId="14" fillId="26" borderId="51" xfId="6" applyNumberFormat="1" applyFont="1" applyFill="1" applyBorder="1" applyAlignment="1">
      <alignment horizontal="center" vertical="center"/>
    </xf>
    <xf numFmtId="166" fontId="14" fillId="26" borderId="50" xfId="6" applyNumberFormat="1" applyFont="1" applyFill="1" applyBorder="1" applyAlignment="1">
      <alignment horizontal="center" vertical="center"/>
    </xf>
    <xf numFmtId="165" fontId="33" fillId="36" borderId="138" xfId="6" applyFont="1" applyFill="1" applyBorder="1" applyAlignment="1">
      <alignment horizontal="center" vertical="center"/>
    </xf>
    <xf numFmtId="2" fontId="33" fillId="35" borderId="138" xfId="0" applyNumberFormat="1" applyFont="1" applyFill="1" applyBorder="1" applyAlignment="1">
      <alignment horizontal="center" vertical="center"/>
    </xf>
    <xf numFmtId="2" fontId="16" fillId="37" borderId="45" xfId="0" applyNumberFormat="1" applyFont="1" applyFill="1" applyBorder="1" applyAlignment="1">
      <alignment horizontal="center" vertical="center"/>
    </xf>
    <xf numFmtId="2" fontId="16" fillId="28" borderId="118" xfId="0" applyNumberFormat="1" applyFont="1" applyFill="1" applyBorder="1" applyAlignment="1">
      <alignment horizontal="center" vertical="center"/>
    </xf>
    <xf numFmtId="166" fontId="14" fillId="26" borderId="148" xfId="6" applyNumberFormat="1" applyFont="1" applyFill="1" applyBorder="1" applyAlignment="1">
      <alignment horizontal="center" vertical="center"/>
    </xf>
    <xf numFmtId="166" fontId="14" fillId="26" borderId="164" xfId="6" applyNumberFormat="1" applyFont="1" applyFill="1" applyBorder="1" applyAlignment="1">
      <alignment horizontal="center" vertical="center"/>
    </xf>
    <xf numFmtId="166" fontId="34" fillId="26" borderId="42" xfId="6" applyNumberFormat="1" applyFont="1" applyFill="1" applyBorder="1" applyAlignment="1">
      <alignment horizontal="center" vertical="center"/>
    </xf>
    <xf numFmtId="166" fontId="34" fillId="26" borderId="51" xfId="6" applyNumberFormat="1" applyFont="1" applyFill="1" applyBorder="1" applyAlignment="1">
      <alignment horizontal="center" vertical="center"/>
    </xf>
    <xf numFmtId="0" fontId="3" fillId="3" borderId="39" xfId="0" applyFont="1" applyFill="1" applyBorder="1" applyAlignment="1">
      <alignment horizontal="center" vertical="center"/>
    </xf>
    <xf numFmtId="0" fontId="3" fillId="3" borderId="0" xfId="0" applyFont="1" applyFill="1" applyBorder="1" applyAlignment="1">
      <alignment horizontal="center" vertical="center"/>
    </xf>
    <xf numFmtId="166" fontId="14" fillId="26" borderId="118" xfId="6" applyNumberFormat="1" applyFont="1" applyFill="1" applyBorder="1" applyAlignment="1">
      <alignment horizontal="center" vertical="center"/>
    </xf>
    <xf numFmtId="166" fontId="14" fillId="26" borderId="119" xfId="6" applyNumberFormat="1" applyFont="1" applyFill="1" applyBorder="1" applyAlignment="1">
      <alignment horizontal="center" vertical="center"/>
    </xf>
    <xf numFmtId="166" fontId="14" fillId="26" borderId="168" xfId="6" applyNumberFormat="1" applyFont="1" applyFill="1" applyBorder="1" applyAlignment="1">
      <alignment horizontal="right" vertical="center"/>
    </xf>
    <xf numFmtId="166" fontId="14" fillId="26" borderId="45" xfId="6" applyNumberFormat="1" applyFont="1" applyFill="1" applyBorder="1" applyAlignment="1">
      <alignment horizontal="right" vertical="center"/>
    </xf>
    <xf numFmtId="166" fontId="14" fillId="26" borderId="167" xfId="6" applyNumberFormat="1" applyFont="1" applyFill="1" applyBorder="1" applyAlignment="1">
      <alignment horizontal="right" vertical="center"/>
    </xf>
    <xf numFmtId="0" fontId="3" fillId="3" borderId="222" xfId="0" applyFont="1" applyFill="1" applyBorder="1" applyAlignment="1">
      <alignment horizontal="center" vertical="center"/>
    </xf>
    <xf numFmtId="0" fontId="3" fillId="3" borderId="8" xfId="0" applyFont="1" applyFill="1" applyBorder="1" applyAlignment="1">
      <alignment horizontal="center" vertical="center"/>
    </xf>
    <xf numFmtId="166" fontId="14" fillId="26" borderId="193" xfId="6" applyNumberFormat="1" applyFont="1" applyFill="1" applyBorder="1" applyAlignment="1">
      <alignment horizontal="center" vertical="center"/>
    </xf>
    <xf numFmtId="166" fontId="14" fillId="26" borderId="127" xfId="6" applyNumberFormat="1" applyFont="1" applyFill="1" applyBorder="1" applyAlignment="1">
      <alignment horizontal="center" vertical="center"/>
    </xf>
    <xf numFmtId="2" fontId="16" fillId="30" borderId="45" xfId="0" applyNumberFormat="1" applyFont="1" applyFill="1" applyBorder="1" applyAlignment="1">
      <alignment horizontal="center" vertical="center"/>
    </xf>
    <xf numFmtId="2" fontId="16" fillId="29" borderId="45" xfId="0" applyNumberFormat="1" applyFont="1" applyFill="1" applyBorder="1" applyAlignment="1">
      <alignment horizontal="center" vertical="center"/>
    </xf>
    <xf numFmtId="166" fontId="34" fillId="26" borderId="50" xfId="6" applyNumberFormat="1" applyFont="1" applyFill="1" applyBorder="1" applyAlignment="1">
      <alignment horizontal="right" vertical="center"/>
    </xf>
    <xf numFmtId="166" fontId="34" fillId="26" borderId="42" xfId="6" applyNumberFormat="1" applyFont="1" applyFill="1" applyBorder="1" applyAlignment="1">
      <alignment horizontal="right" vertical="center"/>
    </xf>
    <xf numFmtId="166" fontId="34" fillId="26" borderId="51" xfId="6" applyNumberFormat="1" applyFont="1" applyFill="1" applyBorder="1" applyAlignment="1">
      <alignment horizontal="right" vertical="center"/>
    </xf>
    <xf numFmtId="166" fontId="34" fillId="26" borderId="148" xfId="6" applyNumberFormat="1" applyFont="1" applyFill="1" applyBorder="1" applyAlignment="1">
      <alignment horizontal="center" vertical="center"/>
    </xf>
    <xf numFmtId="166" fontId="34" fillId="26" borderId="45" xfId="6" applyNumberFormat="1" applyFont="1" applyFill="1" applyBorder="1" applyAlignment="1">
      <alignment horizontal="center" vertical="center"/>
    </xf>
    <xf numFmtId="166" fontId="34" fillId="26" borderId="163" xfId="6" applyNumberFormat="1" applyFont="1" applyFill="1" applyBorder="1" applyAlignment="1">
      <alignment horizontal="center" vertical="center"/>
    </xf>
    <xf numFmtId="2" fontId="16" fillId="28" borderId="45" xfId="0" applyNumberFormat="1" applyFont="1" applyFill="1" applyBorder="1" applyAlignment="1">
      <alignment horizontal="center" vertical="center"/>
    </xf>
    <xf numFmtId="166" fontId="14" fillId="26" borderId="145" xfId="6" applyNumberFormat="1" applyFont="1" applyFill="1" applyBorder="1" applyAlignment="1">
      <alignment horizontal="center" vertical="center"/>
    </xf>
    <xf numFmtId="166" fontId="14" fillId="26" borderId="129" xfId="6" applyNumberFormat="1" applyFont="1" applyFill="1" applyBorder="1" applyAlignment="1">
      <alignment horizontal="center" vertical="center"/>
    </xf>
    <xf numFmtId="166" fontId="14" fillId="26" borderId="122" xfId="6" applyNumberFormat="1" applyFont="1" applyFill="1" applyBorder="1" applyAlignment="1">
      <alignment horizontal="center" vertical="center"/>
    </xf>
    <xf numFmtId="166" fontId="14" fillId="26" borderId="148" xfId="6" applyNumberFormat="1" applyFont="1" applyFill="1" applyBorder="1" applyAlignment="1">
      <alignment horizontal="center" vertical="center" wrapText="1"/>
    </xf>
    <xf numFmtId="166" fontId="14" fillId="26" borderId="45" xfId="6" applyNumberFormat="1" applyFont="1" applyFill="1" applyBorder="1" applyAlignment="1">
      <alignment horizontal="center" vertical="center" wrapText="1"/>
    </xf>
    <xf numFmtId="166" fontId="14" fillId="26" borderId="167" xfId="6" applyNumberFormat="1" applyFont="1" applyFill="1" applyBorder="1" applyAlignment="1">
      <alignment horizontal="center" vertical="center" wrapText="1"/>
    </xf>
    <xf numFmtId="2" fontId="16" fillId="33" borderId="45" xfId="0" applyNumberFormat="1" applyFont="1" applyFill="1" applyBorder="1" applyAlignment="1">
      <alignment horizontal="center" vertical="center"/>
    </xf>
    <xf numFmtId="2" fontId="16" fillId="32" borderId="45" xfId="0" applyNumberFormat="1" applyFont="1" applyFill="1" applyBorder="1" applyAlignment="1">
      <alignment horizontal="center" vertical="center"/>
    </xf>
    <xf numFmtId="166" fontId="34" fillId="26" borderId="129" xfId="6" applyNumberFormat="1" applyFont="1" applyFill="1" applyBorder="1" applyAlignment="1">
      <alignment horizontal="center" vertical="center"/>
    </xf>
    <xf numFmtId="165" fontId="16" fillId="36" borderId="45" xfId="6" applyFont="1" applyFill="1" applyBorder="1" applyAlignment="1">
      <alignment horizontal="center" vertical="center"/>
    </xf>
    <xf numFmtId="2" fontId="16" fillId="35" borderId="45" xfId="0" applyNumberFormat="1" applyFont="1" applyFill="1" applyBorder="1" applyAlignment="1">
      <alignment horizontal="center" vertical="center"/>
    </xf>
    <xf numFmtId="2" fontId="16" fillId="35" borderId="118" xfId="0" applyNumberFormat="1" applyFont="1" applyFill="1" applyBorder="1" applyAlignment="1">
      <alignment horizontal="center" vertical="center"/>
    </xf>
    <xf numFmtId="0" fontId="3" fillId="3" borderId="196" xfId="0" applyFont="1" applyFill="1" applyBorder="1" applyAlignment="1">
      <alignment horizontal="center" vertical="center"/>
    </xf>
    <xf numFmtId="0" fontId="3" fillId="3" borderId="197" xfId="0" applyFont="1" applyFill="1" applyBorder="1" applyAlignment="1">
      <alignment horizontal="center" vertical="center"/>
    </xf>
    <xf numFmtId="166" fontId="34" fillId="26" borderId="168" xfId="6" applyNumberFormat="1" applyFont="1" applyFill="1" applyBorder="1" applyAlignment="1">
      <alignment horizontal="center" vertical="center"/>
    </xf>
    <xf numFmtId="166" fontId="34" fillId="26" borderId="31" xfId="6" applyNumberFormat="1" applyFont="1" applyFill="1" applyBorder="1" applyAlignment="1">
      <alignment horizontal="center" vertical="center"/>
    </xf>
    <xf numFmtId="0" fontId="3" fillId="3" borderId="18" xfId="0" applyFont="1" applyFill="1" applyBorder="1" applyAlignment="1">
      <alignment horizontal="center" vertical="center"/>
    </xf>
    <xf numFmtId="0" fontId="3" fillId="3" borderId="19" xfId="0" applyFont="1" applyFill="1" applyBorder="1" applyAlignment="1">
      <alignment horizontal="center" vertical="center"/>
    </xf>
    <xf numFmtId="166" fontId="34" fillId="26" borderId="138" xfId="6" applyNumberFormat="1" applyFont="1" applyFill="1" applyBorder="1" applyAlignment="1">
      <alignment horizontal="center" vertical="center"/>
    </xf>
    <xf numFmtId="166" fontId="34" fillId="26" borderId="130" xfId="6" applyNumberFormat="1" applyFont="1" applyFill="1" applyBorder="1" applyAlignment="1">
      <alignment horizontal="center" vertical="center"/>
    </xf>
    <xf numFmtId="0" fontId="34" fillId="26" borderId="148" xfId="0" applyFont="1" applyFill="1" applyBorder="1" applyAlignment="1">
      <alignment horizontal="center"/>
    </xf>
    <xf numFmtId="0" fontId="34" fillId="26" borderId="118" xfId="0" applyFont="1" applyFill="1" applyBorder="1" applyAlignment="1">
      <alignment horizontal="center"/>
    </xf>
    <xf numFmtId="0" fontId="34" fillId="26" borderId="31" xfId="0" applyFont="1" applyFill="1" applyBorder="1" applyAlignment="1">
      <alignment horizontal="center"/>
    </xf>
    <xf numFmtId="166" fontId="34" fillId="26" borderId="128" xfId="6" applyNumberFormat="1" applyFont="1" applyFill="1" applyBorder="1" applyAlignment="1">
      <alignment horizontal="center" vertical="center"/>
    </xf>
    <xf numFmtId="166" fontId="34" fillId="26" borderId="118" xfId="6" applyNumberFormat="1" applyFont="1" applyFill="1" applyBorder="1" applyAlignment="1">
      <alignment horizontal="center" vertical="center"/>
    </xf>
    <xf numFmtId="2" fontId="16" fillId="30" borderId="118" xfId="0" applyNumberFormat="1" applyFont="1" applyFill="1" applyBorder="1" applyAlignment="1">
      <alignment horizontal="center" vertical="center"/>
    </xf>
    <xf numFmtId="2" fontId="16" fillId="29" borderId="118" xfId="0" applyNumberFormat="1" applyFont="1" applyFill="1" applyBorder="1" applyAlignment="1">
      <alignment horizontal="center" vertical="center"/>
    </xf>
    <xf numFmtId="165" fontId="16" fillId="36" borderId="118" xfId="6" applyFont="1" applyFill="1" applyBorder="1" applyAlignment="1">
      <alignment horizontal="center" vertical="center"/>
    </xf>
    <xf numFmtId="0" fontId="13" fillId="0" borderId="195" xfId="0" applyFont="1" applyFill="1" applyBorder="1" applyAlignment="1">
      <alignment horizontal="center"/>
    </xf>
    <xf numFmtId="0" fontId="12" fillId="3" borderId="154" xfId="0" applyFont="1" applyFill="1" applyBorder="1" applyAlignment="1">
      <alignment horizontal="center"/>
    </xf>
    <xf numFmtId="0" fontId="12" fillId="0" borderId="210" xfId="0" applyFont="1" applyFill="1" applyBorder="1" applyAlignment="1">
      <alignment horizontal="center"/>
    </xf>
    <xf numFmtId="0" fontId="12" fillId="0" borderId="154" xfId="0" applyFont="1" applyFill="1" applyBorder="1" applyAlignment="1">
      <alignment horizontal="center"/>
    </xf>
    <xf numFmtId="0" fontId="0" fillId="0" borderId="210" xfId="0" applyFill="1" applyBorder="1" applyAlignment="1">
      <alignment horizontal="center"/>
    </xf>
    <xf numFmtId="0" fontId="0" fillId="0" borderId="45" xfId="0" applyFill="1" applyBorder="1"/>
    <xf numFmtId="0" fontId="0" fillId="0" borderId="195" xfId="0" applyFill="1" applyBorder="1" applyAlignment="1">
      <alignment horizontal="center"/>
    </xf>
    <xf numFmtId="0" fontId="0" fillId="0" borderId="167" xfId="0" applyFill="1" applyBorder="1" applyAlignment="1">
      <alignment horizontal="center"/>
    </xf>
    <xf numFmtId="0" fontId="15" fillId="3" borderId="167" xfId="0" applyFont="1" applyFill="1" applyBorder="1" applyAlignment="1">
      <alignment horizontal="center"/>
    </xf>
    <xf numFmtId="0" fontId="0" fillId="3" borderId="154" xfId="0" applyFill="1" applyBorder="1" applyAlignment="1">
      <alignment horizontal="center"/>
    </xf>
    <xf numFmtId="0" fontId="33" fillId="0" borderId="218" xfId="0" applyFont="1" applyBorder="1" applyAlignment="1"/>
    <xf numFmtId="0" fontId="2" fillId="0" borderId="224" xfId="0" applyFont="1" applyBorder="1" applyAlignment="1"/>
    <xf numFmtId="2" fontId="0" fillId="10" borderId="0" xfId="0" applyNumberFormat="1" applyFill="1"/>
    <xf numFmtId="2" fontId="0" fillId="41" borderId="0" xfId="0" applyNumberFormat="1" applyFill="1"/>
    <xf numFmtId="0" fontId="11" fillId="13" borderId="16" xfId="0" applyFont="1" applyFill="1" applyBorder="1" applyAlignment="1">
      <alignment horizontal="center" vertical="center"/>
    </xf>
    <xf numFmtId="0" fontId="11" fillId="13" borderId="15" xfId="0" applyFont="1" applyFill="1" applyBorder="1" applyAlignment="1">
      <alignment horizontal="center" vertical="center"/>
    </xf>
    <xf numFmtId="0" fontId="3" fillId="5" borderId="0" xfId="0" applyFont="1" applyFill="1" applyAlignment="1">
      <alignment horizontal="center" vertical="center" wrapText="1"/>
    </xf>
    <xf numFmtId="0" fontId="3" fillId="2" borderId="0" xfId="0" applyFont="1" applyFill="1" applyAlignment="1">
      <alignment horizontal="center" vertical="center" wrapText="1"/>
    </xf>
    <xf numFmtId="0" fontId="3" fillId="3" borderId="0" xfId="0" applyFont="1" applyFill="1" applyAlignment="1">
      <alignment horizontal="center" vertical="center" wrapText="1"/>
    </xf>
    <xf numFmtId="0" fontId="3" fillId="41" borderId="0" xfId="0" applyFont="1" applyFill="1" applyAlignment="1">
      <alignment horizontal="center" vertical="center" wrapText="1"/>
    </xf>
    <xf numFmtId="0" fontId="3" fillId="21" borderId="0" xfId="0" applyFont="1" applyFill="1" applyAlignment="1">
      <alignment horizontal="center" vertical="center" wrapText="1"/>
    </xf>
    <xf numFmtId="0" fontId="3" fillId="10" borderId="0" xfId="0" applyFont="1" applyFill="1" applyAlignment="1">
      <alignment horizontal="center" vertical="center" wrapText="1"/>
    </xf>
    <xf numFmtId="0" fontId="3" fillId="22" borderId="0" xfId="0" applyFont="1" applyFill="1" applyAlignment="1">
      <alignment horizontal="center" vertical="center" wrapText="1"/>
    </xf>
    <xf numFmtId="0" fontId="0" fillId="10" borderId="0" xfId="0" applyFill="1" applyAlignment="1">
      <alignment vertical="center" wrapText="1"/>
    </xf>
    <xf numFmtId="0" fontId="0" fillId="41" borderId="0" xfId="0" applyFill="1" applyAlignment="1">
      <alignment vertical="center" wrapText="1"/>
    </xf>
    <xf numFmtId="0" fontId="3" fillId="19" borderId="0" xfId="0" applyFont="1" applyFill="1" applyAlignment="1">
      <alignment horizontal="center" vertical="center" wrapText="1"/>
    </xf>
    <xf numFmtId="0" fontId="3" fillId="20" borderId="0" xfId="0" applyFont="1" applyFill="1" applyAlignment="1">
      <alignment horizontal="center" vertical="center" wrapText="1"/>
    </xf>
    <xf numFmtId="0" fontId="3" fillId="23" borderId="0" xfId="0" applyFont="1" applyFill="1" applyAlignment="1">
      <alignment horizontal="center" vertical="center" wrapText="1"/>
    </xf>
    <xf numFmtId="0" fontId="0" fillId="0" borderId="0" xfId="0" applyAlignment="1">
      <alignment vertical="center"/>
    </xf>
    <xf numFmtId="0" fontId="41" fillId="0" borderId="0" xfId="0" applyFont="1" applyAlignment="1">
      <alignment vertical="center" wrapText="1"/>
    </xf>
    <xf numFmtId="165" fontId="41" fillId="0" borderId="0" xfId="0" applyNumberFormat="1" applyFont="1"/>
    <xf numFmtId="2" fontId="0" fillId="10" borderId="0" xfId="0" applyNumberFormat="1" applyFill="1" applyAlignment="1">
      <alignment horizontal="center"/>
    </xf>
    <xf numFmtId="2" fontId="0" fillId="41" borderId="0" xfId="0" applyNumberFormat="1" applyFill="1" applyAlignment="1">
      <alignment horizontal="center"/>
    </xf>
    <xf numFmtId="0" fontId="33" fillId="0" borderId="1" xfId="0" applyFont="1" applyBorder="1" applyAlignment="1"/>
    <xf numFmtId="0" fontId="16" fillId="0" borderId="0" xfId="0" applyFont="1" applyBorder="1" applyAlignment="1"/>
    <xf numFmtId="0" fontId="45" fillId="0" borderId="0" xfId="0" applyFont="1" applyBorder="1" applyAlignment="1"/>
    <xf numFmtId="0" fontId="0" fillId="10" borderId="0" xfId="0" applyFill="1" applyAlignment="1">
      <alignment horizontal="center" vertical="center" wrapText="1"/>
    </xf>
    <xf numFmtId="0" fontId="0" fillId="41" borderId="0" xfId="0" applyFill="1" applyAlignment="1">
      <alignment horizontal="center" vertical="center" wrapText="1"/>
    </xf>
    <xf numFmtId="0" fontId="0" fillId="0" borderId="154" xfId="0" applyFont="1" applyFill="1" applyBorder="1" applyAlignment="1">
      <alignment horizontal="center"/>
    </xf>
    <xf numFmtId="0" fontId="13" fillId="0" borderId="114" xfId="0" applyFont="1" applyFill="1" applyBorder="1" applyAlignment="1">
      <alignment horizontal="center"/>
    </xf>
    <xf numFmtId="0" fontId="13" fillId="0" borderId="117" xfId="0" applyFont="1" applyFill="1" applyBorder="1" applyAlignment="1">
      <alignment horizontal="center"/>
    </xf>
    <xf numFmtId="0" fontId="0" fillId="0" borderId="117" xfId="0" applyFill="1" applyBorder="1" applyAlignment="1">
      <alignment horizontal="center"/>
    </xf>
    <xf numFmtId="0" fontId="12" fillId="0" borderId="142" xfId="0" applyFont="1" applyFill="1" applyBorder="1" applyAlignment="1">
      <alignment horizontal="center"/>
    </xf>
    <xf numFmtId="0" fontId="15" fillId="0" borderId="142" xfId="0" applyFont="1" applyFill="1" applyBorder="1" applyAlignment="1">
      <alignment horizontal="center"/>
    </xf>
    <xf numFmtId="0" fontId="13" fillId="0" borderId="0" xfId="0" applyFont="1" applyFill="1" applyBorder="1" applyAlignment="1">
      <alignment horizontal="center"/>
    </xf>
    <xf numFmtId="0" fontId="13" fillId="0" borderId="142" xfId="0" applyFont="1" applyFill="1" applyBorder="1" applyAlignment="1">
      <alignment horizontal="center"/>
    </xf>
    <xf numFmtId="0" fontId="0" fillId="0" borderId="0" xfId="0" applyFill="1" applyBorder="1" applyAlignment="1">
      <alignment horizontal="center"/>
    </xf>
    <xf numFmtId="0" fontId="13" fillId="0" borderId="192" xfId="0" applyFont="1" applyFill="1" applyBorder="1" applyAlignment="1">
      <alignment horizontal="center"/>
    </xf>
    <xf numFmtId="0" fontId="41" fillId="0" borderId="0" xfId="0" applyFont="1" applyAlignment="1">
      <alignment horizontal="center" vertical="center"/>
    </xf>
    <xf numFmtId="0" fontId="12" fillId="0" borderId="230" xfId="0" applyFont="1" applyFill="1" applyBorder="1" applyAlignment="1">
      <alignment horizontal="center"/>
    </xf>
    <xf numFmtId="0" fontId="14" fillId="0" borderId="192" xfId="0" applyFont="1" applyFill="1" applyBorder="1" applyAlignment="1">
      <alignment horizontal="center"/>
    </xf>
    <xf numFmtId="2" fontId="41" fillId="0" borderId="0" xfId="0" applyNumberFormat="1" applyFont="1"/>
    <xf numFmtId="165" fontId="49" fillId="41" borderId="0" xfId="6" applyFont="1" applyFill="1" applyBorder="1" applyAlignment="1">
      <alignment horizontal="center"/>
    </xf>
    <xf numFmtId="0" fontId="0" fillId="0" borderId="218" xfId="0" applyFill="1" applyBorder="1" applyAlignment="1">
      <alignment horizontal="center"/>
    </xf>
    <xf numFmtId="0" fontId="0" fillId="0" borderId="223" xfId="0" applyFill="1" applyBorder="1" applyAlignment="1">
      <alignment horizontal="center"/>
    </xf>
    <xf numFmtId="0" fontId="0" fillId="0" borderId="224" xfId="0" applyFont="1" applyFill="1" applyBorder="1" applyAlignment="1">
      <alignment horizontal="center"/>
    </xf>
    <xf numFmtId="0" fontId="12" fillId="0" borderId="190" xfId="0" applyFont="1" applyFill="1" applyBorder="1" applyAlignment="1">
      <alignment horizontal="center"/>
    </xf>
    <xf numFmtId="2" fontId="41" fillId="0" borderId="0" xfId="0" applyNumberFormat="1" applyFont="1" applyFill="1" applyBorder="1" applyAlignment="1">
      <alignment horizontal="center"/>
    </xf>
    <xf numFmtId="0" fontId="15" fillId="0" borderId="117" xfId="0" applyFont="1" applyFill="1" applyBorder="1" applyAlignment="1">
      <alignment horizontal="center"/>
    </xf>
    <xf numFmtId="0" fontId="13" fillId="3" borderId="114" xfId="0" applyFont="1" applyFill="1" applyBorder="1" applyAlignment="1">
      <alignment horizontal="center"/>
    </xf>
    <xf numFmtId="0" fontId="0" fillId="3" borderId="0" xfId="0" applyFill="1" applyBorder="1" applyAlignment="1">
      <alignment horizontal="center"/>
    </xf>
    <xf numFmtId="0" fontId="0" fillId="0" borderId="154" xfId="0" applyFill="1" applyBorder="1" applyAlignment="1">
      <alignment horizontal="center"/>
    </xf>
    <xf numFmtId="0" fontId="12" fillId="0" borderId="192" xfId="0" applyFont="1" applyFill="1" applyBorder="1" applyAlignment="1">
      <alignment horizontal="center"/>
    </xf>
    <xf numFmtId="0" fontId="12" fillId="3" borderId="223" xfId="0" applyFont="1" applyFill="1" applyBorder="1" applyAlignment="1">
      <alignment horizontal="center"/>
    </xf>
    <xf numFmtId="0" fontId="12" fillId="3" borderId="224" xfId="0" applyFont="1" applyFill="1" applyBorder="1" applyAlignment="1">
      <alignment horizontal="center"/>
    </xf>
    <xf numFmtId="0" fontId="11" fillId="14" borderId="154" xfId="0" applyFont="1" applyFill="1" applyBorder="1" applyAlignment="1">
      <alignment horizontal="center"/>
    </xf>
    <xf numFmtId="49" fontId="14" fillId="0" borderId="0" xfId="0" applyNumberFormat="1" applyFont="1" applyFill="1"/>
    <xf numFmtId="49" fontId="14" fillId="0" borderId="0" xfId="0" applyNumberFormat="1" applyFont="1" applyFill="1" applyAlignment="1"/>
    <xf numFmtId="49" fontId="14" fillId="0" borderId="0" xfId="0" applyNumberFormat="1" applyFont="1"/>
    <xf numFmtId="0" fontId="14" fillId="3" borderId="26" xfId="0" applyFont="1" applyFill="1" applyBorder="1"/>
    <xf numFmtId="0" fontId="14" fillId="0" borderId="91" xfId="0" applyFont="1" applyFill="1" applyBorder="1"/>
    <xf numFmtId="165" fontId="3" fillId="0" borderId="0" xfId="0" applyNumberFormat="1" applyFont="1"/>
    <xf numFmtId="165" fontId="3" fillId="3" borderId="158" xfId="6" applyNumberFormat="1" applyFont="1" applyFill="1" applyBorder="1" applyAlignment="1">
      <alignment horizontal="center"/>
    </xf>
    <xf numFmtId="165" fontId="3" fillId="4" borderId="158" xfId="6" applyNumberFormat="1" applyFont="1" applyFill="1" applyBorder="1" applyAlignment="1">
      <alignment horizontal="center" vertical="center"/>
    </xf>
    <xf numFmtId="165" fontId="3" fillId="24" borderId="158" xfId="6" applyNumberFormat="1" applyFont="1" applyFill="1" applyBorder="1" applyAlignment="1">
      <alignment horizontal="center"/>
    </xf>
    <xf numFmtId="165" fontId="4" fillId="4" borderId="158" xfId="6" applyNumberFormat="1" applyFont="1" applyFill="1" applyBorder="1" applyAlignment="1">
      <alignment horizontal="center"/>
    </xf>
    <xf numFmtId="165" fontId="4" fillId="2" borderId="158" xfId="6" applyNumberFormat="1" applyFont="1" applyFill="1" applyBorder="1" applyAlignment="1">
      <alignment horizontal="center"/>
    </xf>
    <xf numFmtId="165" fontId="4" fillId="6" borderId="158" xfId="6" applyNumberFormat="1" applyFont="1" applyFill="1" applyBorder="1" applyAlignment="1">
      <alignment horizontal="center"/>
    </xf>
    <xf numFmtId="165" fontId="4" fillId="24" borderId="158" xfId="6" applyNumberFormat="1" applyFont="1" applyFill="1" applyBorder="1" applyAlignment="1">
      <alignment horizontal="center"/>
    </xf>
    <xf numFmtId="171" fontId="0" fillId="0" borderId="59" xfId="6" applyNumberFormat="1" applyFont="1" applyBorder="1" applyAlignment="1">
      <alignment horizontal="right"/>
    </xf>
    <xf numFmtId="0" fontId="3" fillId="0" borderId="223" xfId="0" applyFont="1" applyBorder="1" applyAlignment="1"/>
    <xf numFmtId="0" fontId="0" fillId="0" borderId="223" xfId="0" applyBorder="1" applyAlignment="1"/>
    <xf numFmtId="0" fontId="0" fillId="0" borderId="224" xfId="0" applyBorder="1" applyAlignment="1"/>
    <xf numFmtId="166" fontId="3" fillId="0" borderId="190" xfId="0" applyNumberFormat="1" applyFont="1" applyBorder="1" applyAlignment="1"/>
    <xf numFmtId="0" fontId="0" fillId="0" borderId="190" xfId="0" applyBorder="1" applyAlignment="1"/>
    <xf numFmtId="0" fontId="0" fillId="0" borderId="192" xfId="0" applyBorder="1" applyAlignment="1"/>
    <xf numFmtId="165" fontId="4" fillId="0" borderId="226" xfId="6" applyNumberFormat="1" applyFont="1" applyFill="1" applyBorder="1" applyAlignment="1">
      <alignment horizontal="center"/>
    </xf>
    <xf numFmtId="0" fontId="3" fillId="3" borderId="189" xfId="0" applyFont="1" applyFill="1" applyBorder="1"/>
    <xf numFmtId="166" fontId="14" fillId="26" borderId="45" xfId="6" applyNumberFormat="1" applyFont="1" applyFill="1" applyBorder="1" applyAlignment="1">
      <alignment horizontal="center" vertical="center"/>
    </xf>
    <xf numFmtId="2" fontId="33" fillId="33" borderId="45" xfId="0" applyNumberFormat="1" applyFont="1" applyFill="1" applyBorder="1" applyAlignment="1">
      <alignment horizontal="center" vertical="center"/>
    </xf>
    <xf numFmtId="2" fontId="33" fillId="34" borderId="45" xfId="0" applyNumberFormat="1" applyFont="1" applyFill="1" applyBorder="1" applyAlignment="1">
      <alignment horizontal="center" vertical="center"/>
    </xf>
    <xf numFmtId="2" fontId="33" fillId="35" borderId="45" xfId="0" applyNumberFormat="1" applyFont="1" applyFill="1" applyBorder="1" applyAlignment="1">
      <alignment horizontal="center" vertical="center"/>
    </xf>
    <xf numFmtId="0" fontId="3" fillId="3" borderId="12" xfId="0" applyFont="1" applyFill="1" applyBorder="1" applyAlignment="1">
      <alignment horizontal="center" vertical="center"/>
    </xf>
    <xf numFmtId="2" fontId="33" fillId="28" borderId="45" xfId="0" applyNumberFormat="1" applyFont="1" applyFill="1" applyBorder="1" applyAlignment="1">
      <alignment horizontal="center" vertical="center"/>
    </xf>
    <xf numFmtId="2" fontId="33" fillId="29" borderId="45" xfId="0" applyNumberFormat="1" applyFont="1" applyFill="1" applyBorder="1" applyAlignment="1">
      <alignment horizontal="center" vertical="center"/>
    </xf>
    <xf numFmtId="2" fontId="33" fillId="30" borderId="45" xfId="0" applyNumberFormat="1" applyFont="1" applyFill="1" applyBorder="1" applyAlignment="1">
      <alignment horizontal="center" vertical="center"/>
    </xf>
    <xf numFmtId="2" fontId="33" fillId="37" borderId="45" xfId="0" applyNumberFormat="1" applyFont="1" applyFill="1" applyBorder="1" applyAlignment="1">
      <alignment horizontal="center" vertical="center"/>
    </xf>
    <xf numFmtId="2" fontId="33" fillId="32" borderId="45" xfId="0" applyNumberFormat="1" applyFont="1" applyFill="1" applyBorder="1" applyAlignment="1">
      <alignment horizontal="center" vertical="center"/>
    </xf>
    <xf numFmtId="165" fontId="33" fillId="36" borderId="45" xfId="6" applyFont="1" applyFill="1" applyBorder="1" applyAlignment="1">
      <alignment horizontal="center" vertical="center"/>
    </xf>
    <xf numFmtId="0" fontId="3" fillId="3" borderId="15" xfId="0" applyFont="1" applyFill="1" applyBorder="1" applyAlignment="1">
      <alignment horizontal="center" vertical="center"/>
    </xf>
    <xf numFmtId="0" fontId="3" fillId="3" borderId="17" xfId="0" applyFont="1" applyFill="1" applyBorder="1" applyAlignment="1">
      <alignment horizontal="center" vertical="center"/>
    </xf>
    <xf numFmtId="166" fontId="14" fillId="26" borderId="167" xfId="6" applyNumberFormat="1" applyFont="1" applyFill="1" applyBorder="1" applyAlignment="1">
      <alignment horizontal="center" vertical="center"/>
    </xf>
    <xf numFmtId="2" fontId="16" fillId="28" borderId="118" xfId="0" applyNumberFormat="1" applyFont="1" applyFill="1" applyBorder="1" applyAlignment="1">
      <alignment horizontal="center" vertical="center"/>
    </xf>
    <xf numFmtId="2" fontId="16" fillId="29" borderId="118" xfId="0" applyNumberFormat="1" applyFont="1" applyFill="1" applyBorder="1" applyAlignment="1">
      <alignment horizontal="center" vertical="center"/>
    </xf>
    <xf numFmtId="2" fontId="16" fillId="30" borderId="118" xfId="0" applyNumberFormat="1" applyFont="1" applyFill="1" applyBorder="1" applyAlignment="1">
      <alignment horizontal="center" vertical="center"/>
    </xf>
    <xf numFmtId="2" fontId="16" fillId="37" borderId="118" xfId="0" applyNumberFormat="1" applyFont="1" applyFill="1" applyBorder="1" applyAlignment="1">
      <alignment horizontal="center" vertical="center"/>
    </xf>
    <xf numFmtId="2" fontId="16" fillId="32" borderId="118" xfId="0" applyNumberFormat="1" applyFont="1" applyFill="1" applyBorder="1" applyAlignment="1">
      <alignment horizontal="center" vertical="center"/>
    </xf>
    <xf numFmtId="2" fontId="16" fillId="33" borderId="118" xfId="0" applyNumberFormat="1" applyFont="1" applyFill="1" applyBorder="1" applyAlignment="1">
      <alignment horizontal="center" vertical="center"/>
    </xf>
    <xf numFmtId="2" fontId="16" fillId="34" borderId="118" xfId="0" applyNumberFormat="1" applyFont="1" applyFill="1" applyBorder="1" applyAlignment="1">
      <alignment horizontal="center" vertical="center"/>
    </xf>
    <xf numFmtId="2" fontId="16" fillId="35" borderId="118" xfId="0" applyNumberFormat="1" applyFont="1" applyFill="1" applyBorder="1" applyAlignment="1">
      <alignment horizontal="center" vertical="center"/>
    </xf>
    <xf numFmtId="165" fontId="16" fillId="36" borderId="118" xfId="6" applyFont="1" applyFill="1" applyBorder="1" applyAlignment="1">
      <alignment horizontal="center" vertical="center"/>
    </xf>
    <xf numFmtId="2" fontId="33" fillId="32" borderId="118" xfId="0" applyNumberFormat="1" applyFont="1" applyFill="1" applyBorder="1" applyAlignment="1">
      <alignment horizontal="center" vertical="center"/>
    </xf>
    <xf numFmtId="2" fontId="33" fillId="33" borderId="118" xfId="0" applyNumberFormat="1" applyFont="1" applyFill="1" applyBorder="1" applyAlignment="1">
      <alignment horizontal="center" vertical="center"/>
    </xf>
    <xf numFmtId="2" fontId="33" fillId="34" borderId="118" xfId="0" applyNumberFormat="1" applyFont="1" applyFill="1" applyBorder="1" applyAlignment="1">
      <alignment horizontal="center" vertical="center"/>
    </xf>
    <xf numFmtId="166" fontId="14" fillId="26" borderId="118" xfId="6" applyNumberFormat="1" applyFont="1" applyFill="1" applyBorder="1" applyAlignment="1">
      <alignment horizontal="center" vertical="center"/>
    </xf>
    <xf numFmtId="2" fontId="33" fillId="28" borderId="118" xfId="0" applyNumberFormat="1" applyFont="1" applyFill="1" applyBorder="1" applyAlignment="1">
      <alignment horizontal="center" vertical="center"/>
    </xf>
    <xf numFmtId="2" fontId="33" fillId="30" borderId="118" xfId="0" applyNumberFormat="1" applyFont="1" applyFill="1" applyBorder="1" applyAlignment="1">
      <alignment horizontal="center" vertical="center"/>
    </xf>
    <xf numFmtId="2" fontId="33" fillId="37" borderId="118" xfId="0" applyNumberFormat="1" applyFont="1" applyFill="1" applyBorder="1" applyAlignment="1">
      <alignment horizontal="center" vertical="center"/>
    </xf>
    <xf numFmtId="2" fontId="33" fillId="35" borderId="118" xfId="0" applyNumberFormat="1" applyFont="1" applyFill="1" applyBorder="1" applyAlignment="1">
      <alignment horizontal="center" vertical="center"/>
    </xf>
    <xf numFmtId="165" fontId="33" fillId="36" borderId="118" xfId="6" applyFont="1" applyFill="1" applyBorder="1" applyAlignment="1">
      <alignment horizontal="center" vertical="center"/>
    </xf>
    <xf numFmtId="2" fontId="33" fillId="29" borderId="118" xfId="0" applyNumberFormat="1" applyFont="1" applyFill="1" applyBorder="1" applyAlignment="1">
      <alignment horizontal="center" vertical="center"/>
    </xf>
    <xf numFmtId="0" fontId="3" fillId="0" borderId="15" xfId="0" applyFont="1" applyFill="1" applyBorder="1" applyAlignment="1">
      <alignment horizontal="center" vertical="center"/>
    </xf>
    <xf numFmtId="0" fontId="3" fillId="0" borderId="17" xfId="0" applyFont="1" applyFill="1" applyBorder="1" applyAlignment="1">
      <alignment horizontal="center" vertical="center"/>
    </xf>
    <xf numFmtId="0" fontId="12" fillId="3" borderId="31" xfId="0" applyFont="1" applyFill="1" applyBorder="1" applyAlignment="1">
      <alignment horizontal="center"/>
    </xf>
    <xf numFmtId="0" fontId="3" fillId="3" borderId="15" xfId="0" applyFont="1" applyFill="1" applyBorder="1" applyAlignment="1">
      <alignment horizontal="center" vertical="center"/>
    </xf>
    <xf numFmtId="0" fontId="3" fillId="3" borderId="17" xfId="0" applyFont="1" applyFill="1" applyBorder="1" applyAlignment="1">
      <alignment horizontal="center" vertical="center"/>
    </xf>
    <xf numFmtId="166" fontId="14" fillId="26" borderId="45" xfId="6" applyNumberFormat="1" applyFont="1" applyFill="1" applyBorder="1" applyAlignment="1">
      <alignment horizontal="center" vertical="center"/>
    </xf>
    <xf numFmtId="166" fontId="14" fillId="26" borderId="167" xfId="6" applyNumberFormat="1" applyFont="1" applyFill="1" applyBorder="1" applyAlignment="1">
      <alignment horizontal="center" vertical="center"/>
    </xf>
    <xf numFmtId="2" fontId="33" fillId="28" borderId="45" xfId="0" applyNumberFormat="1" applyFont="1" applyFill="1" applyBorder="1" applyAlignment="1">
      <alignment horizontal="center" vertical="center"/>
    </xf>
    <xf numFmtId="2" fontId="33" fillId="29" borderId="45" xfId="0" applyNumberFormat="1" applyFont="1" applyFill="1" applyBorder="1" applyAlignment="1">
      <alignment horizontal="center" vertical="center"/>
    </xf>
    <xf numFmtId="2" fontId="33" fillId="30" borderId="45" xfId="0" applyNumberFormat="1" applyFont="1" applyFill="1" applyBorder="1" applyAlignment="1">
      <alignment horizontal="center" vertical="center"/>
    </xf>
    <xf numFmtId="2" fontId="33" fillId="37" borderId="45" xfId="0" applyNumberFormat="1" applyFont="1" applyFill="1" applyBorder="1" applyAlignment="1">
      <alignment horizontal="center" vertical="center"/>
    </xf>
    <xf numFmtId="2" fontId="33" fillId="32" borderId="45" xfId="0" applyNumberFormat="1" applyFont="1" applyFill="1" applyBorder="1" applyAlignment="1">
      <alignment horizontal="center" vertical="center"/>
    </xf>
    <xf numFmtId="2" fontId="33" fillId="33" borderId="45" xfId="0" applyNumberFormat="1" applyFont="1" applyFill="1" applyBorder="1" applyAlignment="1">
      <alignment horizontal="center" vertical="center"/>
    </xf>
    <xf numFmtId="2" fontId="33" fillId="34" borderId="45" xfId="0" applyNumberFormat="1" applyFont="1" applyFill="1" applyBorder="1" applyAlignment="1">
      <alignment horizontal="center" vertical="center"/>
    </xf>
    <xf numFmtId="2" fontId="33" fillId="35" borderId="45" xfId="0" applyNumberFormat="1" applyFont="1" applyFill="1" applyBorder="1" applyAlignment="1">
      <alignment horizontal="center" vertical="center"/>
    </xf>
    <xf numFmtId="165" fontId="33" fillId="36" borderId="45" xfId="6" applyFont="1" applyFill="1" applyBorder="1" applyAlignment="1">
      <alignment horizontal="center" vertical="center"/>
    </xf>
    <xf numFmtId="165" fontId="33" fillId="36" borderId="118" xfId="6" applyFont="1" applyFill="1" applyBorder="1" applyAlignment="1">
      <alignment horizontal="center" vertical="center"/>
    </xf>
    <xf numFmtId="2" fontId="16" fillId="28" borderId="45" xfId="0" applyNumberFormat="1" applyFont="1" applyFill="1" applyBorder="1" applyAlignment="1">
      <alignment horizontal="center" vertical="center"/>
    </xf>
    <xf numFmtId="2" fontId="16" fillId="29" borderId="45" xfId="0" applyNumberFormat="1" applyFont="1" applyFill="1" applyBorder="1" applyAlignment="1">
      <alignment horizontal="center" vertical="center"/>
    </xf>
    <xf numFmtId="2" fontId="16" fillId="30" borderId="45" xfId="0" applyNumberFormat="1" applyFont="1" applyFill="1" applyBorder="1" applyAlignment="1">
      <alignment horizontal="center" vertical="center"/>
    </xf>
    <xf numFmtId="2" fontId="16" fillId="37" borderId="45" xfId="0" applyNumberFormat="1" applyFont="1" applyFill="1" applyBorder="1" applyAlignment="1">
      <alignment horizontal="center" vertical="center"/>
    </xf>
    <xf numFmtId="2" fontId="16" fillId="32" borderId="45" xfId="0" applyNumberFormat="1" applyFont="1" applyFill="1" applyBorder="1" applyAlignment="1">
      <alignment horizontal="center" vertical="center"/>
    </xf>
    <xf numFmtId="2" fontId="16" fillId="33" borderId="45" xfId="0" applyNumberFormat="1" applyFont="1" applyFill="1" applyBorder="1" applyAlignment="1">
      <alignment horizontal="center" vertical="center"/>
    </xf>
    <xf numFmtId="2" fontId="16" fillId="34" borderId="45" xfId="0" applyNumberFormat="1" applyFont="1" applyFill="1" applyBorder="1" applyAlignment="1">
      <alignment horizontal="center" vertical="center"/>
    </xf>
    <xf numFmtId="0" fontId="33" fillId="33" borderId="118" xfId="0" applyFont="1" applyFill="1" applyBorder="1" applyAlignment="1">
      <alignment horizontal="center" vertical="center"/>
    </xf>
    <xf numFmtId="0" fontId="33" fillId="34" borderId="118" xfId="0" applyFont="1" applyFill="1" applyBorder="1" applyAlignment="1">
      <alignment horizontal="center" vertical="center"/>
    </xf>
    <xf numFmtId="2" fontId="16" fillId="35" borderId="45" xfId="0" applyNumberFormat="1" applyFont="1" applyFill="1" applyBorder="1" applyAlignment="1">
      <alignment horizontal="center" vertical="center"/>
    </xf>
    <xf numFmtId="165" fontId="16" fillId="36" borderId="45" xfId="6" applyFont="1" applyFill="1" applyBorder="1" applyAlignment="1">
      <alignment horizontal="center" vertical="center"/>
    </xf>
    <xf numFmtId="166" fontId="14" fillId="26" borderId="118" xfId="6" applyNumberFormat="1" applyFont="1" applyFill="1" applyBorder="1" applyAlignment="1">
      <alignment horizontal="center" vertical="center"/>
    </xf>
    <xf numFmtId="2" fontId="33" fillId="28" borderId="118" xfId="0" applyNumberFormat="1" applyFont="1" applyFill="1" applyBorder="1" applyAlignment="1">
      <alignment horizontal="center" vertical="center"/>
    </xf>
    <xf numFmtId="2" fontId="33" fillId="29" borderId="118" xfId="0" applyNumberFormat="1" applyFont="1" applyFill="1" applyBorder="1" applyAlignment="1">
      <alignment horizontal="center" vertical="center"/>
    </xf>
    <xf numFmtId="2" fontId="33" fillId="30" borderId="118" xfId="0" applyNumberFormat="1" applyFont="1" applyFill="1" applyBorder="1" applyAlignment="1">
      <alignment horizontal="center" vertical="center"/>
    </xf>
    <xf numFmtId="2" fontId="33" fillId="37" borderId="118" xfId="0" applyNumberFormat="1" applyFont="1" applyFill="1" applyBorder="1" applyAlignment="1">
      <alignment horizontal="center" vertical="center"/>
    </xf>
    <xf numFmtId="2" fontId="33" fillId="32" borderId="118" xfId="0" applyNumberFormat="1" applyFont="1" applyFill="1" applyBorder="1" applyAlignment="1">
      <alignment horizontal="center" vertical="center"/>
    </xf>
    <xf numFmtId="0" fontId="33" fillId="30" borderId="118" xfId="0" applyFont="1" applyFill="1" applyBorder="1" applyAlignment="1">
      <alignment horizontal="center" vertical="center"/>
    </xf>
    <xf numFmtId="2" fontId="33" fillId="33" borderId="118" xfId="0" applyNumberFormat="1" applyFont="1" applyFill="1" applyBorder="1" applyAlignment="1">
      <alignment horizontal="center" vertical="center"/>
    </xf>
    <xf numFmtId="2" fontId="33" fillId="34" borderId="118" xfId="0" applyNumberFormat="1" applyFont="1" applyFill="1" applyBorder="1" applyAlignment="1">
      <alignment horizontal="center" vertical="center"/>
    </xf>
    <xf numFmtId="2" fontId="33" fillId="35" borderId="118" xfId="0" applyNumberFormat="1" applyFont="1" applyFill="1" applyBorder="1" applyAlignment="1">
      <alignment horizontal="center" vertical="center"/>
    </xf>
    <xf numFmtId="165" fontId="33" fillId="36" borderId="45" xfId="0" applyNumberFormat="1" applyFont="1" applyFill="1" applyBorder="1" applyAlignment="1">
      <alignment horizontal="center" vertical="center"/>
    </xf>
    <xf numFmtId="0" fontId="3" fillId="0" borderId="15" xfId="0" applyFont="1" applyFill="1" applyBorder="1" applyAlignment="1">
      <alignment horizontal="center" vertical="center"/>
    </xf>
    <xf numFmtId="0" fontId="3" fillId="0" borderId="17" xfId="0" applyFont="1" applyFill="1" applyBorder="1" applyAlignment="1">
      <alignment horizontal="center" vertical="center"/>
    </xf>
    <xf numFmtId="2" fontId="16" fillId="37" borderId="118" xfId="0" applyNumberFormat="1" applyFont="1" applyFill="1" applyBorder="1" applyAlignment="1">
      <alignment horizontal="center" vertical="center"/>
    </xf>
    <xf numFmtId="2" fontId="16" fillId="32" borderId="118" xfId="0" applyNumberFormat="1" applyFont="1" applyFill="1" applyBorder="1" applyAlignment="1">
      <alignment horizontal="center" vertical="center"/>
    </xf>
    <xf numFmtId="2" fontId="16" fillId="33" borderId="118" xfId="0" applyNumberFormat="1" applyFont="1" applyFill="1" applyBorder="1" applyAlignment="1">
      <alignment horizontal="center" vertical="center"/>
    </xf>
    <xf numFmtId="2" fontId="16" fillId="34" borderId="118" xfId="0" applyNumberFormat="1" applyFont="1" applyFill="1" applyBorder="1" applyAlignment="1">
      <alignment horizontal="center" vertical="center"/>
    </xf>
    <xf numFmtId="2" fontId="16" fillId="35" borderId="118" xfId="0" applyNumberFormat="1" applyFont="1" applyFill="1" applyBorder="1" applyAlignment="1">
      <alignment horizontal="center" vertical="center"/>
    </xf>
    <xf numFmtId="165" fontId="16" fillId="36" borderId="118" xfId="6" applyFont="1" applyFill="1" applyBorder="1" applyAlignment="1">
      <alignment horizontal="center" vertical="center"/>
    </xf>
    <xf numFmtId="0" fontId="3" fillId="3" borderId="0" xfId="0" applyFont="1" applyFill="1" applyBorder="1" applyAlignment="1">
      <alignment horizontal="center" vertical="center"/>
    </xf>
    <xf numFmtId="2" fontId="16" fillId="28" borderId="118" xfId="0" applyNumberFormat="1" applyFont="1" applyFill="1" applyBorder="1" applyAlignment="1">
      <alignment horizontal="center" vertical="center"/>
    </xf>
    <xf numFmtId="2" fontId="16" fillId="29" borderId="118" xfId="0" applyNumberFormat="1" applyFont="1" applyFill="1" applyBorder="1" applyAlignment="1">
      <alignment horizontal="center" vertical="center"/>
    </xf>
    <xf numFmtId="2" fontId="16" fillId="30" borderId="118" xfId="0" applyNumberFormat="1" applyFont="1" applyFill="1" applyBorder="1" applyAlignment="1">
      <alignment horizontal="center" vertical="center"/>
    </xf>
    <xf numFmtId="0" fontId="4" fillId="0" borderId="225" xfId="1" applyNumberFormat="1" applyFont="1" applyFill="1" applyBorder="1" applyAlignment="1">
      <alignment horizontal="left"/>
    </xf>
    <xf numFmtId="0" fontId="3" fillId="0" borderId="234" xfId="0" applyFont="1" applyBorder="1" applyAlignment="1"/>
    <xf numFmtId="0" fontId="3" fillId="0" borderId="233" xfId="0" applyFont="1" applyBorder="1" applyAlignment="1"/>
    <xf numFmtId="0" fontId="2" fillId="3" borderId="0" xfId="0" applyFont="1" applyFill="1" applyAlignment="1"/>
    <xf numFmtId="0" fontId="2" fillId="21" borderId="0" xfId="0" applyFont="1" applyFill="1" applyAlignment="1"/>
    <xf numFmtId="0" fontId="2" fillId="10" borderId="0" xfId="0" applyFont="1" applyFill="1" applyAlignment="1"/>
    <xf numFmtId="0" fontId="2" fillId="22" borderId="0" xfId="0" applyFont="1" applyFill="1" applyAlignment="1"/>
    <xf numFmtId="0" fontId="2" fillId="24" borderId="0" xfId="0" applyFont="1" applyFill="1" applyAlignment="1"/>
    <xf numFmtId="0" fontId="2" fillId="20" borderId="0" xfId="0" applyFont="1" applyFill="1" applyAlignment="1"/>
    <xf numFmtId="166" fontId="34" fillId="26" borderId="210" xfId="6" applyNumberFormat="1" applyFont="1" applyFill="1" applyBorder="1"/>
    <xf numFmtId="2" fontId="8" fillId="24" borderId="0" xfId="6" applyNumberFormat="1" applyFont="1" applyFill="1" applyAlignment="1">
      <alignment horizontal="center"/>
    </xf>
    <xf numFmtId="2" fontId="16" fillId="28" borderId="210" xfId="0" applyNumberFormat="1" applyFont="1" applyFill="1" applyBorder="1" applyAlignment="1">
      <alignment horizontal="center"/>
    </xf>
    <xf numFmtId="2" fontId="16" fillId="29" borderId="210" xfId="0" applyNumberFormat="1" applyFont="1" applyFill="1" applyBorder="1" applyAlignment="1">
      <alignment horizontal="center"/>
    </xf>
    <xf numFmtId="2" fontId="16" fillId="30" borderId="210" xfId="0" applyNumberFormat="1" applyFont="1" applyFill="1" applyBorder="1" applyAlignment="1">
      <alignment horizontal="center"/>
    </xf>
    <xf numFmtId="2" fontId="16" fillId="37" borderId="210" xfId="0" applyNumberFormat="1" applyFont="1" applyFill="1" applyBorder="1" applyAlignment="1">
      <alignment horizontal="center"/>
    </xf>
    <xf numFmtId="2" fontId="16" fillId="32" borderId="210" xfId="0" applyNumberFormat="1" applyFont="1" applyFill="1" applyBorder="1" applyAlignment="1">
      <alignment horizontal="center"/>
    </xf>
    <xf numFmtId="2" fontId="16" fillId="33" borderId="210" xfId="0" applyNumberFormat="1" applyFont="1" applyFill="1" applyBorder="1" applyAlignment="1">
      <alignment horizontal="center"/>
    </xf>
    <xf numFmtId="2" fontId="16" fillId="34" borderId="210" xfId="0" applyNumberFormat="1" applyFont="1" applyFill="1" applyBorder="1" applyAlignment="1">
      <alignment horizontal="center"/>
    </xf>
    <xf numFmtId="2" fontId="16" fillId="35" borderId="210" xfId="0" applyNumberFormat="1" applyFont="1" applyFill="1" applyBorder="1" applyAlignment="1">
      <alignment horizontal="center"/>
    </xf>
    <xf numFmtId="165" fontId="16" fillId="36" borderId="210" xfId="6" applyFont="1" applyFill="1" applyBorder="1" applyAlignment="1">
      <alignment horizontal="center"/>
    </xf>
    <xf numFmtId="0" fontId="0" fillId="0" borderId="143" xfId="0" applyFill="1" applyBorder="1" applyAlignment="1">
      <alignment horizontal="center"/>
    </xf>
    <xf numFmtId="2" fontId="4" fillId="24" borderId="0" xfId="6" applyNumberFormat="1" applyFont="1" applyFill="1" applyAlignment="1">
      <alignment horizontal="center"/>
    </xf>
    <xf numFmtId="0" fontId="14" fillId="0" borderId="31" xfId="0" applyFont="1" applyFill="1" applyBorder="1" applyAlignment="1">
      <alignment horizontal="center"/>
    </xf>
    <xf numFmtId="0" fontId="13" fillId="0" borderId="31" xfId="0" applyFont="1" applyFill="1" applyBorder="1" applyAlignment="1">
      <alignment horizontal="center"/>
    </xf>
    <xf numFmtId="0" fontId="13" fillId="0" borderId="221" xfId="0" applyFont="1" applyFill="1" applyBorder="1" applyAlignment="1">
      <alignment horizontal="center"/>
    </xf>
    <xf numFmtId="0" fontId="13" fillId="0" borderId="141" xfId="0" applyFont="1" applyFill="1" applyBorder="1" applyAlignment="1">
      <alignment horizontal="center"/>
    </xf>
    <xf numFmtId="166" fontId="34" fillId="26" borderId="143" xfId="6" applyNumberFormat="1" applyFont="1" applyFill="1" applyBorder="1" applyAlignment="1">
      <alignment horizontal="center" vertical="center"/>
    </xf>
    <xf numFmtId="0" fontId="13" fillId="3" borderId="221" xfId="0" applyFont="1" applyFill="1" applyBorder="1" applyAlignment="1">
      <alignment horizontal="center"/>
    </xf>
    <xf numFmtId="166" fontId="14" fillId="26" borderId="235" xfId="6" applyNumberFormat="1" applyFont="1" applyFill="1" applyBorder="1" applyAlignment="1">
      <alignment horizontal="center"/>
    </xf>
    <xf numFmtId="2" fontId="33" fillId="28" borderId="235" xfId="6" applyNumberFormat="1" applyFont="1" applyFill="1" applyBorder="1" applyAlignment="1">
      <alignment horizontal="center" vertical="center"/>
    </xf>
    <xf numFmtId="2" fontId="33" fillId="29" borderId="235" xfId="6" applyNumberFormat="1" applyFont="1" applyFill="1" applyBorder="1" applyAlignment="1">
      <alignment horizontal="center" vertical="center"/>
    </xf>
    <xf numFmtId="2" fontId="33" fillId="30" borderId="235" xfId="6" applyNumberFormat="1" applyFont="1" applyFill="1" applyBorder="1" applyAlignment="1">
      <alignment horizontal="center" vertical="center"/>
    </xf>
    <xf numFmtId="2" fontId="33" fillId="37" borderId="235" xfId="6" applyNumberFormat="1" applyFont="1" applyFill="1" applyBorder="1" applyAlignment="1">
      <alignment horizontal="center" vertical="center"/>
    </xf>
    <xf numFmtId="2" fontId="33" fillId="32" borderId="235" xfId="6" applyNumberFormat="1" applyFont="1" applyFill="1" applyBorder="1" applyAlignment="1">
      <alignment horizontal="center" vertical="center"/>
    </xf>
    <xf numFmtId="2" fontId="33" fillId="33" borderId="235" xfId="6" applyNumberFormat="1" applyFont="1" applyFill="1" applyBorder="1" applyAlignment="1">
      <alignment horizontal="center" vertical="center"/>
    </xf>
    <xf numFmtId="2" fontId="33" fillId="34" borderId="235" xfId="6" applyNumberFormat="1" applyFont="1" applyFill="1" applyBorder="1" applyAlignment="1">
      <alignment horizontal="center" vertical="center"/>
    </xf>
    <xf numFmtId="2" fontId="33" fillId="35" borderId="235" xfId="6" applyNumberFormat="1" applyFont="1" applyFill="1" applyBorder="1" applyAlignment="1">
      <alignment horizontal="center" vertical="center"/>
    </xf>
    <xf numFmtId="165" fontId="33" fillId="36" borderId="235" xfId="6" applyFont="1" applyFill="1" applyBorder="1" applyAlignment="1">
      <alignment horizontal="center" vertical="center"/>
    </xf>
    <xf numFmtId="0" fontId="12" fillId="3" borderId="221" xfId="0" applyFont="1" applyFill="1" applyBorder="1" applyAlignment="1">
      <alignment horizontal="center"/>
    </xf>
    <xf numFmtId="166" fontId="34" fillId="26" borderId="210" xfId="6" applyNumberFormat="1" applyFont="1" applyFill="1" applyBorder="1" applyAlignment="1">
      <alignment horizontal="center"/>
    </xf>
    <xf numFmtId="2" fontId="8" fillId="24" borderId="0" xfId="6" applyNumberFormat="1" applyFont="1" applyFill="1" applyBorder="1" applyAlignment="1">
      <alignment horizontal="center"/>
    </xf>
    <xf numFmtId="2" fontId="8" fillId="20" borderId="0" xfId="6" applyNumberFormat="1" applyFont="1" applyFill="1" applyBorder="1" applyAlignment="1">
      <alignment horizontal="center"/>
    </xf>
    <xf numFmtId="2" fontId="16" fillId="28" borderId="210" xfId="0" applyNumberFormat="1" applyFont="1" applyFill="1" applyBorder="1" applyAlignment="1">
      <alignment horizontal="center" vertical="center"/>
    </xf>
    <xf numFmtId="2" fontId="16" fillId="29" borderId="210" xfId="0" applyNumberFormat="1" applyFont="1" applyFill="1" applyBorder="1" applyAlignment="1">
      <alignment horizontal="center" vertical="center"/>
    </xf>
    <xf numFmtId="2" fontId="16" fillId="30" borderId="210" xfId="0" applyNumberFormat="1" applyFont="1" applyFill="1" applyBorder="1" applyAlignment="1">
      <alignment horizontal="center" vertical="center"/>
    </xf>
    <xf numFmtId="2" fontId="16" fillId="37" borderId="210" xfId="0" applyNumberFormat="1" applyFont="1" applyFill="1" applyBorder="1" applyAlignment="1">
      <alignment horizontal="center" vertical="center"/>
    </xf>
    <xf numFmtId="2" fontId="16" fillId="32" borderId="210" xfId="0" applyNumberFormat="1" applyFont="1" applyFill="1" applyBorder="1" applyAlignment="1">
      <alignment horizontal="center" vertical="center"/>
    </xf>
    <xf numFmtId="2" fontId="16" fillId="33" borderId="210" xfId="0" applyNumberFormat="1" applyFont="1" applyFill="1" applyBorder="1" applyAlignment="1">
      <alignment horizontal="center" vertical="center"/>
    </xf>
    <xf numFmtId="2" fontId="16" fillId="34" borderId="210" xfId="0" applyNumberFormat="1" applyFont="1" applyFill="1" applyBorder="1" applyAlignment="1">
      <alignment horizontal="center" vertical="center"/>
    </xf>
    <xf numFmtId="2" fontId="16" fillId="35" borderId="210" xfId="0" applyNumberFormat="1" applyFont="1" applyFill="1" applyBorder="1" applyAlignment="1">
      <alignment horizontal="center" vertical="center"/>
    </xf>
    <xf numFmtId="165" fontId="16" fillId="36" borderId="210" xfId="6" applyFont="1" applyFill="1" applyBorder="1" applyAlignment="1">
      <alignment horizontal="center" vertical="center"/>
    </xf>
    <xf numFmtId="166" fontId="14" fillId="26" borderId="210" xfId="6" applyNumberFormat="1" applyFont="1" applyFill="1" applyBorder="1" applyAlignment="1">
      <alignment horizontal="center"/>
    </xf>
    <xf numFmtId="0" fontId="14" fillId="3" borderId="28" xfId="0" applyFont="1" applyFill="1" applyBorder="1" applyAlignment="1">
      <alignment horizontal="center"/>
    </xf>
    <xf numFmtId="2" fontId="4" fillId="24" borderId="0" xfId="6" applyNumberFormat="1" applyFont="1" applyFill="1" applyBorder="1" applyAlignment="1">
      <alignment horizontal="center"/>
    </xf>
    <xf numFmtId="2" fontId="4" fillId="20" borderId="0" xfId="6" applyNumberFormat="1" applyFont="1" applyFill="1" applyBorder="1" applyAlignment="1">
      <alignment horizontal="center"/>
    </xf>
    <xf numFmtId="0" fontId="14" fillId="3" borderId="23" xfId="0" applyFont="1" applyFill="1" applyBorder="1" applyAlignment="1">
      <alignment horizontal="center"/>
    </xf>
    <xf numFmtId="0" fontId="12" fillId="0" borderId="221" xfId="0" applyFont="1" applyFill="1" applyBorder="1" applyAlignment="1">
      <alignment horizontal="center"/>
    </xf>
    <xf numFmtId="0" fontId="12" fillId="0" borderId="232" xfId="0" applyFont="1" applyFill="1" applyBorder="1" applyAlignment="1">
      <alignment horizontal="center"/>
    </xf>
    <xf numFmtId="0" fontId="0" fillId="0" borderId="236" xfId="0" applyFill="1" applyBorder="1"/>
    <xf numFmtId="0" fontId="34" fillId="26" borderId="210" xfId="0" applyFont="1" applyFill="1" applyBorder="1"/>
    <xf numFmtId="165" fontId="8" fillId="24" borderId="0" xfId="6" applyFont="1" applyFill="1" applyBorder="1" applyAlignment="1">
      <alignment horizontal="center"/>
    </xf>
    <xf numFmtId="165" fontId="8" fillId="20" borderId="0" xfId="6" applyFont="1" applyFill="1" applyBorder="1" applyAlignment="1">
      <alignment horizontal="center"/>
    </xf>
    <xf numFmtId="166" fontId="14" fillId="26" borderId="210" xfId="6" applyNumberFormat="1" applyFont="1" applyFill="1" applyBorder="1"/>
    <xf numFmtId="2" fontId="33" fillId="28" borderId="210" xfId="0" applyNumberFormat="1" applyFont="1" applyFill="1" applyBorder="1" applyAlignment="1">
      <alignment horizontal="center"/>
    </xf>
    <xf numFmtId="2" fontId="33" fillId="29" borderId="210" xfId="0" applyNumberFormat="1" applyFont="1" applyFill="1" applyBorder="1" applyAlignment="1">
      <alignment horizontal="center"/>
    </xf>
    <xf numFmtId="2" fontId="33" fillId="30" borderId="210" xfId="0" applyNumberFormat="1" applyFont="1" applyFill="1" applyBorder="1" applyAlignment="1">
      <alignment horizontal="center"/>
    </xf>
    <xf numFmtId="2" fontId="33" fillId="37" borderId="210" xfId="0" applyNumberFormat="1" applyFont="1" applyFill="1" applyBorder="1" applyAlignment="1">
      <alignment horizontal="center"/>
    </xf>
    <xf numFmtId="2" fontId="33" fillId="32" borderId="210" xfId="0" applyNumberFormat="1" applyFont="1" applyFill="1" applyBorder="1" applyAlignment="1">
      <alignment horizontal="center"/>
    </xf>
    <xf numFmtId="2" fontId="33" fillId="33" borderId="210" xfId="0" applyNumberFormat="1" applyFont="1" applyFill="1" applyBorder="1" applyAlignment="1">
      <alignment horizontal="center"/>
    </xf>
    <xf numFmtId="2" fontId="33" fillId="34" borderId="210" xfId="0" applyNumberFormat="1" applyFont="1" applyFill="1" applyBorder="1" applyAlignment="1">
      <alignment horizontal="center"/>
    </xf>
    <xf numFmtId="2" fontId="33" fillId="35" borderId="210" xfId="0" applyNumberFormat="1" applyFont="1" applyFill="1" applyBorder="1" applyAlignment="1">
      <alignment horizontal="center"/>
    </xf>
    <xf numFmtId="165" fontId="33" fillId="36" borderId="210" xfId="6" applyFont="1" applyFill="1" applyBorder="1" applyAlignment="1">
      <alignment horizontal="center"/>
    </xf>
    <xf numFmtId="0" fontId="14" fillId="0" borderId="118" xfId="0" applyFont="1" applyFill="1" applyBorder="1" applyAlignment="1">
      <alignment horizontal="center"/>
    </xf>
    <xf numFmtId="0" fontId="14" fillId="3" borderId="210" xfId="0" applyFont="1" applyFill="1" applyBorder="1" applyAlignment="1">
      <alignment horizontal="center"/>
    </xf>
    <xf numFmtId="0" fontId="0" fillId="0" borderId="118" xfId="0" applyFill="1" applyBorder="1" applyAlignment="1">
      <alignment horizontal="center"/>
    </xf>
    <xf numFmtId="0" fontId="34" fillId="38" borderId="59" xfId="0" applyFont="1" applyFill="1" applyBorder="1" applyAlignment="1">
      <alignment horizontal="left"/>
    </xf>
    <xf numFmtId="0" fontId="12" fillId="3" borderId="118" xfId="0" applyFont="1" applyFill="1" applyBorder="1" applyAlignment="1">
      <alignment horizontal="center"/>
    </xf>
    <xf numFmtId="0" fontId="14" fillId="0" borderId="140" xfId="0" applyFont="1" applyFill="1" applyBorder="1" applyAlignment="1">
      <alignment horizontal="center"/>
    </xf>
    <xf numFmtId="0" fontId="12" fillId="3" borderId="210" xfId="0" applyFont="1" applyFill="1" applyBorder="1" applyAlignment="1">
      <alignment horizontal="center"/>
    </xf>
    <xf numFmtId="2" fontId="33" fillId="28" borderId="210" xfId="0" applyNumberFormat="1" applyFont="1" applyFill="1" applyBorder="1" applyAlignment="1">
      <alignment horizontal="center" vertical="center"/>
    </xf>
    <xf numFmtId="2" fontId="33" fillId="29" borderId="210" xfId="6" applyNumberFormat="1" applyFont="1" applyFill="1" applyBorder="1" applyAlignment="1">
      <alignment horizontal="center"/>
    </xf>
    <xf numFmtId="2" fontId="33" fillId="30" borderId="210" xfId="0" applyNumberFormat="1" applyFont="1" applyFill="1" applyBorder="1" applyAlignment="1">
      <alignment horizontal="center" vertical="center"/>
    </xf>
    <xf numFmtId="2" fontId="33" fillId="37" borderId="210" xfId="0" applyNumberFormat="1" applyFont="1" applyFill="1" applyBorder="1" applyAlignment="1">
      <alignment horizontal="center" vertical="center"/>
    </xf>
    <xf numFmtId="2" fontId="33" fillId="32" borderId="210" xfId="0" applyNumberFormat="1" applyFont="1" applyFill="1" applyBorder="1" applyAlignment="1">
      <alignment horizontal="center" vertical="center"/>
    </xf>
    <xf numFmtId="2" fontId="33" fillId="33" borderId="210" xfId="0" applyNumberFormat="1" applyFont="1" applyFill="1" applyBorder="1" applyAlignment="1">
      <alignment horizontal="center" vertical="center"/>
    </xf>
    <xf numFmtId="2" fontId="33" fillId="34" borderId="210" xfId="0" applyNumberFormat="1" applyFont="1" applyFill="1" applyBorder="1" applyAlignment="1">
      <alignment horizontal="center" vertical="center"/>
    </xf>
    <xf numFmtId="165" fontId="33" fillId="35" borderId="210" xfId="0" applyNumberFormat="1" applyFont="1" applyFill="1" applyBorder="1" applyAlignment="1">
      <alignment horizontal="center" vertical="center"/>
    </xf>
    <xf numFmtId="165" fontId="33" fillId="36" borderId="210" xfId="0" applyNumberFormat="1" applyFont="1" applyFill="1" applyBorder="1" applyAlignment="1">
      <alignment horizontal="center" vertical="center"/>
    </xf>
    <xf numFmtId="0" fontId="12" fillId="3" borderId="54" xfId="0" applyFont="1" applyFill="1" applyBorder="1" applyAlignment="1">
      <alignment horizontal="center"/>
    </xf>
    <xf numFmtId="165" fontId="16" fillId="36" borderId="210" xfId="0" applyNumberFormat="1" applyFont="1" applyFill="1" applyBorder="1" applyAlignment="1">
      <alignment horizontal="center"/>
    </xf>
    <xf numFmtId="0" fontId="12" fillId="0" borderId="195" xfId="0" applyFont="1" applyFill="1" applyBorder="1" applyAlignment="1">
      <alignment horizontal="center"/>
    </xf>
    <xf numFmtId="0" fontId="12" fillId="0" borderId="118" xfId="0" applyFont="1" applyFill="1" applyBorder="1" applyAlignment="1">
      <alignment horizontal="center"/>
    </xf>
    <xf numFmtId="2" fontId="33" fillId="29" borderId="210" xfId="0" applyNumberFormat="1" applyFont="1" applyFill="1" applyBorder="1" applyAlignment="1">
      <alignment horizontal="center" vertical="center"/>
    </xf>
    <xf numFmtId="2" fontId="33" fillId="30" borderId="210" xfId="6" applyNumberFormat="1" applyFont="1" applyFill="1" applyBorder="1" applyAlignment="1">
      <alignment horizontal="center" vertical="center"/>
    </xf>
    <xf numFmtId="0" fontId="33" fillId="33" borderId="210" xfId="0" applyFont="1" applyFill="1" applyBorder="1" applyAlignment="1">
      <alignment horizontal="center" vertical="center"/>
    </xf>
    <xf numFmtId="2" fontId="33" fillId="35" borderId="210" xfId="0" applyNumberFormat="1" applyFont="1" applyFill="1" applyBorder="1" applyAlignment="1">
      <alignment horizontal="center" vertical="center"/>
    </xf>
    <xf numFmtId="0" fontId="33" fillId="36" borderId="210" xfId="0" applyFont="1" applyFill="1" applyBorder="1" applyAlignment="1">
      <alignment horizontal="center" vertical="center"/>
    </xf>
    <xf numFmtId="165" fontId="33" fillId="36" borderId="210" xfId="0" applyNumberFormat="1" applyFont="1" applyFill="1" applyBorder="1" applyAlignment="1">
      <alignment horizontal="right" vertical="center"/>
    </xf>
    <xf numFmtId="0" fontId="34" fillId="26" borderId="210" xfId="0" applyFont="1" applyFill="1" applyBorder="1" applyAlignment="1">
      <alignment horizontal="center"/>
    </xf>
    <xf numFmtId="165" fontId="4" fillId="21" borderId="107" xfId="6" applyFont="1" applyFill="1" applyBorder="1" applyAlignment="1">
      <alignment horizontal="center"/>
    </xf>
    <xf numFmtId="2" fontId="4" fillId="10" borderId="107" xfId="6" applyNumberFormat="1" applyFont="1" applyFill="1" applyBorder="1" applyAlignment="1">
      <alignment horizontal="center"/>
    </xf>
    <xf numFmtId="2" fontId="4" fillId="24" borderId="107" xfId="6" applyNumberFormat="1" applyFont="1" applyFill="1" applyBorder="1" applyAlignment="1">
      <alignment horizontal="center"/>
    </xf>
    <xf numFmtId="2" fontId="4" fillId="20" borderId="107" xfId="6" applyNumberFormat="1" applyFont="1" applyFill="1" applyBorder="1" applyAlignment="1">
      <alignment horizontal="center"/>
    </xf>
    <xf numFmtId="165" fontId="4" fillId="23" borderId="237" xfId="6" applyFont="1" applyFill="1" applyBorder="1" applyAlignment="1">
      <alignment horizontal="center"/>
    </xf>
    <xf numFmtId="0" fontId="1" fillId="27" borderId="178" xfId="0" applyFont="1" applyFill="1" applyBorder="1" applyAlignment="1">
      <alignment horizontal="center"/>
    </xf>
    <xf numFmtId="2" fontId="4" fillId="5" borderId="182" xfId="6" applyNumberFormat="1" applyFont="1" applyFill="1" applyBorder="1" applyAlignment="1">
      <alignment horizontal="center"/>
    </xf>
    <xf numFmtId="2" fontId="4" fillId="2" borderId="38" xfId="6" applyNumberFormat="1" applyFont="1" applyFill="1" applyBorder="1" applyAlignment="1">
      <alignment horizontal="center"/>
    </xf>
    <xf numFmtId="2" fontId="4" fillId="3" borderId="38" xfId="6" applyNumberFormat="1" applyFont="1" applyFill="1" applyBorder="1" applyAlignment="1">
      <alignment horizontal="center"/>
    </xf>
    <xf numFmtId="165" fontId="4" fillId="21" borderId="38" xfId="6" applyFont="1" applyFill="1" applyBorder="1" applyAlignment="1">
      <alignment horizontal="center"/>
    </xf>
    <xf numFmtId="2" fontId="4" fillId="10" borderId="38" xfId="6" applyNumberFormat="1" applyFont="1" applyFill="1" applyBorder="1" applyAlignment="1">
      <alignment horizontal="center"/>
    </xf>
    <xf numFmtId="2" fontId="4" fillId="22" borderId="38" xfId="6" applyNumberFormat="1" applyFont="1" applyFill="1" applyBorder="1" applyAlignment="1">
      <alignment horizontal="center"/>
    </xf>
    <xf numFmtId="2" fontId="4" fillId="19" borderId="38" xfId="6" applyNumberFormat="1" applyFont="1" applyFill="1" applyBorder="1" applyAlignment="1">
      <alignment horizontal="center"/>
    </xf>
    <xf numFmtId="2" fontId="4" fillId="20" borderId="38" xfId="6" applyNumberFormat="1" applyFont="1" applyFill="1" applyBorder="1" applyAlignment="1">
      <alignment horizontal="center"/>
    </xf>
    <xf numFmtId="165" fontId="4" fillId="23" borderId="238" xfId="6" applyFont="1" applyFill="1" applyBorder="1" applyAlignment="1">
      <alignment horizontal="center"/>
    </xf>
    <xf numFmtId="0" fontId="1" fillId="27" borderId="179" xfId="0" applyFont="1" applyFill="1" applyBorder="1" applyAlignment="1">
      <alignment horizontal="center"/>
    </xf>
    <xf numFmtId="0" fontId="1" fillId="27" borderId="180" xfId="0" applyFont="1" applyFill="1" applyBorder="1" applyAlignment="1">
      <alignment horizontal="center"/>
    </xf>
    <xf numFmtId="2" fontId="4" fillId="5" borderId="183" xfId="6" applyNumberFormat="1" applyFont="1" applyFill="1" applyBorder="1" applyAlignment="1">
      <alignment horizontal="center"/>
    </xf>
    <xf numFmtId="2" fontId="4" fillId="2" borderId="106" xfId="6" applyNumberFormat="1" applyFont="1" applyFill="1" applyBorder="1" applyAlignment="1">
      <alignment horizontal="center"/>
    </xf>
    <xf numFmtId="2" fontId="4" fillId="3" borderId="106" xfId="6" applyNumberFormat="1" applyFont="1" applyFill="1" applyBorder="1" applyAlignment="1">
      <alignment horizontal="center"/>
    </xf>
    <xf numFmtId="2" fontId="4" fillId="10" borderId="106" xfId="6" applyNumberFormat="1" applyFont="1" applyFill="1" applyBorder="1" applyAlignment="1">
      <alignment horizontal="center"/>
    </xf>
    <xf numFmtId="2" fontId="4" fillId="20" borderId="106" xfId="6" applyNumberFormat="1" applyFont="1" applyFill="1" applyBorder="1" applyAlignment="1">
      <alignment horizontal="center"/>
    </xf>
    <xf numFmtId="0" fontId="4" fillId="0" borderId="9" xfId="0" applyFont="1" applyFill="1" applyBorder="1" applyAlignment="1">
      <alignment horizontal="center" vertical="center"/>
    </xf>
    <xf numFmtId="0" fontId="4" fillId="0" borderId="16" xfId="0" applyFont="1" applyFill="1" applyBorder="1" applyAlignment="1">
      <alignment horizontal="center" vertical="center"/>
    </xf>
    <xf numFmtId="0" fontId="4" fillId="0" borderId="226" xfId="0" applyFont="1" applyFill="1" applyBorder="1" applyAlignment="1">
      <alignment horizontal="center" vertical="center" wrapText="1"/>
    </xf>
    <xf numFmtId="0" fontId="4" fillId="0" borderId="239" xfId="0" applyFont="1" applyFill="1" applyBorder="1" applyAlignment="1">
      <alignment horizontal="center" vertical="center" wrapText="1"/>
    </xf>
    <xf numFmtId="0" fontId="48" fillId="0" borderId="0" xfId="0" applyFont="1" applyFill="1" applyBorder="1" applyAlignment="1">
      <alignment horizontal="center" vertical="center" wrapText="1"/>
    </xf>
    <xf numFmtId="0" fontId="9" fillId="38" borderId="59" xfId="0" applyFont="1" applyFill="1" applyBorder="1" applyAlignment="1">
      <alignment horizontal="center" vertical="center"/>
    </xf>
    <xf numFmtId="0" fontId="3" fillId="0" borderId="149" xfId="0" applyFont="1" applyFill="1" applyBorder="1" applyAlignment="1">
      <alignment horizontal="right" vertical="center"/>
    </xf>
    <xf numFmtId="0" fontId="14" fillId="0" borderId="195" xfId="0" applyFont="1" applyFill="1" applyBorder="1" applyAlignment="1">
      <alignment horizontal="right"/>
    </xf>
    <xf numFmtId="166" fontId="14" fillId="0" borderId="240" xfId="6" applyNumberFormat="1" applyFont="1" applyFill="1" applyBorder="1" applyAlignment="1">
      <alignment vertical="center"/>
    </xf>
    <xf numFmtId="2" fontId="4" fillId="0" borderId="158" xfId="6" applyNumberFormat="1" applyFont="1" applyFill="1" applyBorder="1" applyAlignment="1">
      <alignment horizontal="right"/>
    </xf>
    <xf numFmtId="165" fontId="4" fillId="0" borderId="158" xfId="6" applyFont="1" applyFill="1" applyBorder="1" applyAlignment="1">
      <alignment horizontal="right"/>
    </xf>
    <xf numFmtId="165" fontId="48" fillId="0" borderId="0" xfId="6" applyFont="1" applyFill="1" applyBorder="1" applyAlignment="1">
      <alignment horizontal="right"/>
    </xf>
    <xf numFmtId="0" fontId="34" fillId="38" borderId="146" xfId="0" applyFont="1" applyFill="1" applyBorder="1"/>
    <xf numFmtId="0" fontId="3" fillId="0" borderId="241" xfId="0" applyFont="1" applyFill="1" applyBorder="1" applyAlignment="1">
      <alignment horizontal="right" vertical="center"/>
    </xf>
    <xf numFmtId="0" fontId="14" fillId="0" borderId="118" xfId="0" applyFont="1" applyFill="1" applyBorder="1" applyAlignment="1">
      <alignment horizontal="right"/>
    </xf>
    <xf numFmtId="166" fontId="14" fillId="0" borderId="142" xfId="6" applyNumberFormat="1" applyFont="1" applyFill="1" applyBorder="1" applyAlignment="1">
      <alignment vertical="center"/>
    </xf>
    <xf numFmtId="0" fontId="34" fillId="38" borderId="146" xfId="0" applyFont="1" applyFill="1" applyBorder="1" applyAlignment="1">
      <alignment horizontal="center"/>
    </xf>
    <xf numFmtId="0" fontId="14" fillId="0" borderId="167" xfId="0" applyFont="1" applyFill="1" applyBorder="1" applyAlignment="1">
      <alignment horizontal="right"/>
    </xf>
    <xf numFmtId="166" fontId="14" fillId="0" borderId="191" xfId="6" applyNumberFormat="1" applyFont="1" applyFill="1" applyBorder="1" applyAlignment="1">
      <alignment vertical="center"/>
    </xf>
    <xf numFmtId="0" fontId="3" fillId="0" borderId="11" xfId="0" applyFont="1" applyFill="1" applyBorder="1" applyAlignment="1">
      <alignment horizontal="right" vertical="center"/>
    </xf>
    <xf numFmtId="0" fontId="13" fillId="0" borderId="141" xfId="0" applyFont="1" applyFill="1" applyBorder="1" applyAlignment="1">
      <alignment horizontal="right"/>
    </xf>
    <xf numFmtId="166" fontId="14" fillId="0" borderId="151" xfId="6" applyNumberFormat="1" applyFont="1" applyFill="1" applyBorder="1" applyAlignment="1">
      <alignment vertical="center" wrapText="1"/>
    </xf>
    <xf numFmtId="0" fontId="3" fillId="0" borderId="12" xfId="0" applyFont="1" applyFill="1" applyBorder="1" applyAlignment="1">
      <alignment horizontal="right" vertical="center"/>
    </xf>
    <xf numFmtId="166" fontId="14" fillId="0" borderId="114" xfId="6" applyNumberFormat="1" applyFont="1" applyFill="1" applyBorder="1" applyAlignment="1">
      <alignment vertical="center" wrapText="1"/>
    </xf>
    <xf numFmtId="0" fontId="3" fillId="0" borderId="13" xfId="0" applyFont="1" applyFill="1" applyBorder="1" applyAlignment="1">
      <alignment horizontal="right" vertical="center"/>
    </xf>
    <xf numFmtId="0" fontId="13" fillId="0" borderId="140" xfId="0" applyFont="1" applyFill="1" applyBorder="1" applyAlignment="1">
      <alignment horizontal="right"/>
    </xf>
    <xf numFmtId="166" fontId="14" fillId="0" borderId="191" xfId="6" applyNumberFormat="1" applyFont="1" applyFill="1" applyBorder="1" applyAlignment="1">
      <alignment vertical="center" wrapText="1"/>
    </xf>
    <xf numFmtId="0" fontId="14" fillId="0" borderId="137" xfId="0" applyFont="1" applyFill="1" applyBorder="1" applyAlignment="1">
      <alignment horizontal="right"/>
    </xf>
    <xf numFmtId="166" fontId="14" fillId="0" borderId="151" xfId="6" applyNumberFormat="1" applyFont="1" applyFill="1" applyBorder="1" applyAlignment="1">
      <alignment vertical="center"/>
    </xf>
    <xf numFmtId="0" fontId="14" fillId="38" borderId="146" xfId="0" applyFont="1" applyFill="1" applyBorder="1" applyAlignment="1">
      <alignment horizontal="center"/>
    </xf>
    <xf numFmtId="0" fontId="14" fillId="0" borderId="141" xfId="0" applyFont="1" applyFill="1" applyBorder="1" applyAlignment="1">
      <alignment horizontal="right"/>
    </xf>
    <xf numFmtId="166" fontId="14" fillId="0" borderId="114" xfId="6" applyNumberFormat="1" applyFont="1" applyFill="1" applyBorder="1" applyAlignment="1">
      <alignment vertical="center"/>
    </xf>
    <xf numFmtId="0" fontId="14" fillId="0" borderId="140" xfId="0" applyFont="1" applyFill="1" applyBorder="1" applyAlignment="1">
      <alignment horizontal="right"/>
    </xf>
    <xf numFmtId="0" fontId="3" fillId="0" borderId="242" xfId="0" applyFont="1" applyFill="1" applyBorder="1" applyAlignment="1">
      <alignment horizontal="right" vertical="center"/>
    </xf>
    <xf numFmtId="0" fontId="13" fillId="0" borderId="195" xfId="0" applyFont="1" applyFill="1" applyBorder="1" applyAlignment="1">
      <alignment horizontal="right"/>
    </xf>
    <xf numFmtId="0" fontId="13" fillId="0" borderId="45" xfId="0" applyFont="1" applyFill="1" applyBorder="1" applyAlignment="1">
      <alignment horizontal="right"/>
    </xf>
    <xf numFmtId="0" fontId="3" fillId="0" borderId="243" xfId="0" applyFont="1" applyFill="1" applyBorder="1" applyAlignment="1">
      <alignment horizontal="right" vertical="center"/>
    </xf>
    <xf numFmtId="0" fontId="13" fillId="0" borderId="167" xfId="0" applyFont="1" applyFill="1" applyBorder="1" applyAlignment="1">
      <alignment horizontal="right"/>
    </xf>
    <xf numFmtId="0" fontId="4" fillId="0" borderId="169" xfId="1" applyNumberFormat="1" applyFont="1" applyFill="1" applyBorder="1" applyAlignment="1">
      <alignment horizontal="right"/>
    </xf>
    <xf numFmtId="0" fontId="13" fillId="0" borderId="210" xfId="0" applyFont="1" applyFill="1" applyBorder="1" applyAlignment="1">
      <alignment horizontal="right"/>
    </xf>
    <xf numFmtId="166" fontId="14" fillId="0" borderId="244" xfId="6" applyNumberFormat="1" applyFont="1" applyFill="1" applyBorder="1" applyAlignment="1">
      <alignment horizontal="center"/>
    </xf>
    <xf numFmtId="0" fontId="12" fillId="0" borderId="195" xfId="0" applyFont="1" applyFill="1" applyBorder="1" applyAlignment="1">
      <alignment horizontal="right"/>
    </xf>
    <xf numFmtId="0" fontId="12" fillId="0" borderId="45" xfId="0" applyFont="1" applyFill="1" applyBorder="1" applyAlignment="1">
      <alignment horizontal="right"/>
    </xf>
    <xf numFmtId="0" fontId="12" fillId="0" borderId="167" xfId="0" applyFont="1" applyFill="1" applyBorder="1" applyAlignment="1">
      <alignment horizontal="right"/>
    </xf>
    <xf numFmtId="0" fontId="12" fillId="0" borderId="141" xfId="0" applyFont="1" applyFill="1" applyBorder="1" applyAlignment="1">
      <alignment horizontal="right"/>
    </xf>
    <xf numFmtId="0" fontId="12" fillId="0" borderId="140" xfId="0" applyFont="1" applyFill="1" applyBorder="1" applyAlignment="1">
      <alignment horizontal="right"/>
    </xf>
    <xf numFmtId="0" fontId="12" fillId="0" borderId="137" xfId="0" applyFont="1" applyFill="1" applyBorder="1" applyAlignment="1">
      <alignment horizontal="right"/>
    </xf>
    <xf numFmtId="0" fontId="34" fillId="38" borderId="146" xfId="0" applyFont="1" applyFill="1" applyBorder="1" applyAlignment="1">
      <alignment horizontal="center" vertical="center"/>
    </xf>
    <xf numFmtId="0" fontId="14" fillId="0" borderId="28" xfId="0" applyFont="1" applyFill="1" applyBorder="1" applyAlignment="1">
      <alignment horizontal="right"/>
    </xf>
    <xf numFmtId="0" fontId="14" fillId="0" borderId="114" xfId="0" applyFont="1" applyFill="1" applyBorder="1" applyAlignment="1">
      <alignment horizontal="right"/>
    </xf>
    <xf numFmtId="0" fontId="14" fillId="0" borderId="23" xfId="0" applyFont="1" applyFill="1" applyBorder="1" applyAlignment="1">
      <alignment horizontal="right"/>
    </xf>
    <xf numFmtId="0" fontId="3" fillId="0" borderId="245" xfId="0" applyFont="1" applyFill="1" applyBorder="1" applyAlignment="1">
      <alignment horizontal="right" vertical="center"/>
    </xf>
    <xf numFmtId="0" fontId="0" fillId="0" borderId="210" xfId="0" applyFill="1" applyBorder="1" applyAlignment="1">
      <alignment horizontal="right"/>
    </xf>
    <xf numFmtId="166" fontId="14" fillId="0" borderId="114" xfId="6" applyNumberFormat="1" applyFont="1" applyFill="1" applyBorder="1" applyAlignment="1">
      <alignment horizontal="center" vertical="center"/>
    </xf>
    <xf numFmtId="0" fontId="3" fillId="0" borderId="246" xfId="0" applyFont="1" applyFill="1" applyBorder="1" applyAlignment="1">
      <alignment horizontal="right"/>
    </xf>
    <xf numFmtId="0" fontId="12" fillId="0" borderId="247" xfId="0" applyFont="1" applyFill="1" applyBorder="1" applyAlignment="1">
      <alignment horizontal="right"/>
    </xf>
    <xf numFmtId="166" fontId="14" fillId="0" borderId="248" xfId="6" applyNumberFormat="1" applyFont="1" applyFill="1" applyBorder="1"/>
    <xf numFmtId="0" fontId="3" fillId="0" borderId="10" xfId="0" applyFont="1" applyFill="1" applyBorder="1" applyAlignment="1">
      <alignment horizontal="right"/>
    </xf>
    <xf numFmtId="0" fontId="0" fillId="0" borderId="58" xfId="0" applyFill="1" applyBorder="1" applyAlignment="1">
      <alignment horizontal="right"/>
    </xf>
    <xf numFmtId="166" fontId="14" fillId="0" borderId="248" xfId="6" applyNumberFormat="1" applyFont="1" applyFill="1" applyBorder="1" applyAlignment="1">
      <alignment horizontal="right"/>
    </xf>
    <xf numFmtId="0" fontId="34" fillId="38" borderId="146" xfId="0" applyFont="1" applyFill="1" applyBorder="1" applyAlignment="1">
      <alignment horizontal="right"/>
    </xf>
    <xf numFmtId="0" fontId="34" fillId="38" borderId="59" xfId="0" applyFont="1" applyFill="1" applyBorder="1" applyAlignment="1">
      <alignment horizontal="right"/>
    </xf>
    <xf numFmtId="0" fontId="14" fillId="38" borderId="59" xfId="0" applyFont="1" applyFill="1" applyBorder="1" applyAlignment="1">
      <alignment horizontal="right"/>
    </xf>
    <xf numFmtId="0" fontId="34" fillId="0" borderId="0" xfId="0" applyFont="1" applyAlignment="1">
      <alignment horizontal="right"/>
    </xf>
    <xf numFmtId="0" fontId="0" fillId="0" borderId="0" xfId="0" applyAlignment="1">
      <alignment horizontal="right"/>
    </xf>
    <xf numFmtId="0" fontId="14" fillId="0" borderId="58" xfId="0" applyFont="1" applyFill="1" applyBorder="1" applyAlignment="1">
      <alignment horizontal="right"/>
    </xf>
    <xf numFmtId="166" fontId="14" fillId="0" borderId="248" xfId="6" applyNumberFormat="1" applyFont="1" applyFill="1" applyBorder="1" applyAlignment="1">
      <alignment horizontal="center"/>
    </xf>
    <xf numFmtId="0" fontId="0" fillId="0" borderId="249" xfId="0" applyFill="1" applyBorder="1" applyAlignment="1">
      <alignment horizontal="right"/>
    </xf>
    <xf numFmtId="166" fontId="14" fillId="0" borderId="250" xfId="6" applyNumberFormat="1" applyFont="1" applyFill="1" applyBorder="1" applyAlignment="1">
      <alignment vertical="center"/>
    </xf>
    <xf numFmtId="0" fontId="3" fillId="0" borderId="132" xfId="0" applyFont="1" applyFill="1" applyBorder="1" applyAlignment="1">
      <alignment horizontal="right" vertical="center"/>
    </xf>
    <xf numFmtId="0" fontId="0" fillId="0" borderId="45" xfId="0" applyFill="1" applyBorder="1" applyAlignment="1">
      <alignment horizontal="right"/>
    </xf>
    <xf numFmtId="0" fontId="3" fillId="0" borderId="133" xfId="0" applyFont="1" applyFill="1" applyBorder="1" applyAlignment="1">
      <alignment horizontal="right" vertical="center"/>
    </xf>
    <xf numFmtId="0" fontId="14" fillId="0" borderId="249" xfId="0" applyFont="1" applyFill="1" applyBorder="1" applyAlignment="1">
      <alignment horizontal="right"/>
    </xf>
    <xf numFmtId="0" fontId="14" fillId="0" borderId="45" xfId="0" applyFont="1" applyFill="1" applyBorder="1" applyAlignment="1">
      <alignment horizontal="right"/>
    </xf>
    <xf numFmtId="0" fontId="14" fillId="38" borderId="146" xfId="0" applyFont="1" applyFill="1" applyBorder="1"/>
    <xf numFmtId="0" fontId="12" fillId="0" borderId="251" xfId="0" applyFont="1" applyFill="1" applyBorder="1" applyAlignment="1">
      <alignment horizontal="right"/>
    </xf>
    <xf numFmtId="0" fontId="12" fillId="0" borderId="249" xfId="0" applyFont="1" applyFill="1" applyBorder="1" applyAlignment="1">
      <alignment horizontal="right"/>
    </xf>
    <xf numFmtId="0" fontId="3" fillId="0" borderId="16" xfId="0" applyFont="1" applyFill="1" applyBorder="1" applyAlignment="1">
      <alignment horizontal="right" vertical="center"/>
    </xf>
    <xf numFmtId="0" fontId="3" fillId="0" borderId="15" xfId="0" applyFont="1" applyFill="1" applyBorder="1" applyAlignment="1">
      <alignment horizontal="right" vertical="center"/>
    </xf>
    <xf numFmtId="0" fontId="3" fillId="0" borderId="202" xfId="0" applyFont="1" applyFill="1" applyBorder="1" applyAlignment="1">
      <alignment horizontal="right" vertical="center"/>
    </xf>
    <xf numFmtId="0" fontId="12" fillId="0" borderId="58" xfId="0" applyFont="1" applyFill="1" applyBorder="1" applyAlignment="1">
      <alignment horizontal="right"/>
    </xf>
    <xf numFmtId="166" fontId="14" fillId="0" borderId="248" xfId="6" applyNumberFormat="1" applyFont="1" applyFill="1" applyBorder="1" applyAlignment="1">
      <alignment horizontal="center" vertical="center"/>
    </xf>
    <xf numFmtId="0" fontId="3" fillId="0" borderId="17" xfId="0" applyFont="1" applyFill="1" applyBorder="1" applyAlignment="1">
      <alignment horizontal="right" vertical="center"/>
    </xf>
    <xf numFmtId="166" fontId="14" fillId="0" borderId="191" xfId="6" applyNumberFormat="1" applyFont="1" applyFill="1" applyBorder="1" applyAlignment="1">
      <alignment horizontal="center" vertical="center"/>
    </xf>
    <xf numFmtId="0" fontId="3" fillId="0" borderId="131" xfId="0" applyFont="1" applyFill="1" applyBorder="1" applyAlignment="1">
      <alignment horizontal="right" vertical="center"/>
    </xf>
    <xf numFmtId="0" fontId="3" fillId="0" borderId="252" xfId="0" applyFont="1" applyFill="1" applyBorder="1" applyAlignment="1">
      <alignment horizontal="right" vertical="center"/>
    </xf>
    <xf numFmtId="0" fontId="3" fillId="0" borderId="143" xfId="0" applyFont="1" applyFill="1" applyBorder="1" applyAlignment="1">
      <alignment horizontal="right" vertical="center"/>
    </xf>
    <xf numFmtId="0" fontId="3" fillId="0" borderId="253" xfId="0" applyFont="1" applyFill="1" applyBorder="1" applyAlignment="1">
      <alignment horizontal="right" vertical="center"/>
    </xf>
    <xf numFmtId="0" fontId="15" fillId="0" borderId="167" xfId="0" applyFont="1" applyFill="1" applyBorder="1" applyAlignment="1">
      <alignment horizontal="right"/>
    </xf>
    <xf numFmtId="0" fontId="48" fillId="0" borderId="254" xfId="0" applyFont="1" applyFill="1" applyBorder="1" applyAlignment="1">
      <alignment horizontal="center" vertical="center" wrapText="1"/>
    </xf>
    <xf numFmtId="0" fontId="0" fillId="0" borderId="167" xfId="0" applyFill="1" applyBorder="1" applyAlignment="1">
      <alignment horizontal="right"/>
    </xf>
    <xf numFmtId="0" fontId="0" fillId="0" borderId="141" xfId="0" applyFill="1" applyBorder="1" applyAlignment="1">
      <alignment horizontal="right"/>
    </xf>
    <xf numFmtId="0" fontId="14" fillId="0" borderId="210" xfId="0" applyFont="1" applyFill="1" applyBorder="1" applyAlignment="1">
      <alignment horizontal="right"/>
    </xf>
    <xf numFmtId="0" fontId="12" fillId="0" borderId="210" xfId="0" applyFont="1" applyFill="1" applyBorder="1" applyAlignment="1">
      <alignment horizontal="right"/>
    </xf>
    <xf numFmtId="0" fontId="2" fillId="0" borderId="250" xfId="0" applyFont="1" applyBorder="1" applyAlignment="1"/>
    <xf numFmtId="0" fontId="14" fillId="3" borderId="251" xfId="0" applyFont="1" applyFill="1" applyBorder="1" applyAlignment="1">
      <alignment horizontal="center"/>
    </xf>
    <xf numFmtId="0" fontId="13" fillId="0" borderId="251" xfId="0" applyFont="1" applyFill="1" applyBorder="1" applyAlignment="1">
      <alignment horizontal="center"/>
    </xf>
    <xf numFmtId="0" fontId="13" fillId="3" borderId="251" xfId="0" applyFont="1" applyFill="1" applyBorder="1" applyAlignment="1">
      <alignment horizontal="center"/>
    </xf>
    <xf numFmtId="166" fontId="14" fillId="26" borderId="58" xfId="6" applyNumberFormat="1" applyFont="1" applyFill="1" applyBorder="1" applyAlignment="1">
      <alignment horizontal="center"/>
    </xf>
    <xf numFmtId="2" fontId="33" fillId="28" borderId="58" xfId="6" applyNumberFormat="1" applyFont="1" applyFill="1" applyBorder="1" applyAlignment="1">
      <alignment horizontal="center" vertical="center"/>
    </xf>
    <xf numFmtId="2" fontId="33" fillId="29" borderId="58" xfId="6" applyNumberFormat="1" applyFont="1" applyFill="1" applyBorder="1" applyAlignment="1">
      <alignment horizontal="center" vertical="center"/>
    </xf>
    <xf numFmtId="2" fontId="33" fillId="30" borderId="58" xfId="6" applyNumberFormat="1" applyFont="1" applyFill="1" applyBorder="1" applyAlignment="1">
      <alignment horizontal="center" vertical="center"/>
    </xf>
    <xf numFmtId="2" fontId="33" fillId="37" borderId="58" xfId="6" applyNumberFormat="1" applyFont="1" applyFill="1" applyBorder="1" applyAlignment="1">
      <alignment horizontal="center" vertical="center"/>
    </xf>
    <xf numFmtId="2" fontId="33" fillId="32" borderId="58" xfId="6" applyNumberFormat="1" applyFont="1" applyFill="1" applyBorder="1" applyAlignment="1">
      <alignment horizontal="center" vertical="center"/>
    </xf>
    <xf numFmtId="2" fontId="33" fillId="33" borderId="58" xfId="6" applyNumberFormat="1" applyFont="1" applyFill="1" applyBorder="1" applyAlignment="1">
      <alignment horizontal="center" vertical="center"/>
    </xf>
    <xf numFmtId="2" fontId="33" fillId="34" borderId="58" xfId="6" applyNumberFormat="1" applyFont="1" applyFill="1" applyBorder="1" applyAlignment="1">
      <alignment horizontal="center" vertical="center"/>
    </xf>
    <xf numFmtId="2" fontId="33" fillId="35" borderId="58" xfId="6" applyNumberFormat="1" applyFont="1" applyFill="1" applyBorder="1" applyAlignment="1">
      <alignment horizontal="center" vertical="center"/>
    </xf>
    <xf numFmtId="165" fontId="33" fillId="36" borderId="58" xfId="6" applyFont="1" applyFill="1" applyBorder="1" applyAlignment="1">
      <alignment horizontal="center" vertical="center"/>
    </xf>
    <xf numFmtId="0" fontId="12" fillId="3" borderId="251" xfId="0" applyFont="1" applyFill="1" applyBorder="1" applyAlignment="1">
      <alignment horizontal="center"/>
    </xf>
    <xf numFmtId="0" fontId="3" fillId="3" borderId="255" xfId="0" applyFont="1" applyFill="1" applyBorder="1" applyAlignment="1">
      <alignment horizontal="center" vertical="center"/>
    </xf>
    <xf numFmtId="0" fontId="12" fillId="0" borderId="251" xfId="0" applyFont="1" applyFill="1" applyBorder="1" applyAlignment="1">
      <alignment horizontal="center"/>
    </xf>
    <xf numFmtId="0" fontId="12" fillId="3" borderId="258" xfId="0" applyFont="1" applyFill="1" applyBorder="1" applyAlignment="1">
      <alignment horizontal="center"/>
    </xf>
    <xf numFmtId="0" fontId="48" fillId="0" borderId="239" xfId="0" applyFont="1" applyFill="1" applyBorder="1" applyAlignment="1">
      <alignment horizontal="center" vertical="center" wrapText="1"/>
    </xf>
    <xf numFmtId="0" fontId="0" fillId="0" borderId="195" xfId="0" applyFill="1" applyBorder="1" applyAlignment="1">
      <alignment horizontal="right"/>
    </xf>
    <xf numFmtId="165" fontId="48" fillId="0" borderId="158" xfId="6" applyFont="1" applyFill="1" applyBorder="1" applyAlignment="1">
      <alignment horizontal="right"/>
    </xf>
    <xf numFmtId="0" fontId="0" fillId="0" borderId="118" xfId="0" applyFill="1" applyBorder="1" applyAlignment="1">
      <alignment horizontal="right"/>
    </xf>
    <xf numFmtId="0" fontId="33" fillId="0" borderId="250" xfId="0" applyFont="1" applyBorder="1" applyAlignment="1"/>
    <xf numFmtId="166" fontId="14" fillId="0" borderId="261" xfId="6" applyNumberFormat="1" applyFont="1" applyFill="1" applyBorder="1" applyAlignment="1">
      <alignment vertical="center" wrapText="1"/>
    </xf>
    <xf numFmtId="0" fontId="3" fillId="0" borderId="255" xfId="0" applyFont="1" applyFill="1" applyBorder="1" applyAlignment="1">
      <alignment horizontal="right" vertical="center"/>
    </xf>
    <xf numFmtId="0" fontId="3" fillId="0" borderId="256" xfId="0" applyFont="1" applyFill="1" applyBorder="1" applyAlignment="1">
      <alignment horizontal="right" vertical="center"/>
    </xf>
    <xf numFmtId="0" fontId="14" fillId="0" borderId="262" xfId="0" applyFont="1" applyFill="1" applyBorder="1" applyAlignment="1">
      <alignment horizontal="right"/>
    </xf>
    <xf numFmtId="166" fontId="14" fillId="0" borderId="261" xfId="6" applyNumberFormat="1" applyFont="1" applyFill="1" applyBorder="1" applyAlignment="1">
      <alignment vertical="center"/>
    </xf>
    <xf numFmtId="0" fontId="13" fillId="0" borderId="257" xfId="0" applyFont="1" applyFill="1" applyBorder="1" applyAlignment="1">
      <alignment horizontal="right"/>
    </xf>
    <xf numFmtId="166" fontId="14" fillId="0" borderId="263" xfId="6" applyNumberFormat="1" applyFont="1" applyFill="1" applyBorder="1" applyAlignment="1">
      <alignment horizontal="center"/>
    </xf>
    <xf numFmtId="0" fontId="12" fillId="0" borderId="262" xfId="0" applyFont="1" applyFill="1" applyBorder="1" applyAlignment="1">
      <alignment horizontal="right"/>
    </xf>
    <xf numFmtId="0" fontId="12" fillId="0" borderId="264" xfId="0" applyFont="1" applyFill="1" applyBorder="1" applyAlignment="1">
      <alignment horizontal="right"/>
    </xf>
    <xf numFmtId="166" fontId="14" fillId="0" borderId="265" xfId="6" applyNumberFormat="1" applyFont="1" applyFill="1" applyBorder="1"/>
    <xf numFmtId="166" fontId="14" fillId="0" borderId="265" xfId="6" applyNumberFormat="1" applyFont="1" applyFill="1" applyBorder="1" applyAlignment="1">
      <alignment horizontal="right"/>
    </xf>
    <xf numFmtId="166" fontId="14" fillId="0" borderId="265" xfId="6" applyNumberFormat="1" applyFont="1" applyFill="1" applyBorder="1" applyAlignment="1">
      <alignment horizontal="center"/>
    </xf>
    <xf numFmtId="0" fontId="0" fillId="0" borderId="266" xfId="0" applyFill="1" applyBorder="1" applyAlignment="1">
      <alignment horizontal="right"/>
    </xf>
    <xf numFmtId="166" fontId="14" fillId="0" borderId="267" xfId="6" applyNumberFormat="1" applyFont="1" applyFill="1" applyBorder="1" applyAlignment="1">
      <alignment vertical="center"/>
    </xf>
    <xf numFmtId="0" fontId="3" fillId="0" borderId="259" xfId="0" applyFont="1" applyFill="1" applyBorder="1" applyAlignment="1">
      <alignment horizontal="right" vertical="center"/>
    </xf>
    <xf numFmtId="0" fontId="3" fillId="0" borderId="260" xfId="0" applyFont="1" applyFill="1" applyBorder="1" applyAlignment="1">
      <alignment horizontal="right" vertical="center"/>
    </xf>
    <xf numFmtId="0" fontId="14" fillId="0" borderId="266" xfId="0" applyFont="1" applyFill="1" applyBorder="1" applyAlignment="1">
      <alignment horizontal="right"/>
    </xf>
    <xf numFmtId="0" fontId="12" fillId="0" borderId="268" xfId="0" applyFont="1" applyFill="1" applyBorder="1" applyAlignment="1">
      <alignment horizontal="right"/>
    </xf>
    <xf numFmtId="0" fontId="12" fillId="0" borderId="266" xfId="0" applyFont="1" applyFill="1" applyBorder="1" applyAlignment="1">
      <alignment horizontal="right"/>
    </xf>
    <xf numFmtId="166" fontId="14" fillId="0" borderId="265" xfId="6" applyNumberFormat="1" applyFont="1" applyFill="1" applyBorder="1" applyAlignment="1">
      <alignment horizontal="center" vertical="center"/>
    </xf>
    <xf numFmtId="0" fontId="13" fillId="0" borderId="269" xfId="0" applyFont="1" applyFill="1" applyBorder="1" applyAlignment="1">
      <alignment horizontal="right"/>
    </xf>
    <xf numFmtId="2" fontId="4" fillId="0" borderId="270" xfId="6" applyNumberFormat="1" applyFont="1" applyFill="1" applyBorder="1" applyAlignment="1">
      <alignment horizontal="right"/>
    </xf>
    <xf numFmtId="0" fontId="12" fillId="0" borderId="271" xfId="0" applyFont="1" applyFill="1" applyBorder="1" applyAlignment="1">
      <alignment horizontal="right"/>
    </xf>
    <xf numFmtId="0" fontId="13" fillId="0" borderId="271" xfId="0" applyFont="1" applyFill="1" applyBorder="1" applyAlignment="1">
      <alignment horizontal="right"/>
    </xf>
    <xf numFmtId="0" fontId="14" fillId="0" borderId="271" xfId="0" applyFont="1" applyFill="1" applyBorder="1" applyAlignment="1">
      <alignment horizontal="right"/>
    </xf>
    <xf numFmtId="0" fontId="12" fillId="0" borderId="272" xfId="0" applyFont="1" applyFill="1" applyBorder="1" applyAlignment="1">
      <alignment horizontal="right"/>
    </xf>
    <xf numFmtId="0" fontId="33" fillId="0" borderId="267" xfId="0" applyFont="1" applyBorder="1" applyAlignment="1"/>
    <xf numFmtId="0" fontId="2" fillId="0" borderId="273" xfId="0" applyFont="1" applyBorder="1" applyAlignment="1"/>
    <xf numFmtId="0" fontId="2" fillId="3" borderId="0" xfId="0" applyFont="1" applyFill="1" applyAlignment="1">
      <alignment horizontal="center" vertical="center" wrapText="1"/>
    </xf>
    <xf numFmtId="0" fontId="2" fillId="21" borderId="0" xfId="0" applyFont="1" applyFill="1" applyAlignment="1">
      <alignment horizontal="center" vertical="center" wrapText="1"/>
    </xf>
    <xf numFmtId="0" fontId="2" fillId="10" borderId="0" xfId="0" applyFont="1" applyFill="1" applyAlignment="1">
      <alignment horizontal="center" vertical="center"/>
    </xf>
    <xf numFmtId="0" fontId="2" fillId="22" borderId="0" xfId="0" applyFont="1" applyFill="1" applyAlignment="1">
      <alignment horizontal="center" vertical="center" wrapText="1"/>
    </xf>
    <xf numFmtId="0" fontId="2" fillId="19" borderId="0" xfId="0" applyFont="1" applyFill="1" applyAlignment="1">
      <alignment horizontal="center" vertical="center" wrapText="1"/>
    </xf>
    <xf numFmtId="0" fontId="2" fillId="20" borderId="0" xfId="0" applyFont="1" applyFill="1" applyAlignment="1">
      <alignment horizontal="center" vertical="center" wrapText="1"/>
    </xf>
    <xf numFmtId="0" fontId="2" fillId="44" borderId="0" xfId="0" applyFont="1" applyFill="1" applyAlignment="1">
      <alignment horizontal="center" vertical="center" wrapText="1"/>
    </xf>
    <xf numFmtId="0" fontId="3" fillId="44" borderId="0" xfId="0" applyFont="1" applyFill="1" applyAlignment="1">
      <alignment horizontal="center"/>
    </xf>
    <xf numFmtId="165" fontId="8" fillId="44" borderId="0" xfId="6" applyFont="1" applyFill="1" applyAlignment="1">
      <alignment horizontal="center"/>
    </xf>
    <xf numFmtId="0" fontId="0" fillId="0" borderId="266" xfId="0" applyFill="1" applyBorder="1" applyAlignment="1">
      <alignment horizontal="center"/>
    </xf>
    <xf numFmtId="2" fontId="8" fillId="5" borderId="37" xfId="6" applyNumberFormat="1" applyFont="1" applyFill="1" applyBorder="1" applyAlignment="1">
      <alignment horizontal="center"/>
    </xf>
    <xf numFmtId="0" fontId="14" fillId="0" borderId="266" xfId="0" applyFont="1" applyFill="1" applyBorder="1" applyAlignment="1">
      <alignment horizontal="center"/>
    </xf>
    <xf numFmtId="165" fontId="8" fillId="44" borderId="0" xfId="6" applyNumberFormat="1" applyFont="1" applyFill="1" applyAlignment="1">
      <alignment horizontal="center"/>
    </xf>
    <xf numFmtId="165" fontId="4" fillId="44" borderId="0" xfId="6" applyFont="1" applyFill="1" applyAlignment="1">
      <alignment horizontal="center"/>
    </xf>
    <xf numFmtId="0" fontId="14" fillId="3" borderId="268" xfId="0" applyFont="1" applyFill="1" applyBorder="1" applyAlignment="1">
      <alignment horizontal="center"/>
    </xf>
    <xf numFmtId="0" fontId="13" fillId="0" borderId="268" xfId="0" applyFont="1" applyFill="1" applyBorder="1" applyAlignment="1">
      <alignment horizontal="center"/>
    </xf>
    <xf numFmtId="0" fontId="13" fillId="0" borderId="140" xfId="0" applyFont="1" applyFill="1" applyBorder="1" applyAlignment="1">
      <alignment horizontal="center"/>
    </xf>
    <xf numFmtId="0" fontId="13" fillId="3" borderId="266" xfId="0" applyFont="1" applyFill="1" applyBorder="1" applyAlignment="1">
      <alignment horizontal="center"/>
    </xf>
    <xf numFmtId="166" fontId="14" fillId="26" borderId="275" xfId="6" applyNumberFormat="1" applyFont="1" applyFill="1" applyBorder="1" applyAlignment="1">
      <alignment horizontal="center"/>
    </xf>
    <xf numFmtId="2" fontId="33" fillId="28" borderId="275" xfId="0" applyNumberFormat="1" applyFont="1" applyFill="1" applyBorder="1" applyAlignment="1">
      <alignment horizontal="center"/>
    </xf>
    <xf numFmtId="2" fontId="33" fillId="29" borderId="275" xfId="0" applyNumberFormat="1" applyFont="1" applyFill="1" applyBorder="1" applyAlignment="1">
      <alignment horizontal="center"/>
    </xf>
    <xf numFmtId="2" fontId="33" fillId="30" borderId="275" xfId="0" applyNumberFormat="1" applyFont="1" applyFill="1" applyBorder="1" applyAlignment="1">
      <alignment horizontal="center"/>
    </xf>
    <xf numFmtId="2" fontId="33" fillId="37" borderId="275" xfId="0" applyNumberFormat="1" applyFont="1" applyFill="1" applyBorder="1" applyAlignment="1">
      <alignment horizontal="center"/>
    </xf>
    <xf numFmtId="2" fontId="33" fillId="32" borderId="275" xfId="0" applyNumberFormat="1" applyFont="1" applyFill="1" applyBorder="1" applyAlignment="1">
      <alignment horizontal="center"/>
    </xf>
    <xf numFmtId="2" fontId="33" fillId="33" borderId="275" xfId="0" applyNumberFormat="1" applyFont="1" applyFill="1" applyBorder="1" applyAlignment="1">
      <alignment horizontal="center"/>
    </xf>
    <xf numFmtId="2" fontId="33" fillId="34" borderId="275" xfId="0" applyNumberFormat="1" applyFont="1" applyFill="1" applyBorder="1" applyAlignment="1">
      <alignment horizontal="center"/>
    </xf>
    <xf numFmtId="2" fontId="33" fillId="35" borderId="275" xfId="0" applyNumberFormat="1" applyFont="1" applyFill="1" applyBorder="1" applyAlignment="1">
      <alignment horizontal="center"/>
    </xf>
    <xf numFmtId="165" fontId="33" fillId="36" borderId="275" xfId="6" applyFont="1" applyFill="1" applyBorder="1" applyAlignment="1">
      <alignment horizontal="center"/>
    </xf>
    <xf numFmtId="0" fontId="13" fillId="3" borderId="268" xfId="0" applyFont="1" applyFill="1" applyBorder="1" applyAlignment="1">
      <alignment horizontal="center"/>
    </xf>
    <xf numFmtId="0" fontId="12" fillId="3" borderId="266" xfId="0" applyFont="1" applyFill="1" applyBorder="1" applyAlignment="1">
      <alignment horizontal="center"/>
    </xf>
    <xf numFmtId="0" fontId="12" fillId="3" borderId="268" xfId="0" applyFont="1" applyFill="1" applyBorder="1" applyAlignment="1">
      <alignment horizontal="center"/>
    </xf>
    <xf numFmtId="0" fontId="12" fillId="3" borderId="276" xfId="0" applyFont="1" applyFill="1" applyBorder="1" applyAlignment="1">
      <alignment horizontal="center"/>
    </xf>
    <xf numFmtId="0" fontId="12" fillId="0" borderId="268" xfId="0" applyFont="1" applyFill="1" applyBorder="1" applyAlignment="1">
      <alignment horizontal="center"/>
    </xf>
    <xf numFmtId="0" fontId="12" fillId="0" borderId="276" xfId="0" applyFont="1" applyFill="1" applyBorder="1" applyAlignment="1">
      <alignment horizontal="center"/>
    </xf>
    <xf numFmtId="165" fontId="16" fillId="36" borderId="210" xfId="6" applyNumberFormat="1" applyFont="1" applyFill="1" applyBorder="1" applyAlignment="1">
      <alignment horizontal="center"/>
    </xf>
    <xf numFmtId="165" fontId="33" fillId="37" borderId="118" xfId="0" applyNumberFormat="1" applyFont="1" applyFill="1" applyBorder="1" applyAlignment="1">
      <alignment horizontal="center" vertical="center"/>
    </xf>
    <xf numFmtId="165" fontId="33" fillId="36" borderId="118" xfId="8" applyNumberFormat="1" applyFont="1" applyFill="1" applyBorder="1" applyAlignment="1">
      <alignment horizontal="center" vertical="center"/>
    </xf>
    <xf numFmtId="0" fontId="0" fillId="0" borderId="277" xfId="0" applyFill="1" applyBorder="1"/>
    <xf numFmtId="0" fontId="12" fillId="3" borderId="278" xfId="0" applyFont="1" applyFill="1" applyBorder="1" applyAlignment="1">
      <alignment horizontal="center"/>
    </xf>
    <xf numFmtId="2" fontId="33" fillId="28" borderId="265" xfId="0" applyNumberFormat="1" applyFont="1" applyFill="1" applyBorder="1" applyAlignment="1">
      <alignment horizontal="center"/>
    </xf>
    <xf numFmtId="2" fontId="33" fillId="29" borderId="279" xfId="0" applyNumberFormat="1" applyFont="1" applyFill="1" applyBorder="1" applyAlignment="1">
      <alignment horizontal="center"/>
    </xf>
    <xf numFmtId="2" fontId="33" fillId="30" borderId="279" xfId="0" applyNumberFormat="1" applyFont="1" applyFill="1" applyBorder="1" applyAlignment="1">
      <alignment horizontal="center"/>
    </xf>
    <xf numFmtId="2" fontId="33" fillId="37" borderId="279" xfId="0" applyNumberFormat="1" applyFont="1" applyFill="1" applyBorder="1" applyAlignment="1">
      <alignment horizontal="center"/>
    </xf>
    <xf numFmtId="2" fontId="33" fillId="32" borderId="279" xfId="0" applyNumberFormat="1" applyFont="1" applyFill="1" applyBorder="1" applyAlignment="1">
      <alignment horizontal="center"/>
    </xf>
    <xf numFmtId="2" fontId="33" fillId="33" borderId="279" xfId="0" applyNumberFormat="1" applyFont="1" applyFill="1" applyBorder="1" applyAlignment="1">
      <alignment horizontal="center"/>
    </xf>
    <xf numFmtId="2" fontId="33" fillId="34" borderId="279" xfId="0" applyNumberFormat="1" applyFont="1" applyFill="1" applyBorder="1" applyAlignment="1">
      <alignment horizontal="center"/>
    </xf>
    <xf numFmtId="2" fontId="33" fillId="35" borderId="279" xfId="0" applyNumberFormat="1" applyFont="1" applyFill="1" applyBorder="1" applyAlignment="1">
      <alignment horizontal="center"/>
    </xf>
    <xf numFmtId="165" fontId="33" fillId="36" borderId="280" xfId="6" applyFont="1" applyFill="1" applyBorder="1" applyAlignment="1">
      <alignment horizontal="center"/>
    </xf>
    <xf numFmtId="0" fontId="14" fillId="3" borderId="211" xfId="0" applyFont="1" applyFill="1" applyBorder="1" applyAlignment="1">
      <alignment horizontal="center"/>
    </xf>
    <xf numFmtId="2" fontId="33" fillId="28" borderId="281" xfId="0" applyNumberFormat="1" applyFont="1" applyFill="1" applyBorder="1" applyAlignment="1">
      <alignment horizontal="center"/>
    </xf>
    <xf numFmtId="2" fontId="33" fillId="29" borderId="282" xfId="0" applyNumberFormat="1" applyFont="1" applyFill="1" applyBorder="1" applyAlignment="1">
      <alignment horizontal="center"/>
    </xf>
    <xf numFmtId="2" fontId="33" fillId="30" borderId="282" xfId="0" applyNumberFormat="1" applyFont="1" applyFill="1" applyBorder="1" applyAlignment="1">
      <alignment horizontal="center"/>
    </xf>
    <xf numFmtId="2" fontId="33" fillId="37" borderId="282" xfId="0" applyNumberFormat="1" applyFont="1" applyFill="1" applyBorder="1" applyAlignment="1">
      <alignment horizontal="center"/>
    </xf>
    <xf numFmtId="2" fontId="33" fillId="32" borderId="282" xfId="0" applyNumberFormat="1" applyFont="1" applyFill="1" applyBorder="1" applyAlignment="1">
      <alignment horizontal="center"/>
    </xf>
    <xf numFmtId="2" fontId="33" fillId="33" borderId="282" xfId="0" applyNumberFormat="1" applyFont="1" applyFill="1" applyBorder="1" applyAlignment="1">
      <alignment horizontal="center"/>
    </xf>
    <xf numFmtId="2" fontId="33" fillId="34" borderId="282" xfId="0" applyNumberFormat="1" applyFont="1" applyFill="1" applyBorder="1" applyAlignment="1">
      <alignment horizontal="center"/>
    </xf>
    <xf numFmtId="2" fontId="33" fillId="35" borderId="282" xfId="0" applyNumberFormat="1" applyFont="1" applyFill="1" applyBorder="1" applyAlignment="1">
      <alignment horizontal="center"/>
    </xf>
    <xf numFmtId="165" fontId="33" fillId="36" borderId="283" xfId="6" applyFont="1" applyFill="1" applyBorder="1" applyAlignment="1">
      <alignment horizontal="center"/>
    </xf>
    <xf numFmtId="0" fontId="0" fillId="3" borderId="266" xfId="0" applyFill="1" applyBorder="1" applyAlignment="1">
      <alignment horizontal="center"/>
    </xf>
    <xf numFmtId="0" fontId="0" fillId="26" borderId="210" xfId="0" applyFill="1" applyBorder="1"/>
    <xf numFmtId="166" fontId="0" fillId="26" borderId="210" xfId="6" applyNumberFormat="1" applyFont="1" applyFill="1" applyBorder="1"/>
    <xf numFmtId="165" fontId="4" fillId="44" borderId="0" xfId="6" applyNumberFormat="1" applyFont="1" applyFill="1" applyAlignment="1">
      <alignment horizontal="center"/>
    </xf>
    <xf numFmtId="0" fontId="0" fillId="26" borderId="266" xfId="0" applyFill="1" applyBorder="1"/>
    <xf numFmtId="0" fontId="0" fillId="26" borderId="118" xfId="0" applyFill="1" applyBorder="1"/>
    <xf numFmtId="0" fontId="0" fillId="26" borderId="31" xfId="0" applyFill="1" applyBorder="1"/>
    <xf numFmtId="0" fontId="0" fillId="26" borderId="167" xfId="0" applyFill="1" applyBorder="1"/>
    <xf numFmtId="2" fontId="16" fillId="28" borderId="210" xfId="6" applyNumberFormat="1" applyFont="1" applyFill="1" applyBorder="1"/>
    <xf numFmtId="2" fontId="16" fillId="29" borderId="210" xfId="6" applyNumberFormat="1" applyFont="1" applyFill="1" applyBorder="1" applyAlignment="1">
      <alignment horizontal="center" vertical="center"/>
    </xf>
    <xf numFmtId="2" fontId="16" fillId="30" borderId="210" xfId="6" applyNumberFormat="1" applyFont="1" applyFill="1" applyBorder="1" applyAlignment="1">
      <alignment horizontal="center" vertical="center"/>
    </xf>
    <xf numFmtId="2" fontId="16" fillId="37" borderId="210" xfId="6" applyNumberFormat="1" applyFont="1" applyFill="1" applyBorder="1" applyAlignment="1">
      <alignment horizontal="center" vertical="center"/>
    </xf>
    <xf numFmtId="2" fontId="16" fillId="32" borderId="210" xfId="6" applyNumberFormat="1" applyFont="1" applyFill="1" applyBorder="1" applyAlignment="1">
      <alignment horizontal="center" vertical="center"/>
    </xf>
    <xf numFmtId="2" fontId="16" fillId="33" borderId="210" xfId="6" applyNumberFormat="1" applyFont="1" applyFill="1" applyBorder="1" applyAlignment="1">
      <alignment horizontal="center" vertical="center"/>
    </xf>
    <xf numFmtId="2" fontId="16" fillId="34" borderId="210" xfId="6" applyNumberFormat="1" applyFont="1" applyFill="1" applyBorder="1" applyAlignment="1">
      <alignment horizontal="center" vertical="center"/>
    </xf>
    <xf numFmtId="2" fontId="16" fillId="35" borderId="210" xfId="6" applyNumberFormat="1" applyFont="1" applyFill="1" applyBorder="1" applyAlignment="1">
      <alignment horizontal="center" vertical="center"/>
    </xf>
    <xf numFmtId="0" fontId="12" fillId="0" borderId="266" xfId="0" applyFont="1" applyFill="1" applyBorder="1" applyAlignment="1">
      <alignment horizontal="center"/>
    </xf>
    <xf numFmtId="166" fontId="0" fillId="26" borderId="167" xfId="6" applyNumberFormat="1" applyFont="1" applyFill="1" applyBorder="1" applyAlignment="1">
      <alignment horizontal="center" vertical="center"/>
    </xf>
    <xf numFmtId="0" fontId="33" fillId="37" borderId="210" xfId="0" applyFont="1" applyFill="1" applyBorder="1" applyAlignment="1">
      <alignment horizontal="center" vertical="center"/>
    </xf>
    <xf numFmtId="165" fontId="33" fillId="37" borderId="210" xfId="0" applyNumberFormat="1" applyFont="1" applyFill="1" applyBorder="1" applyAlignment="1">
      <alignment horizontal="left" vertical="center"/>
    </xf>
    <xf numFmtId="165" fontId="4" fillId="44" borderId="53" xfId="6" applyNumberFormat="1" applyFont="1" applyFill="1" applyBorder="1" applyAlignment="1">
      <alignment horizontal="center"/>
    </xf>
    <xf numFmtId="0" fontId="12" fillId="0" borderId="284" xfId="0" applyFont="1" applyFill="1" applyBorder="1" applyAlignment="1">
      <alignment horizontal="center"/>
    </xf>
    <xf numFmtId="0" fontId="12" fillId="0" borderId="238" xfId="0" applyFont="1" applyFill="1" applyBorder="1" applyAlignment="1">
      <alignment horizontal="center"/>
    </xf>
    <xf numFmtId="0" fontId="0" fillId="0" borderId="38" xfId="0" applyFill="1" applyBorder="1"/>
    <xf numFmtId="0" fontId="12" fillId="0" borderId="285" xfId="0" applyFont="1" applyFill="1" applyBorder="1" applyAlignment="1">
      <alignment horizontal="center"/>
    </xf>
    <xf numFmtId="0" fontId="12" fillId="0" borderId="53" xfId="0" applyFont="1" applyFill="1" applyBorder="1" applyAlignment="1">
      <alignment horizontal="center"/>
    </xf>
    <xf numFmtId="0" fontId="4" fillId="0" borderId="21" xfId="0" applyFont="1" applyFill="1" applyBorder="1" applyAlignment="1">
      <alignment horizontal="center" vertical="center"/>
    </xf>
    <xf numFmtId="0" fontId="3" fillId="0" borderId="286" xfId="0" applyFont="1" applyFill="1" applyBorder="1" applyAlignment="1">
      <alignment horizontal="right" vertical="center"/>
    </xf>
    <xf numFmtId="165" fontId="4" fillId="0" borderId="158" xfId="6" applyFont="1" applyFill="1" applyBorder="1" applyAlignment="1">
      <alignment horizontal="center"/>
    </xf>
    <xf numFmtId="0" fontId="14" fillId="0" borderId="268" xfId="0" applyFont="1" applyFill="1" applyBorder="1" applyAlignment="1">
      <alignment horizontal="right"/>
    </xf>
    <xf numFmtId="0" fontId="13" fillId="0" borderId="266" xfId="0" applyFont="1" applyFill="1" applyBorder="1" applyAlignment="1">
      <alignment horizontal="right"/>
    </xf>
    <xf numFmtId="0" fontId="3" fillId="0" borderId="241" xfId="0" applyFont="1" applyFill="1" applyBorder="1" applyAlignment="1">
      <alignment vertical="center"/>
    </xf>
    <xf numFmtId="0" fontId="3" fillId="0" borderId="243" xfId="0" applyFont="1" applyFill="1" applyBorder="1" applyAlignment="1">
      <alignment vertical="center"/>
    </xf>
    <xf numFmtId="0" fontId="4" fillId="0" borderId="11" xfId="0" applyFont="1" applyFill="1" applyBorder="1" applyAlignment="1">
      <alignment horizontal="right" vertical="center"/>
    </xf>
    <xf numFmtId="0" fontId="4" fillId="0" borderId="255" xfId="0" applyFont="1" applyFill="1" applyBorder="1" applyAlignment="1">
      <alignment horizontal="right" vertical="center"/>
    </xf>
    <xf numFmtId="0" fontId="4" fillId="0" borderId="256" xfId="0" applyFont="1" applyFill="1" applyBorder="1" applyAlignment="1">
      <alignment horizontal="right" vertical="center"/>
    </xf>
    <xf numFmtId="0" fontId="4" fillId="0" borderId="158" xfId="1" applyNumberFormat="1" applyFont="1" applyFill="1" applyBorder="1" applyAlignment="1">
      <alignment horizontal="right"/>
    </xf>
    <xf numFmtId="166" fontId="14" fillId="0" borderId="216" xfId="6" applyNumberFormat="1" applyFont="1" applyFill="1" applyBorder="1" applyAlignment="1">
      <alignment horizontal="center"/>
    </xf>
    <xf numFmtId="0" fontId="13" fillId="0" borderId="268" xfId="0" applyFont="1" applyFill="1" applyBorder="1" applyAlignment="1">
      <alignment horizontal="right"/>
    </xf>
    <xf numFmtId="0" fontId="3" fillId="0" borderId="287" xfId="0" applyFont="1" applyFill="1" applyBorder="1" applyAlignment="1">
      <alignment horizontal="right"/>
    </xf>
    <xf numFmtId="0" fontId="12" fillId="0" borderId="278" xfId="0" applyFont="1" applyFill="1" applyBorder="1" applyAlignment="1">
      <alignment horizontal="right"/>
    </xf>
    <xf numFmtId="166" fontId="14" fillId="0" borderId="288" xfId="6" applyNumberFormat="1" applyFont="1" applyFill="1" applyBorder="1"/>
    <xf numFmtId="166" fontId="14" fillId="0" borderId="288" xfId="6" applyNumberFormat="1" applyFont="1" applyFill="1" applyBorder="1" applyAlignment="1">
      <alignment horizontal="center"/>
    </xf>
    <xf numFmtId="0" fontId="14" fillId="0" borderId="211" xfId="0" applyFont="1" applyFill="1" applyBorder="1" applyAlignment="1">
      <alignment horizontal="right"/>
    </xf>
    <xf numFmtId="0" fontId="0" fillId="0" borderId="274" xfId="0" applyFill="1" applyBorder="1" applyAlignment="1">
      <alignment horizontal="right"/>
    </xf>
    <xf numFmtId="166" fontId="14" fillId="0" borderId="289" xfId="6" applyNumberFormat="1" applyFont="1" applyFill="1" applyBorder="1" applyAlignment="1">
      <alignment vertical="center"/>
    </xf>
    <xf numFmtId="0" fontId="12" fillId="0" borderId="290" xfId="0" applyFont="1" applyFill="1" applyBorder="1" applyAlignment="1">
      <alignment horizontal="right"/>
    </xf>
    <xf numFmtId="166" fontId="0" fillId="0" borderId="289" xfId="6" applyNumberFormat="1" applyFont="1" applyFill="1" applyBorder="1" applyAlignment="1">
      <alignment vertical="center"/>
    </xf>
    <xf numFmtId="166" fontId="0" fillId="0" borderId="114" xfId="6" applyNumberFormat="1" applyFont="1" applyFill="1" applyBorder="1" applyAlignment="1">
      <alignment vertical="center"/>
    </xf>
    <xf numFmtId="166" fontId="0" fillId="0" borderId="191" xfId="6" applyNumberFormat="1" applyFont="1" applyFill="1" applyBorder="1" applyAlignment="1">
      <alignment vertical="center"/>
    </xf>
    <xf numFmtId="0" fontId="12" fillId="0" borderId="274" xfId="0" applyFont="1" applyFill="1" applyBorder="1" applyAlignment="1">
      <alignment horizontal="right"/>
    </xf>
    <xf numFmtId="0" fontId="3" fillId="0" borderId="16" xfId="0" applyFont="1" applyFill="1" applyBorder="1" applyAlignment="1">
      <alignment horizontal="right" vertical="center" wrapText="1"/>
    </xf>
    <xf numFmtId="0" fontId="3" fillId="0" borderId="15" xfId="0" applyFont="1" applyFill="1" applyBorder="1" applyAlignment="1">
      <alignment vertical="center" wrapText="1"/>
    </xf>
    <xf numFmtId="166" fontId="0" fillId="0" borderId="288" xfId="6" applyNumberFormat="1" applyFont="1" applyFill="1" applyBorder="1"/>
    <xf numFmtId="0" fontId="12" fillId="0" borderId="54" xfId="0" applyFont="1" applyFill="1" applyBorder="1" applyAlignment="1">
      <alignment horizontal="right"/>
    </xf>
    <xf numFmtId="0" fontId="12" fillId="0" borderId="291" xfId="0" applyFont="1" applyFill="1" applyBorder="1" applyAlignment="1">
      <alignment horizontal="right"/>
    </xf>
    <xf numFmtId="166" fontId="0" fillId="0" borderId="191" xfId="6" applyNumberFormat="1" applyFont="1" applyFill="1" applyBorder="1" applyAlignment="1">
      <alignment horizontal="center" vertical="center"/>
    </xf>
    <xf numFmtId="0" fontId="2" fillId="0" borderId="267" xfId="0" applyFont="1" applyBorder="1" applyAlignment="1"/>
    <xf numFmtId="0" fontId="13" fillId="3" borderId="274" xfId="0" applyFont="1" applyFill="1" applyBorder="1" applyAlignment="1">
      <alignment horizontal="center"/>
    </xf>
    <xf numFmtId="0" fontId="12" fillId="3" borderId="274" xfId="0" applyFont="1" applyFill="1" applyBorder="1" applyAlignment="1">
      <alignment horizontal="center"/>
    </xf>
    <xf numFmtId="0" fontId="0" fillId="26" borderId="45" xfId="0" applyFill="1" applyBorder="1"/>
    <xf numFmtId="0" fontId="0" fillId="0" borderId="158" xfId="0" applyBorder="1"/>
    <xf numFmtId="165" fontId="4" fillId="0" borderId="270" xfId="6" applyFont="1" applyFill="1" applyBorder="1" applyAlignment="1">
      <alignment horizontal="center"/>
    </xf>
    <xf numFmtId="2" fontId="33" fillId="28" borderId="216" xfId="0" applyNumberFormat="1" applyFont="1" applyFill="1" applyBorder="1" applyAlignment="1">
      <alignment horizontal="center"/>
    </xf>
    <xf numFmtId="2" fontId="33" fillId="29" borderId="231" xfId="0" applyNumberFormat="1" applyFont="1" applyFill="1" applyBorder="1" applyAlignment="1">
      <alignment horizontal="center"/>
    </xf>
    <xf numFmtId="2" fontId="33" fillId="30" borderId="231" xfId="0" applyNumberFormat="1" applyFont="1" applyFill="1" applyBorder="1" applyAlignment="1">
      <alignment horizontal="center"/>
    </xf>
    <xf numFmtId="2" fontId="33" fillId="37" borderId="231" xfId="0" applyNumberFormat="1" applyFont="1" applyFill="1" applyBorder="1" applyAlignment="1">
      <alignment horizontal="center"/>
    </xf>
    <xf numFmtId="2" fontId="33" fillId="32" borderId="231" xfId="0" applyNumberFormat="1" applyFont="1" applyFill="1" applyBorder="1" applyAlignment="1">
      <alignment horizontal="center"/>
    </xf>
    <xf numFmtId="2" fontId="33" fillId="33" borderId="231" xfId="0" applyNumberFormat="1" applyFont="1" applyFill="1" applyBorder="1" applyAlignment="1">
      <alignment horizontal="center"/>
    </xf>
    <xf numFmtId="2" fontId="33" fillId="34" borderId="231" xfId="0" applyNumberFormat="1" applyFont="1" applyFill="1" applyBorder="1" applyAlignment="1">
      <alignment horizontal="center"/>
    </xf>
    <xf numFmtId="2" fontId="33" fillId="35" borderId="231" xfId="0" applyNumberFormat="1" applyFont="1" applyFill="1" applyBorder="1" applyAlignment="1">
      <alignment horizontal="center"/>
    </xf>
    <xf numFmtId="165" fontId="33" fillId="36" borderId="292" xfId="6" applyFont="1" applyFill="1" applyBorder="1" applyAlignment="1">
      <alignment horizontal="center"/>
    </xf>
    <xf numFmtId="0" fontId="12" fillId="0" borderId="269" xfId="0" applyFont="1" applyFill="1" applyBorder="1" applyAlignment="1">
      <alignment horizontal="right"/>
    </xf>
    <xf numFmtId="0" fontId="15" fillId="0" borderId="45" xfId="0" applyFont="1" applyFill="1" applyBorder="1" applyAlignment="1">
      <alignment horizontal="right"/>
    </xf>
    <xf numFmtId="0" fontId="33" fillId="0" borderId="293" xfId="0" applyFont="1" applyBorder="1" applyAlignment="1"/>
    <xf numFmtId="0" fontId="3" fillId="0" borderId="0" xfId="0" applyFont="1" applyFill="1" applyBorder="1" applyAlignment="1">
      <alignment horizontal="center"/>
    </xf>
    <xf numFmtId="0" fontId="3" fillId="0" borderId="0" xfId="0" applyFont="1" applyFill="1" applyBorder="1" applyAlignment="1">
      <alignment horizontal="center" vertical="center"/>
    </xf>
    <xf numFmtId="0" fontId="3" fillId="3" borderId="143" xfId="0" applyFont="1" applyFill="1" applyBorder="1" applyAlignment="1">
      <alignment horizontal="center" vertical="center"/>
    </xf>
    <xf numFmtId="0" fontId="3" fillId="0" borderId="143" xfId="0" applyFont="1" applyFill="1" applyBorder="1" applyAlignment="1">
      <alignment horizontal="center" vertical="center"/>
    </xf>
    <xf numFmtId="0" fontId="4" fillId="3" borderId="0" xfId="1" applyNumberFormat="1" applyFont="1" applyFill="1" applyBorder="1" applyAlignment="1">
      <alignment horizontal="center"/>
    </xf>
    <xf numFmtId="0" fontId="3" fillId="3" borderId="0" xfId="0" applyFont="1" applyFill="1" applyBorder="1" applyAlignment="1">
      <alignment horizontal="center"/>
    </xf>
    <xf numFmtId="0" fontId="3" fillId="0" borderId="0" xfId="0" applyFont="1" applyFill="1" applyBorder="1" applyAlignment="1">
      <alignment horizontal="right" vertical="center"/>
    </xf>
    <xf numFmtId="0" fontId="4" fillId="0" borderId="0" xfId="1" applyNumberFormat="1" applyFont="1" applyFill="1" applyBorder="1" applyAlignment="1">
      <alignment horizontal="right"/>
    </xf>
    <xf numFmtId="0" fontId="3" fillId="0" borderId="0" xfId="0" applyFont="1" applyFill="1" applyBorder="1" applyAlignment="1">
      <alignment horizontal="right"/>
    </xf>
    <xf numFmtId="0" fontId="12" fillId="0" borderId="294" xfId="0" applyFont="1" applyFill="1" applyBorder="1" applyAlignment="1">
      <alignment horizontal="right"/>
    </xf>
    <xf numFmtId="2" fontId="4" fillId="0" borderId="295" xfId="6" applyNumberFormat="1" applyFont="1" applyFill="1" applyBorder="1" applyAlignment="1">
      <alignment horizontal="center" vertical="center"/>
    </xf>
    <xf numFmtId="0" fontId="0" fillId="0" borderId="295" xfId="0" applyFill="1" applyBorder="1" applyAlignment="1">
      <alignment horizontal="center" vertical="center"/>
    </xf>
    <xf numFmtId="0" fontId="12" fillId="0" borderId="295" xfId="0" applyFont="1" applyFill="1" applyBorder="1" applyAlignment="1">
      <alignment horizontal="center" vertical="center"/>
    </xf>
    <xf numFmtId="0" fontId="14" fillId="0" borderId="295" xfId="0" applyFont="1" applyFill="1" applyBorder="1" applyAlignment="1">
      <alignment horizontal="center" vertical="center"/>
    </xf>
    <xf numFmtId="0" fontId="13" fillId="0" borderId="295" xfId="0" applyFont="1" applyFill="1" applyBorder="1" applyAlignment="1">
      <alignment horizontal="center" vertical="center"/>
    </xf>
    <xf numFmtId="0" fontId="15" fillId="0" borderId="295" xfId="0" applyFont="1" applyFill="1" applyBorder="1" applyAlignment="1">
      <alignment horizontal="center" vertical="center"/>
    </xf>
    <xf numFmtId="0" fontId="2" fillId="0" borderId="293" xfId="0" applyFont="1" applyBorder="1" applyAlignment="1"/>
    <xf numFmtId="0" fontId="0" fillId="0" borderId="270" xfId="0" applyFill="1" applyBorder="1" applyAlignment="1">
      <alignment horizontal="right"/>
    </xf>
    <xf numFmtId="0" fontId="14" fillId="0" borderId="270" xfId="0" applyFont="1" applyFill="1" applyBorder="1" applyAlignment="1">
      <alignment horizontal="right"/>
    </xf>
    <xf numFmtId="0" fontId="13" fillId="0" borderId="270" xfId="0" applyFont="1" applyFill="1" applyBorder="1" applyAlignment="1">
      <alignment horizontal="right"/>
    </xf>
    <xf numFmtId="0" fontId="12" fillId="0" borderId="270" xfId="0" applyFont="1" applyFill="1" applyBorder="1" applyAlignment="1">
      <alignment horizontal="right"/>
    </xf>
    <xf numFmtId="0" fontId="15" fillId="0" borderId="270" xfId="0" applyFont="1" applyFill="1" applyBorder="1" applyAlignment="1">
      <alignment horizontal="right"/>
    </xf>
    <xf numFmtId="0" fontId="13" fillId="0" borderId="296" xfId="0" applyFont="1" applyFill="1" applyBorder="1" applyAlignment="1">
      <alignment horizontal="right"/>
    </xf>
    <xf numFmtId="0" fontId="15" fillId="0" borderId="296" xfId="0" applyFont="1" applyFill="1" applyBorder="1" applyAlignment="1">
      <alignment horizontal="right"/>
    </xf>
    <xf numFmtId="0" fontId="13" fillId="0" borderId="165" xfId="0" applyFont="1" applyFill="1" applyBorder="1" applyAlignment="1">
      <alignment horizontal="right"/>
    </xf>
    <xf numFmtId="0" fontId="12" fillId="0" borderId="165" xfId="0" applyFont="1" applyFill="1" applyBorder="1" applyAlignment="1">
      <alignment horizontal="right"/>
    </xf>
    <xf numFmtId="0" fontId="14" fillId="0" borderId="165" xfId="0" applyFont="1" applyFill="1" applyBorder="1" applyAlignment="1">
      <alignment horizontal="right"/>
    </xf>
    <xf numFmtId="0" fontId="12" fillId="0" borderId="296" xfId="0" applyFont="1" applyFill="1" applyBorder="1" applyAlignment="1">
      <alignment horizontal="right"/>
    </xf>
    <xf numFmtId="0" fontId="14" fillId="0" borderId="296" xfId="0" applyFont="1" applyFill="1" applyBorder="1" applyAlignment="1">
      <alignment horizontal="right"/>
    </xf>
    <xf numFmtId="0" fontId="0" fillId="0" borderId="165" xfId="0" applyFill="1" applyBorder="1" applyAlignment="1">
      <alignment horizontal="right"/>
    </xf>
    <xf numFmtId="0" fontId="12" fillId="0" borderId="213" xfId="0" applyFont="1" applyFill="1" applyBorder="1" applyAlignment="1">
      <alignment horizontal="right"/>
    </xf>
    <xf numFmtId="0" fontId="13" fillId="0" borderId="297" xfId="0" applyFont="1" applyFill="1" applyBorder="1" applyAlignment="1">
      <alignment horizontal="right"/>
    </xf>
    <xf numFmtId="0" fontId="12" fillId="0" borderId="297" xfId="0" applyFont="1" applyFill="1" applyBorder="1" applyAlignment="1">
      <alignment horizontal="right"/>
    </xf>
    <xf numFmtId="0" fontId="14" fillId="0" borderId="297" xfId="0" applyFont="1" applyFill="1" applyBorder="1" applyAlignment="1">
      <alignment horizontal="right"/>
    </xf>
    <xf numFmtId="0" fontId="4" fillId="3" borderId="0" xfId="0" applyFont="1" applyFill="1" applyBorder="1" applyAlignment="1">
      <alignment horizontal="center" vertical="center"/>
    </xf>
    <xf numFmtId="0" fontId="3" fillId="3" borderId="0" xfId="0" applyFont="1" applyFill="1" applyBorder="1" applyAlignment="1">
      <alignment horizontal="center" vertical="center" wrapText="1"/>
    </xf>
    <xf numFmtId="0" fontId="3" fillId="0" borderId="143" xfId="0" applyFont="1" applyFill="1" applyBorder="1" applyAlignment="1">
      <alignment vertical="center"/>
    </xf>
    <xf numFmtId="0" fontId="4" fillId="0" borderId="0" xfId="0" applyFont="1" applyFill="1" applyBorder="1" applyAlignment="1">
      <alignment horizontal="right" vertical="center"/>
    </xf>
    <xf numFmtId="0" fontId="3" fillId="0" borderId="0" xfId="0" applyFont="1" applyFill="1" applyBorder="1" applyAlignment="1">
      <alignment horizontal="right" vertical="center" wrapText="1"/>
    </xf>
    <xf numFmtId="0" fontId="3" fillId="0" borderId="0" xfId="0" applyFont="1" applyFill="1" applyBorder="1" applyAlignment="1">
      <alignment vertical="center" wrapText="1"/>
    </xf>
    <xf numFmtId="0" fontId="3" fillId="3" borderId="0" xfId="0" applyFont="1" applyFill="1" applyBorder="1" applyAlignment="1">
      <alignment horizontal="center" vertical="center"/>
    </xf>
    <xf numFmtId="0" fontId="0" fillId="0" borderId="298" xfId="0" applyFill="1" applyBorder="1" applyAlignment="1">
      <alignment horizontal="right"/>
    </xf>
    <xf numFmtId="0" fontId="0" fillId="0" borderId="299" xfId="0" applyFill="1" applyBorder="1" applyAlignment="1">
      <alignment horizontal="right"/>
    </xf>
    <xf numFmtId="0" fontId="14" fillId="0" borderId="299" xfId="0" applyFont="1" applyFill="1" applyBorder="1" applyAlignment="1">
      <alignment horizontal="right"/>
    </xf>
    <xf numFmtId="0" fontId="12" fillId="0" borderId="299" xfId="0" applyFont="1" applyFill="1" applyBorder="1" applyAlignment="1">
      <alignment horizontal="right"/>
    </xf>
    <xf numFmtId="0" fontId="14" fillId="0" borderId="300" xfId="0" applyFont="1" applyFill="1" applyBorder="1" applyAlignment="1">
      <alignment horizontal="right"/>
    </xf>
    <xf numFmtId="0" fontId="12" fillId="0" borderId="300" xfId="0" applyFont="1" applyFill="1" applyBorder="1" applyAlignment="1">
      <alignment horizontal="right"/>
    </xf>
    <xf numFmtId="0" fontId="13" fillId="0" borderId="299" xfId="0" applyFont="1" applyFill="1" applyBorder="1" applyAlignment="1">
      <alignment horizontal="right"/>
    </xf>
    <xf numFmtId="0" fontId="12" fillId="0" borderId="301" xfId="0" applyFont="1" applyFill="1" applyBorder="1" applyAlignment="1">
      <alignment horizontal="right"/>
    </xf>
    <xf numFmtId="0" fontId="14" fillId="0" borderId="301" xfId="0" applyFont="1" applyFill="1" applyBorder="1" applyAlignment="1">
      <alignment horizontal="right"/>
    </xf>
    <xf numFmtId="0" fontId="0" fillId="0" borderId="301" xfId="0" applyFill="1" applyBorder="1" applyAlignment="1">
      <alignment horizontal="right"/>
    </xf>
    <xf numFmtId="0" fontId="13" fillId="0" borderId="301" xfId="0" applyFont="1" applyFill="1" applyBorder="1" applyAlignment="1">
      <alignment horizontal="right"/>
    </xf>
    <xf numFmtId="0" fontId="15" fillId="0" borderId="301" xfId="0" applyFont="1" applyFill="1" applyBorder="1" applyAlignment="1">
      <alignment horizontal="right"/>
    </xf>
    <xf numFmtId="0" fontId="12" fillId="0" borderId="302" xfId="0" applyFont="1" applyFill="1" applyBorder="1" applyAlignment="1">
      <alignment horizontal="right"/>
    </xf>
    <xf numFmtId="0" fontId="0" fillId="0" borderId="303" xfId="0" applyFill="1" applyBorder="1" applyAlignment="1">
      <alignment horizontal="right"/>
    </xf>
    <xf numFmtId="0" fontId="0" fillId="0" borderId="304" xfId="0" applyFill="1" applyBorder="1" applyAlignment="1">
      <alignment horizontal="right"/>
    </xf>
    <xf numFmtId="0" fontId="0" fillId="0" borderId="305" xfId="0" applyFill="1" applyBorder="1" applyAlignment="1">
      <alignment horizontal="right"/>
    </xf>
    <xf numFmtId="0" fontId="0" fillId="0" borderId="306" xfId="0" applyFill="1" applyBorder="1" applyAlignment="1">
      <alignment horizontal="right"/>
    </xf>
    <xf numFmtId="0" fontId="14" fillId="0" borderId="305" xfId="0" applyFont="1" applyFill="1" applyBorder="1" applyAlignment="1">
      <alignment horizontal="right"/>
    </xf>
    <xf numFmtId="0" fontId="14" fillId="0" borderId="306" xfId="0" applyFont="1" applyFill="1" applyBorder="1" applyAlignment="1">
      <alignment horizontal="right"/>
    </xf>
    <xf numFmtId="0" fontId="12" fillId="0" borderId="305" xfId="0" applyFont="1" applyFill="1" applyBorder="1" applyAlignment="1">
      <alignment horizontal="right"/>
    </xf>
    <xf numFmtId="0" fontId="12" fillId="0" borderId="306" xfId="0" applyFont="1" applyFill="1" applyBorder="1" applyAlignment="1">
      <alignment horizontal="right"/>
    </xf>
    <xf numFmtId="0" fontId="13" fillId="0" borderId="305" xfId="0" applyFont="1" applyFill="1" applyBorder="1" applyAlignment="1">
      <alignment horizontal="right"/>
    </xf>
    <xf numFmtId="0" fontId="13" fillId="0" borderId="306" xfId="0" applyFont="1" applyFill="1" applyBorder="1" applyAlignment="1">
      <alignment horizontal="right"/>
    </xf>
    <xf numFmtId="0" fontId="15" fillId="0" borderId="305" xfId="0" applyFont="1" applyFill="1" applyBorder="1" applyAlignment="1">
      <alignment horizontal="right"/>
    </xf>
    <xf numFmtId="0" fontId="15" fillId="0" borderId="306" xfId="0" applyFont="1" applyFill="1" applyBorder="1" applyAlignment="1">
      <alignment horizontal="right"/>
    </xf>
    <xf numFmtId="0" fontId="12" fillId="0" borderId="307" xfId="0" applyFont="1" applyFill="1" applyBorder="1" applyAlignment="1">
      <alignment horizontal="right"/>
    </xf>
    <xf numFmtId="0" fontId="12" fillId="0" borderId="308" xfId="0" applyFont="1" applyFill="1" applyBorder="1" applyAlignment="1">
      <alignment horizontal="right"/>
    </xf>
    <xf numFmtId="0" fontId="12" fillId="0" borderId="309" xfId="0" applyFont="1" applyFill="1" applyBorder="1" applyAlignment="1">
      <alignment horizontal="right"/>
    </xf>
    <xf numFmtId="0" fontId="12" fillId="0" borderId="310" xfId="0" applyFont="1" applyFill="1" applyBorder="1" applyAlignment="1">
      <alignment horizontal="right"/>
    </xf>
    <xf numFmtId="0" fontId="50" fillId="0" borderId="0" xfId="1" applyFont="1" applyFill="1" applyAlignment="1">
      <alignment horizontal="center"/>
    </xf>
    <xf numFmtId="166" fontId="50" fillId="3" borderId="0" xfId="6" applyNumberFormat="1" applyFont="1" applyFill="1" applyBorder="1" applyAlignment="1">
      <alignment horizontal="center" vertical="center"/>
    </xf>
    <xf numFmtId="1" fontId="51" fillId="4" borderId="0" xfId="6" applyNumberFormat="1" applyFont="1" applyFill="1" applyAlignment="1">
      <alignment horizontal="right"/>
    </xf>
    <xf numFmtId="166" fontId="51" fillId="2" borderId="0" xfId="6" applyNumberFormat="1" applyFont="1" applyFill="1" applyAlignment="1">
      <alignment horizontal="center"/>
    </xf>
    <xf numFmtId="1" fontId="51" fillId="6" borderId="0" xfId="6" applyNumberFormat="1" applyFont="1" applyFill="1" applyAlignment="1">
      <alignment horizontal="right"/>
    </xf>
    <xf numFmtId="1" fontId="51" fillId="24" borderId="0" xfId="6" applyNumberFormat="1" applyFont="1" applyFill="1" applyAlignment="1">
      <alignment horizontal="center"/>
    </xf>
    <xf numFmtId="166" fontId="51" fillId="5" borderId="0" xfId="6" applyNumberFormat="1" applyFont="1" applyFill="1" applyAlignment="1">
      <alignment horizontal="center"/>
    </xf>
    <xf numFmtId="166" fontId="51" fillId="6" borderId="0" xfId="6" applyNumberFormat="1" applyFont="1" applyFill="1" applyAlignment="1">
      <alignment horizontal="center"/>
    </xf>
    <xf numFmtId="1" fontId="51" fillId="4" borderId="0" xfId="6" applyNumberFormat="1" applyFont="1" applyFill="1" applyAlignment="1">
      <alignment horizontal="center" vertical="center"/>
    </xf>
    <xf numFmtId="1" fontId="3" fillId="4" borderId="0" xfId="6" applyNumberFormat="1" applyFont="1" applyFill="1" applyAlignment="1">
      <alignment horizontal="center" vertical="center"/>
    </xf>
    <xf numFmtId="1" fontId="51" fillId="6" borderId="0" xfId="6" applyNumberFormat="1" applyFont="1" applyFill="1" applyAlignment="1">
      <alignment horizontal="center"/>
    </xf>
    <xf numFmtId="166" fontId="3" fillId="6" borderId="0" xfId="6" applyNumberFormat="1" applyFont="1" applyFill="1" applyAlignment="1">
      <alignment horizontal="right"/>
    </xf>
    <xf numFmtId="1" fontId="51" fillId="24" borderId="0" xfId="6" applyNumberFormat="1" applyFont="1" applyFill="1" applyAlignment="1">
      <alignment horizontal="right"/>
    </xf>
    <xf numFmtId="165" fontId="33" fillId="36" borderId="138" xfId="6" applyFont="1" applyFill="1" applyBorder="1" applyAlignment="1">
      <alignment horizontal="center" vertical="center"/>
    </xf>
    <xf numFmtId="0" fontId="3" fillId="0" borderId="12" xfId="0" applyFont="1" applyFill="1" applyBorder="1" applyAlignment="1">
      <alignment horizontal="center" vertical="center"/>
    </xf>
    <xf numFmtId="2" fontId="16" fillId="37" borderId="45" xfId="0" applyNumberFormat="1" applyFont="1" applyFill="1" applyBorder="1" applyAlignment="1">
      <alignment horizontal="center" vertical="center"/>
    </xf>
    <xf numFmtId="2" fontId="33" fillId="33" borderId="138" xfId="0" applyNumberFormat="1" applyFont="1" applyFill="1" applyBorder="1" applyAlignment="1">
      <alignment horizontal="center" vertical="center"/>
    </xf>
    <xf numFmtId="2" fontId="33" fillId="34" borderId="138" xfId="0" applyNumberFormat="1" applyFont="1" applyFill="1" applyBorder="1" applyAlignment="1">
      <alignment horizontal="center" vertical="center"/>
    </xf>
    <xf numFmtId="2" fontId="33" fillId="35" borderId="138" xfId="0" applyNumberFormat="1" applyFont="1" applyFill="1" applyBorder="1" applyAlignment="1">
      <alignment horizontal="center" vertical="center"/>
    </xf>
    <xf numFmtId="166" fontId="14" fillId="26" borderId="138" xfId="6" applyNumberFormat="1" applyFont="1" applyFill="1" applyBorder="1" applyAlignment="1">
      <alignment horizontal="center" vertical="center"/>
    </xf>
    <xf numFmtId="2" fontId="33" fillId="28" borderId="138" xfId="0" applyNumberFormat="1" applyFont="1" applyFill="1" applyBorder="1" applyAlignment="1">
      <alignment horizontal="center" vertical="center"/>
    </xf>
    <xf numFmtId="2" fontId="33" fillId="29" borderId="138" xfId="0" applyNumberFormat="1" applyFont="1" applyFill="1" applyBorder="1" applyAlignment="1">
      <alignment horizontal="center" vertical="center"/>
    </xf>
    <xf numFmtId="2" fontId="33" fillId="30" borderId="138" xfId="0" applyNumberFormat="1" applyFont="1" applyFill="1" applyBorder="1" applyAlignment="1">
      <alignment horizontal="center" vertical="center"/>
    </xf>
    <xf numFmtId="2" fontId="33" fillId="37" borderId="138" xfId="0" applyNumberFormat="1" applyFont="1" applyFill="1" applyBorder="1" applyAlignment="1">
      <alignment horizontal="center" vertical="center"/>
    </xf>
    <xf numFmtId="2" fontId="33" fillId="32" borderId="138" xfId="0" applyNumberFormat="1" applyFont="1" applyFill="1" applyBorder="1" applyAlignment="1">
      <alignment horizontal="center" vertical="center"/>
    </xf>
    <xf numFmtId="2" fontId="33" fillId="42" borderId="168" xfId="0" applyNumberFormat="1" applyFont="1" applyFill="1" applyBorder="1" applyAlignment="1">
      <alignment horizontal="center" vertical="center"/>
    </xf>
    <xf numFmtId="166" fontId="34" fillId="26" borderId="118" xfId="6" applyNumberFormat="1" applyFont="1" applyFill="1" applyBorder="1" applyAlignment="1">
      <alignment horizontal="center" vertical="center"/>
    </xf>
    <xf numFmtId="2" fontId="16" fillId="28" borderId="118" xfId="0" applyNumberFormat="1" applyFont="1" applyFill="1" applyBorder="1" applyAlignment="1">
      <alignment horizontal="center" vertical="center"/>
    </xf>
    <xf numFmtId="2" fontId="16" fillId="29" borderId="118" xfId="0" applyNumberFormat="1" applyFont="1" applyFill="1" applyBorder="1" applyAlignment="1">
      <alignment horizontal="center" vertical="center"/>
    </xf>
    <xf numFmtId="2" fontId="16" fillId="30" borderId="118" xfId="0" applyNumberFormat="1" applyFont="1" applyFill="1" applyBorder="1" applyAlignment="1">
      <alignment horizontal="center" vertical="center"/>
    </xf>
    <xf numFmtId="2" fontId="16" fillId="37" borderId="118" xfId="0" applyNumberFormat="1" applyFont="1" applyFill="1" applyBorder="1" applyAlignment="1">
      <alignment horizontal="center" vertical="center"/>
    </xf>
    <xf numFmtId="2" fontId="16" fillId="32" borderId="118" xfId="0" applyNumberFormat="1" applyFont="1" applyFill="1" applyBorder="1" applyAlignment="1">
      <alignment horizontal="center" vertical="center"/>
    </xf>
    <xf numFmtId="2" fontId="16" fillId="33" borderId="118" xfId="0" applyNumberFormat="1" applyFont="1" applyFill="1" applyBorder="1" applyAlignment="1">
      <alignment horizontal="center" vertical="center"/>
    </xf>
    <xf numFmtId="2" fontId="16" fillId="34" borderId="118" xfId="0" applyNumberFormat="1" applyFont="1" applyFill="1" applyBorder="1" applyAlignment="1">
      <alignment horizontal="center" vertical="center"/>
    </xf>
    <xf numFmtId="2" fontId="16" fillId="35" borderId="118" xfId="0" applyNumberFormat="1" applyFont="1" applyFill="1" applyBorder="1" applyAlignment="1">
      <alignment horizontal="center" vertical="center"/>
    </xf>
    <xf numFmtId="165" fontId="16" fillId="36" borderId="118" xfId="6" applyFont="1" applyFill="1" applyBorder="1" applyAlignment="1">
      <alignment horizontal="center" vertical="center"/>
    </xf>
    <xf numFmtId="2" fontId="16" fillId="35" borderId="45" xfId="0" applyNumberFormat="1" applyFont="1" applyFill="1" applyBorder="1" applyAlignment="1">
      <alignment horizontal="center" vertical="center"/>
    </xf>
    <xf numFmtId="165" fontId="16" fillId="36" borderId="45" xfId="6" applyFont="1" applyFill="1" applyBorder="1" applyAlignment="1">
      <alignment horizontal="center" vertical="center"/>
    </xf>
    <xf numFmtId="0" fontId="3" fillId="0" borderId="15" xfId="0" applyFont="1" applyFill="1" applyBorder="1" applyAlignment="1">
      <alignment horizontal="center" vertical="center"/>
    </xf>
    <xf numFmtId="0" fontId="3" fillId="0" borderId="17" xfId="0" applyFont="1" applyFill="1" applyBorder="1" applyAlignment="1">
      <alignment horizontal="center" vertical="center"/>
    </xf>
    <xf numFmtId="166" fontId="34" fillId="26" borderId="45" xfId="6" applyNumberFormat="1" applyFont="1" applyFill="1" applyBorder="1" applyAlignment="1">
      <alignment horizontal="center" vertical="center"/>
    </xf>
    <xf numFmtId="2" fontId="16" fillId="28" borderId="45" xfId="0" applyNumberFormat="1" applyFont="1" applyFill="1" applyBorder="1" applyAlignment="1">
      <alignment horizontal="center" vertical="center"/>
    </xf>
    <xf numFmtId="2" fontId="16" fillId="29" borderId="45" xfId="0" applyNumberFormat="1" applyFont="1" applyFill="1" applyBorder="1" applyAlignment="1">
      <alignment horizontal="center" vertical="center"/>
    </xf>
    <xf numFmtId="2" fontId="16" fillId="30" borderId="45" xfId="0" applyNumberFormat="1" applyFont="1" applyFill="1" applyBorder="1" applyAlignment="1">
      <alignment horizontal="center" vertical="center"/>
    </xf>
    <xf numFmtId="2" fontId="16" fillId="32" borderId="45" xfId="0" applyNumberFormat="1" applyFont="1" applyFill="1" applyBorder="1" applyAlignment="1">
      <alignment horizontal="center" vertical="center"/>
    </xf>
    <xf numFmtId="2" fontId="16" fillId="33" borderId="45" xfId="0" applyNumberFormat="1" applyFont="1" applyFill="1" applyBorder="1" applyAlignment="1">
      <alignment horizontal="center" vertical="center"/>
    </xf>
    <xf numFmtId="2" fontId="16" fillId="34" borderId="45" xfId="0" applyNumberFormat="1" applyFont="1" applyFill="1" applyBorder="1" applyAlignment="1">
      <alignment horizontal="center" vertical="center"/>
    </xf>
    <xf numFmtId="0" fontId="3" fillId="3" borderId="18" xfId="0" applyFont="1" applyFill="1" applyBorder="1" applyAlignment="1">
      <alignment horizontal="center" vertical="center"/>
    </xf>
    <xf numFmtId="166" fontId="34" fillId="26" borderId="167" xfId="6" applyNumberFormat="1" applyFont="1" applyFill="1" applyBorder="1" applyAlignment="1">
      <alignment horizontal="center" vertical="center"/>
    </xf>
    <xf numFmtId="165" fontId="16" fillId="37" borderId="118" xfId="6" applyFont="1" applyFill="1" applyBorder="1" applyAlignment="1">
      <alignment horizontal="center" vertical="center"/>
    </xf>
    <xf numFmtId="0" fontId="2" fillId="5" borderId="0" xfId="0" applyFont="1" applyFill="1" applyAlignment="1">
      <alignment horizontal="center" vertical="center"/>
    </xf>
    <xf numFmtId="0" fontId="2" fillId="3" borderId="0" xfId="0" applyFont="1" applyFill="1" applyAlignment="1">
      <alignment horizontal="center" vertical="center"/>
    </xf>
    <xf numFmtId="0" fontId="2" fillId="4" borderId="0" xfId="0" applyFont="1" applyFill="1" applyAlignment="1">
      <alignment horizontal="center" vertical="center"/>
    </xf>
    <xf numFmtId="0" fontId="2" fillId="2" borderId="0" xfId="0" applyFont="1" applyFill="1" applyAlignment="1">
      <alignment horizontal="center" vertical="center"/>
    </xf>
    <xf numFmtId="0" fontId="2" fillId="6" borderId="0" xfId="0" applyFont="1" applyFill="1" applyAlignment="1">
      <alignment horizontal="center" vertical="center"/>
    </xf>
    <xf numFmtId="0" fontId="2" fillId="24" borderId="0" xfId="0" applyFont="1" applyFill="1" applyAlignment="1">
      <alignment horizontal="center" vertical="center" wrapText="1"/>
    </xf>
    <xf numFmtId="0" fontId="2" fillId="5" borderId="0" xfId="0" applyFont="1" applyFill="1" applyAlignment="1">
      <alignment horizontal="center" vertical="center" wrapText="1"/>
    </xf>
    <xf numFmtId="0" fontId="2" fillId="9" borderId="0" xfId="0" applyFont="1" applyFill="1" applyAlignment="1">
      <alignment horizontal="center" vertical="center"/>
    </xf>
    <xf numFmtId="0" fontId="2" fillId="12" borderId="0" xfId="0" applyFont="1" applyFill="1" applyAlignment="1">
      <alignment horizontal="center" vertical="center"/>
    </xf>
    <xf numFmtId="0" fontId="2" fillId="8" borderId="0" xfId="0" applyFont="1" applyFill="1" applyAlignment="1">
      <alignment horizontal="center" vertical="center" wrapText="1"/>
    </xf>
    <xf numFmtId="0" fontId="2" fillId="4" borderId="0" xfId="0" applyFont="1" applyFill="1" applyAlignment="1">
      <alignment horizontal="center" vertical="center" wrapText="1"/>
    </xf>
    <xf numFmtId="0" fontId="2" fillId="25" borderId="0" xfId="0" applyFont="1" applyFill="1" applyAlignment="1">
      <alignment horizontal="center" vertical="center" wrapText="1"/>
    </xf>
    <xf numFmtId="0" fontId="2" fillId="14" borderId="0" xfId="0" applyFont="1" applyFill="1" applyAlignment="1">
      <alignment horizontal="center" vertical="center"/>
    </xf>
    <xf numFmtId="0" fontId="2" fillId="7" borderId="0" xfId="0" applyFont="1" applyFill="1" applyAlignment="1">
      <alignment horizontal="center" vertical="center" wrapText="1"/>
    </xf>
    <xf numFmtId="0" fontId="2" fillId="8" borderId="8" xfId="0" applyFont="1" applyFill="1" applyBorder="1" applyAlignment="1">
      <alignment horizontal="center" vertical="center" wrapText="1"/>
    </xf>
    <xf numFmtId="0" fontId="2" fillId="9" borderId="188" xfId="0" applyFont="1" applyFill="1" applyBorder="1" applyAlignment="1">
      <alignment horizontal="center" vertical="center"/>
    </xf>
    <xf numFmtId="0" fontId="2" fillId="3" borderId="188" xfId="0" applyFont="1" applyFill="1" applyBorder="1" applyAlignment="1">
      <alignment horizontal="center" vertical="center"/>
    </xf>
    <xf numFmtId="0" fontId="2" fillId="40" borderId="0" xfId="0" applyFont="1" applyFill="1" applyAlignment="1">
      <alignment horizontal="center" vertical="center"/>
    </xf>
    <xf numFmtId="0" fontId="18" fillId="0" borderId="0" xfId="0" applyFont="1" applyAlignment="1">
      <alignment horizontal="center"/>
    </xf>
    <xf numFmtId="0" fontId="2" fillId="38" borderId="59" xfId="0" applyFont="1" applyFill="1" applyBorder="1" applyAlignment="1">
      <alignment horizontal="center" vertical="center"/>
    </xf>
    <xf numFmtId="0" fontId="3" fillId="3" borderId="209" xfId="0" applyFont="1" applyFill="1" applyBorder="1" applyAlignment="1">
      <alignment horizontal="center" vertical="center"/>
    </xf>
    <xf numFmtId="0" fontId="3" fillId="3" borderId="15" xfId="0" applyFont="1" applyFill="1" applyBorder="1" applyAlignment="1">
      <alignment horizontal="center" vertical="center"/>
    </xf>
    <xf numFmtId="0" fontId="3" fillId="3" borderId="17" xfId="0" applyFont="1" applyFill="1" applyBorder="1" applyAlignment="1">
      <alignment horizontal="center" vertical="center"/>
    </xf>
    <xf numFmtId="166" fontId="14" fillId="26" borderId="195" xfId="6" applyNumberFormat="1" applyFont="1" applyFill="1" applyBorder="1" applyAlignment="1">
      <alignment horizontal="center" vertical="center"/>
    </xf>
    <xf numFmtId="166" fontId="14" fillId="26" borderId="45" xfId="6" applyNumberFormat="1" applyFont="1" applyFill="1" applyBorder="1" applyAlignment="1">
      <alignment horizontal="center" vertical="center"/>
    </xf>
    <xf numFmtId="166" fontId="14" fillId="26" borderId="167" xfId="6" applyNumberFormat="1" applyFont="1" applyFill="1" applyBorder="1" applyAlignment="1">
      <alignment horizontal="center" vertical="center"/>
    </xf>
    <xf numFmtId="2" fontId="33" fillId="28" borderId="195" xfId="0" applyNumberFormat="1" applyFont="1" applyFill="1" applyBorder="1" applyAlignment="1">
      <alignment horizontal="center" vertical="center"/>
    </xf>
    <xf numFmtId="2" fontId="33" fillId="28" borderId="45" xfId="0" applyNumberFormat="1" applyFont="1" applyFill="1" applyBorder="1" applyAlignment="1">
      <alignment horizontal="center" vertical="center"/>
    </xf>
    <xf numFmtId="2" fontId="33" fillId="28" borderId="167" xfId="0" applyNumberFormat="1" applyFont="1" applyFill="1" applyBorder="1" applyAlignment="1">
      <alignment horizontal="center" vertical="center"/>
    </xf>
    <xf numFmtId="2" fontId="33" fillId="29" borderId="195" xfId="0" applyNumberFormat="1" applyFont="1" applyFill="1" applyBorder="1" applyAlignment="1">
      <alignment horizontal="center" vertical="center"/>
    </xf>
    <xf numFmtId="2" fontId="33" fillId="29" borderId="45" xfId="0" applyNumberFormat="1" applyFont="1" applyFill="1" applyBorder="1" applyAlignment="1">
      <alignment horizontal="center" vertical="center"/>
    </xf>
    <xf numFmtId="2" fontId="33" fillId="29" borderId="167" xfId="0" applyNumberFormat="1" applyFont="1" applyFill="1" applyBorder="1" applyAlignment="1">
      <alignment horizontal="center" vertical="center"/>
    </xf>
    <xf numFmtId="2" fontId="33" fillId="30" borderId="195" xfId="0" applyNumberFormat="1" applyFont="1" applyFill="1" applyBorder="1" applyAlignment="1">
      <alignment horizontal="center" vertical="center"/>
    </xf>
    <xf numFmtId="2" fontId="33" fillId="30" borderId="45" xfId="0" applyNumberFormat="1" applyFont="1" applyFill="1" applyBorder="1" applyAlignment="1">
      <alignment horizontal="center" vertical="center"/>
    </xf>
    <xf numFmtId="2" fontId="33" fillId="30" borderId="167" xfId="0" applyNumberFormat="1" applyFont="1" applyFill="1" applyBorder="1" applyAlignment="1">
      <alignment horizontal="center" vertical="center"/>
    </xf>
    <xf numFmtId="2" fontId="33" fillId="42" borderId="195" xfId="0" applyNumberFormat="1" applyFont="1" applyFill="1" applyBorder="1" applyAlignment="1">
      <alignment horizontal="center" vertical="center"/>
    </xf>
    <xf numFmtId="2" fontId="33" fillId="42" borderId="45" xfId="0" applyNumberFormat="1" applyFont="1" applyFill="1" applyBorder="1" applyAlignment="1">
      <alignment horizontal="center" vertical="center"/>
    </xf>
    <xf numFmtId="2" fontId="33" fillId="42" borderId="167" xfId="0" applyNumberFormat="1" applyFont="1" applyFill="1" applyBorder="1" applyAlignment="1">
      <alignment horizontal="center" vertical="center"/>
    </xf>
    <xf numFmtId="2" fontId="33" fillId="37" borderId="195" xfId="0" applyNumberFormat="1" applyFont="1" applyFill="1" applyBorder="1" applyAlignment="1">
      <alignment horizontal="center" vertical="center"/>
    </xf>
    <xf numFmtId="2" fontId="33" fillId="37" borderId="45" xfId="0" applyNumberFormat="1" applyFont="1" applyFill="1" applyBorder="1" applyAlignment="1">
      <alignment horizontal="center" vertical="center"/>
    </xf>
    <xf numFmtId="2" fontId="33" fillId="37" borderId="167" xfId="0" applyNumberFormat="1" applyFont="1" applyFill="1" applyBorder="1" applyAlignment="1">
      <alignment horizontal="center" vertical="center"/>
    </xf>
    <xf numFmtId="2" fontId="33" fillId="32" borderId="195" xfId="0" applyNumberFormat="1" applyFont="1" applyFill="1" applyBorder="1" applyAlignment="1">
      <alignment horizontal="center" vertical="center"/>
    </xf>
    <xf numFmtId="2" fontId="33" fillId="32" borderId="45" xfId="0" applyNumberFormat="1" applyFont="1" applyFill="1" applyBorder="1" applyAlignment="1">
      <alignment horizontal="center" vertical="center"/>
    </xf>
    <xf numFmtId="2" fontId="33" fillId="32" borderId="167" xfId="0" applyNumberFormat="1" applyFont="1" applyFill="1" applyBorder="1" applyAlignment="1">
      <alignment horizontal="center" vertical="center"/>
    </xf>
    <xf numFmtId="2" fontId="33" fillId="33" borderId="145" xfId="0" applyNumberFormat="1" applyFont="1" applyFill="1" applyBorder="1" applyAlignment="1">
      <alignment horizontal="center" vertical="center"/>
    </xf>
    <xf numFmtId="2" fontId="33" fillId="33" borderId="45" xfId="0" applyNumberFormat="1" applyFont="1" applyFill="1" applyBorder="1" applyAlignment="1">
      <alignment horizontal="center" vertical="center"/>
    </xf>
    <xf numFmtId="2" fontId="33" fillId="33" borderId="51" xfId="0" applyNumberFormat="1" applyFont="1" applyFill="1" applyBorder="1" applyAlignment="1">
      <alignment horizontal="center" vertical="center"/>
    </xf>
    <xf numFmtId="2" fontId="33" fillId="42" borderId="118" xfId="0" applyNumberFormat="1" applyFont="1" applyFill="1" applyBorder="1" applyAlignment="1">
      <alignment horizontal="center" vertical="center"/>
    </xf>
    <xf numFmtId="2" fontId="33" fillId="34" borderId="145" xfId="0" applyNumberFormat="1" applyFont="1" applyFill="1" applyBorder="1" applyAlignment="1">
      <alignment horizontal="center" vertical="center"/>
    </xf>
    <xf numFmtId="2" fontId="33" fillId="34" borderId="45" xfId="0" applyNumberFormat="1" applyFont="1" applyFill="1" applyBorder="1" applyAlignment="1">
      <alignment horizontal="center" vertical="center"/>
    </xf>
    <xf numFmtId="2" fontId="33" fillId="34" borderId="51" xfId="0" applyNumberFormat="1" applyFont="1" applyFill="1" applyBorder="1" applyAlignment="1">
      <alignment horizontal="center" vertical="center"/>
    </xf>
    <xf numFmtId="2" fontId="33" fillId="35" borderId="145" xfId="0" applyNumberFormat="1" applyFont="1" applyFill="1" applyBorder="1" applyAlignment="1">
      <alignment horizontal="center" vertical="center"/>
    </xf>
    <xf numFmtId="2" fontId="33" fillId="35" borderId="45" xfId="0" applyNumberFormat="1" applyFont="1" applyFill="1" applyBorder="1" applyAlignment="1">
      <alignment horizontal="center" vertical="center"/>
    </xf>
    <xf numFmtId="2" fontId="33" fillId="35" borderId="51" xfId="0" applyNumberFormat="1" applyFont="1" applyFill="1" applyBorder="1" applyAlignment="1">
      <alignment horizontal="center" vertical="center"/>
    </xf>
    <xf numFmtId="165" fontId="33" fillId="36" borderId="145" xfId="6" applyFont="1" applyFill="1" applyBorder="1" applyAlignment="1">
      <alignment horizontal="center" vertical="center"/>
    </xf>
    <xf numFmtId="165" fontId="33" fillId="36" borderId="45" xfId="6" applyFont="1" applyFill="1" applyBorder="1" applyAlignment="1">
      <alignment horizontal="center" vertical="center"/>
    </xf>
    <xf numFmtId="165" fontId="33" fillId="36" borderId="51" xfId="6" applyFont="1" applyFill="1" applyBorder="1" applyAlignment="1">
      <alignment horizontal="center" vertical="center"/>
    </xf>
    <xf numFmtId="165" fontId="33" fillId="36" borderId="195" xfId="6" applyFont="1" applyFill="1" applyBorder="1" applyAlignment="1">
      <alignment horizontal="center" vertical="center"/>
    </xf>
    <xf numFmtId="165" fontId="33" fillId="36" borderId="167" xfId="6" applyFont="1" applyFill="1" applyBorder="1" applyAlignment="1">
      <alignment horizontal="center" vertical="center"/>
    </xf>
    <xf numFmtId="0" fontId="3" fillId="3" borderId="131" xfId="0" applyFont="1" applyFill="1" applyBorder="1" applyAlignment="1">
      <alignment horizontal="center" vertical="center"/>
    </xf>
    <xf numFmtId="0" fontId="3" fillId="3" borderId="132" xfId="0" applyFont="1" applyFill="1" applyBorder="1" applyAlignment="1">
      <alignment horizontal="center" vertical="center"/>
    </xf>
    <xf numFmtId="0" fontId="3" fillId="3" borderId="133" xfId="0" applyFont="1" applyFill="1" applyBorder="1" applyAlignment="1">
      <alignment horizontal="center" vertical="center"/>
    </xf>
    <xf numFmtId="166" fontId="14" fillId="26" borderId="145" xfId="6" applyNumberFormat="1" applyFont="1" applyFill="1" applyBorder="1" applyAlignment="1">
      <alignment horizontal="center" vertical="center"/>
    </xf>
    <xf numFmtId="166" fontId="14" fillId="26" borderId="51" xfId="6" applyNumberFormat="1" applyFont="1" applyFill="1" applyBorder="1" applyAlignment="1">
      <alignment horizontal="center" vertical="center"/>
    </xf>
    <xf numFmtId="2" fontId="33" fillId="28" borderId="145" xfId="0" applyNumberFormat="1" applyFont="1" applyFill="1" applyBorder="1" applyAlignment="1">
      <alignment horizontal="center" vertical="center"/>
    </xf>
    <xf numFmtId="2" fontId="33" fillId="28" borderId="51" xfId="0" applyNumberFormat="1" applyFont="1" applyFill="1" applyBorder="1" applyAlignment="1">
      <alignment horizontal="center" vertical="center"/>
    </xf>
    <xf numFmtId="2" fontId="33" fillId="29" borderId="145" xfId="0" applyNumberFormat="1" applyFont="1" applyFill="1" applyBorder="1" applyAlignment="1">
      <alignment horizontal="center" vertical="center"/>
    </xf>
    <xf numFmtId="2" fontId="33" fillId="29" borderId="51" xfId="0" applyNumberFormat="1" applyFont="1" applyFill="1" applyBorder="1" applyAlignment="1">
      <alignment horizontal="center" vertical="center"/>
    </xf>
    <xf numFmtId="2" fontId="33" fillId="30" borderId="145" xfId="0" applyNumberFormat="1" applyFont="1" applyFill="1" applyBorder="1" applyAlignment="1">
      <alignment horizontal="center" vertical="center"/>
    </xf>
    <xf numFmtId="2" fontId="33" fillId="30" borderId="51" xfId="0" applyNumberFormat="1" applyFont="1" applyFill="1" applyBorder="1" applyAlignment="1">
      <alignment horizontal="center" vertical="center"/>
    </xf>
    <xf numFmtId="2" fontId="33" fillId="37" borderId="145" xfId="0" applyNumberFormat="1" applyFont="1" applyFill="1" applyBorder="1" applyAlignment="1">
      <alignment horizontal="center" vertical="center"/>
    </xf>
    <xf numFmtId="2" fontId="33" fillId="37" borderId="51" xfId="0" applyNumberFormat="1" applyFont="1" applyFill="1" applyBorder="1" applyAlignment="1">
      <alignment horizontal="center" vertical="center"/>
    </xf>
    <xf numFmtId="2" fontId="33" fillId="32" borderId="145" xfId="0" applyNumberFormat="1" applyFont="1" applyFill="1" applyBorder="1" applyAlignment="1">
      <alignment horizontal="center" vertical="center"/>
    </xf>
    <xf numFmtId="2" fontId="33" fillId="32" borderId="51" xfId="0" applyNumberFormat="1" applyFont="1" applyFill="1" applyBorder="1" applyAlignment="1">
      <alignment horizontal="center" vertical="center"/>
    </xf>
    <xf numFmtId="2" fontId="33" fillId="33" borderId="195" xfId="0" applyNumberFormat="1" applyFont="1" applyFill="1" applyBorder="1" applyAlignment="1">
      <alignment horizontal="center" vertical="center"/>
    </xf>
    <xf numFmtId="2" fontId="33" fillId="33" borderId="167" xfId="0" applyNumberFormat="1" applyFont="1" applyFill="1" applyBorder="1" applyAlignment="1">
      <alignment horizontal="center" vertical="center"/>
    </xf>
    <xf numFmtId="2" fontId="33" fillId="34" borderId="195" xfId="0" applyNumberFormat="1" applyFont="1" applyFill="1" applyBorder="1" applyAlignment="1">
      <alignment horizontal="center" vertical="center"/>
    </xf>
    <xf numFmtId="2" fontId="33" fillId="34" borderId="167" xfId="0" applyNumberFormat="1" applyFont="1" applyFill="1" applyBorder="1" applyAlignment="1">
      <alignment horizontal="center" vertical="center"/>
    </xf>
    <xf numFmtId="2" fontId="33" fillId="35" borderId="195" xfId="0" applyNumberFormat="1" applyFont="1" applyFill="1" applyBorder="1" applyAlignment="1">
      <alignment horizontal="center" vertical="center"/>
    </xf>
    <xf numFmtId="2" fontId="33" fillId="35" borderId="167" xfId="0" applyNumberFormat="1" applyFont="1" applyFill="1" applyBorder="1" applyAlignment="1">
      <alignment horizontal="center" vertical="center"/>
    </xf>
    <xf numFmtId="2" fontId="33" fillId="35" borderId="148" xfId="0" applyNumberFormat="1" applyFont="1" applyFill="1" applyBorder="1" applyAlignment="1">
      <alignment horizontal="center" vertical="center"/>
    </xf>
    <xf numFmtId="165" fontId="33" fillId="36" borderId="148" xfId="6" applyFont="1" applyFill="1" applyBorder="1" applyAlignment="1">
      <alignment horizontal="center" vertical="center"/>
    </xf>
    <xf numFmtId="0" fontId="3" fillId="3" borderId="11" xfId="0" applyFont="1" applyFill="1" applyBorder="1" applyAlignment="1">
      <alignment horizontal="center" vertical="center"/>
    </xf>
    <xf numFmtId="0" fontId="3" fillId="3" borderId="12" xfId="0" applyFont="1" applyFill="1" applyBorder="1" applyAlignment="1">
      <alignment horizontal="center" vertical="center"/>
    </xf>
    <xf numFmtId="0" fontId="3" fillId="3" borderId="13" xfId="0" applyFont="1" applyFill="1" applyBorder="1" applyAlignment="1">
      <alignment horizontal="center" vertical="center"/>
    </xf>
    <xf numFmtId="166" fontId="14" fillId="26" borderId="148" xfId="6" applyNumberFormat="1" applyFont="1" applyFill="1" applyBorder="1" applyAlignment="1">
      <alignment horizontal="center" vertical="center" wrapText="1"/>
    </xf>
    <xf numFmtId="166" fontId="14" fillId="26" borderId="45" xfId="6" applyNumberFormat="1" applyFont="1" applyFill="1" applyBorder="1" applyAlignment="1">
      <alignment horizontal="center" vertical="center" wrapText="1"/>
    </xf>
    <xf numFmtId="166" fontId="14" fillId="26" borderId="167" xfId="6" applyNumberFormat="1" applyFont="1" applyFill="1" applyBorder="1" applyAlignment="1">
      <alignment horizontal="center" vertical="center" wrapText="1"/>
    </xf>
    <xf numFmtId="2" fontId="33" fillId="28" borderId="148" xfId="0" applyNumberFormat="1" applyFont="1" applyFill="1" applyBorder="1" applyAlignment="1">
      <alignment horizontal="center" vertical="center"/>
    </xf>
    <xf numFmtId="2" fontId="33" fillId="29" borderId="148" xfId="0" applyNumberFormat="1" applyFont="1" applyFill="1" applyBorder="1" applyAlignment="1">
      <alignment horizontal="center" vertical="center"/>
    </xf>
    <xf numFmtId="2" fontId="33" fillId="30" borderId="148" xfId="0" applyNumberFormat="1" applyFont="1" applyFill="1" applyBorder="1" applyAlignment="1">
      <alignment horizontal="center" vertical="center"/>
    </xf>
    <xf numFmtId="2" fontId="33" fillId="37" borderId="148" xfId="0" applyNumberFormat="1" applyFont="1" applyFill="1" applyBorder="1" applyAlignment="1">
      <alignment horizontal="center" vertical="center"/>
    </xf>
    <xf numFmtId="2" fontId="33" fillId="32" borderId="148" xfId="0" applyNumberFormat="1" applyFont="1" applyFill="1" applyBorder="1" applyAlignment="1">
      <alignment horizontal="center" vertical="center"/>
    </xf>
    <xf numFmtId="2" fontId="33" fillId="33" borderId="148" xfId="0" applyNumberFormat="1" applyFont="1" applyFill="1" applyBorder="1" applyAlignment="1">
      <alignment horizontal="center" vertical="center"/>
    </xf>
    <xf numFmtId="2" fontId="33" fillId="34" borderId="148" xfId="0" applyNumberFormat="1" applyFont="1" applyFill="1" applyBorder="1" applyAlignment="1">
      <alignment horizontal="center" vertical="center"/>
    </xf>
    <xf numFmtId="165" fontId="33" fillId="36" borderId="122" xfId="6" applyFont="1" applyFill="1" applyBorder="1" applyAlignment="1">
      <alignment horizontal="center" vertical="center"/>
    </xf>
    <xf numFmtId="165" fontId="33" fillId="36" borderId="118" xfId="6" applyFont="1" applyFill="1" applyBorder="1" applyAlignment="1">
      <alignment horizontal="center" vertical="center"/>
    </xf>
    <xf numFmtId="0" fontId="3" fillId="0" borderId="11" xfId="0" applyFont="1" applyFill="1" applyBorder="1" applyAlignment="1">
      <alignment horizontal="center" vertical="center"/>
    </xf>
    <xf numFmtId="0" fontId="3" fillId="0" borderId="12" xfId="0" applyFont="1" applyFill="1" applyBorder="1" applyAlignment="1">
      <alignment horizontal="center" vertical="center"/>
    </xf>
    <xf numFmtId="0" fontId="3" fillId="0" borderId="13" xfId="0" applyFont="1" applyFill="1" applyBorder="1" applyAlignment="1">
      <alignment horizontal="center" vertical="center"/>
    </xf>
    <xf numFmtId="166" fontId="34" fillId="26" borderId="129" xfId="6" applyNumberFormat="1" applyFont="1" applyFill="1" applyBorder="1" applyAlignment="1">
      <alignment horizontal="center" vertical="center"/>
    </xf>
    <xf numFmtId="166" fontId="34" fillId="26" borderId="45" xfId="6" applyNumberFormat="1" applyFont="1" applyFill="1" applyBorder="1" applyAlignment="1">
      <alignment horizontal="center" vertical="center"/>
    </xf>
    <xf numFmtId="166" fontId="34" fillId="26" borderId="51" xfId="6" applyNumberFormat="1" applyFont="1" applyFill="1" applyBorder="1" applyAlignment="1">
      <alignment horizontal="center" vertical="center"/>
    </xf>
    <xf numFmtId="2" fontId="16" fillId="28" borderId="129" xfId="0" applyNumberFormat="1" applyFont="1" applyFill="1" applyBorder="1" applyAlignment="1">
      <alignment horizontal="center" vertical="center"/>
    </xf>
    <xf numFmtId="2" fontId="16" fillId="28" borderId="45" xfId="0" applyNumberFormat="1" applyFont="1" applyFill="1" applyBorder="1" applyAlignment="1">
      <alignment horizontal="center" vertical="center"/>
    </xf>
    <xf numFmtId="2" fontId="16" fillId="28" borderId="51" xfId="0" applyNumberFormat="1" applyFont="1" applyFill="1" applyBorder="1" applyAlignment="1">
      <alignment horizontal="center" vertical="center"/>
    </xf>
    <xf numFmtId="2" fontId="16" fillId="29" borderId="129" xfId="0" applyNumberFormat="1" applyFont="1" applyFill="1" applyBorder="1" applyAlignment="1">
      <alignment horizontal="center" vertical="center"/>
    </xf>
    <xf numFmtId="2" fontId="16" fillId="29" borderId="45" xfId="0" applyNumberFormat="1" applyFont="1" applyFill="1" applyBorder="1" applyAlignment="1">
      <alignment horizontal="center" vertical="center"/>
    </xf>
    <xf numFmtId="2" fontId="16" fillId="29" borderId="51" xfId="0" applyNumberFormat="1" applyFont="1" applyFill="1" applyBorder="1" applyAlignment="1">
      <alignment horizontal="center" vertical="center"/>
    </xf>
    <xf numFmtId="2" fontId="16" fillId="30" borderId="129" xfId="0" applyNumberFormat="1" applyFont="1" applyFill="1" applyBorder="1" applyAlignment="1">
      <alignment horizontal="center" vertical="center"/>
    </xf>
    <xf numFmtId="2" fontId="16" fillId="30" borderId="45" xfId="0" applyNumberFormat="1" applyFont="1" applyFill="1" applyBorder="1" applyAlignment="1">
      <alignment horizontal="center" vertical="center"/>
    </xf>
    <xf numFmtId="2" fontId="16" fillId="30" borderId="51" xfId="0" applyNumberFormat="1" applyFont="1" applyFill="1" applyBorder="1" applyAlignment="1">
      <alignment horizontal="center" vertical="center"/>
    </xf>
    <xf numFmtId="2" fontId="16" fillId="37" borderId="129" xfId="0" applyNumberFormat="1" applyFont="1" applyFill="1" applyBorder="1" applyAlignment="1">
      <alignment horizontal="center" vertical="center"/>
    </xf>
    <xf numFmtId="2" fontId="16" fillId="37" borderId="45" xfId="0" applyNumberFormat="1" applyFont="1" applyFill="1" applyBorder="1" applyAlignment="1">
      <alignment horizontal="center" vertical="center"/>
    </xf>
    <xf numFmtId="2" fontId="16" fillId="37" borderId="51" xfId="0" applyNumberFormat="1" applyFont="1" applyFill="1" applyBorder="1" applyAlignment="1">
      <alignment horizontal="center" vertical="center"/>
    </xf>
    <xf numFmtId="2" fontId="16" fillId="32" borderId="129" xfId="0" applyNumberFormat="1" applyFont="1" applyFill="1" applyBorder="1" applyAlignment="1">
      <alignment horizontal="center" vertical="center"/>
    </xf>
    <xf numFmtId="2" fontId="16" fillId="32" borderId="45" xfId="0" applyNumberFormat="1" applyFont="1" applyFill="1" applyBorder="1" applyAlignment="1">
      <alignment horizontal="center" vertical="center"/>
    </xf>
    <xf numFmtId="2" fontId="16" fillId="32" borderId="51" xfId="0" applyNumberFormat="1" applyFont="1" applyFill="1" applyBorder="1" applyAlignment="1">
      <alignment horizontal="center" vertical="center"/>
    </xf>
    <xf numFmtId="2" fontId="16" fillId="33" borderId="129" xfId="0" applyNumberFormat="1" applyFont="1" applyFill="1" applyBorder="1" applyAlignment="1">
      <alignment horizontal="center" vertical="center"/>
    </xf>
    <xf numFmtId="2" fontId="16" fillId="33" borderId="45" xfId="0" applyNumberFormat="1" applyFont="1" applyFill="1" applyBorder="1" applyAlignment="1">
      <alignment horizontal="center" vertical="center"/>
    </xf>
    <xf numFmtId="2" fontId="16" fillId="33" borderId="51" xfId="0" applyNumberFormat="1" applyFont="1" applyFill="1" applyBorder="1" applyAlignment="1">
      <alignment horizontal="center" vertical="center"/>
    </xf>
    <xf numFmtId="2" fontId="16" fillId="34" borderId="129" xfId="0" applyNumberFormat="1" applyFont="1" applyFill="1" applyBorder="1" applyAlignment="1">
      <alignment horizontal="center" vertical="center"/>
    </xf>
    <xf numFmtId="2" fontId="16" fillId="34" borderId="45" xfId="0" applyNumberFormat="1" applyFont="1" applyFill="1" applyBorder="1" applyAlignment="1">
      <alignment horizontal="center" vertical="center"/>
    </xf>
    <xf numFmtId="2" fontId="16" fillId="34" borderId="51" xfId="0" applyNumberFormat="1" applyFont="1" applyFill="1" applyBorder="1" applyAlignment="1">
      <alignment horizontal="center" vertical="center"/>
    </xf>
    <xf numFmtId="0" fontId="33" fillId="42" borderId="195" xfId="0" applyFont="1" applyFill="1" applyBorder="1" applyAlignment="1">
      <alignment horizontal="center" vertical="center"/>
    </xf>
    <xf numFmtId="0" fontId="33" fillId="42" borderId="118" xfId="0" applyFont="1" applyFill="1" applyBorder="1" applyAlignment="1">
      <alignment horizontal="center" vertical="center"/>
    </xf>
    <xf numFmtId="0" fontId="33" fillId="42" borderId="167" xfId="0" applyFont="1" applyFill="1" applyBorder="1" applyAlignment="1">
      <alignment horizontal="center" vertical="center"/>
    </xf>
    <xf numFmtId="0" fontId="33" fillId="33" borderId="122" xfId="0" applyFont="1" applyFill="1" applyBorder="1" applyAlignment="1">
      <alignment horizontal="center" vertical="center"/>
    </xf>
    <xf numFmtId="0" fontId="33" fillId="33" borderId="118" xfId="0" applyFont="1" applyFill="1" applyBorder="1" applyAlignment="1">
      <alignment horizontal="center" vertical="center"/>
    </xf>
    <xf numFmtId="0" fontId="33" fillId="33" borderId="51" xfId="0" applyFont="1" applyFill="1" applyBorder="1" applyAlignment="1">
      <alignment horizontal="center" vertical="center"/>
    </xf>
    <xf numFmtId="0" fontId="33" fillId="34" borderId="122" xfId="0" applyFont="1" applyFill="1" applyBorder="1" applyAlignment="1">
      <alignment horizontal="center" vertical="center"/>
    </xf>
    <xf numFmtId="0" fontId="33" fillId="34" borderId="118" xfId="0" applyFont="1" applyFill="1" applyBorder="1" applyAlignment="1">
      <alignment horizontal="center" vertical="center"/>
    </xf>
    <xf numFmtId="0" fontId="33" fillId="34" borderId="51" xfId="0" applyFont="1" applyFill="1" applyBorder="1" applyAlignment="1">
      <alignment horizontal="center" vertical="center"/>
    </xf>
    <xf numFmtId="0" fontId="33" fillId="35" borderId="122" xfId="0" applyFont="1" applyFill="1" applyBorder="1" applyAlignment="1">
      <alignment horizontal="center" vertical="center"/>
    </xf>
    <xf numFmtId="0" fontId="33" fillId="35" borderId="118" xfId="0" applyFont="1" applyFill="1" applyBorder="1" applyAlignment="1">
      <alignment horizontal="center" vertical="center"/>
    </xf>
    <xf numFmtId="0" fontId="33" fillId="35" borderId="51" xfId="0" applyFont="1" applyFill="1" applyBorder="1" applyAlignment="1">
      <alignment horizontal="center" vertical="center"/>
    </xf>
    <xf numFmtId="2" fontId="16" fillId="35" borderId="129" xfId="0" applyNumberFormat="1" applyFont="1" applyFill="1" applyBorder="1" applyAlignment="1">
      <alignment horizontal="center" vertical="center"/>
    </xf>
    <xf numFmtId="2" fontId="16" fillId="35" borderId="45" xfId="0" applyNumberFormat="1" applyFont="1" applyFill="1" applyBorder="1" applyAlignment="1">
      <alignment horizontal="center" vertical="center"/>
    </xf>
    <xf numFmtId="2" fontId="16" fillId="35" borderId="51" xfId="0" applyNumberFormat="1" applyFont="1" applyFill="1" applyBorder="1" applyAlignment="1">
      <alignment horizontal="center" vertical="center"/>
    </xf>
    <xf numFmtId="165" fontId="16" fillId="36" borderId="129" xfId="6" applyFont="1" applyFill="1" applyBorder="1" applyAlignment="1">
      <alignment horizontal="center" vertical="center"/>
    </xf>
    <xf numFmtId="165" fontId="16" fillId="36" borderId="45" xfId="6" applyFont="1" applyFill="1" applyBorder="1" applyAlignment="1">
      <alignment horizontal="center" vertical="center"/>
    </xf>
    <xf numFmtId="165" fontId="16" fillId="36" borderId="51" xfId="6" applyFont="1" applyFill="1" applyBorder="1" applyAlignment="1">
      <alignment horizontal="center" vertical="center"/>
    </xf>
    <xf numFmtId="0" fontId="3" fillId="3" borderId="16" xfId="0" applyFont="1" applyFill="1" applyBorder="1" applyAlignment="1">
      <alignment horizontal="center" vertical="center"/>
    </xf>
    <xf numFmtId="166" fontId="14" fillId="26" borderId="122" xfId="6" applyNumberFormat="1" applyFont="1" applyFill="1" applyBorder="1" applyAlignment="1">
      <alignment horizontal="center" vertical="center"/>
    </xf>
    <xf numFmtId="166" fontId="14" fillId="26" borderId="118" xfId="6" applyNumberFormat="1" applyFont="1" applyFill="1" applyBorder="1" applyAlignment="1">
      <alignment horizontal="center" vertical="center"/>
    </xf>
    <xf numFmtId="0" fontId="33" fillId="28" borderId="122" xfId="0" applyFont="1" applyFill="1" applyBorder="1" applyAlignment="1">
      <alignment horizontal="center" vertical="center"/>
    </xf>
    <xf numFmtId="0" fontId="33" fillId="28" borderId="118" xfId="0" applyFont="1" applyFill="1" applyBorder="1" applyAlignment="1">
      <alignment horizontal="center" vertical="center"/>
    </xf>
    <xf numFmtId="0" fontId="33" fillId="28" borderId="51" xfId="0" applyFont="1" applyFill="1" applyBorder="1" applyAlignment="1">
      <alignment horizontal="center" vertical="center"/>
    </xf>
    <xf numFmtId="166" fontId="14" fillId="26" borderId="129" xfId="6" applyNumberFormat="1" applyFont="1" applyFill="1" applyBorder="1" applyAlignment="1">
      <alignment horizontal="center" vertical="center"/>
    </xf>
    <xf numFmtId="2" fontId="33" fillId="28" borderId="129" xfId="0" applyNumberFormat="1" applyFont="1" applyFill="1" applyBorder="1" applyAlignment="1">
      <alignment horizontal="center" vertical="center"/>
    </xf>
    <xf numFmtId="2" fontId="33" fillId="28" borderId="118" xfId="0" applyNumberFormat="1" applyFont="1" applyFill="1" applyBorder="1" applyAlignment="1">
      <alignment horizontal="center" vertical="center"/>
    </xf>
    <xf numFmtId="2" fontId="33" fillId="29" borderId="129" xfId="0" applyNumberFormat="1" applyFont="1" applyFill="1" applyBorder="1" applyAlignment="1">
      <alignment horizontal="center" vertical="center"/>
    </xf>
    <xf numFmtId="2" fontId="33" fillId="29" borderId="118" xfId="0" applyNumberFormat="1" applyFont="1" applyFill="1" applyBorder="1" applyAlignment="1">
      <alignment horizontal="center" vertical="center"/>
    </xf>
    <xf numFmtId="2" fontId="33" fillId="30" borderId="129" xfId="0" applyNumberFormat="1" applyFont="1" applyFill="1" applyBorder="1" applyAlignment="1">
      <alignment horizontal="center" vertical="center"/>
    </xf>
    <xf numFmtId="2" fontId="33" fillId="30" borderId="118" xfId="0" applyNumberFormat="1" applyFont="1" applyFill="1" applyBorder="1" applyAlignment="1">
      <alignment horizontal="center" vertical="center"/>
    </xf>
    <xf numFmtId="2" fontId="33" fillId="37" borderId="129" xfId="0" applyNumberFormat="1" applyFont="1" applyFill="1" applyBorder="1" applyAlignment="1">
      <alignment horizontal="center" vertical="center"/>
    </xf>
    <xf numFmtId="2" fontId="33" fillId="37" borderId="118" xfId="0" applyNumberFormat="1" applyFont="1" applyFill="1" applyBorder="1" applyAlignment="1">
      <alignment horizontal="center" vertical="center"/>
    </xf>
    <xf numFmtId="2" fontId="33" fillId="32" borderId="129" xfId="0" applyNumberFormat="1" applyFont="1" applyFill="1" applyBorder="1" applyAlignment="1">
      <alignment horizontal="center" vertical="center"/>
    </xf>
    <xf numFmtId="2" fontId="33" fillId="32" borderId="118" xfId="0" applyNumberFormat="1" applyFont="1" applyFill="1" applyBorder="1" applyAlignment="1">
      <alignment horizontal="center" vertical="center"/>
    </xf>
    <xf numFmtId="0" fontId="33" fillId="29" borderId="122" xfId="0" applyFont="1" applyFill="1" applyBorder="1" applyAlignment="1">
      <alignment horizontal="center" vertical="center"/>
    </xf>
    <xf numFmtId="0" fontId="33" fillId="29" borderId="118" xfId="0" applyFont="1" applyFill="1" applyBorder="1" applyAlignment="1">
      <alignment horizontal="center" vertical="center"/>
    </xf>
    <xf numFmtId="0" fontId="33" fillId="29" borderId="51" xfId="0" applyFont="1" applyFill="1" applyBorder="1" applyAlignment="1">
      <alignment horizontal="center" vertical="center"/>
    </xf>
    <xf numFmtId="0" fontId="33" fillId="30" borderId="122" xfId="0" applyFont="1" applyFill="1" applyBorder="1" applyAlignment="1">
      <alignment horizontal="center" vertical="center"/>
    </xf>
    <xf numFmtId="0" fontId="33" fillId="30" borderId="118" xfId="0" applyFont="1" applyFill="1" applyBorder="1" applyAlignment="1">
      <alignment horizontal="center" vertical="center"/>
    </xf>
    <xf numFmtId="0" fontId="33" fillId="30" borderId="51" xfId="0" applyFont="1" applyFill="1" applyBorder="1" applyAlignment="1">
      <alignment horizontal="center" vertical="center"/>
    </xf>
    <xf numFmtId="0" fontId="33" fillId="37" borderId="122" xfId="0" applyFont="1" applyFill="1" applyBorder="1" applyAlignment="1">
      <alignment horizontal="center" vertical="center"/>
    </xf>
    <xf numFmtId="0" fontId="33" fillId="37" borderId="118" xfId="0" applyFont="1" applyFill="1" applyBorder="1" applyAlignment="1">
      <alignment horizontal="center" vertical="center"/>
    </xf>
    <xf numFmtId="0" fontId="33" fillId="37" borderId="51" xfId="0" applyFont="1" applyFill="1" applyBorder="1" applyAlignment="1">
      <alignment horizontal="center" vertical="center"/>
    </xf>
    <xf numFmtId="0" fontId="33" fillId="32" borderId="122" xfId="0" applyFont="1" applyFill="1" applyBorder="1" applyAlignment="1">
      <alignment horizontal="center" vertical="center"/>
    </xf>
    <xf numFmtId="0" fontId="33" fillId="32" borderId="118" xfId="0" applyFont="1" applyFill="1" applyBorder="1" applyAlignment="1">
      <alignment horizontal="center" vertical="center"/>
    </xf>
    <xf numFmtId="0" fontId="33" fillId="32" borderId="51" xfId="0" applyFont="1" applyFill="1" applyBorder="1" applyAlignment="1">
      <alignment horizontal="center" vertical="center"/>
    </xf>
    <xf numFmtId="2" fontId="33" fillId="33" borderId="122" xfId="0" applyNumberFormat="1" applyFont="1" applyFill="1" applyBorder="1" applyAlignment="1">
      <alignment horizontal="center" vertical="center"/>
    </xf>
    <xf numFmtId="2" fontId="33" fillId="42" borderId="193" xfId="0" applyNumberFormat="1" applyFont="1" applyFill="1" applyBorder="1" applyAlignment="1">
      <alignment horizontal="center" vertical="center"/>
    </xf>
    <xf numFmtId="165" fontId="33" fillId="36" borderId="129" xfId="6" applyFont="1" applyFill="1" applyBorder="1" applyAlignment="1">
      <alignment horizontal="center" vertical="center"/>
    </xf>
    <xf numFmtId="2" fontId="33" fillId="33" borderId="129" xfId="0" applyNumberFormat="1" applyFont="1" applyFill="1" applyBorder="1" applyAlignment="1">
      <alignment horizontal="center" vertical="center"/>
    </xf>
    <xf numFmtId="2" fontId="33" fillId="33" borderId="118" xfId="0" applyNumberFormat="1" applyFont="1" applyFill="1" applyBorder="1" applyAlignment="1">
      <alignment horizontal="center" vertical="center"/>
    </xf>
    <xf numFmtId="2" fontId="33" fillId="34" borderId="129" xfId="0" applyNumberFormat="1" applyFont="1" applyFill="1" applyBorder="1" applyAlignment="1">
      <alignment horizontal="center" vertical="center"/>
    </xf>
    <xf numFmtId="2" fontId="33" fillId="34" borderId="118" xfId="0" applyNumberFormat="1" applyFont="1" applyFill="1" applyBorder="1" applyAlignment="1">
      <alignment horizontal="center" vertical="center"/>
    </xf>
    <xf numFmtId="2" fontId="33" fillId="35" borderId="129" xfId="0" applyNumberFormat="1" applyFont="1" applyFill="1" applyBorder="1" applyAlignment="1">
      <alignment horizontal="center" vertical="center"/>
    </xf>
    <xf numFmtId="2" fontId="33" fillId="35" borderId="118" xfId="0" applyNumberFormat="1" applyFont="1" applyFill="1" applyBorder="1" applyAlignment="1">
      <alignment horizontal="center" vertical="center"/>
    </xf>
    <xf numFmtId="2" fontId="33" fillId="37" borderId="122" xfId="0" applyNumberFormat="1" applyFont="1" applyFill="1" applyBorder="1" applyAlignment="1">
      <alignment horizontal="center" vertical="center"/>
    </xf>
    <xf numFmtId="2" fontId="33" fillId="32" borderId="122" xfId="0" applyNumberFormat="1" applyFont="1" applyFill="1" applyBorder="1" applyAlignment="1">
      <alignment horizontal="center" vertical="center"/>
    </xf>
    <xf numFmtId="2" fontId="16" fillId="32" borderId="130" xfId="0" applyNumberFormat="1" applyFont="1" applyFill="1" applyBorder="1" applyAlignment="1">
      <alignment horizontal="center" vertical="center"/>
    </xf>
    <xf numFmtId="2" fontId="16" fillId="33" borderId="130" xfId="0" applyNumberFormat="1" applyFont="1" applyFill="1" applyBorder="1" applyAlignment="1">
      <alignment horizontal="center" vertical="center"/>
    </xf>
    <xf numFmtId="2" fontId="16" fillId="34" borderId="130" xfId="0" applyNumberFormat="1" applyFont="1" applyFill="1" applyBorder="1" applyAlignment="1">
      <alignment horizontal="center" vertical="center"/>
    </xf>
    <xf numFmtId="2" fontId="16" fillId="35" borderId="130" xfId="0" applyNumberFormat="1" applyFont="1" applyFill="1" applyBorder="1" applyAlignment="1">
      <alignment horizontal="center" vertical="center"/>
    </xf>
    <xf numFmtId="165" fontId="16" fillId="36" borderId="130" xfId="6" applyFont="1" applyFill="1" applyBorder="1" applyAlignment="1">
      <alignment horizontal="center" vertical="center"/>
    </xf>
    <xf numFmtId="166" fontId="14" fillId="26" borderId="31" xfId="6" applyNumberFormat="1" applyFont="1" applyFill="1" applyBorder="1" applyAlignment="1">
      <alignment horizontal="center" vertical="center"/>
    </xf>
    <xf numFmtId="2" fontId="33" fillId="28" borderId="122" xfId="0" applyNumberFormat="1" applyFont="1" applyFill="1" applyBorder="1" applyAlignment="1">
      <alignment horizontal="center" vertical="center"/>
    </xf>
    <xf numFmtId="2" fontId="33" fillId="29" borderId="122" xfId="0" applyNumberFormat="1" applyFont="1" applyFill="1" applyBorder="1" applyAlignment="1">
      <alignment horizontal="center" vertical="center"/>
    </xf>
    <xf numFmtId="2" fontId="33" fillId="30" borderId="122" xfId="0" applyNumberFormat="1" applyFont="1" applyFill="1" applyBorder="1" applyAlignment="1">
      <alignment horizontal="center" vertical="center"/>
    </xf>
    <xf numFmtId="2" fontId="16" fillId="28" borderId="130" xfId="0" applyNumberFormat="1" applyFont="1" applyFill="1" applyBorder="1" applyAlignment="1">
      <alignment horizontal="center" vertical="center"/>
    </xf>
    <xf numFmtId="2" fontId="16" fillId="29" borderId="130" xfId="0" applyNumberFormat="1" applyFont="1" applyFill="1" applyBorder="1" applyAlignment="1">
      <alignment horizontal="center" vertical="center"/>
    </xf>
    <xf numFmtId="2" fontId="16" fillId="30" borderId="130" xfId="0" applyNumberFormat="1" applyFont="1" applyFill="1" applyBorder="1" applyAlignment="1">
      <alignment horizontal="center" vertical="center"/>
    </xf>
    <xf numFmtId="2" fontId="16" fillId="37" borderId="130" xfId="0" applyNumberFormat="1" applyFont="1" applyFill="1" applyBorder="1" applyAlignment="1">
      <alignment horizontal="center" vertical="center"/>
    </xf>
    <xf numFmtId="2" fontId="33" fillId="34" borderId="122" xfId="0" applyNumberFormat="1" applyFont="1" applyFill="1" applyBorder="1" applyAlignment="1">
      <alignment horizontal="center" vertical="center"/>
    </xf>
    <xf numFmtId="2" fontId="33" fillId="35" borderId="122" xfId="0" applyNumberFormat="1" applyFont="1" applyFill="1" applyBorder="1" applyAlignment="1">
      <alignment horizontal="center" vertical="center"/>
    </xf>
    <xf numFmtId="165" fontId="33" fillId="36" borderId="128" xfId="6" applyFont="1" applyFill="1" applyBorder="1" applyAlignment="1">
      <alignment horizontal="center" vertical="center"/>
    </xf>
    <xf numFmtId="166" fontId="14" fillId="26" borderId="138" xfId="6" applyNumberFormat="1" applyFont="1" applyFill="1" applyBorder="1" applyAlignment="1">
      <alignment horizontal="center" vertical="center"/>
    </xf>
    <xf numFmtId="2" fontId="33" fillId="28" borderId="138" xfId="0" applyNumberFormat="1" applyFont="1" applyFill="1" applyBorder="1" applyAlignment="1">
      <alignment horizontal="center" vertical="center"/>
    </xf>
    <xf numFmtId="2" fontId="33" fillId="29" borderId="138" xfId="0" applyNumberFormat="1" applyFont="1" applyFill="1" applyBorder="1" applyAlignment="1">
      <alignment horizontal="center" vertical="center"/>
    </xf>
    <xf numFmtId="2" fontId="33" fillId="30" borderId="138" xfId="0" applyNumberFormat="1" applyFont="1" applyFill="1" applyBorder="1" applyAlignment="1">
      <alignment horizontal="center" vertical="center"/>
    </xf>
    <xf numFmtId="2" fontId="33" fillId="42" borderId="168" xfId="0" applyNumberFormat="1" applyFont="1" applyFill="1" applyBorder="1" applyAlignment="1">
      <alignment horizontal="center" vertical="center"/>
    </xf>
    <xf numFmtId="2" fontId="33" fillId="37" borderId="138" xfId="0" applyNumberFormat="1" applyFont="1" applyFill="1" applyBorder="1" applyAlignment="1">
      <alignment horizontal="center" vertical="center"/>
    </xf>
    <xf numFmtId="2" fontId="33" fillId="37" borderId="128" xfId="0" applyNumberFormat="1" applyFont="1" applyFill="1" applyBorder="1" applyAlignment="1">
      <alignment horizontal="center" vertical="center"/>
    </xf>
    <xf numFmtId="2" fontId="33" fillId="32" borderId="128" xfId="0" applyNumberFormat="1" applyFont="1" applyFill="1" applyBorder="1" applyAlignment="1">
      <alignment horizontal="center" vertical="center"/>
    </xf>
    <xf numFmtId="2" fontId="33" fillId="33" borderId="128" xfId="0" applyNumberFormat="1" applyFont="1" applyFill="1" applyBorder="1" applyAlignment="1">
      <alignment horizontal="center" vertical="center"/>
    </xf>
    <xf numFmtId="2" fontId="33" fillId="34" borderId="128" xfId="0" applyNumberFormat="1" applyFont="1" applyFill="1" applyBorder="1" applyAlignment="1">
      <alignment horizontal="center" vertical="center"/>
    </xf>
    <xf numFmtId="2" fontId="33" fillId="35" borderId="138" xfId="0" applyNumberFormat="1" applyFont="1" applyFill="1" applyBorder="1" applyAlignment="1">
      <alignment horizontal="center" vertical="center"/>
    </xf>
    <xf numFmtId="165" fontId="33" fillId="36" borderId="138" xfId="6" applyFont="1" applyFill="1" applyBorder="1" applyAlignment="1">
      <alignment horizontal="center" vertical="center"/>
    </xf>
    <xf numFmtId="2" fontId="33" fillId="33" borderId="138" xfId="0" applyNumberFormat="1" applyFont="1" applyFill="1" applyBorder="1" applyAlignment="1">
      <alignment horizontal="center" vertical="center"/>
    </xf>
    <xf numFmtId="2" fontId="33" fillId="34" borderId="138" xfId="0" applyNumberFormat="1" applyFont="1" applyFill="1" applyBorder="1" applyAlignment="1">
      <alignment horizontal="center" vertical="center"/>
    </xf>
    <xf numFmtId="166" fontId="14" fillId="26" borderId="127" xfId="6" applyNumberFormat="1" applyFont="1" applyFill="1" applyBorder="1" applyAlignment="1">
      <alignment horizontal="center" vertical="center"/>
    </xf>
    <xf numFmtId="2" fontId="33" fillId="28" borderId="128" xfId="0" applyNumberFormat="1" applyFont="1" applyFill="1" applyBorder="1" applyAlignment="1">
      <alignment horizontal="center" vertical="center"/>
    </xf>
    <xf numFmtId="2" fontId="33" fillId="32" borderId="138" xfId="0" applyNumberFormat="1" applyFont="1" applyFill="1" applyBorder="1" applyAlignment="1">
      <alignment horizontal="center" vertical="center"/>
    </xf>
    <xf numFmtId="2" fontId="33" fillId="35" borderId="128" xfId="0" applyNumberFormat="1" applyFont="1" applyFill="1" applyBorder="1" applyAlignment="1">
      <alignment horizontal="center" vertical="center"/>
    </xf>
    <xf numFmtId="2" fontId="33" fillId="29" borderId="128" xfId="0" applyNumberFormat="1" applyFont="1" applyFill="1" applyBorder="1" applyAlignment="1">
      <alignment horizontal="center" vertical="center"/>
    </xf>
    <xf numFmtId="2" fontId="33" fillId="30" borderId="128" xfId="0" applyNumberFormat="1" applyFont="1" applyFill="1" applyBorder="1" applyAlignment="1">
      <alignment horizontal="center" vertical="center"/>
    </xf>
    <xf numFmtId="2" fontId="33" fillId="33" borderId="50" xfId="0" applyNumberFormat="1" applyFont="1" applyFill="1" applyBorder="1" applyAlignment="1">
      <alignment horizontal="center" vertical="center"/>
    </xf>
    <xf numFmtId="2" fontId="33" fillId="33" borderId="42" xfId="0" applyNumberFormat="1" applyFont="1" applyFill="1" applyBorder="1" applyAlignment="1">
      <alignment horizontal="center" vertical="center"/>
    </xf>
    <xf numFmtId="2" fontId="33" fillId="33" borderId="31" xfId="0" applyNumberFormat="1" applyFont="1" applyFill="1" applyBorder="1" applyAlignment="1">
      <alignment horizontal="center" vertical="center"/>
    </xf>
    <xf numFmtId="2" fontId="33" fillId="34" borderId="50" xfId="0" applyNumberFormat="1" applyFont="1" applyFill="1" applyBorder="1" applyAlignment="1">
      <alignment horizontal="center" vertical="center"/>
    </xf>
    <xf numFmtId="2" fontId="33" fillId="34" borderId="42" xfId="0" applyNumberFormat="1" applyFont="1" applyFill="1" applyBorder="1" applyAlignment="1">
      <alignment horizontal="center" vertical="center"/>
    </xf>
    <xf numFmtId="2" fontId="33" fillId="34" borderId="31" xfId="0" applyNumberFormat="1" applyFont="1" applyFill="1" applyBorder="1" applyAlignment="1">
      <alignment horizontal="center" vertical="center"/>
    </xf>
    <xf numFmtId="2" fontId="33" fillId="35" borderId="50" xfId="0" applyNumberFormat="1" applyFont="1" applyFill="1" applyBorder="1" applyAlignment="1">
      <alignment horizontal="center" vertical="center"/>
    </xf>
    <xf numFmtId="2" fontId="33" fillId="35" borderId="42" xfId="0" applyNumberFormat="1" applyFont="1" applyFill="1" applyBorder="1" applyAlignment="1">
      <alignment horizontal="center" vertical="center"/>
    </xf>
    <xf numFmtId="2" fontId="33" fillId="35" borderId="31" xfId="0" applyNumberFormat="1" applyFont="1" applyFill="1" applyBorder="1" applyAlignment="1">
      <alignment horizontal="center" vertical="center"/>
    </xf>
    <xf numFmtId="165" fontId="33" fillId="36" borderId="50" xfId="6" applyFont="1" applyFill="1" applyBorder="1" applyAlignment="1">
      <alignment horizontal="center" vertical="center"/>
    </xf>
    <xf numFmtId="165" fontId="33" fillId="36" borderId="42" xfId="6" applyFont="1" applyFill="1" applyBorder="1" applyAlignment="1">
      <alignment horizontal="center" vertical="center"/>
    </xf>
    <xf numFmtId="165" fontId="33" fillId="36" borderId="31" xfId="6" applyFont="1" applyFill="1" applyBorder="1" applyAlignment="1">
      <alignment horizontal="center" vertical="center"/>
    </xf>
    <xf numFmtId="166" fontId="14" fillId="26" borderId="50" xfId="6" applyNumberFormat="1" applyFont="1" applyFill="1" applyBorder="1" applyAlignment="1">
      <alignment horizontal="center" vertical="center"/>
    </xf>
    <xf numFmtId="166" fontId="14" fillId="26" borderId="42" xfId="6" applyNumberFormat="1" applyFont="1" applyFill="1" applyBorder="1" applyAlignment="1">
      <alignment horizontal="center" vertical="center"/>
    </xf>
    <xf numFmtId="2" fontId="33" fillId="28" borderId="50" xfId="0" applyNumberFormat="1" applyFont="1" applyFill="1" applyBorder="1" applyAlignment="1">
      <alignment horizontal="center" vertical="center"/>
    </xf>
    <xf numFmtId="2" fontId="33" fillId="28" borderId="42" xfId="0" applyNumberFormat="1" applyFont="1" applyFill="1" applyBorder="1" applyAlignment="1">
      <alignment horizontal="center" vertical="center"/>
    </xf>
    <xf numFmtId="2" fontId="33" fillId="28" borderId="31" xfId="0" applyNumberFormat="1" applyFont="1" applyFill="1" applyBorder="1" applyAlignment="1">
      <alignment horizontal="center" vertical="center"/>
    </xf>
    <xf numFmtId="2" fontId="33" fillId="29" borderId="50" xfId="0" applyNumberFormat="1" applyFont="1" applyFill="1" applyBorder="1" applyAlignment="1">
      <alignment horizontal="center" vertical="center"/>
    </xf>
    <xf numFmtId="2" fontId="33" fillId="29" borderId="42" xfId="0" applyNumberFormat="1" applyFont="1" applyFill="1" applyBorder="1" applyAlignment="1">
      <alignment horizontal="center" vertical="center"/>
    </xf>
    <xf numFmtId="2" fontId="33" fillId="29" borderId="31" xfId="0" applyNumberFormat="1" applyFont="1" applyFill="1" applyBorder="1" applyAlignment="1">
      <alignment horizontal="center" vertical="center"/>
    </xf>
    <xf numFmtId="2" fontId="33" fillId="30" borderId="50" xfId="0" applyNumberFormat="1" applyFont="1" applyFill="1" applyBorder="1" applyAlignment="1">
      <alignment horizontal="center" vertical="center"/>
    </xf>
    <xf numFmtId="2" fontId="33" fillId="30" borderId="42" xfId="0" applyNumberFormat="1" applyFont="1" applyFill="1" applyBorder="1" applyAlignment="1">
      <alignment horizontal="center" vertical="center"/>
    </xf>
    <xf numFmtId="2" fontId="33" fillId="30" borderId="31" xfId="0" applyNumberFormat="1" applyFont="1" applyFill="1" applyBorder="1" applyAlignment="1">
      <alignment horizontal="center" vertical="center"/>
    </xf>
    <xf numFmtId="2" fontId="33" fillId="37" borderId="50" xfId="0" applyNumberFormat="1" applyFont="1" applyFill="1" applyBorder="1" applyAlignment="1">
      <alignment horizontal="center" vertical="center"/>
    </xf>
    <xf numFmtId="2" fontId="33" fillId="37" borderId="42" xfId="0" applyNumberFormat="1" applyFont="1" applyFill="1" applyBorder="1" applyAlignment="1">
      <alignment horizontal="center" vertical="center"/>
    </xf>
    <xf numFmtId="2" fontId="33" fillId="37" borderId="31" xfId="0" applyNumberFormat="1" applyFont="1" applyFill="1" applyBorder="1" applyAlignment="1">
      <alignment horizontal="center" vertical="center"/>
    </xf>
    <xf numFmtId="2" fontId="33" fillId="32" borderId="50" xfId="0" applyNumberFormat="1" applyFont="1" applyFill="1" applyBorder="1" applyAlignment="1">
      <alignment horizontal="center" vertical="center"/>
    </xf>
    <xf numFmtId="2" fontId="33" fillId="32" borderId="42" xfId="0" applyNumberFormat="1" applyFont="1" applyFill="1" applyBorder="1" applyAlignment="1">
      <alignment horizontal="center" vertical="center"/>
    </xf>
    <xf numFmtId="2" fontId="33" fillId="32" borderId="31" xfId="0" applyNumberFormat="1" applyFont="1" applyFill="1" applyBorder="1" applyAlignment="1">
      <alignment horizontal="center" vertical="center"/>
    </xf>
    <xf numFmtId="166" fontId="14" fillId="26" borderId="148" xfId="6" applyNumberFormat="1" applyFont="1" applyFill="1" applyBorder="1" applyAlignment="1">
      <alignment horizontal="center" vertical="center"/>
    </xf>
    <xf numFmtId="2" fontId="33" fillId="28" borderId="168" xfId="0" applyNumberFormat="1" applyFont="1" applyFill="1" applyBorder="1" applyAlignment="1">
      <alignment horizontal="center" vertical="center"/>
    </xf>
    <xf numFmtId="2" fontId="33" fillId="29" borderId="168" xfId="0" applyNumberFormat="1" applyFont="1" applyFill="1" applyBorder="1" applyAlignment="1">
      <alignment horizontal="center" vertical="center"/>
    </xf>
    <xf numFmtId="2" fontId="33" fillId="30" borderId="168" xfId="0" applyNumberFormat="1" applyFont="1" applyFill="1" applyBorder="1" applyAlignment="1">
      <alignment horizontal="center" vertical="center"/>
    </xf>
    <xf numFmtId="2" fontId="33" fillId="37" borderId="168" xfId="0" applyNumberFormat="1" applyFont="1" applyFill="1" applyBorder="1" applyAlignment="1">
      <alignment horizontal="center" vertical="center"/>
    </xf>
    <xf numFmtId="2" fontId="33" fillId="35" borderId="168" xfId="0" applyNumberFormat="1" applyFont="1" applyFill="1" applyBorder="1" applyAlignment="1">
      <alignment horizontal="center" vertical="center"/>
    </xf>
    <xf numFmtId="165" fontId="33" fillId="36" borderId="168" xfId="0" applyNumberFormat="1" applyFont="1" applyFill="1" applyBorder="1" applyAlignment="1">
      <alignment horizontal="center" vertical="center"/>
    </xf>
    <xf numFmtId="165" fontId="33" fillId="36" borderId="45" xfId="0" applyNumberFormat="1" applyFont="1" applyFill="1" applyBorder="1" applyAlignment="1">
      <alignment horizontal="center" vertical="center"/>
    </xf>
    <xf numFmtId="165" fontId="33" fillId="36" borderId="167" xfId="0" applyNumberFormat="1" applyFont="1" applyFill="1" applyBorder="1" applyAlignment="1">
      <alignment horizontal="center" vertical="center"/>
    </xf>
    <xf numFmtId="2" fontId="16" fillId="35" borderId="168" xfId="0" applyNumberFormat="1" applyFont="1" applyFill="1" applyBorder="1" applyAlignment="1">
      <alignment horizontal="center" vertical="center"/>
    </xf>
    <xf numFmtId="2" fontId="16" fillId="35" borderId="31" xfId="0" applyNumberFormat="1" applyFont="1" applyFill="1" applyBorder="1" applyAlignment="1">
      <alignment horizontal="center" vertical="center"/>
    </xf>
    <xf numFmtId="165" fontId="16" fillId="36" borderId="168" xfId="6" applyFont="1" applyFill="1" applyBorder="1" applyAlignment="1">
      <alignment horizontal="center" vertical="center"/>
    </xf>
    <xf numFmtId="165" fontId="16" fillId="36" borderId="31" xfId="6" applyFont="1" applyFill="1" applyBorder="1" applyAlignment="1">
      <alignment horizontal="center" vertical="center"/>
    </xf>
    <xf numFmtId="166" fontId="14" fillId="26" borderId="164" xfId="6" applyNumberFormat="1" applyFont="1" applyFill="1" applyBorder="1" applyAlignment="1">
      <alignment horizontal="center" vertical="center"/>
    </xf>
    <xf numFmtId="2" fontId="33" fillId="28" borderId="164" xfId="0" applyNumberFormat="1" applyFont="1" applyFill="1" applyBorder="1" applyAlignment="1">
      <alignment horizontal="center" vertical="center"/>
    </xf>
    <xf numFmtId="2" fontId="33" fillId="29" borderId="164" xfId="0" applyNumberFormat="1" applyFont="1" applyFill="1" applyBorder="1" applyAlignment="1">
      <alignment horizontal="center" vertical="center"/>
    </xf>
    <xf numFmtId="2" fontId="33" fillId="30" borderId="164" xfId="0" applyNumberFormat="1" applyFont="1" applyFill="1" applyBorder="1" applyAlignment="1">
      <alignment horizontal="center" vertical="center"/>
    </xf>
    <xf numFmtId="2" fontId="33" fillId="37" borderId="164" xfId="0" applyNumberFormat="1" applyFont="1" applyFill="1" applyBorder="1" applyAlignment="1">
      <alignment horizontal="center" vertical="center"/>
    </xf>
    <xf numFmtId="2" fontId="33" fillId="35" borderId="164" xfId="0" applyNumberFormat="1" applyFont="1" applyFill="1" applyBorder="1" applyAlignment="1">
      <alignment horizontal="center" vertical="center"/>
    </xf>
    <xf numFmtId="165" fontId="33" fillId="36" borderId="164" xfId="6" applyFont="1" applyFill="1" applyBorder="1" applyAlignment="1">
      <alignment horizontal="center" vertical="center"/>
    </xf>
    <xf numFmtId="2" fontId="33" fillId="34" borderId="164" xfId="0" applyNumberFormat="1" applyFont="1" applyFill="1" applyBorder="1" applyAlignment="1">
      <alignment horizontal="center" vertical="center"/>
    </xf>
    <xf numFmtId="0" fontId="3" fillId="0" borderId="16" xfId="0" applyFont="1" applyFill="1" applyBorder="1" applyAlignment="1">
      <alignment horizontal="center" vertical="center"/>
    </xf>
    <xf numFmtId="0" fontId="3" fillId="0" borderId="15" xfId="0" applyFont="1" applyFill="1" applyBorder="1" applyAlignment="1">
      <alignment horizontal="center" vertical="center"/>
    </xf>
    <xf numFmtId="0" fontId="3" fillId="0" borderId="17" xfId="0" applyFont="1" applyFill="1" applyBorder="1" applyAlignment="1">
      <alignment horizontal="center" vertical="center"/>
    </xf>
    <xf numFmtId="166" fontId="34" fillId="26" borderId="168" xfId="6" applyNumberFormat="1" applyFont="1" applyFill="1" applyBorder="1" applyAlignment="1">
      <alignment horizontal="center" vertical="center"/>
    </xf>
    <xf numFmtId="166" fontId="34" fillId="26" borderId="31" xfId="6" applyNumberFormat="1" applyFont="1" applyFill="1" applyBorder="1" applyAlignment="1">
      <alignment horizontal="center" vertical="center"/>
    </xf>
    <xf numFmtId="2" fontId="16" fillId="28" borderId="168" xfId="6" applyNumberFormat="1" applyFont="1" applyFill="1" applyBorder="1" applyAlignment="1">
      <alignment horizontal="center" vertical="center"/>
    </xf>
    <xf numFmtId="2" fontId="16" fillId="28" borderId="45" xfId="6" applyNumberFormat="1" applyFont="1" applyFill="1" applyBorder="1" applyAlignment="1">
      <alignment horizontal="center" vertical="center"/>
    </xf>
    <xf numFmtId="2" fontId="16" fillId="28" borderId="31" xfId="6" applyNumberFormat="1" applyFont="1" applyFill="1" applyBorder="1" applyAlignment="1">
      <alignment horizontal="center" vertical="center"/>
    </xf>
    <xf numFmtId="2" fontId="16" fillId="29" borderId="168" xfId="0" applyNumberFormat="1" applyFont="1" applyFill="1" applyBorder="1" applyAlignment="1">
      <alignment horizontal="center" vertical="center"/>
    </xf>
    <xf numFmtId="2" fontId="16" fillId="29" borderId="31" xfId="0" applyNumberFormat="1" applyFont="1" applyFill="1" applyBorder="1" applyAlignment="1">
      <alignment horizontal="center" vertical="center"/>
    </xf>
    <xf numFmtId="2" fontId="16" fillId="30" borderId="168" xfId="0" applyNumberFormat="1" applyFont="1" applyFill="1" applyBorder="1" applyAlignment="1">
      <alignment horizontal="center" vertical="center"/>
    </xf>
    <xf numFmtId="2" fontId="16" fillId="30" borderId="31" xfId="0" applyNumberFormat="1" applyFont="1" applyFill="1" applyBorder="1" applyAlignment="1">
      <alignment horizontal="center" vertical="center"/>
    </xf>
    <xf numFmtId="2" fontId="16" fillId="37" borderId="168" xfId="0" applyNumberFormat="1" applyFont="1" applyFill="1" applyBorder="1" applyAlignment="1">
      <alignment horizontal="center" vertical="center"/>
    </xf>
    <xf numFmtId="2" fontId="16" fillId="37" borderId="31" xfId="0" applyNumberFormat="1" applyFont="1" applyFill="1" applyBorder="1" applyAlignment="1">
      <alignment horizontal="center" vertical="center"/>
    </xf>
    <xf numFmtId="2" fontId="16" fillId="32" borderId="168" xfId="0" applyNumberFormat="1" applyFont="1" applyFill="1" applyBorder="1" applyAlignment="1">
      <alignment horizontal="center" vertical="center"/>
    </xf>
    <xf numFmtId="2" fontId="16" fillId="32" borderId="31" xfId="0" applyNumberFormat="1" applyFont="1" applyFill="1" applyBorder="1" applyAlignment="1">
      <alignment horizontal="center" vertical="center"/>
    </xf>
    <xf numFmtId="2" fontId="16" fillId="33" borderId="168" xfId="0" applyNumberFormat="1" applyFont="1" applyFill="1" applyBorder="1" applyAlignment="1">
      <alignment horizontal="center" vertical="center"/>
    </xf>
    <xf numFmtId="2" fontId="16" fillId="33" borderId="31" xfId="0" applyNumberFormat="1" applyFont="1" applyFill="1" applyBorder="1" applyAlignment="1">
      <alignment horizontal="center" vertical="center"/>
    </xf>
    <xf numFmtId="2" fontId="16" fillId="32" borderId="148" xfId="0" applyNumberFormat="1" applyFont="1" applyFill="1" applyBorder="1" applyAlignment="1">
      <alignment horizontal="center" vertical="center"/>
    </xf>
    <xf numFmtId="2" fontId="16" fillId="32" borderId="163" xfId="0" applyNumberFormat="1" applyFont="1" applyFill="1" applyBorder="1" applyAlignment="1">
      <alignment horizontal="center" vertical="center"/>
    </xf>
    <xf numFmtId="2" fontId="16" fillId="33" borderId="148" xfId="0" applyNumberFormat="1" applyFont="1" applyFill="1" applyBorder="1" applyAlignment="1">
      <alignment horizontal="center" vertical="center"/>
    </xf>
    <xf numFmtId="2" fontId="16" fillId="33" borderId="163" xfId="0" applyNumberFormat="1" applyFont="1" applyFill="1" applyBorder="1" applyAlignment="1">
      <alignment horizontal="center" vertical="center"/>
    </xf>
    <xf numFmtId="2" fontId="33" fillId="32" borderId="164" xfId="0" applyNumberFormat="1" applyFont="1" applyFill="1" applyBorder="1" applyAlignment="1">
      <alignment horizontal="center" vertical="center"/>
    </xf>
    <xf numFmtId="2" fontId="33" fillId="33" borderId="164" xfId="0" applyNumberFormat="1" applyFont="1" applyFill="1" applyBorder="1" applyAlignment="1">
      <alignment horizontal="center" vertical="center"/>
    </xf>
    <xf numFmtId="2" fontId="33" fillId="34" borderId="168" xfId="0" applyNumberFormat="1" applyFont="1" applyFill="1" applyBorder="1" applyAlignment="1">
      <alignment horizontal="center" vertical="center"/>
    </xf>
    <xf numFmtId="2" fontId="16" fillId="34" borderId="168" xfId="0" applyNumberFormat="1" applyFont="1" applyFill="1" applyBorder="1" applyAlignment="1">
      <alignment horizontal="center" vertical="center"/>
    </xf>
    <xf numFmtId="2" fontId="16" fillId="34" borderId="31" xfId="0" applyNumberFormat="1" applyFont="1" applyFill="1" applyBorder="1" applyAlignment="1">
      <alignment horizontal="center" vertical="center"/>
    </xf>
    <xf numFmtId="2" fontId="33" fillId="32" borderId="168" xfId="0" applyNumberFormat="1" applyFont="1" applyFill="1" applyBorder="1" applyAlignment="1">
      <alignment horizontal="center" vertical="center"/>
    </xf>
    <xf numFmtId="2" fontId="33" fillId="33" borderId="168" xfId="0" applyNumberFormat="1" applyFont="1" applyFill="1" applyBorder="1" applyAlignment="1">
      <alignment horizontal="center" vertical="center"/>
    </xf>
    <xf numFmtId="2" fontId="16" fillId="34" borderId="148" xfId="0" applyNumberFormat="1" applyFont="1" applyFill="1" applyBorder="1" applyAlignment="1">
      <alignment horizontal="center" vertical="center"/>
    </xf>
    <xf numFmtId="2" fontId="16" fillId="34" borderId="163" xfId="0" applyNumberFormat="1" applyFont="1" applyFill="1" applyBorder="1" applyAlignment="1">
      <alignment horizontal="center" vertical="center"/>
    </xf>
    <xf numFmtId="2" fontId="16" fillId="35" borderId="148" xfId="0" applyNumberFormat="1" applyFont="1" applyFill="1" applyBorder="1" applyAlignment="1">
      <alignment horizontal="center" vertical="center"/>
    </xf>
    <xf numFmtId="2" fontId="16" fillId="35" borderId="163" xfId="0" applyNumberFormat="1" applyFont="1" applyFill="1" applyBorder="1" applyAlignment="1">
      <alignment horizontal="center" vertical="center"/>
    </xf>
    <xf numFmtId="165" fontId="16" fillId="36" borderId="148" xfId="6" applyFont="1" applyFill="1" applyBorder="1" applyAlignment="1">
      <alignment horizontal="center" vertical="center"/>
    </xf>
    <xf numFmtId="165" fontId="16" fillId="36" borderId="163" xfId="6" applyFont="1" applyFill="1" applyBorder="1" applyAlignment="1">
      <alignment horizontal="center" vertical="center"/>
    </xf>
    <xf numFmtId="166" fontId="34" fillId="26" borderId="148" xfId="6" applyNumberFormat="1" applyFont="1" applyFill="1" applyBorder="1" applyAlignment="1">
      <alignment horizontal="center" vertical="center"/>
    </xf>
    <xf numFmtId="166" fontId="34" fillId="26" borderId="163" xfId="6" applyNumberFormat="1" applyFont="1" applyFill="1" applyBorder="1" applyAlignment="1">
      <alignment horizontal="center" vertical="center"/>
    </xf>
    <xf numFmtId="2" fontId="16" fillId="28" borderId="148" xfId="0" applyNumberFormat="1" applyFont="1" applyFill="1" applyBorder="1" applyAlignment="1">
      <alignment horizontal="center" vertical="center"/>
    </xf>
    <xf numFmtId="2" fontId="16" fillId="28" borderId="163" xfId="0" applyNumberFormat="1" applyFont="1" applyFill="1" applyBorder="1" applyAlignment="1">
      <alignment horizontal="center" vertical="center"/>
    </xf>
    <xf numFmtId="2" fontId="16" fillId="29" borderId="148" xfId="0" applyNumberFormat="1" applyFont="1" applyFill="1" applyBorder="1" applyAlignment="1">
      <alignment horizontal="center" vertical="center"/>
    </xf>
    <xf numFmtId="2" fontId="16" fillId="29" borderId="163" xfId="0" applyNumberFormat="1" applyFont="1" applyFill="1" applyBorder="1" applyAlignment="1">
      <alignment horizontal="center" vertical="center"/>
    </xf>
    <xf numFmtId="2" fontId="16" fillId="30" borderId="148" xfId="0" applyNumberFormat="1" applyFont="1" applyFill="1" applyBorder="1" applyAlignment="1">
      <alignment horizontal="center" vertical="center"/>
    </xf>
    <xf numFmtId="2" fontId="16" fillId="30" borderId="163" xfId="0" applyNumberFormat="1" applyFont="1" applyFill="1" applyBorder="1" applyAlignment="1">
      <alignment horizontal="center" vertical="center"/>
    </xf>
    <xf numFmtId="2" fontId="16" fillId="37" borderId="148" xfId="0" applyNumberFormat="1" applyFont="1" applyFill="1" applyBorder="1" applyAlignment="1">
      <alignment horizontal="center" vertical="center"/>
    </xf>
    <xf numFmtId="2" fontId="16" fillId="37" borderId="163" xfId="0" applyNumberFormat="1" applyFont="1" applyFill="1" applyBorder="1" applyAlignment="1">
      <alignment horizontal="center" vertical="center"/>
    </xf>
    <xf numFmtId="165" fontId="16" fillId="36" borderId="50" xfId="0" applyNumberFormat="1" applyFont="1" applyFill="1" applyBorder="1" applyAlignment="1">
      <alignment horizontal="center" vertical="center"/>
    </xf>
    <xf numFmtId="0" fontId="16" fillId="36" borderId="42" xfId="0" applyFont="1" applyFill="1" applyBorder="1" applyAlignment="1">
      <alignment horizontal="center" vertical="center"/>
    </xf>
    <xf numFmtId="0" fontId="16" fillId="36" borderId="51" xfId="0" applyFont="1" applyFill="1" applyBorder="1" applyAlignment="1">
      <alignment horizontal="center" vertical="center"/>
    </xf>
    <xf numFmtId="165" fontId="33" fillId="36" borderId="148" xfId="0" applyNumberFormat="1" applyFont="1" applyFill="1" applyBorder="1" applyAlignment="1">
      <alignment horizontal="center" vertical="center"/>
    </xf>
    <xf numFmtId="165" fontId="33" fillId="36" borderId="118" xfId="0" applyNumberFormat="1" applyFont="1" applyFill="1" applyBorder="1" applyAlignment="1">
      <alignment horizontal="center" vertical="center"/>
    </xf>
    <xf numFmtId="166" fontId="34" fillId="26" borderId="50" xfId="6" applyNumberFormat="1" applyFont="1" applyFill="1" applyBorder="1" applyAlignment="1">
      <alignment horizontal="right" vertical="center"/>
    </xf>
    <xf numFmtId="166" fontId="34" fillId="26" borderId="42" xfId="6" applyNumberFormat="1" applyFont="1" applyFill="1" applyBorder="1" applyAlignment="1">
      <alignment horizontal="right" vertical="center"/>
    </xf>
    <xf numFmtId="166" fontId="34" fillId="26" borderId="51" xfId="6" applyNumberFormat="1" applyFont="1" applyFill="1" applyBorder="1" applyAlignment="1">
      <alignment horizontal="right" vertical="center"/>
    </xf>
    <xf numFmtId="2" fontId="16" fillId="28" borderId="50" xfId="0" applyNumberFormat="1" applyFont="1" applyFill="1" applyBorder="1" applyAlignment="1">
      <alignment horizontal="center" vertical="center"/>
    </xf>
    <xf numFmtId="2" fontId="16" fillId="28" borderId="42" xfId="0" applyNumberFormat="1" applyFont="1" applyFill="1" applyBorder="1" applyAlignment="1">
      <alignment horizontal="center" vertical="center"/>
    </xf>
    <xf numFmtId="2" fontId="16" fillId="29" borderId="50" xfId="0" applyNumberFormat="1" applyFont="1" applyFill="1" applyBorder="1" applyAlignment="1">
      <alignment horizontal="center" vertical="center"/>
    </xf>
    <xf numFmtId="2" fontId="16" fillId="29" borderId="42" xfId="0" applyNumberFormat="1" applyFont="1" applyFill="1" applyBorder="1" applyAlignment="1">
      <alignment horizontal="center" vertical="center"/>
    </xf>
    <xf numFmtId="2" fontId="16" fillId="30" borderId="50" xfId="0" applyNumberFormat="1" applyFont="1" applyFill="1" applyBorder="1" applyAlignment="1">
      <alignment horizontal="center" vertical="center"/>
    </xf>
    <xf numFmtId="2" fontId="16" fillId="30" borderId="42" xfId="0" applyNumberFormat="1" applyFont="1" applyFill="1" applyBorder="1" applyAlignment="1">
      <alignment horizontal="center" vertical="center"/>
    </xf>
    <xf numFmtId="2" fontId="16" fillId="37" borderId="50" xfId="0" applyNumberFormat="1" applyFont="1" applyFill="1" applyBorder="1" applyAlignment="1">
      <alignment horizontal="center" vertical="center"/>
    </xf>
    <xf numFmtId="2" fontId="16" fillId="37" borderId="42" xfId="0" applyNumberFormat="1" applyFont="1" applyFill="1" applyBorder="1" applyAlignment="1">
      <alignment horizontal="center" vertical="center"/>
    </xf>
    <xf numFmtId="2" fontId="16" fillId="32" borderId="50" xfId="0" applyNumberFormat="1" applyFont="1" applyFill="1" applyBorder="1" applyAlignment="1">
      <alignment horizontal="center" vertical="center"/>
    </xf>
    <xf numFmtId="2" fontId="16" fillId="32" borderId="42" xfId="0" applyNumberFormat="1" applyFont="1" applyFill="1" applyBorder="1" applyAlignment="1">
      <alignment horizontal="center" vertical="center"/>
    </xf>
    <xf numFmtId="2" fontId="16" fillId="33" borderId="50" xfId="0" applyNumberFormat="1" applyFont="1" applyFill="1" applyBorder="1" applyAlignment="1">
      <alignment horizontal="center" vertical="center"/>
    </xf>
    <xf numFmtId="2" fontId="16" fillId="33" borderId="42" xfId="0" applyNumberFormat="1" applyFont="1" applyFill="1" applyBorder="1" applyAlignment="1">
      <alignment horizontal="center" vertical="center"/>
    </xf>
    <xf numFmtId="2" fontId="16" fillId="34" borderId="50" xfId="0" applyNumberFormat="1" applyFont="1" applyFill="1" applyBorder="1" applyAlignment="1">
      <alignment horizontal="center" vertical="center"/>
    </xf>
    <xf numFmtId="2" fontId="16" fillId="34" borderId="42" xfId="0" applyNumberFormat="1" applyFont="1" applyFill="1" applyBorder="1" applyAlignment="1">
      <alignment horizontal="center" vertical="center"/>
    </xf>
    <xf numFmtId="2" fontId="16" fillId="35" borderId="50" xfId="0" applyNumberFormat="1" applyFont="1" applyFill="1" applyBorder="1" applyAlignment="1">
      <alignment horizontal="center" vertical="center"/>
    </xf>
    <xf numFmtId="2" fontId="16" fillId="35" borderId="42" xfId="0" applyNumberFormat="1" applyFont="1" applyFill="1" applyBorder="1" applyAlignment="1">
      <alignment horizontal="center" vertical="center"/>
    </xf>
    <xf numFmtId="2" fontId="16" fillId="33" borderId="134" xfId="0" applyNumberFormat="1" applyFont="1" applyFill="1" applyBorder="1" applyAlignment="1">
      <alignment horizontal="center" vertical="center"/>
    </xf>
    <xf numFmtId="2" fontId="16" fillId="34" borderId="134" xfId="0" applyNumberFormat="1" applyFont="1" applyFill="1" applyBorder="1" applyAlignment="1">
      <alignment horizontal="center" vertical="center"/>
    </xf>
    <xf numFmtId="2" fontId="16" fillId="35" borderId="134" xfId="0" applyNumberFormat="1" applyFont="1" applyFill="1" applyBorder="1" applyAlignment="1">
      <alignment horizontal="center" vertical="center"/>
    </xf>
    <xf numFmtId="165" fontId="16" fillId="36" borderId="134" xfId="6" applyFont="1" applyFill="1" applyBorder="1" applyAlignment="1">
      <alignment horizontal="center" vertical="center"/>
    </xf>
    <xf numFmtId="165" fontId="16" fillId="36" borderId="42" xfId="6" applyFont="1" applyFill="1" applyBorder="1" applyAlignment="1">
      <alignment horizontal="center" vertical="center"/>
    </xf>
    <xf numFmtId="0" fontId="3" fillId="3" borderId="18" xfId="0" applyFont="1" applyFill="1" applyBorder="1" applyAlignment="1">
      <alignment horizontal="center" vertical="center"/>
    </xf>
    <xf numFmtId="0" fontId="3" fillId="3" borderId="19" xfId="0" applyFont="1" applyFill="1" applyBorder="1" applyAlignment="1">
      <alignment horizontal="center" vertical="center"/>
    </xf>
    <xf numFmtId="2" fontId="33" fillId="28" borderId="148" xfId="6" applyNumberFormat="1" applyFont="1" applyFill="1" applyBorder="1" applyAlignment="1">
      <alignment horizontal="center" vertical="center"/>
    </xf>
    <xf numFmtId="2" fontId="33" fillId="28" borderId="45" xfId="6" applyNumberFormat="1" applyFont="1" applyFill="1" applyBorder="1" applyAlignment="1">
      <alignment horizontal="center" vertical="center"/>
    </xf>
    <xf numFmtId="0" fontId="3" fillId="0" borderId="131" xfId="0" applyFont="1" applyFill="1" applyBorder="1" applyAlignment="1">
      <alignment horizontal="center" vertical="center"/>
    </xf>
    <xf numFmtId="0" fontId="3" fillId="0" borderId="132" xfId="0" applyFont="1" applyFill="1" applyBorder="1" applyAlignment="1">
      <alignment horizontal="center" vertical="center"/>
    </xf>
    <xf numFmtId="0" fontId="3" fillId="0" borderId="133" xfId="0" applyFont="1" applyFill="1" applyBorder="1" applyAlignment="1">
      <alignment horizontal="center" vertical="center"/>
    </xf>
    <xf numFmtId="166" fontId="34" fillId="26" borderId="130" xfId="6" applyNumberFormat="1" applyFont="1" applyFill="1" applyBorder="1" applyAlignment="1">
      <alignment horizontal="center" vertical="center"/>
    </xf>
    <xf numFmtId="166" fontId="34" fillId="26" borderId="42" xfId="6" applyNumberFormat="1" applyFont="1" applyFill="1" applyBorder="1" applyAlignment="1">
      <alignment horizontal="center" vertical="center"/>
    </xf>
    <xf numFmtId="2" fontId="16" fillId="28" borderId="134" xfId="0" applyNumberFormat="1" applyFont="1" applyFill="1" applyBorder="1" applyAlignment="1">
      <alignment horizontal="center" vertical="center"/>
    </xf>
    <xf numFmtId="2" fontId="16" fillId="28" borderId="31" xfId="0" applyNumberFormat="1" applyFont="1" applyFill="1" applyBorder="1" applyAlignment="1">
      <alignment horizontal="center" vertical="center"/>
    </xf>
    <xf numFmtId="2" fontId="16" fillId="29" borderId="134" xfId="0" applyNumberFormat="1" applyFont="1" applyFill="1" applyBorder="1" applyAlignment="1">
      <alignment horizontal="center" vertical="center"/>
    </xf>
    <xf numFmtId="2" fontId="16" fillId="30" borderId="134" xfId="0" applyNumberFormat="1" applyFont="1" applyFill="1" applyBorder="1" applyAlignment="1">
      <alignment horizontal="center" vertical="center"/>
    </xf>
    <xf numFmtId="2" fontId="16" fillId="37" borderId="134" xfId="0" applyNumberFormat="1" applyFont="1" applyFill="1" applyBorder="1" applyAlignment="1">
      <alignment horizontal="center" vertical="center"/>
    </xf>
    <xf numFmtId="2" fontId="16" fillId="32" borderId="134" xfId="0" applyNumberFormat="1" applyFont="1" applyFill="1" applyBorder="1" applyAlignment="1">
      <alignment horizontal="center" vertical="center"/>
    </xf>
    <xf numFmtId="2" fontId="16" fillId="35" borderId="138" xfId="0" applyNumberFormat="1" applyFont="1" applyFill="1" applyBorder="1" applyAlignment="1">
      <alignment horizontal="center" vertical="center"/>
    </xf>
    <xf numFmtId="165" fontId="16" fillId="36" borderId="138" xfId="6" applyFont="1" applyFill="1" applyBorder="1" applyAlignment="1">
      <alignment horizontal="center" vertical="center"/>
    </xf>
    <xf numFmtId="2" fontId="33" fillId="28" borderId="164" xfId="6" applyNumberFormat="1" applyFont="1" applyFill="1" applyBorder="1" applyAlignment="1">
      <alignment horizontal="center" vertical="center"/>
    </xf>
    <xf numFmtId="2" fontId="33" fillId="29" borderId="148" xfId="6" applyNumberFormat="1" applyFont="1" applyFill="1" applyBorder="1" applyAlignment="1">
      <alignment horizontal="center" vertical="center"/>
    </xf>
    <xf numFmtId="2" fontId="33" fillId="29" borderId="45" xfId="6" applyNumberFormat="1" applyFont="1" applyFill="1" applyBorder="1" applyAlignment="1">
      <alignment horizontal="center" vertical="center"/>
    </xf>
    <xf numFmtId="2" fontId="33" fillId="29" borderId="164" xfId="6" applyNumberFormat="1" applyFont="1" applyFill="1" applyBorder="1" applyAlignment="1">
      <alignment horizontal="center" vertical="center"/>
    </xf>
    <xf numFmtId="2" fontId="33" fillId="30" borderId="148" xfId="6" applyNumberFormat="1" applyFont="1" applyFill="1" applyBorder="1" applyAlignment="1">
      <alignment horizontal="center" vertical="center"/>
    </xf>
    <xf numFmtId="2" fontId="33" fillId="30" borderId="45" xfId="6" applyNumberFormat="1" applyFont="1" applyFill="1" applyBorder="1" applyAlignment="1">
      <alignment horizontal="center" vertical="center"/>
    </xf>
    <xf numFmtId="2" fontId="33" fillId="30" borderId="164" xfId="6" applyNumberFormat="1" applyFont="1" applyFill="1" applyBorder="1" applyAlignment="1">
      <alignment horizontal="center" vertical="center"/>
    </xf>
    <xf numFmtId="2" fontId="33" fillId="42" borderId="195" xfId="6" applyNumberFormat="1" applyFont="1" applyFill="1" applyBorder="1" applyAlignment="1">
      <alignment horizontal="center" vertical="center"/>
    </xf>
    <xf numFmtId="2" fontId="33" fillId="42" borderId="45" xfId="6" applyNumberFormat="1" applyFont="1" applyFill="1" applyBorder="1" applyAlignment="1">
      <alignment horizontal="center" vertical="center"/>
    </xf>
    <xf numFmtId="2" fontId="33" fillId="42" borderId="167" xfId="6" applyNumberFormat="1" applyFont="1" applyFill="1" applyBorder="1" applyAlignment="1">
      <alignment horizontal="center" vertical="center"/>
    </xf>
    <xf numFmtId="2" fontId="33" fillId="37" borderId="148" xfId="6" applyNumberFormat="1" applyFont="1" applyFill="1" applyBorder="1" applyAlignment="1">
      <alignment horizontal="center" vertical="center"/>
    </xf>
    <xf numFmtId="2" fontId="33" fillId="37" borderId="45" xfId="6" applyNumberFormat="1" applyFont="1" applyFill="1" applyBorder="1" applyAlignment="1">
      <alignment horizontal="center" vertical="center"/>
    </xf>
    <xf numFmtId="2" fontId="33" fillId="37" borderId="164" xfId="6" applyNumberFormat="1" applyFont="1" applyFill="1" applyBorder="1" applyAlignment="1">
      <alignment horizontal="center" vertical="center"/>
    </xf>
    <xf numFmtId="2" fontId="33" fillId="32" borderId="148" xfId="6" applyNumberFormat="1" applyFont="1" applyFill="1" applyBorder="1" applyAlignment="1">
      <alignment horizontal="center" vertical="center"/>
    </xf>
    <xf numFmtId="2" fontId="33" fillId="32" borderId="45" xfId="6" applyNumberFormat="1" applyFont="1" applyFill="1" applyBorder="1" applyAlignment="1">
      <alignment horizontal="center" vertical="center"/>
    </xf>
    <xf numFmtId="2" fontId="33" fillId="32" borderId="164" xfId="6" applyNumberFormat="1" applyFont="1" applyFill="1" applyBorder="1" applyAlignment="1">
      <alignment horizontal="center" vertical="center"/>
    </xf>
    <xf numFmtId="166" fontId="34" fillId="26" borderId="138" xfId="6" applyNumberFormat="1" applyFont="1" applyFill="1" applyBorder="1" applyAlignment="1">
      <alignment horizontal="center" vertical="center"/>
    </xf>
    <xf numFmtId="2" fontId="16" fillId="28" borderId="138" xfId="0" applyNumberFormat="1" applyFont="1" applyFill="1" applyBorder="1" applyAlignment="1">
      <alignment horizontal="center" vertical="center"/>
    </xf>
    <xf numFmtId="2" fontId="16" fillId="29" borderId="138" xfId="0" applyNumberFormat="1" applyFont="1" applyFill="1" applyBorder="1" applyAlignment="1">
      <alignment horizontal="center" vertical="center"/>
    </xf>
    <xf numFmtId="2" fontId="16" fillId="30" borderId="138" xfId="0" applyNumberFormat="1" applyFont="1" applyFill="1" applyBorder="1" applyAlignment="1">
      <alignment horizontal="center" vertical="center"/>
    </xf>
    <xf numFmtId="2" fontId="16" fillId="37" borderId="138" xfId="0" applyNumberFormat="1" applyFont="1" applyFill="1" applyBorder="1" applyAlignment="1">
      <alignment horizontal="center" vertical="center"/>
    </xf>
    <xf numFmtId="2" fontId="16" fillId="32" borderId="138" xfId="0" applyNumberFormat="1" applyFont="1" applyFill="1" applyBorder="1" applyAlignment="1">
      <alignment horizontal="center" vertical="center"/>
    </xf>
    <xf numFmtId="2" fontId="16" fillId="33" borderId="138" xfId="0" applyNumberFormat="1" applyFont="1" applyFill="1" applyBorder="1" applyAlignment="1">
      <alignment horizontal="center" vertical="center"/>
    </xf>
    <xf numFmtId="2" fontId="16" fillId="34" borderId="138" xfId="0" applyNumberFormat="1" applyFont="1" applyFill="1" applyBorder="1" applyAlignment="1">
      <alignment horizontal="center" vertical="center"/>
    </xf>
    <xf numFmtId="2" fontId="33" fillId="33" borderId="148" xfId="6" applyNumberFormat="1" applyFont="1" applyFill="1" applyBorder="1" applyAlignment="1">
      <alignment horizontal="center" vertical="center"/>
    </xf>
    <xf numFmtId="2" fontId="33" fillId="33" borderId="45" xfId="6" applyNumberFormat="1" applyFont="1" applyFill="1" applyBorder="1" applyAlignment="1">
      <alignment horizontal="center" vertical="center"/>
    </xf>
    <xf numFmtId="2" fontId="33" fillId="33" borderId="164" xfId="6" applyNumberFormat="1" applyFont="1" applyFill="1" applyBorder="1" applyAlignment="1">
      <alignment horizontal="center" vertical="center"/>
    </xf>
    <xf numFmtId="2" fontId="33" fillId="34" borderId="148" xfId="6" applyNumberFormat="1" applyFont="1" applyFill="1" applyBorder="1" applyAlignment="1">
      <alignment horizontal="center" vertical="center"/>
    </xf>
    <xf numFmtId="2" fontId="33" fillId="34" borderId="45" xfId="6" applyNumberFormat="1" applyFont="1" applyFill="1" applyBorder="1" applyAlignment="1">
      <alignment horizontal="center" vertical="center"/>
    </xf>
    <xf numFmtId="2" fontId="33" fillId="34" borderId="164" xfId="6" applyNumberFormat="1" applyFont="1" applyFill="1" applyBorder="1" applyAlignment="1">
      <alignment horizontal="center" vertical="center"/>
    </xf>
    <xf numFmtId="2" fontId="33" fillId="35" borderId="148" xfId="6" applyNumberFormat="1" applyFont="1" applyFill="1" applyBorder="1" applyAlignment="1">
      <alignment horizontal="center" vertical="center"/>
    </xf>
    <xf numFmtId="2" fontId="33" fillId="35" borderId="45" xfId="6" applyNumberFormat="1" applyFont="1" applyFill="1" applyBorder="1" applyAlignment="1">
      <alignment horizontal="center" vertical="center"/>
    </xf>
    <xf numFmtId="2" fontId="33" fillId="35" borderId="164" xfId="6" applyNumberFormat="1" applyFont="1" applyFill="1" applyBorder="1" applyAlignment="1">
      <alignment horizontal="center" vertical="center"/>
    </xf>
    <xf numFmtId="165" fontId="33" fillId="29" borderId="148" xfId="0" applyNumberFormat="1" applyFont="1" applyFill="1" applyBorder="1" applyAlignment="1">
      <alignment horizontal="center" vertical="center"/>
    </xf>
    <xf numFmtId="165" fontId="33" fillId="29" borderId="45" xfId="0" applyNumberFormat="1" applyFont="1" applyFill="1" applyBorder="1" applyAlignment="1">
      <alignment horizontal="center" vertical="center"/>
    </xf>
    <xf numFmtId="165" fontId="33" fillId="29" borderId="118" xfId="0" applyNumberFormat="1" applyFont="1" applyFill="1" applyBorder="1" applyAlignment="1">
      <alignment horizontal="center" vertical="center"/>
    </xf>
    <xf numFmtId="2" fontId="33" fillId="29" borderId="193" xfId="6" applyNumberFormat="1" applyFont="1" applyFill="1" applyBorder="1" applyAlignment="1">
      <alignment horizontal="center" vertical="center"/>
    </xf>
    <xf numFmtId="2" fontId="33" fillId="29" borderId="167" xfId="6" applyNumberFormat="1" applyFont="1" applyFill="1" applyBorder="1" applyAlignment="1">
      <alignment horizontal="center" vertical="center"/>
    </xf>
    <xf numFmtId="2" fontId="33" fillId="30" borderId="193" xfId="0" applyNumberFormat="1" applyFont="1" applyFill="1" applyBorder="1" applyAlignment="1">
      <alignment horizontal="center" vertical="center"/>
    </xf>
    <xf numFmtId="2" fontId="33" fillId="37" borderId="193" xfId="0" applyNumberFormat="1" applyFont="1" applyFill="1" applyBorder="1" applyAlignment="1">
      <alignment horizontal="center" vertical="center"/>
    </xf>
    <xf numFmtId="2" fontId="33" fillId="32" borderId="193" xfId="0" applyNumberFormat="1" applyFont="1" applyFill="1" applyBorder="1" applyAlignment="1">
      <alignment horizontal="center" vertical="center"/>
    </xf>
    <xf numFmtId="165" fontId="33" fillId="35" borderId="148" xfId="0" applyNumberFormat="1" applyFont="1" applyFill="1" applyBorder="1" applyAlignment="1">
      <alignment horizontal="center" vertical="center"/>
    </xf>
    <xf numFmtId="165" fontId="33" fillId="35" borderId="45" xfId="0" applyNumberFormat="1" applyFont="1" applyFill="1" applyBorder="1" applyAlignment="1">
      <alignment horizontal="center" vertical="center"/>
    </xf>
    <xf numFmtId="165" fontId="33" fillId="35" borderId="118" xfId="0" applyNumberFormat="1" applyFont="1" applyFill="1" applyBorder="1" applyAlignment="1">
      <alignment horizontal="center" vertical="center"/>
    </xf>
    <xf numFmtId="165" fontId="33" fillId="36" borderId="193" xfId="0" applyNumberFormat="1" applyFont="1" applyFill="1" applyBorder="1" applyAlignment="1">
      <alignment horizontal="center" vertical="center"/>
    </xf>
    <xf numFmtId="2" fontId="33" fillId="33" borderId="193" xfId="0" applyNumberFormat="1" applyFont="1" applyFill="1" applyBorder="1" applyAlignment="1">
      <alignment horizontal="center" vertical="center"/>
    </xf>
    <xf numFmtId="2" fontId="16" fillId="37" borderId="118" xfId="0" applyNumberFormat="1" applyFont="1" applyFill="1" applyBorder="1" applyAlignment="1">
      <alignment horizontal="center" vertical="center"/>
    </xf>
    <xf numFmtId="2" fontId="16" fillId="32" borderId="118" xfId="0" applyNumberFormat="1" applyFont="1" applyFill="1" applyBorder="1" applyAlignment="1">
      <alignment horizontal="center" vertical="center"/>
    </xf>
    <xf numFmtId="2" fontId="16" fillId="33" borderId="118" xfId="0" applyNumberFormat="1" applyFont="1" applyFill="1" applyBorder="1" applyAlignment="1">
      <alignment horizontal="center" vertical="center"/>
    </xf>
    <xf numFmtId="2" fontId="16" fillId="34" borderId="118" xfId="0" applyNumberFormat="1" applyFont="1" applyFill="1" applyBorder="1" applyAlignment="1">
      <alignment horizontal="center" vertical="center"/>
    </xf>
    <xf numFmtId="2" fontId="16" fillId="35" borderId="118" xfId="0" applyNumberFormat="1" applyFont="1" applyFill="1" applyBorder="1" applyAlignment="1">
      <alignment horizontal="center" vertical="center"/>
    </xf>
    <xf numFmtId="165" fontId="16" fillId="36" borderId="118" xfId="6" applyFont="1" applyFill="1" applyBorder="1" applyAlignment="1">
      <alignment horizontal="center" vertical="center"/>
    </xf>
    <xf numFmtId="0" fontId="3" fillId="3" borderId="222" xfId="0" applyFont="1" applyFill="1" applyBorder="1" applyAlignment="1">
      <alignment horizontal="center" vertical="center"/>
    </xf>
    <xf numFmtId="0" fontId="3" fillId="3" borderId="0" xfId="0" applyFont="1" applyFill="1" applyBorder="1" applyAlignment="1">
      <alignment horizontal="center" vertical="center"/>
    </xf>
    <xf numFmtId="0" fontId="3" fillId="3" borderId="8" xfId="0" applyFont="1" applyFill="1" applyBorder="1" applyAlignment="1">
      <alignment horizontal="center" vertical="center"/>
    </xf>
    <xf numFmtId="0" fontId="3" fillId="0" borderId="18" xfId="0" applyFont="1" applyFill="1" applyBorder="1" applyAlignment="1">
      <alignment horizontal="center" vertical="center"/>
    </xf>
    <xf numFmtId="0" fontId="3" fillId="0" borderId="19" xfId="0" applyFont="1" applyFill="1" applyBorder="1" applyAlignment="1">
      <alignment horizontal="center" vertical="center"/>
    </xf>
    <xf numFmtId="0" fontId="3" fillId="0" borderId="10" xfId="0" applyFont="1" applyFill="1" applyBorder="1" applyAlignment="1">
      <alignment horizontal="center" vertical="center"/>
    </xf>
    <xf numFmtId="0" fontId="34" fillId="26" borderId="148" xfId="0" applyFont="1" applyFill="1" applyBorder="1" applyAlignment="1">
      <alignment horizontal="center"/>
    </xf>
    <xf numFmtId="0" fontId="34" fillId="26" borderId="118" xfId="0" applyFont="1" applyFill="1" applyBorder="1" applyAlignment="1">
      <alignment horizontal="center"/>
    </xf>
    <xf numFmtId="0" fontId="34" fillId="26" borderId="31" xfId="0" applyFont="1" applyFill="1" applyBorder="1" applyAlignment="1">
      <alignment horizontal="center"/>
    </xf>
    <xf numFmtId="166" fontId="34" fillId="26" borderId="128" xfId="6" applyNumberFormat="1" applyFont="1" applyFill="1" applyBorder="1" applyAlignment="1">
      <alignment horizontal="center" vertical="center"/>
    </xf>
    <xf numFmtId="166" fontId="34" fillId="26" borderId="118" xfId="6" applyNumberFormat="1" applyFont="1" applyFill="1" applyBorder="1" applyAlignment="1">
      <alignment horizontal="center" vertical="center"/>
    </xf>
    <xf numFmtId="2" fontId="16" fillId="28" borderId="118" xfId="0" applyNumberFormat="1" applyFont="1" applyFill="1" applyBorder="1" applyAlignment="1">
      <alignment horizontal="center" vertical="center"/>
    </xf>
    <xf numFmtId="2" fontId="16" fillId="29" borderId="118" xfId="0" applyNumberFormat="1" applyFont="1" applyFill="1" applyBorder="1" applyAlignment="1">
      <alignment horizontal="center" vertical="center"/>
    </xf>
    <xf numFmtId="2" fontId="16" fillId="30" borderId="118" xfId="0" applyNumberFormat="1" applyFont="1" applyFill="1" applyBorder="1" applyAlignment="1">
      <alignment horizontal="center" vertical="center"/>
    </xf>
    <xf numFmtId="2" fontId="33" fillId="34" borderId="193" xfId="0" applyNumberFormat="1" applyFont="1" applyFill="1" applyBorder="1" applyAlignment="1">
      <alignment horizontal="center" vertical="center"/>
    </xf>
    <xf numFmtId="165" fontId="33" fillId="35" borderId="193" xfId="0" applyNumberFormat="1" applyFont="1" applyFill="1" applyBorder="1" applyAlignment="1">
      <alignment horizontal="center" vertical="center"/>
    </xf>
    <xf numFmtId="165" fontId="33" fillId="35" borderId="167" xfId="0" applyNumberFormat="1" applyFont="1" applyFill="1" applyBorder="1" applyAlignment="1">
      <alignment horizontal="center" vertical="center"/>
    </xf>
    <xf numFmtId="0" fontId="3" fillId="3" borderId="196" xfId="0" applyFont="1" applyFill="1" applyBorder="1" applyAlignment="1">
      <alignment horizontal="center" vertical="center"/>
    </xf>
    <xf numFmtId="0" fontId="3" fillId="3" borderId="197" xfId="0" applyFont="1" applyFill="1" applyBorder="1" applyAlignment="1">
      <alignment horizontal="center" vertical="center"/>
    </xf>
    <xf numFmtId="166" fontId="14" fillId="26" borderId="193" xfId="6" applyNumberFormat="1" applyFont="1" applyFill="1" applyBorder="1" applyAlignment="1">
      <alignment horizontal="center" vertical="center"/>
    </xf>
    <xf numFmtId="2" fontId="33" fillId="28" borderId="193" xfId="0" applyNumberFormat="1" applyFont="1" applyFill="1" applyBorder="1" applyAlignment="1">
      <alignment horizontal="center" vertical="center"/>
    </xf>
    <xf numFmtId="2" fontId="33" fillId="37" borderId="162" xfId="0" applyNumberFormat="1" applyFont="1" applyFill="1" applyBorder="1" applyAlignment="1">
      <alignment horizontal="center" vertical="center"/>
    </xf>
    <xf numFmtId="2" fontId="33" fillId="32" borderId="162" xfId="0" applyNumberFormat="1" applyFont="1" applyFill="1" applyBorder="1" applyAlignment="1">
      <alignment horizontal="center" vertical="center"/>
    </xf>
    <xf numFmtId="0" fontId="33" fillId="33" borderId="42" xfId="0" applyFont="1" applyFill="1" applyBorder="1" applyAlignment="1">
      <alignment horizontal="center" vertical="center"/>
    </xf>
    <xf numFmtId="165" fontId="33" fillId="36" borderId="50" xfId="0" applyNumberFormat="1" applyFont="1" applyFill="1" applyBorder="1" applyAlignment="1">
      <alignment horizontal="center" vertical="center"/>
    </xf>
    <xf numFmtId="0" fontId="33" fillId="36" borderId="42" xfId="0" applyFont="1" applyFill="1" applyBorder="1" applyAlignment="1">
      <alignment horizontal="center" vertical="center"/>
    </xf>
    <xf numFmtId="0" fontId="33" fillId="36" borderId="51" xfId="0" applyFont="1" applyFill="1" applyBorder="1" applyAlignment="1">
      <alignment horizontal="center" vertical="center"/>
    </xf>
    <xf numFmtId="165" fontId="33" fillId="36" borderId="162" xfId="6" applyFont="1" applyFill="1" applyBorder="1" applyAlignment="1">
      <alignment horizontal="center" vertical="center"/>
    </xf>
    <xf numFmtId="2" fontId="33" fillId="30" borderId="50" xfId="6" applyNumberFormat="1" applyFont="1" applyFill="1" applyBorder="1" applyAlignment="1">
      <alignment horizontal="center" vertical="center"/>
    </xf>
    <xf numFmtId="2" fontId="33" fillId="30" borderId="42" xfId="6" applyNumberFormat="1" applyFont="1" applyFill="1" applyBorder="1" applyAlignment="1">
      <alignment horizontal="center" vertical="center"/>
    </xf>
    <xf numFmtId="2" fontId="33" fillId="30" borderId="51" xfId="6" applyNumberFormat="1" applyFont="1" applyFill="1" applyBorder="1" applyAlignment="1">
      <alignment horizontal="center" vertical="center"/>
    </xf>
    <xf numFmtId="2" fontId="33" fillId="42" borderId="168" xfId="6" applyNumberFormat="1" applyFont="1" applyFill="1" applyBorder="1" applyAlignment="1">
      <alignment horizontal="center" vertical="center"/>
    </xf>
    <xf numFmtId="2" fontId="33" fillId="33" borderId="162" xfId="0" applyNumberFormat="1" applyFont="1" applyFill="1" applyBorder="1" applyAlignment="1">
      <alignment horizontal="center" vertical="center"/>
    </xf>
    <xf numFmtId="2" fontId="33" fillId="34" borderId="162" xfId="0" applyNumberFormat="1" applyFont="1" applyFill="1" applyBorder="1" applyAlignment="1">
      <alignment horizontal="center" vertical="center"/>
    </xf>
    <xf numFmtId="2" fontId="33" fillId="35" borderId="162" xfId="0" applyNumberFormat="1" applyFont="1" applyFill="1" applyBorder="1" applyAlignment="1">
      <alignment horizontal="center" vertical="center"/>
    </xf>
    <xf numFmtId="2" fontId="33" fillId="28" borderId="162" xfId="0" applyNumberFormat="1" applyFont="1" applyFill="1" applyBorder="1" applyAlignment="1">
      <alignment horizontal="center" vertical="center"/>
    </xf>
    <xf numFmtId="2" fontId="33" fillId="29" borderId="162" xfId="0" applyNumberFormat="1" applyFont="1" applyFill="1" applyBorder="1" applyAlignment="1">
      <alignment horizontal="center" vertical="center"/>
    </xf>
    <xf numFmtId="2" fontId="33" fillId="30" borderId="162" xfId="0" applyNumberFormat="1" applyFont="1" applyFill="1" applyBorder="1" applyAlignment="1">
      <alignment horizontal="center" vertical="center"/>
    </xf>
    <xf numFmtId="166" fontId="14" fillId="26" borderId="168" xfId="6" applyNumberFormat="1" applyFont="1" applyFill="1" applyBorder="1" applyAlignment="1">
      <alignment horizontal="right" vertical="center"/>
    </xf>
    <xf numFmtId="166" fontId="14" fillId="26" borderId="45" xfId="6" applyNumberFormat="1" applyFont="1" applyFill="1" applyBorder="1" applyAlignment="1">
      <alignment horizontal="right" vertical="center"/>
    </xf>
    <xf numFmtId="166" fontId="14" fillId="26" borderId="167" xfId="6" applyNumberFormat="1" applyFont="1" applyFill="1" applyBorder="1" applyAlignment="1">
      <alignment horizontal="right" vertical="center"/>
    </xf>
    <xf numFmtId="0" fontId="33" fillId="28" borderId="45" xfId="0" applyFont="1" applyFill="1" applyBorder="1" applyAlignment="1">
      <alignment horizontal="center" vertical="center"/>
    </xf>
    <xf numFmtId="0" fontId="33" fillId="28" borderId="167" xfId="0" applyFont="1" applyFill="1" applyBorder="1" applyAlignment="1">
      <alignment horizontal="center" vertical="center"/>
    </xf>
    <xf numFmtId="165" fontId="33" fillId="36" borderId="168" xfId="6" applyFont="1" applyFill="1" applyBorder="1" applyAlignment="1">
      <alignment horizontal="center" vertical="center"/>
    </xf>
    <xf numFmtId="0" fontId="36" fillId="0" borderId="120" xfId="0" applyFont="1" applyBorder="1" applyAlignment="1">
      <alignment horizontal="left" vertical="top" wrapText="1"/>
    </xf>
    <xf numFmtId="0" fontId="3" fillId="3" borderId="39" xfId="0" applyFont="1" applyFill="1" applyBorder="1" applyAlignment="1">
      <alignment horizontal="center" vertical="center"/>
    </xf>
    <xf numFmtId="2" fontId="33" fillId="33" borderId="119" xfId="0" applyNumberFormat="1" applyFont="1" applyFill="1" applyBorder="1" applyAlignment="1">
      <alignment horizontal="center" vertical="center"/>
    </xf>
    <xf numFmtId="2" fontId="33" fillId="34" borderId="119" xfId="0" applyNumberFormat="1" applyFont="1" applyFill="1" applyBorder="1" applyAlignment="1">
      <alignment horizontal="center" vertical="center"/>
    </xf>
    <xf numFmtId="2" fontId="33" fillId="35" borderId="119" xfId="0" applyNumberFormat="1" applyFont="1" applyFill="1" applyBorder="1" applyAlignment="1">
      <alignment horizontal="center" vertical="center"/>
    </xf>
    <xf numFmtId="166" fontId="14" fillId="26" borderId="119" xfId="6" applyNumberFormat="1" applyFont="1" applyFill="1" applyBorder="1" applyAlignment="1">
      <alignment horizontal="center" vertical="center"/>
    </xf>
    <xf numFmtId="2" fontId="33" fillId="28" borderId="119" xfId="0" applyNumberFormat="1" applyFont="1" applyFill="1" applyBorder="1" applyAlignment="1">
      <alignment horizontal="center" vertical="center"/>
    </xf>
    <xf numFmtId="2" fontId="33" fillId="29" borderId="119" xfId="0" applyNumberFormat="1" applyFont="1" applyFill="1" applyBorder="1" applyAlignment="1">
      <alignment horizontal="center" vertical="center"/>
    </xf>
    <xf numFmtId="2" fontId="33" fillId="30" borderId="119" xfId="0" applyNumberFormat="1" applyFont="1" applyFill="1" applyBorder="1" applyAlignment="1">
      <alignment horizontal="center" vertical="center"/>
    </xf>
    <xf numFmtId="2" fontId="33" fillId="37" borderId="119" xfId="0" applyNumberFormat="1" applyFont="1" applyFill="1" applyBorder="1" applyAlignment="1">
      <alignment horizontal="center" vertical="center"/>
    </xf>
    <xf numFmtId="2" fontId="33" fillId="32" borderId="119" xfId="0" applyNumberFormat="1" applyFont="1" applyFill="1" applyBorder="1" applyAlignment="1">
      <alignment horizontal="center" vertical="center"/>
    </xf>
    <xf numFmtId="165" fontId="33" fillId="36" borderId="119" xfId="6" applyFont="1" applyFill="1" applyBorder="1" applyAlignment="1">
      <alignment horizontal="center" vertical="center"/>
    </xf>
    <xf numFmtId="166" fontId="34" fillId="26" borderId="50" xfId="6" applyNumberFormat="1" applyFont="1" applyFill="1" applyBorder="1" applyAlignment="1">
      <alignment horizontal="center" vertical="center"/>
    </xf>
    <xf numFmtId="2" fontId="16" fillId="30" borderId="50" xfId="6" applyNumberFormat="1" applyFont="1" applyFill="1" applyBorder="1" applyAlignment="1">
      <alignment horizontal="center" vertical="center"/>
    </xf>
    <xf numFmtId="2" fontId="16" fillId="30" borderId="42" xfId="6" applyNumberFormat="1" applyFont="1" applyFill="1" applyBorder="1" applyAlignment="1">
      <alignment horizontal="center" vertical="center"/>
    </xf>
    <xf numFmtId="2" fontId="16" fillId="30" borderId="51" xfId="6" applyNumberFormat="1" applyFont="1" applyFill="1" applyBorder="1" applyAlignment="1">
      <alignment horizontal="center" vertical="center"/>
    </xf>
    <xf numFmtId="0" fontId="16" fillId="33" borderId="42" xfId="0" applyFont="1" applyFill="1" applyBorder="1" applyAlignment="1">
      <alignment horizontal="center" vertical="center"/>
    </xf>
    <xf numFmtId="0" fontId="16" fillId="33" borderId="51" xfId="0" applyFont="1" applyFill="1" applyBorder="1" applyAlignment="1">
      <alignment horizontal="center" vertical="center"/>
    </xf>
    <xf numFmtId="166" fontId="14" fillId="26" borderId="195" xfId="6" applyNumberFormat="1" applyFont="1" applyFill="1" applyBorder="1" applyAlignment="1">
      <alignment horizontal="center" vertical="center" wrapText="1"/>
    </xf>
    <xf numFmtId="166" fontId="34" fillId="26" borderId="195" xfId="6" applyNumberFormat="1" applyFont="1" applyFill="1" applyBorder="1" applyAlignment="1">
      <alignment horizontal="center" vertical="center"/>
    </xf>
    <xf numFmtId="2" fontId="16" fillId="28" borderId="195" xfId="0" applyNumberFormat="1" applyFont="1" applyFill="1" applyBorder="1" applyAlignment="1">
      <alignment horizontal="center" vertical="center"/>
    </xf>
    <xf numFmtId="2" fontId="16" fillId="29" borderId="195" xfId="0" applyNumberFormat="1" applyFont="1" applyFill="1" applyBorder="1" applyAlignment="1">
      <alignment horizontal="center" vertical="center"/>
    </xf>
    <xf numFmtId="2" fontId="16" fillId="30" borderId="195" xfId="0" applyNumberFormat="1" applyFont="1" applyFill="1" applyBorder="1" applyAlignment="1">
      <alignment horizontal="center" vertical="center"/>
    </xf>
    <xf numFmtId="2" fontId="16" fillId="37" borderId="195" xfId="0" applyNumberFormat="1" applyFont="1" applyFill="1" applyBorder="1" applyAlignment="1">
      <alignment horizontal="center" vertical="center"/>
    </xf>
    <xf numFmtId="2" fontId="16" fillId="32" borderId="195" xfId="0" applyNumberFormat="1" applyFont="1" applyFill="1" applyBorder="1" applyAlignment="1">
      <alignment horizontal="center" vertical="center"/>
    </xf>
    <xf numFmtId="2" fontId="16" fillId="33" borderId="195" xfId="0" applyNumberFormat="1" applyFont="1" applyFill="1" applyBorder="1" applyAlignment="1">
      <alignment horizontal="center" vertical="center"/>
    </xf>
    <xf numFmtId="2" fontId="16" fillId="34" borderId="195" xfId="0" applyNumberFormat="1" applyFont="1" applyFill="1" applyBorder="1" applyAlignment="1">
      <alignment horizontal="center" vertical="center"/>
    </xf>
    <xf numFmtId="2" fontId="16" fillId="35" borderId="195" xfId="0" applyNumberFormat="1" applyFont="1" applyFill="1" applyBorder="1" applyAlignment="1">
      <alignment horizontal="center" vertical="center"/>
    </xf>
    <xf numFmtId="165" fontId="16" fillId="36" borderId="195" xfId="6" applyFont="1" applyFill="1" applyBorder="1" applyAlignment="1">
      <alignment horizontal="center" vertical="center"/>
    </xf>
    <xf numFmtId="166" fontId="34" fillId="26" borderId="193" xfId="6" applyNumberFormat="1" applyFont="1" applyFill="1" applyBorder="1" applyAlignment="1">
      <alignment horizontal="center" vertical="center"/>
    </xf>
    <xf numFmtId="166" fontId="34" fillId="26" borderId="167" xfId="6" applyNumberFormat="1" applyFont="1" applyFill="1" applyBorder="1" applyAlignment="1">
      <alignment horizontal="center" vertical="center"/>
    </xf>
    <xf numFmtId="2" fontId="16" fillId="28" borderId="193" xfId="0" applyNumberFormat="1" applyFont="1" applyFill="1" applyBorder="1" applyAlignment="1">
      <alignment horizontal="center" vertical="center"/>
    </xf>
    <xf numFmtId="2" fontId="16" fillId="28" borderId="167" xfId="0" applyNumberFormat="1" applyFont="1" applyFill="1" applyBorder="1" applyAlignment="1">
      <alignment horizontal="center" vertical="center"/>
    </xf>
    <xf numFmtId="2" fontId="16" fillId="29" borderId="193" xfId="0" applyNumberFormat="1" applyFont="1" applyFill="1" applyBorder="1" applyAlignment="1">
      <alignment horizontal="center" vertical="center"/>
    </xf>
    <xf numFmtId="2" fontId="16" fillId="29" borderId="167" xfId="0" applyNumberFormat="1" applyFont="1" applyFill="1" applyBorder="1" applyAlignment="1">
      <alignment horizontal="center" vertical="center"/>
    </xf>
    <xf numFmtId="2" fontId="16" fillId="30" borderId="193" xfId="0" applyNumberFormat="1" applyFont="1" applyFill="1" applyBorder="1" applyAlignment="1">
      <alignment horizontal="center" vertical="center"/>
    </xf>
    <xf numFmtId="2" fontId="16" fillId="30" borderId="167" xfId="0" applyNumberFormat="1" applyFont="1" applyFill="1" applyBorder="1" applyAlignment="1">
      <alignment horizontal="center" vertical="center"/>
    </xf>
    <xf numFmtId="0" fontId="33" fillId="28" borderId="193" xfId="0" applyFont="1" applyFill="1" applyBorder="1" applyAlignment="1">
      <alignment horizontal="center" vertical="center"/>
    </xf>
    <xf numFmtId="0" fontId="33" fillId="29" borderId="193" xfId="0" applyFont="1" applyFill="1" applyBorder="1" applyAlignment="1">
      <alignment horizontal="center" vertical="center"/>
    </xf>
    <xf numFmtId="0" fontId="33" fillId="29" borderId="167" xfId="0" applyFont="1" applyFill="1" applyBorder="1" applyAlignment="1">
      <alignment horizontal="center" vertical="center"/>
    </xf>
    <xf numFmtId="0" fontId="33" fillId="30" borderId="193" xfId="0" applyFont="1" applyFill="1" applyBorder="1" applyAlignment="1">
      <alignment horizontal="center" vertical="center"/>
    </xf>
    <xf numFmtId="0" fontId="33" fillId="30" borderId="167" xfId="0" applyFont="1" applyFill="1" applyBorder="1" applyAlignment="1">
      <alignment horizontal="center" vertical="center"/>
    </xf>
    <xf numFmtId="2" fontId="16" fillId="37" borderId="193" xfId="0" applyNumberFormat="1" applyFont="1" applyFill="1" applyBorder="1" applyAlignment="1">
      <alignment horizontal="center" vertical="center"/>
    </xf>
    <xf numFmtId="2" fontId="16" fillId="37" borderId="167" xfId="0" applyNumberFormat="1" applyFont="1" applyFill="1" applyBorder="1" applyAlignment="1">
      <alignment horizontal="center" vertical="center"/>
    </xf>
    <xf numFmtId="2" fontId="16" fillId="32" borderId="193" xfId="0" applyNumberFormat="1" applyFont="1" applyFill="1" applyBorder="1" applyAlignment="1">
      <alignment horizontal="center" vertical="center"/>
    </xf>
    <xf numFmtId="2" fontId="16" fillId="32" borderId="167" xfId="0" applyNumberFormat="1" applyFont="1" applyFill="1" applyBorder="1" applyAlignment="1">
      <alignment horizontal="center" vertical="center"/>
    </xf>
    <xf numFmtId="2" fontId="16" fillId="33" borderId="193" xfId="0" applyNumberFormat="1" applyFont="1" applyFill="1" applyBorder="1" applyAlignment="1">
      <alignment horizontal="center" vertical="center"/>
    </xf>
    <xf numFmtId="2" fontId="16" fillId="33" borderId="167" xfId="0" applyNumberFormat="1" applyFont="1" applyFill="1" applyBorder="1" applyAlignment="1">
      <alignment horizontal="center" vertical="center"/>
    </xf>
    <xf numFmtId="2" fontId="16" fillId="34" borderId="193" xfId="0" applyNumberFormat="1" applyFont="1" applyFill="1" applyBorder="1" applyAlignment="1">
      <alignment horizontal="center" vertical="center"/>
    </xf>
    <xf numFmtId="2" fontId="16" fillId="34" borderId="167" xfId="0" applyNumberFormat="1" applyFont="1" applyFill="1" applyBorder="1" applyAlignment="1">
      <alignment horizontal="center" vertical="center"/>
    </xf>
    <xf numFmtId="2" fontId="16" fillId="35" borderId="193" xfId="0" applyNumberFormat="1" applyFont="1" applyFill="1" applyBorder="1" applyAlignment="1">
      <alignment horizontal="center" vertical="center"/>
    </xf>
    <xf numFmtId="2" fontId="16" fillId="35" borderId="167" xfId="0" applyNumberFormat="1" applyFont="1" applyFill="1" applyBorder="1" applyAlignment="1">
      <alignment horizontal="center" vertical="center"/>
    </xf>
    <xf numFmtId="165" fontId="16" fillId="36" borderId="193" xfId="6" applyFont="1" applyFill="1" applyBorder="1" applyAlignment="1">
      <alignment horizontal="center" vertical="center"/>
    </xf>
    <xf numFmtId="165" fontId="16" fillId="36" borderId="167" xfId="6" applyFont="1" applyFill="1" applyBorder="1" applyAlignment="1">
      <alignment horizontal="center" vertical="center"/>
    </xf>
    <xf numFmtId="0" fontId="33" fillId="32" borderId="193" xfId="0" applyFont="1" applyFill="1" applyBorder="1" applyAlignment="1">
      <alignment horizontal="center" vertical="center"/>
    </xf>
    <xf numFmtId="0" fontId="33" fillId="32" borderId="167" xfId="0" applyFont="1" applyFill="1" applyBorder="1" applyAlignment="1">
      <alignment horizontal="center" vertical="center"/>
    </xf>
    <xf numFmtId="0" fontId="33" fillId="33" borderId="193" xfId="0" applyFont="1" applyFill="1" applyBorder="1" applyAlignment="1">
      <alignment horizontal="center" vertical="center"/>
    </xf>
    <xf numFmtId="0" fontId="33" fillId="33" borderId="167" xfId="0" applyFont="1" applyFill="1" applyBorder="1" applyAlignment="1">
      <alignment horizontal="center" vertical="center"/>
    </xf>
    <xf numFmtId="0" fontId="33" fillId="34" borderId="193" xfId="0" applyFont="1" applyFill="1" applyBorder="1" applyAlignment="1">
      <alignment horizontal="center" vertical="center"/>
    </xf>
    <xf numFmtId="0" fontId="33" fillId="34" borderId="167" xfId="0" applyFont="1" applyFill="1" applyBorder="1" applyAlignment="1">
      <alignment horizontal="center" vertical="center"/>
    </xf>
    <xf numFmtId="0" fontId="33" fillId="35" borderId="193" xfId="0" applyFont="1" applyFill="1" applyBorder="1" applyAlignment="1">
      <alignment horizontal="center" vertical="center"/>
    </xf>
    <xf numFmtId="0" fontId="33" fillId="35" borderId="167" xfId="0" applyFont="1" applyFill="1" applyBorder="1" applyAlignment="1">
      <alignment horizontal="center" vertical="center"/>
    </xf>
    <xf numFmtId="165" fontId="33" fillId="36" borderId="193" xfId="6" applyFont="1" applyFill="1" applyBorder="1" applyAlignment="1">
      <alignment horizontal="center" vertical="center"/>
    </xf>
    <xf numFmtId="0" fontId="33" fillId="37" borderId="193" xfId="0" applyFont="1" applyFill="1" applyBorder="1" applyAlignment="1">
      <alignment horizontal="center" vertical="center"/>
    </xf>
    <xf numFmtId="0" fontId="33" fillId="37" borderId="167" xfId="0" applyFont="1" applyFill="1" applyBorder="1" applyAlignment="1">
      <alignment horizontal="center" vertical="center"/>
    </xf>
    <xf numFmtId="2" fontId="33" fillId="29" borderId="193" xfId="0" applyNumberFormat="1" applyFont="1" applyFill="1" applyBorder="1" applyAlignment="1">
      <alignment horizontal="center" vertical="center"/>
    </xf>
    <xf numFmtId="2" fontId="33" fillId="35" borderId="193" xfId="0" applyNumberFormat="1" applyFont="1" applyFill="1" applyBorder="1" applyAlignment="1">
      <alignment horizontal="center" vertical="center"/>
    </xf>
    <xf numFmtId="2" fontId="33" fillId="28" borderId="195" xfId="6" applyNumberFormat="1" applyFont="1" applyFill="1" applyBorder="1" applyAlignment="1">
      <alignment horizontal="center" vertical="center"/>
    </xf>
    <xf numFmtId="2" fontId="33" fillId="28" borderId="31" xfId="6" applyNumberFormat="1" applyFont="1" applyFill="1" applyBorder="1" applyAlignment="1">
      <alignment horizontal="center" vertical="center"/>
    </xf>
    <xf numFmtId="165" fontId="33" fillId="36" borderId="195" xfId="0" applyNumberFormat="1" applyFont="1" applyFill="1" applyBorder="1" applyAlignment="1">
      <alignment horizontal="center" vertical="center"/>
    </xf>
    <xf numFmtId="165" fontId="33" fillId="36" borderId="31" xfId="0" applyNumberFormat="1" applyFont="1" applyFill="1" applyBorder="1" applyAlignment="1">
      <alignment horizontal="center" vertical="center"/>
    </xf>
    <xf numFmtId="166" fontId="34" fillId="26" borderId="195" xfId="6" applyNumberFormat="1" applyFont="1" applyFill="1" applyBorder="1" applyAlignment="1">
      <alignment horizontal="right" vertical="center"/>
    </xf>
    <xf numFmtId="166" fontId="34" fillId="26" borderId="118" xfId="6" applyNumberFormat="1" applyFont="1" applyFill="1" applyBorder="1" applyAlignment="1">
      <alignment horizontal="right" vertical="center"/>
    </xf>
    <xf numFmtId="166" fontId="34" fillId="26" borderId="167" xfId="6" applyNumberFormat="1" applyFont="1" applyFill="1" applyBorder="1" applyAlignment="1">
      <alignment horizontal="right" vertical="center"/>
    </xf>
    <xf numFmtId="165" fontId="16" fillId="36" borderId="195" xfId="0" applyNumberFormat="1" applyFont="1" applyFill="1" applyBorder="1" applyAlignment="1">
      <alignment horizontal="center" vertical="center"/>
    </xf>
    <xf numFmtId="0" fontId="16" fillId="36" borderId="118" xfId="0" applyFont="1" applyFill="1" applyBorder="1" applyAlignment="1">
      <alignment horizontal="center" vertical="center"/>
    </xf>
    <xf numFmtId="0" fontId="16" fillId="36" borderId="167" xfId="0" applyFont="1" applyFill="1" applyBorder="1" applyAlignment="1">
      <alignment horizontal="center" vertical="center"/>
    </xf>
    <xf numFmtId="0" fontId="3" fillId="3" borderId="10" xfId="0" applyFont="1" applyFill="1" applyBorder="1" applyAlignment="1">
      <alignment horizontal="center" vertical="center"/>
    </xf>
    <xf numFmtId="2" fontId="33" fillId="28" borderId="118" xfId="6" applyNumberFormat="1" applyFont="1" applyFill="1" applyBorder="1" applyAlignment="1">
      <alignment horizontal="center" vertical="center"/>
    </xf>
    <xf numFmtId="2" fontId="33" fillId="28" borderId="167" xfId="6" applyNumberFormat="1" applyFont="1" applyFill="1" applyBorder="1" applyAlignment="1">
      <alignment horizontal="center" vertical="center"/>
    </xf>
    <xf numFmtId="2" fontId="33" fillId="29" borderId="195" xfId="6" applyNumberFormat="1" applyFont="1" applyFill="1" applyBorder="1" applyAlignment="1">
      <alignment horizontal="center" vertical="center"/>
    </xf>
    <xf numFmtId="2" fontId="33" fillId="30" borderId="195" xfId="6" applyNumberFormat="1" applyFont="1" applyFill="1" applyBorder="1" applyAlignment="1">
      <alignment horizontal="center" vertical="center"/>
    </xf>
    <xf numFmtId="2" fontId="33" fillId="30" borderId="167" xfId="6" applyNumberFormat="1" applyFont="1" applyFill="1" applyBorder="1" applyAlignment="1">
      <alignment horizontal="center" vertical="center"/>
    </xf>
    <xf numFmtId="2" fontId="33" fillId="37" borderId="195" xfId="6" applyNumberFormat="1" applyFont="1" applyFill="1" applyBorder="1" applyAlignment="1">
      <alignment horizontal="center" vertical="center"/>
    </xf>
    <xf numFmtId="2" fontId="33" fillId="37" borderId="167" xfId="6" applyNumberFormat="1" applyFont="1" applyFill="1" applyBorder="1" applyAlignment="1">
      <alignment horizontal="center" vertical="center"/>
    </xf>
    <xf numFmtId="2" fontId="33" fillId="32" borderId="195" xfId="6" applyNumberFormat="1" applyFont="1" applyFill="1" applyBorder="1" applyAlignment="1">
      <alignment horizontal="center" vertical="center"/>
    </xf>
    <xf numFmtId="2" fontId="33" fillId="32" borderId="167" xfId="6" applyNumberFormat="1" applyFont="1" applyFill="1" applyBorder="1" applyAlignment="1">
      <alignment horizontal="center" vertical="center"/>
    </xf>
    <xf numFmtId="2" fontId="33" fillId="33" borderId="195" xfId="6" applyNumberFormat="1" applyFont="1" applyFill="1" applyBorder="1" applyAlignment="1">
      <alignment horizontal="center" vertical="center"/>
    </xf>
    <xf numFmtId="2" fontId="33" fillId="33" borderId="167" xfId="6" applyNumberFormat="1" applyFont="1" applyFill="1" applyBorder="1" applyAlignment="1">
      <alignment horizontal="center" vertical="center"/>
    </xf>
    <xf numFmtId="2" fontId="33" fillId="34" borderId="195" xfId="6" applyNumberFormat="1" applyFont="1" applyFill="1" applyBorder="1" applyAlignment="1">
      <alignment horizontal="center" vertical="center"/>
    </xf>
    <xf numFmtId="2" fontId="33" fillId="34" borderId="167" xfId="6" applyNumberFormat="1" applyFont="1" applyFill="1" applyBorder="1" applyAlignment="1">
      <alignment horizontal="center" vertical="center"/>
    </xf>
    <xf numFmtId="2" fontId="33" fillId="35" borderId="195" xfId="6" applyNumberFormat="1" applyFont="1" applyFill="1" applyBorder="1" applyAlignment="1">
      <alignment horizontal="center" vertical="center"/>
    </xf>
    <xf numFmtId="2" fontId="33" fillId="35" borderId="167" xfId="6" applyNumberFormat="1" applyFont="1" applyFill="1" applyBorder="1" applyAlignment="1">
      <alignment horizontal="center" vertical="center"/>
    </xf>
    <xf numFmtId="165" fontId="33" fillId="35" borderId="195" xfId="0" applyNumberFormat="1" applyFont="1" applyFill="1" applyBorder="1" applyAlignment="1">
      <alignment horizontal="center" vertical="center"/>
    </xf>
    <xf numFmtId="165" fontId="33" fillId="35" borderId="31" xfId="0" applyNumberFormat="1" applyFont="1" applyFill="1" applyBorder="1" applyAlignment="1">
      <alignment horizontal="center" vertical="center"/>
    </xf>
    <xf numFmtId="165" fontId="33" fillId="29" borderId="195" xfId="0" applyNumberFormat="1" applyFont="1" applyFill="1" applyBorder="1" applyAlignment="1">
      <alignment horizontal="center" vertical="center"/>
    </xf>
    <xf numFmtId="165" fontId="33" fillId="29" borderId="31" xfId="0" applyNumberFormat="1" applyFont="1" applyFill="1" applyBorder="1" applyAlignment="1">
      <alignment horizontal="center" vertical="center"/>
    </xf>
    <xf numFmtId="0" fontId="34" fillId="26" borderId="195" xfId="0" applyFont="1" applyFill="1" applyBorder="1" applyAlignment="1">
      <alignment horizontal="center"/>
    </xf>
    <xf numFmtId="0" fontId="34" fillId="26" borderId="45" xfId="0" applyFont="1" applyFill="1" applyBorder="1" applyAlignment="1">
      <alignment horizontal="center"/>
    </xf>
    <xf numFmtId="2" fontId="33" fillId="30" borderId="118" xfId="6" applyNumberFormat="1" applyFont="1" applyFill="1" applyBorder="1" applyAlignment="1">
      <alignment horizontal="center" vertical="center"/>
    </xf>
    <xf numFmtId="0" fontId="33" fillId="36" borderId="118" xfId="0" applyFont="1" applyFill="1" applyBorder="1" applyAlignment="1">
      <alignment horizontal="center" vertical="center"/>
    </xf>
    <xf numFmtId="0" fontId="33" fillId="36" borderId="167" xfId="0" applyFont="1" applyFill="1" applyBorder="1" applyAlignment="1">
      <alignment horizontal="center" vertical="center"/>
    </xf>
    <xf numFmtId="166" fontId="14" fillId="26" borderId="195" xfId="6" applyNumberFormat="1" applyFont="1" applyFill="1" applyBorder="1" applyAlignment="1">
      <alignment horizontal="right" vertical="center"/>
    </xf>
    <xf numFmtId="0" fontId="3" fillId="3" borderId="255" xfId="0" applyFont="1" applyFill="1" applyBorder="1" applyAlignment="1">
      <alignment horizontal="center" vertical="center"/>
    </xf>
    <xf numFmtId="0" fontId="3" fillId="3" borderId="256" xfId="0" applyFont="1" applyFill="1" applyBorder="1" applyAlignment="1">
      <alignment horizontal="center" vertical="center"/>
    </xf>
    <xf numFmtId="166" fontId="14" fillId="26" borderId="118" xfId="6" applyNumberFormat="1" applyFont="1" applyFill="1" applyBorder="1" applyAlignment="1">
      <alignment horizontal="right" vertical="center"/>
    </xf>
    <xf numFmtId="0" fontId="3" fillId="0" borderId="255" xfId="0" applyFont="1" applyFill="1" applyBorder="1" applyAlignment="1">
      <alignment horizontal="center" vertical="center"/>
    </xf>
    <xf numFmtId="0" fontId="3" fillId="0" borderId="256" xfId="0" applyFont="1" applyFill="1" applyBorder="1" applyAlignment="1">
      <alignment horizontal="center" vertical="center"/>
    </xf>
    <xf numFmtId="0" fontId="3" fillId="0" borderId="259" xfId="0" applyFont="1" applyFill="1" applyBorder="1" applyAlignment="1">
      <alignment horizontal="center" vertical="center"/>
    </xf>
    <xf numFmtId="0" fontId="3" fillId="0" borderId="260" xfId="0" applyFont="1" applyFill="1" applyBorder="1" applyAlignment="1">
      <alignment horizontal="center" vertical="center"/>
    </xf>
    <xf numFmtId="0" fontId="3" fillId="3" borderId="259" xfId="0" applyFont="1" applyFill="1" applyBorder="1" applyAlignment="1">
      <alignment horizontal="center" vertical="center"/>
    </xf>
    <xf numFmtId="0" fontId="3" fillId="3" borderId="260" xfId="0" applyFont="1" applyFill="1" applyBorder="1" applyAlignment="1">
      <alignment horizontal="center" vertical="center"/>
    </xf>
    <xf numFmtId="2" fontId="16" fillId="32" borderId="257" xfId="0" applyNumberFormat="1" applyFont="1" applyFill="1" applyBorder="1" applyAlignment="1">
      <alignment horizontal="center" vertical="center"/>
    </xf>
    <xf numFmtId="2" fontId="16" fillId="33" borderId="257" xfId="0" applyNumberFormat="1" applyFont="1" applyFill="1" applyBorder="1" applyAlignment="1">
      <alignment horizontal="center" vertical="center"/>
    </xf>
    <xf numFmtId="2" fontId="16" fillId="34" borderId="257" xfId="0" applyNumberFormat="1" applyFont="1" applyFill="1" applyBorder="1" applyAlignment="1">
      <alignment horizontal="center" vertical="center"/>
    </xf>
    <xf numFmtId="2" fontId="16" fillId="35" borderId="257" xfId="0" applyNumberFormat="1" applyFont="1" applyFill="1" applyBorder="1" applyAlignment="1">
      <alignment horizontal="center" vertical="center"/>
    </xf>
    <xf numFmtId="165" fontId="16" fillId="36" borderId="257" xfId="6" applyFont="1" applyFill="1" applyBorder="1" applyAlignment="1">
      <alignment horizontal="center" vertical="center"/>
    </xf>
    <xf numFmtId="2" fontId="16" fillId="37" borderId="257" xfId="0" applyNumberFormat="1" applyFont="1" applyFill="1" applyBorder="1" applyAlignment="1">
      <alignment horizontal="center" vertical="center"/>
    </xf>
    <xf numFmtId="2" fontId="16" fillId="28" borderId="257" xfId="0" applyNumberFormat="1" applyFont="1" applyFill="1" applyBorder="1" applyAlignment="1">
      <alignment horizontal="center" vertical="center"/>
    </xf>
    <xf numFmtId="2" fontId="16" fillId="29" borderId="257" xfId="0" applyNumberFormat="1" applyFont="1" applyFill="1" applyBorder="1" applyAlignment="1">
      <alignment horizontal="center" vertical="center"/>
    </xf>
    <xf numFmtId="2" fontId="16" fillId="30" borderId="257" xfId="0" applyNumberFormat="1" applyFont="1" applyFill="1" applyBorder="1" applyAlignment="1">
      <alignment horizontal="center" vertical="center"/>
    </xf>
    <xf numFmtId="2" fontId="33" fillId="37" borderId="257" xfId="0" applyNumberFormat="1" applyFont="1" applyFill="1" applyBorder="1" applyAlignment="1">
      <alignment horizontal="center" vertical="center"/>
    </xf>
    <xf numFmtId="2" fontId="33" fillId="32" borderId="257" xfId="0" applyNumberFormat="1" applyFont="1" applyFill="1" applyBorder="1" applyAlignment="1">
      <alignment horizontal="center" vertical="center"/>
    </xf>
    <xf numFmtId="2" fontId="33" fillId="33" borderId="257" xfId="0" applyNumberFormat="1" applyFont="1" applyFill="1" applyBorder="1" applyAlignment="1">
      <alignment horizontal="center" vertical="center"/>
    </xf>
    <xf numFmtId="2" fontId="33" fillId="34" borderId="257" xfId="0" applyNumberFormat="1" applyFont="1" applyFill="1" applyBorder="1" applyAlignment="1">
      <alignment horizontal="center" vertical="center"/>
    </xf>
    <xf numFmtId="2" fontId="33" fillId="35" borderId="257" xfId="0" applyNumberFormat="1" applyFont="1" applyFill="1" applyBorder="1" applyAlignment="1">
      <alignment horizontal="center" vertical="center"/>
    </xf>
    <xf numFmtId="165" fontId="33" fillId="36" borderId="257" xfId="6" applyFont="1" applyFill="1" applyBorder="1" applyAlignment="1">
      <alignment horizontal="center" vertical="center"/>
    </xf>
    <xf numFmtId="166" fontId="14" fillId="26" borderId="257" xfId="6" applyNumberFormat="1" applyFont="1" applyFill="1" applyBorder="1" applyAlignment="1">
      <alignment horizontal="center" vertical="center"/>
    </xf>
    <xf numFmtId="2" fontId="33" fillId="28" borderId="257" xfId="0" applyNumberFormat="1" applyFont="1" applyFill="1" applyBorder="1" applyAlignment="1">
      <alignment horizontal="center" vertical="center"/>
    </xf>
    <xf numFmtId="2" fontId="33" fillId="29" borderId="257" xfId="0" applyNumberFormat="1" applyFont="1" applyFill="1" applyBorder="1" applyAlignment="1">
      <alignment horizontal="center" vertical="center"/>
    </xf>
    <xf numFmtId="2" fontId="33" fillId="30" borderId="257" xfId="0" applyNumberFormat="1" applyFont="1" applyFill="1" applyBorder="1" applyAlignment="1">
      <alignment horizontal="center" vertical="center"/>
    </xf>
    <xf numFmtId="0" fontId="33" fillId="32" borderId="257" xfId="0" applyFont="1" applyFill="1" applyBorder="1" applyAlignment="1">
      <alignment horizontal="center" vertical="center"/>
    </xf>
    <xf numFmtId="0" fontId="33" fillId="33" borderId="257" xfId="0" applyFont="1" applyFill="1" applyBorder="1" applyAlignment="1">
      <alignment horizontal="center" vertical="center"/>
    </xf>
    <xf numFmtId="0" fontId="33" fillId="34" borderId="257" xfId="0" applyFont="1" applyFill="1" applyBorder="1" applyAlignment="1">
      <alignment horizontal="center" vertical="center"/>
    </xf>
    <xf numFmtId="0" fontId="33" fillId="35" borderId="257" xfId="0" applyFont="1" applyFill="1" applyBorder="1" applyAlignment="1">
      <alignment horizontal="center" vertical="center"/>
    </xf>
    <xf numFmtId="0" fontId="33" fillId="37" borderId="257" xfId="0" applyFont="1" applyFill="1" applyBorder="1" applyAlignment="1">
      <alignment horizontal="center" vertical="center"/>
    </xf>
    <xf numFmtId="166" fontId="34" fillId="26" borderId="257" xfId="6" applyNumberFormat="1" applyFont="1" applyFill="1" applyBorder="1" applyAlignment="1">
      <alignment horizontal="center" vertical="center"/>
    </xf>
    <xf numFmtId="0" fontId="33" fillId="28" borderId="257" xfId="0" applyFont="1" applyFill="1" applyBorder="1" applyAlignment="1">
      <alignment horizontal="center" vertical="center"/>
    </xf>
    <xf numFmtId="0" fontId="33" fillId="29" borderId="257" xfId="0" applyFont="1" applyFill="1" applyBorder="1" applyAlignment="1">
      <alignment horizontal="center" vertical="center"/>
    </xf>
    <xf numFmtId="0" fontId="33" fillId="30" borderId="257" xfId="0" applyFont="1" applyFill="1" applyBorder="1" applyAlignment="1">
      <alignment horizontal="center" vertical="center"/>
    </xf>
    <xf numFmtId="0" fontId="3" fillId="0" borderId="242" xfId="0" applyFont="1" applyFill="1" applyBorder="1" applyAlignment="1">
      <alignment horizontal="center" vertical="center"/>
    </xf>
    <xf numFmtId="0" fontId="3" fillId="0" borderId="241" xfId="0" applyFont="1" applyFill="1" applyBorder="1" applyAlignment="1">
      <alignment horizontal="center" vertical="center"/>
    </xf>
    <xf numFmtId="0" fontId="3" fillId="0" borderId="243" xfId="0" applyFont="1" applyFill="1" applyBorder="1" applyAlignment="1">
      <alignment horizontal="center" vertical="center"/>
    </xf>
    <xf numFmtId="0" fontId="3" fillId="3" borderId="242" xfId="0" applyFont="1" applyFill="1" applyBorder="1" applyAlignment="1">
      <alignment horizontal="center" vertical="center"/>
    </xf>
    <xf numFmtId="0" fontId="3" fillId="3" borderId="241" xfId="0" applyFont="1" applyFill="1" applyBorder="1" applyAlignment="1">
      <alignment horizontal="center" vertical="center"/>
    </xf>
    <xf numFmtId="0" fontId="3" fillId="3" borderId="243" xfId="0" applyFont="1" applyFill="1" applyBorder="1" applyAlignment="1">
      <alignment horizontal="center" vertical="center"/>
    </xf>
    <xf numFmtId="0" fontId="3" fillId="3" borderId="186" xfId="0" applyFont="1" applyFill="1" applyBorder="1" applyAlignment="1">
      <alignment horizontal="center" vertical="center"/>
    </xf>
    <xf numFmtId="165" fontId="33" fillId="29" borderId="168" xfId="0" applyNumberFormat="1" applyFont="1" applyFill="1" applyBorder="1" applyAlignment="1">
      <alignment horizontal="center" vertical="center"/>
    </xf>
    <xf numFmtId="165" fontId="33" fillId="36" borderId="266" xfId="6" applyFont="1" applyFill="1" applyBorder="1" applyAlignment="1">
      <alignment horizontal="center" vertical="center"/>
    </xf>
    <xf numFmtId="2" fontId="33" fillId="37" borderId="266" xfId="0" applyNumberFormat="1" applyFont="1" applyFill="1" applyBorder="1" applyAlignment="1">
      <alignment horizontal="center" vertical="center"/>
    </xf>
    <xf numFmtId="2" fontId="33" fillId="34" borderId="266" xfId="0" applyNumberFormat="1" applyFont="1" applyFill="1" applyBorder="1" applyAlignment="1">
      <alignment horizontal="center" vertical="center"/>
    </xf>
    <xf numFmtId="2" fontId="33" fillId="35" borderId="266" xfId="0" applyNumberFormat="1" applyFont="1" applyFill="1" applyBorder="1" applyAlignment="1">
      <alignment horizontal="center" vertical="center"/>
    </xf>
    <xf numFmtId="166" fontId="14" fillId="26" borderId="266" xfId="6" applyNumberFormat="1" applyFont="1" applyFill="1" applyBorder="1" applyAlignment="1">
      <alignment horizontal="center" vertical="center"/>
    </xf>
    <xf numFmtId="2" fontId="33" fillId="28" borderId="266" xfId="0" applyNumberFormat="1" applyFont="1" applyFill="1" applyBorder="1" applyAlignment="1">
      <alignment horizontal="center" vertical="center"/>
    </xf>
    <xf numFmtId="2" fontId="33" fillId="29" borderId="266" xfId="0" applyNumberFormat="1" applyFont="1" applyFill="1" applyBorder="1" applyAlignment="1">
      <alignment horizontal="center" vertical="center"/>
    </xf>
    <xf numFmtId="2" fontId="33" fillId="30" borderId="266" xfId="6" applyNumberFormat="1" applyFont="1" applyFill="1" applyBorder="1" applyAlignment="1">
      <alignment horizontal="center" vertical="center"/>
    </xf>
    <xf numFmtId="166" fontId="0" fillId="26" borderId="266" xfId="6" applyNumberFormat="1" applyFont="1" applyFill="1" applyBorder="1" applyAlignment="1">
      <alignment horizontal="center" vertical="center"/>
    </xf>
    <xf numFmtId="166" fontId="0" fillId="26" borderId="45" xfId="6" applyNumberFormat="1" applyFont="1" applyFill="1" applyBorder="1" applyAlignment="1">
      <alignment horizontal="center" vertical="center"/>
    </xf>
    <xf numFmtId="166" fontId="0" fillId="26" borderId="167" xfId="6" applyNumberFormat="1" applyFont="1" applyFill="1" applyBorder="1" applyAlignment="1">
      <alignment horizontal="center" vertical="center"/>
    </xf>
    <xf numFmtId="2" fontId="33" fillId="30" borderId="266" xfId="0" applyNumberFormat="1" applyFont="1" applyFill="1" applyBorder="1" applyAlignment="1">
      <alignment horizontal="center" vertical="center"/>
    </xf>
    <xf numFmtId="2" fontId="33" fillId="32" borderId="266" xfId="0" applyNumberFormat="1" applyFont="1" applyFill="1" applyBorder="1" applyAlignment="1">
      <alignment horizontal="center" vertical="center"/>
    </xf>
    <xf numFmtId="2" fontId="33" fillId="33" borderId="266" xfId="0" applyNumberFormat="1" applyFont="1" applyFill="1" applyBorder="1" applyAlignment="1">
      <alignment horizontal="center" vertical="center"/>
    </xf>
    <xf numFmtId="165" fontId="33" fillId="36" borderId="266" xfId="0" applyNumberFormat="1" applyFont="1" applyFill="1" applyBorder="1" applyAlignment="1">
      <alignment horizontal="center" vertical="center"/>
    </xf>
    <xf numFmtId="2" fontId="16" fillId="32" borderId="266" xfId="0" applyNumberFormat="1" applyFont="1" applyFill="1" applyBorder="1" applyAlignment="1">
      <alignment horizontal="center" vertical="center"/>
    </xf>
    <xf numFmtId="2" fontId="16" fillId="33" borderId="266" xfId="0" applyNumberFormat="1" applyFont="1" applyFill="1" applyBorder="1" applyAlignment="1">
      <alignment horizontal="center" vertical="center"/>
    </xf>
    <xf numFmtId="2" fontId="16" fillId="34" borderId="266" xfId="0" applyNumberFormat="1" applyFont="1" applyFill="1" applyBorder="1" applyAlignment="1">
      <alignment horizontal="center" vertical="center"/>
    </xf>
    <xf numFmtId="2" fontId="16" fillId="35" borderId="266" xfId="0" applyNumberFormat="1" applyFont="1" applyFill="1" applyBorder="1" applyAlignment="1">
      <alignment horizontal="center" vertical="center"/>
    </xf>
    <xf numFmtId="165" fontId="16" fillId="36" borderId="266" xfId="6" applyFont="1" applyFill="1" applyBorder="1" applyAlignment="1">
      <alignment horizontal="center" vertical="center"/>
    </xf>
    <xf numFmtId="166" fontId="0" fillId="26" borderId="118" xfId="6" applyNumberFormat="1" applyFont="1" applyFill="1" applyBorder="1" applyAlignment="1">
      <alignment horizontal="center" vertical="center"/>
    </xf>
    <xf numFmtId="166" fontId="14" fillId="26" borderId="266" xfId="6" applyNumberFormat="1" applyFont="1" applyFill="1" applyBorder="1" applyAlignment="1">
      <alignment horizontal="right" vertical="center"/>
    </xf>
    <xf numFmtId="165" fontId="33" fillId="37" borderId="266" xfId="0" applyNumberFormat="1" applyFont="1" applyFill="1" applyBorder="1" applyAlignment="1">
      <alignment horizontal="center" vertical="center"/>
    </xf>
    <xf numFmtId="2" fontId="16" fillId="28" borderId="266" xfId="0" applyNumberFormat="1" applyFont="1" applyFill="1" applyBorder="1" applyAlignment="1">
      <alignment horizontal="center" vertical="center"/>
    </xf>
    <xf numFmtId="2" fontId="16" fillId="29" borderId="266" xfId="0" applyNumberFormat="1" applyFont="1" applyFill="1" applyBorder="1" applyAlignment="1">
      <alignment horizontal="center" vertical="center"/>
    </xf>
    <xf numFmtId="2" fontId="16" fillId="30" borderId="266" xfId="0" applyNumberFormat="1" applyFont="1" applyFill="1" applyBorder="1" applyAlignment="1">
      <alignment horizontal="center" vertical="center"/>
    </xf>
    <xf numFmtId="2" fontId="16" fillId="37" borderId="266" xfId="0" applyNumberFormat="1" applyFont="1" applyFill="1" applyBorder="1" applyAlignment="1">
      <alignment horizontal="center" vertical="center"/>
    </xf>
    <xf numFmtId="166" fontId="0" fillId="26" borderId="31" xfId="6" applyNumberFormat="1" applyFont="1" applyFill="1" applyBorder="1" applyAlignment="1">
      <alignment horizontal="center" vertical="center"/>
    </xf>
    <xf numFmtId="0" fontId="3" fillId="3" borderId="16" xfId="0" applyFont="1" applyFill="1" applyBorder="1" applyAlignment="1">
      <alignment horizontal="center" vertical="center" wrapText="1"/>
    </xf>
    <xf numFmtId="0" fontId="3" fillId="3" borderId="15" xfId="0" applyFont="1" applyFill="1" applyBorder="1" applyAlignment="1">
      <alignment horizontal="center" vertical="center" wrapText="1"/>
    </xf>
    <xf numFmtId="0" fontId="3" fillId="3" borderId="17" xfId="0" applyFont="1" applyFill="1" applyBorder="1" applyAlignment="1">
      <alignment horizontal="center" vertical="center" wrapText="1"/>
    </xf>
    <xf numFmtId="165" fontId="33" fillId="37" borderId="118" xfId="0" applyNumberFormat="1" applyFont="1" applyFill="1" applyBorder="1" applyAlignment="1">
      <alignment horizontal="center" vertical="center"/>
    </xf>
    <xf numFmtId="165" fontId="33" fillId="37" borderId="167" xfId="0" applyNumberFormat="1" applyFont="1" applyFill="1" applyBorder="1" applyAlignment="1">
      <alignment horizontal="center" vertical="center"/>
    </xf>
    <xf numFmtId="166" fontId="34" fillId="26" borderId="266" xfId="6" applyNumberFormat="1" applyFont="1" applyFill="1" applyBorder="1" applyAlignment="1">
      <alignment horizontal="center" vertical="center"/>
    </xf>
    <xf numFmtId="165" fontId="16" fillId="37" borderId="266" xfId="6" applyFont="1" applyFill="1" applyBorder="1" applyAlignment="1">
      <alignment horizontal="center" vertical="center"/>
    </xf>
    <xf numFmtId="165" fontId="16" fillId="37" borderId="118" xfId="6" applyFont="1" applyFill="1" applyBorder="1" applyAlignment="1">
      <alignment horizontal="center" vertical="center"/>
    </xf>
    <xf numFmtId="165" fontId="16" fillId="37" borderId="167" xfId="6" applyFont="1" applyFill="1" applyBorder="1" applyAlignment="1">
      <alignment horizontal="center" vertical="center"/>
    </xf>
    <xf numFmtId="0" fontId="16" fillId="33" borderId="266" xfId="0" applyFont="1" applyFill="1" applyBorder="1" applyAlignment="1">
      <alignment horizontal="center" vertical="center"/>
    </xf>
    <xf numFmtId="0" fontId="16" fillId="33" borderId="118" xfId="0" applyFont="1" applyFill="1" applyBorder="1" applyAlignment="1">
      <alignment horizontal="center" vertical="center"/>
    </xf>
    <xf numFmtId="0" fontId="16" fillId="33" borderId="167" xfId="0" applyFont="1" applyFill="1" applyBorder="1" applyAlignment="1">
      <alignment horizontal="center" vertical="center"/>
    </xf>
    <xf numFmtId="0" fontId="16" fillId="34" borderId="266" xfId="0" applyFont="1" applyFill="1" applyBorder="1" applyAlignment="1">
      <alignment horizontal="center" vertical="center"/>
    </xf>
    <xf numFmtId="0" fontId="16" fillId="34" borderId="118" xfId="0" applyFont="1" applyFill="1" applyBorder="1" applyAlignment="1">
      <alignment horizontal="center" vertical="center"/>
    </xf>
    <xf numFmtId="0" fontId="16" fillId="34" borderId="167" xfId="0" applyFont="1" applyFill="1" applyBorder="1" applyAlignment="1">
      <alignment horizontal="center" vertical="center"/>
    </xf>
    <xf numFmtId="165" fontId="16" fillId="36" borderId="266" xfId="0" applyNumberFormat="1" applyFont="1" applyFill="1" applyBorder="1" applyAlignment="1">
      <alignment horizontal="center" vertical="center"/>
    </xf>
    <xf numFmtId="0" fontId="33" fillId="33" borderId="266" xfId="0" applyFont="1" applyFill="1" applyBorder="1" applyAlignment="1">
      <alignment horizontal="center" vertical="center"/>
    </xf>
    <xf numFmtId="0" fontId="33" fillId="34" borderId="266" xfId="0" applyFont="1" applyFill="1" applyBorder="1" applyAlignment="1">
      <alignment horizontal="center" vertical="center"/>
    </xf>
    <xf numFmtId="166" fontId="34" fillId="26" borderId="266" xfId="6" applyNumberFormat="1" applyFont="1" applyFill="1" applyBorder="1" applyAlignment="1">
      <alignment horizontal="right" vertical="center"/>
    </xf>
    <xf numFmtId="0" fontId="16" fillId="30" borderId="266" xfId="0" applyFont="1" applyFill="1" applyBorder="1" applyAlignment="1">
      <alignment horizontal="center" vertical="center"/>
    </xf>
    <xf numFmtId="0" fontId="16" fillId="30" borderId="118" xfId="0" applyFont="1" applyFill="1" applyBorder="1" applyAlignment="1">
      <alignment horizontal="center" vertical="center"/>
    </xf>
    <xf numFmtId="0" fontId="16" fillId="30" borderId="167" xfId="0" applyFont="1" applyFill="1" applyBorder="1" applyAlignment="1">
      <alignment horizontal="center" vertical="center"/>
    </xf>
    <xf numFmtId="0" fontId="33" fillId="30" borderId="266" xfId="0" applyFont="1" applyFill="1" applyBorder="1" applyAlignment="1">
      <alignment horizontal="center" vertical="center"/>
    </xf>
    <xf numFmtId="165" fontId="16" fillId="36" borderId="45" xfId="0" applyNumberFormat="1" applyFont="1" applyFill="1" applyBorder="1" applyAlignment="1">
      <alignment horizontal="center" vertical="center"/>
    </xf>
    <xf numFmtId="165" fontId="16" fillId="36" borderId="167" xfId="0" applyNumberFormat="1" applyFont="1" applyFill="1" applyBorder="1" applyAlignment="1">
      <alignment horizontal="center" vertical="center"/>
    </xf>
    <xf numFmtId="2" fontId="33" fillId="32" borderId="274" xfId="0" applyNumberFormat="1" applyFont="1" applyFill="1" applyBorder="1" applyAlignment="1">
      <alignment horizontal="center" vertical="center"/>
    </xf>
    <xf numFmtId="2" fontId="33" fillId="33" borderId="274" xfId="0" applyNumberFormat="1" applyFont="1" applyFill="1" applyBorder="1" applyAlignment="1">
      <alignment horizontal="center" vertical="center"/>
    </xf>
    <xf numFmtId="2" fontId="33" fillId="34" borderId="274" xfId="0" applyNumberFormat="1" applyFont="1" applyFill="1" applyBorder="1" applyAlignment="1">
      <alignment horizontal="center" vertical="center"/>
    </xf>
    <xf numFmtId="2" fontId="33" fillId="35" borderId="274" xfId="0" applyNumberFormat="1" applyFont="1" applyFill="1" applyBorder="1" applyAlignment="1">
      <alignment horizontal="center" vertical="center"/>
    </xf>
    <xf numFmtId="165" fontId="33" fillId="36" borderId="274" xfId="6" applyFont="1" applyFill="1" applyBorder="1" applyAlignment="1">
      <alignment horizontal="center" vertical="center"/>
    </xf>
    <xf numFmtId="2" fontId="33" fillId="37" borderId="274" xfId="0" applyNumberFormat="1" applyFont="1" applyFill="1" applyBorder="1" applyAlignment="1">
      <alignment horizontal="center" vertical="center"/>
    </xf>
    <xf numFmtId="0" fontId="4" fillId="3" borderId="11" xfId="0" applyFont="1" applyFill="1" applyBorder="1" applyAlignment="1">
      <alignment horizontal="center" vertical="center"/>
    </xf>
    <xf numFmtId="0" fontId="4" fillId="3" borderId="255" xfId="0" applyFont="1" applyFill="1" applyBorder="1" applyAlignment="1">
      <alignment horizontal="center" vertical="center"/>
    </xf>
    <xf numFmtId="0" fontId="4" fillId="3" borderId="256" xfId="0" applyFont="1" applyFill="1" applyBorder="1" applyAlignment="1">
      <alignment horizontal="center" vertical="center"/>
    </xf>
    <xf numFmtId="166" fontId="14" fillId="26" borderId="274" xfId="6" applyNumberFormat="1" applyFont="1" applyFill="1" applyBorder="1" applyAlignment="1">
      <alignment horizontal="center" vertical="center"/>
    </xf>
    <xf numFmtId="2" fontId="33" fillId="28" borderId="274" xfId="0" applyNumberFormat="1" applyFont="1" applyFill="1" applyBorder="1" applyAlignment="1">
      <alignment horizontal="center" vertical="center"/>
    </xf>
    <xf numFmtId="2" fontId="33" fillId="29" borderId="274" xfId="0" applyNumberFormat="1" applyFont="1" applyFill="1" applyBorder="1" applyAlignment="1">
      <alignment horizontal="center" vertical="center"/>
    </xf>
    <xf numFmtId="2" fontId="33" fillId="30" borderId="274" xfId="0" applyNumberFormat="1" applyFont="1" applyFill="1" applyBorder="1" applyAlignment="1">
      <alignment horizontal="center" vertical="center"/>
    </xf>
    <xf numFmtId="166" fontId="34" fillId="26" borderId="274" xfId="6" applyNumberFormat="1" applyFont="1" applyFill="1" applyBorder="1" applyAlignment="1">
      <alignment horizontal="center" vertical="center"/>
    </xf>
    <xf numFmtId="2" fontId="16" fillId="28" borderId="274" xfId="0" applyNumberFormat="1" applyFont="1" applyFill="1" applyBorder="1" applyAlignment="1">
      <alignment horizontal="center" vertical="center"/>
    </xf>
    <xf numFmtId="2" fontId="16" fillId="29" borderId="274" xfId="0" applyNumberFormat="1" applyFont="1" applyFill="1" applyBorder="1" applyAlignment="1">
      <alignment horizontal="center" vertical="center"/>
    </xf>
    <xf numFmtId="2" fontId="16" fillId="30" borderId="274" xfId="0" applyNumberFormat="1" applyFont="1" applyFill="1" applyBorder="1" applyAlignment="1">
      <alignment horizontal="center" vertical="center"/>
    </xf>
    <xf numFmtId="2" fontId="16" fillId="32" borderId="274" xfId="0" applyNumberFormat="1" applyFont="1" applyFill="1" applyBorder="1" applyAlignment="1">
      <alignment horizontal="center" vertical="center"/>
    </xf>
    <xf numFmtId="2" fontId="16" fillId="33" borderId="274" xfId="0" applyNumberFormat="1" applyFont="1" applyFill="1" applyBorder="1" applyAlignment="1">
      <alignment horizontal="center" vertical="center"/>
    </xf>
    <xf numFmtId="2" fontId="16" fillId="34" borderId="274" xfId="0" applyNumberFormat="1" applyFont="1" applyFill="1" applyBorder="1" applyAlignment="1">
      <alignment horizontal="center" vertical="center"/>
    </xf>
    <xf numFmtId="2" fontId="16" fillId="35" borderId="274" xfId="0" applyNumberFormat="1" applyFont="1" applyFill="1" applyBorder="1" applyAlignment="1">
      <alignment horizontal="center" vertical="center"/>
    </xf>
    <xf numFmtId="165" fontId="16" fillId="36" borderId="274" xfId="6" applyFont="1" applyFill="1" applyBorder="1" applyAlignment="1">
      <alignment horizontal="center" vertical="center"/>
    </xf>
    <xf numFmtId="2" fontId="16" fillId="37" borderId="274" xfId="0" applyNumberFormat="1" applyFont="1" applyFill="1" applyBorder="1" applyAlignment="1">
      <alignment horizontal="center" vertical="center"/>
    </xf>
    <xf numFmtId="0" fontId="33" fillId="28" borderId="274" xfId="0" applyFont="1" applyFill="1" applyBorder="1" applyAlignment="1">
      <alignment horizontal="center" vertical="center"/>
    </xf>
    <xf numFmtId="0" fontId="33" fillId="29" borderId="274" xfId="0" applyFont="1" applyFill="1" applyBorder="1" applyAlignment="1">
      <alignment horizontal="center" vertical="center"/>
    </xf>
    <xf numFmtId="0" fontId="33" fillId="30" borderId="274" xfId="0" applyFont="1" applyFill="1" applyBorder="1" applyAlignment="1">
      <alignment horizontal="center" vertical="center"/>
    </xf>
    <xf numFmtId="166" fontId="14" fillId="26" borderId="266" xfId="6" applyNumberFormat="1" applyFont="1" applyFill="1" applyBorder="1" applyAlignment="1">
      <alignment horizontal="center" vertical="center" wrapText="1"/>
    </xf>
    <xf numFmtId="165" fontId="33" fillId="37" borderId="45" xfId="0" applyNumberFormat="1" applyFont="1" applyFill="1" applyBorder="1" applyAlignment="1">
      <alignment horizontal="center" vertical="center"/>
    </xf>
    <xf numFmtId="0" fontId="33" fillId="37" borderId="274" xfId="0" applyFont="1" applyFill="1" applyBorder="1" applyAlignment="1">
      <alignment horizontal="center" vertical="center"/>
    </xf>
    <xf numFmtId="0" fontId="33" fillId="32" borderId="274" xfId="0" applyFont="1" applyFill="1" applyBorder="1" applyAlignment="1">
      <alignment horizontal="center" vertical="center"/>
    </xf>
    <xf numFmtId="0" fontId="33" fillId="33" borderId="274" xfId="0" applyFont="1" applyFill="1" applyBorder="1" applyAlignment="1">
      <alignment horizontal="center" vertical="center"/>
    </xf>
    <xf numFmtId="0" fontId="33" fillId="34" borderId="274" xfId="0" applyFont="1" applyFill="1" applyBorder="1" applyAlignment="1">
      <alignment horizontal="center" vertical="center"/>
    </xf>
    <xf numFmtId="0" fontId="33" fillId="35" borderId="274" xfId="0" applyFont="1" applyFill="1" applyBorder="1" applyAlignment="1">
      <alignment horizontal="center" vertical="center"/>
    </xf>
    <xf numFmtId="0" fontId="3" fillId="0" borderId="176" xfId="0" applyFont="1" applyFill="1" applyBorder="1" applyAlignment="1">
      <alignment horizontal="center" vertical="center" wrapText="1"/>
    </xf>
    <xf numFmtId="0" fontId="3" fillId="0" borderId="172" xfId="0" applyFont="1" applyFill="1" applyBorder="1" applyAlignment="1">
      <alignment horizontal="center" vertical="center" wrapText="1"/>
    </xf>
    <xf numFmtId="0" fontId="3" fillId="0" borderId="177" xfId="0" applyFont="1" applyFill="1" applyBorder="1" applyAlignment="1">
      <alignment horizontal="center" vertical="center" wrapText="1"/>
    </xf>
    <xf numFmtId="1" fontId="0" fillId="17" borderId="168" xfId="0" applyNumberFormat="1" applyFill="1" applyBorder="1" applyAlignment="1">
      <alignment horizontal="center" vertical="center"/>
    </xf>
    <xf numFmtId="1" fontId="0" fillId="17" borderId="45" xfId="0" applyNumberFormat="1" applyFill="1" applyBorder="1" applyAlignment="1">
      <alignment horizontal="center" vertical="center"/>
    </xf>
    <xf numFmtId="1" fontId="0" fillId="17" borderId="167" xfId="0" applyNumberFormat="1" applyFill="1" applyBorder="1" applyAlignment="1">
      <alignment horizontal="center" vertical="center"/>
    </xf>
    <xf numFmtId="1" fontId="0" fillId="18" borderId="168" xfId="0" applyNumberFormat="1" applyFill="1" applyBorder="1" applyAlignment="1">
      <alignment horizontal="center" vertical="center"/>
    </xf>
    <xf numFmtId="1" fontId="0" fillId="18" borderId="45" xfId="0" applyNumberFormat="1" applyFill="1" applyBorder="1" applyAlignment="1">
      <alignment horizontal="center" vertical="center"/>
    </xf>
    <xf numFmtId="1" fontId="0" fillId="18" borderId="167" xfId="0" applyNumberFormat="1" applyFill="1" applyBorder="1" applyAlignment="1">
      <alignment horizontal="center" vertical="center"/>
    </xf>
    <xf numFmtId="1" fontId="0" fillId="17" borderId="35" xfId="0" applyNumberFormat="1" applyFill="1" applyBorder="1" applyAlignment="1">
      <alignment horizontal="center" vertical="center"/>
    </xf>
    <xf numFmtId="1" fontId="0" fillId="17" borderId="118" xfId="0" applyNumberFormat="1" applyFill="1" applyBorder="1" applyAlignment="1">
      <alignment horizontal="center" vertical="center"/>
    </xf>
    <xf numFmtId="1" fontId="0" fillId="17" borderId="32" xfId="0" applyNumberFormat="1" applyFill="1" applyBorder="1" applyAlignment="1">
      <alignment horizontal="center" vertical="center"/>
    </xf>
    <xf numFmtId="0" fontId="0" fillId="18" borderId="35" xfId="0" applyFill="1" applyBorder="1" applyAlignment="1">
      <alignment horizontal="center" vertical="center"/>
    </xf>
    <xf numFmtId="0" fontId="0" fillId="18" borderId="118" xfId="0" applyFill="1" applyBorder="1" applyAlignment="1">
      <alignment horizontal="center" vertical="center"/>
    </xf>
    <xf numFmtId="0" fontId="0" fillId="18" borderId="32" xfId="0" applyFill="1" applyBorder="1" applyAlignment="1">
      <alignment horizontal="center" vertical="center"/>
    </xf>
    <xf numFmtId="0" fontId="3" fillId="3" borderId="173" xfId="0" applyFont="1" applyFill="1" applyBorder="1" applyAlignment="1">
      <alignment horizontal="center" vertical="center"/>
    </xf>
    <xf numFmtId="0" fontId="3" fillId="3" borderId="174" xfId="0" applyFont="1" applyFill="1" applyBorder="1" applyAlignment="1">
      <alignment horizontal="center" vertical="center"/>
    </xf>
    <xf numFmtId="0" fontId="3" fillId="3" borderId="175" xfId="0" applyFont="1" applyFill="1" applyBorder="1" applyAlignment="1">
      <alignment horizontal="center" vertical="center"/>
    </xf>
    <xf numFmtId="0" fontId="0" fillId="18" borderId="30" xfId="0" applyFill="1" applyBorder="1" applyAlignment="1">
      <alignment horizontal="center" vertical="center"/>
    </xf>
    <xf numFmtId="1" fontId="0" fillId="18" borderId="35" xfId="0" applyNumberFormat="1" applyFill="1" applyBorder="1" applyAlignment="1">
      <alignment horizontal="center" vertical="center"/>
    </xf>
    <xf numFmtId="1" fontId="0" fillId="18" borderId="118" xfId="0" applyNumberFormat="1" applyFill="1" applyBorder="1" applyAlignment="1">
      <alignment horizontal="center" vertical="center"/>
    </xf>
    <xf numFmtId="1" fontId="0" fillId="18" borderId="42" xfId="0" applyNumberFormat="1" applyFill="1" applyBorder="1" applyAlignment="1">
      <alignment horizontal="center" vertical="center"/>
    </xf>
    <xf numFmtId="1" fontId="0" fillId="18" borderId="31" xfId="0" applyNumberFormat="1" applyFill="1" applyBorder="1" applyAlignment="1">
      <alignment horizontal="center" vertical="center"/>
    </xf>
    <xf numFmtId="0" fontId="0" fillId="18" borderId="45" xfId="0" applyFill="1" applyBorder="1" applyAlignment="1">
      <alignment horizontal="center" vertical="center"/>
    </xf>
    <xf numFmtId="1" fontId="0" fillId="18" borderId="32" xfId="0" applyNumberFormat="1" applyFill="1" applyBorder="1" applyAlignment="1">
      <alignment horizontal="center" vertical="center"/>
    </xf>
    <xf numFmtId="0" fontId="0" fillId="17" borderId="35" xfId="0" applyFill="1" applyBorder="1" applyAlignment="1">
      <alignment horizontal="center" vertical="center"/>
    </xf>
    <xf numFmtId="0" fontId="0" fillId="17" borderId="45" xfId="0" applyFill="1" applyBorder="1" applyAlignment="1">
      <alignment horizontal="center" vertical="center"/>
    </xf>
    <xf numFmtId="0" fontId="0" fillId="17" borderId="32" xfId="0" applyFill="1" applyBorder="1" applyAlignment="1">
      <alignment horizontal="center" vertical="center"/>
    </xf>
    <xf numFmtId="1" fontId="0" fillId="18" borderId="35" xfId="6" applyNumberFormat="1" applyFont="1" applyFill="1" applyBorder="1" applyAlignment="1">
      <alignment horizontal="center" vertical="center"/>
    </xf>
    <xf numFmtId="1" fontId="0" fillId="18" borderId="45" xfId="6" applyNumberFormat="1" applyFont="1" applyFill="1" applyBorder="1" applyAlignment="1">
      <alignment horizontal="center" vertical="center"/>
    </xf>
    <xf numFmtId="1" fontId="0" fillId="18" borderId="32" xfId="6" applyNumberFormat="1" applyFont="1" applyFill="1" applyBorder="1" applyAlignment="1">
      <alignment horizontal="center" vertical="center"/>
    </xf>
    <xf numFmtId="1" fontId="0" fillId="18" borderId="30" xfId="0" applyNumberFormat="1" applyFill="1" applyBorder="1" applyAlignment="1">
      <alignment horizontal="center" vertical="center"/>
    </xf>
    <xf numFmtId="0" fontId="0" fillId="18" borderId="35" xfId="0" applyFill="1" applyBorder="1" applyAlignment="1">
      <alignment horizontal="center"/>
    </xf>
    <xf numFmtId="0" fontId="0" fillId="18" borderId="30" xfId="0" applyFill="1" applyBorder="1" applyAlignment="1">
      <alignment horizontal="center"/>
    </xf>
    <xf numFmtId="0" fontId="0" fillId="18" borderId="32" xfId="0" applyFill="1" applyBorder="1" applyAlignment="1">
      <alignment horizontal="center"/>
    </xf>
    <xf numFmtId="0" fontId="3" fillId="3" borderId="11" xfId="0" applyFont="1" applyFill="1" applyBorder="1" applyAlignment="1">
      <alignment horizontal="center" vertical="center" wrapText="1"/>
    </xf>
    <xf numFmtId="0" fontId="3" fillId="3" borderId="13" xfId="0" applyFont="1" applyFill="1" applyBorder="1" applyAlignment="1">
      <alignment horizontal="center" vertical="center" wrapText="1"/>
    </xf>
    <xf numFmtId="0" fontId="0" fillId="18" borderId="198" xfId="0" applyFill="1" applyBorder="1" applyAlignment="1">
      <alignment horizontal="center" vertical="center"/>
    </xf>
    <xf numFmtId="0" fontId="0" fillId="18" borderId="143" xfId="0" applyFill="1" applyBorder="1" applyAlignment="1">
      <alignment horizontal="center" vertical="center"/>
    </xf>
    <xf numFmtId="0" fontId="0" fillId="18" borderId="199" xfId="0" applyFill="1" applyBorder="1" applyAlignment="1">
      <alignment horizontal="center" vertical="center"/>
    </xf>
    <xf numFmtId="0" fontId="0" fillId="17" borderId="118" xfId="0" applyFill="1" applyBorder="1" applyAlignment="1">
      <alignment horizontal="center" vertical="center"/>
    </xf>
    <xf numFmtId="1" fontId="14" fillId="17" borderId="35" xfId="0" applyNumberFormat="1" applyFont="1" applyFill="1" applyBorder="1" applyAlignment="1">
      <alignment horizontal="center" vertical="center"/>
    </xf>
    <xf numFmtId="1" fontId="14" fillId="17" borderId="118" xfId="0" applyNumberFormat="1" applyFont="1" applyFill="1" applyBorder="1" applyAlignment="1">
      <alignment horizontal="center" vertical="center"/>
    </xf>
    <xf numFmtId="1" fontId="14" fillId="17" borderId="32" xfId="0" applyNumberFormat="1" applyFont="1" applyFill="1" applyBorder="1" applyAlignment="1">
      <alignment horizontal="center" vertical="center"/>
    </xf>
    <xf numFmtId="1" fontId="0" fillId="18" borderId="47" xfId="0" applyNumberFormat="1" applyFill="1" applyBorder="1" applyAlignment="1">
      <alignment horizontal="center" vertical="center"/>
    </xf>
    <xf numFmtId="1" fontId="0" fillId="17" borderId="47" xfId="0" applyNumberFormat="1" applyFill="1" applyBorder="1" applyAlignment="1">
      <alignment horizontal="center" vertical="center"/>
    </xf>
    <xf numFmtId="1" fontId="0" fillId="17" borderId="185" xfId="0" applyNumberFormat="1" applyFill="1" applyBorder="1" applyAlignment="1">
      <alignment horizontal="center" vertical="center"/>
    </xf>
    <xf numFmtId="1" fontId="0" fillId="18" borderId="185" xfId="0" applyNumberFormat="1" applyFill="1" applyBorder="1" applyAlignment="1">
      <alignment horizontal="center" vertical="center"/>
    </xf>
    <xf numFmtId="0" fontId="3" fillId="0" borderId="186" xfId="0" applyFont="1" applyFill="1" applyBorder="1" applyAlignment="1">
      <alignment horizontal="center" vertical="center"/>
    </xf>
    <xf numFmtId="0" fontId="3" fillId="3" borderId="147" xfId="0" applyFont="1" applyFill="1" applyBorder="1" applyAlignment="1">
      <alignment horizontal="center" vertical="center"/>
    </xf>
    <xf numFmtId="0" fontId="3" fillId="3" borderId="184" xfId="0" applyFont="1" applyFill="1" applyBorder="1" applyAlignment="1">
      <alignment horizontal="center" vertical="center"/>
    </xf>
    <xf numFmtId="1" fontId="34" fillId="18" borderId="35" xfId="0" applyNumberFormat="1" applyFont="1" applyFill="1" applyBorder="1" applyAlignment="1">
      <alignment horizontal="center" vertical="center"/>
    </xf>
    <xf numFmtId="1" fontId="34" fillId="18" borderId="45" xfId="0" applyNumberFormat="1" applyFont="1" applyFill="1" applyBorder="1" applyAlignment="1">
      <alignment horizontal="center" vertical="center"/>
    </xf>
    <xf numFmtId="1" fontId="34" fillId="18" borderId="32" xfId="0" applyNumberFormat="1" applyFont="1" applyFill="1" applyBorder="1" applyAlignment="1">
      <alignment horizontal="center" vertical="center"/>
    </xf>
    <xf numFmtId="0" fontId="4" fillId="17" borderId="47" xfId="0" applyFont="1" applyFill="1" applyBorder="1" applyAlignment="1">
      <alignment horizontal="center" vertical="center"/>
    </xf>
    <xf numFmtId="0" fontId="4" fillId="17" borderId="45" xfId="0" applyFont="1" applyFill="1" applyBorder="1" applyAlignment="1">
      <alignment horizontal="center" vertical="center"/>
    </xf>
    <xf numFmtId="0" fontId="4" fillId="17" borderId="32" xfId="0" applyFont="1" applyFill="1" applyBorder="1" applyAlignment="1">
      <alignment horizontal="center" vertical="center"/>
    </xf>
    <xf numFmtId="1" fontId="14" fillId="17" borderId="47" xfId="0" applyNumberFormat="1" applyFont="1" applyFill="1" applyBorder="1" applyAlignment="1">
      <alignment horizontal="center" vertical="center"/>
    </xf>
    <xf numFmtId="1" fontId="14" fillId="17" borderId="45" xfId="0" applyNumberFormat="1" applyFont="1" applyFill="1" applyBorder="1" applyAlignment="1">
      <alignment horizontal="center" vertical="center"/>
    </xf>
    <xf numFmtId="0" fontId="2" fillId="14" borderId="190" xfId="0" applyFont="1" applyFill="1" applyBorder="1" applyAlignment="1">
      <alignment horizontal="center" vertical="center"/>
    </xf>
    <xf numFmtId="0" fontId="2" fillId="15" borderId="190" xfId="0" applyFont="1" applyFill="1" applyBorder="1" applyAlignment="1">
      <alignment horizontal="center" vertical="center"/>
    </xf>
    <xf numFmtId="0" fontId="2" fillId="16" borderId="190" xfId="0" applyFont="1" applyFill="1" applyBorder="1" applyAlignment="1">
      <alignment horizontal="center"/>
    </xf>
    <xf numFmtId="0" fontId="2" fillId="17" borderId="190" xfId="0" applyFont="1" applyFill="1" applyBorder="1" applyAlignment="1">
      <alignment horizontal="center"/>
    </xf>
    <xf numFmtId="0" fontId="2" fillId="18" borderId="190" xfId="0" applyFont="1" applyFill="1" applyBorder="1" applyAlignment="1">
      <alignment horizontal="center"/>
    </xf>
    <xf numFmtId="0" fontId="3" fillId="3" borderId="149" xfId="0" applyFont="1" applyFill="1" applyBorder="1" applyAlignment="1">
      <alignment horizontal="center" vertical="center" wrapText="1"/>
    </xf>
    <xf numFmtId="0" fontId="3" fillId="3" borderId="132" xfId="0" applyFont="1" applyFill="1" applyBorder="1" applyAlignment="1">
      <alignment horizontal="center" vertical="center" wrapText="1"/>
    </xf>
    <xf numFmtId="0" fontId="3" fillId="3" borderId="203" xfId="0" applyFont="1" applyFill="1" applyBorder="1" applyAlignment="1">
      <alignment horizontal="center" vertical="center" wrapText="1"/>
    </xf>
    <xf numFmtId="0" fontId="4" fillId="18" borderId="47" xfId="0" applyFont="1" applyFill="1" applyBorder="1" applyAlignment="1">
      <alignment horizontal="center" vertical="center"/>
    </xf>
    <xf numFmtId="0" fontId="4" fillId="18" borderId="45" xfId="0" applyFont="1" applyFill="1" applyBorder="1" applyAlignment="1">
      <alignment horizontal="center" vertical="center"/>
    </xf>
    <xf numFmtId="0" fontId="4" fillId="18" borderId="32" xfId="0" applyFont="1" applyFill="1" applyBorder="1" applyAlignment="1">
      <alignment horizontal="center" vertical="center"/>
    </xf>
    <xf numFmtId="1" fontId="34" fillId="18" borderId="47" xfId="0" applyNumberFormat="1" applyFont="1" applyFill="1" applyBorder="1" applyAlignment="1">
      <alignment horizontal="center" vertical="center"/>
    </xf>
    <xf numFmtId="0" fontId="34" fillId="18" borderId="45" xfId="0" applyFont="1" applyFill="1" applyBorder="1" applyAlignment="1">
      <alignment horizontal="center" vertical="center"/>
    </xf>
    <xf numFmtId="0" fontId="34" fillId="18" borderId="32" xfId="0" applyFont="1" applyFill="1" applyBorder="1" applyAlignment="1">
      <alignment horizontal="center" vertical="center"/>
    </xf>
    <xf numFmtId="0" fontId="14" fillId="17" borderId="204" xfId="0" applyFont="1" applyFill="1" applyBorder="1" applyAlignment="1">
      <alignment horizontal="center" vertical="center"/>
    </xf>
    <xf numFmtId="0" fontId="14" fillId="17" borderId="114" xfId="0" applyFont="1" applyFill="1" applyBorder="1" applyAlignment="1">
      <alignment horizontal="center" vertical="center"/>
    </xf>
    <xf numFmtId="0" fontId="14" fillId="17" borderId="205" xfId="0" applyFont="1" applyFill="1" applyBorder="1" applyAlignment="1">
      <alignment horizontal="center" vertical="center"/>
    </xf>
    <xf numFmtId="0" fontId="14" fillId="18" borderId="206" xfId="0" applyFont="1" applyFill="1" applyBorder="1" applyAlignment="1">
      <alignment horizontal="center" vertical="center"/>
    </xf>
    <xf numFmtId="0" fontId="14" fillId="18" borderId="207" xfId="0" applyFont="1" applyFill="1" applyBorder="1" applyAlignment="1">
      <alignment horizontal="center" vertical="center"/>
    </xf>
    <xf numFmtId="0" fontId="14" fillId="18" borderId="208" xfId="0" applyFont="1" applyFill="1" applyBorder="1" applyAlignment="1">
      <alignment horizontal="center" vertical="center"/>
    </xf>
    <xf numFmtId="0" fontId="23" fillId="0" borderId="87" xfId="0" applyFont="1" applyBorder="1" applyAlignment="1">
      <alignment horizontal="left"/>
    </xf>
    <xf numFmtId="0" fontId="23" fillId="0" borderId="88" xfId="0" applyFont="1" applyBorder="1" applyAlignment="1">
      <alignment horizontal="left"/>
    </xf>
    <xf numFmtId="0" fontId="0" fillId="27" borderId="59" xfId="0" applyFill="1" applyBorder="1" applyAlignment="1">
      <alignment horizontal="center" vertical="center" wrapText="1"/>
    </xf>
    <xf numFmtId="0" fontId="23" fillId="0" borderId="95" xfId="0" applyFont="1" applyFill="1" applyBorder="1" applyAlignment="1">
      <alignment horizontal="center" wrapText="1"/>
    </xf>
    <xf numFmtId="0" fontId="23" fillId="0" borderId="92" xfId="0" applyFont="1" applyBorder="1" applyAlignment="1">
      <alignment horizontal="center" vertical="center" wrapText="1"/>
    </xf>
    <xf numFmtId="0" fontId="23" fillId="0" borderId="93" xfId="0" applyFont="1" applyFill="1" applyBorder="1" applyAlignment="1">
      <alignment horizontal="center" wrapText="1"/>
    </xf>
    <xf numFmtId="0" fontId="23" fillId="0" borderId="94" xfId="0" applyFont="1" applyFill="1" applyBorder="1" applyAlignment="1">
      <alignment horizontal="center" wrapText="1"/>
    </xf>
    <xf numFmtId="0" fontId="23" fillId="0" borderId="101" xfId="0" applyFont="1" applyFill="1" applyBorder="1" applyAlignment="1">
      <alignment horizontal="center" wrapText="1"/>
    </xf>
    <xf numFmtId="165" fontId="33" fillId="0" borderId="1" xfId="6" applyFont="1" applyBorder="1" applyAlignment="1"/>
    <xf numFmtId="165" fontId="2" fillId="0" borderId="2" xfId="6" applyFont="1" applyBorder="1" applyAlignment="1"/>
    <xf numFmtId="165" fontId="2" fillId="0" borderId="0" xfId="6" applyFont="1" applyBorder="1" applyAlignment="1"/>
    <xf numFmtId="165" fontId="41" fillId="0" borderId="0" xfId="6" applyFont="1"/>
    <xf numFmtId="165" fontId="3" fillId="0" borderId="3" xfId="6" applyFont="1" applyBorder="1" applyAlignment="1"/>
    <xf numFmtId="165" fontId="3" fillId="0" borderId="4" xfId="6" applyFont="1" applyBorder="1" applyAlignment="1"/>
    <xf numFmtId="165" fontId="3" fillId="0" borderId="0" xfId="6" applyFont="1" applyBorder="1" applyAlignment="1"/>
    <xf numFmtId="165" fontId="10" fillId="11" borderId="0" xfId="6" applyFont="1" applyFill="1"/>
    <xf numFmtId="165" fontId="0" fillId="11" borderId="0" xfId="6" applyFont="1" applyFill="1"/>
    <xf numFmtId="165" fontId="18" fillId="0" borderId="0" xfId="6" applyFont="1" applyAlignment="1">
      <alignment horizontal="center"/>
    </xf>
    <xf numFmtId="165" fontId="2" fillId="38" borderId="59" xfId="6" applyFont="1" applyFill="1" applyBorder="1" applyAlignment="1">
      <alignment horizontal="center" vertical="center"/>
    </xf>
    <xf numFmtId="165" fontId="2" fillId="26" borderId="0" xfId="6" applyFont="1" applyFill="1"/>
    <xf numFmtId="165" fontId="2" fillId="27" borderId="0" xfId="6" applyFont="1" applyFill="1"/>
    <xf numFmtId="165" fontId="2" fillId="5" borderId="0" xfId="6" applyFont="1" applyFill="1" applyAlignment="1">
      <alignment horizontal="center" wrapText="1"/>
    </xf>
    <xf numFmtId="165" fontId="2" fillId="2" borderId="0" xfId="6" applyFont="1" applyFill="1" applyAlignment="1">
      <alignment horizontal="center"/>
    </xf>
    <xf numFmtId="165" fontId="2" fillId="3" borderId="0" xfId="6" applyFont="1" applyFill="1" applyAlignment="1">
      <alignment horizontal="center" wrapText="1"/>
    </xf>
    <xf numFmtId="165" fontId="2" fillId="41" borderId="0" xfId="6" applyFont="1" applyFill="1" applyAlignment="1">
      <alignment horizontal="center" wrapText="1"/>
    </xf>
    <xf numFmtId="165" fontId="2" fillId="21" borderId="0" xfId="6" applyFont="1" applyFill="1" applyAlignment="1">
      <alignment horizontal="center" wrapText="1"/>
    </xf>
    <xf numFmtId="165" fontId="2" fillId="10" borderId="0" xfId="6" applyFont="1" applyFill="1" applyAlignment="1">
      <alignment horizontal="center" wrapText="1"/>
    </xf>
    <xf numFmtId="165" fontId="46" fillId="41" borderId="0" xfId="6" applyFont="1" applyFill="1" applyAlignment="1">
      <alignment horizontal="center" wrapText="1"/>
    </xf>
    <xf numFmtId="165" fontId="2" fillId="22" borderId="0" xfId="6" applyFont="1" applyFill="1" applyAlignment="1">
      <alignment horizontal="center" wrapText="1"/>
    </xf>
    <xf numFmtId="165" fontId="2" fillId="19" borderId="0" xfId="6" applyFont="1" applyFill="1" applyAlignment="1"/>
    <xf numFmtId="165" fontId="2" fillId="20" borderId="0" xfId="6" applyFont="1" applyFill="1" applyAlignment="1">
      <alignment horizontal="center"/>
    </xf>
    <xf numFmtId="165" fontId="2" fillId="23" borderId="0" xfId="6" applyFont="1" applyFill="1" applyAlignment="1"/>
    <xf numFmtId="165" fontId="2" fillId="28" borderId="0" xfId="6" applyFont="1" applyFill="1" applyAlignment="1">
      <alignment horizontal="center" vertical="center" wrapText="1"/>
    </xf>
    <xf numFmtId="165" fontId="2" fillId="29" borderId="0" xfId="6" applyFont="1" applyFill="1" applyAlignment="1">
      <alignment horizontal="center" vertical="center" wrapText="1"/>
    </xf>
    <xf numFmtId="165" fontId="2" fillId="30" borderId="0" xfId="6" applyFont="1" applyFill="1" applyAlignment="1">
      <alignment horizontal="center" vertical="center" wrapText="1"/>
    </xf>
    <xf numFmtId="165" fontId="2" fillId="42" borderId="0" xfId="6" applyFont="1" applyFill="1" applyAlignment="1">
      <alignment horizontal="center" vertical="center" wrapText="1"/>
    </xf>
    <xf numFmtId="165" fontId="2" fillId="31" borderId="0" xfId="6" applyFont="1" applyFill="1" applyAlignment="1">
      <alignment horizontal="center" vertical="center" wrapText="1"/>
    </xf>
    <xf numFmtId="165" fontId="2" fillId="32" borderId="0" xfId="6" applyFont="1" applyFill="1" applyAlignment="1">
      <alignment horizontal="center" vertical="center" wrapText="1"/>
    </xf>
    <xf numFmtId="165" fontId="2" fillId="33" borderId="0" xfId="6" applyFont="1" applyFill="1" applyAlignment="1">
      <alignment horizontal="center" vertical="center" wrapText="1"/>
    </xf>
    <xf numFmtId="165" fontId="2" fillId="34" borderId="0" xfId="6" applyFont="1" applyFill="1" applyAlignment="1">
      <alignment horizontal="center" vertical="center" wrapText="1"/>
    </xf>
    <xf numFmtId="165" fontId="2" fillId="35" borderId="0" xfId="6" applyFont="1" applyFill="1" applyAlignment="1">
      <alignment horizontal="center" vertical="center" wrapText="1"/>
    </xf>
    <xf numFmtId="165" fontId="2" fillId="36" borderId="0" xfId="6" applyFont="1" applyFill="1" applyAlignment="1">
      <alignment horizontal="center" vertical="center" wrapText="1"/>
    </xf>
    <xf numFmtId="165" fontId="9" fillId="38" borderId="59" xfId="6" applyFont="1" applyFill="1" applyBorder="1" applyAlignment="1">
      <alignment horizontal="center" vertical="center" wrapText="1"/>
    </xf>
    <xf numFmtId="165" fontId="11" fillId="13" borderId="9" xfId="6" applyFont="1" applyFill="1" applyBorder="1" applyAlignment="1">
      <alignment horizontal="center"/>
    </xf>
    <xf numFmtId="165" fontId="11" fillId="13" borderId="16" xfId="6" applyFont="1" applyFill="1" applyBorder="1" applyAlignment="1">
      <alignment horizontal="center"/>
    </xf>
    <xf numFmtId="165" fontId="11" fillId="13" borderId="15" xfId="6" applyFont="1" applyFill="1" applyBorder="1" applyAlignment="1">
      <alignment horizontal="center"/>
    </xf>
    <xf numFmtId="165" fontId="11" fillId="26" borderId="48" xfId="6" applyFont="1" applyFill="1" applyBorder="1" applyAlignment="1">
      <alignment horizontal="center"/>
    </xf>
    <xf numFmtId="165" fontId="11" fillId="27" borderId="49" xfId="6" applyFont="1" applyFill="1" applyBorder="1" applyAlignment="1">
      <alignment horizontal="center"/>
    </xf>
    <xf numFmtId="165" fontId="3" fillId="5" borderId="0" xfId="6" applyFont="1" applyFill="1" applyAlignment="1">
      <alignment horizontal="center"/>
    </xf>
    <xf numFmtId="165" fontId="3" fillId="3" borderId="0" xfId="6" applyFont="1" applyFill="1" applyAlignment="1">
      <alignment horizontal="center"/>
    </xf>
    <xf numFmtId="165" fontId="3" fillId="41" borderId="0" xfId="6" applyFont="1" applyFill="1" applyAlignment="1">
      <alignment horizontal="center"/>
    </xf>
    <xf numFmtId="165" fontId="3" fillId="21" borderId="0" xfId="6" applyFont="1" applyFill="1" applyAlignment="1">
      <alignment horizontal="center"/>
    </xf>
    <xf numFmtId="165" fontId="3" fillId="10" borderId="0" xfId="6" applyFont="1" applyFill="1" applyAlignment="1">
      <alignment horizontal="center"/>
    </xf>
    <xf numFmtId="165" fontId="47" fillId="41" borderId="0" xfId="6" applyFont="1" applyFill="1" applyAlignment="1">
      <alignment horizontal="center"/>
    </xf>
    <xf numFmtId="165" fontId="3" fillId="22" borderId="0" xfId="6" applyFont="1" applyFill="1" applyAlignment="1">
      <alignment horizontal="center"/>
    </xf>
    <xf numFmtId="165" fontId="3" fillId="19" borderId="0" xfId="6" applyFont="1" applyFill="1" applyAlignment="1">
      <alignment horizontal="center"/>
    </xf>
    <xf numFmtId="165" fontId="3" fillId="20" borderId="0" xfId="6" applyFont="1" applyFill="1" applyAlignment="1">
      <alignment horizontal="center"/>
    </xf>
    <xf numFmtId="165" fontId="3" fillId="23" borderId="0" xfId="6" applyFont="1" applyFill="1" applyAlignment="1">
      <alignment horizontal="center"/>
    </xf>
    <xf numFmtId="165" fontId="3" fillId="28" borderId="0" xfId="6" applyFont="1" applyFill="1" applyAlignment="1">
      <alignment horizontal="center"/>
    </xf>
    <xf numFmtId="165" fontId="3" fillId="29" borderId="0" xfId="6" applyFont="1" applyFill="1" applyAlignment="1">
      <alignment horizontal="center"/>
    </xf>
    <xf numFmtId="165" fontId="3" fillId="30" borderId="0" xfId="6" applyFont="1" applyFill="1" applyAlignment="1">
      <alignment horizontal="center"/>
    </xf>
    <xf numFmtId="165" fontId="3" fillId="42" borderId="0" xfId="6" applyFont="1" applyFill="1" applyAlignment="1">
      <alignment horizontal="center"/>
    </xf>
    <xf numFmtId="165" fontId="3" fillId="31" borderId="0" xfId="6" applyFont="1" applyFill="1" applyAlignment="1">
      <alignment horizontal="center"/>
    </xf>
    <xf numFmtId="165" fontId="3" fillId="32" borderId="0" xfId="6" applyFont="1" applyFill="1" applyAlignment="1">
      <alignment horizontal="center"/>
    </xf>
    <xf numFmtId="165" fontId="3" fillId="33" borderId="0" xfId="6" applyFont="1" applyFill="1" applyAlignment="1">
      <alignment horizontal="center"/>
    </xf>
    <xf numFmtId="165" fontId="3" fillId="34" borderId="0" xfId="6" applyFont="1" applyFill="1" applyAlignment="1">
      <alignment horizontal="center"/>
    </xf>
    <xf numFmtId="165" fontId="3" fillId="35" borderId="0" xfId="6" applyFont="1" applyFill="1" applyAlignment="1">
      <alignment horizontal="center"/>
    </xf>
    <xf numFmtId="165" fontId="3" fillId="36" borderId="0" xfId="6" applyFont="1" applyFill="1" applyAlignment="1">
      <alignment horizontal="center"/>
    </xf>
    <xf numFmtId="165" fontId="0" fillId="38" borderId="59" xfId="6" applyFont="1" applyFill="1" applyBorder="1"/>
    <xf numFmtId="165" fontId="3" fillId="3" borderId="209" xfId="6" applyFont="1" applyFill="1" applyBorder="1" applyAlignment="1">
      <alignment horizontal="center" vertical="center"/>
    </xf>
    <xf numFmtId="165" fontId="0" fillId="3" borderId="52" xfId="6" applyFont="1" applyFill="1" applyBorder="1" applyAlignment="1">
      <alignment horizontal="center"/>
    </xf>
    <xf numFmtId="165" fontId="0" fillId="3" borderId="45" xfId="6" applyFont="1" applyFill="1" applyBorder="1" applyAlignment="1">
      <alignment horizontal="center"/>
    </xf>
    <xf numFmtId="165" fontId="14" fillId="26" borderId="195" xfId="6" applyFont="1" applyFill="1" applyBorder="1" applyAlignment="1">
      <alignment horizontal="center" vertical="center"/>
    </xf>
    <xf numFmtId="165" fontId="14" fillId="27" borderId="105" xfId="6" applyFont="1" applyFill="1" applyBorder="1" applyAlignment="1">
      <alignment horizontal="center"/>
    </xf>
    <xf numFmtId="165" fontId="4" fillId="5" borderId="49" xfId="6" applyFont="1" applyFill="1" applyBorder="1" applyAlignment="1">
      <alignment horizontal="center"/>
    </xf>
    <xf numFmtId="165" fontId="4" fillId="2" borderId="0" xfId="6" applyFont="1" applyFill="1" applyAlignment="1">
      <alignment horizontal="center"/>
    </xf>
    <xf numFmtId="165" fontId="4" fillId="3" borderId="0" xfId="6" applyFont="1" applyFill="1" applyAlignment="1">
      <alignment horizontal="center"/>
    </xf>
    <xf numFmtId="165" fontId="4" fillId="41" borderId="0" xfId="6" applyFont="1" applyFill="1" applyAlignment="1">
      <alignment horizontal="center"/>
    </xf>
    <xf numFmtId="165" fontId="4" fillId="10" borderId="0" xfId="6" applyFont="1" applyFill="1" applyAlignment="1">
      <alignment horizontal="center"/>
    </xf>
    <xf numFmtId="165" fontId="48" fillId="41" borderId="0" xfId="6" applyFont="1" applyFill="1" applyAlignment="1">
      <alignment horizontal="center"/>
    </xf>
    <xf numFmtId="165" fontId="4" fillId="22" borderId="0" xfId="6" applyFont="1" applyFill="1" applyAlignment="1">
      <alignment horizontal="center"/>
    </xf>
    <xf numFmtId="165" fontId="4" fillId="19" borderId="0" xfId="6" applyFont="1" applyFill="1" applyAlignment="1">
      <alignment horizontal="center"/>
    </xf>
    <xf numFmtId="165" fontId="4" fillId="20" borderId="0" xfId="6" applyFont="1" applyFill="1" applyAlignment="1">
      <alignment horizontal="center"/>
    </xf>
    <xf numFmtId="165" fontId="34" fillId="0" borderId="0" xfId="6" applyFont="1"/>
    <xf numFmtId="165" fontId="33" fillId="28" borderId="195" xfId="6" applyFont="1" applyFill="1" applyBorder="1" applyAlignment="1">
      <alignment horizontal="center" vertical="center"/>
    </xf>
    <xf numFmtId="165" fontId="33" fillId="29" borderId="195" xfId="6" applyFont="1" applyFill="1" applyBorder="1" applyAlignment="1">
      <alignment horizontal="center" vertical="center"/>
    </xf>
    <xf numFmtId="165" fontId="33" fillId="30" borderId="195" xfId="6" applyFont="1" applyFill="1" applyBorder="1" applyAlignment="1">
      <alignment horizontal="center" vertical="center"/>
    </xf>
    <xf numFmtId="165" fontId="33" fillId="42" borderId="195" xfId="6" applyFont="1" applyFill="1" applyBorder="1" applyAlignment="1">
      <alignment horizontal="center" vertical="center"/>
    </xf>
    <xf numFmtId="165" fontId="33" fillId="37" borderId="195" xfId="6" applyFont="1" applyFill="1" applyBorder="1" applyAlignment="1">
      <alignment horizontal="center" vertical="center"/>
    </xf>
    <xf numFmtId="165" fontId="33" fillId="32" borderId="195" xfId="6" applyFont="1" applyFill="1" applyBorder="1" applyAlignment="1">
      <alignment horizontal="center" vertical="center"/>
    </xf>
    <xf numFmtId="165" fontId="33" fillId="33" borderId="195" xfId="6" applyFont="1" applyFill="1" applyBorder="1" applyAlignment="1">
      <alignment horizontal="center" vertical="center"/>
    </xf>
    <xf numFmtId="165" fontId="33" fillId="34" borderId="195" xfId="6" applyFont="1" applyFill="1" applyBorder="1" applyAlignment="1">
      <alignment horizontal="center" vertical="center"/>
    </xf>
    <xf numFmtId="165" fontId="33" fillId="35" borderId="195" xfId="6" applyFont="1" applyFill="1" applyBorder="1" applyAlignment="1">
      <alignment horizontal="center" vertical="center"/>
    </xf>
    <xf numFmtId="165" fontId="14" fillId="38" borderId="59" xfId="6" applyFont="1" applyFill="1" applyBorder="1" applyAlignment="1">
      <alignment horizontal="center"/>
    </xf>
    <xf numFmtId="165" fontId="34" fillId="38" borderId="59" xfId="6" applyFont="1" applyFill="1" applyBorder="1" applyAlignment="1">
      <alignment horizontal="center"/>
    </xf>
    <xf numFmtId="165" fontId="3" fillId="3" borderId="15" xfId="6" applyFont="1" applyFill="1" applyBorder="1" applyAlignment="1">
      <alignment horizontal="center" vertical="center"/>
    </xf>
    <xf numFmtId="165" fontId="14" fillId="26" borderId="45" xfId="6" applyFont="1" applyFill="1" applyBorder="1" applyAlignment="1">
      <alignment horizontal="center" vertical="center"/>
    </xf>
    <xf numFmtId="165" fontId="33" fillId="28" borderId="45" xfId="6" applyFont="1" applyFill="1" applyBorder="1" applyAlignment="1">
      <alignment horizontal="center" vertical="center"/>
    </xf>
    <xf numFmtId="165" fontId="33" fillId="29" borderId="45" xfId="6" applyFont="1" applyFill="1" applyBorder="1" applyAlignment="1">
      <alignment horizontal="center" vertical="center"/>
    </xf>
    <xf numFmtId="165" fontId="33" fillId="30" borderId="45" xfId="6" applyFont="1" applyFill="1" applyBorder="1" applyAlignment="1">
      <alignment horizontal="center" vertical="center"/>
    </xf>
    <xf numFmtId="165" fontId="33" fillId="42" borderId="45" xfId="6" applyFont="1" applyFill="1" applyBorder="1" applyAlignment="1">
      <alignment horizontal="center" vertical="center"/>
    </xf>
    <xf numFmtId="165" fontId="33" fillId="37" borderId="45" xfId="6" applyFont="1" applyFill="1" applyBorder="1" applyAlignment="1">
      <alignment horizontal="center" vertical="center"/>
    </xf>
    <xf numFmtId="165" fontId="33" fillId="32" borderId="45" xfId="6" applyFont="1" applyFill="1" applyBorder="1" applyAlignment="1">
      <alignment horizontal="center" vertical="center"/>
    </xf>
    <xf numFmtId="165" fontId="33" fillId="33" borderId="45" xfId="6" applyFont="1" applyFill="1" applyBorder="1" applyAlignment="1">
      <alignment horizontal="center" vertical="center"/>
    </xf>
    <xf numFmtId="165" fontId="33" fillId="34" borderId="45" xfId="6" applyFont="1" applyFill="1" applyBorder="1" applyAlignment="1">
      <alignment horizontal="center" vertical="center"/>
    </xf>
    <xf numFmtId="165" fontId="33" fillId="35" borderId="45" xfId="6" applyFont="1" applyFill="1" applyBorder="1" applyAlignment="1">
      <alignment horizontal="center" vertical="center"/>
    </xf>
    <xf numFmtId="165" fontId="3" fillId="3" borderId="17" xfId="6" applyFont="1" applyFill="1" applyBorder="1" applyAlignment="1">
      <alignment horizontal="center" vertical="center"/>
    </xf>
    <xf numFmtId="165" fontId="14" fillId="26" borderId="167" xfId="6" applyFont="1" applyFill="1" applyBorder="1" applyAlignment="1">
      <alignment horizontal="center" vertical="center"/>
    </xf>
    <xf numFmtId="165" fontId="33" fillId="28" borderId="167" xfId="6" applyFont="1" applyFill="1" applyBorder="1" applyAlignment="1">
      <alignment horizontal="center" vertical="center"/>
    </xf>
    <xf numFmtId="165" fontId="33" fillId="29" borderId="167" xfId="6" applyFont="1" applyFill="1" applyBorder="1" applyAlignment="1">
      <alignment horizontal="center" vertical="center"/>
    </xf>
    <xf numFmtId="165" fontId="33" fillId="30" borderId="167" xfId="6" applyFont="1" applyFill="1" applyBorder="1" applyAlignment="1">
      <alignment horizontal="center" vertical="center"/>
    </xf>
    <xf numFmtId="165" fontId="33" fillId="42" borderId="167" xfId="6" applyFont="1" applyFill="1" applyBorder="1" applyAlignment="1">
      <alignment horizontal="center" vertical="center"/>
    </xf>
    <xf numFmtId="165" fontId="33" fillId="37" borderId="167" xfId="6" applyFont="1" applyFill="1" applyBorder="1" applyAlignment="1">
      <alignment horizontal="center" vertical="center"/>
    </xf>
    <xf numFmtId="165" fontId="33" fillId="32" borderId="167" xfId="6" applyFont="1" applyFill="1" applyBorder="1" applyAlignment="1">
      <alignment horizontal="center" vertical="center"/>
    </xf>
    <xf numFmtId="165" fontId="33" fillId="33" borderId="167" xfId="6" applyFont="1" applyFill="1" applyBorder="1" applyAlignment="1">
      <alignment horizontal="center" vertical="center"/>
    </xf>
    <xf numFmtId="165" fontId="33" fillId="34" borderId="167" xfId="6" applyFont="1" applyFill="1" applyBorder="1" applyAlignment="1">
      <alignment horizontal="center" vertical="center"/>
    </xf>
    <xf numFmtId="165" fontId="33" fillId="35" borderId="167" xfId="6" applyFont="1" applyFill="1" applyBorder="1" applyAlignment="1">
      <alignment horizontal="center" vertical="center"/>
    </xf>
    <xf numFmtId="165" fontId="3" fillId="3" borderId="16" xfId="6" applyFont="1" applyFill="1" applyBorder="1" applyAlignment="1">
      <alignment horizontal="center" vertical="center"/>
    </xf>
    <xf numFmtId="165" fontId="0" fillId="3" borderId="210" xfId="6" applyFont="1" applyFill="1" applyBorder="1" applyAlignment="1">
      <alignment horizontal="center"/>
    </xf>
    <xf numFmtId="165" fontId="0" fillId="3" borderId="195" xfId="6" applyFont="1" applyFill="1" applyBorder="1" applyAlignment="1">
      <alignment horizontal="center"/>
    </xf>
    <xf numFmtId="165" fontId="14" fillId="26" borderId="138" xfId="6" applyFont="1" applyFill="1" applyBorder="1" applyAlignment="1">
      <alignment horizontal="center" vertical="center"/>
    </xf>
    <xf numFmtId="165" fontId="33" fillId="28" borderId="138" xfId="6" applyFont="1" applyFill="1" applyBorder="1" applyAlignment="1">
      <alignment horizontal="center" vertical="center"/>
    </xf>
    <xf numFmtId="165" fontId="33" fillId="29" borderId="138" xfId="6" applyFont="1" applyFill="1" applyBorder="1" applyAlignment="1">
      <alignment horizontal="center" vertical="center"/>
    </xf>
    <xf numFmtId="165" fontId="33" fillId="30" borderId="138" xfId="6" applyFont="1" applyFill="1" applyBorder="1" applyAlignment="1">
      <alignment horizontal="center" vertical="center"/>
    </xf>
    <xf numFmtId="165" fontId="33" fillId="42" borderId="168" xfId="6" applyFont="1" applyFill="1" applyBorder="1" applyAlignment="1">
      <alignment horizontal="center" vertical="center"/>
    </xf>
    <xf numFmtId="165" fontId="33" fillId="37" borderId="138" xfId="6" applyFont="1" applyFill="1" applyBorder="1" applyAlignment="1">
      <alignment horizontal="center" vertical="center"/>
    </xf>
    <xf numFmtId="165" fontId="33" fillId="32" borderId="138" xfId="6" applyFont="1" applyFill="1" applyBorder="1" applyAlignment="1">
      <alignment horizontal="center" vertical="center"/>
    </xf>
    <xf numFmtId="165" fontId="33" fillId="33" borderId="138" xfId="6" applyFont="1" applyFill="1" applyBorder="1" applyAlignment="1">
      <alignment horizontal="center" vertical="center"/>
    </xf>
    <xf numFmtId="165" fontId="33" fillId="34" borderId="138" xfId="6" applyFont="1" applyFill="1" applyBorder="1" applyAlignment="1">
      <alignment horizontal="center" vertical="center"/>
    </xf>
    <xf numFmtId="165" fontId="33" fillId="35" borderId="138" xfId="6" applyFont="1" applyFill="1" applyBorder="1" applyAlignment="1">
      <alignment horizontal="center" vertical="center"/>
    </xf>
    <xf numFmtId="165" fontId="34" fillId="38" borderId="59" xfId="6" applyFont="1" applyFill="1" applyBorder="1"/>
    <xf numFmtId="165" fontId="3" fillId="3" borderId="131" xfId="6" applyFont="1" applyFill="1" applyBorder="1" applyAlignment="1">
      <alignment horizontal="center" vertical="center"/>
    </xf>
    <xf numFmtId="165" fontId="14" fillId="3" borderId="145" xfId="6" applyFont="1" applyFill="1" applyBorder="1" applyAlignment="1">
      <alignment horizontal="center"/>
    </xf>
    <xf numFmtId="165" fontId="14" fillId="3" borderId="195" xfId="6" applyFont="1" applyFill="1" applyBorder="1" applyAlignment="1">
      <alignment horizontal="center"/>
    </xf>
    <xf numFmtId="165" fontId="14" fillId="26" borderId="145" xfId="6" applyFont="1" applyFill="1" applyBorder="1" applyAlignment="1">
      <alignment horizontal="center" vertical="center"/>
    </xf>
    <xf numFmtId="165" fontId="33" fillId="28" borderId="145" xfId="6" applyFont="1" applyFill="1" applyBorder="1" applyAlignment="1">
      <alignment horizontal="center" vertical="center"/>
    </xf>
    <xf numFmtId="165" fontId="33" fillId="29" borderId="145" xfId="6" applyFont="1" applyFill="1" applyBorder="1" applyAlignment="1">
      <alignment horizontal="center" vertical="center"/>
    </xf>
    <xf numFmtId="165" fontId="33" fillId="30" borderId="145" xfId="6" applyFont="1" applyFill="1" applyBorder="1" applyAlignment="1">
      <alignment horizontal="center" vertical="center"/>
    </xf>
    <xf numFmtId="165" fontId="33" fillId="37" borderId="145" xfId="6" applyFont="1" applyFill="1" applyBorder="1" applyAlignment="1">
      <alignment horizontal="center" vertical="center"/>
    </xf>
    <xf numFmtId="165" fontId="33" fillId="32" borderId="145" xfId="6" applyFont="1" applyFill="1" applyBorder="1" applyAlignment="1">
      <alignment horizontal="center" vertical="center"/>
    </xf>
    <xf numFmtId="165" fontId="33" fillId="33" borderId="145" xfId="6" applyFont="1" applyFill="1" applyBorder="1" applyAlignment="1">
      <alignment horizontal="center" vertical="center"/>
    </xf>
    <xf numFmtId="165" fontId="33" fillId="34" borderId="145" xfId="6" applyFont="1" applyFill="1" applyBorder="1" applyAlignment="1">
      <alignment horizontal="center" vertical="center"/>
    </xf>
    <xf numFmtId="165" fontId="33" fillId="35" borderId="145" xfId="6" applyFont="1" applyFill="1" applyBorder="1" applyAlignment="1">
      <alignment horizontal="center" vertical="center"/>
    </xf>
    <xf numFmtId="165" fontId="3" fillId="3" borderId="132" xfId="6" applyFont="1" applyFill="1" applyBorder="1" applyAlignment="1">
      <alignment horizontal="center" vertical="center"/>
    </xf>
    <xf numFmtId="165" fontId="14" fillId="0" borderId="45" xfId="6" applyFont="1" applyFill="1" applyBorder="1" applyAlignment="1">
      <alignment horizontal="center"/>
    </xf>
    <xf numFmtId="165" fontId="8" fillId="5" borderId="49" xfId="6" applyFont="1" applyFill="1" applyBorder="1" applyAlignment="1">
      <alignment horizontal="center"/>
    </xf>
    <xf numFmtId="165" fontId="8" fillId="2" borderId="0" xfId="6" applyFont="1" applyFill="1" applyAlignment="1">
      <alignment horizontal="center"/>
    </xf>
    <xf numFmtId="165" fontId="8" fillId="3" borderId="0" xfId="6" applyFont="1" applyFill="1" applyAlignment="1">
      <alignment horizontal="center"/>
    </xf>
    <xf numFmtId="165" fontId="8" fillId="41" borderId="0" xfId="6" applyFont="1" applyFill="1" applyAlignment="1">
      <alignment horizontal="center"/>
    </xf>
    <xf numFmtId="165" fontId="8" fillId="10" borderId="0" xfId="6" applyFont="1" applyFill="1" applyAlignment="1">
      <alignment horizontal="center"/>
    </xf>
    <xf numFmtId="165" fontId="49" fillId="41" borderId="0" xfId="6" applyFont="1" applyFill="1" applyAlignment="1">
      <alignment horizontal="center"/>
    </xf>
    <xf numFmtId="165" fontId="8" fillId="22" borderId="0" xfId="6" applyFont="1" applyFill="1" applyAlignment="1">
      <alignment horizontal="center"/>
    </xf>
    <xf numFmtId="165" fontId="8" fillId="19" borderId="0" xfId="6" applyFont="1" applyFill="1" applyAlignment="1">
      <alignment horizontal="center"/>
    </xf>
    <xf numFmtId="165" fontId="8" fillId="20" borderId="0" xfId="6" applyFont="1" applyFill="1" applyAlignment="1">
      <alignment horizontal="center"/>
    </xf>
    <xf numFmtId="165" fontId="33" fillId="42" borderId="118" xfId="6" applyFont="1" applyFill="1" applyBorder="1" applyAlignment="1">
      <alignment horizontal="center" vertical="center"/>
    </xf>
    <xf numFmtId="165" fontId="14" fillId="3" borderId="45" xfId="6" applyFont="1" applyFill="1" applyBorder="1" applyAlignment="1">
      <alignment horizontal="center"/>
    </xf>
    <xf numFmtId="165" fontId="34" fillId="0" borderId="0" xfId="6" applyFont="1" applyAlignment="1">
      <alignment horizontal="center"/>
    </xf>
    <xf numFmtId="165" fontId="3" fillId="3" borderId="133" xfId="6" applyFont="1" applyFill="1" applyBorder="1" applyAlignment="1">
      <alignment horizontal="center" vertical="center"/>
    </xf>
    <xf numFmtId="165" fontId="14" fillId="0" borderId="51" xfId="6" applyFont="1" applyFill="1" applyBorder="1" applyAlignment="1">
      <alignment horizontal="center"/>
    </xf>
    <xf numFmtId="165" fontId="14" fillId="26" borderId="51" xfId="6" applyFont="1" applyFill="1" applyBorder="1" applyAlignment="1">
      <alignment horizontal="center" vertical="center"/>
    </xf>
    <xf numFmtId="165" fontId="33" fillId="28" borderId="51" xfId="6" applyFont="1" applyFill="1" applyBorder="1" applyAlignment="1">
      <alignment horizontal="center" vertical="center"/>
    </xf>
    <xf numFmtId="165" fontId="33" fillId="29" borderId="51" xfId="6" applyFont="1" applyFill="1" applyBorder="1" applyAlignment="1">
      <alignment horizontal="center" vertical="center"/>
    </xf>
    <xf numFmtId="165" fontId="33" fillId="30" borderId="51" xfId="6" applyFont="1" applyFill="1" applyBorder="1" applyAlignment="1">
      <alignment horizontal="center" vertical="center"/>
    </xf>
    <xf numFmtId="165" fontId="33" fillId="37" borderId="51" xfId="6" applyFont="1" applyFill="1" applyBorder="1" applyAlignment="1">
      <alignment horizontal="center" vertical="center"/>
    </xf>
    <xf numFmtId="165" fontId="33" fillId="32" borderId="51" xfId="6" applyFont="1" applyFill="1" applyBorder="1" applyAlignment="1">
      <alignment horizontal="center" vertical="center"/>
    </xf>
    <xf numFmtId="165" fontId="33" fillId="33" borderId="51" xfId="6" applyFont="1" applyFill="1" applyBorder="1" applyAlignment="1">
      <alignment horizontal="center" vertical="center"/>
    </xf>
    <xf numFmtId="165" fontId="33" fillId="34" borderId="51" xfId="6" applyFont="1" applyFill="1" applyBorder="1" applyAlignment="1">
      <alignment horizontal="center" vertical="center"/>
    </xf>
    <xf numFmtId="165" fontId="33" fillId="35" borderId="51" xfId="6" applyFont="1" applyFill="1" applyBorder="1" applyAlignment="1">
      <alignment horizontal="center" vertical="center"/>
    </xf>
    <xf numFmtId="165" fontId="13" fillId="3" borderId="45" xfId="6" applyFont="1" applyFill="1" applyBorder="1" applyAlignment="1">
      <alignment horizontal="center"/>
    </xf>
    <xf numFmtId="165" fontId="13" fillId="3" borderId="195" xfId="6" applyFont="1" applyFill="1" applyBorder="1" applyAlignment="1">
      <alignment horizontal="center"/>
    </xf>
    <xf numFmtId="165" fontId="33" fillId="28" borderId="148" xfId="6" applyFont="1" applyFill="1" applyBorder="1" applyAlignment="1">
      <alignment horizontal="center" vertical="center"/>
    </xf>
    <xf numFmtId="165" fontId="33" fillId="29" borderId="148" xfId="6" applyFont="1" applyFill="1" applyBorder="1" applyAlignment="1">
      <alignment horizontal="center" vertical="center"/>
    </xf>
    <xf numFmtId="165" fontId="33" fillId="30" borderId="148" xfId="6" applyFont="1" applyFill="1" applyBorder="1" applyAlignment="1">
      <alignment horizontal="center" vertical="center"/>
    </xf>
    <xf numFmtId="165" fontId="33" fillId="37" borderId="148" xfId="6" applyFont="1" applyFill="1" applyBorder="1" applyAlignment="1">
      <alignment horizontal="center" vertical="center"/>
    </xf>
    <xf numFmtId="165" fontId="33" fillId="32" borderId="148" xfId="6" applyFont="1" applyFill="1" applyBorder="1" applyAlignment="1">
      <alignment horizontal="center" vertical="center"/>
    </xf>
    <xf numFmtId="165" fontId="33" fillId="33" borderId="148" xfId="6" applyFont="1" applyFill="1" applyBorder="1" applyAlignment="1">
      <alignment horizontal="center" vertical="center"/>
    </xf>
    <xf numFmtId="165" fontId="33" fillId="34" borderId="148" xfId="6" applyFont="1" applyFill="1" applyBorder="1" applyAlignment="1">
      <alignment horizontal="center" vertical="center"/>
    </xf>
    <xf numFmtId="165" fontId="33" fillId="35" borderId="148" xfId="6" applyFont="1" applyFill="1" applyBorder="1" applyAlignment="1">
      <alignment horizontal="center" vertical="center"/>
    </xf>
    <xf numFmtId="165" fontId="14" fillId="38" borderId="59" xfId="6" applyFont="1" applyFill="1" applyBorder="1"/>
    <xf numFmtId="165" fontId="13" fillId="0" borderId="45" xfId="6" applyFont="1" applyFill="1" applyBorder="1" applyAlignment="1">
      <alignment horizontal="center"/>
    </xf>
    <xf numFmtId="165" fontId="34" fillId="27" borderId="105" xfId="6" applyFont="1" applyFill="1" applyBorder="1" applyAlignment="1">
      <alignment horizontal="center"/>
    </xf>
    <xf numFmtId="165" fontId="13" fillId="0" borderId="51" xfId="6" applyFont="1" applyFill="1" applyBorder="1" applyAlignment="1">
      <alignment horizontal="center"/>
    </xf>
    <xf numFmtId="165" fontId="13" fillId="0" borderId="167" xfId="6" applyFont="1" applyFill="1" applyBorder="1" applyAlignment="1">
      <alignment horizontal="center"/>
    </xf>
    <xf numFmtId="165" fontId="3" fillId="3" borderId="11" xfId="6" applyFont="1" applyFill="1" applyBorder="1" applyAlignment="1">
      <alignment horizontal="center" vertical="center"/>
    </xf>
    <xf numFmtId="165" fontId="13" fillId="3" borderId="141" xfId="6" applyFont="1" applyFill="1" applyBorder="1" applyAlignment="1">
      <alignment horizontal="center"/>
    </xf>
    <xf numFmtId="165" fontId="13" fillId="3" borderId="154" xfId="6" applyFont="1" applyFill="1" applyBorder="1" applyAlignment="1">
      <alignment horizontal="center"/>
    </xf>
    <xf numFmtId="165" fontId="14" fillId="26" borderId="148" xfId="6" applyFont="1" applyFill="1" applyBorder="1" applyAlignment="1">
      <alignment horizontal="center" vertical="center" wrapText="1"/>
    </xf>
    <xf numFmtId="165" fontId="3" fillId="3" borderId="12" xfId="6" applyFont="1" applyFill="1" applyBorder="1" applyAlignment="1">
      <alignment horizontal="center" vertical="center"/>
    </xf>
    <xf numFmtId="165" fontId="13" fillId="3" borderId="44" xfId="6" applyFont="1" applyFill="1" applyBorder="1" applyAlignment="1">
      <alignment horizontal="center"/>
    </xf>
    <xf numFmtId="165" fontId="14" fillId="26" borderId="45" xfId="6" applyFont="1" applyFill="1" applyBorder="1" applyAlignment="1">
      <alignment horizontal="center" vertical="center" wrapText="1"/>
    </xf>
    <xf numFmtId="165" fontId="3" fillId="3" borderId="13" xfId="6" applyFont="1" applyFill="1" applyBorder="1" applyAlignment="1">
      <alignment horizontal="center" vertical="center"/>
    </xf>
    <xf numFmtId="165" fontId="13" fillId="3" borderId="140" xfId="6" applyFont="1" applyFill="1" applyBorder="1" applyAlignment="1">
      <alignment horizontal="center"/>
    </xf>
    <xf numFmtId="165" fontId="13" fillId="3" borderId="167" xfId="6" applyFont="1" applyFill="1" applyBorder="1" applyAlignment="1">
      <alignment horizontal="center"/>
    </xf>
    <xf numFmtId="165" fontId="14" fillId="26" borderId="167" xfId="6" applyFont="1" applyFill="1" applyBorder="1" applyAlignment="1">
      <alignment horizontal="center" vertical="center" wrapText="1"/>
    </xf>
    <xf numFmtId="165" fontId="3" fillId="3" borderId="16" xfId="6" applyFont="1" applyFill="1" applyBorder="1" applyAlignment="1">
      <alignment horizontal="center" vertical="center"/>
    </xf>
    <xf numFmtId="165" fontId="14" fillId="3" borderId="55" xfId="6" applyFont="1" applyFill="1" applyBorder="1" applyAlignment="1">
      <alignment horizontal="center"/>
    </xf>
    <xf numFmtId="165" fontId="14" fillId="3" borderId="154" xfId="6" applyFont="1" applyFill="1" applyBorder="1" applyAlignment="1">
      <alignment horizontal="center"/>
    </xf>
    <xf numFmtId="165" fontId="14" fillId="26" borderId="122" xfId="6" applyFont="1" applyFill="1" applyBorder="1" applyAlignment="1">
      <alignment horizontal="center" vertical="center"/>
    </xf>
    <xf numFmtId="165" fontId="33" fillId="28" borderId="122" xfId="6" applyFont="1" applyFill="1" applyBorder="1" applyAlignment="1">
      <alignment horizontal="center" vertical="center"/>
    </xf>
    <xf numFmtId="165" fontId="33" fillId="29" borderId="122" xfId="6" applyFont="1" applyFill="1" applyBorder="1" applyAlignment="1">
      <alignment horizontal="center" vertical="center"/>
    </xf>
    <xf numFmtId="165" fontId="33" fillId="30" borderId="122" xfId="6" applyFont="1" applyFill="1" applyBorder="1" applyAlignment="1">
      <alignment horizontal="center" vertical="center"/>
    </xf>
    <xf numFmtId="165" fontId="33" fillId="37" borderId="122" xfId="6" applyFont="1" applyFill="1" applyBorder="1" applyAlignment="1">
      <alignment horizontal="center" vertical="center"/>
    </xf>
    <xf numFmtId="165" fontId="33" fillId="32" borderId="122" xfId="6" applyFont="1" applyFill="1" applyBorder="1" applyAlignment="1">
      <alignment horizontal="center" vertical="center"/>
    </xf>
    <xf numFmtId="165" fontId="33" fillId="33" borderId="122" xfId="6" applyFont="1" applyFill="1" applyBorder="1" applyAlignment="1">
      <alignment horizontal="center" vertical="center"/>
    </xf>
    <xf numFmtId="165" fontId="33" fillId="34" borderId="122" xfId="6" applyFont="1" applyFill="1" applyBorder="1" applyAlignment="1">
      <alignment horizontal="center" vertical="center"/>
    </xf>
    <xf numFmtId="165" fontId="33" fillId="35" borderId="122" xfId="6" applyFont="1" applyFill="1" applyBorder="1" applyAlignment="1">
      <alignment horizontal="center" vertical="center"/>
    </xf>
    <xf numFmtId="165" fontId="14" fillId="3" borderId="44" xfId="6" applyFont="1" applyFill="1" applyBorder="1" applyAlignment="1">
      <alignment horizontal="center"/>
    </xf>
    <xf numFmtId="165" fontId="14" fillId="26" borderId="118" xfId="6" applyFont="1" applyFill="1" applyBorder="1" applyAlignment="1">
      <alignment horizontal="center" vertical="center"/>
    </xf>
    <xf numFmtId="165" fontId="33" fillId="28" borderId="118" xfId="6" applyFont="1" applyFill="1" applyBorder="1" applyAlignment="1">
      <alignment horizontal="center" vertical="center"/>
    </xf>
    <xf numFmtId="165" fontId="33" fillId="29" borderId="118" xfId="6" applyFont="1" applyFill="1" applyBorder="1" applyAlignment="1">
      <alignment horizontal="center" vertical="center"/>
    </xf>
    <xf numFmtId="165" fontId="33" fillId="30" borderId="118" xfId="6" applyFont="1" applyFill="1" applyBorder="1" applyAlignment="1">
      <alignment horizontal="center" vertical="center"/>
    </xf>
    <xf numFmtId="165" fontId="33" fillId="37" borderId="118" xfId="6" applyFont="1" applyFill="1" applyBorder="1" applyAlignment="1">
      <alignment horizontal="center" vertical="center"/>
    </xf>
    <xf numFmtId="165" fontId="33" fillId="32" borderId="118" xfId="6" applyFont="1" applyFill="1" applyBorder="1" applyAlignment="1">
      <alignment horizontal="center" vertical="center"/>
    </xf>
    <xf numFmtId="165" fontId="33" fillId="33" borderId="118" xfId="6" applyFont="1" applyFill="1" applyBorder="1" applyAlignment="1">
      <alignment horizontal="center" vertical="center"/>
    </xf>
    <xf numFmtId="165" fontId="33" fillId="34" borderId="118" xfId="6" applyFont="1" applyFill="1" applyBorder="1" applyAlignment="1">
      <alignment horizontal="center" vertical="center"/>
    </xf>
    <xf numFmtId="165" fontId="33" fillId="35" borderId="118" xfId="6" applyFont="1" applyFill="1" applyBorder="1" applyAlignment="1">
      <alignment horizontal="center" vertical="center"/>
    </xf>
    <xf numFmtId="165" fontId="14" fillId="3" borderId="46" xfId="6" applyFont="1" applyFill="1" applyBorder="1" applyAlignment="1">
      <alignment horizontal="center"/>
    </xf>
    <xf numFmtId="165" fontId="14" fillId="3" borderId="167" xfId="6" applyFont="1" applyFill="1" applyBorder="1" applyAlignment="1">
      <alignment horizontal="center"/>
    </xf>
    <xf numFmtId="165" fontId="3" fillId="0" borderId="11" xfId="6" applyFont="1" applyFill="1" applyBorder="1" applyAlignment="1">
      <alignment horizontal="center" vertical="center"/>
    </xf>
    <xf numFmtId="165" fontId="14" fillId="0" borderId="126" xfId="6" applyFont="1" applyFill="1" applyBorder="1" applyAlignment="1">
      <alignment horizontal="center"/>
    </xf>
    <xf numFmtId="165" fontId="14" fillId="0" borderId="154" xfId="6" applyFont="1" applyFill="1" applyBorder="1" applyAlignment="1">
      <alignment horizontal="center"/>
    </xf>
    <xf numFmtId="165" fontId="34" fillId="26" borderId="129" xfId="6" applyFont="1" applyFill="1" applyBorder="1" applyAlignment="1">
      <alignment horizontal="center" vertical="center"/>
    </xf>
    <xf numFmtId="165" fontId="16" fillId="28" borderId="129" xfId="6" applyFont="1" applyFill="1" applyBorder="1" applyAlignment="1">
      <alignment horizontal="center" vertical="center"/>
    </xf>
    <xf numFmtId="165" fontId="16" fillId="29" borderId="129" xfId="6" applyFont="1" applyFill="1" applyBorder="1" applyAlignment="1">
      <alignment horizontal="center" vertical="center"/>
    </xf>
    <xf numFmtId="165" fontId="16" fillId="30" borderId="129" xfId="6" applyFont="1" applyFill="1" applyBorder="1" applyAlignment="1">
      <alignment horizontal="center" vertical="center"/>
    </xf>
    <xf numFmtId="165" fontId="16" fillId="42" borderId="168" xfId="6" applyFont="1" applyFill="1" applyBorder="1" applyAlignment="1">
      <alignment horizontal="center" vertical="center"/>
    </xf>
    <xf numFmtId="165" fontId="16" fillId="37" borderId="129" xfId="6" applyFont="1" applyFill="1" applyBorder="1" applyAlignment="1">
      <alignment horizontal="center" vertical="center"/>
    </xf>
    <xf numFmtId="165" fontId="16" fillId="32" borderId="129" xfId="6" applyFont="1" applyFill="1" applyBorder="1" applyAlignment="1">
      <alignment horizontal="center" vertical="center"/>
    </xf>
    <xf numFmtId="165" fontId="16" fillId="33" borderId="129" xfId="6" applyFont="1" applyFill="1" applyBorder="1" applyAlignment="1">
      <alignment horizontal="center" vertical="center"/>
    </xf>
    <xf numFmtId="165" fontId="16" fillId="34" borderId="129" xfId="6" applyFont="1" applyFill="1" applyBorder="1" applyAlignment="1">
      <alignment horizontal="center" vertical="center"/>
    </xf>
    <xf numFmtId="165" fontId="16" fillId="35" borderId="129" xfId="6" applyFont="1" applyFill="1" applyBorder="1" applyAlignment="1">
      <alignment horizontal="center" vertical="center"/>
    </xf>
    <xf numFmtId="165" fontId="3" fillId="0" borderId="12" xfId="6" applyFont="1" applyFill="1" applyBorder="1" applyAlignment="1">
      <alignment horizontal="center" vertical="center"/>
    </xf>
    <xf numFmtId="165" fontId="34" fillId="26" borderId="45" xfId="6" applyFont="1" applyFill="1" applyBorder="1" applyAlignment="1">
      <alignment horizontal="center" vertical="center"/>
    </xf>
    <xf numFmtId="165" fontId="16" fillId="28" borderId="45" xfId="6" applyFont="1" applyFill="1" applyBorder="1" applyAlignment="1">
      <alignment horizontal="center" vertical="center"/>
    </xf>
    <xf numFmtId="165" fontId="16" fillId="29" borderId="45" xfId="6" applyFont="1" applyFill="1" applyBorder="1" applyAlignment="1">
      <alignment horizontal="center" vertical="center"/>
    </xf>
    <xf numFmtId="165" fontId="16" fillId="30" borderId="45" xfId="6" applyFont="1" applyFill="1" applyBorder="1" applyAlignment="1">
      <alignment horizontal="center" vertical="center"/>
    </xf>
    <xf numFmtId="165" fontId="16" fillId="42" borderId="45" xfId="6" applyFont="1" applyFill="1" applyBorder="1" applyAlignment="1">
      <alignment horizontal="center" vertical="center"/>
    </xf>
    <xf numFmtId="165" fontId="16" fillId="37" borderId="45" xfId="6" applyFont="1" applyFill="1" applyBorder="1" applyAlignment="1">
      <alignment horizontal="center" vertical="center"/>
    </xf>
    <xf numFmtId="165" fontId="16" fillId="32" borderId="45" xfId="6" applyFont="1" applyFill="1" applyBorder="1" applyAlignment="1">
      <alignment horizontal="center" vertical="center"/>
    </xf>
    <xf numFmtId="165" fontId="16" fillId="33" borderId="45" xfId="6" applyFont="1" applyFill="1" applyBorder="1" applyAlignment="1">
      <alignment horizontal="center" vertical="center"/>
    </xf>
    <xf numFmtId="165" fontId="16" fillId="34" borderId="45" xfId="6" applyFont="1" applyFill="1" applyBorder="1" applyAlignment="1">
      <alignment horizontal="center" vertical="center"/>
    </xf>
    <xf numFmtId="165" fontId="16" fillId="35" borderId="45" xfId="6" applyFont="1" applyFill="1" applyBorder="1" applyAlignment="1">
      <alignment horizontal="center" vertical="center"/>
    </xf>
    <xf numFmtId="165" fontId="3" fillId="0" borderId="13" xfId="6" applyFont="1" applyFill="1" applyBorder="1" applyAlignment="1">
      <alignment horizontal="center" vertical="center"/>
    </xf>
    <xf numFmtId="165" fontId="14" fillId="0" borderId="167" xfId="6" applyFont="1" applyFill="1" applyBorder="1" applyAlignment="1">
      <alignment horizontal="center"/>
    </xf>
    <xf numFmtId="165" fontId="34" fillId="26" borderId="51" xfId="6" applyFont="1" applyFill="1" applyBorder="1" applyAlignment="1">
      <alignment horizontal="center" vertical="center"/>
    </xf>
    <xf numFmtId="165" fontId="16" fillId="28" borderId="51" xfId="6" applyFont="1" applyFill="1" applyBorder="1" applyAlignment="1">
      <alignment horizontal="center" vertical="center"/>
    </xf>
    <xf numFmtId="165" fontId="16" fillId="29" borderId="51" xfId="6" applyFont="1" applyFill="1" applyBorder="1" applyAlignment="1">
      <alignment horizontal="center" vertical="center"/>
    </xf>
    <xf numFmtId="165" fontId="16" fillId="30" borderId="51" xfId="6" applyFont="1" applyFill="1" applyBorder="1" applyAlignment="1">
      <alignment horizontal="center" vertical="center"/>
    </xf>
    <xf numFmtId="165" fontId="16" fillId="42" borderId="167" xfId="6" applyFont="1" applyFill="1" applyBorder="1" applyAlignment="1">
      <alignment horizontal="center" vertical="center"/>
    </xf>
    <xf numFmtId="165" fontId="16" fillId="37" borderId="51" xfId="6" applyFont="1" applyFill="1" applyBorder="1" applyAlignment="1">
      <alignment horizontal="center" vertical="center"/>
    </xf>
    <xf numFmtId="165" fontId="16" fillId="32" borderId="51" xfId="6" applyFont="1" applyFill="1" applyBorder="1" applyAlignment="1">
      <alignment horizontal="center" vertical="center"/>
    </xf>
    <xf numFmtId="165" fontId="16" fillId="33" borderId="51" xfId="6" applyFont="1" applyFill="1" applyBorder="1" applyAlignment="1">
      <alignment horizontal="center" vertical="center"/>
    </xf>
    <xf numFmtId="165" fontId="16" fillId="34" borderId="51" xfId="6" applyFont="1" applyFill="1" applyBorder="1" applyAlignment="1">
      <alignment horizontal="center" vertical="center"/>
    </xf>
    <xf numFmtId="165" fontId="16" fillId="35" borderId="51" xfId="6" applyFont="1" applyFill="1" applyBorder="1" applyAlignment="1">
      <alignment horizontal="center" vertical="center"/>
    </xf>
    <xf numFmtId="165" fontId="13" fillId="3" borderId="55" xfId="6" applyFont="1" applyFill="1" applyBorder="1" applyAlignment="1">
      <alignment horizontal="center"/>
    </xf>
    <xf numFmtId="165" fontId="14" fillId="26" borderId="129" xfId="6" applyFont="1" applyFill="1" applyBorder="1" applyAlignment="1">
      <alignment horizontal="center" vertical="center"/>
    </xf>
    <xf numFmtId="165" fontId="33" fillId="28" borderId="129" xfId="6" applyFont="1" applyFill="1" applyBorder="1" applyAlignment="1">
      <alignment horizontal="center" vertical="center"/>
    </xf>
    <xf numFmtId="165" fontId="33" fillId="29" borderId="129" xfId="6" applyFont="1" applyFill="1" applyBorder="1" applyAlignment="1">
      <alignment horizontal="center" vertical="center"/>
    </xf>
    <xf numFmtId="165" fontId="33" fillId="30" borderId="129" xfId="6" applyFont="1" applyFill="1" applyBorder="1" applyAlignment="1">
      <alignment horizontal="center" vertical="center"/>
    </xf>
    <xf numFmtId="165" fontId="33" fillId="37" borderId="129" xfId="6" applyFont="1" applyFill="1" applyBorder="1" applyAlignment="1">
      <alignment horizontal="center" vertical="center"/>
    </xf>
    <xf numFmtId="165" fontId="33" fillId="32" borderId="129" xfId="6" applyFont="1" applyFill="1" applyBorder="1" applyAlignment="1">
      <alignment horizontal="center" vertical="center"/>
    </xf>
    <xf numFmtId="165" fontId="33" fillId="33" borderId="129" xfId="6" applyFont="1" applyFill="1" applyBorder="1" applyAlignment="1">
      <alignment horizontal="center" vertical="center"/>
    </xf>
    <xf numFmtId="165" fontId="33" fillId="34" borderId="129" xfId="6" applyFont="1" applyFill="1" applyBorder="1" applyAlignment="1">
      <alignment horizontal="center" vertical="center"/>
    </xf>
    <xf numFmtId="165" fontId="33" fillId="35" borderId="129" xfId="6" applyFont="1" applyFill="1" applyBorder="1" applyAlignment="1">
      <alignment horizontal="center" vertical="center"/>
    </xf>
    <xf numFmtId="165" fontId="13" fillId="3" borderId="126" xfId="6" applyFont="1" applyFill="1" applyBorder="1" applyAlignment="1">
      <alignment horizontal="center"/>
    </xf>
    <xf numFmtId="165" fontId="3" fillId="0" borderId="15" xfId="6" applyFont="1" applyFill="1" applyBorder="1" applyAlignment="1">
      <alignment horizontal="center" vertical="center"/>
    </xf>
    <xf numFmtId="165" fontId="13" fillId="0" borderId="145" xfId="6" applyFont="1" applyFill="1" applyBorder="1" applyAlignment="1">
      <alignment horizontal="center"/>
    </xf>
    <xf numFmtId="165" fontId="13" fillId="0" borderId="195" xfId="6" applyFont="1" applyFill="1" applyBorder="1" applyAlignment="1">
      <alignment horizontal="center"/>
    </xf>
    <xf numFmtId="165" fontId="13" fillId="0" borderId="210" xfId="6" applyFont="1" applyFill="1" applyBorder="1" applyAlignment="1">
      <alignment horizontal="center"/>
    </xf>
    <xf numFmtId="165" fontId="34" fillId="26" borderId="40" xfId="6" applyFont="1" applyFill="1" applyBorder="1" applyAlignment="1">
      <alignment horizontal="center" vertical="center"/>
    </xf>
    <xf numFmtId="165" fontId="16" fillId="28" borderId="45" xfId="6" applyFont="1" applyFill="1" applyBorder="1" applyAlignment="1">
      <alignment horizontal="center" vertical="center"/>
    </xf>
    <xf numFmtId="165" fontId="16" fillId="29" borderId="45" xfId="6" applyFont="1" applyFill="1" applyBorder="1" applyAlignment="1">
      <alignment horizontal="center" vertical="center"/>
    </xf>
    <xf numFmtId="165" fontId="16" fillId="30" borderId="45" xfId="6" applyFont="1" applyFill="1" applyBorder="1" applyAlignment="1">
      <alignment horizontal="center" vertical="center"/>
    </xf>
    <xf numFmtId="165" fontId="16" fillId="37" borderId="45" xfId="6" applyFont="1" applyFill="1" applyBorder="1" applyAlignment="1">
      <alignment horizontal="center" vertical="center"/>
    </xf>
    <xf numFmtId="165" fontId="16" fillId="32" borderId="45" xfId="6" applyFont="1" applyFill="1" applyBorder="1" applyAlignment="1">
      <alignment horizontal="center" vertical="center"/>
    </xf>
    <xf numFmtId="165" fontId="16" fillId="33" borderId="45" xfId="6" applyFont="1" applyFill="1" applyBorder="1" applyAlignment="1">
      <alignment horizontal="center" vertical="center"/>
    </xf>
    <xf numFmtId="165" fontId="16" fillId="34" borderId="45" xfId="6" applyFont="1" applyFill="1" applyBorder="1" applyAlignment="1">
      <alignment horizontal="center" vertical="center"/>
    </xf>
    <xf numFmtId="165" fontId="16" fillId="35" borderId="45" xfId="6" applyFont="1" applyFill="1" applyBorder="1" applyAlignment="1">
      <alignment horizontal="center" vertical="center"/>
    </xf>
    <xf numFmtId="165" fontId="13" fillId="3" borderId="145" xfId="6" applyFont="1" applyFill="1" applyBorder="1" applyAlignment="1">
      <alignment horizontal="center"/>
    </xf>
    <xf numFmtId="165" fontId="13" fillId="3" borderId="51" xfId="6" applyFont="1" applyFill="1" applyBorder="1" applyAlignment="1">
      <alignment horizontal="center"/>
    </xf>
    <xf numFmtId="165" fontId="13" fillId="0" borderId="126" xfId="6" applyFont="1" applyFill="1" applyBorder="1" applyAlignment="1">
      <alignment horizontal="center"/>
    </xf>
    <xf numFmtId="165" fontId="13" fillId="0" borderId="154" xfId="6" applyFont="1" applyFill="1" applyBorder="1" applyAlignment="1">
      <alignment horizontal="center"/>
    </xf>
    <xf numFmtId="165" fontId="16" fillId="28" borderId="130" xfId="6" applyFont="1" applyFill="1" applyBorder="1" applyAlignment="1">
      <alignment horizontal="center" vertical="center"/>
    </xf>
    <xf numFmtId="165" fontId="16" fillId="29" borderId="130" xfId="6" applyFont="1" applyFill="1" applyBorder="1" applyAlignment="1">
      <alignment horizontal="center" vertical="center"/>
    </xf>
    <xf numFmtId="165" fontId="16" fillId="30" borderId="130" xfId="6" applyFont="1" applyFill="1" applyBorder="1" applyAlignment="1">
      <alignment horizontal="center" vertical="center"/>
    </xf>
    <xf numFmtId="165" fontId="16" fillId="37" borderId="130" xfId="6" applyFont="1" applyFill="1" applyBorder="1" applyAlignment="1">
      <alignment horizontal="center" vertical="center"/>
    </xf>
    <xf numFmtId="165" fontId="16" fillId="32" borderId="130" xfId="6" applyFont="1" applyFill="1" applyBorder="1" applyAlignment="1">
      <alignment horizontal="center" vertical="center"/>
    </xf>
    <xf numFmtId="165" fontId="16" fillId="33" borderId="130" xfId="6" applyFont="1" applyFill="1" applyBorder="1" applyAlignment="1">
      <alignment horizontal="center" vertical="center"/>
    </xf>
    <xf numFmtId="165" fontId="16" fillId="34" borderId="130" xfId="6" applyFont="1" applyFill="1" applyBorder="1" applyAlignment="1">
      <alignment horizontal="center" vertical="center"/>
    </xf>
    <xf numFmtId="165" fontId="16" fillId="35" borderId="130" xfId="6" applyFont="1" applyFill="1" applyBorder="1" applyAlignment="1">
      <alignment horizontal="center" vertical="center"/>
    </xf>
    <xf numFmtId="165" fontId="13" fillId="0" borderId="166" xfId="6" applyFont="1" applyFill="1" applyBorder="1" applyAlignment="1">
      <alignment horizontal="center"/>
    </xf>
    <xf numFmtId="165" fontId="4" fillId="5" borderId="37" xfId="6" applyFont="1" applyFill="1" applyBorder="1" applyAlignment="1">
      <alignment horizontal="center"/>
    </xf>
    <xf numFmtId="165" fontId="33" fillId="42" borderId="193" xfId="6" applyFont="1" applyFill="1" applyBorder="1" applyAlignment="1">
      <alignment horizontal="center" vertical="center"/>
    </xf>
    <xf numFmtId="165" fontId="13" fillId="3" borderId="113" xfId="6" applyFont="1" applyFill="1" applyBorder="1" applyAlignment="1">
      <alignment horizontal="center"/>
    </xf>
    <xf numFmtId="165" fontId="14" fillId="26" borderId="31" xfId="6" applyFont="1" applyFill="1" applyBorder="1" applyAlignment="1">
      <alignment horizontal="center" vertical="center"/>
    </xf>
    <xf numFmtId="165" fontId="4" fillId="3" borderId="158" xfId="6" applyFont="1" applyFill="1" applyBorder="1" applyAlignment="1">
      <alignment horizontal="center"/>
    </xf>
    <xf numFmtId="165" fontId="13" fillId="3" borderId="210" xfId="6" applyFont="1" applyFill="1" applyBorder="1" applyAlignment="1">
      <alignment horizontal="center"/>
    </xf>
    <xf numFmtId="165" fontId="14" fillId="26" borderId="20" xfId="6" applyFont="1" applyFill="1" applyBorder="1" applyAlignment="1">
      <alignment horizontal="center"/>
    </xf>
    <xf numFmtId="165" fontId="33" fillId="28" borderId="20" xfId="6" applyFont="1" applyFill="1" applyBorder="1" applyAlignment="1">
      <alignment horizontal="center" vertical="center"/>
    </xf>
    <xf numFmtId="165" fontId="33" fillId="29" borderId="20" xfId="6" applyFont="1" applyFill="1" applyBorder="1" applyAlignment="1">
      <alignment horizontal="center" vertical="center"/>
    </xf>
    <xf numFmtId="165" fontId="33" fillId="30" borderId="20" xfId="6" applyFont="1" applyFill="1" applyBorder="1" applyAlignment="1">
      <alignment horizontal="center" vertical="center"/>
    </xf>
    <xf numFmtId="165" fontId="33" fillId="42" borderId="115" xfId="6" applyFont="1" applyFill="1" applyBorder="1" applyAlignment="1">
      <alignment horizontal="center" vertical="center"/>
    </xf>
    <xf numFmtId="165" fontId="33" fillId="37" borderId="20" xfId="6" applyFont="1" applyFill="1" applyBorder="1" applyAlignment="1">
      <alignment horizontal="center" vertical="center"/>
    </xf>
    <xf numFmtId="165" fontId="33" fillId="32" borderId="20" xfId="6" applyFont="1" applyFill="1" applyBorder="1" applyAlignment="1">
      <alignment horizontal="center" vertical="center"/>
    </xf>
    <xf numFmtId="165" fontId="33" fillId="33" borderId="20" xfId="6" applyFont="1" applyFill="1" applyBorder="1" applyAlignment="1">
      <alignment horizontal="center" vertical="center"/>
    </xf>
    <xf numFmtId="165" fontId="33" fillId="34" borderId="20" xfId="6" applyFont="1" applyFill="1" applyBorder="1" applyAlignment="1">
      <alignment horizontal="center" vertical="center"/>
    </xf>
    <xf numFmtId="165" fontId="33" fillId="35" borderId="20" xfId="6" applyFont="1" applyFill="1" applyBorder="1" applyAlignment="1">
      <alignment horizontal="center" vertical="center"/>
    </xf>
    <xf numFmtId="165" fontId="14" fillId="26" borderId="127" xfId="6" applyFont="1" applyFill="1" applyBorder="1" applyAlignment="1">
      <alignment horizontal="center" vertical="center"/>
    </xf>
    <xf numFmtId="165" fontId="33" fillId="28" borderId="128" xfId="6" applyFont="1" applyFill="1" applyBorder="1" applyAlignment="1">
      <alignment horizontal="center" vertical="center"/>
    </xf>
    <xf numFmtId="165" fontId="33" fillId="29" borderId="128" xfId="6" applyFont="1" applyFill="1" applyBorder="1" applyAlignment="1">
      <alignment horizontal="center" vertical="center"/>
    </xf>
    <xf numFmtId="165" fontId="33" fillId="30" borderId="128" xfId="6" applyFont="1" applyFill="1" applyBorder="1" applyAlignment="1">
      <alignment horizontal="center" vertical="center"/>
    </xf>
    <xf numFmtId="165" fontId="33" fillId="42" borderId="168" xfId="6" applyFont="1" applyFill="1" applyBorder="1" applyAlignment="1">
      <alignment horizontal="center" vertical="center"/>
    </xf>
    <xf numFmtId="165" fontId="33" fillId="37" borderId="128" xfId="6" applyFont="1" applyFill="1" applyBorder="1" applyAlignment="1">
      <alignment horizontal="center" vertical="center"/>
    </xf>
    <xf numFmtId="165" fontId="33" fillId="32" borderId="128" xfId="6" applyFont="1" applyFill="1" applyBorder="1" applyAlignment="1">
      <alignment horizontal="center" vertical="center"/>
    </xf>
    <xf numFmtId="165" fontId="33" fillId="33" borderId="128" xfId="6" applyFont="1" applyFill="1" applyBorder="1" applyAlignment="1">
      <alignment horizontal="center" vertical="center"/>
    </xf>
    <xf numFmtId="165" fontId="33" fillId="34" borderId="128" xfId="6" applyFont="1" applyFill="1" applyBorder="1" applyAlignment="1">
      <alignment horizontal="center" vertical="center"/>
    </xf>
    <xf numFmtId="165" fontId="33" fillId="35" borderId="128" xfId="6" applyFont="1" applyFill="1" applyBorder="1" applyAlignment="1">
      <alignment horizontal="center" vertical="center"/>
    </xf>
    <xf numFmtId="165" fontId="12" fillId="3" borderId="138" xfId="6" applyFont="1" applyFill="1" applyBorder="1" applyAlignment="1">
      <alignment horizontal="center"/>
    </xf>
    <xf numFmtId="165" fontId="12" fillId="3" borderId="195" xfId="6" applyFont="1" applyFill="1" applyBorder="1" applyAlignment="1">
      <alignment horizontal="center"/>
    </xf>
    <xf numFmtId="165" fontId="14" fillId="26" borderId="138" xfId="6" applyFont="1" applyFill="1" applyBorder="1" applyAlignment="1">
      <alignment horizontal="center" vertical="center"/>
    </xf>
    <xf numFmtId="165" fontId="1" fillId="27" borderId="105" xfId="6" applyFont="1" applyFill="1" applyBorder="1" applyAlignment="1">
      <alignment horizontal="center"/>
    </xf>
    <xf numFmtId="165" fontId="33" fillId="28" borderId="138" xfId="6" applyFont="1" applyFill="1" applyBorder="1" applyAlignment="1">
      <alignment horizontal="center" vertical="center"/>
    </xf>
    <xf numFmtId="165" fontId="33" fillId="29" borderId="138" xfId="6" applyFont="1" applyFill="1" applyBorder="1" applyAlignment="1">
      <alignment horizontal="center" vertical="center"/>
    </xf>
    <xf numFmtId="165" fontId="33" fillId="30" borderId="138" xfId="6" applyFont="1" applyFill="1" applyBorder="1" applyAlignment="1">
      <alignment horizontal="center" vertical="center"/>
    </xf>
    <xf numFmtId="165" fontId="33" fillId="37" borderId="138" xfId="6" applyFont="1" applyFill="1" applyBorder="1" applyAlignment="1">
      <alignment horizontal="center" vertical="center"/>
    </xf>
    <xf numFmtId="165" fontId="33" fillId="32" borderId="138" xfId="6" applyFont="1" applyFill="1" applyBorder="1" applyAlignment="1">
      <alignment horizontal="center" vertical="center"/>
    </xf>
    <xf numFmtId="165" fontId="33" fillId="33" borderId="138" xfId="6" applyFont="1" applyFill="1" applyBorder="1" applyAlignment="1">
      <alignment horizontal="center" vertical="center"/>
    </xf>
    <xf numFmtId="165" fontId="33" fillId="34" borderId="138" xfId="6" applyFont="1" applyFill="1" applyBorder="1" applyAlignment="1">
      <alignment horizontal="center" vertical="center"/>
    </xf>
    <xf numFmtId="165" fontId="33" fillId="35" borderId="138" xfId="6" applyFont="1" applyFill="1" applyBorder="1" applyAlignment="1">
      <alignment horizontal="center" vertical="center"/>
    </xf>
    <xf numFmtId="165" fontId="12" fillId="3" borderId="45" xfId="6" applyFont="1" applyFill="1" applyBorder="1" applyAlignment="1">
      <alignment horizontal="center"/>
    </xf>
    <xf numFmtId="165" fontId="12" fillId="3" borderId="51" xfId="6" applyFont="1" applyFill="1" applyBorder="1" applyAlignment="1">
      <alignment horizontal="center"/>
    </xf>
    <xf numFmtId="165" fontId="12" fillId="3" borderId="167" xfId="6" applyFont="1" applyFill="1" applyBorder="1" applyAlignment="1">
      <alignment horizontal="center"/>
    </xf>
    <xf numFmtId="165" fontId="12" fillId="3" borderId="166" xfId="6" applyFont="1" applyFill="1" applyBorder="1" applyAlignment="1">
      <alignment horizontal="center"/>
    </xf>
    <xf numFmtId="165" fontId="12" fillId="3" borderId="154" xfId="6" applyFont="1" applyFill="1" applyBorder="1" applyAlignment="1">
      <alignment horizontal="center"/>
    </xf>
    <xf numFmtId="165" fontId="14" fillId="26" borderId="50" xfId="6" applyFont="1" applyFill="1" applyBorder="1" applyAlignment="1">
      <alignment horizontal="center" vertical="center"/>
    </xf>
    <xf numFmtId="165" fontId="33" fillId="28" borderId="50" xfId="6" applyFont="1" applyFill="1" applyBorder="1" applyAlignment="1">
      <alignment horizontal="center" vertical="center"/>
    </xf>
    <xf numFmtId="165" fontId="33" fillId="29" borderId="50" xfId="6" applyFont="1" applyFill="1" applyBorder="1" applyAlignment="1">
      <alignment horizontal="center" vertical="center"/>
    </xf>
    <xf numFmtId="165" fontId="33" fillId="30" borderId="50" xfId="6" applyFont="1" applyFill="1" applyBorder="1" applyAlignment="1">
      <alignment horizontal="center" vertical="center"/>
    </xf>
    <xf numFmtId="165" fontId="33" fillId="37" borderId="50" xfId="6" applyFont="1" applyFill="1" applyBorder="1" applyAlignment="1">
      <alignment horizontal="center" vertical="center"/>
    </xf>
    <xf numFmtId="165" fontId="33" fillId="32" borderId="50" xfId="6" applyFont="1" applyFill="1" applyBorder="1" applyAlignment="1">
      <alignment horizontal="center" vertical="center"/>
    </xf>
    <xf numFmtId="165" fontId="33" fillId="33" borderId="50" xfId="6" applyFont="1" applyFill="1" applyBorder="1" applyAlignment="1">
      <alignment horizontal="center" vertical="center"/>
    </xf>
    <xf numFmtId="165" fontId="33" fillId="34" borderId="50" xfId="6" applyFont="1" applyFill="1" applyBorder="1" applyAlignment="1">
      <alignment horizontal="center" vertical="center"/>
    </xf>
    <xf numFmtId="165" fontId="33" fillId="35" borderId="50" xfId="6" applyFont="1" applyFill="1" applyBorder="1" applyAlignment="1">
      <alignment horizontal="center" vertical="center"/>
    </xf>
    <xf numFmtId="165" fontId="14" fillId="26" borderId="42" xfId="6" applyFont="1" applyFill="1" applyBorder="1" applyAlignment="1">
      <alignment horizontal="center" vertical="center"/>
    </xf>
    <xf numFmtId="165" fontId="33" fillId="28" borderId="42" xfId="6" applyFont="1" applyFill="1" applyBorder="1" applyAlignment="1">
      <alignment horizontal="center" vertical="center"/>
    </xf>
    <xf numFmtId="165" fontId="33" fillId="29" borderId="42" xfId="6" applyFont="1" applyFill="1" applyBorder="1" applyAlignment="1">
      <alignment horizontal="center" vertical="center"/>
    </xf>
    <xf numFmtId="165" fontId="33" fillId="30" borderId="42" xfId="6" applyFont="1" applyFill="1" applyBorder="1" applyAlignment="1">
      <alignment horizontal="center" vertical="center"/>
    </xf>
    <xf numFmtId="165" fontId="33" fillId="37" borderId="42" xfId="6" applyFont="1" applyFill="1" applyBorder="1" applyAlignment="1">
      <alignment horizontal="center" vertical="center"/>
    </xf>
    <xf numFmtId="165" fontId="33" fillId="32" borderId="42" xfId="6" applyFont="1" applyFill="1" applyBorder="1" applyAlignment="1">
      <alignment horizontal="center" vertical="center"/>
    </xf>
    <xf numFmtId="165" fontId="33" fillId="33" borderId="42" xfId="6" applyFont="1" applyFill="1" applyBorder="1" applyAlignment="1">
      <alignment horizontal="center" vertical="center"/>
    </xf>
    <xf numFmtId="165" fontId="33" fillId="34" borderId="42" xfId="6" applyFont="1" applyFill="1" applyBorder="1" applyAlignment="1">
      <alignment horizontal="center" vertical="center"/>
    </xf>
    <xf numFmtId="165" fontId="33" fillId="35" borderId="42" xfId="6" applyFont="1" applyFill="1" applyBorder="1" applyAlignment="1">
      <alignment horizontal="center" vertical="center"/>
    </xf>
    <xf numFmtId="165" fontId="12" fillId="3" borderId="140" xfId="6" applyFont="1" applyFill="1" applyBorder="1" applyAlignment="1">
      <alignment horizontal="center"/>
    </xf>
    <xf numFmtId="165" fontId="33" fillId="28" borderId="31" xfId="6" applyFont="1" applyFill="1" applyBorder="1" applyAlignment="1">
      <alignment horizontal="center" vertical="center"/>
    </xf>
    <xf numFmtId="165" fontId="33" fillId="29" borderId="31" xfId="6" applyFont="1" applyFill="1" applyBorder="1" applyAlignment="1">
      <alignment horizontal="center" vertical="center"/>
    </xf>
    <xf numFmtId="165" fontId="33" fillId="30" borderId="31" xfId="6" applyFont="1" applyFill="1" applyBorder="1" applyAlignment="1">
      <alignment horizontal="center" vertical="center"/>
    </xf>
    <xf numFmtId="165" fontId="33" fillId="37" borderId="31" xfId="6" applyFont="1" applyFill="1" applyBorder="1" applyAlignment="1">
      <alignment horizontal="center" vertical="center"/>
    </xf>
    <xf numFmtId="165" fontId="33" fillId="32" borderId="31" xfId="6" applyFont="1" applyFill="1" applyBorder="1" applyAlignment="1">
      <alignment horizontal="center" vertical="center"/>
    </xf>
    <xf numFmtId="165" fontId="33" fillId="33" borderId="31" xfId="6" applyFont="1" applyFill="1" applyBorder="1" applyAlignment="1">
      <alignment horizontal="center" vertical="center"/>
    </xf>
    <xf numFmtId="165" fontId="33" fillId="34" borderId="31" xfId="6" applyFont="1" applyFill="1" applyBorder="1" applyAlignment="1">
      <alignment horizontal="center" vertical="center"/>
    </xf>
    <xf numFmtId="165" fontId="33" fillId="35" borderId="31" xfId="6" applyFont="1" applyFill="1" applyBorder="1" applyAlignment="1">
      <alignment horizontal="center" vertical="center"/>
    </xf>
    <xf numFmtId="165" fontId="12" fillId="3" borderId="55" xfId="6" applyFont="1" applyFill="1" applyBorder="1" applyAlignment="1">
      <alignment horizontal="center"/>
    </xf>
    <xf numFmtId="165" fontId="34" fillId="38" borderId="59" xfId="6" applyFont="1" applyFill="1" applyBorder="1" applyAlignment="1">
      <alignment horizontal="center" vertical="center"/>
    </xf>
    <xf numFmtId="165" fontId="14" fillId="38" borderId="59" xfId="6" applyFont="1" applyFill="1" applyBorder="1" applyAlignment="1">
      <alignment horizontal="center" vertical="center"/>
    </xf>
    <xf numFmtId="165" fontId="12" fillId="3" borderId="44" xfId="6" applyFont="1" applyFill="1" applyBorder="1" applyAlignment="1">
      <alignment horizontal="center"/>
    </xf>
    <xf numFmtId="165" fontId="12" fillId="3" borderId="46" xfId="6" applyFont="1" applyFill="1" applyBorder="1" applyAlignment="1">
      <alignment horizontal="center"/>
    </xf>
    <xf numFmtId="165" fontId="14" fillId="26" borderId="148" xfId="6" applyFont="1" applyFill="1" applyBorder="1" applyAlignment="1">
      <alignment horizontal="center" vertical="center"/>
    </xf>
    <xf numFmtId="165" fontId="33" fillId="28" borderId="168" xfId="6" applyFont="1" applyFill="1" applyBorder="1" applyAlignment="1">
      <alignment horizontal="center" vertical="center"/>
    </xf>
    <xf numFmtId="165" fontId="33" fillId="29" borderId="168" xfId="6" applyFont="1" applyFill="1" applyBorder="1" applyAlignment="1">
      <alignment horizontal="center" vertical="center"/>
    </xf>
    <xf numFmtId="165" fontId="33" fillId="30" borderId="168" xfId="6" applyFont="1" applyFill="1" applyBorder="1" applyAlignment="1">
      <alignment horizontal="center" vertical="center"/>
    </xf>
    <xf numFmtId="165" fontId="33" fillId="37" borderId="168" xfId="6" applyFont="1" applyFill="1" applyBorder="1" applyAlignment="1">
      <alignment horizontal="center" vertical="center"/>
    </xf>
    <xf numFmtId="165" fontId="33" fillId="32" borderId="168" xfId="6" applyFont="1" applyFill="1" applyBorder="1" applyAlignment="1">
      <alignment horizontal="center" vertical="center"/>
    </xf>
    <xf numFmtId="165" fontId="33" fillId="33" borderId="168" xfId="6" applyFont="1" applyFill="1" applyBorder="1" applyAlignment="1">
      <alignment horizontal="center" vertical="center"/>
    </xf>
    <xf numFmtId="165" fontId="33" fillId="34" borderId="168" xfId="6" applyFont="1" applyFill="1" applyBorder="1" applyAlignment="1">
      <alignment horizontal="center" vertical="center"/>
    </xf>
    <xf numFmtId="165" fontId="33" fillId="35" borderId="168" xfId="6" applyFont="1" applyFill="1" applyBorder="1" applyAlignment="1">
      <alignment horizontal="center" vertical="center"/>
    </xf>
    <xf numFmtId="165" fontId="3" fillId="0" borderId="17" xfId="6" applyFont="1" applyFill="1" applyBorder="1" applyAlignment="1">
      <alignment horizontal="center" vertical="center"/>
    </xf>
    <xf numFmtId="165" fontId="12" fillId="0" borderId="115" xfId="6" applyFont="1" applyFill="1" applyBorder="1" applyAlignment="1">
      <alignment horizontal="center"/>
    </xf>
    <xf numFmtId="165" fontId="12" fillId="0" borderId="210" xfId="6" applyFont="1" applyFill="1" applyBorder="1" applyAlignment="1">
      <alignment horizontal="center"/>
    </xf>
    <xf numFmtId="165" fontId="34" fillId="26" borderId="115" xfId="6" applyFont="1" applyFill="1" applyBorder="1" applyAlignment="1">
      <alignment horizontal="center"/>
    </xf>
    <xf numFmtId="165" fontId="35" fillId="27" borderId="105" xfId="6" applyFont="1" applyFill="1" applyBorder="1" applyAlignment="1">
      <alignment horizontal="center"/>
    </xf>
    <xf numFmtId="165" fontId="16" fillId="28" borderId="115" xfId="6" applyFont="1" applyFill="1" applyBorder="1" applyAlignment="1">
      <alignment horizontal="center" vertical="center"/>
    </xf>
    <xf numFmtId="165" fontId="16" fillId="29" borderId="115" xfId="6" applyFont="1" applyFill="1" applyBorder="1" applyAlignment="1">
      <alignment horizontal="center" vertical="center"/>
    </xf>
    <xf numFmtId="165" fontId="16" fillId="30" borderId="115" xfId="6" applyFont="1" applyFill="1" applyBorder="1" applyAlignment="1">
      <alignment horizontal="center" vertical="center"/>
    </xf>
    <xf numFmtId="165" fontId="16" fillId="42" borderId="115" xfId="6" applyFont="1" applyFill="1" applyBorder="1" applyAlignment="1">
      <alignment horizontal="center" vertical="center"/>
    </xf>
    <xf numFmtId="165" fontId="16" fillId="37" borderId="115" xfId="6" applyFont="1" applyFill="1" applyBorder="1" applyAlignment="1">
      <alignment horizontal="center" vertical="center"/>
    </xf>
    <xf numFmtId="165" fontId="16" fillId="32" borderId="115" xfId="6" applyFont="1" applyFill="1" applyBorder="1" applyAlignment="1">
      <alignment horizontal="center" vertical="center"/>
    </xf>
    <xf numFmtId="165" fontId="16" fillId="33" borderId="115" xfId="6" applyFont="1" applyFill="1" applyBorder="1" applyAlignment="1">
      <alignment horizontal="center" vertical="center"/>
    </xf>
    <xf numFmtId="165" fontId="16" fillId="34" borderId="115" xfId="6" applyFont="1" applyFill="1" applyBorder="1" applyAlignment="1">
      <alignment horizontal="center" vertical="center"/>
    </xf>
    <xf numFmtId="165" fontId="16" fillId="35" borderId="115" xfId="6" applyFont="1" applyFill="1" applyBorder="1" applyAlignment="1">
      <alignment horizontal="center" vertical="center"/>
    </xf>
    <xf numFmtId="165" fontId="3" fillId="3" borderId="10" xfId="6" applyFont="1" applyFill="1" applyBorder="1" applyAlignment="1">
      <alignment horizontal="center"/>
    </xf>
    <xf numFmtId="165" fontId="14" fillId="26" borderId="115" xfId="6" applyFont="1" applyFill="1" applyBorder="1" applyAlignment="1">
      <alignment horizontal="center"/>
    </xf>
    <xf numFmtId="165" fontId="4" fillId="5" borderId="0" xfId="6" applyFont="1" applyFill="1" applyBorder="1" applyAlignment="1">
      <alignment horizontal="center"/>
    </xf>
    <xf numFmtId="165" fontId="4" fillId="2" borderId="0" xfId="6" applyFont="1" applyFill="1" applyBorder="1" applyAlignment="1">
      <alignment horizontal="center"/>
    </xf>
    <xf numFmtId="165" fontId="4" fillId="3" borderId="0" xfId="6" applyFont="1" applyFill="1" applyBorder="1" applyAlignment="1">
      <alignment horizontal="center"/>
    </xf>
    <xf numFmtId="165" fontId="4" fillId="41" borderId="0" xfId="6" applyFont="1" applyFill="1" applyBorder="1" applyAlignment="1">
      <alignment horizontal="center"/>
    </xf>
    <xf numFmtId="165" fontId="4" fillId="10" borderId="0" xfId="6" applyFont="1" applyFill="1" applyBorder="1" applyAlignment="1">
      <alignment horizontal="center"/>
    </xf>
    <xf numFmtId="165" fontId="48" fillId="41" borderId="0" xfId="6" applyFont="1" applyFill="1" applyBorder="1" applyAlignment="1">
      <alignment horizontal="center"/>
    </xf>
    <xf numFmtId="165" fontId="4" fillId="22" borderId="0" xfId="6" applyFont="1" applyFill="1" applyBorder="1" applyAlignment="1">
      <alignment horizontal="center"/>
    </xf>
    <xf numFmtId="165" fontId="4" fillId="19" borderId="0" xfId="6" applyFont="1" applyFill="1" applyBorder="1" applyAlignment="1">
      <alignment horizontal="center"/>
    </xf>
    <xf numFmtId="165" fontId="33" fillId="28" borderId="115" xfId="6" applyFont="1" applyFill="1" applyBorder="1" applyAlignment="1">
      <alignment horizontal="center"/>
    </xf>
    <xf numFmtId="165" fontId="33" fillId="29" borderId="115" xfId="6" applyFont="1" applyFill="1" applyBorder="1" applyAlignment="1">
      <alignment horizontal="center"/>
    </xf>
    <xf numFmtId="165" fontId="33" fillId="30" borderId="115" xfId="6" applyFont="1" applyFill="1" applyBorder="1" applyAlignment="1">
      <alignment horizontal="center"/>
    </xf>
    <xf numFmtId="165" fontId="33" fillId="42" borderId="115" xfId="6" applyFont="1" applyFill="1" applyBorder="1" applyAlignment="1">
      <alignment horizontal="center"/>
    </xf>
    <xf numFmtId="165" fontId="33" fillId="37" borderId="115" xfId="6" applyFont="1" applyFill="1" applyBorder="1" applyAlignment="1">
      <alignment horizontal="center"/>
    </xf>
    <xf numFmtId="165" fontId="33" fillId="32" borderId="115" xfId="6" applyFont="1" applyFill="1" applyBorder="1" applyAlignment="1">
      <alignment horizontal="center"/>
    </xf>
    <xf numFmtId="165" fontId="33" fillId="33" borderId="115" xfId="6" applyFont="1" applyFill="1" applyBorder="1" applyAlignment="1">
      <alignment horizontal="center"/>
    </xf>
    <xf numFmtId="165" fontId="33" fillId="34" borderId="115" xfId="6" applyFont="1" applyFill="1" applyBorder="1" applyAlignment="1">
      <alignment horizontal="center"/>
    </xf>
    <xf numFmtId="165" fontId="33" fillId="35" borderId="115" xfId="6" applyFont="1" applyFill="1" applyBorder="1" applyAlignment="1">
      <alignment horizontal="center"/>
    </xf>
    <xf numFmtId="165" fontId="3" fillId="0" borderId="16" xfId="6" applyFont="1" applyFill="1" applyBorder="1" applyAlignment="1">
      <alignment horizontal="center" vertical="center"/>
    </xf>
    <xf numFmtId="165" fontId="14" fillId="0" borderId="28" xfId="6" applyFont="1" applyFill="1" applyBorder="1" applyAlignment="1">
      <alignment horizontal="center"/>
    </xf>
    <xf numFmtId="165" fontId="14" fillId="0" borderId="114" xfId="6" applyFont="1" applyFill="1" applyBorder="1" applyAlignment="1">
      <alignment horizontal="center"/>
    </xf>
    <xf numFmtId="165" fontId="34" fillId="26" borderId="168" xfId="6" applyFont="1" applyFill="1" applyBorder="1" applyAlignment="1">
      <alignment horizontal="center" vertical="center"/>
    </xf>
    <xf numFmtId="165" fontId="16" fillId="28" borderId="168" xfId="6" applyFont="1" applyFill="1" applyBorder="1" applyAlignment="1">
      <alignment horizontal="center" vertical="center"/>
    </xf>
    <xf numFmtId="165" fontId="16" fillId="29" borderId="168" xfId="6" applyFont="1" applyFill="1" applyBorder="1" applyAlignment="1">
      <alignment horizontal="center" vertical="center"/>
    </xf>
    <xf numFmtId="165" fontId="16" fillId="30" borderId="168" xfId="6" applyFont="1" applyFill="1" applyBorder="1" applyAlignment="1">
      <alignment horizontal="center" vertical="center"/>
    </xf>
    <xf numFmtId="165" fontId="16" fillId="37" borderId="168" xfId="6" applyFont="1" applyFill="1" applyBorder="1" applyAlignment="1">
      <alignment horizontal="center" vertical="center"/>
    </xf>
    <xf numFmtId="165" fontId="16" fillId="32" borderId="168" xfId="6" applyFont="1" applyFill="1" applyBorder="1" applyAlignment="1">
      <alignment horizontal="center" vertical="center"/>
    </xf>
    <xf numFmtId="165" fontId="16" fillId="33" borderId="168" xfId="6" applyFont="1" applyFill="1" applyBorder="1" applyAlignment="1">
      <alignment horizontal="center" vertical="center"/>
    </xf>
    <xf numFmtId="165" fontId="16" fillId="34" borderId="168" xfId="6" applyFont="1" applyFill="1" applyBorder="1" applyAlignment="1">
      <alignment horizontal="center" vertical="center"/>
    </xf>
    <xf numFmtId="165" fontId="16" fillId="35" borderId="168" xfId="6" applyFont="1" applyFill="1" applyBorder="1" applyAlignment="1">
      <alignment horizontal="center" vertical="center"/>
    </xf>
    <xf numFmtId="165" fontId="3" fillId="0" borderId="15" xfId="6" applyFont="1" applyFill="1" applyBorder="1" applyAlignment="1">
      <alignment horizontal="center" vertical="center"/>
    </xf>
    <xf numFmtId="165" fontId="3" fillId="0" borderId="17" xfId="6" applyFont="1" applyFill="1" applyBorder="1" applyAlignment="1">
      <alignment horizontal="center" vertical="center"/>
    </xf>
    <xf numFmtId="165" fontId="14" fillId="0" borderId="23" xfId="6" applyFont="1" applyFill="1" applyBorder="1" applyAlignment="1">
      <alignment horizontal="center"/>
    </xf>
    <xf numFmtId="165" fontId="34" fillId="26" borderId="31" xfId="6" applyFont="1" applyFill="1" applyBorder="1" applyAlignment="1">
      <alignment horizontal="center" vertical="center"/>
    </xf>
    <xf numFmtId="165" fontId="16" fillId="28" borderId="31" xfId="6" applyFont="1" applyFill="1" applyBorder="1" applyAlignment="1">
      <alignment horizontal="center" vertical="center"/>
    </xf>
    <xf numFmtId="165" fontId="16" fillId="29" borderId="31" xfId="6" applyFont="1" applyFill="1" applyBorder="1" applyAlignment="1">
      <alignment horizontal="center" vertical="center"/>
    </xf>
    <xf numFmtId="165" fontId="16" fillId="30" borderId="31" xfId="6" applyFont="1" applyFill="1" applyBorder="1" applyAlignment="1">
      <alignment horizontal="center" vertical="center"/>
    </xf>
    <xf numFmtId="165" fontId="16" fillId="37" borderId="31" xfId="6" applyFont="1" applyFill="1" applyBorder="1" applyAlignment="1">
      <alignment horizontal="center" vertical="center"/>
    </xf>
    <xf numFmtId="165" fontId="16" fillId="32" borderId="31" xfId="6" applyFont="1" applyFill="1" applyBorder="1" applyAlignment="1">
      <alignment horizontal="center" vertical="center"/>
    </xf>
    <xf numFmtId="165" fontId="16" fillId="33" borderId="31" xfId="6" applyFont="1" applyFill="1" applyBorder="1" applyAlignment="1">
      <alignment horizontal="center" vertical="center"/>
    </xf>
    <xf numFmtId="165" fontId="16" fillId="34" borderId="31" xfId="6" applyFont="1" applyFill="1" applyBorder="1" applyAlignment="1">
      <alignment horizontal="center" vertical="center"/>
    </xf>
    <xf numFmtId="165" fontId="16" fillId="35" borderId="31" xfId="6" applyFont="1" applyFill="1" applyBorder="1" applyAlignment="1">
      <alignment horizontal="center" vertical="center"/>
    </xf>
    <xf numFmtId="165" fontId="12" fillId="3" borderId="141" xfId="6" applyFont="1" applyFill="1" applyBorder="1" applyAlignment="1">
      <alignment horizontal="center"/>
    </xf>
    <xf numFmtId="165" fontId="12" fillId="3" borderId="34" xfId="6" applyFont="1" applyFill="1" applyBorder="1" applyAlignment="1">
      <alignment horizontal="center"/>
    </xf>
    <xf numFmtId="165" fontId="14" fillId="26" borderId="164" xfId="6" applyFont="1" applyFill="1" applyBorder="1" applyAlignment="1">
      <alignment horizontal="center" vertical="center"/>
    </xf>
    <xf numFmtId="165" fontId="33" fillId="28" borderId="164" xfId="6" applyFont="1" applyFill="1" applyBorder="1" applyAlignment="1">
      <alignment horizontal="center" vertical="center"/>
    </xf>
    <xf numFmtId="165" fontId="33" fillId="29" borderId="164" xfId="6" applyFont="1" applyFill="1" applyBorder="1" applyAlignment="1">
      <alignment horizontal="center" vertical="center"/>
    </xf>
    <xf numFmtId="165" fontId="33" fillId="30" borderId="164" xfId="6" applyFont="1" applyFill="1" applyBorder="1" applyAlignment="1">
      <alignment horizontal="center" vertical="center"/>
    </xf>
    <xf numFmtId="165" fontId="33" fillId="37" borderId="164" xfId="6" applyFont="1" applyFill="1" applyBorder="1" applyAlignment="1">
      <alignment horizontal="center" vertical="center"/>
    </xf>
    <xf numFmtId="165" fontId="33" fillId="32" borderId="164" xfId="6" applyFont="1" applyFill="1" applyBorder="1" applyAlignment="1">
      <alignment horizontal="center" vertical="center"/>
    </xf>
    <xf numFmtId="165" fontId="33" fillId="33" borderId="164" xfId="6" applyFont="1" applyFill="1" applyBorder="1" applyAlignment="1">
      <alignment horizontal="center" vertical="center"/>
    </xf>
    <xf numFmtId="165" fontId="33" fillId="34" borderId="164" xfId="6" applyFont="1" applyFill="1" applyBorder="1" applyAlignment="1">
      <alignment horizontal="center" vertical="center"/>
    </xf>
    <xf numFmtId="165" fontId="33" fillId="35" borderId="164" xfId="6" applyFont="1" applyFill="1" applyBorder="1" applyAlignment="1">
      <alignment horizontal="center" vertical="center"/>
    </xf>
    <xf numFmtId="165" fontId="3" fillId="0" borderId="12" xfId="6" applyFont="1" applyFill="1" applyBorder="1" applyAlignment="1">
      <alignment horizontal="center" vertical="center"/>
    </xf>
    <xf numFmtId="165" fontId="12" fillId="0" borderId="166" xfId="6" applyFont="1" applyFill="1" applyBorder="1" applyAlignment="1">
      <alignment horizontal="center"/>
    </xf>
    <xf numFmtId="165" fontId="12" fillId="0" borderId="154" xfId="6" applyFont="1" applyFill="1" applyBorder="1" applyAlignment="1">
      <alignment horizontal="center"/>
    </xf>
    <xf numFmtId="165" fontId="34" fillId="26" borderId="45" xfId="6" applyFont="1" applyFill="1" applyBorder="1" applyAlignment="1">
      <alignment horizontal="center" vertical="center"/>
    </xf>
    <xf numFmtId="165" fontId="12" fillId="0" borderId="137" xfId="6" applyFont="1" applyFill="1" applyBorder="1" applyAlignment="1">
      <alignment horizontal="center"/>
    </xf>
    <xf numFmtId="165" fontId="34" fillId="26" borderId="148" xfId="6" applyFont="1" applyFill="1" applyBorder="1" applyAlignment="1">
      <alignment horizontal="center" vertical="center"/>
    </xf>
    <xf numFmtId="165" fontId="16" fillId="28" borderId="148" xfId="6" applyFont="1" applyFill="1" applyBorder="1" applyAlignment="1">
      <alignment horizontal="center" vertical="center"/>
    </xf>
    <xf numFmtId="165" fontId="16" fillId="29" borderId="148" xfId="6" applyFont="1" applyFill="1" applyBorder="1" applyAlignment="1">
      <alignment horizontal="center" vertical="center"/>
    </xf>
    <xf numFmtId="165" fontId="16" fillId="30" borderId="148" xfId="6" applyFont="1" applyFill="1" applyBorder="1" applyAlignment="1">
      <alignment horizontal="center" vertical="center"/>
    </xf>
    <xf numFmtId="165" fontId="16" fillId="37" borderId="148" xfId="6" applyFont="1" applyFill="1" applyBorder="1" applyAlignment="1">
      <alignment horizontal="center" vertical="center"/>
    </xf>
    <xf numFmtId="165" fontId="16" fillId="32" borderId="148" xfId="6" applyFont="1" applyFill="1" applyBorder="1" applyAlignment="1">
      <alignment horizontal="center" vertical="center"/>
    </xf>
    <xf numFmtId="165" fontId="16" fillId="33" borderId="148" xfId="6" applyFont="1" applyFill="1" applyBorder="1" applyAlignment="1">
      <alignment horizontal="center" vertical="center"/>
    </xf>
    <xf numFmtId="165" fontId="16" fillId="34" borderId="148" xfId="6" applyFont="1" applyFill="1" applyBorder="1" applyAlignment="1">
      <alignment horizontal="center" vertical="center"/>
    </xf>
    <xf numFmtId="165" fontId="16" fillId="35" borderId="148" xfId="6" applyFont="1" applyFill="1" applyBorder="1" applyAlignment="1">
      <alignment horizontal="center" vertical="center"/>
    </xf>
    <xf numFmtId="165" fontId="12" fillId="0" borderId="141" xfId="6" applyFont="1" applyFill="1" applyBorder="1" applyAlignment="1">
      <alignment horizontal="center"/>
    </xf>
    <xf numFmtId="165" fontId="12" fillId="0" borderId="140" xfId="6" applyFont="1" applyFill="1" applyBorder="1" applyAlignment="1">
      <alignment horizontal="center"/>
    </xf>
    <xf numFmtId="165" fontId="34" fillId="26" borderId="163" xfId="6" applyFont="1" applyFill="1" applyBorder="1" applyAlignment="1">
      <alignment horizontal="center" vertical="center"/>
    </xf>
    <xf numFmtId="165" fontId="16" fillId="28" borderId="163" xfId="6" applyFont="1" applyFill="1" applyBorder="1" applyAlignment="1">
      <alignment horizontal="center" vertical="center"/>
    </xf>
    <xf numFmtId="165" fontId="16" fillId="29" borderId="163" xfId="6" applyFont="1" applyFill="1" applyBorder="1" applyAlignment="1">
      <alignment horizontal="center" vertical="center"/>
    </xf>
    <xf numFmtId="165" fontId="16" fillId="30" borderId="163" xfId="6" applyFont="1" applyFill="1" applyBorder="1" applyAlignment="1">
      <alignment horizontal="center" vertical="center"/>
    </xf>
    <xf numFmtId="165" fontId="16" fillId="37" borderId="163" xfId="6" applyFont="1" applyFill="1" applyBorder="1" applyAlignment="1">
      <alignment horizontal="center" vertical="center"/>
    </xf>
    <xf numFmtId="165" fontId="16" fillId="32" borderId="163" xfId="6" applyFont="1" applyFill="1" applyBorder="1" applyAlignment="1">
      <alignment horizontal="center" vertical="center"/>
    </xf>
    <xf numFmtId="165" fontId="16" fillId="33" borderId="163" xfId="6" applyFont="1" applyFill="1" applyBorder="1" applyAlignment="1">
      <alignment horizontal="center" vertical="center"/>
    </xf>
    <xf numFmtId="165" fontId="16" fillId="34" borderId="163" xfId="6" applyFont="1" applyFill="1" applyBorder="1" applyAlignment="1">
      <alignment horizontal="center" vertical="center"/>
    </xf>
    <xf numFmtId="165" fontId="16" fillId="35" borderId="163" xfId="6" applyFont="1" applyFill="1" applyBorder="1" applyAlignment="1">
      <alignment horizontal="center" vertical="center"/>
    </xf>
    <xf numFmtId="165" fontId="3" fillId="0" borderId="10" xfId="6" applyFont="1" applyFill="1" applyBorder="1" applyAlignment="1">
      <alignment horizontal="center"/>
    </xf>
    <xf numFmtId="165" fontId="12" fillId="0" borderId="56" xfId="6" applyFont="1" applyFill="1" applyBorder="1" applyAlignment="1">
      <alignment horizontal="center"/>
    </xf>
    <xf numFmtId="165" fontId="16" fillId="28" borderId="115" xfId="6" applyFont="1" applyFill="1" applyBorder="1" applyAlignment="1">
      <alignment horizontal="center"/>
    </xf>
    <xf numFmtId="165" fontId="16" fillId="29" borderId="115" xfId="6" applyFont="1" applyFill="1" applyBorder="1" applyAlignment="1">
      <alignment horizontal="center"/>
    </xf>
    <xf numFmtId="165" fontId="16" fillId="30" borderId="115" xfId="6" applyFont="1" applyFill="1" applyBorder="1" applyAlignment="1">
      <alignment horizontal="center"/>
    </xf>
    <xf numFmtId="165" fontId="16" fillId="42" borderId="115" xfId="6" applyFont="1" applyFill="1" applyBorder="1" applyAlignment="1">
      <alignment horizontal="center"/>
    </xf>
    <xf numFmtId="165" fontId="16" fillId="37" borderId="115" xfId="6" applyFont="1" applyFill="1" applyBorder="1" applyAlignment="1">
      <alignment horizontal="center"/>
    </xf>
    <xf numFmtId="165" fontId="16" fillId="32" borderId="115" xfId="6" applyFont="1" applyFill="1" applyBorder="1" applyAlignment="1">
      <alignment horizontal="center"/>
    </xf>
    <xf numFmtId="165" fontId="16" fillId="33" borderId="115" xfId="6" applyFont="1" applyFill="1" applyBorder="1" applyAlignment="1">
      <alignment horizontal="center"/>
    </xf>
    <xf numFmtId="165" fontId="16" fillId="34" borderId="115" xfId="6" applyFont="1" applyFill="1" applyBorder="1" applyAlignment="1">
      <alignment horizontal="center"/>
    </xf>
    <xf numFmtId="165" fontId="16" fillId="35" borderId="115" xfId="6" applyFont="1" applyFill="1" applyBorder="1" applyAlignment="1">
      <alignment horizontal="center"/>
    </xf>
    <xf numFmtId="165" fontId="0" fillId="0" borderId="115" xfId="6" applyFont="1" applyFill="1" applyBorder="1" applyAlignment="1">
      <alignment horizontal="center"/>
    </xf>
    <xf numFmtId="165" fontId="0" fillId="0" borderId="210" xfId="6" applyFont="1" applyFill="1" applyBorder="1" applyAlignment="1">
      <alignment horizontal="center"/>
    </xf>
    <xf numFmtId="165" fontId="12" fillId="0" borderId="55" xfId="6" applyFont="1" applyFill="1" applyBorder="1" applyAlignment="1">
      <alignment horizontal="center"/>
    </xf>
    <xf numFmtId="165" fontId="34" fillId="26" borderId="50" xfId="6" applyFont="1" applyFill="1" applyBorder="1" applyAlignment="1">
      <alignment horizontal="right" vertical="center"/>
    </xf>
    <xf numFmtId="165" fontId="16" fillId="28" borderId="50" xfId="6" applyFont="1" applyFill="1" applyBorder="1" applyAlignment="1">
      <alignment horizontal="center" vertical="center"/>
    </xf>
    <xf numFmtId="165" fontId="16" fillId="29" borderId="50" xfId="6" applyFont="1" applyFill="1" applyBorder="1" applyAlignment="1">
      <alignment horizontal="center" vertical="center"/>
    </xf>
    <xf numFmtId="165" fontId="16" fillId="30" borderId="50" xfId="6" applyFont="1" applyFill="1" applyBorder="1" applyAlignment="1">
      <alignment horizontal="center" vertical="center"/>
    </xf>
    <xf numFmtId="165" fontId="16" fillId="37" borderId="50" xfId="6" applyFont="1" applyFill="1" applyBorder="1" applyAlignment="1">
      <alignment horizontal="center" vertical="center"/>
    </xf>
    <xf numFmtId="165" fontId="16" fillId="32" borderId="50" xfId="6" applyFont="1" applyFill="1" applyBorder="1" applyAlignment="1">
      <alignment horizontal="center" vertical="center"/>
    </xf>
    <xf numFmtId="165" fontId="16" fillId="33" borderId="50" xfId="6" applyFont="1" applyFill="1" applyBorder="1" applyAlignment="1">
      <alignment horizontal="center" vertical="center"/>
    </xf>
    <xf numFmtId="165" fontId="16" fillId="34" borderId="50" xfId="6" applyFont="1" applyFill="1" applyBorder="1" applyAlignment="1">
      <alignment horizontal="center" vertical="center"/>
    </xf>
    <xf numFmtId="165" fontId="16" fillId="35" borderId="50" xfId="6" applyFont="1" applyFill="1" applyBorder="1" applyAlignment="1">
      <alignment horizontal="center" vertical="center"/>
    </xf>
    <xf numFmtId="165" fontId="16" fillId="36" borderId="50" xfId="6" applyFont="1" applyFill="1" applyBorder="1" applyAlignment="1">
      <alignment horizontal="center" vertical="center"/>
    </xf>
    <xf numFmtId="165" fontId="12" fillId="0" borderId="44" xfId="6" applyFont="1" applyFill="1" applyBorder="1" applyAlignment="1">
      <alignment horizontal="center"/>
    </xf>
    <xf numFmtId="165" fontId="34" fillId="26" borderId="42" xfId="6" applyFont="1" applyFill="1" applyBorder="1" applyAlignment="1">
      <alignment horizontal="right" vertical="center"/>
    </xf>
    <xf numFmtId="165" fontId="16" fillId="28" borderId="42" xfId="6" applyFont="1" applyFill="1" applyBorder="1" applyAlignment="1">
      <alignment horizontal="center" vertical="center"/>
    </xf>
    <xf numFmtId="165" fontId="16" fillId="29" borderId="42" xfId="6" applyFont="1" applyFill="1" applyBorder="1" applyAlignment="1">
      <alignment horizontal="center" vertical="center"/>
    </xf>
    <xf numFmtId="165" fontId="16" fillId="30" borderId="42" xfId="6" applyFont="1" applyFill="1" applyBorder="1" applyAlignment="1">
      <alignment horizontal="center" vertical="center"/>
    </xf>
    <xf numFmtId="165" fontId="16" fillId="37" borderId="42" xfId="6" applyFont="1" applyFill="1" applyBorder="1" applyAlignment="1">
      <alignment horizontal="center" vertical="center"/>
    </xf>
    <xf numFmtId="165" fontId="16" fillId="32" borderId="42" xfId="6" applyFont="1" applyFill="1" applyBorder="1" applyAlignment="1">
      <alignment horizontal="center" vertical="center"/>
    </xf>
    <xf numFmtId="165" fontId="16" fillId="33" borderId="42" xfId="6" applyFont="1" applyFill="1" applyBorder="1" applyAlignment="1">
      <alignment horizontal="center" vertical="center"/>
    </xf>
    <xf numFmtId="165" fontId="16" fillId="34" borderId="42" xfId="6" applyFont="1" applyFill="1" applyBorder="1" applyAlignment="1">
      <alignment horizontal="center" vertical="center"/>
    </xf>
    <xf numFmtId="165" fontId="16" fillId="35" borderId="42" xfId="6" applyFont="1" applyFill="1" applyBorder="1" applyAlignment="1">
      <alignment horizontal="center" vertical="center"/>
    </xf>
    <xf numFmtId="165" fontId="12" fillId="0" borderId="46" xfId="6" applyFont="1" applyFill="1" applyBorder="1" applyAlignment="1">
      <alignment horizontal="center"/>
    </xf>
    <xf numFmtId="165" fontId="34" fillId="26" borderId="51" xfId="6" applyFont="1" applyFill="1" applyBorder="1" applyAlignment="1">
      <alignment horizontal="right" vertical="center"/>
    </xf>
    <xf numFmtId="165" fontId="3" fillId="0" borderId="17" xfId="6" applyFont="1" applyFill="1" applyBorder="1" applyAlignment="1">
      <alignment horizontal="center"/>
    </xf>
    <xf numFmtId="165" fontId="0" fillId="0" borderId="57" xfId="6" applyFont="1" applyFill="1" applyBorder="1"/>
    <xf numFmtId="165" fontId="0" fillId="0" borderId="45" xfId="6" applyFont="1" applyFill="1" applyBorder="1"/>
    <xf numFmtId="165" fontId="34" fillId="26" borderId="115" xfId="6" applyFont="1" applyFill="1" applyBorder="1"/>
    <xf numFmtId="165" fontId="34" fillId="27" borderId="105" xfId="6" applyFont="1" applyFill="1" applyBorder="1"/>
    <xf numFmtId="165" fontId="34" fillId="28" borderId="107" xfId="6" applyFont="1" applyFill="1" applyBorder="1"/>
    <xf numFmtId="165" fontId="34" fillId="29" borderId="107" xfId="6" applyFont="1" applyFill="1" applyBorder="1"/>
    <xf numFmtId="165" fontId="34" fillId="30" borderId="107" xfId="6" applyFont="1" applyFill="1" applyBorder="1"/>
    <xf numFmtId="165" fontId="34" fillId="42" borderId="107" xfId="6" applyFont="1" applyFill="1" applyBorder="1"/>
    <xf numFmtId="165" fontId="34" fillId="37" borderId="107" xfId="6" applyFont="1" applyFill="1" applyBorder="1"/>
    <xf numFmtId="165" fontId="34" fillId="32" borderId="107" xfId="6" applyFont="1" applyFill="1" applyBorder="1"/>
    <xf numFmtId="165" fontId="34" fillId="33" borderId="107" xfId="6" applyFont="1" applyFill="1" applyBorder="1"/>
    <xf numFmtId="165" fontId="34" fillId="34" borderId="107" xfId="6" applyFont="1" applyFill="1" applyBorder="1"/>
    <xf numFmtId="165" fontId="34" fillId="35" borderId="107" xfId="6" applyFont="1" applyFill="1" applyBorder="1"/>
    <xf numFmtId="165" fontId="34" fillId="36" borderId="107" xfId="6" applyFont="1" applyFill="1" applyBorder="1"/>
    <xf numFmtId="165" fontId="3" fillId="3" borderId="17" xfId="6" applyFont="1" applyFill="1" applyBorder="1" applyAlignment="1">
      <alignment horizontal="center"/>
    </xf>
    <xf numFmtId="165" fontId="12" fillId="3" borderId="220" xfId="6" applyFont="1" applyFill="1" applyBorder="1" applyAlignment="1">
      <alignment horizontal="center"/>
    </xf>
    <xf numFmtId="165" fontId="12" fillId="3" borderId="0" xfId="6" applyFont="1" applyFill="1" applyBorder="1" applyAlignment="1">
      <alignment horizontal="center"/>
    </xf>
    <xf numFmtId="165" fontId="14" fillId="26" borderId="115" xfId="6" applyFont="1" applyFill="1" applyBorder="1"/>
    <xf numFmtId="165" fontId="14" fillId="0" borderId="210" xfId="6" applyFont="1" applyFill="1" applyBorder="1" applyAlignment="1">
      <alignment horizontal="center"/>
    </xf>
    <xf numFmtId="165" fontId="0" fillId="3" borderId="216" xfId="6" applyFont="1" applyFill="1" applyBorder="1" applyAlignment="1">
      <alignment horizontal="center"/>
    </xf>
    <xf numFmtId="165" fontId="14" fillId="0" borderId="216" xfId="6" applyFont="1" applyFill="1" applyBorder="1" applyAlignment="1">
      <alignment horizontal="center"/>
    </xf>
    <xf numFmtId="165" fontId="0" fillId="3" borderId="148" xfId="6" applyFont="1" applyFill="1" applyBorder="1" applyAlignment="1">
      <alignment horizontal="center"/>
    </xf>
    <xf numFmtId="165" fontId="0" fillId="3" borderId="118" xfId="6" applyFont="1" applyFill="1" applyBorder="1" applyAlignment="1">
      <alignment horizontal="center"/>
    </xf>
    <xf numFmtId="165" fontId="0" fillId="3" borderId="167" xfId="6" applyFont="1" applyFill="1" applyBorder="1" applyAlignment="1">
      <alignment horizontal="center"/>
    </xf>
    <xf numFmtId="165" fontId="3" fillId="0" borderId="131" xfId="6" applyFont="1" applyFill="1" applyBorder="1" applyAlignment="1">
      <alignment horizontal="center" vertical="center"/>
    </xf>
    <xf numFmtId="165" fontId="0" fillId="0" borderId="130" xfId="6" applyFont="1" applyFill="1" applyBorder="1" applyAlignment="1">
      <alignment horizontal="center"/>
    </xf>
    <xf numFmtId="165" fontId="0" fillId="0" borderId="195" xfId="6" applyFont="1" applyFill="1" applyBorder="1" applyAlignment="1">
      <alignment horizontal="center"/>
    </xf>
    <xf numFmtId="165" fontId="34" fillId="26" borderId="130" xfId="6" applyFont="1" applyFill="1" applyBorder="1" applyAlignment="1">
      <alignment horizontal="center" vertical="center"/>
    </xf>
    <xf numFmtId="165" fontId="16" fillId="28" borderId="134" xfId="6" applyFont="1" applyFill="1" applyBorder="1" applyAlignment="1">
      <alignment horizontal="center" vertical="center"/>
    </xf>
    <xf numFmtId="165" fontId="16" fillId="29" borderId="134" xfId="6" applyFont="1" applyFill="1" applyBorder="1" applyAlignment="1">
      <alignment horizontal="center" vertical="center"/>
    </xf>
    <xf numFmtId="165" fontId="16" fillId="30" borderId="134" xfId="6" applyFont="1" applyFill="1" applyBorder="1" applyAlignment="1">
      <alignment horizontal="center" vertical="center"/>
    </xf>
    <xf numFmtId="165" fontId="16" fillId="37" borderId="134" xfId="6" applyFont="1" applyFill="1" applyBorder="1" applyAlignment="1">
      <alignment horizontal="center" vertical="center"/>
    </xf>
    <xf numFmtId="165" fontId="16" fillId="32" borderId="134" xfId="6" applyFont="1" applyFill="1" applyBorder="1" applyAlignment="1">
      <alignment horizontal="center" vertical="center"/>
    </xf>
    <xf numFmtId="165" fontId="16" fillId="33" borderId="134" xfId="6" applyFont="1" applyFill="1" applyBorder="1" applyAlignment="1">
      <alignment horizontal="center" vertical="center"/>
    </xf>
    <xf numFmtId="165" fontId="16" fillId="34" borderId="134" xfId="6" applyFont="1" applyFill="1" applyBorder="1" applyAlignment="1">
      <alignment horizontal="center" vertical="center"/>
    </xf>
    <xf numFmtId="165" fontId="16" fillId="35" borderId="134" xfId="6" applyFont="1" applyFill="1" applyBorder="1" applyAlignment="1">
      <alignment horizontal="center" vertical="center"/>
    </xf>
    <xf numFmtId="165" fontId="3" fillId="0" borderId="132" xfId="6" applyFont="1" applyFill="1" applyBorder="1" applyAlignment="1">
      <alignment horizontal="center" vertical="center"/>
    </xf>
    <xf numFmtId="165" fontId="0" fillId="0" borderId="42" xfId="6" applyFont="1" applyFill="1" applyBorder="1" applyAlignment="1">
      <alignment horizontal="center"/>
    </xf>
    <xf numFmtId="165" fontId="0" fillId="0" borderId="45" xfId="6" applyFont="1" applyFill="1" applyBorder="1" applyAlignment="1">
      <alignment horizontal="center"/>
    </xf>
    <xf numFmtId="165" fontId="34" fillId="26" borderId="42" xfId="6" applyFont="1" applyFill="1" applyBorder="1" applyAlignment="1">
      <alignment horizontal="center" vertical="center"/>
    </xf>
    <xf numFmtId="165" fontId="3" fillId="0" borderId="133" xfId="6" applyFont="1" applyFill="1" applyBorder="1" applyAlignment="1">
      <alignment horizontal="center" vertical="center"/>
    </xf>
    <xf numFmtId="165" fontId="0" fillId="0" borderId="31" xfId="6" applyFont="1" applyFill="1" applyBorder="1" applyAlignment="1">
      <alignment horizontal="center"/>
    </xf>
    <xf numFmtId="165" fontId="0" fillId="0" borderId="167" xfId="6" applyFont="1" applyFill="1" applyBorder="1" applyAlignment="1">
      <alignment horizontal="center"/>
    </xf>
    <xf numFmtId="165" fontId="34" fillId="26" borderId="118" xfId="6" applyFont="1" applyFill="1" applyBorder="1" applyAlignment="1">
      <alignment horizontal="center" vertical="center"/>
    </xf>
    <xf numFmtId="165" fontId="16" fillId="28" borderId="118" xfId="6" applyFont="1" applyFill="1" applyBorder="1" applyAlignment="1">
      <alignment horizontal="center" vertical="center"/>
    </xf>
    <xf numFmtId="165" fontId="16" fillId="29" borderId="118" xfId="6" applyFont="1" applyFill="1" applyBorder="1" applyAlignment="1">
      <alignment horizontal="center" vertical="center"/>
    </xf>
    <xf numFmtId="165" fontId="16" fillId="30" borderId="118" xfId="6" applyFont="1" applyFill="1" applyBorder="1" applyAlignment="1">
      <alignment horizontal="center" vertical="center"/>
    </xf>
    <xf numFmtId="165" fontId="16" fillId="32" borderId="118" xfId="6" applyFont="1" applyFill="1" applyBorder="1" applyAlignment="1">
      <alignment horizontal="center" vertical="center"/>
    </xf>
    <xf numFmtId="165" fontId="16" fillId="33" borderId="118" xfId="6" applyFont="1" applyFill="1" applyBorder="1" applyAlignment="1">
      <alignment horizontal="center" vertical="center"/>
    </xf>
    <xf numFmtId="165" fontId="16" fillId="34" borderId="118" xfId="6" applyFont="1" applyFill="1" applyBorder="1" applyAlignment="1">
      <alignment horizontal="center" vertical="center"/>
    </xf>
    <xf numFmtId="165" fontId="16" fillId="35" borderId="118" xfId="6" applyFont="1" applyFill="1" applyBorder="1" applyAlignment="1">
      <alignment horizontal="center" vertical="center"/>
    </xf>
    <xf numFmtId="165" fontId="3" fillId="3" borderId="18" xfId="6" applyFont="1" applyFill="1" applyBorder="1" applyAlignment="1">
      <alignment horizontal="center" vertical="center"/>
    </xf>
    <xf numFmtId="165" fontId="14" fillId="38" borderId="59" xfId="6" applyFont="1" applyFill="1" applyBorder="1" applyAlignment="1">
      <alignment horizontal="left"/>
    </xf>
    <xf numFmtId="165" fontId="14" fillId="0" borderId="0" xfId="6" applyFont="1"/>
    <xf numFmtId="165" fontId="3" fillId="3" borderId="19" xfId="6" applyFont="1" applyFill="1" applyBorder="1" applyAlignment="1">
      <alignment horizontal="center" vertical="center"/>
    </xf>
    <xf numFmtId="165" fontId="14" fillId="0" borderId="138" xfId="6" applyFont="1" applyFill="1" applyBorder="1" applyAlignment="1">
      <alignment horizontal="center"/>
    </xf>
    <xf numFmtId="165" fontId="14" fillId="0" borderId="195" xfId="6" applyFont="1" applyFill="1" applyBorder="1" applyAlignment="1">
      <alignment horizontal="center"/>
    </xf>
    <xf numFmtId="165" fontId="34" fillId="26" borderId="138" xfId="6" applyFont="1" applyFill="1" applyBorder="1" applyAlignment="1">
      <alignment horizontal="center" vertical="center"/>
    </xf>
    <xf numFmtId="165" fontId="16" fillId="28" borderId="138" xfId="6" applyFont="1" applyFill="1" applyBorder="1" applyAlignment="1">
      <alignment horizontal="center" vertical="center"/>
    </xf>
    <xf numFmtId="165" fontId="16" fillId="29" borderId="138" xfId="6" applyFont="1" applyFill="1" applyBorder="1" applyAlignment="1">
      <alignment horizontal="center" vertical="center"/>
    </xf>
    <xf numFmtId="165" fontId="16" fillId="30" borderId="138" xfId="6" applyFont="1" applyFill="1" applyBorder="1" applyAlignment="1">
      <alignment horizontal="center" vertical="center"/>
    </xf>
    <xf numFmtId="165" fontId="16" fillId="37" borderId="138" xfId="6" applyFont="1" applyFill="1" applyBorder="1" applyAlignment="1">
      <alignment horizontal="center" vertical="center"/>
    </xf>
    <xf numFmtId="165" fontId="16" fillId="32" borderId="138" xfId="6" applyFont="1" applyFill="1" applyBorder="1" applyAlignment="1">
      <alignment horizontal="center" vertical="center"/>
    </xf>
    <xf numFmtId="165" fontId="16" fillId="33" borderId="138" xfId="6" applyFont="1" applyFill="1" applyBorder="1" applyAlignment="1">
      <alignment horizontal="center" vertical="center"/>
    </xf>
    <xf numFmtId="165" fontId="16" fillId="34" borderId="138" xfId="6" applyFont="1" applyFill="1" applyBorder="1" applyAlignment="1">
      <alignment horizontal="center" vertical="center"/>
    </xf>
    <xf numFmtId="165" fontId="16" fillId="35" borderId="138" xfId="6" applyFont="1" applyFill="1" applyBorder="1" applyAlignment="1">
      <alignment horizontal="center" vertical="center"/>
    </xf>
    <xf numFmtId="165" fontId="12" fillId="0" borderId="113" xfId="6" applyFont="1" applyFill="1" applyBorder="1" applyAlignment="1">
      <alignment horizontal="center"/>
    </xf>
    <xf numFmtId="165" fontId="34" fillId="26" borderId="58" xfId="6" applyFont="1" applyFill="1" applyBorder="1"/>
    <xf numFmtId="165" fontId="16" fillId="28" borderId="58" xfId="6" applyFont="1" applyFill="1" applyBorder="1" applyAlignment="1">
      <alignment horizontal="center"/>
    </xf>
    <xf numFmtId="165" fontId="16" fillId="29" borderId="58" xfId="6" applyFont="1" applyFill="1" applyBorder="1" applyAlignment="1">
      <alignment horizontal="center"/>
    </xf>
    <xf numFmtId="165" fontId="16" fillId="30" borderId="58" xfId="6" applyFont="1" applyFill="1" applyBorder="1" applyAlignment="1">
      <alignment horizontal="center"/>
    </xf>
    <xf numFmtId="165" fontId="16" fillId="37" borderId="58" xfId="6" applyFont="1" applyFill="1" applyBorder="1" applyAlignment="1">
      <alignment horizontal="center"/>
    </xf>
    <xf numFmtId="165" fontId="16" fillId="32" borderId="58" xfId="6" applyFont="1" applyFill="1" applyBorder="1" applyAlignment="1">
      <alignment horizontal="center"/>
    </xf>
    <xf numFmtId="165" fontId="16" fillId="33" borderId="58" xfId="6" applyFont="1" applyFill="1" applyBorder="1" applyAlignment="1">
      <alignment horizontal="center"/>
    </xf>
    <xf numFmtId="165" fontId="16" fillId="34" borderId="58" xfId="6" applyFont="1" applyFill="1" applyBorder="1" applyAlignment="1">
      <alignment horizontal="center"/>
    </xf>
    <xf numFmtId="165" fontId="16" fillId="35" borderId="58" xfId="6" applyFont="1" applyFill="1" applyBorder="1" applyAlignment="1">
      <alignment horizontal="center"/>
    </xf>
    <xf numFmtId="165" fontId="14" fillId="3" borderId="22" xfId="6" applyFont="1" applyFill="1" applyBorder="1" applyAlignment="1">
      <alignment horizontal="center"/>
    </xf>
    <xf numFmtId="165" fontId="14" fillId="3" borderId="114" xfId="6" applyFont="1" applyFill="1" applyBorder="1" applyAlignment="1">
      <alignment horizontal="center"/>
    </xf>
    <xf numFmtId="165" fontId="14" fillId="0" borderId="22" xfId="6" applyFont="1" applyFill="1" applyBorder="1" applyAlignment="1">
      <alignment horizontal="center"/>
    </xf>
    <xf numFmtId="165" fontId="14" fillId="3" borderId="0" xfId="6" applyFont="1" applyFill="1" applyBorder="1" applyAlignment="1">
      <alignment horizontal="center"/>
    </xf>
    <xf numFmtId="165" fontId="14" fillId="0" borderId="44" xfId="6" applyFont="1" applyFill="1" applyBorder="1" applyAlignment="1">
      <alignment horizontal="center"/>
    </xf>
    <xf numFmtId="165" fontId="14" fillId="3" borderId="141" xfId="6" applyFont="1" applyFill="1" applyBorder="1" applyAlignment="1">
      <alignment horizontal="center"/>
    </xf>
    <xf numFmtId="165" fontId="14" fillId="0" borderId="141" xfId="6" applyFont="1" applyFill="1" applyBorder="1" applyAlignment="1">
      <alignment horizontal="center"/>
    </xf>
    <xf numFmtId="165" fontId="14" fillId="3" borderId="140" xfId="6" applyFont="1" applyFill="1" applyBorder="1" applyAlignment="1">
      <alignment horizontal="center"/>
    </xf>
    <xf numFmtId="165" fontId="3" fillId="3" borderId="196" xfId="6" applyFont="1" applyFill="1" applyBorder="1" applyAlignment="1">
      <alignment horizontal="center" vertical="center"/>
    </xf>
    <xf numFmtId="165" fontId="14" fillId="3" borderId="194" xfId="6" applyFont="1" applyFill="1" applyBorder="1" applyAlignment="1">
      <alignment horizontal="center"/>
    </xf>
    <xf numFmtId="165" fontId="14" fillId="26" borderId="193" xfId="6" applyFont="1" applyFill="1" applyBorder="1" applyAlignment="1">
      <alignment horizontal="center" vertical="center"/>
    </xf>
    <xf numFmtId="165" fontId="33" fillId="28" borderId="193" xfId="6" applyFont="1" applyFill="1" applyBorder="1" applyAlignment="1">
      <alignment horizontal="center" vertical="center"/>
    </xf>
    <xf numFmtId="165" fontId="33" fillId="29" borderId="193" xfId="6" applyFont="1" applyFill="1" applyBorder="1" applyAlignment="1">
      <alignment horizontal="center" vertical="center"/>
    </xf>
    <xf numFmtId="165" fontId="33" fillId="30" borderId="193" xfId="6" applyFont="1" applyFill="1" applyBorder="1" applyAlignment="1">
      <alignment horizontal="center" vertical="center"/>
    </xf>
    <xf numFmtId="165" fontId="33" fillId="37" borderId="193" xfId="6" applyFont="1" applyFill="1" applyBorder="1" applyAlignment="1">
      <alignment horizontal="center" vertical="center"/>
    </xf>
    <xf numFmtId="165" fontId="33" fillId="32" borderId="193" xfId="6" applyFont="1" applyFill="1" applyBorder="1" applyAlignment="1">
      <alignment horizontal="center" vertical="center"/>
    </xf>
    <xf numFmtId="165" fontId="33" fillId="33" borderId="193" xfId="6" applyFont="1" applyFill="1" applyBorder="1" applyAlignment="1">
      <alignment horizontal="center" vertical="center"/>
    </xf>
    <xf numFmtId="165" fontId="33" fillId="34" borderId="193" xfId="6" applyFont="1" applyFill="1" applyBorder="1" applyAlignment="1">
      <alignment horizontal="center" vertical="center"/>
    </xf>
    <xf numFmtId="165" fontId="33" fillId="35" borderId="193" xfId="6" applyFont="1" applyFill="1" applyBorder="1" applyAlignment="1">
      <alignment horizontal="center" vertical="center"/>
    </xf>
    <xf numFmtId="165" fontId="3" fillId="3" borderId="197" xfId="6" applyFont="1" applyFill="1" applyBorder="1" applyAlignment="1">
      <alignment horizontal="center" vertical="center"/>
    </xf>
    <xf numFmtId="165" fontId="12" fillId="3" borderId="192" xfId="6" applyFont="1" applyFill="1" applyBorder="1" applyAlignment="1">
      <alignment horizontal="center"/>
    </xf>
    <xf numFmtId="165" fontId="13" fillId="3" borderId="192" xfId="6" applyFont="1" applyFill="1" applyBorder="1" applyAlignment="1">
      <alignment horizontal="center"/>
    </xf>
    <xf numFmtId="165" fontId="3" fillId="3" borderId="222" xfId="6" applyFont="1" applyFill="1" applyBorder="1" applyAlignment="1">
      <alignment horizontal="center" vertical="center"/>
    </xf>
    <xf numFmtId="165" fontId="33" fillId="28" borderId="0" xfId="6" applyFont="1" applyFill="1" applyBorder="1" applyAlignment="1">
      <alignment horizontal="center" vertical="center"/>
    </xf>
    <xf numFmtId="165" fontId="33" fillId="29" borderId="0" xfId="6" applyFont="1" applyFill="1" applyBorder="1" applyAlignment="1">
      <alignment horizontal="center" vertical="center"/>
    </xf>
    <xf numFmtId="165" fontId="33" fillId="30" borderId="0" xfId="6" applyFont="1" applyFill="1" applyBorder="1" applyAlignment="1">
      <alignment horizontal="center" vertical="center"/>
    </xf>
    <xf numFmtId="165" fontId="33" fillId="42" borderId="0" xfId="6" applyFont="1" applyFill="1" applyBorder="1" applyAlignment="1">
      <alignment horizontal="center" vertical="center"/>
    </xf>
    <xf numFmtId="165" fontId="33" fillId="37" borderId="0" xfId="6" applyFont="1" applyFill="1" applyBorder="1" applyAlignment="1">
      <alignment horizontal="center" vertical="center"/>
    </xf>
    <xf numFmtId="165" fontId="33" fillId="32" borderId="0" xfId="6" applyFont="1" applyFill="1" applyBorder="1" applyAlignment="1">
      <alignment horizontal="center" vertical="center"/>
    </xf>
    <xf numFmtId="165" fontId="33" fillId="33" borderId="0" xfId="6" applyFont="1" applyFill="1" applyBorder="1" applyAlignment="1">
      <alignment horizontal="center" vertical="center"/>
    </xf>
    <xf numFmtId="165" fontId="33" fillId="34" borderId="0" xfId="6" applyFont="1" applyFill="1" applyBorder="1" applyAlignment="1">
      <alignment horizontal="center" vertical="center"/>
    </xf>
    <xf numFmtId="165" fontId="33" fillId="35" borderId="0" xfId="6" applyFont="1" applyFill="1" applyBorder="1" applyAlignment="1">
      <alignment horizontal="center" vertical="center"/>
    </xf>
    <xf numFmtId="165" fontId="33" fillId="36" borderId="0" xfId="6" applyFont="1" applyFill="1" applyBorder="1" applyAlignment="1">
      <alignment horizontal="center" vertical="center"/>
    </xf>
    <xf numFmtId="165" fontId="3" fillId="3" borderId="0" xfId="6" applyFont="1" applyFill="1" applyBorder="1" applyAlignment="1">
      <alignment horizontal="center" vertical="center"/>
    </xf>
    <xf numFmtId="165" fontId="12" fillId="0" borderId="45" xfId="6" applyFont="1" applyFill="1" applyBorder="1" applyAlignment="1">
      <alignment horizontal="center"/>
    </xf>
    <xf numFmtId="165" fontId="34" fillId="28" borderId="38" xfId="6" applyFont="1" applyFill="1" applyBorder="1"/>
    <xf numFmtId="165" fontId="34" fillId="29" borderId="38" xfId="6" applyFont="1" applyFill="1" applyBorder="1"/>
    <xf numFmtId="165" fontId="34" fillId="30" borderId="38" xfId="6" applyFont="1" applyFill="1" applyBorder="1"/>
    <xf numFmtId="165" fontId="34" fillId="42" borderId="38" xfId="6" applyFont="1" applyFill="1" applyBorder="1"/>
    <xf numFmtId="165" fontId="34" fillId="37" borderId="38" xfId="6" applyFont="1" applyFill="1" applyBorder="1"/>
    <xf numFmtId="165" fontId="34" fillId="32" borderId="38" xfId="6" applyFont="1" applyFill="1" applyBorder="1"/>
    <xf numFmtId="165" fontId="34" fillId="33" borderId="38" xfId="6" applyFont="1" applyFill="1" applyBorder="1"/>
    <xf numFmtId="165" fontId="34" fillId="34" borderId="38" xfId="6" applyFont="1" applyFill="1" applyBorder="1"/>
    <xf numFmtId="165" fontId="34" fillId="35" borderId="38" xfId="6" applyFont="1" applyFill="1" applyBorder="1"/>
    <xf numFmtId="165" fontId="34" fillId="36" borderId="38" xfId="6" applyFont="1" applyFill="1" applyBorder="1"/>
    <xf numFmtId="165" fontId="3" fillId="3" borderId="8" xfId="6" applyFont="1" applyFill="1" applyBorder="1" applyAlignment="1">
      <alignment horizontal="center" vertical="center"/>
    </xf>
    <xf numFmtId="165" fontId="12" fillId="0" borderId="167" xfId="6" applyFont="1" applyFill="1" applyBorder="1" applyAlignment="1">
      <alignment horizontal="center"/>
    </xf>
    <xf numFmtId="165" fontId="3" fillId="0" borderId="18" xfId="6" applyFont="1" applyFill="1" applyBorder="1" applyAlignment="1">
      <alignment horizontal="center" vertical="center"/>
    </xf>
    <xf numFmtId="165" fontId="34" fillId="26" borderId="148" xfId="6" applyFont="1" applyFill="1" applyBorder="1" applyAlignment="1">
      <alignment horizontal="center"/>
    </xf>
    <xf numFmtId="165" fontId="3" fillId="0" borderId="19" xfId="6" applyFont="1" applyFill="1" applyBorder="1" applyAlignment="1">
      <alignment horizontal="center" vertical="center"/>
    </xf>
    <xf numFmtId="165" fontId="34" fillId="26" borderId="118" xfId="6" applyFont="1" applyFill="1" applyBorder="1" applyAlignment="1">
      <alignment horizontal="center"/>
    </xf>
    <xf numFmtId="165" fontId="3" fillId="0" borderId="10" xfId="6" applyFont="1" applyFill="1" applyBorder="1" applyAlignment="1">
      <alignment horizontal="center" vertical="center"/>
    </xf>
    <xf numFmtId="165" fontId="34" fillId="26" borderId="31" xfId="6" applyFont="1" applyFill="1" applyBorder="1" applyAlignment="1">
      <alignment horizontal="center"/>
    </xf>
    <xf numFmtId="165" fontId="34" fillId="28" borderId="106" xfId="6" applyFont="1" applyFill="1" applyBorder="1"/>
    <xf numFmtId="165" fontId="34" fillId="29" borderId="106" xfId="6" applyFont="1" applyFill="1" applyBorder="1"/>
    <xf numFmtId="165" fontId="34" fillId="30" borderId="106" xfId="6" applyFont="1" applyFill="1" applyBorder="1"/>
    <xf numFmtId="165" fontId="34" fillId="42" borderId="106" xfId="6" applyFont="1" applyFill="1" applyBorder="1"/>
    <xf numFmtId="165" fontId="34" fillId="37" borderId="106" xfId="6" applyFont="1" applyFill="1" applyBorder="1"/>
    <xf numFmtId="165" fontId="34" fillId="32" borderId="106" xfId="6" applyFont="1" applyFill="1" applyBorder="1"/>
    <xf numFmtId="165" fontId="34" fillId="33" borderId="106" xfId="6" applyFont="1" applyFill="1" applyBorder="1"/>
    <xf numFmtId="165" fontId="34" fillId="34" borderId="106" xfId="6" applyFont="1" applyFill="1" applyBorder="1"/>
    <xf numFmtId="165" fontId="34" fillId="35" borderId="106" xfId="6" applyFont="1" applyFill="1" applyBorder="1"/>
    <xf numFmtId="165" fontId="34" fillId="36" borderId="106" xfId="6" applyFont="1" applyFill="1" applyBorder="1"/>
    <xf numFmtId="165" fontId="12" fillId="0" borderId="126" xfId="6" applyFont="1" applyFill="1" applyBorder="1" applyAlignment="1">
      <alignment horizontal="center"/>
    </xf>
    <xf numFmtId="165" fontId="34" fillId="26" borderId="128" xfId="6" applyFont="1" applyFill="1" applyBorder="1" applyAlignment="1">
      <alignment horizontal="center" vertical="center"/>
    </xf>
    <xf numFmtId="165" fontId="34" fillId="26" borderId="118" xfId="6" applyFont="1" applyFill="1" applyBorder="1" applyAlignment="1">
      <alignment horizontal="center" vertical="center"/>
    </xf>
    <xf numFmtId="165" fontId="16" fillId="28" borderId="118" xfId="6" applyFont="1" applyFill="1" applyBorder="1" applyAlignment="1">
      <alignment horizontal="center" vertical="center"/>
    </xf>
    <xf numFmtId="165" fontId="16" fillId="29" borderId="118" xfId="6" applyFont="1" applyFill="1" applyBorder="1" applyAlignment="1">
      <alignment horizontal="center" vertical="center"/>
    </xf>
    <xf numFmtId="165" fontId="16" fillId="30" borderId="118" xfId="6" applyFont="1" applyFill="1" applyBorder="1" applyAlignment="1">
      <alignment horizontal="center" vertical="center"/>
    </xf>
    <xf numFmtId="165" fontId="16" fillId="32" borderId="118" xfId="6" applyFont="1" applyFill="1" applyBorder="1" applyAlignment="1">
      <alignment horizontal="center" vertical="center"/>
    </xf>
    <xf numFmtId="165" fontId="16" fillId="33" borderId="118" xfId="6" applyFont="1" applyFill="1" applyBorder="1" applyAlignment="1">
      <alignment horizontal="center" vertical="center"/>
    </xf>
    <xf numFmtId="165" fontId="16" fillId="34" borderId="118" xfId="6" applyFont="1" applyFill="1" applyBorder="1" applyAlignment="1">
      <alignment horizontal="center" vertical="center"/>
    </xf>
    <xf numFmtId="165" fontId="16" fillId="35" borderId="118" xfId="6" applyFont="1" applyFill="1" applyBorder="1" applyAlignment="1">
      <alignment horizontal="center" vertical="center"/>
    </xf>
    <xf numFmtId="165" fontId="14" fillId="0" borderId="54" xfId="6" applyFont="1" applyFill="1" applyBorder="1" applyAlignment="1">
      <alignment horizontal="center"/>
    </xf>
    <xf numFmtId="165" fontId="33" fillId="28" borderId="162" xfId="6" applyFont="1" applyFill="1" applyBorder="1" applyAlignment="1">
      <alignment horizontal="center" vertical="center"/>
    </xf>
    <xf numFmtId="165" fontId="33" fillId="29" borderId="162" xfId="6" applyFont="1" applyFill="1" applyBorder="1" applyAlignment="1">
      <alignment horizontal="center" vertical="center"/>
    </xf>
    <xf numFmtId="165" fontId="33" fillId="30" borderId="162" xfId="6" applyFont="1" applyFill="1" applyBorder="1" applyAlignment="1">
      <alignment horizontal="center" vertical="center"/>
    </xf>
    <xf numFmtId="165" fontId="33" fillId="37" borderId="162" xfId="6" applyFont="1" applyFill="1" applyBorder="1" applyAlignment="1">
      <alignment horizontal="center" vertical="center"/>
    </xf>
    <xf numFmtId="165" fontId="33" fillId="32" borderId="162" xfId="6" applyFont="1" applyFill="1" applyBorder="1" applyAlignment="1">
      <alignment horizontal="center" vertical="center"/>
    </xf>
    <xf numFmtId="165" fontId="33" fillId="33" borderId="162" xfId="6" applyFont="1" applyFill="1" applyBorder="1" applyAlignment="1">
      <alignment horizontal="center" vertical="center"/>
    </xf>
    <xf numFmtId="165" fontId="33" fillId="34" borderId="162" xfId="6" applyFont="1" applyFill="1" applyBorder="1" applyAlignment="1">
      <alignment horizontal="center" vertical="center"/>
    </xf>
    <xf numFmtId="165" fontId="33" fillId="35" borderId="162" xfId="6" applyFont="1" applyFill="1" applyBorder="1" applyAlignment="1">
      <alignment horizontal="center" vertical="center"/>
    </xf>
    <xf numFmtId="165" fontId="34" fillId="26" borderId="167" xfId="6" applyFont="1" applyFill="1" applyBorder="1" applyAlignment="1">
      <alignment horizontal="center" vertical="center"/>
    </xf>
    <xf numFmtId="165" fontId="16" fillId="36" borderId="115" xfId="6" applyFont="1" applyFill="1" applyBorder="1" applyAlignment="1">
      <alignment horizontal="right" vertical="center"/>
    </xf>
    <xf numFmtId="165" fontId="34" fillId="28" borderId="37" xfId="6" applyFont="1" applyFill="1" applyBorder="1"/>
    <xf numFmtId="165" fontId="34" fillId="29" borderId="37" xfId="6" applyFont="1" applyFill="1" applyBorder="1"/>
    <xf numFmtId="165" fontId="34" fillId="30" borderId="37" xfId="6" applyFont="1" applyFill="1" applyBorder="1"/>
    <xf numFmtId="165" fontId="34" fillId="42" borderId="37" xfId="6" applyFont="1" applyFill="1" applyBorder="1"/>
    <xf numFmtId="165" fontId="34" fillId="37" borderId="37" xfId="6" applyFont="1" applyFill="1" applyBorder="1"/>
    <xf numFmtId="165" fontId="34" fillId="32" borderId="37" xfId="6" applyFont="1" applyFill="1" applyBorder="1"/>
    <xf numFmtId="165" fontId="34" fillId="33" borderId="37" xfId="6" applyFont="1" applyFill="1" applyBorder="1"/>
    <xf numFmtId="165" fontId="34" fillId="34" borderId="37" xfId="6" applyFont="1" applyFill="1" applyBorder="1"/>
    <xf numFmtId="165" fontId="34" fillId="35" borderId="37" xfId="6" applyFont="1" applyFill="1" applyBorder="1"/>
    <xf numFmtId="165" fontId="34" fillId="36" borderId="37" xfId="6" applyFont="1" applyFill="1" applyBorder="1"/>
    <xf numFmtId="165" fontId="12" fillId="3" borderId="168" xfId="6" applyFont="1" applyFill="1" applyBorder="1" applyAlignment="1">
      <alignment horizontal="center"/>
    </xf>
    <xf numFmtId="165" fontId="14" fillId="26" borderId="168" xfId="6" applyFont="1" applyFill="1" applyBorder="1" applyAlignment="1">
      <alignment horizontal="right" vertical="center"/>
    </xf>
    <xf numFmtId="165" fontId="14" fillId="26" borderId="45" xfId="6" applyFont="1" applyFill="1" applyBorder="1" applyAlignment="1">
      <alignment horizontal="right" vertical="center"/>
    </xf>
    <xf numFmtId="165" fontId="14" fillId="26" borderId="167" xfId="6" applyFont="1" applyFill="1" applyBorder="1" applyAlignment="1">
      <alignment horizontal="right" vertical="center"/>
    </xf>
    <xf numFmtId="165" fontId="12" fillId="3" borderId="126" xfId="6" applyFont="1" applyFill="1" applyBorder="1" applyAlignment="1">
      <alignment horizontal="center"/>
    </xf>
    <xf numFmtId="165" fontId="14" fillId="26" borderId="119" xfId="6" applyFont="1" applyFill="1" applyBorder="1" applyAlignment="1">
      <alignment horizontal="center" vertical="center"/>
    </xf>
    <xf numFmtId="165" fontId="33" fillId="28" borderId="119" xfId="6" applyFont="1" applyFill="1" applyBorder="1" applyAlignment="1">
      <alignment horizontal="center" vertical="center"/>
    </xf>
    <xf numFmtId="165" fontId="33" fillId="29" borderId="119" xfId="6" applyFont="1" applyFill="1" applyBorder="1" applyAlignment="1">
      <alignment horizontal="center" vertical="center"/>
    </xf>
    <xf numFmtId="165" fontId="33" fillId="30" borderId="119" xfId="6" applyFont="1" applyFill="1" applyBorder="1" applyAlignment="1">
      <alignment horizontal="center" vertical="center"/>
    </xf>
    <xf numFmtId="165" fontId="33" fillId="37" borderId="119" xfId="6" applyFont="1" applyFill="1" applyBorder="1" applyAlignment="1">
      <alignment horizontal="center" vertical="center"/>
    </xf>
    <xf numFmtId="165" fontId="33" fillId="32" borderId="119" xfId="6" applyFont="1" applyFill="1" applyBorder="1" applyAlignment="1">
      <alignment horizontal="center" vertical="center"/>
    </xf>
    <xf numFmtId="165" fontId="33" fillId="33" borderId="119" xfId="6" applyFont="1" applyFill="1" applyBorder="1" applyAlignment="1">
      <alignment horizontal="center" vertical="center"/>
    </xf>
    <xf numFmtId="165" fontId="33" fillId="34" borderId="119" xfId="6" applyFont="1" applyFill="1" applyBorder="1" applyAlignment="1">
      <alignment horizontal="center" vertical="center"/>
    </xf>
    <xf numFmtId="165" fontId="33" fillId="35" borderId="119" xfId="6" applyFont="1" applyFill="1" applyBorder="1" applyAlignment="1">
      <alignment horizontal="center" vertical="center"/>
    </xf>
    <xf numFmtId="165" fontId="36" fillId="0" borderId="120" xfId="6" applyFont="1" applyBorder="1" applyAlignment="1">
      <alignment horizontal="left" vertical="top" wrapText="1"/>
    </xf>
    <xf numFmtId="165" fontId="3" fillId="3" borderId="39" xfId="6" applyFont="1" applyFill="1" applyBorder="1" applyAlignment="1">
      <alignment horizontal="center" vertical="center"/>
    </xf>
    <xf numFmtId="165" fontId="15" fillId="3" borderId="31" xfId="6" applyFont="1" applyFill="1" applyBorder="1" applyAlignment="1">
      <alignment horizontal="center"/>
    </xf>
    <xf numFmtId="165" fontId="15" fillId="3" borderId="167" xfId="6" applyFont="1" applyFill="1" applyBorder="1" applyAlignment="1">
      <alignment horizontal="center"/>
    </xf>
    <xf numFmtId="165" fontId="4" fillId="5" borderId="181" xfId="6" applyFont="1" applyFill="1" applyBorder="1" applyAlignment="1">
      <alignment horizontal="center"/>
    </xf>
    <xf numFmtId="165" fontId="4" fillId="2" borderId="107" xfId="6" applyFont="1" applyFill="1" applyBorder="1" applyAlignment="1">
      <alignment horizontal="center"/>
    </xf>
    <xf numFmtId="165" fontId="4" fillId="3" borderId="107" xfId="6" applyFont="1" applyFill="1" applyBorder="1" applyAlignment="1">
      <alignment horizontal="center"/>
    </xf>
    <xf numFmtId="165" fontId="4" fillId="41" borderId="107" xfId="6" applyFont="1" applyFill="1" applyBorder="1" applyAlignment="1">
      <alignment horizontal="center"/>
    </xf>
    <xf numFmtId="165" fontId="4" fillId="22" borderId="107" xfId="6" applyFont="1" applyFill="1" applyBorder="1" applyAlignment="1">
      <alignment horizontal="center"/>
    </xf>
    <xf numFmtId="165" fontId="4" fillId="19" borderId="107" xfId="6" applyFont="1" applyFill="1" applyBorder="1" applyAlignment="1">
      <alignment horizontal="center"/>
    </xf>
    <xf numFmtId="165" fontId="34" fillId="26" borderId="50" xfId="6" applyFont="1" applyFill="1" applyBorder="1" applyAlignment="1">
      <alignment horizontal="center" vertical="center"/>
    </xf>
    <xf numFmtId="165" fontId="35" fillId="27" borderId="178" xfId="6" applyFont="1" applyFill="1" applyBorder="1" applyAlignment="1">
      <alignment horizontal="center"/>
    </xf>
    <xf numFmtId="165" fontId="8" fillId="5" borderId="182" xfId="6" applyFont="1" applyFill="1" applyBorder="1" applyAlignment="1">
      <alignment horizontal="center"/>
    </xf>
    <xf numFmtId="165" fontId="8" fillId="2" borderId="38" xfId="6" applyFont="1" applyFill="1" applyBorder="1" applyAlignment="1">
      <alignment horizontal="center"/>
    </xf>
    <xf numFmtId="165" fontId="8" fillId="3" borderId="38" xfId="6" applyFont="1" applyFill="1" applyBorder="1" applyAlignment="1">
      <alignment horizontal="center"/>
    </xf>
    <xf numFmtId="165" fontId="8" fillId="41" borderId="38" xfId="6" applyFont="1" applyFill="1" applyBorder="1" applyAlignment="1">
      <alignment horizontal="center"/>
    </xf>
    <xf numFmtId="165" fontId="8" fillId="21" borderId="106" xfId="6" applyFont="1" applyFill="1" applyBorder="1" applyAlignment="1">
      <alignment horizontal="center"/>
    </xf>
    <xf numFmtId="165" fontId="8" fillId="10" borderId="38" xfId="6" applyFont="1" applyFill="1" applyBorder="1" applyAlignment="1">
      <alignment horizontal="center"/>
    </xf>
    <xf numFmtId="165" fontId="49" fillId="41" borderId="38" xfId="6" applyFont="1" applyFill="1" applyBorder="1" applyAlignment="1">
      <alignment horizontal="center"/>
    </xf>
    <xf numFmtId="165" fontId="8" fillId="22" borderId="38" xfId="6" applyFont="1" applyFill="1" applyBorder="1" applyAlignment="1">
      <alignment horizontal="center"/>
    </xf>
    <xf numFmtId="165" fontId="8" fillId="19" borderId="38" xfId="6" applyFont="1" applyFill="1" applyBorder="1" applyAlignment="1">
      <alignment horizontal="center"/>
    </xf>
    <xf numFmtId="165" fontId="8" fillId="20" borderId="38" xfId="6" applyFont="1" applyFill="1" applyBorder="1" applyAlignment="1">
      <alignment horizontal="center"/>
    </xf>
    <xf numFmtId="165" fontId="8" fillId="23" borderId="53" xfId="6" applyFont="1" applyFill="1" applyBorder="1" applyAlignment="1">
      <alignment horizontal="center"/>
    </xf>
    <xf numFmtId="165" fontId="35" fillId="27" borderId="179" xfId="6" applyFont="1" applyFill="1" applyBorder="1" applyAlignment="1">
      <alignment horizontal="center"/>
    </xf>
    <xf numFmtId="165" fontId="35" fillId="27" borderId="180" xfId="6" applyFont="1" applyFill="1" applyBorder="1" applyAlignment="1">
      <alignment horizontal="center"/>
    </xf>
    <xf numFmtId="165" fontId="8" fillId="5" borderId="183" xfId="6" applyFont="1" applyFill="1" applyBorder="1" applyAlignment="1">
      <alignment horizontal="center"/>
    </xf>
    <xf numFmtId="165" fontId="8" fillId="2" borderId="106" xfId="6" applyFont="1" applyFill="1" applyBorder="1" applyAlignment="1">
      <alignment horizontal="center"/>
    </xf>
    <xf numFmtId="165" fontId="8" fillId="3" borderId="106" xfId="6" applyFont="1" applyFill="1" applyBorder="1" applyAlignment="1">
      <alignment horizontal="center"/>
    </xf>
    <xf numFmtId="165" fontId="8" fillId="41" borderId="106" xfId="6" applyFont="1" applyFill="1" applyBorder="1" applyAlignment="1">
      <alignment horizontal="center"/>
    </xf>
    <xf numFmtId="165" fontId="8" fillId="10" borderId="106" xfId="6" applyFont="1" applyFill="1" applyBorder="1" applyAlignment="1">
      <alignment horizontal="center"/>
    </xf>
    <xf numFmtId="165" fontId="49" fillId="41" borderId="106" xfId="6" applyFont="1" applyFill="1" applyBorder="1" applyAlignment="1">
      <alignment horizontal="center"/>
    </xf>
    <xf numFmtId="165" fontId="0" fillId="0" borderId="0" xfId="6" applyFont="1" applyFill="1"/>
    <xf numFmtId="165" fontId="11" fillId="13" borderId="16" xfId="6" applyFont="1" applyFill="1" applyBorder="1" applyAlignment="1">
      <alignment horizontal="center" vertical="center"/>
    </xf>
    <xf numFmtId="165" fontId="11" fillId="13" borderId="15" xfId="6" applyFont="1" applyFill="1" applyBorder="1" applyAlignment="1">
      <alignment horizontal="center" vertical="center"/>
    </xf>
    <xf numFmtId="165" fontId="3" fillId="5" borderId="0" xfId="6" applyFont="1" applyFill="1" applyAlignment="1">
      <alignment horizontal="center" vertical="center" wrapText="1"/>
    </xf>
    <xf numFmtId="165" fontId="3" fillId="2" borderId="0" xfId="6" applyFont="1" applyFill="1" applyAlignment="1">
      <alignment horizontal="center" vertical="center" wrapText="1"/>
    </xf>
    <xf numFmtId="165" fontId="3" fillId="3" borderId="0" xfId="6" applyFont="1" applyFill="1" applyAlignment="1">
      <alignment horizontal="center" vertical="center" wrapText="1"/>
    </xf>
    <xf numFmtId="165" fontId="3" fillId="41" borderId="0" xfId="6" applyFont="1" applyFill="1" applyAlignment="1">
      <alignment horizontal="center" vertical="center" wrapText="1"/>
    </xf>
    <xf numFmtId="165" fontId="3" fillId="21" borderId="0" xfId="6" applyFont="1" applyFill="1" applyAlignment="1">
      <alignment horizontal="center" vertical="center" wrapText="1"/>
    </xf>
    <xf numFmtId="165" fontId="3" fillId="10" borderId="0" xfId="6" applyFont="1" applyFill="1" applyAlignment="1">
      <alignment horizontal="center" vertical="center" wrapText="1"/>
    </xf>
    <xf numFmtId="165" fontId="3" fillId="22" borderId="0" xfId="6" applyFont="1" applyFill="1" applyAlignment="1">
      <alignment horizontal="center" vertical="center" wrapText="1"/>
    </xf>
    <xf numFmtId="165" fontId="41" fillId="10" borderId="0" xfId="6" applyFont="1" applyFill="1" applyAlignment="1">
      <alignment vertical="center" wrapText="1"/>
    </xf>
    <xf numFmtId="165" fontId="0" fillId="41" borderId="0" xfId="6" applyFont="1" applyFill="1" applyAlignment="1">
      <alignment vertical="center" wrapText="1"/>
    </xf>
    <xf numFmtId="165" fontId="3" fillId="19" borderId="0" xfId="6" applyFont="1" applyFill="1" applyAlignment="1">
      <alignment horizontal="center" vertical="center" wrapText="1"/>
    </xf>
    <xf numFmtId="165" fontId="3" fillId="20" borderId="0" xfId="6" applyFont="1" applyFill="1" applyAlignment="1">
      <alignment horizontal="center" vertical="center" wrapText="1"/>
    </xf>
    <xf numFmtId="165" fontId="3" fillId="23" borderId="0" xfId="6" applyFont="1" applyFill="1" applyAlignment="1">
      <alignment horizontal="center" vertical="center" wrapText="1"/>
    </xf>
    <xf numFmtId="165" fontId="41" fillId="0" borderId="0" xfId="6" applyFont="1" applyAlignment="1">
      <alignment vertical="center" wrapText="1"/>
    </xf>
    <xf numFmtId="165" fontId="0" fillId="0" borderId="0" xfId="6" applyFont="1" applyAlignment="1">
      <alignment vertical="center"/>
    </xf>
    <xf numFmtId="165" fontId="41" fillId="10" borderId="0" xfId="6" applyFont="1" applyFill="1" applyAlignment="1">
      <alignment horizontal="center"/>
    </xf>
    <xf numFmtId="165" fontId="0" fillId="41" borderId="0" xfId="6" applyFont="1" applyFill="1" applyAlignment="1">
      <alignment horizontal="center"/>
    </xf>
    <xf numFmtId="165" fontId="41" fillId="10" borderId="0" xfId="6" applyFont="1" applyFill="1"/>
    <xf numFmtId="165" fontId="0" fillId="41" borderId="0" xfId="6" applyFont="1" applyFill="1"/>
    <xf numFmtId="165" fontId="0" fillId="10" borderId="0" xfId="6" applyFont="1" applyFill="1" applyAlignment="1">
      <alignment vertical="center" wrapText="1"/>
    </xf>
    <xf numFmtId="165" fontId="41" fillId="0" borderId="0" xfId="6" applyFont="1" applyAlignment="1">
      <alignment horizontal="center"/>
    </xf>
    <xf numFmtId="165" fontId="0" fillId="0" borderId="230" xfId="6" applyFont="1" applyFill="1" applyBorder="1" applyAlignment="1">
      <alignment horizontal="center"/>
    </xf>
    <xf numFmtId="165" fontId="0" fillId="0" borderId="154" xfId="6" applyFont="1" applyFill="1" applyBorder="1" applyAlignment="1">
      <alignment horizontal="center"/>
    </xf>
    <xf numFmtId="165" fontId="0" fillId="10" borderId="0" xfId="6" applyFont="1" applyFill="1" applyAlignment="1">
      <alignment horizontal="center"/>
    </xf>
    <xf numFmtId="165" fontId="0" fillId="0" borderId="114" xfId="6" applyFont="1" applyFill="1" applyBorder="1" applyAlignment="1">
      <alignment horizontal="center"/>
    </xf>
    <xf numFmtId="165" fontId="0" fillId="10" borderId="0" xfId="6" applyFont="1" applyFill="1"/>
    <xf numFmtId="165" fontId="12" fillId="0" borderId="114" xfId="6" applyFont="1" applyFill="1" applyBorder="1" applyAlignment="1">
      <alignment horizontal="center"/>
    </xf>
    <xf numFmtId="165" fontId="13" fillId="0" borderId="114" xfId="6" applyFont="1" applyFill="1" applyBorder="1" applyAlignment="1">
      <alignment horizontal="center"/>
    </xf>
    <xf numFmtId="165" fontId="13" fillId="0" borderId="117" xfId="6" applyFont="1" applyFill="1" applyBorder="1" applyAlignment="1">
      <alignment horizontal="center"/>
    </xf>
    <xf numFmtId="165" fontId="12" fillId="0" borderId="117" xfId="6" applyFont="1" applyFill="1" applyBorder="1" applyAlignment="1">
      <alignment horizontal="center"/>
    </xf>
    <xf numFmtId="165" fontId="14" fillId="0" borderId="117" xfId="6" applyFont="1" applyFill="1" applyBorder="1" applyAlignment="1">
      <alignment horizontal="center"/>
    </xf>
    <xf numFmtId="165" fontId="0" fillId="0" borderId="117" xfId="6" applyFont="1" applyFill="1" applyBorder="1" applyAlignment="1">
      <alignment horizontal="center"/>
    </xf>
    <xf numFmtId="165" fontId="12" fillId="0" borderId="142" xfId="6" applyFont="1" applyFill="1" applyBorder="1" applyAlignment="1">
      <alignment horizontal="center"/>
    </xf>
    <xf numFmtId="165" fontId="14" fillId="0" borderId="142" xfId="6" applyFont="1" applyFill="1" applyBorder="1" applyAlignment="1">
      <alignment horizontal="center"/>
    </xf>
    <xf numFmtId="165" fontId="15" fillId="0" borderId="142" xfId="6" applyFont="1" applyFill="1" applyBorder="1" applyAlignment="1">
      <alignment horizontal="center"/>
    </xf>
    <xf numFmtId="165" fontId="13" fillId="0" borderId="0" xfId="6" applyFont="1" applyFill="1" applyBorder="1" applyAlignment="1">
      <alignment horizontal="center"/>
    </xf>
    <xf numFmtId="165" fontId="13" fillId="0" borderId="142" xfId="6" applyFont="1" applyFill="1" applyBorder="1" applyAlignment="1">
      <alignment horizontal="center"/>
    </xf>
    <xf numFmtId="165" fontId="0" fillId="0" borderId="0" xfId="6" applyFont="1" applyFill="1" applyBorder="1" applyAlignment="1">
      <alignment horizontal="center"/>
    </xf>
    <xf numFmtId="165" fontId="12" fillId="0" borderId="0" xfId="6" applyFont="1" applyFill="1" applyBorder="1" applyAlignment="1">
      <alignment horizontal="center"/>
    </xf>
    <xf numFmtId="165" fontId="12" fillId="0" borderId="191" xfId="6" applyFont="1" applyFill="1" applyBorder="1" applyAlignment="1">
      <alignment horizontal="center"/>
    </xf>
    <xf numFmtId="165" fontId="13" fillId="0" borderId="192" xfId="6" applyFont="1" applyFill="1" applyBorder="1" applyAlignment="1">
      <alignment horizontal="center"/>
    </xf>
    <xf numFmtId="0" fontId="0" fillId="9" borderId="142" xfId="0" applyFill="1" applyBorder="1" applyAlignment="1">
      <alignment horizontal="center"/>
    </xf>
    <xf numFmtId="0" fontId="0" fillId="9" borderId="154" xfId="0" applyFont="1" applyFill="1" applyBorder="1" applyAlignment="1">
      <alignment horizontal="center"/>
    </xf>
    <xf numFmtId="2" fontId="4" fillId="9" borderId="49" xfId="6" applyNumberFormat="1" applyFont="1" applyFill="1" applyBorder="1" applyAlignment="1">
      <alignment horizontal="center"/>
    </xf>
    <xf numFmtId="2" fontId="4" fillId="9" borderId="0" xfId="6" applyNumberFormat="1" applyFont="1" applyFill="1" applyAlignment="1">
      <alignment horizontal="center"/>
    </xf>
    <xf numFmtId="165" fontId="4" fillId="45" borderId="0" xfId="6" applyFont="1" applyFill="1" applyAlignment="1">
      <alignment horizontal="center"/>
    </xf>
    <xf numFmtId="2" fontId="0" fillId="9" borderId="0" xfId="0" applyNumberFormat="1" applyFill="1" applyAlignment="1">
      <alignment horizontal="center"/>
    </xf>
    <xf numFmtId="165" fontId="0" fillId="9" borderId="0" xfId="0" applyNumberFormat="1" applyFill="1"/>
    <xf numFmtId="0" fontId="0" fillId="9" borderId="0" xfId="0" applyFill="1"/>
    <xf numFmtId="2" fontId="0" fillId="9" borderId="0" xfId="0" applyNumberFormat="1" applyFill="1"/>
    <xf numFmtId="0" fontId="14" fillId="9" borderId="117" xfId="0" applyFont="1" applyFill="1" applyBorder="1" applyAlignment="1">
      <alignment horizontal="center"/>
    </xf>
    <xf numFmtId="0" fontId="14" fillId="9" borderId="154" xfId="0" applyFont="1" applyFill="1" applyBorder="1" applyAlignment="1">
      <alignment horizontal="center"/>
    </xf>
    <xf numFmtId="2" fontId="4" fillId="9" borderId="0" xfId="6" applyNumberFormat="1" applyFont="1" applyFill="1" applyBorder="1" applyAlignment="1">
      <alignment horizontal="center"/>
    </xf>
    <xf numFmtId="0" fontId="14" fillId="9" borderId="142" xfId="0" applyFont="1" applyFill="1" applyBorder="1" applyAlignment="1">
      <alignment horizontal="center"/>
    </xf>
    <xf numFmtId="0" fontId="13" fillId="2" borderId="142" xfId="0" applyFont="1" applyFill="1" applyBorder="1" applyAlignment="1">
      <alignment horizontal="center"/>
    </xf>
    <xf numFmtId="0" fontId="13" fillId="2" borderId="154" xfId="0" applyFont="1" applyFill="1" applyBorder="1" applyAlignment="1">
      <alignment horizontal="center"/>
    </xf>
    <xf numFmtId="165" fontId="4" fillId="46" borderId="0" xfId="6" applyFont="1" applyFill="1" applyAlignment="1">
      <alignment horizontal="center"/>
    </xf>
    <xf numFmtId="2" fontId="0" fillId="2" borderId="0" xfId="0" applyNumberFormat="1" applyFill="1"/>
    <xf numFmtId="165" fontId="0" fillId="2" borderId="0" xfId="0" applyNumberFormat="1" applyFill="1"/>
    <xf numFmtId="0" fontId="0" fillId="2" borderId="0" xfId="0" applyFill="1"/>
    <xf numFmtId="0" fontId="13" fillId="9" borderId="117" xfId="0" applyFont="1" applyFill="1" applyBorder="1" applyAlignment="1">
      <alignment horizontal="center"/>
    </xf>
    <xf numFmtId="0" fontId="13" fillId="9" borderId="154" xfId="0" applyFont="1" applyFill="1" applyBorder="1" applyAlignment="1">
      <alignment horizontal="center"/>
    </xf>
    <xf numFmtId="0" fontId="13" fillId="9" borderId="142" xfId="0" applyFont="1" applyFill="1" applyBorder="1" applyAlignment="1">
      <alignment horizontal="center"/>
    </xf>
    <xf numFmtId="2" fontId="4" fillId="9" borderId="37" xfId="6" applyNumberFormat="1" applyFont="1" applyFill="1" applyBorder="1" applyAlignment="1">
      <alignment horizontal="center"/>
    </xf>
    <xf numFmtId="0" fontId="14" fillId="2" borderId="117" xfId="0" applyFont="1" applyFill="1" applyBorder="1" applyAlignment="1">
      <alignment horizontal="center"/>
    </xf>
    <xf numFmtId="0" fontId="14" fillId="2" borderId="154" xfId="0" applyFont="1" applyFill="1" applyBorder="1" applyAlignment="1">
      <alignment horizontal="center"/>
    </xf>
    <xf numFmtId="2" fontId="4" fillId="2" borderId="49" xfId="6" applyNumberFormat="1" applyFont="1" applyFill="1" applyBorder="1" applyAlignment="1">
      <alignment horizontal="center"/>
    </xf>
    <xf numFmtId="2" fontId="0" fillId="2" borderId="0" xfId="0" applyNumberFormat="1" applyFill="1" applyAlignment="1">
      <alignment horizontal="center"/>
    </xf>
    <xf numFmtId="0" fontId="12" fillId="9" borderId="142" xfId="0" applyFont="1" applyFill="1" applyBorder="1" applyAlignment="1">
      <alignment horizontal="center"/>
    </xf>
    <xf numFmtId="0" fontId="12" fillId="9" borderId="117" xfId="0" applyFont="1" applyFill="1" applyBorder="1" applyAlignment="1">
      <alignment horizontal="center"/>
    </xf>
    <xf numFmtId="0" fontId="13" fillId="9" borderId="0" xfId="0" applyFont="1" applyFill="1" applyBorder="1" applyAlignment="1">
      <alignment horizontal="center"/>
    </xf>
    <xf numFmtId="0" fontId="12" fillId="47" borderId="142" xfId="0" applyFont="1" applyFill="1" applyBorder="1" applyAlignment="1">
      <alignment horizontal="center"/>
    </xf>
    <xf numFmtId="0" fontId="13" fillId="47" borderId="154" xfId="0" applyFont="1" applyFill="1" applyBorder="1" applyAlignment="1">
      <alignment horizontal="center"/>
    </xf>
    <xf numFmtId="2" fontId="4" fillId="47" borderId="0" xfId="6" applyNumberFormat="1" applyFont="1" applyFill="1" applyBorder="1" applyAlignment="1">
      <alignment horizontal="center"/>
    </xf>
    <xf numFmtId="165" fontId="4" fillId="48" borderId="0" xfId="6" applyFont="1" applyFill="1" applyAlignment="1">
      <alignment horizontal="center"/>
    </xf>
    <xf numFmtId="2" fontId="0" fillId="47" borderId="0" xfId="0" applyNumberFormat="1" applyFill="1"/>
    <xf numFmtId="165" fontId="0" fillId="47" borderId="0" xfId="0" applyNumberFormat="1" applyFill="1"/>
    <xf numFmtId="0" fontId="0" fillId="47" borderId="0" xfId="0" applyFill="1"/>
  </cellXfs>
  <cellStyles count="9">
    <cellStyle name="Comma" xfId="6" builtinId="3"/>
    <cellStyle name="Currency" xfId="8" builtinId="4"/>
    <cellStyle name="Normal" xfId="0" builtinId="0"/>
    <cellStyle name="Percent" xfId="7" builtinId="5"/>
    <cellStyle name="Standaard 3" xfId="1"/>
    <cellStyle name="Standaard 5" xfId="2"/>
    <cellStyle name="Standaard 6" xfId="3"/>
    <cellStyle name="Standaard 8" xfId="4"/>
    <cellStyle name="Standaard 9" xfId="5"/>
  </cellStyles>
  <dxfs count="318">
    <dxf>
      <font>
        <b val="0"/>
        <i val="0"/>
        <strike val="0"/>
        <condense val="0"/>
        <extend val="0"/>
        <outline val="0"/>
        <shadow val="0"/>
        <u val="none"/>
        <vertAlign val="baseline"/>
        <sz val="12"/>
        <color rgb="FFFF0000"/>
        <name val="Calibri"/>
        <scheme val="minor"/>
      </font>
      <numFmt numFmtId="165" formatCode="_ * #,##0.00_ ;_ * \-#,##0.00_ ;_ * &quot;-&quot;??_ ;_ @_ "/>
      <fill>
        <patternFill patternType="gray125">
          <fgColor indexed="64"/>
          <bgColor rgb="FF00B0F0"/>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40CA1"/>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BA7DD"/>
        </patternFill>
      </fill>
      <alignment horizontal="center" vertical="bottom" textRotation="0" wrapText="0" 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FFF66"/>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BA7DD"/>
        </patternFill>
      </fill>
      <alignment horizontal="center" vertical="bottom" textRotation="0" wrapText="0" 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theme="7" tint="-0.249977111117893"/>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BA7DD"/>
        </patternFill>
      </fill>
      <alignment horizontal="center" vertical="bottom" textRotation="0" wrapText="0" 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theme="7" tint="0.39997558519241921"/>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165" formatCode="_ * #,##0.00_ ;_ * \-#,##0.00_ ;_ * &quot;-&quot;??_ ;_ @_ "/>
      <fill>
        <patternFill patternType="gray125">
          <fgColor indexed="64"/>
          <bgColor theme="3" tint="0.39991454817346722"/>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BA7DD"/>
        </patternFill>
      </fill>
      <alignment horizontal="center" vertical="bottom" textRotation="0" wrapText="0" indent="0" justifyLastLine="0" shrinkToFit="0" readingOrder="0"/>
    </dxf>
    <dxf>
      <font>
        <b val="0"/>
        <i val="0"/>
        <strike val="0"/>
        <condense val="0"/>
        <extend val="0"/>
        <outline val="0"/>
        <shadow val="0"/>
        <u val="none"/>
        <vertAlign val="baseline"/>
        <sz val="12"/>
        <color rgb="FFFF0000"/>
        <name val="Calibri"/>
        <scheme val="minor"/>
      </font>
      <fill>
        <patternFill patternType="solid">
          <fgColor indexed="64"/>
          <bgColor rgb="FF92D050"/>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FC000"/>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F3300"/>
        </patternFill>
      </fill>
      <alignment horizontal="center" vertical="bottom" textRotation="0" wrapText="0" relativeIndent="0" justifyLastLine="0" shrinkToFit="0" readingOrder="0"/>
    </dxf>
    <dxf>
      <border outline="0">
        <left style="thin">
          <color rgb="FF4F81BD"/>
        </left>
      </border>
    </dxf>
    <dxf>
      <font>
        <b val="0"/>
        <i val="0"/>
        <strike val="0"/>
        <condense val="0"/>
        <extend val="0"/>
        <outline val="0"/>
        <shadow val="0"/>
        <u val="none"/>
        <vertAlign val="baseline"/>
        <sz val="12"/>
        <color rgb="FFFF0000"/>
        <name val="Calibri"/>
        <scheme val="none"/>
      </font>
      <fill>
        <patternFill patternType="solid">
          <fgColor rgb="FF000000"/>
          <bgColor rgb="FF538ED5"/>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theme="1"/>
        <name val="Calibri"/>
        <scheme val="minor"/>
      </font>
      <fill>
        <patternFill patternType="solid">
          <fgColor indexed="64"/>
          <bgColor theme="3" tint="0.39997558519241921"/>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none"/>
      </font>
      <fill>
        <patternFill patternType="solid">
          <fgColor rgb="FF000000"/>
          <bgColor rgb="FF538ED5"/>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theme="1"/>
        <name val="Calibri"/>
        <scheme val="minor"/>
      </font>
      <fill>
        <patternFill patternType="solid">
          <fgColor indexed="64"/>
          <bgColor theme="3" tint="0.39997558519241921"/>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fill>
        <patternFill patternType="gray125">
          <fgColor indexed="64"/>
          <bgColor rgb="FF00B0F0"/>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fill>
        <patternFill patternType="solid">
          <fgColor indexed="64"/>
          <bgColor rgb="FFF40CA1"/>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fill>
        <patternFill patternType="solid">
          <fgColor indexed="64"/>
          <bgColor rgb="FFFBA7DD"/>
        </patternFill>
      </fill>
      <alignment horizontal="center" vertical="bottom" textRotation="0" wrapText="0" indent="0" justifyLastLine="0" shrinkToFit="0" readingOrder="0"/>
    </dxf>
    <dxf>
      <font>
        <b val="0"/>
        <i val="0"/>
        <strike val="0"/>
        <condense val="0"/>
        <extend val="0"/>
        <outline val="0"/>
        <shadow val="0"/>
        <u val="none"/>
        <vertAlign val="baseline"/>
        <sz val="12"/>
        <color rgb="FFFF0000"/>
        <name val="Calibri"/>
        <scheme val="minor"/>
      </font>
      <fill>
        <patternFill patternType="solid">
          <fgColor indexed="64"/>
          <bgColor rgb="FFFFFF66"/>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fill>
        <patternFill patternType="solid">
          <fgColor indexed="64"/>
          <bgColor rgb="FFFBA7DD"/>
        </patternFill>
      </fill>
      <alignment horizontal="center" vertical="bottom" textRotation="0" wrapText="0" indent="0" justifyLastLine="0" shrinkToFit="0" readingOrder="0"/>
    </dxf>
    <dxf>
      <font>
        <b val="0"/>
        <i val="0"/>
        <strike val="0"/>
        <condense val="0"/>
        <extend val="0"/>
        <outline val="0"/>
        <shadow val="0"/>
        <u val="none"/>
        <vertAlign val="baseline"/>
        <sz val="12"/>
        <color rgb="FFFF0000"/>
        <name val="Calibri"/>
        <scheme val="minor"/>
      </font>
      <fill>
        <patternFill patternType="solid">
          <fgColor indexed="64"/>
          <bgColor theme="7" tint="-0.249977111117893"/>
        </patternFill>
      </fill>
      <alignment horizontal="center" vertical="bottom" textRotation="0" wrapText="0" relativeIndent="0" justifyLastLine="0" shrinkToFit="0" readingOrder="0"/>
    </dxf>
    <dxf>
      <font>
        <b val="0"/>
        <i/>
        <strike val="0"/>
        <condense val="0"/>
        <extend val="0"/>
        <outline val="0"/>
        <shadow val="0"/>
        <u val="none"/>
        <vertAlign val="baseline"/>
        <sz val="12"/>
        <color rgb="FFFF0000"/>
        <name val="Calibri"/>
        <scheme val="minor"/>
      </font>
      <fill>
        <patternFill patternType="solid">
          <fgColor indexed="64"/>
          <bgColor rgb="FFFBA7DD"/>
        </patternFill>
      </fill>
      <alignment horizontal="center" vertical="bottom" textRotation="0" wrapText="0" indent="0" justifyLastLine="0" shrinkToFit="0" readingOrder="0"/>
    </dxf>
    <dxf>
      <font>
        <b val="0"/>
        <i val="0"/>
        <strike val="0"/>
        <condense val="0"/>
        <extend val="0"/>
        <outline val="0"/>
        <shadow val="0"/>
        <u val="none"/>
        <vertAlign val="baseline"/>
        <sz val="12"/>
        <color rgb="FFFF0000"/>
        <name val="Calibri"/>
        <scheme val="minor"/>
      </font>
      <fill>
        <patternFill patternType="solid">
          <fgColor indexed="64"/>
          <bgColor theme="7" tint="0.39997558519241921"/>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fill>
        <patternFill patternType="gray125">
          <fgColor indexed="64"/>
          <bgColor theme="3" tint="0.39991454817346722"/>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fill>
        <patternFill patternType="solid">
          <fgColor indexed="64"/>
          <bgColor rgb="FFFBA7DD"/>
        </patternFill>
      </fill>
      <alignment horizontal="center" vertical="bottom" textRotation="0" wrapText="0" indent="0" justifyLastLine="0" shrinkToFit="0" readingOrder="0"/>
    </dxf>
    <dxf>
      <font>
        <b val="0"/>
        <i val="0"/>
        <strike val="0"/>
        <condense val="0"/>
        <extend val="0"/>
        <outline val="0"/>
        <shadow val="0"/>
        <u val="none"/>
        <vertAlign val="baseline"/>
        <sz val="12"/>
        <color rgb="FFFF0000"/>
        <name val="Calibri"/>
        <scheme val="minor"/>
      </font>
      <fill>
        <patternFill patternType="solid">
          <fgColor indexed="64"/>
          <bgColor rgb="FF92D050"/>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fill>
        <patternFill patternType="solid">
          <fgColor indexed="64"/>
          <bgColor rgb="FFFFC000"/>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fill>
        <patternFill patternType="solid">
          <fgColor indexed="64"/>
          <bgColor rgb="FFFF3300"/>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165" formatCode="_ * #,##0.00_ ;_ * \-#,##0.00_ ;_ * &quot;-&quot;??_ ;_ @_ "/>
      <fill>
        <patternFill patternType="gray125">
          <fgColor indexed="64"/>
          <bgColor rgb="FF0070C0"/>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40CA1"/>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FFF66"/>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auto="1"/>
        <name val="Calibri"/>
        <scheme val="minor"/>
      </font>
      <numFmt numFmtId="2" formatCode="0.00"/>
      <fill>
        <patternFill patternType="solid">
          <fgColor indexed="64"/>
          <bgColor theme="7" tint="-0.249977111117893"/>
        </patternFill>
      </fill>
      <alignment horizontal="center" vertical="bottom" textRotation="0" wrapText="0" indent="0" justifyLastLine="0" shrinkToFit="0" readingOrder="0"/>
    </dxf>
    <dxf>
      <font>
        <b val="0"/>
        <i val="0"/>
        <strike val="0"/>
        <condense val="0"/>
        <extend val="0"/>
        <outline val="0"/>
        <shadow val="0"/>
        <u val="none"/>
        <vertAlign val="baseline"/>
        <sz val="12"/>
        <color auto="1"/>
        <name val="Calibri"/>
        <scheme val="minor"/>
      </font>
      <numFmt numFmtId="2" formatCode="0.00"/>
      <fill>
        <patternFill patternType="solid">
          <fgColor indexed="64"/>
          <bgColor theme="7" tint="-0.249977111117893"/>
        </patternFill>
      </fill>
      <alignment horizontal="center" vertical="bottom" textRotation="0" wrapText="0" 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theme="7" tint="-0.249977111117893"/>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theme="7" tint="0.39997558519241921"/>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fill>
        <patternFill patternType="gray125">
          <fgColor indexed="64"/>
          <bgColor theme="3" tint="0.39991454817346722"/>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92D050"/>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FC000"/>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F3300"/>
        </patternFill>
      </fill>
      <alignment horizontal="center" vertical="bottom" textRotation="0" wrapText="0" relativeIndent="0" justifyLastLine="0" shrinkToFit="0" readingOrder="0"/>
    </dxf>
    <dxf>
      <border outline="0">
        <left style="thin">
          <color rgb="FF4F81BD"/>
        </left>
      </border>
    </dxf>
    <dxf>
      <font>
        <b val="0"/>
        <i val="0"/>
        <strike val="0"/>
        <condense val="0"/>
        <extend val="0"/>
        <outline val="0"/>
        <shadow val="0"/>
        <u val="none"/>
        <vertAlign val="baseline"/>
        <sz val="12"/>
        <color rgb="FFFF0000"/>
        <name val="Calibri"/>
        <scheme val="none"/>
      </font>
      <numFmt numFmtId="2" formatCode="0.00"/>
      <fill>
        <patternFill patternType="solid">
          <fgColor rgb="FF000000"/>
          <bgColor rgb="FF538ED5"/>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theme="1"/>
        <name val="Calibri"/>
        <scheme val="minor"/>
      </font>
      <fill>
        <patternFill patternType="solid">
          <fgColor indexed="64"/>
          <bgColor theme="3" tint="0.39997558519241921"/>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165" formatCode="_ * #,##0.00_ ;_ * \-#,##0.00_ ;_ * &quot;-&quot;??_ ;_ @_ "/>
      <fill>
        <patternFill patternType="gray125">
          <fgColor indexed="64"/>
          <bgColor rgb="FF00B0F0"/>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40CA1"/>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BA7DD"/>
        </patternFill>
      </fill>
      <alignment horizontal="center" vertical="bottom" textRotation="0" wrapText="0" 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FFF66"/>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BA7DD"/>
        </patternFill>
      </fill>
      <alignment horizontal="center" vertical="bottom" textRotation="0" wrapText="0" 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theme="7" tint="-0.249977111117893"/>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BA7DD"/>
        </patternFill>
      </fill>
      <alignment horizontal="center" vertical="bottom" textRotation="0" wrapText="0" 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theme="7" tint="0.39997558519241921"/>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165" formatCode="_ * #,##0.00_ ;_ * \-#,##0.00_ ;_ * &quot;-&quot;??_ ;_ @_ "/>
      <fill>
        <patternFill patternType="gray125">
          <fgColor indexed="64"/>
          <bgColor theme="3" tint="0.39991454817346722"/>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BA7DD"/>
        </patternFill>
      </fill>
      <alignment horizontal="center" vertical="bottom" textRotation="0" wrapText="0" indent="0" justifyLastLine="0" shrinkToFit="0" readingOrder="0"/>
    </dxf>
    <dxf>
      <font>
        <b val="0"/>
        <i val="0"/>
        <strike val="0"/>
        <condense val="0"/>
        <extend val="0"/>
        <outline val="0"/>
        <shadow val="0"/>
        <u val="none"/>
        <vertAlign val="baseline"/>
        <sz val="12"/>
        <color rgb="FFFF0000"/>
        <name val="Calibri"/>
        <scheme val="minor"/>
      </font>
      <fill>
        <patternFill patternType="solid">
          <fgColor indexed="64"/>
          <bgColor rgb="FF92D050"/>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FC000"/>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F3300"/>
        </patternFill>
      </fill>
      <alignment horizontal="center" vertical="bottom" textRotation="0" wrapText="0" relativeIndent="0" justifyLastLine="0" shrinkToFit="0" readingOrder="0"/>
    </dxf>
    <dxf>
      <border outline="0">
        <left style="thin">
          <color rgb="FF4F81BD"/>
        </left>
      </border>
    </dxf>
    <dxf>
      <font>
        <b val="0"/>
        <i val="0"/>
        <strike val="0"/>
        <condense val="0"/>
        <extend val="0"/>
        <outline val="0"/>
        <shadow val="0"/>
        <u val="none"/>
        <vertAlign val="baseline"/>
        <sz val="12"/>
        <color rgb="FFFF0000"/>
        <name val="Calibri"/>
        <scheme val="none"/>
      </font>
      <fill>
        <patternFill patternType="solid">
          <fgColor rgb="FF000000"/>
          <bgColor rgb="FF538ED5"/>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theme="1"/>
        <name val="Calibri"/>
        <scheme val="minor"/>
      </font>
      <fill>
        <patternFill patternType="solid">
          <fgColor indexed="64"/>
          <bgColor theme="3" tint="0.39997558519241921"/>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165" formatCode="_ * #,##0.00_ ;_ * \-#,##0.00_ ;_ * &quot;-&quot;??_ ;_ @_ "/>
      <fill>
        <patternFill patternType="gray125">
          <fgColor indexed="64"/>
          <bgColor rgb="FF0070C0"/>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40CA1"/>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FFF66"/>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auto="1"/>
        <name val="Calibri"/>
        <scheme val="minor"/>
      </font>
      <numFmt numFmtId="2" formatCode="0.00"/>
      <fill>
        <patternFill patternType="solid">
          <fgColor indexed="64"/>
          <bgColor theme="7" tint="-0.249977111117893"/>
        </patternFill>
      </fill>
      <alignment horizontal="center" vertical="bottom" textRotation="0" wrapText="0" indent="0" justifyLastLine="0" shrinkToFit="0" readingOrder="0"/>
    </dxf>
    <dxf>
      <font>
        <b val="0"/>
        <i val="0"/>
        <strike val="0"/>
        <condense val="0"/>
        <extend val="0"/>
        <outline val="0"/>
        <shadow val="0"/>
        <u val="none"/>
        <vertAlign val="baseline"/>
        <sz val="12"/>
        <color auto="1"/>
        <name val="Calibri"/>
        <scheme val="minor"/>
      </font>
      <numFmt numFmtId="2" formatCode="0.00"/>
      <fill>
        <patternFill patternType="solid">
          <fgColor indexed="64"/>
          <bgColor theme="7" tint="-0.249977111117893"/>
        </patternFill>
      </fill>
      <alignment horizontal="center" vertical="bottom" textRotation="0" wrapText="0" 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theme="7" tint="-0.249977111117893"/>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theme="7" tint="0.39997558519241921"/>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fill>
        <patternFill patternType="gray125">
          <fgColor indexed="64"/>
          <bgColor theme="3" tint="0.39991454817346722"/>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92D050"/>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FC000"/>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F3300"/>
        </patternFill>
      </fill>
      <alignment horizontal="center" vertical="bottom" textRotation="0" wrapText="0" relativeIndent="0" justifyLastLine="0" shrinkToFit="0" readingOrder="0"/>
    </dxf>
    <dxf>
      <border outline="0">
        <left style="thin">
          <color rgb="FF4F81BD"/>
        </left>
      </border>
    </dxf>
    <dxf>
      <font>
        <b val="0"/>
        <i val="0"/>
        <strike val="0"/>
        <condense val="0"/>
        <extend val="0"/>
        <outline val="0"/>
        <shadow val="0"/>
        <u val="none"/>
        <vertAlign val="baseline"/>
        <sz val="12"/>
        <color rgb="FFFF0000"/>
        <name val="Calibri"/>
        <scheme val="none"/>
      </font>
      <numFmt numFmtId="2" formatCode="0.00"/>
      <fill>
        <patternFill patternType="solid">
          <fgColor rgb="FF000000"/>
          <bgColor rgb="FF538ED5"/>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theme="1"/>
        <name val="Calibri"/>
        <scheme val="minor"/>
      </font>
      <fill>
        <patternFill patternType="solid">
          <fgColor indexed="64"/>
          <bgColor theme="3" tint="0.39997558519241921"/>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165" formatCode="_ * #,##0.00_ ;_ * \-#,##0.00_ ;_ * &quot;-&quot;??_ ;_ @_ "/>
      <fill>
        <patternFill patternType="gray125">
          <fgColor indexed="64"/>
          <bgColor rgb="FF00B0F0"/>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40CA1"/>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BA7DD"/>
        </patternFill>
      </fill>
      <alignment horizontal="center" vertical="bottom" textRotation="0" wrapText="0" 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FFF66"/>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BA7DD"/>
        </patternFill>
      </fill>
      <alignment horizontal="center" vertical="bottom" textRotation="0" wrapText="0" 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theme="7" tint="-0.249977111117893"/>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BA7DD"/>
        </patternFill>
      </fill>
      <alignment horizontal="center" vertical="bottom" textRotation="0" wrapText="0" 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theme="7" tint="0.39997558519241921"/>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auto="1"/>
        <name val="Calibri"/>
        <scheme val="minor"/>
      </font>
      <numFmt numFmtId="166" formatCode="_ * #,##0_ ;_ * \-#,##0_ ;_ * &quot;-&quot;??_ ;_ @_ "/>
      <fill>
        <patternFill patternType="solid">
          <fgColor indexed="64"/>
          <bgColor rgb="FF00B050"/>
        </patternFill>
      </fill>
      <alignment horizontal="center" vertical="center" textRotation="0" wrapText="0" indent="0" justifyLastLine="0" shrinkToFit="0" readingOrder="0"/>
      <border diagonalUp="0" diagonalDown="0">
        <left style="medium">
          <color indexed="64"/>
        </left>
        <right style="medium">
          <color indexed="64"/>
        </right>
        <top/>
        <bottom/>
        <vertical/>
        <horizontal/>
      </border>
    </dxf>
    <dxf>
      <font>
        <b val="0"/>
        <i val="0"/>
        <strike val="0"/>
        <condense val="0"/>
        <extend val="0"/>
        <outline val="0"/>
        <shadow val="0"/>
        <u val="none"/>
        <vertAlign val="baseline"/>
        <sz val="12"/>
        <color indexed="8"/>
        <name val="Calibri"/>
        <scheme val="minor"/>
      </font>
      <numFmt numFmtId="2" formatCode="0.00"/>
      <fill>
        <patternFill patternType="solid">
          <fgColor indexed="64"/>
          <bgColor rgb="FF92D050"/>
        </patternFill>
      </fill>
      <alignment horizontal="center" vertical="bottom" textRotation="0" wrapText="0" indent="0" justifyLastLine="0" shrinkToFit="0" readingOrder="0"/>
      <border diagonalUp="0" diagonalDown="0">
        <left style="medium">
          <color indexed="64"/>
        </left>
        <right style="medium">
          <color indexed="64"/>
        </right>
        <top/>
        <bottom/>
        <vertical/>
        <horizontal/>
      </border>
    </dxf>
    <dxf>
      <font>
        <b val="0"/>
        <i val="0"/>
        <strike val="0"/>
        <condense val="0"/>
        <extend val="0"/>
        <outline val="0"/>
        <shadow val="0"/>
        <u val="none"/>
        <vertAlign val="baseline"/>
        <sz val="10"/>
        <color indexed="8"/>
        <name val="Arial"/>
        <scheme val="none"/>
      </font>
      <fill>
        <patternFill patternType="solid">
          <fgColor indexed="64"/>
          <bgColor rgb="FF92D050"/>
        </patternFill>
      </fill>
      <alignment horizontal="center" vertical="bottom" textRotation="0" wrapText="0" indent="0" justifyLastLine="0" shrinkToFit="0" readingOrder="0"/>
      <border diagonalUp="0" diagonalDown="0">
        <left style="medium">
          <color indexed="64"/>
        </left>
        <right style="medium">
          <color indexed="64"/>
        </right>
        <top/>
        <bottom/>
        <vertical/>
        <horizontal/>
      </border>
    </dxf>
    <dxf>
      <font>
        <b val="0"/>
        <i val="0"/>
        <strike val="0"/>
        <condense val="0"/>
        <extend val="0"/>
        <outline val="0"/>
        <shadow val="0"/>
        <u val="none"/>
        <vertAlign val="baseline"/>
        <sz val="10"/>
        <color indexed="8"/>
        <name val="Arial"/>
        <scheme val="none"/>
      </font>
      <numFmt numFmtId="2" formatCode="0.00"/>
      <fill>
        <patternFill patternType="solid">
          <fgColor indexed="64"/>
          <bgColor rgb="FF92D050"/>
        </patternFill>
      </fill>
      <alignment horizontal="center" vertical="bottom" textRotation="0" wrapText="0" indent="0" justifyLastLine="0" shrinkToFit="0" readingOrder="0"/>
      <border diagonalUp="0" diagonalDown="0">
        <left style="medium">
          <color indexed="64"/>
        </left>
        <right style="medium">
          <color indexed="64"/>
        </right>
        <top/>
        <bottom/>
        <vertical/>
        <horizontal/>
      </border>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92D050"/>
        </patternFill>
      </fill>
      <alignment horizontal="center" vertical="center" textRotation="0" wrapText="0" indent="0" justifyLastLine="0" shrinkToFit="0" readingOrder="0"/>
    </dxf>
    <dxf>
      <border outline="0">
        <left style="thin">
          <color rgb="FF4F81BD"/>
        </left>
      </border>
    </dxf>
    <dxf>
      <font>
        <b val="0"/>
        <i val="0"/>
        <strike val="0"/>
        <condense val="0"/>
        <extend val="0"/>
        <outline val="0"/>
        <shadow val="0"/>
        <u val="none"/>
        <vertAlign val="baseline"/>
        <sz val="12"/>
        <color rgb="FFFF0000"/>
        <name val="Calibri"/>
        <scheme val="none"/>
      </font>
      <fill>
        <patternFill patternType="solid">
          <fgColor rgb="FF000000"/>
          <bgColor rgb="FF538ED5"/>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theme="1"/>
        <name val="Calibri"/>
        <scheme val="minor"/>
      </font>
      <fill>
        <patternFill patternType="solid">
          <fgColor indexed="64"/>
          <bgColor theme="3" tint="0.39997558519241921"/>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165" formatCode="_ * #,##0.00_ ;_ * \-#,##0.00_ ;_ * &quot;-&quot;??_ ;_ @_ "/>
      <fill>
        <patternFill patternType="gray125">
          <fgColor indexed="64"/>
          <bgColor rgb="FF0070C0"/>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40CA1"/>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FFF66"/>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auto="1"/>
        <name val="Calibri"/>
        <scheme val="minor"/>
      </font>
      <numFmt numFmtId="2" formatCode="0.00"/>
      <fill>
        <patternFill patternType="solid">
          <fgColor indexed="64"/>
          <bgColor theme="7" tint="-0.249977111117893"/>
        </patternFill>
      </fill>
      <alignment horizontal="center" vertical="bottom" textRotation="0" wrapText="0" indent="0" justifyLastLine="0" shrinkToFit="0" readingOrder="0"/>
    </dxf>
    <dxf>
      <font>
        <b val="0"/>
        <i val="0"/>
        <strike val="0"/>
        <condense val="0"/>
        <extend val="0"/>
        <outline val="0"/>
        <shadow val="0"/>
        <u val="none"/>
        <vertAlign val="baseline"/>
        <sz val="12"/>
        <color auto="1"/>
        <name val="Calibri"/>
        <scheme val="minor"/>
      </font>
      <numFmt numFmtId="2" formatCode="0.00"/>
      <fill>
        <patternFill patternType="solid">
          <fgColor indexed="64"/>
          <bgColor theme="7" tint="-0.249977111117893"/>
        </patternFill>
      </fill>
      <alignment horizontal="center" vertical="bottom" textRotation="0" wrapText="0" 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theme="7" tint="-0.249977111117893"/>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theme="7" tint="0.39997558519241921"/>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fill>
        <patternFill patternType="gray125">
          <fgColor indexed="64"/>
          <bgColor theme="3" tint="0.39991454817346722"/>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92D050"/>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FC000"/>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F3300"/>
        </patternFill>
      </fill>
      <alignment horizontal="center" vertical="bottom" textRotation="0" wrapText="0" relativeIndent="0" justifyLastLine="0" shrinkToFit="0" readingOrder="0"/>
    </dxf>
    <dxf>
      <border outline="0">
        <left style="thin">
          <color rgb="FF4F81BD"/>
        </left>
      </border>
    </dxf>
    <dxf>
      <font>
        <b val="0"/>
        <i val="0"/>
        <strike val="0"/>
        <condense val="0"/>
        <extend val="0"/>
        <outline val="0"/>
        <shadow val="0"/>
        <u val="none"/>
        <vertAlign val="baseline"/>
        <sz val="12"/>
        <color rgb="FFFF0000"/>
        <name val="Calibri"/>
        <scheme val="none"/>
      </font>
      <numFmt numFmtId="2" formatCode="0.00"/>
      <fill>
        <patternFill patternType="solid">
          <fgColor rgb="FF000000"/>
          <bgColor rgb="FF538ED5"/>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theme="1"/>
        <name val="Calibri"/>
        <scheme val="minor"/>
      </font>
      <fill>
        <patternFill patternType="solid">
          <fgColor indexed="64"/>
          <bgColor theme="3" tint="0.39997558519241921"/>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165" formatCode="_ * #,##0.00_ ;_ * \-#,##0.00_ ;_ * &quot;-&quot;??_ ;_ @_ "/>
      <fill>
        <patternFill patternType="gray125">
          <fgColor indexed="64"/>
          <bgColor rgb="FF00B0F0"/>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40CA1"/>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BA7DD"/>
        </patternFill>
      </fill>
      <alignment horizontal="center" vertical="bottom" textRotation="0" wrapText="0" 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FFF66"/>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BA7DD"/>
        </patternFill>
      </fill>
      <alignment horizontal="center" vertical="bottom" textRotation="0" wrapText="0" 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theme="7" tint="-0.249977111117893"/>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BA7DD"/>
        </patternFill>
      </fill>
      <alignment horizontal="center" vertical="bottom" textRotation="0" wrapText="0" 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theme="7" tint="0.39997558519241921"/>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165" formatCode="_ * #,##0.00_ ;_ * \-#,##0.00_ ;_ * &quot;-&quot;??_ ;_ @_ "/>
      <fill>
        <patternFill patternType="gray125">
          <fgColor indexed="64"/>
          <bgColor theme="3" tint="0.39991454817346722"/>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BA7DD"/>
        </patternFill>
      </fill>
      <alignment horizontal="center" vertical="bottom" textRotation="0" wrapText="0" indent="0" justifyLastLine="0" shrinkToFit="0" readingOrder="0"/>
    </dxf>
    <dxf>
      <font>
        <b val="0"/>
        <i val="0"/>
        <strike val="0"/>
        <condense val="0"/>
        <extend val="0"/>
        <outline val="0"/>
        <shadow val="0"/>
        <u val="none"/>
        <vertAlign val="baseline"/>
        <sz val="12"/>
        <color rgb="FFFF0000"/>
        <name val="Calibri"/>
        <scheme val="minor"/>
      </font>
      <fill>
        <patternFill patternType="solid">
          <fgColor indexed="64"/>
          <bgColor rgb="FF92D050"/>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FC000"/>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F3300"/>
        </patternFill>
      </fill>
      <alignment horizontal="center" vertical="bottom" textRotation="0" wrapText="0" relativeIndent="0" justifyLastLine="0" shrinkToFit="0" readingOrder="0"/>
    </dxf>
    <dxf>
      <border outline="0">
        <left style="thin">
          <color rgb="FF4F81BD"/>
        </left>
      </border>
    </dxf>
    <dxf>
      <font>
        <b val="0"/>
        <i val="0"/>
        <strike val="0"/>
        <condense val="0"/>
        <extend val="0"/>
        <outline val="0"/>
        <shadow val="0"/>
        <u val="none"/>
        <vertAlign val="baseline"/>
        <sz val="12"/>
        <color rgb="FFFF0000"/>
        <name val="Calibri"/>
        <scheme val="none"/>
      </font>
      <fill>
        <patternFill patternType="solid">
          <fgColor rgb="FF000000"/>
          <bgColor rgb="FF538ED5"/>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theme="1"/>
        <name val="Calibri"/>
        <scheme val="minor"/>
      </font>
      <fill>
        <patternFill patternType="solid">
          <fgColor indexed="64"/>
          <bgColor theme="3" tint="0.39997558519241921"/>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165" formatCode="_ * #,##0.00_ ;_ * \-#,##0.00_ ;_ * &quot;-&quot;??_ ;_ @_ "/>
      <fill>
        <patternFill patternType="gray125">
          <fgColor indexed="64"/>
          <bgColor rgb="FF00B0F0"/>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40CA1"/>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auto="1"/>
        <name val="Calibri"/>
        <scheme val="minor"/>
      </font>
      <numFmt numFmtId="2" formatCode="0.00"/>
      <fill>
        <patternFill patternType="solid">
          <fgColor indexed="64"/>
          <bgColor theme="9" tint="-0.249977111117893"/>
        </patternFill>
      </fill>
      <alignment horizontal="center" vertical="bottom" textRotation="0" wrapText="0" 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FFF66"/>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auto="1"/>
        <name val="Calibri"/>
        <scheme val="minor"/>
      </font>
      <numFmt numFmtId="2" formatCode="0.00"/>
      <fill>
        <patternFill patternType="solid">
          <fgColor indexed="64"/>
          <bgColor theme="7" tint="-0.249977111117893"/>
        </patternFill>
      </fill>
      <alignment horizontal="center" vertical="bottom" textRotation="0" wrapText="0" 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theme="7" tint="-0.249977111117893"/>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theme="7" tint="0.39997558519241921"/>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165" formatCode="_ * #,##0.00_ ;_ * \-#,##0.00_ ;_ * &quot;-&quot;??_ ;_ @_ "/>
      <fill>
        <patternFill patternType="gray125">
          <fgColor indexed="64"/>
          <bgColor theme="3" tint="0.39991454817346722"/>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fill>
        <patternFill patternType="solid">
          <fgColor indexed="64"/>
          <bgColor rgb="FF92D050"/>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FC000"/>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F3300"/>
        </patternFill>
      </fill>
      <alignment horizontal="center" vertical="bottom" textRotation="0" wrapText="0" relativeIndent="0" justifyLastLine="0" shrinkToFit="0" readingOrder="0"/>
    </dxf>
    <dxf>
      <border outline="0">
        <left style="thin">
          <color rgb="FF4F81BD"/>
        </left>
      </border>
    </dxf>
    <dxf>
      <font>
        <b val="0"/>
        <i val="0"/>
        <strike val="0"/>
        <condense val="0"/>
        <extend val="0"/>
        <outline val="0"/>
        <shadow val="0"/>
        <u val="none"/>
        <vertAlign val="baseline"/>
        <sz val="12"/>
        <color rgb="FFFF0000"/>
        <name val="Calibri"/>
        <scheme val="none"/>
      </font>
      <fill>
        <patternFill patternType="solid">
          <fgColor rgb="FF000000"/>
          <bgColor rgb="FF538ED5"/>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theme="1"/>
        <name val="Calibri"/>
        <scheme val="minor"/>
      </font>
      <fill>
        <patternFill patternType="solid">
          <fgColor indexed="64"/>
          <bgColor theme="3" tint="0.39997558519241921"/>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165" formatCode="_ * #,##0.00_ ;_ * \-#,##0.00_ ;_ * &quot;-&quot;??_ ;_ @_ "/>
      <fill>
        <patternFill patternType="gray125">
          <fgColor indexed="64"/>
          <bgColor rgb="FF00B0F0"/>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40CA1"/>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BA7DD"/>
        </patternFill>
      </fill>
      <alignment horizontal="center" vertical="bottom" textRotation="0" wrapText="0" 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FFF66"/>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BA7DD"/>
        </patternFill>
      </fill>
      <alignment horizontal="center" vertical="bottom" textRotation="0" wrapText="0" 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theme="7" tint="-0.249977111117893"/>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BA7DD"/>
        </patternFill>
      </fill>
      <alignment horizontal="center" vertical="bottom" textRotation="0" wrapText="0" 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theme="7" tint="0.39997558519241921"/>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165" formatCode="_ * #,##0.00_ ;_ * \-#,##0.00_ ;_ * &quot;-&quot;??_ ;_ @_ "/>
      <fill>
        <patternFill patternType="gray125">
          <fgColor indexed="64"/>
          <bgColor theme="3" tint="0.39991454817346722"/>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BA7DD"/>
        </patternFill>
      </fill>
      <alignment horizontal="center" vertical="bottom" textRotation="0" wrapText="0" indent="0" justifyLastLine="0" shrinkToFit="0" readingOrder="0"/>
    </dxf>
    <dxf>
      <font>
        <b val="0"/>
        <i val="0"/>
        <strike val="0"/>
        <condense val="0"/>
        <extend val="0"/>
        <outline val="0"/>
        <shadow val="0"/>
        <u val="none"/>
        <vertAlign val="baseline"/>
        <sz val="12"/>
        <color rgb="FFFF0000"/>
        <name val="Calibri"/>
        <scheme val="minor"/>
      </font>
      <fill>
        <patternFill patternType="solid">
          <fgColor indexed="64"/>
          <bgColor rgb="FF92D050"/>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FC000"/>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F3300"/>
        </patternFill>
      </fill>
      <alignment horizontal="center" vertical="bottom" textRotation="0" wrapText="0" relativeIndent="0" justifyLastLine="0" shrinkToFit="0" readingOrder="0"/>
    </dxf>
    <dxf>
      <border outline="0">
        <left style="thin">
          <color rgb="FF4F81BD"/>
        </left>
      </border>
    </dxf>
    <dxf>
      <font>
        <b val="0"/>
        <i val="0"/>
        <strike val="0"/>
        <condense val="0"/>
        <extend val="0"/>
        <outline val="0"/>
        <shadow val="0"/>
        <u val="none"/>
        <vertAlign val="baseline"/>
        <sz val="12"/>
        <color rgb="FFFF0000"/>
        <name val="Calibri"/>
        <scheme val="none"/>
      </font>
      <fill>
        <patternFill patternType="solid">
          <fgColor rgb="FF000000"/>
          <bgColor rgb="FF538ED5"/>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theme="1"/>
        <name val="Calibri"/>
        <scheme val="minor"/>
      </font>
      <fill>
        <patternFill patternType="solid">
          <fgColor indexed="64"/>
          <bgColor theme="3" tint="0.39997558519241921"/>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165" formatCode="_ * #,##0.00_ ;_ * \-#,##0.00_ ;_ * &quot;-&quot;??_ ;_ @_ "/>
      <fill>
        <patternFill patternType="gray125">
          <fgColor indexed="64"/>
          <bgColor rgb="FF00B0F0"/>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40CA1"/>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auto="1"/>
        <name val="Calibri"/>
        <scheme val="minor"/>
      </font>
      <numFmt numFmtId="2" formatCode="0.00"/>
      <fill>
        <patternFill patternType="solid">
          <fgColor indexed="64"/>
          <bgColor theme="9" tint="-0.249977111117893"/>
        </patternFill>
      </fill>
      <alignment horizontal="center" vertical="bottom" textRotation="0" wrapText="0" 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FFF66"/>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auto="1"/>
        <name val="Calibri"/>
        <scheme val="minor"/>
      </font>
      <numFmt numFmtId="2" formatCode="0.00"/>
      <fill>
        <patternFill patternType="solid">
          <fgColor indexed="64"/>
          <bgColor theme="7" tint="-0.249977111117893"/>
        </patternFill>
      </fill>
      <alignment horizontal="center" vertical="bottom" textRotation="0" wrapText="0" 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theme="7" tint="-0.249977111117893"/>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theme="7" tint="0.39997558519241921"/>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165" formatCode="_ * #,##0.00_ ;_ * \-#,##0.00_ ;_ * &quot;-&quot;??_ ;_ @_ "/>
      <fill>
        <patternFill patternType="gray125">
          <fgColor indexed="64"/>
          <bgColor theme="3" tint="0.39991454817346722"/>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fill>
        <patternFill patternType="solid">
          <fgColor indexed="64"/>
          <bgColor rgb="FF92D050"/>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FC000"/>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F3300"/>
        </patternFill>
      </fill>
      <alignment horizontal="center" vertical="bottom" textRotation="0" wrapText="0" relativeIndent="0" justifyLastLine="0" shrinkToFit="0" readingOrder="0"/>
    </dxf>
    <dxf>
      <border outline="0">
        <left style="thin">
          <color rgb="FF4F81BD"/>
        </left>
      </border>
    </dxf>
    <dxf>
      <font>
        <b val="0"/>
        <i val="0"/>
        <strike val="0"/>
        <condense val="0"/>
        <extend val="0"/>
        <outline val="0"/>
        <shadow val="0"/>
        <u val="none"/>
        <vertAlign val="baseline"/>
        <sz val="12"/>
        <color rgb="FFFF0000"/>
        <name val="Calibri"/>
        <scheme val="none"/>
      </font>
      <fill>
        <patternFill patternType="solid">
          <fgColor rgb="FF000000"/>
          <bgColor rgb="FF538ED5"/>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theme="1"/>
        <name val="Calibri"/>
        <scheme val="minor"/>
      </font>
      <fill>
        <patternFill patternType="solid">
          <fgColor indexed="64"/>
          <bgColor theme="3" tint="0.39997558519241921"/>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165" formatCode="_ * #,##0.00_ ;_ * \-#,##0.00_ ;_ * &quot;-&quot;??_ ;_ @_ "/>
      <fill>
        <patternFill patternType="gray125">
          <fgColor indexed="64"/>
          <bgColor rgb="FF00B0F0"/>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40CA1"/>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BA7DD"/>
        </patternFill>
      </fill>
      <alignment horizontal="center" vertical="bottom" textRotation="0" wrapText="0" 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FFF66"/>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BA7DD"/>
        </patternFill>
      </fill>
      <alignment horizontal="center" vertical="bottom" textRotation="0" wrapText="0" 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theme="7" tint="-0.249977111117893"/>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BA7DD"/>
        </patternFill>
      </fill>
      <alignment horizontal="center" vertical="bottom" textRotation="0" wrapText="0" 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theme="7" tint="0.39997558519241921"/>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165" formatCode="_ * #,##0.00_ ;_ * \-#,##0.00_ ;_ * &quot;-&quot;??_ ;_ @_ "/>
      <fill>
        <patternFill patternType="gray125">
          <fgColor indexed="64"/>
          <bgColor theme="3" tint="0.39991454817346722"/>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BA7DD"/>
        </patternFill>
      </fill>
      <alignment horizontal="center" vertical="bottom" textRotation="0" wrapText="0" indent="0" justifyLastLine="0" shrinkToFit="0" readingOrder="0"/>
    </dxf>
    <dxf>
      <font>
        <b val="0"/>
        <i val="0"/>
        <strike val="0"/>
        <condense val="0"/>
        <extend val="0"/>
        <outline val="0"/>
        <shadow val="0"/>
        <u val="none"/>
        <vertAlign val="baseline"/>
        <sz val="12"/>
        <color rgb="FFFF0000"/>
        <name val="Calibri"/>
        <scheme val="minor"/>
      </font>
      <fill>
        <patternFill patternType="solid">
          <fgColor indexed="64"/>
          <bgColor rgb="FF92D050"/>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FC000"/>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F3300"/>
        </patternFill>
      </fill>
      <alignment horizontal="center" vertical="bottom" textRotation="0" wrapText="0" relativeIndent="0" justifyLastLine="0" shrinkToFit="0" readingOrder="0"/>
    </dxf>
    <dxf>
      <border outline="0">
        <left style="thin">
          <color rgb="FF4F81BD"/>
        </left>
      </border>
    </dxf>
    <dxf>
      <font>
        <b val="0"/>
        <i val="0"/>
        <strike val="0"/>
        <condense val="0"/>
        <extend val="0"/>
        <outline val="0"/>
        <shadow val="0"/>
        <u val="none"/>
        <vertAlign val="baseline"/>
        <sz val="12"/>
        <color rgb="FFFF0000"/>
        <name val="Calibri"/>
        <scheme val="none"/>
      </font>
      <fill>
        <patternFill patternType="solid">
          <fgColor rgb="FF000000"/>
          <bgColor rgb="FF538ED5"/>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theme="1"/>
        <name val="Calibri"/>
        <scheme val="minor"/>
      </font>
      <fill>
        <patternFill patternType="solid">
          <fgColor indexed="64"/>
          <bgColor theme="3" tint="0.39997558519241921"/>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165" formatCode="_ * #,##0.00_ ;_ * \-#,##0.00_ ;_ * &quot;-&quot;??_ ;_ @_ "/>
      <fill>
        <patternFill patternType="gray125">
          <fgColor indexed="64"/>
          <bgColor rgb="FF00B0F0"/>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40CA1"/>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auto="1"/>
        <name val="Calibri"/>
        <scheme val="minor"/>
      </font>
      <numFmt numFmtId="2" formatCode="0.00"/>
      <fill>
        <patternFill patternType="solid">
          <fgColor indexed="64"/>
          <bgColor theme="9" tint="-0.249977111117893"/>
        </patternFill>
      </fill>
      <alignment horizontal="center" vertical="bottom" textRotation="0" wrapText="0" 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FFF66"/>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auto="1"/>
        <name val="Calibri"/>
        <scheme val="minor"/>
      </font>
      <numFmt numFmtId="2" formatCode="0.00"/>
      <fill>
        <patternFill patternType="solid">
          <fgColor indexed="64"/>
          <bgColor theme="7" tint="-0.249977111117893"/>
        </patternFill>
      </fill>
      <alignment horizontal="center" vertical="bottom" textRotation="0" wrapText="0" 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theme="7" tint="-0.249977111117893"/>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theme="7" tint="0.39997558519241921"/>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165" formatCode="_ * #,##0.00_ ;_ * \-#,##0.00_ ;_ * &quot;-&quot;??_ ;_ @_ "/>
      <fill>
        <patternFill patternType="gray125">
          <fgColor indexed="64"/>
          <bgColor theme="3" tint="0.39991454817346722"/>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fill>
        <patternFill patternType="solid">
          <fgColor indexed="64"/>
          <bgColor rgb="FF92D050"/>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FC000"/>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FF0000"/>
        <name val="Calibri"/>
        <scheme val="minor"/>
      </font>
      <numFmt numFmtId="2" formatCode="0.00"/>
      <fill>
        <patternFill patternType="solid">
          <fgColor indexed="64"/>
          <bgColor rgb="FFFF3300"/>
        </patternFill>
      </fill>
      <alignment horizontal="center" vertical="bottom" textRotation="0" wrapText="0" relativeIndent="0" justifyLastLine="0" shrinkToFit="0" readingOrder="0"/>
    </dxf>
    <dxf>
      <border outline="0">
        <left style="thin">
          <color rgb="FF4F81BD"/>
        </left>
      </border>
    </dxf>
    <dxf>
      <font>
        <b val="0"/>
        <i val="0"/>
        <strike val="0"/>
        <condense val="0"/>
        <extend val="0"/>
        <outline val="0"/>
        <shadow val="0"/>
        <u val="none"/>
        <vertAlign val="baseline"/>
        <sz val="12"/>
        <color rgb="FFFF0000"/>
        <name val="Calibri"/>
        <scheme val="none"/>
      </font>
      <fill>
        <patternFill patternType="solid">
          <fgColor rgb="FF000000"/>
          <bgColor rgb="FF538ED5"/>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theme="1"/>
        <name val="Calibri"/>
        <scheme val="minor"/>
      </font>
      <fill>
        <patternFill patternType="solid">
          <fgColor indexed="64"/>
          <bgColor theme="3" tint="0.39997558519241921"/>
        </patternFill>
      </fill>
      <alignment horizontal="center" vertical="bottom" textRotation="0" wrapText="0" relativeIndent="0" justifyLastLine="0" shrinkToFit="0" readingOrder="0"/>
    </dxf>
    <dxf>
      <border outline="0">
        <left style="thin">
          <color rgb="FF4F81BD"/>
        </left>
      </border>
    </dxf>
    <dxf>
      <font>
        <b val="0"/>
        <i val="0"/>
        <strike val="0"/>
        <condense val="0"/>
        <extend val="0"/>
        <outline val="0"/>
        <shadow val="0"/>
        <u val="none"/>
        <vertAlign val="baseline"/>
        <sz val="12"/>
        <color rgb="FF000000"/>
        <name val="Calibri"/>
        <scheme val="none"/>
      </font>
      <fill>
        <patternFill patternType="solid">
          <fgColor indexed="64"/>
          <bgColor theme="3" tint="0.39997558519241921"/>
        </patternFill>
      </fill>
      <alignment horizontal="center" vertical="bottom" textRotation="0" wrapText="0" indent="0" justifyLastLine="0" shrinkToFit="0" readingOrder="0"/>
    </dxf>
    <dxf>
      <font>
        <b val="0"/>
        <i val="0"/>
        <strike val="0"/>
        <condense val="0"/>
        <extend val="0"/>
        <outline val="0"/>
        <shadow val="0"/>
        <u val="none"/>
        <vertAlign val="baseline"/>
        <sz val="12"/>
        <color rgb="FF000000"/>
        <name val="Calibri"/>
        <scheme val="none"/>
      </font>
      <numFmt numFmtId="165" formatCode="_ * #,##0.00_ ;_ * \-#,##0.00_ ;_ * &quot;-&quot;??_ ;_ @_ "/>
    </dxf>
    <dxf>
      <font>
        <b val="0"/>
        <i val="0"/>
        <strike val="0"/>
        <condense val="0"/>
        <extend val="0"/>
        <outline val="0"/>
        <shadow val="0"/>
        <u val="none"/>
        <vertAlign val="baseline"/>
        <sz val="12"/>
        <color theme="1"/>
        <name val="Calibri"/>
        <scheme val="minor"/>
      </font>
      <numFmt numFmtId="0" formatCode="General"/>
      <fill>
        <patternFill patternType="solid">
          <fgColor indexed="64"/>
          <bgColor theme="3" tint="0.59999389629810485"/>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theme="3" tint="0.39997558519241921"/>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theme="8" tint="0.39997558519241921"/>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theme="8" tint="0.39997558519241921"/>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theme="8" tint="0.39997558519241921"/>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theme="8" tint="0.39997558519241921"/>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theme="8" tint="0.79998168889431442"/>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theme="3" tint="0.5999938962981048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theme="3" tint="0.5999938962981048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theme="3" tint="0.5999938962981048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theme="3" tint="0.5999938962981048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theme="3"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theme="3"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theme="3"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theme="3" tint="0.79998168889431442"/>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alibri"/>
        <scheme val="minor"/>
      </font>
      <fill>
        <patternFill patternType="none">
          <fgColor indexed="64"/>
          <bgColor auto="1"/>
        </patternFill>
      </fill>
    </dxf>
    <dxf>
      <font>
        <b val="0"/>
        <i val="0"/>
        <strike val="0"/>
        <condense val="0"/>
        <extend val="0"/>
        <outline val="0"/>
        <shadow val="0"/>
        <u val="none"/>
        <vertAlign val="baseline"/>
        <sz val="12"/>
        <color rgb="FF000000"/>
        <name val="Calibri"/>
        <scheme val="none"/>
      </font>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rgb="FF000000"/>
        <name val="Calibri"/>
        <scheme val="none"/>
      </font>
      <fill>
        <patternFill patternType="gray0625">
          <fgColor indexed="64"/>
          <bgColor rgb="FFFF0000"/>
        </patternFill>
      </fill>
      <alignment horizontal="center" vertical="bottom" textRotation="0" wrapText="0" indent="0" justifyLastLine="0" shrinkToFit="0" readingOrder="0"/>
      <border diagonalUp="0" diagonalDown="0">
        <left style="thin">
          <color auto="1"/>
        </left>
        <right style="thin">
          <color auto="1"/>
        </right>
        <top/>
        <bottom/>
        <vertical/>
        <horizontal/>
      </border>
    </dxf>
    <dxf>
      <font>
        <b val="0"/>
        <i val="0"/>
        <strike val="0"/>
        <condense val="0"/>
        <extend val="0"/>
        <outline val="0"/>
        <shadow val="0"/>
        <u val="none"/>
        <vertAlign val="baseline"/>
        <sz val="12"/>
        <color rgb="FF000000"/>
        <name val="Calibri"/>
        <scheme val="none"/>
      </font>
      <fill>
        <patternFill patternType="solid">
          <fgColor rgb="FF000000"/>
          <bgColor rgb="FF538ED5"/>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theme="1"/>
        <name val="Calibri"/>
        <scheme val="minor"/>
      </font>
      <numFmt numFmtId="165" formatCode="_ * #,##0.00_ ;_ * \-#,##0.00_ ;_ * &quot;-&quot;??_ ;_ @_ "/>
      <fill>
        <patternFill patternType="gray0625">
          <fgColor indexed="64"/>
          <bgColor rgb="FFFF0000"/>
        </patternFill>
      </fill>
      <alignment horizontal="center" vertical="bottom" textRotation="0" wrapText="0" relative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2"/>
        <color theme="1"/>
        <name val="Calibri"/>
        <scheme val="minor"/>
      </font>
      <fill>
        <patternFill patternType="gray0625">
          <fgColor indexed="64"/>
          <bgColor rgb="FFFF0000"/>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theme="1"/>
        <name val="Calibri"/>
        <scheme val="minor"/>
      </font>
      <numFmt numFmtId="14" formatCode="0.00%"/>
      <fill>
        <patternFill patternType="solid">
          <fgColor indexed="64"/>
          <bgColor rgb="FF92D050"/>
        </patternFill>
      </fill>
      <alignment horizontal="center" vertical="bottom" textRotation="0" wrapText="0" indent="0" justifyLastLine="0" shrinkToFit="0" readingOrder="0"/>
      <border diagonalUp="0" diagonalDown="0">
        <left style="thin">
          <color auto="1"/>
        </left>
        <right style="thin">
          <color auto="1"/>
        </right>
        <top/>
        <bottom/>
        <vertical/>
        <horizontal/>
      </border>
    </dxf>
    <dxf>
      <font>
        <b val="0"/>
        <i val="0"/>
        <strike val="0"/>
        <condense val="0"/>
        <extend val="0"/>
        <outline val="0"/>
        <shadow val="0"/>
        <u val="none"/>
        <vertAlign val="baseline"/>
        <sz val="12"/>
        <color theme="1"/>
        <name val="Calibri"/>
        <scheme val="minor"/>
      </font>
      <numFmt numFmtId="165" formatCode="_ * #,##0.00_ ;_ * \-#,##0.00_ ;_ * &quot;-&quot;??_ ;_ @_ "/>
      <fill>
        <patternFill patternType="solid">
          <fgColor indexed="64"/>
          <bgColor rgb="FF92D050"/>
        </patternFill>
      </fill>
      <alignment horizontal="center" vertical="bottom" textRotation="0" wrapText="0" indent="0" justifyLastLine="0" shrinkToFit="0" readingOrder="0"/>
      <border diagonalUp="0" diagonalDown="0">
        <left style="thin">
          <color auto="1"/>
        </left>
        <right style="thin">
          <color auto="1"/>
        </right>
        <top/>
        <bottom/>
        <vertical/>
        <horizontal/>
      </border>
    </dxf>
    <dxf>
      <font>
        <b val="0"/>
        <i val="0"/>
        <strike val="0"/>
        <condense val="0"/>
        <extend val="0"/>
        <outline val="0"/>
        <shadow val="0"/>
        <u val="none"/>
        <vertAlign val="baseline"/>
        <sz val="12"/>
        <color theme="1"/>
        <name val="Calibri"/>
        <scheme val="minor"/>
      </font>
      <numFmt numFmtId="165" formatCode="_ * #,##0.00_ ;_ * \-#,##0.00_ ;_ * &quot;-&quot;??_ ;_ @_ "/>
      <fill>
        <patternFill patternType="solid">
          <fgColor indexed="64"/>
          <bgColor rgb="FF92D050"/>
        </patternFill>
      </fill>
      <alignment horizontal="center" vertical="bottom" textRotation="0" wrapText="0" relative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2"/>
        <color theme="1"/>
        <name val="Calibri"/>
        <scheme val="minor"/>
      </font>
      <numFmt numFmtId="165" formatCode="_ * #,##0.00_ ;_ * \-#,##0.00_ ;_ * &quot;-&quot;??_ ;_ @_ "/>
      <fill>
        <patternFill patternType="solid">
          <fgColor indexed="64"/>
          <bgColor rgb="FF92D050"/>
        </patternFill>
      </fill>
      <alignment horizontal="center" vertical="bottom" textRotation="0" wrapText="0" relative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2"/>
        <color theme="1"/>
        <name val="Calibri"/>
        <scheme val="minor"/>
      </font>
      <fill>
        <patternFill patternType="solid">
          <fgColor indexed="64"/>
          <bgColor rgb="FFFFFF00"/>
        </patternFill>
      </fill>
      <alignment horizontal="center" vertical="bottom" textRotation="0" wrapText="0" indent="0" justifyLastLine="0" shrinkToFit="0" readingOrder="0"/>
      <border diagonalUp="0" diagonalDown="0">
        <left style="thin">
          <color auto="1"/>
        </left>
        <right style="thin">
          <color auto="1"/>
        </right>
        <top/>
        <bottom/>
        <vertical/>
        <horizontal/>
      </border>
    </dxf>
    <dxf>
      <font>
        <b val="0"/>
        <i val="0"/>
        <strike val="0"/>
        <condense val="0"/>
        <extend val="0"/>
        <outline val="0"/>
        <shadow val="0"/>
        <u val="none"/>
        <vertAlign val="baseline"/>
        <sz val="12"/>
        <color theme="1"/>
        <name val="Calibri"/>
        <scheme val="minor"/>
      </font>
      <fill>
        <patternFill patternType="solid">
          <fgColor indexed="64"/>
          <bgColor rgb="FFFFFF00"/>
        </patternFill>
      </fill>
      <alignment horizontal="center" vertical="bottom" textRotation="0" wrapText="0" indent="0" justifyLastLine="0" shrinkToFit="0" readingOrder="0"/>
      <border diagonalUp="0" diagonalDown="0">
        <left style="thin">
          <color auto="1"/>
        </left>
        <right style="thin">
          <color auto="1"/>
        </right>
        <top/>
        <bottom/>
        <vertical/>
        <horizontal/>
      </border>
    </dxf>
    <dxf>
      <font>
        <b val="0"/>
        <i val="0"/>
        <strike val="0"/>
        <condense val="0"/>
        <extend val="0"/>
        <outline val="0"/>
        <shadow val="0"/>
        <u val="none"/>
        <vertAlign val="baseline"/>
        <sz val="12"/>
        <color theme="1"/>
        <name val="Calibri"/>
        <scheme val="minor"/>
      </font>
      <numFmt numFmtId="165" formatCode="_ * #,##0.00_ ;_ * \-#,##0.00_ ;_ * &quot;-&quot;??_ ;_ @_ "/>
      <fill>
        <patternFill patternType="solid">
          <fgColor indexed="64"/>
          <bgColor rgb="FFFFFF00"/>
        </patternFill>
      </fill>
      <alignment horizontal="center" vertical="bottom" textRotation="0" wrapText="0" relative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2"/>
        <color theme="1"/>
        <name val="Calibri"/>
        <scheme val="minor"/>
      </font>
      <fill>
        <patternFill patternType="solid">
          <fgColor indexed="64"/>
          <bgColor rgb="FFFFFF00"/>
        </patternFill>
      </fill>
      <alignment horizontal="center" vertical="bottom" textRotation="0" wrapText="0" relativeIndent="0" justifyLastLine="0" shrinkToFit="0" readingOrder="0"/>
      <border outline="0">
        <right style="thin">
          <color auto="1"/>
        </right>
      </border>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rgb="FFFF330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rgb="FFFF330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rgb="FFFF3300"/>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rgb="FFFF3300"/>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theme="1"/>
        <name val="Calibri"/>
        <scheme val="minor"/>
      </font>
      <fill>
        <patternFill patternType="none">
          <fgColor indexed="64"/>
          <bgColor auto="1"/>
        </patternFill>
      </fill>
      <border diagonalUp="0" diagonalDown="0" outline="0">
        <left/>
        <right/>
        <top/>
        <bottom style="thin">
          <color theme="4"/>
        </bottom>
      </border>
    </dxf>
    <dxf>
      <border outline="0">
        <left style="thin">
          <color rgb="FF4F81BD"/>
        </left>
      </border>
    </dxf>
    <dxf>
      <font>
        <b val="0"/>
        <i val="0"/>
        <strike val="0"/>
        <condense val="0"/>
        <extend val="0"/>
        <outline val="0"/>
        <shadow val="0"/>
        <u val="none"/>
        <vertAlign val="baseline"/>
        <sz val="12"/>
        <color rgb="FF000000"/>
        <name val="Calibri"/>
        <scheme val="none"/>
      </font>
      <fill>
        <patternFill patternType="solid">
          <fgColor rgb="FF000000"/>
          <bgColor rgb="FF538ED5"/>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theme="1"/>
        <name val="Calibri"/>
        <scheme val="minor"/>
      </font>
      <fill>
        <patternFill patternType="solid">
          <fgColor indexed="64"/>
          <bgColor theme="3" tint="0.39997558519241921"/>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000000"/>
        <name val="Calibri"/>
        <scheme val="none"/>
      </font>
      <numFmt numFmtId="166" formatCode="_ * #,##0_ ;_ * \-#,##0_ ;_ * &quot;-&quot;??_ ;_ @_ "/>
      <fill>
        <patternFill patternType="solid">
          <fgColor indexed="64"/>
          <bgColor rgb="FFFF330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theme="5" tint="0.79998168889431442"/>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theme="9" tint="-0.249977111117893"/>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theme="9" tint="-0.249977111117893"/>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theme="9" tint="-0.249977111117893"/>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theme="9" tint="-0.249977111117893"/>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theme="5"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theme="5"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theme="5" tint="0.79998168889431442"/>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theme="5" tint="0.79998168889431442"/>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rgb="FFFFC00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rgb="FFFFC00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rgb="FFFFC000"/>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rgb="FFFFC000"/>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theme="3" tint="0.5999938962981048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theme="3" tint="0.5999938962981048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theme="3" tint="0.59999389629810485"/>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theme="3" tint="0.59999389629810485"/>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auto="1"/>
        <name val="Calibri"/>
        <scheme val="minor"/>
      </font>
      <numFmt numFmtId="166" formatCode="_ * #,##0_ ;_ * \-#,##0_ ;_ * &quot;-&quot;??_ ;_ @_ "/>
      <fill>
        <patternFill patternType="solid">
          <fgColor indexed="64"/>
          <bgColor rgb="FF92D050"/>
        </patternFill>
      </fill>
      <alignment horizontal="center" vertical="center" textRotation="0" wrapText="0" indent="0" justifyLastLine="0" shrinkToFit="0" readingOrder="0"/>
    </dxf>
    <dxf>
      <font>
        <b val="0"/>
        <i val="0"/>
        <strike val="0"/>
        <condense val="0"/>
        <extend val="0"/>
        <outline val="0"/>
        <shadow val="0"/>
        <u val="none"/>
        <vertAlign val="baseline"/>
        <sz val="12"/>
        <color auto="1"/>
        <name val="Calibri"/>
        <scheme val="minor"/>
      </font>
      <numFmt numFmtId="166" formatCode="_ * #,##0_ ;_ * \-#,##0_ ;_ * &quot;-&quot;??_ ;_ @_ "/>
      <fill>
        <patternFill patternType="solid">
          <fgColor indexed="64"/>
          <bgColor rgb="FF92D050"/>
        </patternFill>
      </fill>
      <alignment horizontal="center" vertical="center" textRotation="0" wrapText="0" indent="0" justifyLastLine="0" shrinkToFit="0" readingOrder="0"/>
    </dxf>
    <dxf>
      <font>
        <b val="0"/>
        <i val="0"/>
        <strike val="0"/>
        <condense val="0"/>
        <extend val="0"/>
        <outline val="0"/>
        <shadow val="0"/>
        <u val="none"/>
        <vertAlign val="baseline"/>
        <sz val="12"/>
        <color auto="1"/>
        <name val="Calibri"/>
        <scheme val="minor"/>
      </font>
      <numFmt numFmtId="166" formatCode="_ * #,##0_ ;_ * \-#,##0_ ;_ * &quot;-&quot;??_ ;_ @_ "/>
      <fill>
        <patternFill patternType="solid">
          <fgColor indexed="64"/>
          <bgColor rgb="FF92D050"/>
        </patternFill>
      </fill>
      <alignment horizontal="center" vertical="center" textRotation="0" wrapText="0" relativeIndent="0" justifyLastLine="0" shrinkToFit="0" readingOrder="0"/>
    </dxf>
    <dxf>
      <font>
        <b val="0"/>
        <i val="0"/>
        <strike val="0"/>
        <condense val="0"/>
        <extend val="0"/>
        <outline val="0"/>
        <shadow val="0"/>
        <u val="none"/>
        <vertAlign val="baseline"/>
        <sz val="12"/>
        <color auto="1"/>
        <name val="Calibri"/>
        <scheme val="minor"/>
      </font>
      <numFmt numFmtId="166" formatCode="_ * #,##0_ ;_ * \-#,##0_ ;_ * &quot;-&quot;??_ ;_ @_ "/>
      <fill>
        <patternFill patternType="solid">
          <fgColor indexed="64"/>
          <bgColor rgb="FF92D050"/>
        </patternFill>
      </fill>
      <alignment horizontal="center" vertical="center" textRotation="0" wrapText="0" relativeIndent="0" justifyLastLine="0" shrinkToFit="0" readingOrder="0"/>
    </dxf>
    <dxf>
      <font>
        <b val="0"/>
        <i val="0"/>
        <strike val="0"/>
        <condense val="0"/>
        <extend val="0"/>
        <outline val="0"/>
        <shadow val="0"/>
        <u val="none"/>
        <vertAlign val="baseline"/>
        <sz val="12"/>
        <color auto="1"/>
        <name val="Calibri"/>
        <scheme val="minor"/>
      </font>
      <fill>
        <patternFill patternType="none">
          <fgColor indexed="64"/>
          <bgColor auto="1"/>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000000"/>
        <name val="Calibri"/>
        <scheme val="none"/>
      </font>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numFmt numFmtId="166" formatCode="_ * #,##0_ ;_ * \-#,##0_ ;_ * &quot;-&quot;??_ ;_ @_ "/>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theme="5" tint="0.79998168889431442"/>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rgb="FFFF330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 formatCode="0"/>
      <fill>
        <patternFill patternType="solid">
          <fgColor indexed="64"/>
          <bgColor theme="9" tint="-0.249977111117893"/>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 formatCode="0"/>
      <fill>
        <patternFill patternType="solid">
          <fgColor indexed="64"/>
          <bgColor theme="9" tint="-0.249977111117893"/>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 formatCode="0"/>
      <fill>
        <patternFill patternType="solid">
          <fgColor indexed="64"/>
          <bgColor theme="9" tint="-0.249977111117893"/>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 formatCode="0"/>
      <fill>
        <patternFill patternType="solid">
          <fgColor indexed="64"/>
          <bgColor theme="9" tint="-0.249977111117893"/>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 formatCode="0"/>
      <fill>
        <patternFill patternType="solid">
          <fgColor indexed="64"/>
          <bgColor theme="5"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 formatCode="0"/>
      <fill>
        <patternFill patternType="solid">
          <fgColor indexed="64"/>
          <bgColor theme="5"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 formatCode="0"/>
      <fill>
        <patternFill patternType="solid">
          <fgColor indexed="64"/>
          <bgColor theme="5"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 formatCode="0"/>
      <fill>
        <patternFill patternType="solid">
          <fgColor indexed="64"/>
          <bgColor theme="5"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rgb="FFFFC00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rgb="FFFFC00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rgb="FFFFC00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rgb="FFFFC00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 formatCode="0"/>
      <fill>
        <patternFill patternType="solid">
          <fgColor indexed="64"/>
          <bgColor theme="3" tint="0.5999938962981048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 formatCode="0"/>
      <fill>
        <patternFill patternType="solid">
          <fgColor indexed="64"/>
          <bgColor theme="3" tint="0.5999938962981048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 formatCode="0"/>
      <fill>
        <patternFill patternType="solid">
          <fgColor indexed="64"/>
          <bgColor theme="3" tint="0.5999938962981048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 formatCode="0"/>
      <fill>
        <patternFill patternType="solid">
          <fgColor indexed="64"/>
          <bgColor theme="3" tint="0.5999938962981048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scheme val="minor"/>
      </font>
      <numFmt numFmtId="166" formatCode="_ * #,##0_ ;_ * \-#,##0_ ;_ * &quot;-&quot;??_ ;_ @_ "/>
      <fill>
        <patternFill patternType="solid">
          <fgColor indexed="64"/>
          <bgColor rgb="FF92D050"/>
        </patternFill>
      </fill>
      <alignment horizontal="center" vertical="center" textRotation="0" wrapText="0" indent="0" justifyLastLine="0" shrinkToFit="0" readingOrder="0"/>
    </dxf>
    <dxf>
      <font>
        <b val="0"/>
        <i val="0"/>
        <strike val="0"/>
        <condense val="0"/>
        <extend val="0"/>
        <outline val="0"/>
        <shadow val="0"/>
        <u val="none"/>
        <vertAlign val="baseline"/>
        <sz val="12"/>
        <color auto="1"/>
        <name val="Calibri"/>
        <scheme val="minor"/>
      </font>
      <numFmt numFmtId="166" formatCode="_ * #,##0_ ;_ * \-#,##0_ ;_ * &quot;-&quot;??_ ;_ @_ "/>
      <fill>
        <patternFill patternType="solid">
          <fgColor indexed="64"/>
          <bgColor rgb="FF92D050"/>
        </patternFill>
      </fill>
      <alignment horizontal="center" vertical="center" textRotation="0" wrapText="0" indent="0" justifyLastLine="0" shrinkToFit="0" readingOrder="0"/>
    </dxf>
    <dxf>
      <font>
        <b val="0"/>
        <i val="0"/>
        <strike val="0"/>
        <condense val="0"/>
        <extend val="0"/>
        <outline val="0"/>
        <shadow val="0"/>
        <u val="none"/>
        <vertAlign val="baseline"/>
        <sz val="12"/>
        <color auto="1"/>
        <name val="Calibri"/>
        <scheme val="minor"/>
      </font>
      <numFmt numFmtId="166" formatCode="_ * #,##0_ ;_ * \-#,##0_ ;_ * &quot;-&quot;??_ ;_ @_ "/>
      <fill>
        <patternFill patternType="solid">
          <fgColor indexed="64"/>
          <bgColor rgb="FF92D050"/>
        </patternFill>
      </fill>
      <alignment horizontal="center" vertical="center" textRotation="0" wrapText="0" indent="0" justifyLastLine="0" shrinkToFit="0" readingOrder="0"/>
    </dxf>
    <dxf>
      <font>
        <b val="0"/>
        <i val="0"/>
        <strike val="0"/>
        <condense val="0"/>
        <extend val="0"/>
        <outline val="0"/>
        <shadow val="0"/>
        <u val="none"/>
        <vertAlign val="baseline"/>
        <sz val="12"/>
        <color auto="1"/>
        <name val="Calibri"/>
        <scheme val="minor"/>
      </font>
      <numFmt numFmtId="166" formatCode="_ * #,##0_ ;_ * \-#,##0_ ;_ * &quot;-&quot;??_ ;_ @_ "/>
      <fill>
        <patternFill patternType="solid">
          <fgColor indexed="64"/>
          <bgColor rgb="FF92D050"/>
        </patternFill>
      </fill>
      <alignment horizontal="center" vertical="center" textRotation="0" wrapText="0" indent="0" justifyLastLine="0" shrinkToFit="0" readingOrder="0"/>
    </dxf>
    <dxf>
      <font>
        <b val="0"/>
        <i val="0"/>
        <strike val="0"/>
        <condense val="0"/>
        <extend val="0"/>
        <outline val="0"/>
        <shadow val="0"/>
        <u val="none"/>
        <vertAlign val="baseline"/>
        <sz val="12"/>
        <color auto="1"/>
        <name val="Calibri"/>
        <scheme val="minor"/>
      </font>
      <fill>
        <patternFill patternType="none">
          <fgColor indexed="64"/>
          <bgColor auto="1"/>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000000"/>
        <name val="Calibri"/>
        <scheme val="none"/>
      </font>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numFmt numFmtId="166" formatCode="_ * #,##0_ ;_ * \-#,##0_ ;_ * &quot;-&quot;??_ ;_ @_ "/>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theme="5" tint="0.79998168889431442"/>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rgb="FFFF330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 formatCode="0"/>
      <fill>
        <patternFill patternType="solid">
          <fgColor indexed="64"/>
          <bgColor theme="9" tint="-0.249977111117893"/>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 formatCode="0"/>
      <fill>
        <patternFill patternType="solid">
          <fgColor indexed="64"/>
          <bgColor theme="9" tint="-0.249977111117893"/>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 formatCode="0"/>
      <fill>
        <patternFill patternType="solid">
          <fgColor indexed="64"/>
          <bgColor theme="9" tint="-0.249977111117893"/>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 formatCode="0"/>
      <fill>
        <patternFill patternType="solid">
          <fgColor indexed="64"/>
          <bgColor theme="9" tint="-0.249977111117893"/>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 formatCode="0"/>
      <fill>
        <patternFill patternType="solid">
          <fgColor indexed="64"/>
          <bgColor theme="5"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 formatCode="0"/>
      <fill>
        <patternFill patternType="solid">
          <fgColor indexed="64"/>
          <bgColor theme="5"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 formatCode="0"/>
      <fill>
        <patternFill patternType="solid">
          <fgColor indexed="64"/>
          <bgColor theme="5"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 formatCode="0"/>
      <fill>
        <patternFill patternType="solid">
          <fgColor indexed="64"/>
          <bgColor theme="5" tint="0.79998168889431442"/>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rgb="FFFFC00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rgb="FFFFC00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rgb="FFFFC00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6" formatCode="_ * #,##0_ ;_ * \-#,##0_ ;_ * &quot;-&quot;??_ ;_ @_ "/>
      <fill>
        <patternFill patternType="solid">
          <fgColor indexed="64"/>
          <bgColor rgb="FFFFC000"/>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 formatCode="0"/>
      <fill>
        <patternFill patternType="solid">
          <fgColor indexed="64"/>
          <bgColor theme="3" tint="0.5999938962981048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 formatCode="0"/>
      <fill>
        <patternFill patternType="solid">
          <fgColor indexed="64"/>
          <bgColor theme="3" tint="0.5999938962981048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 formatCode="0"/>
      <fill>
        <patternFill patternType="solid">
          <fgColor indexed="64"/>
          <bgColor theme="3" tint="0.59999389629810485"/>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 formatCode="0"/>
      <fill>
        <patternFill patternType="solid">
          <fgColor indexed="64"/>
          <bgColor theme="3" tint="0.59999389629810485"/>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Calibri"/>
        <scheme val="minor"/>
      </font>
      <numFmt numFmtId="166" formatCode="_ * #,##0_ ;_ * \-#,##0_ ;_ * &quot;-&quot;??_ ;_ @_ "/>
      <fill>
        <patternFill patternType="solid">
          <fgColor indexed="64"/>
          <bgColor rgb="FF92D050"/>
        </patternFill>
      </fill>
      <alignment horizontal="center" vertical="center" textRotation="0" wrapText="0" indent="0" justifyLastLine="0" shrinkToFit="0" readingOrder="0"/>
    </dxf>
    <dxf>
      <font>
        <b val="0"/>
        <i val="0"/>
        <strike val="0"/>
        <condense val="0"/>
        <extend val="0"/>
        <outline val="0"/>
        <shadow val="0"/>
        <u val="none"/>
        <vertAlign val="baseline"/>
        <sz val="12"/>
        <color auto="1"/>
        <name val="Calibri"/>
        <scheme val="minor"/>
      </font>
      <numFmt numFmtId="166" formatCode="_ * #,##0_ ;_ * \-#,##0_ ;_ * &quot;-&quot;??_ ;_ @_ "/>
      <fill>
        <patternFill patternType="solid">
          <fgColor indexed="64"/>
          <bgColor rgb="FF92D050"/>
        </patternFill>
      </fill>
      <alignment horizontal="center" vertical="center" textRotation="0" wrapText="0" indent="0" justifyLastLine="0" shrinkToFit="0" readingOrder="0"/>
    </dxf>
    <dxf>
      <font>
        <b val="0"/>
        <i val="0"/>
        <strike val="0"/>
        <condense val="0"/>
        <extend val="0"/>
        <outline val="0"/>
        <shadow val="0"/>
        <u val="none"/>
        <vertAlign val="baseline"/>
        <sz val="12"/>
        <color auto="1"/>
        <name val="Calibri"/>
        <scheme val="minor"/>
      </font>
      <numFmt numFmtId="166" formatCode="_ * #,##0_ ;_ * \-#,##0_ ;_ * &quot;-&quot;??_ ;_ @_ "/>
      <fill>
        <patternFill patternType="solid">
          <fgColor indexed="64"/>
          <bgColor rgb="FF92D050"/>
        </patternFill>
      </fill>
      <alignment horizontal="center" vertical="center" textRotation="0" wrapText="0" indent="0" justifyLastLine="0" shrinkToFit="0" readingOrder="0"/>
    </dxf>
    <dxf>
      <font>
        <b val="0"/>
        <i val="0"/>
        <strike val="0"/>
        <condense val="0"/>
        <extend val="0"/>
        <outline val="0"/>
        <shadow val="0"/>
        <u val="none"/>
        <vertAlign val="baseline"/>
        <sz val="12"/>
        <color auto="1"/>
        <name val="Calibri"/>
        <scheme val="minor"/>
      </font>
      <numFmt numFmtId="166" formatCode="_ * #,##0_ ;_ * \-#,##0_ ;_ * &quot;-&quot;??_ ;_ @_ "/>
      <fill>
        <patternFill patternType="solid">
          <fgColor indexed="64"/>
          <bgColor rgb="FF92D050"/>
        </patternFill>
      </fill>
      <alignment horizontal="center" vertical="center" textRotation="0" wrapText="0" indent="0" justifyLastLine="0" shrinkToFit="0" readingOrder="0"/>
    </dxf>
    <dxf>
      <font>
        <b val="0"/>
        <i val="0"/>
        <strike val="0"/>
        <condense val="0"/>
        <extend val="0"/>
        <outline val="0"/>
        <shadow val="0"/>
        <u val="none"/>
        <vertAlign val="baseline"/>
        <sz val="12"/>
        <color auto="1"/>
        <name val="Calibri"/>
        <scheme val="minor"/>
      </font>
      <fill>
        <patternFill patternType="none">
          <fgColor indexed="64"/>
          <bgColor auto="1"/>
        </patternFill>
      </fill>
      <alignment horizontal="center" vertical="bottom" textRotation="0" wrapText="0" relativeIndent="0" justifyLastLine="0" shrinkToFit="0" readingOrder="0"/>
    </dxf>
    <dxf>
      <font>
        <b val="0"/>
        <i val="0"/>
        <strike val="0"/>
        <condense val="0"/>
        <extend val="0"/>
        <outline val="0"/>
        <shadow val="0"/>
        <u val="none"/>
        <vertAlign val="baseline"/>
        <sz val="12"/>
        <color rgb="FF000000"/>
        <name val="Calibri"/>
        <scheme val="none"/>
      </font>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s>
  <tableStyles count="0" defaultTableStyle="TableStyleMedium9" defaultPivotStyle="PivotStyleLight16"/>
  <colors>
    <mruColors>
      <color rgb="FFFBA7DD"/>
      <color rgb="FFF40CA1"/>
      <color rgb="FFFF3300"/>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0.xml"/><Relationship Id="rId1" Type="http://schemas.microsoft.com/office/2011/relationships/chartStyle" Target="style10.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9.xml"/><Relationship Id="rId2" Type="http://schemas.microsoft.com/office/2011/relationships/chartColorStyle" Target="colors12.xml"/><Relationship Id="rId1" Type="http://schemas.microsoft.com/office/2011/relationships/chartStyle" Target="style12.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22.xml"/><Relationship Id="rId2" Type="http://schemas.microsoft.com/office/2011/relationships/chartColorStyle" Target="colors13.xml"/><Relationship Id="rId1" Type="http://schemas.microsoft.com/office/2011/relationships/chartStyle" Target="style13.xml"/></Relationships>
</file>

<file path=xl/charts/_rels/chart2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25.xml"/><Relationship Id="rId2" Type="http://schemas.microsoft.com/office/2011/relationships/chartColorStyle" Target="colors15.xml"/><Relationship Id="rId1" Type="http://schemas.microsoft.com/office/2011/relationships/chartStyle" Target="style15.xml"/></Relationships>
</file>

<file path=xl/charts/_rels/chart2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27.xml"/><Relationship Id="rId2" Type="http://schemas.microsoft.com/office/2011/relationships/chartColorStyle" Target="colors17.xml"/><Relationship Id="rId1" Type="http://schemas.microsoft.com/office/2011/relationships/chartStyle" Target="style17.xml"/></Relationships>
</file>

<file path=xl/charts/_rels/chart2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29.xml"/><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Abstraction source for drinking water supply in 2014</a:t>
            </a:r>
          </a:p>
          <a:p>
            <a:pPr>
              <a:defRPr/>
            </a:pPr>
            <a:r>
              <a:rPr lang="en-US"/>
              <a:t>in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 abstraction source'!$B$75</c:f>
              <c:strCache>
                <c:ptCount val="1"/>
                <c:pt idx="0">
                  <c:v>groundwater
 2014</c:v>
                </c:pt>
              </c:strCache>
            </c:strRef>
          </c:tx>
          <c:spPr>
            <a:solidFill>
              <a:schemeClr val="accent1"/>
            </a:solidFill>
            <a:ln>
              <a:noFill/>
            </a:ln>
            <a:effectLst/>
          </c:spPr>
          <c:invertIfNegative val="0"/>
          <c:cat>
            <c:strRef>
              <c:extLst>
                <c:ext xmlns:c15="http://schemas.microsoft.com/office/drawing/2012/chart" uri="{02D57815-91ED-43cb-92C2-25804820EDAC}">
                  <c15:fullRef>
                    <c15:sqref>'% abstraction source'!$A$76:$A$121</c15:sqref>
                  </c15:fullRef>
                </c:ext>
              </c:extLst>
              <c:f>('% abstraction source'!$A$78,'% abstraction source'!$A$80:$A$82,'% abstraction source'!$A$84:$A$86,'% abstraction source'!$A$88:$A$95,'% abstraction source'!$A$98:$A$113,'% abstraction source'!$A$115:$A$117,'% abstraction source'!$A$119:$A$121)</c:f>
              <c:strCache>
                <c:ptCount val="37"/>
                <c:pt idx="0">
                  <c:v>Australia</c:v>
                </c:pt>
                <c:pt idx="1">
                  <c:v>Belgium</c:v>
                </c:pt>
                <c:pt idx="2">
                  <c:v>Canada</c:v>
                </c:pt>
                <c:pt idx="3">
                  <c:v>Chile</c:v>
                </c:pt>
                <c:pt idx="4">
                  <c:v>Hong Kong, China</c:v>
                </c:pt>
                <c:pt idx="5">
                  <c:v>Chinese Taiwan</c:v>
                </c:pt>
                <c:pt idx="6">
                  <c:v>Cyprus</c:v>
                </c:pt>
                <c:pt idx="7">
                  <c:v>Denmark</c:v>
                </c:pt>
                <c:pt idx="8">
                  <c:v>England &amp; Wales</c:v>
                </c:pt>
                <c:pt idx="9">
                  <c:v>Finland</c:v>
                </c:pt>
                <c:pt idx="10">
                  <c:v>France</c:v>
                </c:pt>
                <c:pt idx="11">
                  <c:v>Germany</c:v>
                </c:pt>
                <c:pt idx="12">
                  <c:v>Greece</c:v>
                </c:pt>
                <c:pt idx="13">
                  <c:v>Hungary </c:v>
                </c:pt>
                <c:pt idx="14">
                  <c:v>Iceland</c:v>
                </c:pt>
                <c:pt idx="15">
                  <c:v>Japan</c:v>
                </c:pt>
                <c:pt idx="16">
                  <c:v>Kenya</c:v>
                </c:pt>
                <c:pt idx="17">
                  <c:v>Macao, China</c:v>
                </c:pt>
                <c:pt idx="18">
                  <c:v>Malta</c:v>
                </c:pt>
                <c:pt idx="19">
                  <c:v>Mauritius</c:v>
                </c:pt>
                <c:pt idx="20">
                  <c:v>Mexico</c:v>
                </c:pt>
                <c:pt idx="21">
                  <c:v>Namibia</c:v>
                </c:pt>
                <c:pt idx="22">
                  <c:v>Netherlands</c:v>
                </c:pt>
                <c:pt idx="23">
                  <c:v>Norway</c:v>
                </c:pt>
                <c:pt idx="24">
                  <c:v>Poland</c:v>
                </c:pt>
                <c:pt idx="25">
                  <c:v>Portugal</c:v>
                </c:pt>
                <c:pt idx="26">
                  <c:v>Romania</c:v>
                </c:pt>
                <c:pt idx="27">
                  <c:v>Russia</c:v>
                </c:pt>
                <c:pt idx="28">
                  <c:v>Scotland (UK)</c:v>
                </c:pt>
                <c:pt idx="29">
                  <c:v>South Korea</c:v>
                </c:pt>
                <c:pt idx="30">
                  <c:v>Spain</c:v>
                </c:pt>
                <c:pt idx="31">
                  <c:v>Switzerland</c:v>
                </c:pt>
                <c:pt idx="32">
                  <c:v>Tanzania</c:v>
                </c:pt>
                <c:pt idx="33">
                  <c:v>Thailand</c:v>
                </c:pt>
                <c:pt idx="34">
                  <c:v>Uganda</c:v>
                </c:pt>
                <c:pt idx="35">
                  <c:v>United States of America</c:v>
                </c:pt>
                <c:pt idx="36">
                  <c:v>Zambia</c:v>
                </c:pt>
              </c:strCache>
            </c:strRef>
          </c:cat>
          <c:val>
            <c:numRef>
              <c:extLst>
                <c:ext xmlns:c15="http://schemas.microsoft.com/office/drawing/2012/chart" uri="{02D57815-91ED-43cb-92C2-25804820EDAC}">
                  <c15:fullRef>
                    <c15:sqref>'% abstraction source'!$B$76:$B$121</c15:sqref>
                  </c15:fullRef>
                </c:ext>
              </c:extLst>
              <c:f>('% abstraction source'!$B$78,'% abstraction source'!$B$80:$B$82,'% abstraction source'!$B$84:$B$86,'% abstraction source'!$B$88:$B$95,'% abstraction source'!$B$98:$B$113,'% abstraction source'!$B$115:$B$117,'% abstraction source'!$B$119:$B$121)</c:f>
              <c:numCache>
                <c:formatCode>_ * #,##0.00_ ;_ * \-#,##0.00_ ;_ * "-"??_ ;_ @_ </c:formatCode>
                <c:ptCount val="37"/>
                <c:pt idx="0">
                  <c:v>7.5508493071020126</c:v>
                </c:pt>
                <c:pt idx="1">
                  <c:v>64.567316330816709</c:v>
                </c:pt>
                <c:pt idx="2">
                  <c:v>5.9982028676598738</c:v>
                </c:pt>
                <c:pt idx="3">
                  <c:v>42.62564545347324</c:v>
                </c:pt>
                <c:pt idx="4">
                  <c:v>0</c:v>
                </c:pt>
                <c:pt idx="5">
                  <c:v>17.705635027140424</c:v>
                </c:pt>
                <c:pt idx="6">
                  <c:v>49.153468050245763</c:v>
                </c:pt>
                <c:pt idx="7">
                  <c:v>100</c:v>
                </c:pt>
                <c:pt idx="8">
                  <c:v>29.13918778202013</c:v>
                </c:pt>
                <c:pt idx="9">
                  <c:v>36.877042009379643</c:v>
                </c:pt>
                <c:pt idx="10">
                  <c:v>66.475026949335245</c:v>
                </c:pt>
                <c:pt idx="11">
                  <c:v>61.335434311601347</c:v>
                </c:pt>
                <c:pt idx="12">
                  <c:v>53.240147422928707</c:v>
                </c:pt>
                <c:pt idx="13">
                  <c:v>84.999999999999986</c:v>
                </c:pt>
                <c:pt idx="14">
                  <c:v>77.52783898927575</c:v>
                </c:pt>
                <c:pt idx="15">
                  <c:v>22.998110168652047</c:v>
                </c:pt>
                <c:pt idx="16">
                  <c:v>0</c:v>
                </c:pt>
                <c:pt idx="17">
                  <c:v>0</c:v>
                </c:pt>
                <c:pt idx="18">
                  <c:v>48.699450253679004</c:v>
                </c:pt>
                <c:pt idx="19">
                  <c:v>51.567944250871079</c:v>
                </c:pt>
                <c:pt idx="20">
                  <c:v>38.214563569014963</c:v>
                </c:pt>
                <c:pt idx="21">
                  <c:v>35.928143712574851</c:v>
                </c:pt>
                <c:pt idx="22">
                  <c:v>64.841745081266041</c:v>
                </c:pt>
                <c:pt idx="23">
                  <c:v>13.254580969212165</c:v>
                </c:pt>
                <c:pt idx="24">
                  <c:v>15.232012341382198</c:v>
                </c:pt>
                <c:pt idx="25">
                  <c:v>33.75896012926998</c:v>
                </c:pt>
                <c:pt idx="26">
                  <c:v>39.084429371053574</c:v>
                </c:pt>
                <c:pt idx="27">
                  <c:v>14.77032746822055</c:v>
                </c:pt>
                <c:pt idx="28">
                  <c:v>3.9074564641988543</c:v>
                </c:pt>
                <c:pt idx="29">
                  <c:v>1.4045814772746368</c:v>
                </c:pt>
                <c:pt idx="30">
                  <c:v>25.742574257425737</c:v>
                </c:pt>
                <c:pt idx="31">
                  <c:v>41.731409544950054</c:v>
                </c:pt>
                <c:pt idx="32">
                  <c:v>18.840579710144929</c:v>
                </c:pt>
                <c:pt idx="33">
                  <c:v>1.7199999984715983</c:v>
                </c:pt>
                <c:pt idx="34">
                  <c:v>2.5400001240801084</c:v>
                </c:pt>
                <c:pt idx="35">
                  <c:v>19.737280907187859</c:v>
                </c:pt>
                <c:pt idx="36">
                  <c:v>38.656114467477629</c:v>
                </c:pt>
              </c:numCache>
            </c:numRef>
          </c:val>
          <c:extLst>
            <c:ext xmlns:c16="http://schemas.microsoft.com/office/drawing/2014/chart" uri="{C3380CC4-5D6E-409C-BE32-E72D297353CC}">
              <c16:uniqueId val="{00000000-D3C2-4BA3-A9AA-54FF9A9C5669}"/>
            </c:ext>
          </c:extLst>
        </c:ser>
        <c:ser>
          <c:idx val="2"/>
          <c:order val="2"/>
          <c:tx>
            <c:strRef>
              <c:f>'% abstraction source'!$D$75</c:f>
              <c:strCache>
                <c:ptCount val="1"/>
                <c:pt idx="0">
                  <c:v>springwater
 2014</c:v>
                </c:pt>
              </c:strCache>
            </c:strRef>
          </c:tx>
          <c:spPr>
            <a:solidFill>
              <a:schemeClr val="accent3"/>
            </a:solidFill>
            <a:ln>
              <a:noFill/>
            </a:ln>
            <a:effectLst/>
          </c:spPr>
          <c:invertIfNegative val="0"/>
          <c:cat>
            <c:strRef>
              <c:extLst>
                <c:ext xmlns:c15="http://schemas.microsoft.com/office/drawing/2012/chart" uri="{02D57815-91ED-43cb-92C2-25804820EDAC}">
                  <c15:fullRef>
                    <c15:sqref>'% abstraction source'!$A$76:$A$121</c15:sqref>
                  </c15:fullRef>
                </c:ext>
              </c:extLst>
              <c:f>('% abstraction source'!$A$78,'% abstraction source'!$A$80:$A$82,'% abstraction source'!$A$84:$A$86,'% abstraction source'!$A$88:$A$95,'% abstraction source'!$A$98:$A$113,'% abstraction source'!$A$115:$A$117,'% abstraction source'!$A$119:$A$121)</c:f>
              <c:strCache>
                <c:ptCount val="37"/>
                <c:pt idx="0">
                  <c:v>Australia</c:v>
                </c:pt>
                <c:pt idx="1">
                  <c:v>Belgium</c:v>
                </c:pt>
                <c:pt idx="2">
                  <c:v>Canada</c:v>
                </c:pt>
                <c:pt idx="3">
                  <c:v>Chile</c:v>
                </c:pt>
                <c:pt idx="4">
                  <c:v>Hong Kong, China</c:v>
                </c:pt>
                <c:pt idx="5">
                  <c:v>Chinese Taiwan</c:v>
                </c:pt>
                <c:pt idx="6">
                  <c:v>Cyprus</c:v>
                </c:pt>
                <c:pt idx="7">
                  <c:v>Denmark</c:v>
                </c:pt>
                <c:pt idx="8">
                  <c:v>England &amp; Wales</c:v>
                </c:pt>
                <c:pt idx="9">
                  <c:v>Finland</c:v>
                </c:pt>
                <c:pt idx="10">
                  <c:v>France</c:v>
                </c:pt>
                <c:pt idx="11">
                  <c:v>Germany</c:v>
                </c:pt>
                <c:pt idx="12">
                  <c:v>Greece</c:v>
                </c:pt>
                <c:pt idx="13">
                  <c:v>Hungary </c:v>
                </c:pt>
                <c:pt idx="14">
                  <c:v>Iceland</c:v>
                </c:pt>
                <c:pt idx="15">
                  <c:v>Japan</c:v>
                </c:pt>
                <c:pt idx="16">
                  <c:v>Kenya</c:v>
                </c:pt>
                <c:pt idx="17">
                  <c:v>Macao, China</c:v>
                </c:pt>
                <c:pt idx="18">
                  <c:v>Malta</c:v>
                </c:pt>
                <c:pt idx="19">
                  <c:v>Mauritius</c:v>
                </c:pt>
                <c:pt idx="20">
                  <c:v>Mexico</c:v>
                </c:pt>
                <c:pt idx="21">
                  <c:v>Namibia</c:v>
                </c:pt>
                <c:pt idx="22">
                  <c:v>Netherlands</c:v>
                </c:pt>
                <c:pt idx="23">
                  <c:v>Norway</c:v>
                </c:pt>
                <c:pt idx="24">
                  <c:v>Poland</c:v>
                </c:pt>
                <c:pt idx="25">
                  <c:v>Portugal</c:v>
                </c:pt>
                <c:pt idx="26">
                  <c:v>Romania</c:v>
                </c:pt>
                <c:pt idx="27">
                  <c:v>Russia</c:v>
                </c:pt>
                <c:pt idx="28">
                  <c:v>Scotland (UK)</c:v>
                </c:pt>
                <c:pt idx="29">
                  <c:v>South Korea</c:v>
                </c:pt>
                <c:pt idx="30">
                  <c:v>Spain</c:v>
                </c:pt>
                <c:pt idx="31">
                  <c:v>Switzerland</c:v>
                </c:pt>
                <c:pt idx="32">
                  <c:v>Tanzania</c:v>
                </c:pt>
                <c:pt idx="33">
                  <c:v>Thailand</c:v>
                </c:pt>
                <c:pt idx="34">
                  <c:v>Uganda</c:v>
                </c:pt>
                <c:pt idx="35">
                  <c:v>United States of America</c:v>
                </c:pt>
                <c:pt idx="36">
                  <c:v>Zambia</c:v>
                </c:pt>
              </c:strCache>
            </c:strRef>
          </c:cat>
          <c:val>
            <c:numRef>
              <c:extLst>
                <c:ext xmlns:c15="http://schemas.microsoft.com/office/drawing/2012/chart" uri="{02D57815-91ED-43cb-92C2-25804820EDAC}">
                  <c15:fullRef>
                    <c15:sqref>'% abstraction source'!$D$76:$D$121</c15:sqref>
                  </c15:fullRef>
                </c:ext>
              </c:extLst>
              <c:f>('% abstraction source'!$D$78,'% abstraction source'!$D$80:$D$82,'% abstraction source'!$D$84:$D$86,'% abstraction source'!$D$88:$D$95,'% abstraction source'!$D$98:$D$113,'% abstraction source'!$D$115:$D$117,'% abstraction source'!$D$119:$D$121)</c:f>
              <c:numCache>
                <c:formatCode>_ * #,##0.00_ ;_ * \-#,##0.00_ ;_ * "-"??_ ;_ @_ </c:formatCode>
                <c:ptCount val="37"/>
                <c:pt idx="0">
                  <c:v>0</c:v>
                </c:pt>
                <c:pt idx="1">
                  <c:v>0</c:v>
                </c:pt>
                <c:pt idx="2">
                  <c:v>0</c:v>
                </c:pt>
                <c:pt idx="3">
                  <c:v>0</c:v>
                </c:pt>
                <c:pt idx="4">
                  <c:v>0</c:v>
                </c:pt>
                <c:pt idx="5">
                  <c:v>9.5974045403835431E-2</c:v>
                </c:pt>
                <c:pt idx="6">
                  <c:v>0</c:v>
                </c:pt>
                <c:pt idx="7">
                  <c:v>0</c:v>
                </c:pt>
                <c:pt idx="8">
                  <c:v>0</c:v>
                </c:pt>
                <c:pt idx="9">
                  <c:v>0</c:v>
                </c:pt>
                <c:pt idx="10">
                  <c:v>0</c:v>
                </c:pt>
                <c:pt idx="11">
                  <c:v>8.0362418751231033</c:v>
                </c:pt>
                <c:pt idx="12">
                  <c:v>36.274501878612718</c:v>
                </c:pt>
                <c:pt idx="13">
                  <c:v>10</c:v>
                </c:pt>
                <c:pt idx="14">
                  <c:v>0</c:v>
                </c:pt>
                <c:pt idx="15">
                  <c:v>2.7988890796249071</c:v>
                </c:pt>
                <c:pt idx="16">
                  <c:v>0</c:v>
                </c:pt>
                <c:pt idx="17">
                  <c:v>0</c:v>
                </c:pt>
                <c:pt idx="18">
                  <c:v>0</c:v>
                </c:pt>
                <c:pt idx="19">
                  <c:v>14.547038327526129</c:v>
                </c:pt>
                <c:pt idx="20">
                  <c:v>0</c:v>
                </c:pt>
                <c:pt idx="21">
                  <c:v>0</c:v>
                </c:pt>
                <c:pt idx="22">
                  <c:v>0</c:v>
                </c:pt>
                <c:pt idx="23">
                  <c:v>0.46507301646358479</c:v>
                </c:pt>
                <c:pt idx="24">
                  <c:v>0</c:v>
                </c:pt>
                <c:pt idx="25">
                  <c:v>0</c:v>
                </c:pt>
                <c:pt idx="26">
                  <c:v>0</c:v>
                </c:pt>
                <c:pt idx="27">
                  <c:v>0</c:v>
                </c:pt>
                <c:pt idx="28">
                  <c:v>0</c:v>
                </c:pt>
                <c:pt idx="29">
                  <c:v>0</c:v>
                </c:pt>
                <c:pt idx="30">
                  <c:v>0</c:v>
                </c:pt>
                <c:pt idx="31">
                  <c:v>39.955604883462819</c:v>
                </c:pt>
                <c:pt idx="32">
                  <c:v>16.666666666666664</c:v>
                </c:pt>
                <c:pt idx="33">
                  <c:v>0</c:v>
                </c:pt>
                <c:pt idx="34">
                  <c:v>0</c:v>
                </c:pt>
                <c:pt idx="35">
                  <c:v>0</c:v>
                </c:pt>
                <c:pt idx="36">
                  <c:v>0</c:v>
                </c:pt>
              </c:numCache>
            </c:numRef>
          </c:val>
          <c:extLst>
            <c:ext xmlns:c16="http://schemas.microsoft.com/office/drawing/2014/chart" uri="{C3380CC4-5D6E-409C-BE32-E72D297353CC}">
              <c16:uniqueId val="{00000001-D3C2-4BA3-A9AA-54FF9A9C5669}"/>
            </c:ext>
          </c:extLst>
        </c:ser>
        <c:ser>
          <c:idx val="4"/>
          <c:order val="4"/>
          <c:tx>
            <c:strRef>
              <c:f>'% abstraction source'!$F$75</c:f>
              <c:strCache>
                <c:ptCount val="1"/>
                <c:pt idx="0">
                  <c:v>surface water
 2014</c:v>
                </c:pt>
              </c:strCache>
            </c:strRef>
          </c:tx>
          <c:spPr>
            <a:solidFill>
              <a:schemeClr val="accent5"/>
            </a:solidFill>
            <a:ln>
              <a:noFill/>
            </a:ln>
            <a:effectLst/>
          </c:spPr>
          <c:invertIfNegative val="0"/>
          <c:cat>
            <c:strRef>
              <c:extLst>
                <c:ext xmlns:c15="http://schemas.microsoft.com/office/drawing/2012/chart" uri="{02D57815-91ED-43cb-92C2-25804820EDAC}">
                  <c15:fullRef>
                    <c15:sqref>'% abstraction source'!$A$76:$A$121</c15:sqref>
                  </c15:fullRef>
                </c:ext>
              </c:extLst>
              <c:f>('% abstraction source'!$A$78,'% abstraction source'!$A$80:$A$82,'% abstraction source'!$A$84:$A$86,'% abstraction source'!$A$88:$A$95,'% abstraction source'!$A$98:$A$113,'% abstraction source'!$A$115:$A$117,'% abstraction source'!$A$119:$A$121)</c:f>
              <c:strCache>
                <c:ptCount val="37"/>
                <c:pt idx="0">
                  <c:v>Australia</c:v>
                </c:pt>
                <c:pt idx="1">
                  <c:v>Belgium</c:v>
                </c:pt>
                <c:pt idx="2">
                  <c:v>Canada</c:v>
                </c:pt>
                <c:pt idx="3">
                  <c:v>Chile</c:v>
                </c:pt>
                <c:pt idx="4">
                  <c:v>Hong Kong, China</c:v>
                </c:pt>
                <c:pt idx="5">
                  <c:v>Chinese Taiwan</c:v>
                </c:pt>
                <c:pt idx="6">
                  <c:v>Cyprus</c:v>
                </c:pt>
                <c:pt idx="7">
                  <c:v>Denmark</c:v>
                </c:pt>
                <c:pt idx="8">
                  <c:v>England &amp; Wales</c:v>
                </c:pt>
                <c:pt idx="9">
                  <c:v>Finland</c:v>
                </c:pt>
                <c:pt idx="10">
                  <c:v>France</c:v>
                </c:pt>
                <c:pt idx="11">
                  <c:v>Germany</c:v>
                </c:pt>
                <c:pt idx="12">
                  <c:v>Greece</c:v>
                </c:pt>
                <c:pt idx="13">
                  <c:v>Hungary </c:v>
                </c:pt>
                <c:pt idx="14">
                  <c:v>Iceland</c:v>
                </c:pt>
                <c:pt idx="15">
                  <c:v>Japan</c:v>
                </c:pt>
                <c:pt idx="16">
                  <c:v>Kenya</c:v>
                </c:pt>
                <c:pt idx="17">
                  <c:v>Macao, China</c:v>
                </c:pt>
                <c:pt idx="18">
                  <c:v>Malta</c:v>
                </c:pt>
                <c:pt idx="19">
                  <c:v>Mauritius</c:v>
                </c:pt>
                <c:pt idx="20">
                  <c:v>Mexico</c:v>
                </c:pt>
                <c:pt idx="21">
                  <c:v>Namibia</c:v>
                </c:pt>
                <c:pt idx="22">
                  <c:v>Netherlands</c:v>
                </c:pt>
                <c:pt idx="23">
                  <c:v>Norway</c:v>
                </c:pt>
                <c:pt idx="24">
                  <c:v>Poland</c:v>
                </c:pt>
                <c:pt idx="25">
                  <c:v>Portugal</c:v>
                </c:pt>
                <c:pt idx="26">
                  <c:v>Romania</c:v>
                </c:pt>
                <c:pt idx="27">
                  <c:v>Russia</c:v>
                </c:pt>
                <c:pt idx="28">
                  <c:v>Scotland (UK)</c:v>
                </c:pt>
                <c:pt idx="29">
                  <c:v>South Korea</c:v>
                </c:pt>
                <c:pt idx="30">
                  <c:v>Spain</c:v>
                </c:pt>
                <c:pt idx="31">
                  <c:v>Switzerland</c:v>
                </c:pt>
                <c:pt idx="32">
                  <c:v>Tanzania</c:v>
                </c:pt>
                <c:pt idx="33">
                  <c:v>Thailand</c:v>
                </c:pt>
                <c:pt idx="34">
                  <c:v>Uganda</c:v>
                </c:pt>
                <c:pt idx="35">
                  <c:v>United States of America</c:v>
                </c:pt>
                <c:pt idx="36">
                  <c:v>Zambia</c:v>
                </c:pt>
              </c:strCache>
            </c:strRef>
          </c:cat>
          <c:val>
            <c:numRef>
              <c:extLst>
                <c:ext xmlns:c15="http://schemas.microsoft.com/office/drawing/2012/chart" uri="{02D57815-91ED-43cb-92C2-25804820EDAC}">
                  <c15:fullRef>
                    <c15:sqref>'% abstraction source'!$F$76:$F$121</c15:sqref>
                  </c15:fullRef>
                </c:ext>
              </c:extLst>
              <c:f>('% abstraction source'!$F$78,'% abstraction source'!$F$80:$F$82,'% abstraction source'!$F$84:$F$86,'% abstraction source'!$F$88:$F$95,'% abstraction source'!$F$98:$F$113,'% abstraction source'!$F$115:$F$117,'% abstraction source'!$F$119:$F$121)</c:f>
              <c:numCache>
                <c:formatCode>_ * #,##0.00_ ;_ * \-#,##0.00_ ;_ * "-"??_ ;_ @_ </c:formatCode>
                <c:ptCount val="37"/>
                <c:pt idx="0">
                  <c:v>83.179824718430908</c:v>
                </c:pt>
                <c:pt idx="1">
                  <c:v>35.024624919737214</c:v>
                </c:pt>
                <c:pt idx="2">
                  <c:v>94.00179713234013</c:v>
                </c:pt>
                <c:pt idx="3">
                  <c:v>56.170513690123045</c:v>
                </c:pt>
                <c:pt idx="4">
                  <c:v>23.938309063612216</c:v>
                </c:pt>
                <c:pt idx="5">
                  <c:v>82.013927639091989</c:v>
                </c:pt>
                <c:pt idx="6">
                  <c:v>31.603859457491346</c:v>
                </c:pt>
                <c:pt idx="7">
                  <c:v>0</c:v>
                </c:pt>
                <c:pt idx="8">
                  <c:v>70.721971537660536</c:v>
                </c:pt>
                <c:pt idx="9">
                  <c:v>63.122957990620364</c:v>
                </c:pt>
                <c:pt idx="10">
                  <c:v>33.524973050664755</c:v>
                </c:pt>
                <c:pt idx="11">
                  <c:v>30.628323813275554</c:v>
                </c:pt>
                <c:pt idx="12">
                  <c:v>10.246835488921</c:v>
                </c:pt>
                <c:pt idx="13">
                  <c:v>5</c:v>
                </c:pt>
                <c:pt idx="14">
                  <c:v>3.2399001028353163</c:v>
                </c:pt>
                <c:pt idx="15">
                  <c:v>74.092067053000434</c:v>
                </c:pt>
                <c:pt idx="16">
                  <c:v>100</c:v>
                </c:pt>
                <c:pt idx="17">
                  <c:v>0</c:v>
                </c:pt>
                <c:pt idx="18">
                  <c:v>0</c:v>
                </c:pt>
                <c:pt idx="19">
                  <c:v>33.885017421602782</c:v>
                </c:pt>
                <c:pt idx="20">
                  <c:v>60.40478872258155</c:v>
                </c:pt>
                <c:pt idx="21">
                  <c:v>41.916167664670652</c:v>
                </c:pt>
                <c:pt idx="22">
                  <c:v>34.217279726261765</c:v>
                </c:pt>
                <c:pt idx="23">
                  <c:v>86.271044553994969</c:v>
                </c:pt>
                <c:pt idx="24">
                  <c:v>84.767987658617798</c:v>
                </c:pt>
                <c:pt idx="25">
                  <c:v>66.241039870730006</c:v>
                </c:pt>
                <c:pt idx="26">
                  <c:v>60.915570628946426</c:v>
                </c:pt>
                <c:pt idx="27">
                  <c:v>85.229672531779443</c:v>
                </c:pt>
                <c:pt idx="28">
                  <c:v>96.092543535801155</c:v>
                </c:pt>
                <c:pt idx="29">
                  <c:v>98.595418522725367</c:v>
                </c:pt>
                <c:pt idx="30">
                  <c:v>72.277227722772281</c:v>
                </c:pt>
                <c:pt idx="31">
                  <c:v>18.312985571587127</c:v>
                </c:pt>
                <c:pt idx="32">
                  <c:v>64.492753623188406</c:v>
                </c:pt>
                <c:pt idx="33">
                  <c:v>98.029999975952336</c:v>
                </c:pt>
                <c:pt idx="34">
                  <c:v>97.459999875919905</c:v>
                </c:pt>
                <c:pt idx="35">
                  <c:v>56.540003767916204</c:v>
                </c:pt>
                <c:pt idx="36">
                  <c:v>61.343885532522378</c:v>
                </c:pt>
              </c:numCache>
            </c:numRef>
          </c:val>
          <c:extLst>
            <c:ext xmlns:c16="http://schemas.microsoft.com/office/drawing/2014/chart" uri="{C3380CC4-5D6E-409C-BE32-E72D297353CC}">
              <c16:uniqueId val="{00000002-D3C2-4BA3-A9AA-54FF9A9C5669}"/>
            </c:ext>
          </c:extLst>
        </c:ser>
        <c:ser>
          <c:idx val="6"/>
          <c:order val="6"/>
          <c:tx>
            <c:strRef>
              <c:f>'% abstraction source'!$H$75</c:f>
              <c:strCache>
                <c:ptCount val="1"/>
                <c:pt idx="0">
                  <c:v>other sources
 2014</c:v>
                </c:pt>
              </c:strCache>
            </c:strRef>
          </c:tx>
          <c:spPr>
            <a:solidFill>
              <a:schemeClr val="accent1">
                <a:lumMod val="60000"/>
              </a:schemeClr>
            </a:solidFill>
            <a:ln>
              <a:noFill/>
            </a:ln>
            <a:effectLst/>
          </c:spPr>
          <c:invertIfNegative val="0"/>
          <c:cat>
            <c:strRef>
              <c:extLst>
                <c:ext xmlns:c15="http://schemas.microsoft.com/office/drawing/2012/chart" uri="{02D57815-91ED-43cb-92C2-25804820EDAC}">
                  <c15:fullRef>
                    <c15:sqref>'% abstraction source'!$A$76:$A$121</c15:sqref>
                  </c15:fullRef>
                </c:ext>
              </c:extLst>
              <c:f>('% abstraction source'!$A$78,'% abstraction source'!$A$80:$A$82,'% abstraction source'!$A$84:$A$86,'% abstraction source'!$A$88:$A$95,'% abstraction source'!$A$98:$A$113,'% abstraction source'!$A$115:$A$117,'% abstraction source'!$A$119:$A$121)</c:f>
              <c:strCache>
                <c:ptCount val="37"/>
                <c:pt idx="0">
                  <c:v>Australia</c:v>
                </c:pt>
                <c:pt idx="1">
                  <c:v>Belgium</c:v>
                </c:pt>
                <c:pt idx="2">
                  <c:v>Canada</c:v>
                </c:pt>
                <c:pt idx="3">
                  <c:v>Chile</c:v>
                </c:pt>
                <c:pt idx="4">
                  <c:v>Hong Kong, China</c:v>
                </c:pt>
                <c:pt idx="5">
                  <c:v>Chinese Taiwan</c:v>
                </c:pt>
                <c:pt idx="6">
                  <c:v>Cyprus</c:v>
                </c:pt>
                <c:pt idx="7">
                  <c:v>Denmark</c:v>
                </c:pt>
                <c:pt idx="8">
                  <c:v>England &amp; Wales</c:v>
                </c:pt>
                <c:pt idx="9">
                  <c:v>Finland</c:v>
                </c:pt>
                <c:pt idx="10">
                  <c:v>France</c:v>
                </c:pt>
                <c:pt idx="11">
                  <c:v>Germany</c:v>
                </c:pt>
                <c:pt idx="12">
                  <c:v>Greece</c:v>
                </c:pt>
                <c:pt idx="13">
                  <c:v>Hungary </c:v>
                </c:pt>
                <c:pt idx="14">
                  <c:v>Iceland</c:v>
                </c:pt>
                <c:pt idx="15">
                  <c:v>Japan</c:v>
                </c:pt>
                <c:pt idx="16">
                  <c:v>Kenya</c:v>
                </c:pt>
                <c:pt idx="17">
                  <c:v>Macao, China</c:v>
                </c:pt>
                <c:pt idx="18">
                  <c:v>Malta</c:v>
                </c:pt>
                <c:pt idx="19">
                  <c:v>Mauritius</c:v>
                </c:pt>
                <c:pt idx="20">
                  <c:v>Mexico</c:v>
                </c:pt>
                <c:pt idx="21">
                  <c:v>Namibia</c:v>
                </c:pt>
                <c:pt idx="22">
                  <c:v>Netherlands</c:v>
                </c:pt>
                <c:pt idx="23">
                  <c:v>Norway</c:v>
                </c:pt>
                <c:pt idx="24">
                  <c:v>Poland</c:v>
                </c:pt>
                <c:pt idx="25">
                  <c:v>Portugal</c:v>
                </c:pt>
                <c:pt idx="26">
                  <c:v>Romania</c:v>
                </c:pt>
                <c:pt idx="27">
                  <c:v>Russia</c:v>
                </c:pt>
                <c:pt idx="28">
                  <c:v>Scotland (UK)</c:v>
                </c:pt>
                <c:pt idx="29">
                  <c:v>South Korea</c:v>
                </c:pt>
                <c:pt idx="30">
                  <c:v>Spain</c:v>
                </c:pt>
                <c:pt idx="31">
                  <c:v>Switzerland</c:v>
                </c:pt>
                <c:pt idx="32">
                  <c:v>Tanzania</c:v>
                </c:pt>
                <c:pt idx="33">
                  <c:v>Thailand</c:v>
                </c:pt>
                <c:pt idx="34">
                  <c:v>Uganda</c:v>
                </c:pt>
                <c:pt idx="35">
                  <c:v>United States of America</c:v>
                </c:pt>
                <c:pt idx="36">
                  <c:v>Zambia</c:v>
                </c:pt>
              </c:strCache>
            </c:strRef>
          </c:cat>
          <c:val>
            <c:numRef>
              <c:extLst>
                <c:ext xmlns:c15="http://schemas.microsoft.com/office/drawing/2012/chart" uri="{02D57815-91ED-43cb-92C2-25804820EDAC}">
                  <c15:fullRef>
                    <c15:sqref>'% abstraction source'!$H$76:$H$121</c15:sqref>
                  </c15:fullRef>
                </c:ext>
              </c:extLst>
              <c:f>('% abstraction source'!$H$78,'% abstraction source'!$H$80:$H$82,'% abstraction source'!$H$84:$H$86,'% abstraction source'!$H$88:$H$95,'% abstraction source'!$H$98:$H$113,'% abstraction source'!$H$115:$H$117,'% abstraction source'!$H$119:$H$121)</c:f>
              <c:numCache>
                <c:formatCode>_ * #,##0.00_ ;_ * \-#,##0.00_ ;_ * "-"??_ ;_ @_ </c:formatCode>
                <c:ptCount val="37"/>
                <c:pt idx="0">
                  <c:v>9.2693259744670833</c:v>
                </c:pt>
                <c:pt idx="1">
                  <c:v>0</c:v>
                </c:pt>
                <c:pt idx="2">
                  <c:v>0</c:v>
                </c:pt>
                <c:pt idx="3">
                  <c:v>1.2038408564037051</c:v>
                </c:pt>
                <c:pt idx="4">
                  <c:v>0</c:v>
                </c:pt>
                <c:pt idx="5">
                  <c:v>0.18385005160610204</c:v>
                </c:pt>
                <c:pt idx="6">
                  <c:v>19.242672492262876</c:v>
                </c:pt>
                <c:pt idx="7">
                  <c:v>0</c:v>
                </c:pt>
                <c:pt idx="8">
                  <c:v>0.13884068031933355</c:v>
                </c:pt>
                <c:pt idx="9">
                  <c:v>0</c:v>
                </c:pt>
                <c:pt idx="10">
                  <c:v>0</c:v>
                </c:pt>
                <c:pt idx="11">
                  <c:v>0</c:v>
                </c:pt>
                <c:pt idx="12">
                  <c:v>0.23851520953757227</c:v>
                </c:pt>
                <c:pt idx="13">
                  <c:v>0</c:v>
                </c:pt>
                <c:pt idx="14">
                  <c:v>19.232260907888936</c:v>
                </c:pt>
                <c:pt idx="15">
                  <c:v>0.1109336987226115</c:v>
                </c:pt>
                <c:pt idx="16">
                  <c:v>0</c:v>
                </c:pt>
                <c:pt idx="17">
                  <c:v>0.77517087322191469</c:v>
                </c:pt>
                <c:pt idx="18">
                  <c:v>51.300549746321003</c:v>
                </c:pt>
                <c:pt idx="19">
                  <c:v>0</c:v>
                </c:pt>
                <c:pt idx="20">
                  <c:v>0</c:v>
                </c:pt>
                <c:pt idx="21">
                  <c:v>0</c:v>
                </c:pt>
                <c:pt idx="22">
                  <c:v>0</c:v>
                </c:pt>
                <c:pt idx="23">
                  <c:v>9.301460329271696E-3</c:v>
                </c:pt>
                <c:pt idx="24">
                  <c:v>0</c:v>
                </c:pt>
                <c:pt idx="25">
                  <c:v>0</c:v>
                </c:pt>
                <c:pt idx="26">
                  <c:v>0</c:v>
                </c:pt>
                <c:pt idx="27">
                  <c:v>0</c:v>
                </c:pt>
                <c:pt idx="28">
                  <c:v>0</c:v>
                </c:pt>
                <c:pt idx="29">
                  <c:v>0</c:v>
                </c:pt>
                <c:pt idx="30">
                  <c:v>1.9801980198019802</c:v>
                </c:pt>
                <c:pt idx="31">
                  <c:v>0</c:v>
                </c:pt>
                <c:pt idx="32">
                  <c:v>0</c:v>
                </c:pt>
                <c:pt idx="33">
                  <c:v>0.25000002557607431</c:v>
                </c:pt>
                <c:pt idx="34">
                  <c:v>0</c:v>
                </c:pt>
                <c:pt idx="35">
                  <c:v>6.5330089835687666</c:v>
                </c:pt>
                <c:pt idx="36">
                  <c:v>0</c:v>
                </c:pt>
              </c:numCache>
            </c:numRef>
          </c:val>
          <c:extLst>
            <c:ext xmlns:c16="http://schemas.microsoft.com/office/drawing/2014/chart" uri="{C3380CC4-5D6E-409C-BE32-E72D297353CC}">
              <c16:uniqueId val="{00000003-D3C2-4BA3-A9AA-54FF9A9C5669}"/>
            </c:ext>
          </c:extLst>
        </c:ser>
        <c:ser>
          <c:idx val="8"/>
          <c:order val="8"/>
          <c:tx>
            <c:strRef>
              <c:f>'% abstraction source'!$J$75</c:f>
              <c:strCache>
                <c:ptCount val="1"/>
                <c:pt idx="0">
                  <c:v>imported water
 2014</c:v>
                </c:pt>
              </c:strCache>
            </c:strRef>
          </c:tx>
          <c:spPr>
            <a:solidFill>
              <a:schemeClr val="accent3">
                <a:lumMod val="60000"/>
              </a:schemeClr>
            </a:solidFill>
            <a:ln>
              <a:noFill/>
            </a:ln>
            <a:effectLst/>
          </c:spPr>
          <c:invertIfNegative val="0"/>
          <c:cat>
            <c:strRef>
              <c:extLst>
                <c:ext xmlns:c15="http://schemas.microsoft.com/office/drawing/2012/chart" uri="{02D57815-91ED-43cb-92C2-25804820EDAC}">
                  <c15:fullRef>
                    <c15:sqref>'% abstraction source'!$A$76:$A$121</c15:sqref>
                  </c15:fullRef>
                </c:ext>
              </c:extLst>
              <c:f>('% abstraction source'!$A$78,'% abstraction source'!$A$80:$A$82,'% abstraction source'!$A$84:$A$86,'% abstraction source'!$A$88:$A$95,'% abstraction source'!$A$98:$A$113,'% abstraction source'!$A$115:$A$117,'% abstraction source'!$A$119:$A$121)</c:f>
              <c:strCache>
                <c:ptCount val="37"/>
                <c:pt idx="0">
                  <c:v>Australia</c:v>
                </c:pt>
                <c:pt idx="1">
                  <c:v>Belgium</c:v>
                </c:pt>
                <c:pt idx="2">
                  <c:v>Canada</c:v>
                </c:pt>
                <c:pt idx="3">
                  <c:v>Chile</c:v>
                </c:pt>
                <c:pt idx="4">
                  <c:v>Hong Kong, China</c:v>
                </c:pt>
                <c:pt idx="5">
                  <c:v>Chinese Taiwan</c:v>
                </c:pt>
                <c:pt idx="6">
                  <c:v>Cyprus</c:v>
                </c:pt>
                <c:pt idx="7">
                  <c:v>Denmark</c:v>
                </c:pt>
                <c:pt idx="8">
                  <c:v>England &amp; Wales</c:v>
                </c:pt>
                <c:pt idx="9">
                  <c:v>Finland</c:v>
                </c:pt>
                <c:pt idx="10">
                  <c:v>France</c:v>
                </c:pt>
                <c:pt idx="11">
                  <c:v>Germany</c:v>
                </c:pt>
                <c:pt idx="12">
                  <c:v>Greece</c:v>
                </c:pt>
                <c:pt idx="13">
                  <c:v>Hungary </c:v>
                </c:pt>
                <c:pt idx="14">
                  <c:v>Iceland</c:v>
                </c:pt>
                <c:pt idx="15">
                  <c:v>Japan</c:v>
                </c:pt>
                <c:pt idx="16">
                  <c:v>Kenya</c:v>
                </c:pt>
                <c:pt idx="17">
                  <c:v>Macao, China</c:v>
                </c:pt>
                <c:pt idx="18">
                  <c:v>Malta</c:v>
                </c:pt>
                <c:pt idx="19">
                  <c:v>Mauritius</c:v>
                </c:pt>
                <c:pt idx="20">
                  <c:v>Mexico</c:v>
                </c:pt>
                <c:pt idx="21">
                  <c:v>Namibia</c:v>
                </c:pt>
                <c:pt idx="22">
                  <c:v>Netherlands</c:v>
                </c:pt>
                <c:pt idx="23">
                  <c:v>Norway</c:v>
                </c:pt>
                <c:pt idx="24">
                  <c:v>Poland</c:v>
                </c:pt>
                <c:pt idx="25">
                  <c:v>Portugal</c:v>
                </c:pt>
                <c:pt idx="26">
                  <c:v>Romania</c:v>
                </c:pt>
                <c:pt idx="27">
                  <c:v>Russia</c:v>
                </c:pt>
                <c:pt idx="28">
                  <c:v>Scotland (UK)</c:v>
                </c:pt>
                <c:pt idx="29">
                  <c:v>South Korea</c:v>
                </c:pt>
                <c:pt idx="30">
                  <c:v>Spain</c:v>
                </c:pt>
                <c:pt idx="31">
                  <c:v>Switzerland</c:v>
                </c:pt>
                <c:pt idx="32">
                  <c:v>Tanzania</c:v>
                </c:pt>
                <c:pt idx="33">
                  <c:v>Thailand</c:v>
                </c:pt>
                <c:pt idx="34">
                  <c:v>Uganda</c:v>
                </c:pt>
                <c:pt idx="35">
                  <c:v>United States of America</c:v>
                </c:pt>
                <c:pt idx="36">
                  <c:v>Zambia</c:v>
                </c:pt>
              </c:strCache>
            </c:strRef>
          </c:cat>
          <c:val>
            <c:numRef>
              <c:extLst>
                <c:ext xmlns:c15="http://schemas.microsoft.com/office/drawing/2012/chart" uri="{02D57815-91ED-43cb-92C2-25804820EDAC}">
                  <c15:fullRef>
                    <c15:sqref>'% abstraction source'!$J$76:$J$121</c15:sqref>
                  </c15:fullRef>
                </c:ext>
              </c:extLst>
              <c:f>('% abstraction source'!$J$78,'% abstraction source'!$J$80:$J$82,'% abstraction source'!$J$84:$J$86,'% abstraction source'!$J$88:$J$95,'% abstraction source'!$J$98:$J$113,'% abstraction source'!$J$115:$J$117,'% abstraction source'!$J$119:$J$121)</c:f>
              <c:numCache>
                <c:formatCode>_ * #,##0.00_ ;_ * \-#,##0.00_ ;_ * "-"??_ ;_ @_ </c:formatCode>
                <c:ptCount val="37"/>
                <c:pt idx="0">
                  <c:v>0</c:v>
                </c:pt>
                <c:pt idx="1">
                  <c:v>0.40805874944608489</c:v>
                </c:pt>
                <c:pt idx="2">
                  <c:v>0</c:v>
                </c:pt>
                <c:pt idx="3">
                  <c:v>0</c:v>
                </c:pt>
                <c:pt idx="4">
                  <c:v>76.061690936387777</c:v>
                </c:pt>
                <c:pt idx="5">
                  <c:v>6.132367576452861E-4</c:v>
                </c:pt>
                <c:pt idx="6">
                  <c:v>0</c:v>
                </c:pt>
                <c:pt idx="7">
                  <c:v>0</c:v>
                </c:pt>
                <c:pt idx="8">
                  <c:v>0</c:v>
                </c:pt>
                <c:pt idx="9">
                  <c:v>0</c:v>
                </c:pt>
                <c:pt idx="10">
                  <c:v>0</c:v>
                </c:pt>
                <c:pt idx="11">
                  <c:v>0</c:v>
                </c:pt>
                <c:pt idx="12">
                  <c:v>0</c:v>
                </c:pt>
                <c:pt idx="13">
                  <c:v>0</c:v>
                </c:pt>
                <c:pt idx="14">
                  <c:v>0</c:v>
                </c:pt>
                <c:pt idx="15">
                  <c:v>0</c:v>
                </c:pt>
                <c:pt idx="16">
                  <c:v>0</c:v>
                </c:pt>
                <c:pt idx="17">
                  <c:v>99.224829126778076</c:v>
                </c:pt>
                <c:pt idx="18">
                  <c:v>0</c:v>
                </c:pt>
                <c:pt idx="19">
                  <c:v>0</c:v>
                </c:pt>
                <c:pt idx="20">
                  <c:v>1.3806477084034883</c:v>
                </c:pt>
                <c:pt idx="21">
                  <c:v>22.155688622754489</c:v>
                </c:pt>
                <c:pt idx="22">
                  <c:v>0.94097519247219841</c:v>
                </c:pt>
                <c:pt idx="23">
                  <c:v>0</c:v>
                </c:pt>
                <c:pt idx="24">
                  <c:v>0</c:v>
                </c:pt>
                <c:pt idx="25">
                  <c:v>0</c:v>
                </c:pt>
                <c:pt idx="26">
                  <c:v>0</c:v>
                </c:pt>
                <c:pt idx="27">
                  <c:v>0</c:v>
                </c:pt>
                <c:pt idx="28">
                  <c:v>0</c:v>
                </c:pt>
                <c:pt idx="29">
                  <c:v>0</c:v>
                </c:pt>
                <c:pt idx="30">
                  <c:v>0</c:v>
                </c:pt>
                <c:pt idx="31">
                  <c:v>0</c:v>
                </c:pt>
                <c:pt idx="32">
                  <c:v>0</c:v>
                </c:pt>
                <c:pt idx="33">
                  <c:v>0</c:v>
                </c:pt>
                <c:pt idx="34">
                  <c:v>0</c:v>
                </c:pt>
                <c:pt idx="35">
                  <c:v>17.189706341327167</c:v>
                </c:pt>
                <c:pt idx="36">
                  <c:v>0</c:v>
                </c:pt>
              </c:numCache>
            </c:numRef>
          </c:val>
          <c:extLst>
            <c:ext xmlns:c16="http://schemas.microsoft.com/office/drawing/2014/chart" uri="{C3380CC4-5D6E-409C-BE32-E72D297353CC}">
              <c16:uniqueId val="{00000004-D3C2-4BA3-A9AA-54FF9A9C5669}"/>
            </c:ext>
          </c:extLst>
        </c:ser>
        <c:dLbls>
          <c:showLegendKey val="0"/>
          <c:showVal val="0"/>
          <c:showCatName val="0"/>
          <c:showSerName val="0"/>
          <c:showPercent val="0"/>
          <c:showBubbleSize val="0"/>
        </c:dLbls>
        <c:gapWidth val="150"/>
        <c:overlap val="100"/>
        <c:axId val="350140864"/>
        <c:axId val="350141256"/>
        <c:extLst>
          <c:ext xmlns:c15="http://schemas.microsoft.com/office/drawing/2012/chart" uri="{02D57815-91ED-43cb-92C2-25804820EDAC}">
            <c15:filteredBarSeries>
              <c15:ser>
                <c:idx val="1"/>
                <c:order val="1"/>
                <c:tx>
                  <c:strRef>
                    <c:extLst>
                      <c:ext uri="{02D57815-91ED-43cb-92C2-25804820EDAC}">
                        <c15:formulaRef>
                          <c15:sqref>'% abstraction source'!$C$75</c15:sqref>
                        </c15:formulaRef>
                      </c:ext>
                    </c:extLst>
                    <c:strCache>
                      <c:ptCount val="1"/>
                      <c:pt idx="0">
                        <c:v>groundwater
 2016</c:v>
                      </c:pt>
                    </c:strCache>
                  </c:strRef>
                </c:tx>
                <c:spPr>
                  <a:solidFill>
                    <a:schemeClr val="accent2"/>
                  </a:solidFill>
                  <a:ln>
                    <a:noFill/>
                  </a:ln>
                  <a:effectLst/>
                </c:spPr>
                <c:invertIfNegative val="0"/>
                <c:cat>
                  <c:strRef>
                    <c:extLst>
                      <c:ext uri="{02D57815-91ED-43cb-92C2-25804820EDAC}">
                        <c15:fullRef>
                          <c15:sqref>'% abstraction source'!$A$76:$A$121</c15:sqref>
                        </c15:fullRef>
                        <c15:formulaRef>
                          <c15:sqref>('% abstraction source'!$A$78,'% abstraction source'!$A$80:$A$82,'% abstraction source'!$A$84:$A$86,'% abstraction source'!$A$88:$A$95,'% abstraction source'!$A$98:$A$113,'% abstraction source'!$A$115:$A$117,'% abstraction source'!$A$119:$A$121)</c15:sqref>
                        </c15:formulaRef>
                      </c:ext>
                    </c:extLst>
                    <c:strCache>
                      <c:ptCount val="37"/>
                      <c:pt idx="0">
                        <c:v>Australia</c:v>
                      </c:pt>
                      <c:pt idx="1">
                        <c:v>Belgium</c:v>
                      </c:pt>
                      <c:pt idx="2">
                        <c:v>Canada</c:v>
                      </c:pt>
                      <c:pt idx="3">
                        <c:v>Chile</c:v>
                      </c:pt>
                      <c:pt idx="4">
                        <c:v>Hong Kong, China</c:v>
                      </c:pt>
                      <c:pt idx="5">
                        <c:v>Chinese Taiwan</c:v>
                      </c:pt>
                      <c:pt idx="6">
                        <c:v>Cyprus</c:v>
                      </c:pt>
                      <c:pt idx="7">
                        <c:v>Denmark</c:v>
                      </c:pt>
                      <c:pt idx="8">
                        <c:v>England &amp; Wales</c:v>
                      </c:pt>
                      <c:pt idx="9">
                        <c:v>Finland</c:v>
                      </c:pt>
                      <c:pt idx="10">
                        <c:v>France</c:v>
                      </c:pt>
                      <c:pt idx="11">
                        <c:v>Germany</c:v>
                      </c:pt>
                      <c:pt idx="12">
                        <c:v>Greece</c:v>
                      </c:pt>
                      <c:pt idx="13">
                        <c:v>Hungary </c:v>
                      </c:pt>
                      <c:pt idx="14">
                        <c:v>Iceland</c:v>
                      </c:pt>
                      <c:pt idx="15">
                        <c:v>Japan</c:v>
                      </c:pt>
                      <c:pt idx="16">
                        <c:v>Kenya</c:v>
                      </c:pt>
                      <c:pt idx="17">
                        <c:v>Macao, China</c:v>
                      </c:pt>
                      <c:pt idx="18">
                        <c:v>Malta</c:v>
                      </c:pt>
                      <c:pt idx="19">
                        <c:v>Mauritius</c:v>
                      </c:pt>
                      <c:pt idx="20">
                        <c:v>Mexico</c:v>
                      </c:pt>
                      <c:pt idx="21">
                        <c:v>Namibia</c:v>
                      </c:pt>
                      <c:pt idx="22">
                        <c:v>Netherlands</c:v>
                      </c:pt>
                      <c:pt idx="23">
                        <c:v>Norway</c:v>
                      </c:pt>
                      <c:pt idx="24">
                        <c:v>Poland</c:v>
                      </c:pt>
                      <c:pt idx="25">
                        <c:v>Portugal</c:v>
                      </c:pt>
                      <c:pt idx="26">
                        <c:v>Romania</c:v>
                      </c:pt>
                      <c:pt idx="27">
                        <c:v>Russia</c:v>
                      </c:pt>
                      <c:pt idx="28">
                        <c:v>Scotland (UK)</c:v>
                      </c:pt>
                      <c:pt idx="29">
                        <c:v>South Korea</c:v>
                      </c:pt>
                      <c:pt idx="30">
                        <c:v>Spain</c:v>
                      </c:pt>
                      <c:pt idx="31">
                        <c:v>Switzerland</c:v>
                      </c:pt>
                      <c:pt idx="32">
                        <c:v>Tanzania</c:v>
                      </c:pt>
                      <c:pt idx="33">
                        <c:v>Thailand</c:v>
                      </c:pt>
                      <c:pt idx="34">
                        <c:v>Uganda</c:v>
                      </c:pt>
                      <c:pt idx="35">
                        <c:v>United States of America</c:v>
                      </c:pt>
                      <c:pt idx="36">
                        <c:v>Zambia</c:v>
                      </c:pt>
                    </c:strCache>
                  </c:strRef>
                </c:cat>
                <c:val>
                  <c:numRef>
                    <c:extLst>
                      <c:ext uri="{02D57815-91ED-43cb-92C2-25804820EDAC}">
                        <c15:fullRef>
                          <c15:sqref>'% abstraction source'!$C$76:$C$121</c15:sqref>
                        </c15:fullRef>
                        <c15:formulaRef>
                          <c15:sqref>('% abstraction source'!$C$78,'% abstraction source'!$C$80:$C$82,'% abstraction source'!$C$84:$C$86,'% abstraction source'!$C$88:$C$95,'% abstraction source'!$C$98:$C$113,'% abstraction source'!$C$115:$C$117,'% abstraction source'!$C$119:$C$121)</c15:sqref>
                        </c15:formulaRef>
                      </c:ext>
                    </c:extLst>
                    <c:numCache>
                      <c:formatCode>_ * #,##0.00_ ;_ * \-#,##0.00_ ;_ * "-"??_ ;_ @_ </c:formatCode>
                      <c:ptCount val="37"/>
                      <c:pt idx="0">
                        <c:v>15.644141798002789</c:v>
                      </c:pt>
                      <c:pt idx="1">
                        <c:v>63.721395560896944</c:v>
                      </c:pt>
                      <c:pt idx="2">
                        <c:v>6.0173613398184136</c:v>
                      </c:pt>
                      <c:pt idx="3">
                        <c:v>0</c:v>
                      </c:pt>
                      <c:pt idx="4">
                        <c:v>0</c:v>
                      </c:pt>
                      <c:pt idx="5">
                        <c:v>16.90235233678295</c:v>
                      </c:pt>
                      <c:pt idx="6">
                        <c:v>50.903119868637113</c:v>
                      </c:pt>
                      <c:pt idx="7">
                        <c:v>100</c:v>
                      </c:pt>
                      <c:pt idx="8">
                        <c:v>28.112629073397599</c:v>
                      </c:pt>
                      <c:pt idx="9">
                        <c:v>36.877042009379643</c:v>
                      </c:pt>
                      <c:pt idx="10">
                        <c:v>63.989631831404559</c:v>
                      </c:pt>
                      <c:pt idx="11">
                        <c:v>62.263787119166992</c:v>
                      </c:pt>
                      <c:pt idx="12">
                        <c:v>0</c:v>
                      </c:pt>
                      <c:pt idx="13">
                        <c:v>57.000081012758677</c:v>
                      </c:pt>
                      <c:pt idx="14">
                        <c:v>0</c:v>
                      </c:pt>
                      <c:pt idx="15">
                        <c:v>22.924153177322442</c:v>
                      </c:pt>
                      <c:pt idx="16">
                        <c:v>0</c:v>
                      </c:pt>
                      <c:pt idx="17">
                        <c:v>0</c:v>
                      </c:pt>
                      <c:pt idx="18">
                        <c:v>44.085018646863155</c:v>
                      </c:pt>
                      <c:pt idx="19">
                        <c:v>0</c:v>
                      </c:pt>
                      <c:pt idx="20">
                        <c:v>38.064134238065968</c:v>
                      </c:pt>
                      <c:pt idx="21">
                        <c:v>0</c:v>
                      </c:pt>
                      <c:pt idx="22">
                        <c:v>64.779350541215649</c:v>
                      </c:pt>
                      <c:pt idx="23">
                        <c:v>0</c:v>
                      </c:pt>
                      <c:pt idx="24">
                        <c:v>16.004824907158525</c:v>
                      </c:pt>
                      <c:pt idx="25">
                        <c:v>30.021175572214521</c:v>
                      </c:pt>
                      <c:pt idx="26">
                        <c:v>43.100000485133101</c:v>
                      </c:pt>
                      <c:pt idx="27">
                        <c:v>16.458243495759667</c:v>
                      </c:pt>
                      <c:pt idx="28">
                        <c:v>3.0000000000000004</c:v>
                      </c:pt>
                      <c:pt idx="29">
                        <c:v>2.1817497876406229</c:v>
                      </c:pt>
                      <c:pt idx="30">
                        <c:v>28.000000000000004</c:v>
                      </c:pt>
                      <c:pt idx="31">
                        <c:v>40.520043336944745</c:v>
                      </c:pt>
                      <c:pt idx="32">
                        <c:v>0</c:v>
                      </c:pt>
                      <c:pt idx="33">
                        <c:v>0</c:v>
                      </c:pt>
                      <c:pt idx="34">
                        <c:v>18.576511275803107</c:v>
                      </c:pt>
                      <c:pt idx="35">
                        <c:v>35.935446063205518</c:v>
                      </c:pt>
                      <c:pt idx="36">
                        <c:v>0</c:v>
                      </c:pt>
                    </c:numCache>
                  </c:numRef>
                </c:val>
                <c:extLst>
                  <c:ext xmlns:c16="http://schemas.microsoft.com/office/drawing/2014/chart" uri="{C3380CC4-5D6E-409C-BE32-E72D297353CC}">
                    <c16:uniqueId val="{00000005-D3C2-4BA3-A9AA-54FF9A9C5669}"/>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 abstraction source'!$E$75</c15:sqref>
                        </c15:formulaRef>
                      </c:ext>
                    </c:extLst>
                    <c:strCache>
                      <c:ptCount val="1"/>
                      <c:pt idx="0">
                        <c:v>springwater
 2016</c:v>
                      </c:pt>
                    </c:strCache>
                  </c:strRef>
                </c:tx>
                <c:spPr>
                  <a:solidFill>
                    <a:schemeClr val="accent4"/>
                  </a:solidFill>
                  <a:ln>
                    <a:noFill/>
                  </a:ln>
                  <a:effectLst/>
                </c:spPr>
                <c:invertIfNegative val="0"/>
                <c:cat>
                  <c:strRef>
                    <c:extLst>
                      <c:ext xmlns:c15="http://schemas.microsoft.com/office/drawing/2012/chart" uri="{02D57815-91ED-43cb-92C2-25804820EDAC}">
                        <c15:fullRef>
                          <c15:sqref>'% abstraction source'!$A$76:$A$121</c15:sqref>
                        </c15:fullRef>
                        <c15:formulaRef>
                          <c15:sqref>('% abstraction source'!$A$78,'% abstraction source'!$A$80:$A$82,'% abstraction source'!$A$84:$A$86,'% abstraction source'!$A$88:$A$95,'% abstraction source'!$A$98:$A$113,'% abstraction source'!$A$115:$A$117,'% abstraction source'!$A$119:$A$121)</c15:sqref>
                        </c15:formulaRef>
                      </c:ext>
                    </c:extLst>
                    <c:strCache>
                      <c:ptCount val="37"/>
                      <c:pt idx="0">
                        <c:v>Australia</c:v>
                      </c:pt>
                      <c:pt idx="1">
                        <c:v>Belgium</c:v>
                      </c:pt>
                      <c:pt idx="2">
                        <c:v>Canada</c:v>
                      </c:pt>
                      <c:pt idx="3">
                        <c:v>Chile</c:v>
                      </c:pt>
                      <c:pt idx="4">
                        <c:v>Hong Kong, China</c:v>
                      </c:pt>
                      <c:pt idx="5">
                        <c:v>Chinese Taiwan</c:v>
                      </c:pt>
                      <c:pt idx="6">
                        <c:v>Cyprus</c:v>
                      </c:pt>
                      <c:pt idx="7">
                        <c:v>Denmark</c:v>
                      </c:pt>
                      <c:pt idx="8">
                        <c:v>England &amp; Wales</c:v>
                      </c:pt>
                      <c:pt idx="9">
                        <c:v>Finland</c:v>
                      </c:pt>
                      <c:pt idx="10">
                        <c:v>France</c:v>
                      </c:pt>
                      <c:pt idx="11">
                        <c:v>Germany</c:v>
                      </c:pt>
                      <c:pt idx="12">
                        <c:v>Greece</c:v>
                      </c:pt>
                      <c:pt idx="13">
                        <c:v>Hungary </c:v>
                      </c:pt>
                      <c:pt idx="14">
                        <c:v>Iceland</c:v>
                      </c:pt>
                      <c:pt idx="15">
                        <c:v>Japan</c:v>
                      </c:pt>
                      <c:pt idx="16">
                        <c:v>Kenya</c:v>
                      </c:pt>
                      <c:pt idx="17">
                        <c:v>Macao, China</c:v>
                      </c:pt>
                      <c:pt idx="18">
                        <c:v>Malta</c:v>
                      </c:pt>
                      <c:pt idx="19">
                        <c:v>Mauritius</c:v>
                      </c:pt>
                      <c:pt idx="20">
                        <c:v>Mexico</c:v>
                      </c:pt>
                      <c:pt idx="21">
                        <c:v>Namibia</c:v>
                      </c:pt>
                      <c:pt idx="22">
                        <c:v>Netherlands</c:v>
                      </c:pt>
                      <c:pt idx="23">
                        <c:v>Norway</c:v>
                      </c:pt>
                      <c:pt idx="24">
                        <c:v>Poland</c:v>
                      </c:pt>
                      <c:pt idx="25">
                        <c:v>Portugal</c:v>
                      </c:pt>
                      <c:pt idx="26">
                        <c:v>Romania</c:v>
                      </c:pt>
                      <c:pt idx="27">
                        <c:v>Russia</c:v>
                      </c:pt>
                      <c:pt idx="28">
                        <c:v>Scotland (UK)</c:v>
                      </c:pt>
                      <c:pt idx="29">
                        <c:v>South Korea</c:v>
                      </c:pt>
                      <c:pt idx="30">
                        <c:v>Spain</c:v>
                      </c:pt>
                      <c:pt idx="31">
                        <c:v>Switzerland</c:v>
                      </c:pt>
                      <c:pt idx="32">
                        <c:v>Tanzania</c:v>
                      </c:pt>
                      <c:pt idx="33">
                        <c:v>Thailand</c:v>
                      </c:pt>
                      <c:pt idx="34">
                        <c:v>Uganda</c:v>
                      </c:pt>
                      <c:pt idx="35">
                        <c:v>United States of America</c:v>
                      </c:pt>
                      <c:pt idx="36">
                        <c:v>Zambia</c:v>
                      </c:pt>
                    </c:strCache>
                  </c:strRef>
                </c:cat>
                <c:val>
                  <c:numRef>
                    <c:extLst>
                      <c:ext xmlns:c15="http://schemas.microsoft.com/office/drawing/2012/chart" uri="{02D57815-91ED-43cb-92C2-25804820EDAC}">
                        <c15:fullRef>
                          <c15:sqref>'% abstraction source'!$E$76:$E$121</c15:sqref>
                        </c15:fullRef>
                        <c15:formulaRef>
                          <c15:sqref>('% abstraction source'!$E$78,'% abstraction source'!$E$80:$E$82,'% abstraction source'!$E$84:$E$86,'% abstraction source'!$E$88:$E$95,'% abstraction source'!$E$98:$E$113,'% abstraction source'!$E$115:$E$117,'% abstraction source'!$E$119:$E$121)</c15:sqref>
                        </c15:formulaRef>
                      </c:ext>
                    </c:extLst>
                    <c:numCache>
                      <c:formatCode>_ * #,##0.00_ ;_ * \-#,##0.00_ ;_ * "-"??_ ;_ @_ </c:formatCode>
                      <c:ptCount val="37"/>
                      <c:pt idx="0">
                        <c:v>0</c:v>
                      </c:pt>
                      <c:pt idx="1">
                        <c:v>0</c:v>
                      </c:pt>
                      <c:pt idx="2">
                        <c:v>0</c:v>
                      </c:pt>
                      <c:pt idx="3">
                        <c:v>0</c:v>
                      </c:pt>
                      <c:pt idx="4">
                        <c:v>0</c:v>
                      </c:pt>
                      <c:pt idx="5">
                        <c:v>0.10445848573286337</c:v>
                      </c:pt>
                      <c:pt idx="6">
                        <c:v>0</c:v>
                      </c:pt>
                      <c:pt idx="7">
                        <c:v>0</c:v>
                      </c:pt>
                      <c:pt idx="8">
                        <c:v>0</c:v>
                      </c:pt>
                      <c:pt idx="9">
                        <c:v>0</c:v>
                      </c:pt>
                      <c:pt idx="10">
                        <c:v>0</c:v>
                      </c:pt>
                      <c:pt idx="11">
                        <c:v>7.9444658696490551</c:v>
                      </c:pt>
                      <c:pt idx="12">
                        <c:v>0</c:v>
                      </c:pt>
                      <c:pt idx="13">
                        <c:v>8.4998917074348217</c:v>
                      </c:pt>
                      <c:pt idx="14">
                        <c:v>0</c:v>
                      </c:pt>
                      <c:pt idx="15">
                        <c:v>1.9005804763228491</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40.303358613217767</c:v>
                      </c:pt>
                      <c:pt idx="32">
                        <c:v>0</c:v>
                      </c:pt>
                      <c:pt idx="33">
                        <c:v>0</c:v>
                      </c:pt>
                      <c:pt idx="34">
                        <c:v>0</c:v>
                      </c:pt>
                      <c:pt idx="35">
                        <c:v>0</c:v>
                      </c:pt>
                      <c:pt idx="36">
                        <c:v>0</c:v>
                      </c:pt>
                    </c:numCache>
                  </c:numRef>
                </c:val>
                <c:extLst xmlns:c15="http://schemas.microsoft.com/office/drawing/2012/chart">
                  <c:ext xmlns:c16="http://schemas.microsoft.com/office/drawing/2014/chart" uri="{C3380CC4-5D6E-409C-BE32-E72D297353CC}">
                    <c16:uniqueId val="{00000006-D3C2-4BA3-A9AA-54FF9A9C5669}"/>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 abstraction source'!$G$75</c15:sqref>
                        </c15:formulaRef>
                      </c:ext>
                    </c:extLst>
                    <c:strCache>
                      <c:ptCount val="1"/>
                      <c:pt idx="0">
                        <c:v>surface water
 2016</c:v>
                      </c:pt>
                    </c:strCache>
                  </c:strRef>
                </c:tx>
                <c:spPr>
                  <a:solidFill>
                    <a:schemeClr val="accent6"/>
                  </a:solidFill>
                  <a:ln>
                    <a:noFill/>
                  </a:ln>
                  <a:effectLst/>
                </c:spPr>
                <c:invertIfNegative val="0"/>
                <c:cat>
                  <c:strRef>
                    <c:extLst>
                      <c:ext xmlns:c15="http://schemas.microsoft.com/office/drawing/2012/chart" uri="{02D57815-91ED-43cb-92C2-25804820EDAC}">
                        <c15:fullRef>
                          <c15:sqref>'% abstraction source'!$A$76:$A$121</c15:sqref>
                        </c15:fullRef>
                        <c15:formulaRef>
                          <c15:sqref>('% abstraction source'!$A$78,'% abstraction source'!$A$80:$A$82,'% abstraction source'!$A$84:$A$86,'% abstraction source'!$A$88:$A$95,'% abstraction source'!$A$98:$A$113,'% abstraction source'!$A$115:$A$117,'% abstraction source'!$A$119:$A$121)</c15:sqref>
                        </c15:formulaRef>
                      </c:ext>
                    </c:extLst>
                    <c:strCache>
                      <c:ptCount val="37"/>
                      <c:pt idx="0">
                        <c:v>Australia</c:v>
                      </c:pt>
                      <c:pt idx="1">
                        <c:v>Belgium</c:v>
                      </c:pt>
                      <c:pt idx="2">
                        <c:v>Canada</c:v>
                      </c:pt>
                      <c:pt idx="3">
                        <c:v>Chile</c:v>
                      </c:pt>
                      <c:pt idx="4">
                        <c:v>Hong Kong, China</c:v>
                      </c:pt>
                      <c:pt idx="5">
                        <c:v>Chinese Taiwan</c:v>
                      </c:pt>
                      <c:pt idx="6">
                        <c:v>Cyprus</c:v>
                      </c:pt>
                      <c:pt idx="7">
                        <c:v>Denmark</c:v>
                      </c:pt>
                      <c:pt idx="8">
                        <c:v>England &amp; Wales</c:v>
                      </c:pt>
                      <c:pt idx="9">
                        <c:v>Finland</c:v>
                      </c:pt>
                      <c:pt idx="10">
                        <c:v>France</c:v>
                      </c:pt>
                      <c:pt idx="11">
                        <c:v>Germany</c:v>
                      </c:pt>
                      <c:pt idx="12">
                        <c:v>Greece</c:v>
                      </c:pt>
                      <c:pt idx="13">
                        <c:v>Hungary </c:v>
                      </c:pt>
                      <c:pt idx="14">
                        <c:v>Iceland</c:v>
                      </c:pt>
                      <c:pt idx="15">
                        <c:v>Japan</c:v>
                      </c:pt>
                      <c:pt idx="16">
                        <c:v>Kenya</c:v>
                      </c:pt>
                      <c:pt idx="17">
                        <c:v>Macao, China</c:v>
                      </c:pt>
                      <c:pt idx="18">
                        <c:v>Malta</c:v>
                      </c:pt>
                      <c:pt idx="19">
                        <c:v>Mauritius</c:v>
                      </c:pt>
                      <c:pt idx="20">
                        <c:v>Mexico</c:v>
                      </c:pt>
                      <c:pt idx="21">
                        <c:v>Namibia</c:v>
                      </c:pt>
                      <c:pt idx="22">
                        <c:v>Netherlands</c:v>
                      </c:pt>
                      <c:pt idx="23">
                        <c:v>Norway</c:v>
                      </c:pt>
                      <c:pt idx="24">
                        <c:v>Poland</c:v>
                      </c:pt>
                      <c:pt idx="25">
                        <c:v>Portugal</c:v>
                      </c:pt>
                      <c:pt idx="26">
                        <c:v>Romania</c:v>
                      </c:pt>
                      <c:pt idx="27">
                        <c:v>Russia</c:v>
                      </c:pt>
                      <c:pt idx="28">
                        <c:v>Scotland (UK)</c:v>
                      </c:pt>
                      <c:pt idx="29">
                        <c:v>South Korea</c:v>
                      </c:pt>
                      <c:pt idx="30">
                        <c:v>Spain</c:v>
                      </c:pt>
                      <c:pt idx="31">
                        <c:v>Switzerland</c:v>
                      </c:pt>
                      <c:pt idx="32">
                        <c:v>Tanzania</c:v>
                      </c:pt>
                      <c:pt idx="33">
                        <c:v>Thailand</c:v>
                      </c:pt>
                      <c:pt idx="34">
                        <c:v>Uganda</c:v>
                      </c:pt>
                      <c:pt idx="35">
                        <c:v>United States of America</c:v>
                      </c:pt>
                      <c:pt idx="36">
                        <c:v>Zambia</c:v>
                      </c:pt>
                    </c:strCache>
                  </c:strRef>
                </c:cat>
                <c:val>
                  <c:numRef>
                    <c:extLst>
                      <c:ext xmlns:c15="http://schemas.microsoft.com/office/drawing/2012/chart" uri="{02D57815-91ED-43cb-92C2-25804820EDAC}">
                        <c15:fullRef>
                          <c15:sqref>'% abstraction source'!$G$76:$G$121</c15:sqref>
                        </c15:fullRef>
                        <c15:formulaRef>
                          <c15:sqref>('% abstraction source'!$G$78,'% abstraction source'!$G$80:$G$82,'% abstraction source'!$G$84:$G$86,'% abstraction source'!$G$88:$G$95,'% abstraction source'!$G$98:$G$113,'% abstraction source'!$G$115:$G$117,'% abstraction source'!$G$119:$G$121)</c15:sqref>
                        </c15:formulaRef>
                      </c:ext>
                    </c:extLst>
                    <c:numCache>
                      <c:formatCode>_ * #,##0.00_ ;_ * \-#,##0.00_ ;_ * "-"??_ ;_ @_ </c:formatCode>
                      <c:ptCount val="37"/>
                      <c:pt idx="0">
                        <c:v>66.764919590784288</c:v>
                      </c:pt>
                      <c:pt idx="1">
                        <c:v>35.869177582826808</c:v>
                      </c:pt>
                      <c:pt idx="2">
                        <c:v>93.982638660181578</c:v>
                      </c:pt>
                      <c:pt idx="3">
                        <c:v>0</c:v>
                      </c:pt>
                      <c:pt idx="4">
                        <c:v>36.271550414294687</c:v>
                      </c:pt>
                      <c:pt idx="5">
                        <c:v>82.607653816805055</c:v>
                      </c:pt>
                      <c:pt idx="6">
                        <c:v>20.623973727422001</c:v>
                      </c:pt>
                      <c:pt idx="7">
                        <c:v>0</c:v>
                      </c:pt>
                      <c:pt idx="8">
                        <c:v>71.736584183551557</c:v>
                      </c:pt>
                      <c:pt idx="9">
                        <c:v>63.122957990620364</c:v>
                      </c:pt>
                      <c:pt idx="10">
                        <c:v>36.010368168595434</c:v>
                      </c:pt>
                      <c:pt idx="11">
                        <c:v>29.791747011183954</c:v>
                      </c:pt>
                      <c:pt idx="12">
                        <c:v>0</c:v>
                      </c:pt>
                      <c:pt idx="13">
                        <c:v>4.9999999999999991</c:v>
                      </c:pt>
                      <c:pt idx="14">
                        <c:v>0</c:v>
                      </c:pt>
                      <c:pt idx="15">
                        <c:v>75.058460495863969</c:v>
                      </c:pt>
                      <c:pt idx="16">
                        <c:v>0</c:v>
                      </c:pt>
                      <c:pt idx="17">
                        <c:v>0</c:v>
                      </c:pt>
                      <c:pt idx="18">
                        <c:v>0</c:v>
                      </c:pt>
                      <c:pt idx="19">
                        <c:v>0</c:v>
                      </c:pt>
                      <c:pt idx="20">
                        <c:v>59.82159793944021</c:v>
                      </c:pt>
                      <c:pt idx="21">
                        <c:v>0</c:v>
                      </c:pt>
                      <c:pt idx="22">
                        <c:v>34.304746044962528</c:v>
                      </c:pt>
                      <c:pt idx="23">
                        <c:v>0</c:v>
                      </c:pt>
                      <c:pt idx="24">
                        <c:v>74.09176821449941</c:v>
                      </c:pt>
                      <c:pt idx="25">
                        <c:v>69.978824427785483</c:v>
                      </c:pt>
                      <c:pt idx="26">
                        <c:v>56.899999514866906</c:v>
                      </c:pt>
                      <c:pt idx="27">
                        <c:v>83.54175650424034</c:v>
                      </c:pt>
                      <c:pt idx="28">
                        <c:v>97.000000000000014</c:v>
                      </c:pt>
                      <c:pt idx="29">
                        <c:v>97.818250212359388</c:v>
                      </c:pt>
                      <c:pt idx="30">
                        <c:v>67</c:v>
                      </c:pt>
                      <c:pt idx="31">
                        <c:v>19.176598049837487</c:v>
                      </c:pt>
                      <c:pt idx="32">
                        <c:v>0</c:v>
                      </c:pt>
                      <c:pt idx="33">
                        <c:v>0</c:v>
                      </c:pt>
                      <c:pt idx="34">
                        <c:v>81.423488724196886</c:v>
                      </c:pt>
                      <c:pt idx="35">
                        <c:v>48.285364226901777</c:v>
                      </c:pt>
                      <c:pt idx="36">
                        <c:v>0</c:v>
                      </c:pt>
                    </c:numCache>
                  </c:numRef>
                </c:val>
                <c:extLst xmlns:c15="http://schemas.microsoft.com/office/drawing/2012/chart">
                  <c:ext xmlns:c16="http://schemas.microsoft.com/office/drawing/2014/chart" uri="{C3380CC4-5D6E-409C-BE32-E72D297353CC}">
                    <c16:uniqueId val="{00000007-D3C2-4BA3-A9AA-54FF9A9C5669}"/>
                  </c:ext>
                </c:extLst>
              </c15:ser>
            </c15:filteredBarSeries>
            <c15:filteredBarSeries>
              <c15:ser>
                <c:idx val="7"/>
                <c:order val="7"/>
                <c:tx>
                  <c:strRef>
                    <c:extLst xmlns:c15="http://schemas.microsoft.com/office/drawing/2012/chart">
                      <c:ext xmlns:c15="http://schemas.microsoft.com/office/drawing/2012/chart" uri="{02D57815-91ED-43cb-92C2-25804820EDAC}">
                        <c15:formulaRef>
                          <c15:sqref>'% abstraction source'!$I$75</c15:sqref>
                        </c15:formulaRef>
                      </c:ext>
                    </c:extLst>
                    <c:strCache>
                      <c:ptCount val="1"/>
                      <c:pt idx="0">
                        <c:v>other sources
 2016</c:v>
                      </c:pt>
                    </c:strCache>
                  </c:strRef>
                </c:tx>
                <c:spPr>
                  <a:solidFill>
                    <a:schemeClr val="accent2">
                      <a:lumMod val="60000"/>
                    </a:schemeClr>
                  </a:solidFill>
                  <a:ln>
                    <a:noFill/>
                  </a:ln>
                  <a:effectLst/>
                </c:spPr>
                <c:invertIfNegative val="0"/>
                <c:cat>
                  <c:strRef>
                    <c:extLst>
                      <c:ext xmlns:c15="http://schemas.microsoft.com/office/drawing/2012/chart" uri="{02D57815-91ED-43cb-92C2-25804820EDAC}">
                        <c15:fullRef>
                          <c15:sqref>'% abstraction source'!$A$76:$A$121</c15:sqref>
                        </c15:fullRef>
                        <c15:formulaRef>
                          <c15:sqref>('% abstraction source'!$A$78,'% abstraction source'!$A$80:$A$82,'% abstraction source'!$A$84:$A$86,'% abstraction source'!$A$88:$A$95,'% abstraction source'!$A$98:$A$113,'% abstraction source'!$A$115:$A$117,'% abstraction source'!$A$119:$A$121)</c15:sqref>
                        </c15:formulaRef>
                      </c:ext>
                    </c:extLst>
                    <c:strCache>
                      <c:ptCount val="37"/>
                      <c:pt idx="0">
                        <c:v>Australia</c:v>
                      </c:pt>
                      <c:pt idx="1">
                        <c:v>Belgium</c:v>
                      </c:pt>
                      <c:pt idx="2">
                        <c:v>Canada</c:v>
                      </c:pt>
                      <c:pt idx="3">
                        <c:v>Chile</c:v>
                      </c:pt>
                      <c:pt idx="4">
                        <c:v>Hong Kong, China</c:v>
                      </c:pt>
                      <c:pt idx="5">
                        <c:v>Chinese Taiwan</c:v>
                      </c:pt>
                      <c:pt idx="6">
                        <c:v>Cyprus</c:v>
                      </c:pt>
                      <c:pt idx="7">
                        <c:v>Denmark</c:v>
                      </c:pt>
                      <c:pt idx="8">
                        <c:v>England &amp; Wales</c:v>
                      </c:pt>
                      <c:pt idx="9">
                        <c:v>Finland</c:v>
                      </c:pt>
                      <c:pt idx="10">
                        <c:v>France</c:v>
                      </c:pt>
                      <c:pt idx="11">
                        <c:v>Germany</c:v>
                      </c:pt>
                      <c:pt idx="12">
                        <c:v>Greece</c:v>
                      </c:pt>
                      <c:pt idx="13">
                        <c:v>Hungary </c:v>
                      </c:pt>
                      <c:pt idx="14">
                        <c:v>Iceland</c:v>
                      </c:pt>
                      <c:pt idx="15">
                        <c:v>Japan</c:v>
                      </c:pt>
                      <c:pt idx="16">
                        <c:v>Kenya</c:v>
                      </c:pt>
                      <c:pt idx="17">
                        <c:v>Macao, China</c:v>
                      </c:pt>
                      <c:pt idx="18">
                        <c:v>Malta</c:v>
                      </c:pt>
                      <c:pt idx="19">
                        <c:v>Mauritius</c:v>
                      </c:pt>
                      <c:pt idx="20">
                        <c:v>Mexico</c:v>
                      </c:pt>
                      <c:pt idx="21">
                        <c:v>Namibia</c:v>
                      </c:pt>
                      <c:pt idx="22">
                        <c:v>Netherlands</c:v>
                      </c:pt>
                      <c:pt idx="23">
                        <c:v>Norway</c:v>
                      </c:pt>
                      <c:pt idx="24">
                        <c:v>Poland</c:v>
                      </c:pt>
                      <c:pt idx="25">
                        <c:v>Portugal</c:v>
                      </c:pt>
                      <c:pt idx="26">
                        <c:v>Romania</c:v>
                      </c:pt>
                      <c:pt idx="27">
                        <c:v>Russia</c:v>
                      </c:pt>
                      <c:pt idx="28">
                        <c:v>Scotland (UK)</c:v>
                      </c:pt>
                      <c:pt idx="29">
                        <c:v>South Korea</c:v>
                      </c:pt>
                      <c:pt idx="30">
                        <c:v>Spain</c:v>
                      </c:pt>
                      <c:pt idx="31">
                        <c:v>Switzerland</c:v>
                      </c:pt>
                      <c:pt idx="32">
                        <c:v>Tanzania</c:v>
                      </c:pt>
                      <c:pt idx="33">
                        <c:v>Thailand</c:v>
                      </c:pt>
                      <c:pt idx="34">
                        <c:v>Uganda</c:v>
                      </c:pt>
                      <c:pt idx="35">
                        <c:v>United States of America</c:v>
                      </c:pt>
                      <c:pt idx="36">
                        <c:v>Zambia</c:v>
                      </c:pt>
                    </c:strCache>
                  </c:strRef>
                </c:cat>
                <c:val>
                  <c:numRef>
                    <c:extLst>
                      <c:ext xmlns:c15="http://schemas.microsoft.com/office/drawing/2012/chart" uri="{02D57815-91ED-43cb-92C2-25804820EDAC}">
                        <c15:fullRef>
                          <c15:sqref>'% abstraction source'!$I$76:$I$121</c15:sqref>
                        </c15:fullRef>
                        <c15:formulaRef>
                          <c15:sqref>('% abstraction source'!$I$78,'% abstraction source'!$I$80:$I$82,'% abstraction source'!$I$84:$I$86,'% abstraction source'!$I$88:$I$95,'% abstraction source'!$I$98:$I$113,'% abstraction source'!$I$115:$I$117,'% abstraction source'!$I$119:$I$121)</c15:sqref>
                        </c15:formulaRef>
                      </c:ext>
                    </c:extLst>
                    <c:numCache>
                      <c:formatCode>_ * #,##0.00_ ;_ * \-#,##0.00_ ;_ * "-"??_ ;_ @_ </c:formatCode>
                      <c:ptCount val="37"/>
                      <c:pt idx="0">
                        <c:v>17.590938611212923</c:v>
                      </c:pt>
                      <c:pt idx="1">
                        <c:v>0</c:v>
                      </c:pt>
                      <c:pt idx="2">
                        <c:v>0</c:v>
                      </c:pt>
                      <c:pt idx="3">
                        <c:v>0</c:v>
                      </c:pt>
                      <c:pt idx="4">
                        <c:v>0</c:v>
                      </c:pt>
                      <c:pt idx="5">
                        <c:v>0.38553536067913402</c:v>
                      </c:pt>
                      <c:pt idx="6">
                        <c:v>28.47290640394089</c:v>
                      </c:pt>
                      <c:pt idx="7">
                        <c:v>0</c:v>
                      </c:pt>
                      <c:pt idx="8">
                        <c:v>0.15078674305083889</c:v>
                      </c:pt>
                      <c:pt idx="9">
                        <c:v>0</c:v>
                      </c:pt>
                      <c:pt idx="10">
                        <c:v>0</c:v>
                      </c:pt>
                      <c:pt idx="11">
                        <c:v>0</c:v>
                      </c:pt>
                      <c:pt idx="12">
                        <c:v>0</c:v>
                      </c:pt>
                      <c:pt idx="13">
                        <c:v>29.500027279806496</c:v>
                      </c:pt>
                      <c:pt idx="14">
                        <c:v>0</c:v>
                      </c:pt>
                      <c:pt idx="15">
                        <c:v>0.11680585049074839</c:v>
                      </c:pt>
                      <c:pt idx="16">
                        <c:v>0</c:v>
                      </c:pt>
                      <c:pt idx="17">
                        <c:v>1.0943902505732814</c:v>
                      </c:pt>
                      <c:pt idx="18">
                        <c:v>55.914981353136852</c:v>
                      </c:pt>
                      <c:pt idx="19">
                        <c:v>0</c:v>
                      </c:pt>
                      <c:pt idx="20">
                        <c:v>0</c:v>
                      </c:pt>
                      <c:pt idx="21">
                        <c:v>0</c:v>
                      </c:pt>
                      <c:pt idx="22">
                        <c:v>0</c:v>
                      </c:pt>
                      <c:pt idx="23">
                        <c:v>0</c:v>
                      </c:pt>
                      <c:pt idx="24">
                        <c:v>9.9034068783420555</c:v>
                      </c:pt>
                      <c:pt idx="25">
                        <c:v>0</c:v>
                      </c:pt>
                      <c:pt idx="26">
                        <c:v>0</c:v>
                      </c:pt>
                      <c:pt idx="27">
                        <c:v>0</c:v>
                      </c:pt>
                      <c:pt idx="28">
                        <c:v>0</c:v>
                      </c:pt>
                      <c:pt idx="29">
                        <c:v>0</c:v>
                      </c:pt>
                      <c:pt idx="30">
                        <c:v>5</c:v>
                      </c:pt>
                      <c:pt idx="31">
                        <c:v>0</c:v>
                      </c:pt>
                      <c:pt idx="32">
                        <c:v>0</c:v>
                      </c:pt>
                      <c:pt idx="33">
                        <c:v>0</c:v>
                      </c:pt>
                      <c:pt idx="34">
                        <c:v>0</c:v>
                      </c:pt>
                      <c:pt idx="35">
                        <c:v>0.29717838752716019</c:v>
                      </c:pt>
                      <c:pt idx="36">
                        <c:v>0</c:v>
                      </c:pt>
                    </c:numCache>
                  </c:numRef>
                </c:val>
                <c:extLst xmlns:c15="http://schemas.microsoft.com/office/drawing/2012/chart">
                  <c:ext xmlns:c16="http://schemas.microsoft.com/office/drawing/2014/chart" uri="{C3380CC4-5D6E-409C-BE32-E72D297353CC}">
                    <c16:uniqueId val="{00000008-D3C2-4BA3-A9AA-54FF9A9C5669}"/>
                  </c:ext>
                </c:extLst>
              </c15:ser>
            </c15:filteredBarSeries>
            <c15:filteredBarSeries>
              <c15:ser>
                <c:idx val="9"/>
                <c:order val="9"/>
                <c:tx>
                  <c:strRef>
                    <c:extLst xmlns:c15="http://schemas.microsoft.com/office/drawing/2012/chart">
                      <c:ext xmlns:c15="http://schemas.microsoft.com/office/drawing/2012/chart" uri="{02D57815-91ED-43cb-92C2-25804820EDAC}">
                        <c15:formulaRef>
                          <c15:sqref>'% abstraction source'!$K$75</c15:sqref>
                        </c15:formulaRef>
                      </c:ext>
                    </c:extLst>
                    <c:strCache>
                      <c:ptCount val="1"/>
                      <c:pt idx="0">
                        <c:v>imported water
 2016</c:v>
                      </c:pt>
                    </c:strCache>
                  </c:strRef>
                </c:tx>
                <c:spPr>
                  <a:solidFill>
                    <a:schemeClr val="accent4">
                      <a:lumMod val="60000"/>
                    </a:schemeClr>
                  </a:solidFill>
                  <a:ln>
                    <a:noFill/>
                  </a:ln>
                  <a:effectLst/>
                </c:spPr>
                <c:invertIfNegative val="0"/>
                <c:cat>
                  <c:strRef>
                    <c:extLst>
                      <c:ext xmlns:c15="http://schemas.microsoft.com/office/drawing/2012/chart" uri="{02D57815-91ED-43cb-92C2-25804820EDAC}">
                        <c15:fullRef>
                          <c15:sqref>'% abstraction source'!$A$76:$A$121</c15:sqref>
                        </c15:fullRef>
                        <c15:formulaRef>
                          <c15:sqref>('% abstraction source'!$A$78,'% abstraction source'!$A$80:$A$82,'% abstraction source'!$A$84:$A$86,'% abstraction source'!$A$88:$A$95,'% abstraction source'!$A$98:$A$113,'% abstraction source'!$A$115:$A$117,'% abstraction source'!$A$119:$A$121)</c15:sqref>
                        </c15:formulaRef>
                      </c:ext>
                    </c:extLst>
                    <c:strCache>
                      <c:ptCount val="37"/>
                      <c:pt idx="0">
                        <c:v>Australia</c:v>
                      </c:pt>
                      <c:pt idx="1">
                        <c:v>Belgium</c:v>
                      </c:pt>
                      <c:pt idx="2">
                        <c:v>Canada</c:v>
                      </c:pt>
                      <c:pt idx="3">
                        <c:v>Chile</c:v>
                      </c:pt>
                      <c:pt idx="4">
                        <c:v>Hong Kong, China</c:v>
                      </c:pt>
                      <c:pt idx="5">
                        <c:v>Chinese Taiwan</c:v>
                      </c:pt>
                      <c:pt idx="6">
                        <c:v>Cyprus</c:v>
                      </c:pt>
                      <c:pt idx="7">
                        <c:v>Denmark</c:v>
                      </c:pt>
                      <c:pt idx="8">
                        <c:v>England &amp; Wales</c:v>
                      </c:pt>
                      <c:pt idx="9">
                        <c:v>Finland</c:v>
                      </c:pt>
                      <c:pt idx="10">
                        <c:v>France</c:v>
                      </c:pt>
                      <c:pt idx="11">
                        <c:v>Germany</c:v>
                      </c:pt>
                      <c:pt idx="12">
                        <c:v>Greece</c:v>
                      </c:pt>
                      <c:pt idx="13">
                        <c:v>Hungary </c:v>
                      </c:pt>
                      <c:pt idx="14">
                        <c:v>Iceland</c:v>
                      </c:pt>
                      <c:pt idx="15">
                        <c:v>Japan</c:v>
                      </c:pt>
                      <c:pt idx="16">
                        <c:v>Kenya</c:v>
                      </c:pt>
                      <c:pt idx="17">
                        <c:v>Macao, China</c:v>
                      </c:pt>
                      <c:pt idx="18">
                        <c:v>Malta</c:v>
                      </c:pt>
                      <c:pt idx="19">
                        <c:v>Mauritius</c:v>
                      </c:pt>
                      <c:pt idx="20">
                        <c:v>Mexico</c:v>
                      </c:pt>
                      <c:pt idx="21">
                        <c:v>Namibia</c:v>
                      </c:pt>
                      <c:pt idx="22">
                        <c:v>Netherlands</c:v>
                      </c:pt>
                      <c:pt idx="23">
                        <c:v>Norway</c:v>
                      </c:pt>
                      <c:pt idx="24">
                        <c:v>Poland</c:v>
                      </c:pt>
                      <c:pt idx="25">
                        <c:v>Portugal</c:v>
                      </c:pt>
                      <c:pt idx="26">
                        <c:v>Romania</c:v>
                      </c:pt>
                      <c:pt idx="27">
                        <c:v>Russia</c:v>
                      </c:pt>
                      <c:pt idx="28">
                        <c:v>Scotland (UK)</c:v>
                      </c:pt>
                      <c:pt idx="29">
                        <c:v>South Korea</c:v>
                      </c:pt>
                      <c:pt idx="30">
                        <c:v>Spain</c:v>
                      </c:pt>
                      <c:pt idx="31">
                        <c:v>Switzerland</c:v>
                      </c:pt>
                      <c:pt idx="32">
                        <c:v>Tanzania</c:v>
                      </c:pt>
                      <c:pt idx="33">
                        <c:v>Thailand</c:v>
                      </c:pt>
                      <c:pt idx="34">
                        <c:v>Uganda</c:v>
                      </c:pt>
                      <c:pt idx="35">
                        <c:v>United States of America</c:v>
                      </c:pt>
                      <c:pt idx="36">
                        <c:v>Zambia</c:v>
                      </c:pt>
                    </c:strCache>
                  </c:strRef>
                </c:cat>
                <c:val>
                  <c:numRef>
                    <c:extLst>
                      <c:ext xmlns:c15="http://schemas.microsoft.com/office/drawing/2012/chart" uri="{02D57815-91ED-43cb-92C2-25804820EDAC}">
                        <c15:fullRef>
                          <c15:sqref>'% abstraction source'!$K$76:$K$121</c15:sqref>
                        </c15:fullRef>
                        <c15:formulaRef>
                          <c15:sqref>('% abstraction source'!$K$78,'% abstraction source'!$K$80:$K$82,'% abstraction source'!$K$84:$K$86,'% abstraction source'!$K$88:$K$95,'% abstraction source'!$K$98:$K$113,'% abstraction source'!$K$115:$K$117,'% abstraction source'!$K$119:$K$121)</c15:sqref>
                        </c15:formulaRef>
                      </c:ext>
                    </c:extLst>
                    <c:numCache>
                      <c:formatCode>_ * #,##0.00_ ;_ * \-#,##0.00_ ;_ * "-"??_ ;_ @_ </c:formatCode>
                      <c:ptCount val="37"/>
                      <c:pt idx="0">
                        <c:v>0</c:v>
                      </c:pt>
                      <c:pt idx="1">
                        <c:v>0.40942685627624442</c:v>
                      </c:pt>
                      <c:pt idx="2">
                        <c:v>0</c:v>
                      </c:pt>
                      <c:pt idx="3">
                        <c:v>0</c:v>
                      </c:pt>
                      <c:pt idx="4">
                        <c:v>63.728449585705313</c:v>
                      </c:pt>
                      <c:pt idx="5">
                        <c:v>0</c:v>
                      </c:pt>
                      <c:pt idx="6">
                        <c:v>0</c:v>
                      </c:pt>
                      <c:pt idx="7">
                        <c:v>0</c:v>
                      </c:pt>
                      <c:pt idx="8">
                        <c:v>0</c:v>
                      </c:pt>
                      <c:pt idx="9">
                        <c:v>0</c:v>
                      </c:pt>
                      <c:pt idx="10">
                        <c:v>0</c:v>
                      </c:pt>
                      <c:pt idx="11">
                        <c:v>0</c:v>
                      </c:pt>
                      <c:pt idx="12">
                        <c:v>0</c:v>
                      </c:pt>
                      <c:pt idx="13">
                        <c:v>0</c:v>
                      </c:pt>
                      <c:pt idx="14">
                        <c:v>0</c:v>
                      </c:pt>
                      <c:pt idx="15">
                        <c:v>0</c:v>
                      </c:pt>
                      <c:pt idx="16">
                        <c:v>0</c:v>
                      </c:pt>
                      <c:pt idx="17">
                        <c:v>98.905609749426716</c:v>
                      </c:pt>
                      <c:pt idx="18">
                        <c:v>0</c:v>
                      </c:pt>
                      <c:pt idx="19">
                        <c:v>0</c:v>
                      </c:pt>
                      <c:pt idx="20">
                        <c:v>2.1142678224938352</c:v>
                      </c:pt>
                      <c:pt idx="21">
                        <c:v>0</c:v>
                      </c:pt>
                      <c:pt idx="22">
                        <c:v>0.91590341382181517</c:v>
                      </c:pt>
                      <c:pt idx="23">
                        <c:v>0</c:v>
                      </c:pt>
                      <c:pt idx="24">
                        <c:v>0</c:v>
                      </c:pt>
                      <c:pt idx="25">
                        <c:v>0</c:v>
                      </c:pt>
                      <c:pt idx="26">
                        <c:v>0</c:v>
                      </c:pt>
                      <c:pt idx="27">
                        <c:v>0</c:v>
                      </c:pt>
                      <c:pt idx="28">
                        <c:v>0</c:v>
                      </c:pt>
                      <c:pt idx="29">
                        <c:v>0</c:v>
                      </c:pt>
                      <c:pt idx="30">
                        <c:v>0</c:v>
                      </c:pt>
                      <c:pt idx="31">
                        <c:v>0</c:v>
                      </c:pt>
                      <c:pt idx="32">
                        <c:v>0</c:v>
                      </c:pt>
                      <c:pt idx="33">
                        <c:v>0</c:v>
                      </c:pt>
                      <c:pt idx="34">
                        <c:v>0</c:v>
                      </c:pt>
                      <c:pt idx="35">
                        <c:v>15.48201132236554</c:v>
                      </c:pt>
                      <c:pt idx="36">
                        <c:v>0</c:v>
                      </c:pt>
                    </c:numCache>
                  </c:numRef>
                </c:val>
                <c:extLst xmlns:c15="http://schemas.microsoft.com/office/drawing/2012/chart">
                  <c:ext xmlns:c16="http://schemas.microsoft.com/office/drawing/2014/chart" uri="{C3380CC4-5D6E-409C-BE32-E72D297353CC}">
                    <c16:uniqueId val="{00000009-D3C2-4BA3-A9AA-54FF9A9C5669}"/>
                  </c:ext>
                </c:extLst>
              </c15:ser>
            </c15:filteredBarSeries>
          </c:ext>
        </c:extLst>
      </c:barChart>
      <c:catAx>
        <c:axId val="35014086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141256"/>
        <c:crosses val="autoZero"/>
        <c:auto val="1"/>
        <c:lblAlgn val="ctr"/>
        <c:lblOffset val="100"/>
        <c:tickLblSkip val="1"/>
        <c:noMultiLvlLbl val="0"/>
      </c:catAx>
      <c:valAx>
        <c:axId val="350141256"/>
        <c:scaling>
          <c:orientation val="minMax"/>
        </c:scaling>
        <c:delete val="0"/>
        <c:axPos val="t"/>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14086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Abstraction source for drinking water supply in 2016</a:t>
            </a:r>
          </a:p>
          <a:p>
            <a:pPr>
              <a:defRPr/>
            </a:pPr>
            <a:r>
              <a:rPr lang="en-US"/>
              <a:t>in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1"/>
          <c:order val="1"/>
          <c:tx>
            <c:strRef>
              <c:f>'% abstraction source'!$C$75</c:f>
              <c:strCache>
                <c:ptCount val="1"/>
                <c:pt idx="0">
                  <c:v>groundwater
 2016</c:v>
                </c:pt>
              </c:strCache>
              <c:extLst xmlns:c15="http://schemas.microsoft.com/office/drawing/2012/chart"/>
            </c:strRef>
          </c:tx>
          <c:spPr>
            <a:solidFill>
              <a:schemeClr val="accent2"/>
            </a:solidFill>
            <a:ln>
              <a:noFill/>
            </a:ln>
            <a:effectLst/>
          </c:spPr>
          <c:invertIfNegative val="0"/>
          <c:cat>
            <c:strRef>
              <c:extLst>
                <c:ext xmlns:c15="http://schemas.microsoft.com/office/drawing/2012/chart" uri="{02D57815-91ED-43cb-92C2-25804820EDAC}">
                  <c15:fullRef>
                    <c15:sqref>'% abstraction source'!$A$76:$A$121</c15:sqref>
                  </c15:fullRef>
                </c:ext>
              </c:extLst>
              <c:f>('% abstraction source'!$A$76:$A$81,'% abstraction source'!$A$84:$A$92,'% abstraction source'!$A$94,'% abstraction source'!$A$97:$A$98,'% abstraction source'!$A$100:$A$101,'% abstraction source'!$A$103,'% abstraction source'!$A$105,'% abstraction source'!$A$107:$A$115,'% abstraction source'!$A$118:$A$120)</c:f>
              <c:strCache>
                <c:ptCount val="34"/>
                <c:pt idx="0">
                  <c:v>Argentina</c:v>
                </c:pt>
                <c:pt idx="1">
                  <c:v>Armenia</c:v>
                </c:pt>
                <c:pt idx="2">
                  <c:v>Australia</c:v>
                </c:pt>
                <c:pt idx="3">
                  <c:v>Austria</c:v>
                </c:pt>
                <c:pt idx="4">
                  <c:v>Belgium</c:v>
                </c:pt>
                <c:pt idx="5">
                  <c:v>Canada</c:v>
                </c:pt>
                <c:pt idx="6">
                  <c:v>Hong Kong, China</c:v>
                </c:pt>
                <c:pt idx="7">
                  <c:v>Chinese Taiwan</c:v>
                </c:pt>
                <c:pt idx="8">
                  <c:v>Cyprus</c:v>
                </c:pt>
                <c:pt idx="9">
                  <c:v>Czech Republic</c:v>
                </c:pt>
                <c:pt idx="10">
                  <c:v>Denmark</c:v>
                </c:pt>
                <c:pt idx="11">
                  <c:v>England &amp; Wales</c:v>
                </c:pt>
                <c:pt idx="12">
                  <c:v>Finland</c:v>
                </c:pt>
                <c:pt idx="13">
                  <c:v>France</c:v>
                </c:pt>
                <c:pt idx="14">
                  <c:v>Germany</c:v>
                </c:pt>
                <c:pt idx="15">
                  <c:v>Hungary </c:v>
                </c:pt>
                <c:pt idx="16">
                  <c:v>Italy</c:v>
                </c:pt>
                <c:pt idx="17">
                  <c:v>Japan</c:v>
                </c:pt>
                <c:pt idx="18">
                  <c:v>Macao, China</c:v>
                </c:pt>
                <c:pt idx="19">
                  <c:v>Malta</c:v>
                </c:pt>
                <c:pt idx="20">
                  <c:v>Mexico</c:v>
                </c:pt>
                <c:pt idx="21">
                  <c:v>Netherlands</c:v>
                </c:pt>
                <c:pt idx="22">
                  <c:v>Poland</c:v>
                </c:pt>
                <c:pt idx="23">
                  <c:v>Portugal</c:v>
                </c:pt>
                <c:pt idx="24">
                  <c:v>Romania</c:v>
                </c:pt>
                <c:pt idx="25">
                  <c:v>Russia</c:v>
                </c:pt>
                <c:pt idx="26">
                  <c:v>Scotland (UK)</c:v>
                </c:pt>
                <c:pt idx="27">
                  <c:v>South Korea</c:v>
                </c:pt>
                <c:pt idx="28">
                  <c:v>Spain</c:v>
                </c:pt>
                <c:pt idx="29">
                  <c:v>Sweden </c:v>
                </c:pt>
                <c:pt idx="30">
                  <c:v>Switzerland</c:v>
                </c:pt>
                <c:pt idx="31">
                  <c:v>Turkey</c:v>
                </c:pt>
                <c:pt idx="32">
                  <c:v>Uganda</c:v>
                </c:pt>
                <c:pt idx="33">
                  <c:v>United States of America</c:v>
                </c:pt>
              </c:strCache>
            </c:strRef>
          </c:cat>
          <c:val>
            <c:numRef>
              <c:extLst>
                <c:ext xmlns:c15="http://schemas.microsoft.com/office/drawing/2012/chart" uri="{02D57815-91ED-43cb-92C2-25804820EDAC}">
                  <c15:fullRef>
                    <c15:sqref>'% abstraction source'!$C$76:$C$121</c15:sqref>
                  </c15:fullRef>
                </c:ext>
              </c:extLst>
              <c:f>('% abstraction source'!$C$76:$C$81,'% abstraction source'!$C$84:$C$92,'% abstraction source'!$C$94,'% abstraction source'!$C$97:$C$98,'% abstraction source'!$C$100:$C$101,'% abstraction source'!$C$103,'% abstraction source'!$C$105,'% abstraction source'!$C$107:$C$115,'% abstraction source'!$C$118:$C$120)</c:f>
              <c:numCache>
                <c:formatCode>_ * #,##0.00_ ;_ * \-#,##0.00_ ;_ * "-"??_ ;_ @_ </c:formatCode>
                <c:ptCount val="34"/>
                <c:pt idx="0">
                  <c:v>55.20770883905309</c:v>
                </c:pt>
                <c:pt idx="1">
                  <c:v>0</c:v>
                </c:pt>
                <c:pt idx="2">
                  <c:v>15.644141798002789</c:v>
                </c:pt>
                <c:pt idx="3">
                  <c:v>38.619854721549636</c:v>
                </c:pt>
                <c:pt idx="4">
                  <c:v>63.721395560896944</c:v>
                </c:pt>
                <c:pt idx="5">
                  <c:v>6.0173613398184136</c:v>
                </c:pt>
                <c:pt idx="6">
                  <c:v>0</c:v>
                </c:pt>
                <c:pt idx="7">
                  <c:v>16.90235233678295</c:v>
                </c:pt>
                <c:pt idx="8">
                  <c:v>50.903119868637113</c:v>
                </c:pt>
                <c:pt idx="9">
                  <c:v>22.189602446483182</c:v>
                </c:pt>
                <c:pt idx="10">
                  <c:v>100</c:v>
                </c:pt>
                <c:pt idx="11">
                  <c:v>28.112629073397599</c:v>
                </c:pt>
                <c:pt idx="12">
                  <c:v>36.877042009379643</c:v>
                </c:pt>
                <c:pt idx="13">
                  <c:v>63.989631831404559</c:v>
                </c:pt>
                <c:pt idx="14">
                  <c:v>62.263787119166992</c:v>
                </c:pt>
                <c:pt idx="15">
                  <c:v>57.000081012758677</c:v>
                </c:pt>
                <c:pt idx="16">
                  <c:v>49.473684210526315</c:v>
                </c:pt>
                <c:pt idx="17">
                  <c:v>22.924153177322442</c:v>
                </c:pt>
                <c:pt idx="18">
                  <c:v>0</c:v>
                </c:pt>
                <c:pt idx="19">
                  <c:v>44.085018646863155</c:v>
                </c:pt>
                <c:pt idx="20">
                  <c:v>38.064134238065968</c:v>
                </c:pt>
                <c:pt idx="21">
                  <c:v>64.779350541215649</c:v>
                </c:pt>
                <c:pt idx="22">
                  <c:v>16.004824907158525</c:v>
                </c:pt>
                <c:pt idx="23">
                  <c:v>30.021175572214521</c:v>
                </c:pt>
                <c:pt idx="24">
                  <c:v>43.100000485133101</c:v>
                </c:pt>
                <c:pt idx="25">
                  <c:v>16.458243495759667</c:v>
                </c:pt>
                <c:pt idx="26">
                  <c:v>3.0000000000000004</c:v>
                </c:pt>
                <c:pt idx="27">
                  <c:v>2.1817497876406229</c:v>
                </c:pt>
                <c:pt idx="28">
                  <c:v>28.000000000000004</c:v>
                </c:pt>
                <c:pt idx="29">
                  <c:v>24.979637330132466</c:v>
                </c:pt>
                <c:pt idx="30">
                  <c:v>40.520043336944745</c:v>
                </c:pt>
                <c:pt idx="31">
                  <c:v>26.772927991515722</c:v>
                </c:pt>
                <c:pt idx="32">
                  <c:v>18.576511275803107</c:v>
                </c:pt>
                <c:pt idx="33">
                  <c:v>35.935446063205518</c:v>
                </c:pt>
              </c:numCache>
            </c:numRef>
          </c:val>
          <c:extLst>
            <c:ext xmlns:c16="http://schemas.microsoft.com/office/drawing/2014/chart" uri="{C3380CC4-5D6E-409C-BE32-E72D297353CC}">
              <c16:uniqueId val="{00000000-093C-4C3F-BB84-6136EF390812}"/>
            </c:ext>
          </c:extLst>
        </c:ser>
        <c:ser>
          <c:idx val="3"/>
          <c:order val="3"/>
          <c:tx>
            <c:strRef>
              <c:f>'% abstraction source'!$E$75</c:f>
              <c:strCache>
                <c:ptCount val="1"/>
                <c:pt idx="0">
                  <c:v>springwater
 2016</c:v>
                </c:pt>
              </c:strCache>
              <c:extLst xmlns:c15="http://schemas.microsoft.com/office/drawing/2012/chart"/>
            </c:strRef>
          </c:tx>
          <c:spPr>
            <a:solidFill>
              <a:schemeClr val="accent4"/>
            </a:solidFill>
            <a:ln>
              <a:noFill/>
            </a:ln>
            <a:effectLst/>
          </c:spPr>
          <c:invertIfNegative val="0"/>
          <c:cat>
            <c:strRef>
              <c:extLst>
                <c:ext xmlns:c15="http://schemas.microsoft.com/office/drawing/2012/chart" uri="{02D57815-91ED-43cb-92C2-25804820EDAC}">
                  <c15:fullRef>
                    <c15:sqref>'% abstraction source'!$A$76:$A$121</c15:sqref>
                  </c15:fullRef>
                </c:ext>
              </c:extLst>
              <c:f>('% abstraction source'!$A$76:$A$81,'% abstraction source'!$A$84:$A$92,'% abstraction source'!$A$94,'% abstraction source'!$A$97:$A$98,'% abstraction source'!$A$100:$A$101,'% abstraction source'!$A$103,'% abstraction source'!$A$105,'% abstraction source'!$A$107:$A$115,'% abstraction source'!$A$118:$A$120)</c:f>
              <c:strCache>
                <c:ptCount val="34"/>
                <c:pt idx="0">
                  <c:v>Argentina</c:v>
                </c:pt>
                <c:pt idx="1">
                  <c:v>Armenia</c:v>
                </c:pt>
                <c:pt idx="2">
                  <c:v>Australia</c:v>
                </c:pt>
                <c:pt idx="3">
                  <c:v>Austria</c:v>
                </c:pt>
                <c:pt idx="4">
                  <c:v>Belgium</c:v>
                </c:pt>
                <c:pt idx="5">
                  <c:v>Canada</c:v>
                </c:pt>
                <c:pt idx="6">
                  <c:v>Hong Kong, China</c:v>
                </c:pt>
                <c:pt idx="7">
                  <c:v>Chinese Taiwan</c:v>
                </c:pt>
                <c:pt idx="8">
                  <c:v>Cyprus</c:v>
                </c:pt>
                <c:pt idx="9">
                  <c:v>Czech Republic</c:v>
                </c:pt>
                <c:pt idx="10">
                  <c:v>Denmark</c:v>
                </c:pt>
                <c:pt idx="11">
                  <c:v>England &amp; Wales</c:v>
                </c:pt>
                <c:pt idx="12">
                  <c:v>Finland</c:v>
                </c:pt>
                <c:pt idx="13">
                  <c:v>France</c:v>
                </c:pt>
                <c:pt idx="14">
                  <c:v>Germany</c:v>
                </c:pt>
                <c:pt idx="15">
                  <c:v>Hungary </c:v>
                </c:pt>
                <c:pt idx="16">
                  <c:v>Italy</c:v>
                </c:pt>
                <c:pt idx="17">
                  <c:v>Japan</c:v>
                </c:pt>
                <c:pt idx="18">
                  <c:v>Macao, China</c:v>
                </c:pt>
                <c:pt idx="19">
                  <c:v>Malta</c:v>
                </c:pt>
                <c:pt idx="20">
                  <c:v>Mexico</c:v>
                </c:pt>
                <c:pt idx="21">
                  <c:v>Netherlands</c:v>
                </c:pt>
                <c:pt idx="22">
                  <c:v>Poland</c:v>
                </c:pt>
                <c:pt idx="23">
                  <c:v>Portugal</c:v>
                </c:pt>
                <c:pt idx="24">
                  <c:v>Romania</c:v>
                </c:pt>
                <c:pt idx="25">
                  <c:v>Russia</c:v>
                </c:pt>
                <c:pt idx="26">
                  <c:v>Scotland (UK)</c:v>
                </c:pt>
                <c:pt idx="27">
                  <c:v>South Korea</c:v>
                </c:pt>
                <c:pt idx="28">
                  <c:v>Spain</c:v>
                </c:pt>
                <c:pt idx="29">
                  <c:v>Sweden </c:v>
                </c:pt>
                <c:pt idx="30">
                  <c:v>Switzerland</c:v>
                </c:pt>
                <c:pt idx="31">
                  <c:v>Turkey</c:v>
                </c:pt>
                <c:pt idx="32">
                  <c:v>Uganda</c:v>
                </c:pt>
                <c:pt idx="33">
                  <c:v>United States of America</c:v>
                </c:pt>
              </c:strCache>
            </c:strRef>
          </c:cat>
          <c:val>
            <c:numRef>
              <c:extLst>
                <c:ext xmlns:c15="http://schemas.microsoft.com/office/drawing/2012/chart" uri="{02D57815-91ED-43cb-92C2-25804820EDAC}">
                  <c15:fullRef>
                    <c15:sqref>'% abstraction source'!$E$76:$E$121</c15:sqref>
                  </c15:fullRef>
                </c:ext>
              </c:extLst>
              <c:f>('% abstraction source'!$E$76:$E$81,'% abstraction source'!$E$84:$E$92,'% abstraction source'!$E$94,'% abstraction source'!$E$97:$E$98,'% abstraction source'!$E$100:$E$101,'% abstraction source'!$E$103,'% abstraction source'!$E$105,'% abstraction source'!$E$107:$E$115,'% abstraction source'!$E$118:$E$120)</c:f>
              <c:numCache>
                <c:formatCode>_ * #,##0.00_ ;_ * \-#,##0.00_ ;_ * "-"??_ ;_ @_ </c:formatCode>
                <c:ptCount val="34"/>
                <c:pt idx="0">
                  <c:v>0</c:v>
                </c:pt>
                <c:pt idx="1">
                  <c:v>96.019174656106713</c:v>
                </c:pt>
                <c:pt idx="2">
                  <c:v>0</c:v>
                </c:pt>
                <c:pt idx="3">
                  <c:v>61.380145278450357</c:v>
                </c:pt>
                <c:pt idx="4">
                  <c:v>0</c:v>
                </c:pt>
                <c:pt idx="5">
                  <c:v>0</c:v>
                </c:pt>
                <c:pt idx="6">
                  <c:v>0</c:v>
                </c:pt>
                <c:pt idx="7">
                  <c:v>0.10445848573286337</c:v>
                </c:pt>
                <c:pt idx="8">
                  <c:v>0</c:v>
                </c:pt>
                <c:pt idx="9">
                  <c:v>0</c:v>
                </c:pt>
                <c:pt idx="10">
                  <c:v>0</c:v>
                </c:pt>
                <c:pt idx="11">
                  <c:v>0</c:v>
                </c:pt>
                <c:pt idx="12">
                  <c:v>0</c:v>
                </c:pt>
                <c:pt idx="13">
                  <c:v>0</c:v>
                </c:pt>
                <c:pt idx="14">
                  <c:v>7.9444658696490551</c:v>
                </c:pt>
                <c:pt idx="15">
                  <c:v>8.4998917074348217</c:v>
                </c:pt>
                <c:pt idx="16">
                  <c:v>33.684210526315788</c:v>
                </c:pt>
                <c:pt idx="17">
                  <c:v>1.9005804763228491</c:v>
                </c:pt>
                <c:pt idx="18">
                  <c:v>0</c:v>
                </c:pt>
                <c:pt idx="19">
                  <c:v>0</c:v>
                </c:pt>
                <c:pt idx="20">
                  <c:v>0</c:v>
                </c:pt>
                <c:pt idx="21">
                  <c:v>0</c:v>
                </c:pt>
                <c:pt idx="22">
                  <c:v>0</c:v>
                </c:pt>
                <c:pt idx="23">
                  <c:v>0</c:v>
                </c:pt>
                <c:pt idx="24">
                  <c:v>0</c:v>
                </c:pt>
                <c:pt idx="25">
                  <c:v>0</c:v>
                </c:pt>
                <c:pt idx="26">
                  <c:v>0</c:v>
                </c:pt>
                <c:pt idx="27">
                  <c:v>0</c:v>
                </c:pt>
                <c:pt idx="28">
                  <c:v>0</c:v>
                </c:pt>
                <c:pt idx="29">
                  <c:v>0</c:v>
                </c:pt>
                <c:pt idx="30">
                  <c:v>40.303358613217767</c:v>
                </c:pt>
                <c:pt idx="31">
                  <c:v>17.131016164596694</c:v>
                </c:pt>
                <c:pt idx="32">
                  <c:v>0</c:v>
                </c:pt>
                <c:pt idx="33">
                  <c:v>0</c:v>
                </c:pt>
              </c:numCache>
            </c:numRef>
          </c:val>
          <c:extLst>
            <c:ext xmlns:c16="http://schemas.microsoft.com/office/drawing/2014/chart" uri="{C3380CC4-5D6E-409C-BE32-E72D297353CC}">
              <c16:uniqueId val="{00000001-093C-4C3F-BB84-6136EF390812}"/>
            </c:ext>
          </c:extLst>
        </c:ser>
        <c:ser>
          <c:idx val="5"/>
          <c:order val="5"/>
          <c:tx>
            <c:strRef>
              <c:f>'% abstraction source'!$G$75</c:f>
              <c:strCache>
                <c:ptCount val="1"/>
                <c:pt idx="0">
                  <c:v>surface water
 2016</c:v>
                </c:pt>
              </c:strCache>
              <c:extLst xmlns:c15="http://schemas.microsoft.com/office/drawing/2012/chart"/>
            </c:strRef>
          </c:tx>
          <c:spPr>
            <a:solidFill>
              <a:schemeClr val="accent6"/>
            </a:solidFill>
            <a:ln>
              <a:noFill/>
            </a:ln>
            <a:effectLst/>
          </c:spPr>
          <c:invertIfNegative val="0"/>
          <c:cat>
            <c:strRef>
              <c:extLst>
                <c:ext xmlns:c15="http://schemas.microsoft.com/office/drawing/2012/chart" uri="{02D57815-91ED-43cb-92C2-25804820EDAC}">
                  <c15:fullRef>
                    <c15:sqref>'% abstraction source'!$A$76:$A$121</c15:sqref>
                  </c15:fullRef>
                </c:ext>
              </c:extLst>
              <c:f>('% abstraction source'!$A$76:$A$81,'% abstraction source'!$A$84:$A$92,'% abstraction source'!$A$94,'% abstraction source'!$A$97:$A$98,'% abstraction source'!$A$100:$A$101,'% abstraction source'!$A$103,'% abstraction source'!$A$105,'% abstraction source'!$A$107:$A$115,'% abstraction source'!$A$118:$A$120)</c:f>
              <c:strCache>
                <c:ptCount val="34"/>
                <c:pt idx="0">
                  <c:v>Argentina</c:v>
                </c:pt>
                <c:pt idx="1">
                  <c:v>Armenia</c:v>
                </c:pt>
                <c:pt idx="2">
                  <c:v>Australia</c:v>
                </c:pt>
                <c:pt idx="3">
                  <c:v>Austria</c:v>
                </c:pt>
                <c:pt idx="4">
                  <c:v>Belgium</c:v>
                </c:pt>
                <c:pt idx="5">
                  <c:v>Canada</c:v>
                </c:pt>
                <c:pt idx="6">
                  <c:v>Hong Kong, China</c:v>
                </c:pt>
                <c:pt idx="7">
                  <c:v>Chinese Taiwan</c:v>
                </c:pt>
                <c:pt idx="8">
                  <c:v>Cyprus</c:v>
                </c:pt>
                <c:pt idx="9">
                  <c:v>Czech Republic</c:v>
                </c:pt>
                <c:pt idx="10">
                  <c:v>Denmark</c:v>
                </c:pt>
                <c:pt idx="11">
                  <c:v>England &amp; Wales</c:v>
                </c:pt>
                <c:pt idx="12">
                  <c:v>Finland</c:v>
                </c:pt>
                <c:pt idx="13">
                  <c:v>France</c:v>
                </c:pt>
                <c:pt idx="14">
                  <c:v>Germany</c:v>
                </c:pt>
                <c:pt idx="15">
                  <c:v>Hungary </c:v>
                </c:pt>
                <c:pt idx="16">
                  <c:v>Italy</c:v>
                </c:pt>
                <c:pt idx="17">
                  <c:v>Japan</c:v>
                </c:pt>
                <c:pt idx="18">
                  <c:v>Macao, China</c:v>
                </c:pt>
                <c:pt idx="19">
                  <c:v>Malta</c:v>
                </c:pt>
                <c:pt idx="20">
                  <c:v>Mexico</c:v>
                </c:pt>
                <c:pt idx="21">
                  <c:v>Netherlands</c:v>
                </c:pt>
                <c:pt idx="22">
                  <c:v>Poland</c:v>
                </c:pt>
                <c:pt idx="23">
                  <c:v>Portugal</c:v>
                </c:pt>
                <c:pt idx="24">
                  <c:v>Romania</c:v>
                </c:pt>
                <c:pt idx="25">
                  <c:v>Russia</c:v>
                </c:pt>
                <c:pt idx="26">
                  <c:v>Scotland (UK)</c:v>
                </c:pt>
                <c:pt idx="27">
                  <c:v>South Korea</c:v>
                </c:pt>
                <c:pt idx="28">
                  <c:v>Spain</c:v>
                </c:pt>
                <c:pt idx="29">
                  <c:v>Sweden </c:v>
                </c:pt>
                <c:pt idx="30">
                  <c:v>Switzerland</c:v>
                </c:pt>
                <c:pt idx="31">
                  <c:v>Turkey</c:v>
                </c:pt>
                <c:pt idx="32">
                  <c:v>Uganda</c:v>
                </c:pt>
                <c:pt idx="33">
                  <c:v>United States of America</c:v>
                </c:pt>
              </c:strCache>
            </c:strRef>
          </c:cat>
          <c:val>
            <c:numRef>
              <c:extLst>
                <c:ext xmlns:c15="http://schemas.microsoft.com/office/drawing/2012/chart" uri="{02D57815-91ED-43cb-92C2-25804820EDAC}">
                  <c15:fullRef>
                    <c15:sqref>'% abstraction source'!$G$76:$G$121</c15:sqref>
                  </c15:fullRef>
                </c:ext>
              </c:extLst>
              <c:f>('% abstraction source'!$G$76:$G$81,'% abstraction source'!$G$84:$G$92,'% abstraction source'!$G$94,'% abstraction source'!$G$97:$G$98,'% abstraction source'!$G$100:$G$101,'% abstraction source'!$G$103,'% abstraction source'!$G$105,'% abstraction source'!$G$107:$G$115,'% abstraction source'!$G$118:$G$120)</c:f>
              <c:numCache>
                <c:formatCode>_ * #,##0.00_ ;_ * \-#,##0.00_ ;_ * "-"??_ ;_ @_ </c:formatCode>
                <c:ptCount val="34"/>
                <c:pt idx="0">
                  <c:v>44.792291160946917</c:v>
                </c:pt>
                <c:pt idx="1">
                  <c:v>3.9808253438932892</c:v>
                </c:pt>
                <c:pt idx="2">
                  <c:v>66.764919590784288</c:v>
                </c:pt>
                <c:pt idx="3">
                  <c:v>0</c:v>
                </c:pt>
                <c:pt idx="4">
                  <c:v>35.869177582826808</c:v>
                </c:pt>
                <c:pt idx="5">
                  <c:v>93.982638660181578</c:v>
                </c:pt>
                <c:pt idx="6">
                  <c:v>36.271550414294687</c:v>
                </c:pt>
                <c:pt idx="7">
                  <c:v>82.607653816805055</c:v>
                </c:pt>
                <c:pt idx="8">
                  <c:v>20.623973727422001</c:v>
                </c:pt>
                <c:pt idx="9">
                  <c:v>77.810397553516822</c:v>
                </c:pt>
                <c:pt idx="10">
                  <c:v>0</c:v>
                </c:pt>
                <c:pt idx="11">
                  <c:v>71.736584183551557</c:v>
                </c:pt>
                <c:pt idx="12">
                  <c:v>63.122957990620364</c:v>
                </c:pt>
                <c:pt idx="13">
                  <c:v>36.010368168595434</c:v>
                </c:pt>
                <c:pt idx="14">
                  <c:v>29.791747011183954</c:v>
                </c:pt>
                <c:pt idx="15">
                  <c:v>4.9999999999999991</c:v>
                </c:pt>
                <c:pt idx="16">
                  <c:v>16.842105263157894</c:v>
                </c:pt>
                <c:pt idx="17">
                  <c:v>75.058460495863969</c:v>
                </c:pt>
                <c:pt idx="18">
                  <c:v>0</c:v>
                </c:pt>
                <c:pt idx="19">
                  <c:v>0</c:v>
                </c:pt>
                <c:pt idx="20">
                  <c:v>59.82159793944021</c:v>
                </c:pt>
                <c:pt idx="21">
                  <c:v>34.304746044962528</c:v>
                </c:pt>
                <c:pt idx="22">
                  <c:v>74.09176821449941</c:v>
                </c:pt>
                <c:pt idx="23">
                  <c:v>69.978824427785483</c:v>
                </c:pt>
                <c:pt idx="24">
                  <c:v>56.899999514866906</c:v>
                </c:pt>
                <c:pt idx="25">
                  <c:v>83.54175650424034</c:v>
                </c:pt>
                <c:pt idx="26">
                  <c:v>97.000000000000014</c:v>
                </c:pt>
                <c:pt idx="27">
                  <c:v>97.818250212359388</c:v>
                </c:pt>
                <c:pt idx="28">
                  <c:v>67</c:v>
                </c:pt>
                <c:pt idx="29">
                  <c:v>75.020362669867552</c:v>
                </c:pt>
                <c:pt idx="30">
                  <c:v>19.176598049837487</c:v>
                </c:pt>
                <c:pt idx="31">
                  <c:v>56.096055843887591</c:v>
                </c:pt>
                <c:pt idx="32">
                  <c:v>81.423488724196886</c:v>
                </c:pt>
                <c:pt idx="33">
                  <c:v>48.285364226901777</c:v>
                </c:pt>
              </c:numCache>
            </c:numRef>
          </c:val>
          <c:extLst>
            <c:ext xmlns:c16="http://schemas.microsoft.com/office/drawing/2014/chart" uri="{C3380CC4-5D6E-409C-BE32-E72D297353CC}">
              <c16:uniqueId val="{00000002-093C-4C3F-BB84-6136EF390812}"/>
            </c:ext>
          </c:extLst>
        </c:ser>
        <c:ser>
          <c:idx val="7"/>
          <c:order val="7"/>
          <c:tx>
            <c:strRef>
              <c:f>'% abstraction source'!$I$75</c:f>
              <c:strCache>
                <c:ptCount val="1"/>
                <c:pt idx="0">
                  <c:v>other sources
 2016</c:v>
                </c:pt>
              </c:strCache>
              <c:extLst xmlns:c15="http://schemas.microsoft.com/office/drawing/2012/chart"/>
            </c:strRef>
          </c:tx>
          <c:spPr>
            <a:solidFill>
              <a:schemeClr val="accent2">
                <a:lumMod val="60000"/>
              </a:schemeClr>
            </a:solidFill>
            <a:ln>
              <a:noFill/>
            </a:ln>
            <a:effectLst/>
          </c:spPr>
          <c:invertIfNegative val="0"/>
          <c:cat>
            <c:strRef>
              <c:extLst>
                <c:ext xmlns:c15="http://schemas.microsoft.com/office/drawing/2012/chart" uri="{02D57815-91ED-43cb-92C2-25804820EDAC}">
                  <c15:fullRef>
                    <c15:sqref>'% abstraction source'!$A$76:$A$121</c15:sqref>
                  </c15:fullRef>
                </c:ext>
              </c:extLst>
              <c:f>('% abstraction source'!$A$76:$A$81,'% abstraction source'!$A$84:$A$92,'% abstraction source'!$A$94,'% abstraction source'!$A$97:$A$98,'% abstraction source'!$A$100:$A$101,'% abstraction source'!$A$103,'% abstraction source'!$A$105,'% abstraction source'!$A$107:$A$115,'% abstraction source'!$A$118:$A$120)</c:f>
              <c:strCache>
                <c:ptCount val="34"/>
                <c:pt idx="0">
                  <c:v>Argentina</c:v>
                </c:pt>
                <c:pt idx="1">
                  <c:v>Armenia</c:v>
                </c:pt>
                <c:pt idx="2">
                  <c:v>Australia</c:v>
                </c:pt>
                <c:pt idx="3">
                  <c:v>Austria</c:v>
                </c:pt>
                <c:pt idx="4">
                  <c:v>Belgium</c:v>
                </c:pt>
                <c:pt idx="5">
                  <c:v>Canada</c:v>
                </c:pt>
                <c:pt idx="6">
                  <c:v>Hong Kong, China</c:v>
                </c:pt>
                <c:pt idx="7">
                  <c:v>Chinese Taiwan</c:v>
                </c:pt>
                <c:pt idx="8">
                  <c:v>Cyprus</c:v>
                </c:pt>
                <c:pt idx="9">
                  <c:v>Czech Republic</c:v>
                </c:pt>
                <c:pt idx="10">
                  <c:v>Denmark</c:v>
                </c:pt>
                <c:pt idx="11">
                  <c:v>England &amp; Wales</c:v>
                </c:pt>
                <c:pt idx="12">
                  <c:v>Finland</c:v>
                </c:pt>
                <c:pt idx="13">
                  <c:v>France</c:v>
                </c:pt>
                <c:pt idx="14">
                  <c:v>Germany</c:v>
                </c:pt>
                <c:pt idx="15">
                  <c:v>Hungary </c:v>
                </c:pt>
                <c:pt idx="16">
                  <c:v>Italy</c:v>
                </c:pt>
                <c:pt idx="17">
                  <c:v>Japan</c:v>
                </c:pt>
                <c:pt idx="18">
                  <c:v>Macao, China</c:v>
                </c:pt>
                <c:pt idx="19">
                  <c:v>Malta</c:v>
                </c:pt>
                <c:pt idx="20">
                  <c:v>Mexico</c:v>
                </c:pt>
                <c:pt idx="21">
                  <c:v>Netherlands</c:v>
                </c:pt>
                <c:pt idx="22">
                  <c:v>Poland</c:v>
                </c:pt>
                <c:pt idx="23">
                  <c:v>Portugal</c:v>
                </c:pt>
                <c:pt idx="24">
                  <c:v>Romania</c:v>
                </c:pt>
                <c:pt idx="25">
                  <c:v>Russia</c:v>
                </c:pt>
                <c:pt idx="26">
                  <c:v>Scotland (UK)</c:v>
                </c:pt>
                <c:pt idx="27">
                  <c:v>South Korea</c:v>
                </c:pt>
                <c:pt idx="28">
                  <c:v>Spain</c:v>
                </c:pt>
                <c:pt idx="29">
                  <c:v>Sweden </c:v>
                </c:pt>
                <c:pt idx="30">
                  <c:v>Switzerland</c:v>
                </c:pt>
                <c:pt idx="31">
                  <c:v>Turkey</c:v>
                </c:pt>
                <c:pt idx="32">
                  <c:v>Uganda</c:v>
                </c:pt>
                <c:pt idx="33">
                  <c:v>United States of America</c:v>
                </c:pt>
              </c:strCache>
            </c:strRef>
          </c:cat>
          <c:val>
            <c:numRef>
              <c:extLst>
                <c:ext xmlns:c15="http://schemas.microsoft.com/office/drawing/2012/chart" uri="{02D57815-91ED-43cb-92C2-25804820EDAC}">
                  <c15:fullRef>
                    <c15:sqref>'% abstraction source'!$I$76:$I$121</c15:sqref>
                  </c15:fullRef>
                </c:ext>
              </c:extLst>
              <c:f>('% abstraction source'!$I$76:$I$81,'% abstraction source'!$I$84:$I$92,'% abstraction source'!$I$94,'% abstraction source'!$I$97:$I$98,'% abstraction source'!$I$100:$I$101,'% abstraction source'!$I$103,'% abstraction source'!$I$105,'% abstraction source'!$I$107:$I$115,'% abstraction source'!$I$118:$I$120)</c:f>
              <c:numCache>
                <c:formatCode>_ * #,##0.00_ ;_ * \-#,##0.00_ ;_ * "-"??_ ;_ @_ </c:formatCode>
                <c:ptCount val="34"/>
                <c:pt idx="0">
                  <c:v>0</c:v>
                </c:pt>
                <c:pt idx="1">
                  <c:v>0</c:v>
                </c:pt>
                <c:pt idx="2">
                  <c:v>17.590938611212923</c:v>
                </c:pt>
                <c:pt idx="3">
                  <c:v>0</c:v>
                </c:pt>
                <c:pt idx="4">
                  <c:v>0</c:v>
                </c:pt>
                <c:pt idx="5">
                  <c:v>0</c:v>
                </c:pt>
                <c:pt idx="6">
                  <c:v>0</c:v>
                </c:pt>
                <c:pt idx="7">
                  <c:v>0.38553536067913402</c:v>
                </c:pt>
                <c:pt idx="8">
                  <c:v>28.47290640394089</c:v>
                </c:pt>
                <c:pt idx="9">
                  <c:v>0</c:v>
                </c:pt>
                <c:pt idx="10">
                  <c:v>0</c:v>
                </c:pt>
                <c:pt idx="11">
                  <c:v>0.15078674305083889</c:v>
                </c:pt>
                <c:pt idx="12">
                  <c:v>0</c:v>
                </c:pt>
                <c:pt idx="13">
                  <c:v>0</c:v>
                </c:pt>
                <c:pt idx="14">
                  <c:v>0</c:v>
                </c:pt>
                <c:pt idx="15">
                  <c:v>29.500027279806496</c:v>
                </c:pt>
                <c:pt idx="16">
                  <c:v>0</c:v>
                </c:pt>
                <c:pt idx="17">
                  <c:v>0.11680585049074839</c:v>
                </c:pt>
                <c:pt idx="18">
                  <c:v>1.0943902505732814</c:v>
                </c:pt>
                <c:pt idx="19">
                  <c:v>55.914981353136852</c:v>
                </c:pt>
                <c:pt idx="20">
                  <c:v>0</c:v>
                </c:pt>
                <c:pt idx="21">
                  <c:v>0</c:v>
                </c:pt>
                <c:pt idx="22">
                  <c:v>9.9034068783420555</c:v>
                </c:pt>
                <c:pt idx="23">
                  <c:v>0</c:v>
                </c:pt>
                <c:pt idx="24">
                  <c:v>0</c:v>
                </c:pt>
                <c:pt idx="25">
                  <c:v>0</c:v>
                </c:pt>
                <c:pt idx="26">
                  <c:v>0</c:v>
                </c:pt>
                <c:pt idx="27">
                  <c:v>0</c:v>
                </c:pt>
                <c:pt idx="28">
                  <c:v>5</c:v>
                </c:pt>
                <c:pt idx="29">
                  <c:v>0</c:v>
                </c:pt>
                <c:pt idx="30">
                  <c:v>0</c:v>
                </c:pt>
                <c:pt idx="31">
                  <c:v>0</c:v>
                </c:pt>
                <c:pt idx="32">
                  <c:v>0</c:v>
                </c:pt>
                <c:pt idx="33">
                  <c:v>0.29717838752716019</c:v>
                </c:pt>
              </c:numCache>
            </c:numRef>
          </c:val>
          <c:extLst>
            <c:ext xmlns:c16="http://schemas.microsoft.com/office/drawing/2014/chart" uri="{C3380CC4-5D6E-409C-BE32-E72D297353CC}">
              <c16:uniqueId val="{00000003-093C-4C3F-BB84-6136EF390812}"/>
            </c:ext>
          </c:extLst>
        </c:ser>
        <c:ser>
          <c:idx val="9"/>
          <c:order val="9"/>
          <c:tx>
            <c:strRef>
              <c:f>'% abstraction source'!$K$75</c:f>
              <c:strCache>
                <c:ptCount val="1"/>
                <c:pt idx="0">
                  <c:v>imported water
 2016</c:v>
                </c:pt>
              </c:strCache>
              <c:extLst xmlns:c15="http://schemas.microsoft.com/office/drawing/2012/chart"/>
            </c:strRef>
          </c:tx>
          <c:spPr>
            <a:solidFill>
              <a:schemeClr val="accent4">
                <a:lumMod val="60000"/>
              </a:schemeClr>
            </a:solidFill>
            <a:ln>
              <a:noFill/>
            </a:ln>
            <a:effectLst/>
          </c:spPr>
          <c:invertIfNegative val="0"/>
          <c:cat>
            <c:strRef>
              <c:extLst>
                <c:ext xmlns:c15="http://schemas.microsoft.com/office/drawing/2012/chart" uri="{02D57815-91ED-43cb-92C2-25804820EDAC}">
                  <c15:fullRef>
                    <c15:sqref>'% abstraction source'!$A$76:$A$121</c15:sqref>
                  </c15:fullRef>
                </c:ext>
              </c:extLst>
              <c:f>('% abstraction source'!$A$76:$A$81,'% abstraction source'!$A$84:$A$92,'% abstraction source'!$A$94,'% abstraction source'!$A$97:$A$98,'% abstraction source'!$A$100:$A$101,'% abstraction source'!$A$103,'% abstraction source'!$A$105,'% abstraction source'!$A$107:$A$115,'% abstraction source'!$A$118:$A$120)</c:f>
              <c:strCache>
                <c:ptCount val="34"/>
                <c:pt idx="0">
                  <c:v>Argentina</c:v>
                </c:pt>
                <c:pt idx="1">
                  <c:v>Armenia</c:v>
                </c:pt>
                <c:pt idx="2">
                  <c:v>Australia</c:v>
                </c:pt>
                <c:pt idx="3">
                  <c:v>Austria</c:v>
                </c:pt>
                <c:pt idx="4">
                  <c:v>Belgium</c:v>
                </c:pt>
                <c:pt idx="5">
                  <c:v>Canada</c:v>
                </c:pt>
                <c:pt idx="6">
                  <c:v>Hong Kong, China</c:v>
                </c:pt>
                <c:pt idx="7">
                  <c:v>Chinese Taiwan</c:v>
                </c:pt>
                <c:pt idx="8">
                  <c:v>Cyprus</c:v>
                </c:pt>
                <c:pt idx="9">
                  <c:v>Czech Republic</c:v>
                </c:pt>
                <c:pt idx="10">
                  <c:v>Denmark</c:v>
                </c:pt>
                <c:pt idx="11">
                  <c:v>England &amp; Wales</c:v>
                </c:pt>
                <c:pt idx="12">
                  <c:v>Finland</c:v>
                </c:pt>
                <c:pt idx="13">
                  <c:v>France</c:v>
                </c:pt>
                <c:pt idx="14">
                  <c:v>Germany</c:v>
                </c:pt>
                <c:pt idx="15">
                  <c:v>Hungary </c:v>
                </c:pt>
                <c:pt idx="16">
                  <c:v>Italy</c:v>
                </c:pt>
                <c:pt idx="17">
                  <c:v>Japan</c:v>
                </c:pt>
                <c:pt idx="18">
                  <c:v>Macao, China</c:v>
                </c:pt>
                <c:pt idx="19">
                  <c:v>Malta</c:v>
                </c:pt>
                <c:pt idx="20">
                  <c:v>Mexico</c:v>
                </c:pt>
                <c:pt idx="21">
                  <c:v>Netherlands</c:v>
                </c:pt>
                <c:pt idx="22">
                  <c:v>Poland</c:v>
                </c:pt>
                <c:pt idx="23">
                  <c:v>Portugal</c:v>
                </c:pt>
                <c:pt idx="24">
                  <c:v>Romania</c:v>
                </c:pt>
                <c:pt idx="25">
                  <c:v>Russia</c:v>
                </c:pt>
                <c:pt idx="26">
                  <c:v>Scotland (UK)</c:v>
                </c:pt>
                <c:pt idx="27">
                  <c:v>South Korea</c:v>
                </c:pt>
                <c:pt idx="28">
                  <c:v>Spain</c:v>
                </c:pt>
                <c:pt idx="29">
                  <c:v>Sweden </c:v>
                </c:pt>
                <c:pt idx="30">
                  <c:v>Switzerland</c:v>
                </c:pt>
                <c:pt idx="31">
                  <c:v>Turkey</c:v>
                </c:pt>
                <c:pt idx="32">
                  <c:v>Uganda</c:v>
                </c:pt>
                <c:pt idx="33">
                  <c:v>United States of America</c:v>
                </c:pt>
              </c:strCache>
            </c:strRef>
          </c:cat>
          <c:val>
            <c:numRef>
              <c:extLst>
                <c:ext xmlns:c15="http://schemas.microsoft.com/office/drawing/2012/chart" uri="{02D57815-91ED-43cb-92C2-25804820EDAC}">
                  <c15:fullRef>
                    <c15:sqref>'% abstraction source'!$K$76:$K$121</c15:sqref>
                  </c15:fullRef>
                </c:ext>
              </c:extLst>
              <c:f>('% abstraction source'!$K$76:$K$81,'% abstraction source'!$K$84:$K$92,'% abstraction source'!$K$94,'% abstraction source'!$K$97:$K$98,'% abstraction source'!$K$100:$K$101,'% abstraction source'!$K$103,'% abstraction source'!$K$105,'% abstraction source'!$K$107:$K$115,'% abstraction source'!$K$118:$K$120)</c:f>
              <c:numCache>
                <c:formatCode>_ * #,##0.00_ ;_ * \-#,##0.00_ ;_ * "-"??_ ;_ @_ </c:formatCode>
                <c:ptCount val="34"/>
                <c:pt idx="0">
                  <c:v>0</c:v>
                </c:pt>
                <c:pt idx="1">
                  <c:v>0</c:v>
                </c:pt>
                <c:pt idx="2">
                  <c:v>0</c:v>
                </c:pt>
                <c:pt idx="3">
                  <c:v>0</c:v>
                </c:pt>
                <c:pt idx="4">
                  <c:v>0.40942685627624442</c:v>
                </c:pt>
                <c:pt idx="5">
                  <c:v>0</c:v>
                </c:pt>
                <c:pt idx="6">
                  <c:v>63.728449585705313</c:v>
                </c:pt>
                <c:pt idx="7">
                  <c:v>0</c:v>
                </c:pt>
                <c:pt idx="8">
                  <c:v>0</c:v>
                </c:pt>
                <c:pt idx="9">
                  <c:v>0</c:v>
                </c:pt>
                <c:pt idx="10">
                  <c:v>0</c:v>
                </c:pt>
                <c:pt idx="11">
                  <c:v>0</c:v>
                </c:pt>
                <c:pt idx="12">
                  <c:v>0</c:v>
                </c:pt>
                <c:pt idx="13">
                  <c:v>0</c:v>
                </c:pt>
                <c:pt idx="14">
                  <c:v>0</c:v>
                </c:pt>
                <c:pt idx="15">
                  <c:v>0</c:v>
                </c:pt>
                <c:pt idx="16">
                  <c:v>0</c:v>
                </c:pt>
                <c:pt idx="17">
                  <c:v>0</c:v>
                </c:pt>
                <c:pt idx="18">
                  <c:v>98.905609749426716</c:v>
                </c:pt>
                <c:pt idx="19">
                  <c:v>0</c:v>
                </c:pt>
                <c:pt idx="20">
                  <c:v>2.1142678224938352</c:v>
                </c:pt>
                <c:pt idx="21">
                  <c:v>0.91590341382181517</c:v>
                </c:pt>
                <c:pt idx="22">
                  <c:v>0</c:v>
                </c:pt>
                <c:pt idx="23">
                  <c:v>0</c:v>
                </c:pt>
                <c:pt idx="24">
                  <c:v>0</c:v>
                </c:pt>
                <c:pt idx="25">
                  <c:v>0</c:v>
                </c:pt>
                <c:pt idx="26">
                  <c:v>0</c:v>
                </c:pt>
                <c:pt idx="27">
                  <c:v>0</c:v>
                </c:pt>
                <c:pt idx="28">
                  <c:v>0</c:v>
                </c:pt>
                <c:pt idx="29">
                  <c:v>0</c:v>
                </c:pt>
                <c:pt idx="30">
                  <c:v>0</c:v>
                </c:pt>
                <c:pt idx="31">
                  <c:v>0</c:v>
                </c:pt>
                <c:pt idx="32">
                  <c:v>0</c:v>
                </c:pt>
                <c:pt idx="33">
                  <c:v>15.48201132236554</c:v>
                </c:pt>
              </c:numCache>
            </c:numRef>
          </c:val>
          <c:extLst>
            <c:ext xmlns:c16="http://schemas.microsoft.com/office/drawing/2014/chart" uri="{C3380CC4-5D6E-409C-BE32-E72D297353CC}">
              <c16:uniqueId val="{00000004-093C-4C3F-BB84-6136EF390812}"/>
            </c:ext>
          </c:extLst>
        </c:ser>
        <c:dLbls>
          <c:showLegendKey val="0"/>
          <c:showVal val="0"/>
          <c:showCatName val="0"/>
          <c:showSerName val="0"/>
          <c:showPercent val="0"/>
          <c:showBubbleSize val="0"/>
        </c:dLbls>
        <c:gapWidth val="150"/>
        <c:overlap val="100"/>
        <c:axId val="350142040"/>
        <c:axId val="350142432"/>
        <c:extLst>
          <c:ext xmlns:c15="http://schemas.microsoft.com/office/drawing/2012/chart" uri="{02D57815-91ED-43cb-92C2-25804820EDAC}">
            <c15:filteredBarSeries>
              <c15:ser>
                <c:idx val="0"/>
                <c:order val="0"/>
                <c:tx>
                  <c:strRef>
                    <c:extLst>
                      <c:ext uri="{02D57815-91ED-43cb-92C2-25804820EDAC}">
                        <c15:formulaRef>
                          <c15:sqref>'% abstraction source'!$B$75</c15:sqref>
                        </c15:formulaRef>
                      </c:ext>
                    </c:extLst>
                    <c:strCache>
                      <c:ptCount val="1"/>
                      <c:pt idx="0">
                        <c:v>groundwater
 2014</c:v>
                      </c:pt>
                    </c:strCache>
                  </c:strRef>
                </c:tx>
                <c:spPr>
                  <a:solidFill>
                    <a:schemeClr val="accent1"/>
                  </a:solidFill>
                  <a:ln>
                    <a:noFill/>
                  </a:ln>
                  <a:effectLst/>
                </c:spPr>
                <c:invertIfNegative val="0"/>
                <c:cat>
                  <c:strRef>
                    <c:extLst>
                      <c:ext uri="{02D57815-91ED-43cb-92C2-25804820EDAC}">
                        <c15:fullRef>
                          <c15:sqref>'% abstraction source'!$A$76:$A$121</c15:sqref>
                        </c15:fullRef>
                        <c15:formulaRef>
                          <c15:sqref>('% abstraction source'!$A$76:$A$81,'% abstraction source'!$A$84:$A$92,'% abstraction source'!$A$94,'% abstraction source'!$A$97:$A$98,'% abstraction source'!$A$100:$A$101,'% abstraction source'!$A$103,'% abstraction source'!$A$105,'% abstraction source'!$A$107:$A$115,'% abstraction source'!$A$118:$A$120)</c15:sqref>
                        </c15:formulaRef>
                      </c:ext>
                    </c:extLst>
                    <c:strCache>
                      <c:ptCount val="34"/>
                      <c:pt idx="0">
                        <c:v>Argentina</c:v>
                      </c:pt>
                      <c:pt idx="1">
                        <c:v>Armenia</c:v>
                      </c:pt>
                      <c:pt idx="2">
                        <c:v>Australia</c:v>
                      </c:pt>
                      <c:pt idx="3">
                        <c:v>Austria</c:v>
                      </c:pt>
                      <c:pt idx="4">
                        <c:v>Belgium</c:v>
                      </c:pt>
                      <c:pt idx="5">
                        <c:v>Canada</c:v>
                      </c:pt>
                      <c:pt idx="6">
                        <c:v>Hong Kong, China</c:v>
                      </c:pt>
                      <c:pt idx="7">
                        <c:v>Chinese Taiwan</c:v>
                      </c:pt>
                      <c:pt idx="8">
                        <c:v>Cyprus</c:v>
                      </c:pt>
                      <c:pt idx="9">
                        <c:v>Czech Republic</c:v>
                      </c:pt>
                      <c:pt idx="10">
                        <c:v>Denmark</c:v>
                      </c:pt>
                      <c:pt idx="11">
                        <c:v>England &amp; Wales</c:v>
                      </c:pt>
                      <c:pt idx="12">
                        <c:v>Finland</c:v>
                      </c:pt>
                      <c:pt idx="13">
                        <c:v>France</c:v>
                      </c:pt>
                      <c:pt idx="14">
                        <c:v>Germany</c:v>
                      </c:pt>
                      <c:pt idx="15">
                        <c:v>Hungary </c:v>
                      </c:pt>
                      <c:pt idx="16">
                        <c:v>Italy</c:v>
                      </c:pt>
                      <c:pt idx="17">
                        <c:v>Japan</c:v>
                      </c:pt>
                      <c:pt idx="18">
                        <c:v>Macao, China</c:v>
                      </c:pt>
                      <c:pt idx="19">
                        <c:v>Malta</c:v>
                      </c:pt>
                      <c:pt idx="20">
                        <c:v>Mexico</c:v>
                      </c:pt>
                      <c:pt idx="21">
                        <c:v>Netherlands</c:v>
                      </c:pt>
                      <c:pt idx="22">
                        <c:v>Poland</c:v>
                      </c:pt>
                      <c:pt idx="23">
                        <c:v>Portugal</c:v>
                      </c:pt>
                      <c:pt idx="24">
                        <c:v>Romania</c:v>
                      </c:pt>
                      <c:pt idx="25">
                        <c:v>Russia</c:v>
                      </c:pt>
                      <c:pt idx="26">
                        <c:v>Scotland (UK)</c:v>
                      </c:pt>
                      <c:pt idx="27">
                        <c:v>South Korea</c:v>
                      </c:pt>
                      <c:pt idx="28">
                        <c:v>Spain</c:v>
                      </c:pt>
                      <c:pt idx="29">
                        <c:v>Sweden </c:v>
                      </c:pt>
                      <c:pt idx="30">
                        <c:v>Switzerland</c:v>
                      </c:pt>
                      <c:pt idx="31">
                        <c:v>Turkey</c:v>
                      </c:pt>
                      <c:pt idx="32">
                        <c:v>Uganda</c:v>
                      </c:pt>
                      <c:pt idx="33">
                        <c:v>United States of America</c:v>
                      </c:pt>
                    </c:strCache>
                  </c:strRef>
                </c:cat>
                <c:val>
                  <c:numRef>
                    <c:extLst>
                      <c:ext uri="{02D57815-91ED-43cb-92C2-25804820EDAC}">
                        <c15:fullRef>
                          <c15:sqref>'% abstraction source'!$B$76:$B$121</c15:sqref>
                        </c15:fullRef>
                        <c15:formulaRef>
                          <c15:sqref>('% abstraction source'!$B$76:$B$81,'% abstraction source'!$B$84:$B$92,'% abstraction source'!$B$94,'% abstraction source'!$B$97:$B$98,'% abstraction source'!$B$100:$B$101,'% abstraction source'!$B$103,'% abstraction source'!$B$105,'% abstraction source'!$B$107:$B$115,'% abstraction source'!$B$118:$B$120)</c15:sqref>
                        </c15:formulaRef>
                      </c:ext>
                    </c:extLst>
                    <c:numCache>
                      <c:formatCode>_ * #,##0.00_ ;_ * \-#,##0.00_ ;_ * "-"??_ ;_ @_ </c:formatCode>
                      <c:ptCount val="34"/>
                      <c:pt idx="0">
                        <c:v>0</c:v>
                      </c:pt>
                      <c:pt idx="1">
                        <c:v>0</c:v>
                      </c:pt>
                      <c:pt idx="2">
                        <c:v>7.5508493071020126</c:v>
                      </c:pt>
                      <c:pt idx="3">
                        <c:v>0</c:v>
                      </c:pt>
                      <c:pt idx="4">
                        <c:v>64.567316330816709</c:v>
                      </c:pt>
                      <c:pt idx="5">
                        <c:v>5.9982028676598738</c:v>
                      </c:pt>
                      <c:pt idx="6">
                        <c:v>0</c:v>
                      </c:pt>
                      <c:pt idx="7">
                        <c:v>17.705635027140424</c:v>
                      </c:pt>
                      <c:pt idx="8">
                        <c:v>49.153468050245763</c:v>
                      </c:pt>
                      <c:pt idx="9">
                        <c:v>0</c:v>
                      </c:pt>
                      <c:pt idx="10">
                        <c:v>100</c:v>
                      </c:pt>
                      <c:pt idx="11">
                        <c:v>29.13918778202013</c:v>
                      </c:pt>
                      <c:pt idx="12">
                        <c:v>36.877042009379643</c:v>
                      </c:pt>
                      <c:pt idx="13">
                        <c:v>66.475026949335245</c:v>
                      </c:pt>
                      <c:pt idx="14">
                        <c:v>61.335434311601347</c:v>
                      </c:pt>
                      <c:pt idx="15">
                        <c:v>84.999999999999986</c:v>
                      </c:pt>
                      <c:pt idx="16">
                        <c:v>0</c:v>
                      </c:pt>
                      <c:pt idx="17">
                        <c:v>22.998110168652047</c:v>
                      </c:pt>
                      <c:pt idx="18">
                        <c:v>0</c:v>
                      </c:pt>
                      <c:pt idx="19">
                        <c:v>48.699450253679004</c:v>
                      </c:pt>
                      <c:pt idx="20">
                        <c:v>38.214563569014963</c:v>
                      </c:pt>
                      <c:pt idx="21">
                        <c:v>64.841745081266041</c:v>
                      </c:pt>
                      <c:pt idx="22">
                        <c:v>15.232012341382198</c:v>
                      </c:pt>
                      <c:pt idx="23">
                        <c:v>33.75896012926998</c:v>
                      </c:pt>
                      <c:pt idx="24">
                        <c:v>39.084429371053574</c:v>
                      </c:pt>
                      <c:pt idx="25">
                        <c:v>14.77032746822055</c:v>
                      </c:pt>
                      <c:pt idx="26">
                        <c:v>3.9074564641988543</c:v>
                      </c:pt>
                      <c:pt idx="27">
                        <c:v>1.4045814772746368</c:v>
                      </c:pt>
                      <c:pt idx="28">
                        <c:v>25.742574257425737</c:v>
                      </c:pt>
                      <c:pt idx="29">
                        <c:v>0</c:v>
                      </c:pt>
                      <c:pt idx="30">
                        <c:v>41.731409544950054</c:v>
                      </c:pt>
                      <c:pt idx="31">
                        <c:v>0</c:v>
                      </c:pt>
                      <c:pt idx="32">
                        <c:v>2.5400001240801084</c:v>
                      </c:pt>
                      <c:pt idx="33">
                        <c:v>19.737280907187859</c:v>
                      </c:pt>
                    </c:numCache>
                  </c:numRef>
                </c:val>
                <c:extLst>
                  <c:ext xmlns:c16="http://schemas.microsoft.com/office/drawing/2014/chart" uri="{C3380CC4-5D6E-409C-BE32-E72D297353CC}">
                    <c16:uniqueId val="{00000005-093C-4C3F-BB84-6136EF390812}"/>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 abstraction source'!$D$75</c15:sqref>
                        </c15:formulaRef>
                      </c:ext>
                    </c:extLst>
                    <c:strCache>
                      <c:ptCount val="1"/>
                      <c:pt idx="0">
                        <c:v>springwater
 2014</c:v>
                      </c:pt>
                    </c:strCache>
                  </c:strRef>
                </c:tx>
                <c:spPr>
                  <a:solidFill>
                    <a:schemeClr val="accent3"/>
                  </a:solidFill>
                  <a:ln>
                    <a:noFill/>
                  </a:ln>
                  <a:effectLst/>
                </c:spPr>
                <c:invertIfNegative val="0"/>
                <c:cat>
                  <c:strRef>
                    <c:extLst>
                      <c:ext xmlns:c15="http://schemas.microsoft.com/office/drawing/2012/chart" uri="{02D57815-91ED-43cb-92C2-25804820EDAC}">
                        <c15:fullRef>
                          <c15:sqref>'% abstraction source'!$A$76:$A$121</c15:sqref>
                        </c15:fullRef>
                        <c15:formulaRef>
                          <c15:sqref>('% abstraction source'!$A$76:$A$81,'% abstraction source'!$A$84:$A$92,'% abstraction source'!$A$94,'% abstraction source'!$A$97:$A$98,'% abstraction source'!$A$100:$A$101,'% abstraction source'!$A$103,'% abstraction source'!$A$105,'% abstraction source'!$A$107:$A$115,'% abstraction source'!$A$118:$A$120)</c15:sqref>
                        </c15:formulaRef>
                      </c:ext>
                    </c:extLst>
                    <c:strCache>
                      <c:ptCount val="34"/>
                      <c:pt idx="0">
                        <c:v>Argentina</c:v>
                      </c:pt>
                      <c:pt idx="1">
                        <c:v>Armenia</c:v>
                      </c:pt>
                      <c:pt idx="2">
                        <c:v>Australia</c:v>
                      </c:pt>
                      <c:pt idx="3">
                        <c:v>Austria</c:v>
                      </c:pt>
                      <c:pt idx="4">
                        <c:v>Belgium</c:v>
                      </c:pt>
                      <c:pt idx="5">
                        <c:v>Canada</c:v>
                      </c:pt>
                      <c:pt idx="6">
                        <c:v>Hong Kong, China</c:v>
                      </c:pt>
                      <c:pt idx="7">
                        <c:v>Chinese Taiwan</c:v>
                      </c:pt>
                      <c:pt idx="8">
                        <c:v>Cyprus</c:v>
                      </c:pt>
                      <c:pt idx="9">
                        <c:v>Czech Republic</c:v>
                      </c:pt>
                      <c:pt idx="10">
                        <c:v>Denmark</c:v>
                      </c:pt>
                      <c:pt idx="11">
                        <c:v>England &amp; Wales</c:v>
                      </c:pt>
                      <c:pt idx="12">
                        <c:v>Finland</c:v>
                      </c:pt>
                      <c:pt idx="13">
                        <c:v>France</c:v>
                      </c:pt>
                      <c:pt idx="14">
                        <c:v>Germany</c:v>
                      </c:pt>
                      <c:pt idx="15">
                        <c:v>Hungary </c:v>
                      </c:pt>
                      <c:pt idx="16">
                        <c:v>Italy</c:v>
                      </c:pt>
                      <c:pt idx="17">
                        <c:v>Japan</c:v>
                      </c:pt>
                      <c:pt idx="18">
                        <c:v>Macao, China</c:v>
                      </c:pt>
                      <c:pt idx="19">
                        <c:v>Malta</c:v>
                      </c:pt>
                      <c:pt idx="20">
                        <c:v>Mexico</c:v>
                      </c:pt>
                      <c:pt idx="21">
                        <c:v>Netherlands</c:v>
                      </c:pt>
                      <c:pt idx="22">
                        <c:v>Poland</c:v>
                      </c:pt>
                      <c:pt idx="23">
                        <c:v>Portugal</c:v>
                      </c:pt>
                      <c:pt idx="24">
                        <c:v>Romania</c:v>
                      </c:pt>
                      <c:pt idx="25">
                        <c:v>Russia</c:v>
                      </c:pt>
                      <c:pt idx="26">
                        <c:v>Scotland (UK)</c:v>
                      </c:pt>
                      <c:pt idx="27">
                        <c:v>South Korea</c:v>
                      </c:pt>
                      <c:pt idx="28">
                        <c:v>Spain</c:v>
                      </c:pt>
                      <c:pt idx="29">
                        <c:v>Sweden </c:v>
                      </c:pt>
                      <c:pt idx="30">
                        <c:v>Switzerland</c:v>
                      </c:pt>
                      <c:pt idx="31">
                        <c:v>Turkey</c:v>
                      </c:pt>
                      <c:pt idx="32">
                        <c:v>Uganda</c:v>
                      </c:pt>
                      <c:pt idx="33">
                        <c:v>United States of America</c:v>
                      </c:pt>
                    </c:strCache>
                  </c:strRef>
                </c:cat>
                <c:val>
                  <c:numRef>
                    <c:extLst>
                      <c:ext xmlns:c15="http://schemas.microsoft.com/office/drawing/2012/chart" uri="{02D57815-91ED-43cb-92C2-25804820EDAC}">
                        <c15:fullRef>
                          <c15:sqref>'% abstraction source'!$D$76:$D$121</c15:sqref>
                        </c15:fullRef>
                        <c15:formulaRef>
                          <c15:sqref>('% abstraction source'!$D$76:$D$81,'% abstraction source'!$D$84:$D$92,'% abstraction source'!$D$94,'% abstraction source'!$D$97:$D$98,'% abstraction source'!$D$100:$D$101,'% abstraction source'!$D$103,'% abstraction source'!$D$105,'% abstraction source'!$D$107:$D$115,'% abstraction source'!$D$118:$D$120)</c15:sqref>
                        </c15:formulaRef>
                      </c:ext>
                    </c:extLst>
                    <c:numCache>
                      <c:formatCode>_ * #,##0.00_ ;_ * \-#,##0.00_ ;_ * "-"??_ ;_ @_ </c:formatCode>
                      <c:ptCount val="34"/>
                      <c:pt idx="0">
                        <c:v>0</c:v>
                      </c:pt>
                      <c:pt idx="1">
                        <c:v>0</c:v>
                      </c:pt>
                      <c:pt idx="2">
                        <c:v>0</c:v>
                      </c:pt>
                      <c:pt idx="3">
                        <c:v>0</c:v>
                      </c:pt>
                      <c:pt idx="4">
                        <c:v>0</c:v>
                      </c:pt>
                      <c:pt idx="5">
                        <c:v>0</c:v>
                      </c:pt>
                      <c:pt idx="6">
                        <c:v>0</c:v>
                      </c:pt>
                      <c:pt idx="7">
                        <c:v>9.5974045403835431E-2</c:v>
                      </c:pt>
                      <c:pt idx="8">
                        <c:v>0</c:v>
                      </c:pt>
                      <c:pt idx="9">
                        <c:v>0</c:v>
                      </c:pt>
                      <c:pt idx="10">
                        <c:v>0</c:v>
                      </c:pt>
                      <c:pt idx="11">
                        <c:v>0</c:v>
                      </c:pt>
                      <c:pt idx="12">
                        <c:v>0</c:v>
                      </c:pt>
                      <c:pt idx="13">
                        <c:v>0</c:v>
                      </c:pt>
                      <c:pt idx="14">
                        <c:v>8.0362418751231033</c:v>
                      </c:pt>
                      <c:pt idx="15">
                        <c:v>10</c:v>
                      </c:pt>
                      <c:pt idx="16">
                        <c:v>0</c:v>
                      </c:pt>
                      <c:pt idx="17">
                        <c:v>2.7988890796249071</c:v>
                      </c:pt>
                      <c:pt idx="18">
                        <c:v>0</c:v>
                      </c:pt>
                      <c:pt idx="19">
                        <c:v>0</c:v>
                      </c:pt>
                      <c:pt idx="20">
                        <c:v>0</c:v>
                      </c:pt>
                      <c:pt idx="21">
                        <c:v>0</c:v>
                      </c:pt>
                      <c:pt idx="22">
                        <c:v>0</c:v>
                      </c:pt>
                      <c:pt idx="23">
                        <c:v>0</c:v>
                      </c:pt>
                      <c:pt idx="24">
                        <c:v>0</c:v>
                      </c:pt>
                      <c:pt idx="25">
                        <c:v>0</c:v>
                      </c:pt>
                      <c:pt idx="26">
                        <c:v>0</c:v>
                      </c:pt>
                      <c:pt idx="27">
                        <c:v>0</c:v>
                      </c:pt>
                      <c:pt idx="28">
                        <c:v>0</c:v>
                      </c:pt>
                      <c:pt idx="29">
                        <c:v>0</c:v>
                      </c:pt>
                      <c:pt idx="30">
                        <c:v>39.955604883462819</c:v>
                      </c:pt>
                      <c:pt idx="31">
                        <c:v>0</c:v>
                      </c:pt>
                      <c:pt idx="32">
                        <c:v>0</c:v>
                      </c:pt>
                      <c:pt idx="33">
                        <c:v>0</c:v>
                      </c:pt>
                    </c:numCache>
                  </c:numRef>
                </c:val>
                <c:extLst xmlns:c15="http://schemas.microsoft.com/office/drawing/2012/chart">
                  <c:ext xmlns:c16="http://schemas.microsoft.com/office/drawing/2014/chart" uri="{C3380CC4-5D6E-409C-BE32-E72D297353CC}">
                    <c16:uniqueId val="{00000006-093C-4C3F-BB84-6136EF390812}"/>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 abstraction source'!$F$75</c15:sqref>
                        </c15:formulaRef>
                      </c:ext>
                    </c:extLst>
                    <c:strCache>
                      <c:ptCount val="1"/>
                      <c:pt idx="0">
                        <c:v>surface water
 2014</c:v>
                      </c:pt>
                    </c:strCache>
                  </c:strRef>
                </c:tx>
                <c:spPr>
                  <a:solidFill>
                    <a:schemeClr val="accent5"/>
                  </a:solidFill>
                  <a:ln>
                    <a:noFill/>
                  </a:ln>
                  <a:effectLst/>
                </c:spPr>
                <c:invertIfNegative val="0"/>
                <c:cat>
                  <c:strRef>
                    <c:extLst>
                      <c:ext xmlns:c15="http://schemas.microsoft.com/office/drawing/2012/chart" uri="{02D57815-91ED-43cb-92C2-25804820EDAC}">
                        <c15:fullRef>
                          <c15:sqref>'% abstraction source'!$A$76:$A$121</c15:sqref>
                        </c15:fullRef>
                        <c15:formulaRef>
                          <c15:sqref>('% abstraction source'!$A$76:$A$81,'% abstraction source'!$A$84:$A$92,'% abstraction source'!$A$94,'% abstraction source'!$A$97:$A$98,'% abstraction source'!$A$100:$A$101,'% abstraction source'!$A$103,'% abstraction source'!$A$105,'% abstraction source'!$A$107:$A$115,'% abstraction source'!$A$118:$A$120)</c15:sqref>
                        </c15:formulaRef>
                      </c:ext>
                    </c:extLst>
                    <c:strCache>
                      <c:ptCount val="34"/>
                      <c:pt idx="0">
                        <c:v>Argentina</c:v>
                      </c:pt>
                      <c:pt idx="1">
                        <c:v>Armenia</c:v>
                      </c:pt>
                      <c:pt idx="2">
                        <c:v>Australia</c:v>
                      </c:pt>
                      <c:pt idx="3">
                        <c:v>Austria</c:v>
                      </c:pt>
                      <c:pt idx="4">
                        <c:v>Belgium</c:v>
                      </c:pt>
                      <c:pt idx="5">
                        <c:v>Canada</c:v>
                      </c:pt>
                      <c:pt idx="6">
                        <c:v>Hong Kong, China</c:v>
                      </c:pt>
                      <c:pt idx="7">
                        <c:v>Chinese Taiwan</c:v>
                      </c:pt>
                      <c:pt idx="8">
                        <c:v>Cyprus</c:v>
                      </c:pt>
                      <c:pt idx="9">
                        <c:v>Czech Republic</c:v>
                      </c:pt>
                      <c:pt idx="10">
                        <c:v>Denmark</c:v>
                      </c:pt>
                      <c:pt idx="11">
                        <c:v>England &amp; Wales</c:v>
                      </c:pt>
                      <c:pt idx="12">
                        <c:v>Finland</c:v>
                      </c:pt>
                      <c:pt idx="13">
                        <c:v>France</c:v>
                      </c:pt>
                      <c:pt idx="14">
                        <c:v>Germany</c:v>
                      </c:pt>
                      <c:pt idx="15">
                        <c:v>Hungary </c:v>
                      </c:pt>
                      <c:pt idx="16">
                        <c:v>Italy</c:v>
                      </c:pt>
                      <c:pt idx="17">
                        <c:v>Japan</c:v>
                      </c:pt>
                      <c:pt idx="18">
                        <c:v>Macao, China</c:v>
                      </c:pt>
                      <c:pt idx="19">
                        <c:v>Malta</c:v>
                      </c:pt>
                      <c:pt idx="20">
                        <c:v>Mexico</c:v>
                      </c:pt>
                      <c:pt idx="21">
                        <c:v>Netherlands</c:v>
                      </c:pt>
                      <c:pt idx="22">
                        <c:v>Poland</c:v>
                      </c:pt>
                      <c:pt idx="23">
                        <c:v>Portugal</c:v>
                      </c:pt>
                      <c:pt idx="24">
                        <c:v>Romania</c:v>
                      </c:pt>
                      <c:pt idx="25">
                        <c:v>Russia</c:v>
                      </c:pt>
                      <c:pt idx="26">
                        <c:v>Scotland (UK)</c:v>
                      </c:pt>
                      <c:pt idx="27">
                        <c:v>South Korea</c:v>
                      </c:pt>
                      <c:pt idx="28">
                        <c:v>Spain</c:v>
                      </c:pt>
                      <c:pt idx="29">
                        <c:v>Sweden </c:v>
                      </c:pt>
                      <c:pt idx="30">
                        <c:v>Switzerland</c:v>
                      </c:pt>
                      <c:pt idx="31">
                        <c:v>Turkey</c:v>
                      </c:pt>
                      <c:pt idx="32">
                        <c:v>Uganda</c:v>
                      </c:pt>
                      <c:pt idx="33">
                        <c:v>United States of America</c:v>
                      </c:pt>
                    </c:strCache>
                  </c:strRef>
                </c:cat>
                <c:val>
                  <c:numRef>
                    <c:extLst>
                      <c:ext xmlns:c15="http://schemas.microsoft.com/office/drawing/2012/chart" uri="{02D57815-91ED-43cb-92C2-25804820EDAC}">
                        <c15:fullRef>
                          <c15:sqref>'% abstraction source'!$F$76:$F$121</c15:sqref>
                        </c15:fullRef>
                        <c15:formulaRef>
                          <c15:sqref>('% abstraction source'!$F$76:$F$81,'% abstraction source'!$F$84:$F$92,'% abstraction source'!$F$94,'% abstraction source'!$F$97:$F$98,'% abstraction source'!$F$100:$F$101,'% abstraction source'!$F$103,'% abstraction source'!$F$105,'% abstraction source'!$F$107:$F$115,'% abstraction source'!$F$118:$F$120)</c15:sqref>
                        </c15:formulaRef>
                      </c:ext>
                    </c:extLst>
                    <c:numCache>
                      <c:formatCode>_ * #,##0.00_ ;_ * \-#,##0.00_ ;_ * "-"??_ ;_ @_ </c:formatCode>
                      <c:ptCount val="34"/>
                      <c:pt idx="0">
                        <c:v>0</c:v>
                      </c:pt>
                      <c:pt idx="1">
                        <c:v>0</c:v>
                      </c:pt>
                      <c:pt idx="2">
                        <c:v>83.179824718430908</c:v>
                      </c:pt>
                      <c:pt idx="3">
                        <c:v>0</c:v>
                      </c:pt>
                      <c:pt idx="4">
                        <c:v>35.024624919737214</c:v>
                      </c:pt>
                      <c:pt idx="5">
                        <c:v>94.00179713234013</c:v>
                      </c:pt>
                      <c:pt idx="6">
                        <c:v>23.938309063612216</c:v>
                      </c:pt>
                      <c:pt idx="7">
                        <c:v>82.013927639091989</c:v>
                      </c:pt>
                      <c:pt idx="8">
                        <c:v>31.603859457491346</c:v>
                      </c:pt>
                      <c:pt idx="9">
                        <c:v>0</c:v>
                      </c:pt>
                      <c:pt idx="10">
                        <c:v>0</c:v>
                      </c:pt>
                      <c:pt idx="11">
                        <c:v>70.721971537660536</c:v>
                      </c:pt>
                      <c:pt idx="12">
                        <c:v>63.122957990620364</c:v>
                      </c:pt>
                      <c:pt idx="13">
                        <c:v>33.524973050664755</c:v>
                      </c:pt>
                      <c:pt idx="14">
                        <c:v>30.628323813275554</c:v>
                      </c:pt>
                      <c:pt idx="15">
                        <c:v>5</c:v>
                      </c:pt>
                      <c:pt idx="16">
                        <c:v>0</c:v>
                      </c:pt>
                      <c:pt idx="17">
                        <c:v>74.092067053000434</c:v>
                      </c:pt>
                      <c:pt idx="18">
                        <c:v>0</c:v>
                      </c:pt>
                      <c:pt idx="19">
                        <c:v>0</c:v>
                      </c:pt>
                      <c:pt idx="20">
                        <c:v>60.40478872258155</c:v>
                      </c:pt>
                      <c:pt idx="21">
                        <c:v>34.217279726261765</c:v>
                      </c:pt>
                      <c:pt idx="22">
                        <c:v>84.767987658617798</c:v>
                      </c:pt>
                      <c:pt idx="23">
                        <c:v>66.241039870730006</c:v>
                      </c:pt>
                      <c:pt idx="24">
                        <c:v>60.915570628946426</c:v>
                      </c:pt>
                      <c:pt idx="25">
                        <c:v>85.229672531779443</c:v>
                      </c:pt>
                      <c:pt idx="26">
                        <c:v>96.092543535801155</c:v>
                      </c:pt>
                      <c:pt idx="27">
                        <c:v>98.595418522725367</c:v>
                      </c:pt>
                      <c:pt idx="28">
                        <c:v>72.277227722772281</c:v>
                      </c:pt>
                      <c:pt idx="29">
                        <c:v>0</c:v>
                      </c:pt>
                      <c:pt idx="30">
                        <c:v>18.312985571587127</c:v>
                      </c:pt>
                      <c:pt idx="31">
                        <c:v>0</c:v>
                      </c:pt>
                      <c:pt idx="32">
                        <c:v>97.459999875919905</c:v>
                      </c:pt>
                      <c:pt idx="33">
                        <c:v>56.540003767916204</c:v>
                      </c:pt>
                    </c:numCache>
                  </c:numRef>
                </c:val>
                <c:extLst xmlns:c15="http://schemas.microsoft.com/office/drawing/2012/chart">
                  <c:ext xmlns:c16="http://schemas.microsoft.com/office/drawing/2014/chart" uri="{C3380CC4-5D6E-409C-BE32-E72D297353CC}">
                    <c16:uniqueId val="{00000007-093C-4C3F-BB84-6136EF390812}"/>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 abstraction source'!$H$75</c15:sqref>
                        </c15:formulaRef>
                      </c:ext>
                    </c:extLst>
                    <c:strCache>
                      <c:ptCount val="1"/>
                      <c:pt idx="0">
                        <c:v>other sources
 2014</c:v>
                      </c:pt>
                    </c:strCache>
                  </c:strRef>
                </c:tx>
                <c:spPr>
                  <a:solidFill>
                    <a:schemeClr val="accent1">
                      <a:lumMod val="60000"/>
                    </a:schemeClr>
                  </a:solidFill>
                  <a:ln>
                    <a:noFill/>
                  </a:ln>
                  <a:effectLst/>
                </c:spPr>
                <c:invertIfNegative val="0"/>
                <c:cat>
                  <c:strRef>
                    <c:extLst>
                      <c:ext xmlns:c15="http://schemas.microsoft.com/office/drawing/2012/chart" uri="{02D57815-91ED-43cb-92C2-25804820EDAC}">
                        <c15:fullRef>
                          <c15:sqref>'% abstraction source'!$A$76:$A$121</c15:sqref>
                        </c15:fullRef>
                        <c15:formulaRef>
                          <c15:sqref>('% abstraction source'!$A$76:$A$81,'% abstraction source'!$A$84:$A$92,'% abstraction source'!$A$94,'% abstraction source'!$A$97:$A$98,'% abstraction source'!$A$100:$A$101,'% abstraction source'!$A$103,'% abstraction source'!$A$105,'% abstraction source'!$A$107:$A$115,'% abstraction source'!$A$118:$A$120)</c15:sqref>
                        </c15:formulaRef>
                      </c:ext>
                    </c:extLst>
                    <c:strCache>
                      <c:ptCount val="34"/>
                      <c:pt idx="0">
                        <c:v>Argentina</c:v>
                      </c:pt>
                      <c:pt idx="1">
                        <c:v>Armenia</c:v>
                      </c:pt>
                      <c:pt idx="2">
                        <c:v>Australia</c:v>
                      </c:pt>
                      <c:pt idx="3">
                        <c:v>Austria</c:v>
                      </c:pt>
                      <c:pt idx="4">
                        <c:v>Belgium</c:v>
                      </c:pt>
                      <c:pt idx="5">
                        <c:v>Canada</c:v>
                      </c:pt>
                      <c:pt idx="6">
                        <c:v>Hong Kong, China</c:v>
                      </c:pt>
                      <c:pt idx="7">
                        <c:v>Chinese Taiwan</c:v>
                      </c:pt>
                      <c:pt idx="8">
                        <c:v>Cyprus</c:v>
                      </c:pt>
                      <c:pt idx="9">
                        <c:v>Czech Republic</c:v>
                      </c:pt>
                      <c:pt idx="10">
                        <c:v>Denmark</c:v>
                      </c:pt>
                      <c:pt idx="11">
                        <c:v>England &amp; Wales</c:v>
                      </c:pt>
                      <c:pt idx="12">
                        <c:v>Finland</c:v>
                      </c:pt>
                      <c:pt idx="13">
                        <c:v>France</c:v>
                      </c:pt>
                      <c:pt idx="14">
                        <c:v>Germany</c:v>
                      </c:pt>
                      <c:pt idx="15">
                        <c:v>Hungary </c:v>
                      </c:pt>
                      <c:pt idx="16">
                        <c:v>Italy</c:v>
                      </c:pt>
                      <c:pt idx="17">
                        <c:v>Japan</c:v>
                      </c:pt>
                      <c:pt idx="18">
                        <c:v>Macao, China</c:v>
                      </c:pt>
                      <c:pt idx="19">
                        <c:v>Malta</c:v>
                      </c:pt>
                      <c:pt idx="20">
                        <c:v>Mexico</c:v>
                      </c:pt>
                      <c:pt idx="21">
                        <c:v>Netherlands</c:v>
                      </c:pt>
                      <c:pt idx="22">
                        <c:v>Poland</c:v>
                      </c:pt>
                      <c:pt idx="23">
                        <c:v>Portugal</c:v>
                      </c:pt>
                      <c:pt idx="24">
                        <c:v>Romania</c:v>
                      </c:pt>
                      <c:pt idx="25">
                        <c:v>Russia</c:v>
                      </c:pt>
                      <c:pt idx="26">
                        <c:v>Scotland (UK)</c:v>
                      </c:pt>
                      <c:pt idx="27">
                        <c:v>South Korea</c:v>
                      </c:pt>
                      <c:pt idx="28">
                        <c:v>Spain</c:v>
                      </c:pt>
                      <c:pt idx="29">
                        <c:v>Sweden </c:v>
                      </c:pt>
                      <c:pt idx="30">
                        <c:v>Switzerland</c:v>
                      </c:pt>
                      <c:pt idx="31">
                        <c:v>Turkey</c:v>
                      </c:pt>
                      <c:pt idx="32">
                        <c:v>Uganda</c:v>
                      </c:pt>
                      <c:pt idx="33">
                        <c:v>United States of America</c:v>
                      </c:pt>
                    </c:strCache>
                  </c:strRef>
                </c:cat>
                <c:val>
                  <c:numRef>
                    <c:extLst>
                      <c:ext xmlns:c15="http://schemas.microsoft.com/office/drawing/2012/chart" uri="{02D57815-91ED-43cb-92C2-25804820EDAC}">
                        <c15:fullRef>
                          <c15:sqref>'% abstraction source'!$H$76:$H$121</c15:sqref>
                        </c15:fullRef>
                        <c15:formulaRef>
                          <c15:sqref>('% abstraction source'!$H$76:$H$81,'% abstraction source'!$H$84:$H$92,'% abstraction source'!$H$94,'% abstraction source'!$H$97:$H$98,'% abstraction source'!$H$100:$H$101,'% abstraction source'!$H$103,'% abstraction source'!$H$105,'% abstraction source'!$H$107:$H$115,'% abstraction source'!$H$118:$H$120)</c15:sqref>
                        </c15:formulaRef>
                      </c:ext>
                    </c:extLst>
                    <c:numCache>
                      <c:formatCode>_ * #,##0.00_ ;_ * \-#,##0.00_ ;_ * "-"??_ ;_ @_ </c:formatCode>
                      <c:ptCount val="34"/>
                      <c:pt idx="0">
                        <c:v>0</c:v>
                      </c:pt>
                      <c:pt idx="1">
                        <c:v>0</c:v>
                      </c:pt>
                      <c:pt idx="2">
                        <c:v>9.2693259744670833</c:v>
                      </c:pt>
                      <c:pt idx="3">
                        <c:v>0</c:v>
                      </c:pt>
                      <c:pt idx="4">
                        <c:v>0</c:v>
                      </c:pt>
                      <c:pt idx="5">
                        <c:v>0</c:v>
                      </c:pt>
                      <c:pt idx="6">
                        <c:v>0</c:v>
                      </c:pt>
                      <c:pt idx="7">
                        <c:v>0.18385005160610204</c:v>
                      </c:pt>
                      <c:pt idx="8">
                        <c:v>19.242672492262876</c:v>
                      </c:pt>
                      <c:pt idx="9">
                        <c:v>0</c:v>
                      </c:pt>
                      <c:pt idx="10">
                        <c:v>0</c:v>
                      </c:pt>
                      <c:pt idx="11">
                        <c:v>0.13884068031933355</c:v>
                      </c:pt>
                      <c:pt idx="12">
                        <c:v>0</c:v>
                      </c:pt>
                      <c:pt idx="13">
                        <c:v>0</c:v>
                      </c:pt>
                      <c:pt idx="14">
                        <c:v>0</c:v>
                      </c:pt>
                      <c:pt idx="15">
                        <c:v>0</c:v>
                      </c:pt>
                      <c:pt idx="16">
                        <c:v>0</c:v>
                      </c:pt>
                      <c:pt idx="17">
                        <c:v>0.1109336987226115</c:v>
                      </c:pt>
                      <c:pt idx="18">
                        <c:v>0.77517087322191469</c:v>
                      </c:pt>
                      <c:pt idx="19">
                        <c:v>51.300549746321003</c:v>
                      </c:pt>
                      <c:pt idx="20">
                        <c:v>0</c:v>
                      </c:pt>
                      <c:pt idx="21">
                        <c:v>0</c:v>
                      </c:pt>
                      <c:pt idx="22">
                        <c:v>0</c:v>
                      </c:pt>
                      <c:pt idx="23">
                        <c:v>0</c:v>
                      </c:pt>
                      <c:pt idx="24">
                        <c:v>0</c:v>
                      </c:pt>
                      <c:pt idx="25">
                        <c:v>0</c:v>
                      </c:pt>
                      <c:pt idx="26">
                        <c:v>0</c:v>
                      </c:pt>
                      <c:pt idx="27">
                        <c:v>0</c:v>
                      </c:pt>
                      <c:pt idx="28">
                        <c:v>1.9801980198019802</c:v>
                      </c:pt>
                      <c:pt idx="29">
                        <c:v>0</c:v>
                      </c:pt>
                      <c:pt idx="30">
                        <c:v>0</c:v>
                      </c:pt>
                      <c:pt idx="31">
                        <c:v>0</c:v>
                      </c:pt>
                      <c:pt idx="32">
                        <c:v>0</c:v>
                      </c:pt>
                      <c:pt idx="33">
                        <c:v>6.5330089835687666</c:v>
                      </c:pt>
                    </c:numCache>
                  </c:numRef>
                </c:val>
                <c:extLst xmlns:c15="http://schemas.microsoft.com/office/drawing/2012/chart">
                  <c:ext xmlns:c16="http://schemas.microsoft.com/office/drawing/2014/chart" uri="{C3380CC4-5D6E-409C-BE32-E72D297353CC}">
                    <c16:uniqueId val="{00000008-093C-4C3F-BB84-6136EF390812}"/>
                  </c:ext>
                </c:extLst>
              </c15:ser>
            </c15:filteredBarSeries>
            <c15:filteredBarSeries>
              <c15:ser>
                <c:idx val="8"/>
                <c:order val="8"/>
                <c:tx>
                  <c:strRef>
                    <c:extLst xmlns:c15="http://schemas.microsoft.com/office/drawing/2012/chart">
                      <c:ext xmlns:c15="http://schemas.microsoft.com/office/drawing/2012/chart" uri="{02D57815-91ED-43cb-92C2-25804820EDAC}">
                        <c15:formulaRef>
                          <c15:sqref>'% abstraction source'!$J$75</c15:sqref>
                        </c15:formulaRef>
                      </c:ext>
                    </c:extLst>
                    <c:strCache>
                      <c:ptCount val="1"/>
                      <c:pt idx="0">
                        <c:v>imported water
 2014</c:v>
                      </c:pt>
                    </c:strCache>
                  </c:strRef>
                </c:tx>
                <c:spPr>
                  <a:solidFill>
                    <a:schemeClr val="accent3">
                      <a:lumMod val="60000"/>
                    </a:schemeClr>
                  </a:solidFill>
                  <a:ln>
                    <a:noFill/>
                  </a:ln>
                  <a:effectLst/>
                </c:spPr>
                <c:invertIfNegative val="0"/>
                <c:cat>
                  <c:strRef>
                    <c:extLst>
                      <c:ext xmlns:c15="http://schemas.microsoft.com/office/drawing/2012/chart" uri="{02D57815-91ED-43cb-92C2-25804820EDAC}">
                        <c15:fullRef>
                          <c15:sqref>'% abstraction source'!$A$76:$A$121</c15:sqref>
                        </c15:fullRef>
                        <c15:formulaRef>
                          <c15:sqref>('% abstraction source'!$A$76:$A$81,'% abstraction source'!$A$84:$A$92,'% abstraction source'!$A$94,'% abstraction source'!$A$97:$A$98,'% abstraction source'!$A$100:$A$101,'% abstraction source'!$A$103,'% abstraction source'!$A$105,'% abstraction source'!$A$107:$A$115,'% abstraction source'!$A$118:$A$120)</c15:sqref>
                        </c15:formulaRef>
                      </c:ext>
                    </c:extLst>
                    <c:strCache>
                      <c:ptCount val="34"/>
                      <c:pt idx="0">
                        <c:v>Argentina</c:v>
                      </c:pt>
                      <c:pt idx="1">
                        <c:v>Armenia</c:v>
                      </c:pt>
                      <c:pt idx="2">
                        <c:v>Australia</c:v>
                      </c:pt>
                      <c:pt idx="3">
                        <c:v>Austria</c:v>
                      </c:pt>
                      <c:pt idx="4">
                        <c:v>Belgium</c:v>
                      </c:pt>
                      <c:pt idx="5">
                        <c:v>Canada</c:v>
                      </c:pt>
                      <c:pt idx="6">
                        <c:v>Hong Kong, China</c:v>
                      </c:pt>
                      <c:pt idx="7">
                        <c:v>Chinese Taiwan</c:v>
                      </c:pt>
                      <c:pt idx="8">
                        <c:v>Cyprus</c:v>
                      </c:pt>
                      <c:pt idx="9">
                        <c:v>Czech Republic</c:v>
                      </c:pt>
                      <c:pt idx="10">
                        <c:v>Denmark</c:v>
                      </c:pt>
                      <c:pt idx="11">
                        <c:v>England &amp; Wales</c:v>
                      </c:pt>
                      <c:pt idx="12">
                        <c:v>Finland</c:v>
                      </c:pt>
                      <c:pt idx="13">
                        <c:v>France</c:v>
                      </c:pt>
                      <c:pt idx="14">
                        <c:v>Germany</c:v>
                      </c:pt>
                      <c:pt idx="15">
                        <c:v>Hungary </c:v>
                      </c:pt>
                      <c:pt idx="16">
                        <c:v>Italy</c:v>
                      </c:pt>
                      <c:pt idx="17">
                        <c:v>Japan</c:v>
                      </c:pt>
                      <c:pt idx="18">
                        <c:v>Macao, China</c:v>
                      </c:pt>
                      <c:pt idx="19">
                        <c:v>Malta</c:v>
                      </c:pt>
                      <c:pt idx="20">
                        <c:v>Mexico</c:v>
                      </c:pt>
                      <c:pt idx="21">
                        <c:v>Netherlands</c:v>
                      </c:pt>
                      <c:pt idx="22">
                        <c:v>Poland</c:v>
                      </c:pt>
                      <c:pt idx="23">
                        <c:v>Portugal</c:v>
                      </c:pt>
                      <c:pt idx="24">
                        <c:v>Romania</c:v>
                      </c:pt>
                      <c:pt idx="25">
                        <c:v>Russia</c:v>
                      </c:pt>
                      <c:pt idx="26">
                        <c:v>Scotland (UK)</c:v>
                      </c:pt>
                      <c:pt idx="27">
                        <c:v>South Korea</c:v>
                      </c:pt>
                      <c:pt idx="28">
                        <c:v>Spain</c:v>
                      </c:pt>
                      <c:pt idx="29">
                        <c:v>Sweden </c:v>
                      </c:pt>
                      <c:pt idx="30">
                        <c:v>Switzerland</c:v>
                      </c:pt>
                      <c:pt idx="31">
                        <c:v>Turkey</c:v>
                      </c:pt>
                      <c:pt idx="32">
                        <c:v>Uganda</c:v>
                      </c:pt>
                      <c:pt idx="33">
                        <c:v>United States of America</c:v>
                      </c:pt>
                    </c:strCache>
                  </c:strRef>
                </c:cat>
                <c:val>
                  <c:numRef>
                    <c:extLst>
                      <c:ext xmlns:c15="http://schemas.microsoft.com/office/drawing/2012/chart" uri="{02D57815-91ED-43cb-92C2-25804820EDAC}">
                        <c15:fullRef>
                          <c15:sqref>'% abstraction source'!$J$76:$J$121</c15:sqref>
                        </c15:fullRef>
                        <c15:formulaRef>
                          <c15:sqref>('% abstraction source'!$J$76:$J$81,'% abstraction source'!$J$84:$J$92,'% abstraction source'!$J$94,'% abstraction source'!$J$97:$J$98,'% abstraction source'!$J$100:$J$101,'% abstraction source'!$J$103,'% abstraction source'!$J$105,'% abstraction source'!$J$107:$J$115,'% abstraction source'!$J$118:$J$120)</c15:sqref>
                        </c15:formulaRef>
                      </c:ext>
                    </c:extLst>
                    <c:numCache>
                      <c:formatCode>_ * #,##0.00_ ;_ * \-#,##0.00_ ;_ * "-"??_ ;_ @_ </c:formatCode>
                      <c:ptCount val="34"/>
                      <c:pt idx="0">
                        <c:v>0</c:v>
                      </c:pt>
                      <c:pt idx="1">
                        <c:v>0</c:v>
                      </c:pt>
                      <c:pt idx="2">
                        <c:v>0</c:v>
                      </c:pt>
                      <c:pt idx="3">
                        <c:v>0</c:v>
                      </c:pt>
                      <c:pt idx="4">
                        <c:v>0.40805874944608489</c:v>
                      </c:pt>
                      <c:pt idx="5">
                        <c:v>0</c:v>
                      </c:pt>
                      <c:pt idx="6">
                        <c:v>76.061690936387777</c:v>
                      </c:pt>
                      <c:pt idx="7">
                        <c:v>6.132367576452861E-4</c:v>
                      </c:pt>
                      <c:pt idx="8">
                        <c:v>0</c:v>
                      </c:pt>
                      <c:pt idx="9">
                        <c:v>0</c:v>
                      </c:pt>
                      <c:pt idx="10">
                        <c:v>0</c:v>
                      </c:pt>
                      <c:pt idx="11">
                        <c:v>0</c:v>
                      </c:pt>
                      <c:pt idx="12">
                        <c:v>0</c:v>
                      </c:pt>
                      <c:pt idx="13">
                        <c:v>0</c:v>
                      </c:pt>
                      <c:pt idx="14">
                        <c:v>0</c:v>
                      </c:pt>
                      <c:pt idx="15">
                        <c:v>0</c:v>
                      </c:pt>
                      <c:pt idx="16">
                        <c:v>0</c:v>
                      </c:pt>
                      <c:pt idx="17">
                        <c:v>0</c:v>
                      </c:pt>
                      <c:pt idx="18">
                        <c:v>99.224829126778076</c:v>
                      </c:pt>
                      <c:pt idx="19">
                        <c:v>0</c:v>
                      </c:pt>
                      <c:pt idx="20">
                        <c:v>1.3806477084034883</c:v>
                      </c:pt>
                      <c:pt idx="21">
                        <c:v>0.94097519247219841</c:v>
                      </c:pt>
                      <c:pt idx="22">
                        <c:v>0</c:v>
                      </c:pt>
                      <c:pt idx="23">
                        <c:v>0</c:v>
                      </c:pt>
                      <c:pt idx="24">
                        <c:v>0</c:v>
                      </c:pt>
                      <c:pt idx="25">
                        <c:v>0</c:v>
                      </c:pt>
                      <c:pt idx="26">
                        <c:v>0</c:v>
                      </c:pt>
                      <c:pt idx="27">
                        <c:v>0</c:v>
                      </c:pt>
                      <c:pt idx="28">
                        <c:v>0</c:v>
                      </c:pt>
                      <c:pt idx="29">
                        <c:v>0</c:v>
                      </c:pt>
                      <c:pt idx="30">
                        <c:v>0</c:v>
                      </c:pt>
                      <c:pt idx="31">
                        <c:v>0</c:v>
                      </c:pt>
                      <c:pt idx="32">
                        <c:v>0</c:v>
                      </c:pt>
                      <c:pt idx="33">
                        <c:v>17.189706341327167</c:v>
                      </c:pt>
                    </c:numCache>
                  </c:numRef>
                </c:val>
                <c:extLst xmlns:c15="http://schemas.microsoft.com/office/drawing/2012/chart">
                  <c:ext xmlns:c16="http://schemas.microsoft.com/office/drawing/2014/chart" uri="{C3380CC4-5D6E-409C-BE32-E72D297353CC}">
                    <c16:uniqueId val="{00000009-093C-4C3F-BB84-6136EF390812}"/>
                  </c:ext>
                </c:extLst>
              </c15:ser>
            </c15:filteredBarSeries>
          </c:ext>
        </c:extLst>
      </c:barChart>
      <c:catAx>
        <c:axId val="35014204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142432"/>
        <c:crosses val="autoZero"/>
        <c:auto val="1"/>
        <c:lblAlgn val="ctr"/>
        <c:lblOffset val="100"/>
        <c:tickLblSkip val="1"/>
        <c:noMultiLvlLbl val="0"/>
      </c:catAx>
      <c:valAx>
        <c:axId val="350142432"/>
        <c:scaling>
          <c:orientation val="minMax"/>
        </c:scaling>
        <c:delete val="0"/>
        <c:axPos val="t"/>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14204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abstraction for water supply in 2014 and 2016*</a:t>
            </a:r>
          </a:p>
          <a:p>
            <a:pPr>
              <a:defRPr/>
            </a:pPr>
            <a:r>
              <a:rPr lang="en-US" baseline="0"/>
              <a:t>in m³/capita/year</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'Abstraction per capita'!$B$74</c:f>
              <c:strCache>
                <c:ptCount val="1"/>
                <c:pt idx="0">
                  <c:v>Abs capita 2014</c:v>
                </c:pt>
              </c:strCache>
            </c:strRef>
          </c:tx>
          <c:spPr>
            <a:solidFill>
              <a:schemeClr val="accent1"/>
            </a:solidFill>
            <a:ln>
              <a:noFill/>
            </a:ln>
            <a:effectLst/>
          </c:spPr>
          <c:invertIfNegative val="0"/>
          <c:cat>
            <c:strRef>
              <c:extLst>
                <c:ext xmlns:c15="http://schemas.microsoft.com/office/drawing/2012/chart" uri="{02D57815-91ED-43cb-92C2-25804820EDAC}">
                  <c15:fullRef>
                    <c15:sqref>'Abstraction per capita'!$A$75:$A$117</c15:sqref>
                  </c15:fullRef>
                </c:ext>
              </c:extLst>
              <c:f>('Abstraction per capita'!$A$75:$A$107,'Abstraction per capita'!$A$110:$A$117)</c:f>
              <c:strCache>
                <c:ptCount val="41"/>
                <c:pt idx="0">
                  <c:v>Uganda</c:v>
                </c:pt>
                <c:pt idx="1">
                  <c:v>Belgium</c:v>
                </c:pt>
                <c:pt idx="2">
                  <c:v>Germany</c:v>
                </c:pt>
                <c:pt idx="3">
                  <c:v>Hungary</c:v>
                </c:pt>
                <c:pt idx="4">
                  <c:v>Denmark</c:v>
                </c:pt>
                <c:pt idx="5">
                  <c:v>Netherlands</c:v>
                </c:pt>
                <c:pt idx="6">
                  <c:v>Malta</c:v>
                </c:pt>
                <c:pt idx="7">
                  <c:v>Turkey</c:v>
                </c:pt>
                <c:pt idx="8">
                  <c:v>Romania</c:v>
                </c:pt>
                <c:pt idx="9">
                  <c:v>Portugal</c:v>
                </c:pt>
                <c:pt idx="10">
                  <c:v>Finland</c:v>
                </c:pt>
                <c:pt idx="11">
                  <c:v>Austria</c:v>
                </c:pt>
                <c:pt idx="12">
                  <c:v>France</c:v>
                </c:pt>
                <c:pt idx="13">
                  <c:v>Brazil</c:v>
                </c:pt>
                <c:pt idx="14">
                  <c:v>Spain</c:v>
                </c:pt>
                <c:pt idx="15">
                  <c:v>Sweden</c:v>
                </c:pt>
                <c:pt idx="16">
                  <c:v>England &amp; Wales</c:v>
                </c:pt>
                <c:pt idx="17">
                  <c:v>Switzerland</c:v>
                </c:pt>
                <c:pt idx="18">
                  <c:v>Japan</c:v>
                </c:pt>
                <c:pt idx="19">
                  <c:v>Bulgaria</c:v>
                </c:pt>
                <c:pt idx="20">
                  <c:v>South Korea</c:v>
                </c:pt>
                <c:pt idx="21">
                  <c:v>Scotland (UK)</c:v>
                </c:pt>
                <c:pt idx="22">
                  <c:v>Hong Kong, China</c:v>
                </c:pt>
                <c:pt idx="23">
                  <c:v>Canada</c:v>
                </c:pt>
                <c:pt idx="24">
                  <c:v>Macao, China</c:v>
                </c:pt>
                <c:pt idx="25">
                  <c:v>Argentina</c:v>
                </c:pt>
                <c:pt idx="26">
                  <c:v>Italy</c:v>
                </c:pt>
                <c:pt idx="27">
                  <c:v>Czech Republic</c:v>
                </c:pt>
                <c:pt idx="28">
                  <c:v>Armenia</c:v>
                </c:pt>
                <c:pt idx="29">
                  <c:v>Chinese Taiwan</c:v>
                </c:pt>
                <c:pt idx="30">
                  <c:v>Poland</c:v>
                </c:pt>
                <c:pt idx="31">
                  <c:v>Cyprus</c:v>
                </c:pt>
                <c:pt idx="32">
                  <c:v>Russia</c:v>
                </c:pt>
                <c:pt idx="33">
                  <c:v>Chile</c:v>
                </c:pt>
                <c:pt idx="34">
                  <c:v>Greece</c:v>
                </c:pt>
                <c:pt idx="35">
                  <c:v>Kenya</c:v>
                </c:pt>
                <c:pt idx="36">
                  <c:v>Mauritius</c:v>
                </c:pt>
                <c:pt idx="37">
                  <c:v>Norway</c:v>
                </c:pt>
                <c:pt idx="38">
                  <c:v>Tanzania</c:v>
                </c:pt>
                <c:pt idx="39">
                  <c:v>Thailand</c:v>
                </c:pt>
                <c:pt idx="40">
                  <c:v>Zambia</c:v>
                </c:pt>
              </c:strCache>
            </c:strRef>
          </c:cat>
          <c:val>
            <c:numRef>
              <c:extLst>
                <c:ext xmlns:c15="http://schemas.microsoft.com/office/drawing/2012/chart" uri="{02D57815-91ED-43cb-92C2-25804820EDAC}">
                  <c15:fullRef>
                    <c15:sqref>'Abstraction per capita'!$B$75:$B$117</c15:sqref>
                  </c15:fullRef>
                </c:ext>
              </c:extLst>
              <c:f>('Abstraction per capita'!$B$75:$B$107,'Abstraction per capita'!$B$110:$B$117)</c:f>
              <c:numCache>
                <c:formatCode>_ * #,##0.00_ ;_ * \-#,##0.00_ ;_ * "-"??_ ;_ @_ </c:formatCode>
                <c:ptCount val="41"/>
                <c:pt idx="0">
                  <c:v>14.230437999999999</c:v>
                </c:pt>
                <c:pt idx="1">
                  <c:v>61.895037169726827</c:v>
                </c:pt>
                <c:pt idx="2">
                  <c:v>62.935415891905294</c:v>
                </c:pt>
                <c:pt idx="3">
                  <c:v>57.233371029094279</c:v>
                </c:pt>
                <c:pt idx="4">
                  <c:v>71.508043825584494</c:v>
                </c:pt>
                <c:pt idx="5">
                  <c:v>68.793696355334674</c:v>
                </c:pt>
                <c:pt idx="6">
                  <c:v>74.970464243124397</c:v>
                </c:pt>
                <c:pt idx="7">
                  <c:v>0</c:v>
                </c:pt>
                <c:pt idx="8">
                  <c:v>81.532189436309807</c:v>
                </c:pt>
                <c:pt idx="9">
                  <c:v>83.609362876284067</c:v>
                </c:pt>
                <c:pt idx="10">
                  <c:v>82.960687499999992</c:v>
                </c:pt>
                <c:pt idx="11">
                  <c:v>0</c:v>
                </c:pt>
                <c:pt idx="12">
                  <c:v>84.757118927973195</c:v>
                </c:pt>
                <c:pt idx="13">
                  <c:v>92.15523987897997</c:v>
                </c:pt>
                <c:pt idx="14">
                  <c:v>92.514011781831982</c:v>
                </c:pt>
                <c:pt idx="15">
                  <c:v>0</c:v>
                </c:pt>
                <c:pt idx="16">
                  <c:v>101.0692289487811</c:v>
                </c:pt>
                <c:pt idx="17">
                  <c:v>109.34466019417475</c:v>
                </c:pt>
                <c:pt idx="18">
                  <c:v>124.92053117450222</c:v>
                </c:pt>
                <c:pt idx="19">
                  <c:v>0</c:v>
                </c:pt>
                <c:pt idx="20">
                  <c:v>145.86818431341638</c:v>
                </c:pt>
                <c:pt idx="21">
                  <c:v>127.01486112143719</c:v>
                </c:pt>
                <c:pt idx="22">
                  <c:v>131.23131398024276</c:v>
                </c:pt>
                <c:pt idx="23">
                  <c:v>109.34065543010578</c:v>
                </c:pt>
                <c:pt idx="24">
                  <c:v>147.11909776799749</c:v>
                </c:pt>
                <c:pt idx="25">
                  <c:v>0</c:v>
                </c:pt>
                <c:pt idx="26">
                  <c:v>0</c:v>
                </c:pt>
                <c:pt idx="27">
                  <c:v>0</c:v>
                </c:pt>
                <c:pt idx="28">
                  <c:v>0</c:v>
                </c:pt>
                <c:pt idx="29">
                  <c:v>249.96091382659171</c:v>
                </c:pt>
                <c:pt idx="30">
                  <c:v>301.61662387992749</c:v>
                </c:pt>
                <c:pt idx="31">
                  <c:v>326.96428571428578</c:v>
                </c:pt>
                <c:pt idx="32">
                  <c:v>499.36683937823841</c:v>
                </c:pt>
                <c:pt idx="33">
                  <c:v>101.81371490277488</c:v>
                </c:pt>
                <c:pt idx="34">
                  <c:v>741.42857142857144</c:v>
                </c:pt>
                <c:pt idx="35">
                  <c:v>41.041129066448931</c:v>
                </c:pt>
                <c:pt idx="36">
                  <c:v>188.81578947368422</c:v>
                </c:pt>
                <c:pt idx="37">
                  <c:v>187.63880707725201</c:v>
                </c:pt>
                <c:pt idx="38">
                  <c:v>4.6905394504448426</c:v>
                </c:pt>
                <c:pt idx="39">
                  <c:v>30.048337666666665</c:v>
                </c:pt>
                <c:pt idx="40">
                  <c:v>72.52870162533786</c:v>
                </c:pt>
              </c:numCache>
            </c:numRef>
          </c:val>
          <c:extLst>
            <c:ext xmlns:c16="http://schemas.microsoft.com/office/drawing/2014/chart" uri="{C3380CC4-5D6E-409C-BE32-E72D297353CC}">
              <c16:uniqueId val="{00000000-4681-4388-90F9-DAD547834B6C}"/>
            </c:ext>
          </c:extLst>
        </c:ser>
        <c:ser>
          <c:idx val="1"/>
          <c:order val="1"/>
          <c:tx>
            <c:strRef>
              <c:f>'Abstraction per capita'!$C$74</c:f>
              <c:strCache>
                <c:ptCount val="1"/>
                <c:pt idx="0">
                  <c:v>Abs capita 2016</c:v>
                </c:pt>
              </c:strCache>
            </c:strRef>
          </c:tx>
          <c:spPr>
            <a:solidFill>
              <a:schemeClr val="accent2"/>
            </a:solidFill>
            <a:ln>
              <a:noFill/>
            </a:ln>
            <a:effectLst/>
          </c:spPr>
          <c:invertIfNegative val="0"/>
          <c:cat>
            <c:strRef>
              <c:extLst>
                <c:ext xmlns:c15="http://schemas.microsoft.com/office/drawing/2012/chart" uri="{02D57815-91ED-43cb-92C2-25804820EDAC}">
                  <c15:fullRef>
                    <c15:sqref>'Abstraction per capita'!$A$75:$A$117</c15:sqref>
                  </c15:fullRef>
                </c:ext>
              </c:extLst>
              <c:f>('Abstraction per capita'!$A$75:$A$107,'Abstraction per capita'!$A$110:$A$117)</c:f>
              <c:strCache>
                <c:ptCount val="41"/>
                <c:pt idx="0">
                  <c:v>Uganda</c:v>
                </c:pt>
                <c:pt idx="1">
                  <c:v>Belgium</c:v>
                </c:pt>
                <c:pt idx="2">
                  <c:v>Germany</c:v>
                </c:pt>
                <c:pt idx="3">
                  <c:v>Hungary</c:v>
                </c:pt>
                <c:pt idx="4">
                  <c:v>Denmark</c:v>
                </c:pt>
                <c:pt idx="5">
                  <c:v>Netherlands</c:v>
                </c:pt>
                <c:pt idx="6">
                  <c:v>Malta</c:v>
                </c:pt>
                <c:pt idx="7">
                  <c:v>Turkey</c:v>
                </c:pt>
                <c:pt idx="8">
                  <c:v>Romania</c:v>
                </c:pt>
                <c:pt idx="9">
                  <c:v>Portugal</c:v>
                </c:pt>
                <c:pt idx="10">
                  <c:v>Finland</c:v>
                </c:pt>
                <c:pt idx="11">
                  <c:v>Austria</c:v>
                </c:pt>
                <c:pt idx="12">
                  <c:v>France</c:v>
                </c:pt>
                <c:pt idx="13">
                  <c:v>Brazil</c:v>
                </c:pt>
                <c:pt idx="14">
                  <c:v>Spain</c:v>
                </c:pt>
                <c:pt idx="15">
                  <c:v>Sweden</c:v>
                </c:pt>
                <c:pt idx="16">
                  <c:v>England &amp; Wales</c:v>
                </c:pt>
                <c:pt idx="17">
                  <c:v>Switzerland</c:v>
                </c:pt>
                <c:pt idx="18">
                  <c:v>Japan</c:v>
                </c:pt>
                <c:pt idx="19">
                  <c:v>Bulgaria</c:v>
                </c:pt>
                <c:pt idx="20">
                  <c:v>South Korea</c:v>
                </c:pt>
                <c:pt idx="21">
                  <c:v>Scotland (UK)</c:v>
                </c:pt>
                <c:pt idx="22">
                  <c:v>Hong Kong, China</c:v>
                </c:pt>
                <c:pt idx="23">
                  <c:v>Canada</c:v>
                </c:pt>
                <c:pt idx="24">
                  <c:v>Macao, China</c:v>
                </c:pt>
                <c:pt idx="25">
                  <c:v>Argentina</c:v>
                </c:pt>
                <c:pt idx="26">
                  <c:v>Italy</c:v>
                </c:pt>
                <c:pt idx="27">
                  <c:v>Czech Republic</c:v>
                </c:pt>
                <c:pt idx="28">
                  <c:v>Armenia</c:v>
                </c:pt>
                <c:pt idx="29">
                  <c:v>Chinese Taiwan</c:v>
                </c:pt>
                <c:pt idx="30">
                  <c:v>Poland</c:v>
                </c:pt>
                <c:pt idx="31">
                  <c:v>Cyprus</c:v>
                </c:pt>
                <c:pt idx="32">
                  <c:v>Russia</c:v>
                </c:pt>
                <c:pt idx="33">
                  <c:v>Chile</c:v>
                </c:pt>
                <c:pt idx="34">
                  <c:v>Greece</c:v>
                </c:pt>
                <c:pt idx="35">
                  <c:v>Kenya</c:v>
                </c:pt>
                <c:pt idx="36">
                  <c:v>Mauritius</c:v>
                </c:pt>
                <c:pt idx="37">
                  <c:v>Norway</c:v>
                </c:pt>
                <c:pt idx="38">
                  <c:v>Tanzania</c:v>
                </c:pt>
                <c:pt idx="39">
                  <c:v>Thailand</c:v>
                </c:pt>
                <c:pt idx="40">
                  <c:v>Zambia</c:v>
                </c:pt>
              </c:strCache>
            </c:strRef>
          </c:cat>
          <c:val>
            <c:numRef>
              <c:extLst>
                <c:ext xmlns:c15="http://schemas.microsoft.com/office/drawing/2012/chart" uri="{02D57815-91ED-43cb-92C2-25804820EDAC}">
                  <c15:fullRef>
                    <c15:sqref>'Abstraction per capita'!$C$75:$C$117</c15:sqref>
                  </c15:fullRef>
                </c:ext>
              </c:extLst>
              <c:f>('Abstraction per capita'!$C$75:$C$107,'Abstraction per capita'!$C$110:$C$117)</c:f>
              <c:numCache>
                <c:formatCode>_ * #,##0.00_ ;_ * \-#,##0.00_ ;_ * "-"??_ ;_ @_ </c:formatCode>
                <c:ptCount val="41"/>
                <c:pt idx="0">
                  <c:v>15.190444665618017</c:v>
                </c:pt>
                <c:pt idx="1">
                  <c:v>62.479614696768493</c:v>
                </c:pt>
                <c:pt idx="2">
                  <c:v>63.243902439024389</c:v>
                </c:pt>
                <c:pt idx="3">
                  <c:v>63.38089566515135</c:v>
                </c:pt>
                <c:pt idx="4">
                  <c:v>65.189592762974641</c:v>
                </c:pt>
                <c:pt idx="5">
                  <c:v>70.3099556731148</c:v>
                </c:pt>
                <c:pt idx="6">
                  <c:v>72.357347538654381</c:v>
                </c:pt>
                <c:pt idx="7">
                  <c:v>79.34122411262706</c:v>
                </c:pt>
                <c:pt idx="8">
                  <c:v>80.187115848440044</c:v>
                </c:pt>
                <c:pt idx="9">
                  <c:v>81.066526225782809</c:v>
                </c:pt>
                <c:pt idx="10">
                  <c:v>82.297001999999992</c:v>
                </c:pt>
                <c:pt idx="11">
                  <c:v>82.743197912784197</c:v>
                </c:pt>
                <c:pt idx="12">
                  <c:v>85.224281533728515</c:v>
                </c:pt>
                <c:pt idx="13">
                  <c:v>87.395818757750504</c:v>
                </c:pt>
                <c:pt idx="14">
                  <c:v>87.634497474579973</c:v>
                </c:pt>
                <c:pt idx="15">
                  <c:v>100.65016464176222</c:v>
                </c:pt>
                <c:pt idx="16">
                  <c:v>102.9258932709904</c:v>
                </c:pt>
                <c:pt idx="17">
                  <c:v>109.36018957345972</c:v>
                </c:pt>
                <c:pt idx="18">
                  <c:v>122.17274284426267</c:v>
                </c:pt>
                <c:pt idx="19">
                  <c:v>125.3820250444285</c:v>
                </c:pt>
                <c:pt idx="20">
                  <c:v>127.66608936289607</c:v>
                </c:pt>
                <c:pt idx="21">
                  <c:v>128.17115384615386</c:v>
                </c:pt>
                <c:pt idx="22">
                  <c:v>134.57931184906482</c:v>
                </c:pt>
                <c:pt idx="23">
                  <c:v>137.31252578464662</c:v>
                </c:pt>
                <c:pt idx="24">
                  <c:v>151.45451752354484</c:v>
                </c:pt>
                <c:pt idx="25">
                  <c:v>158.51536243585699</c:v>
                </c:pt>
                <c:pt idx="26">
                  <c:v>159.98652745031995</c:v>
                </c:pt>
                <c:pt idx="27">
                  <c:v>163.95908543922985</c:v>
                </c:pt>
                <c:pt idx="28">
                  <c:v>199.91666666666669</c:v>
                </c:pt>
                <c:pt idx="29">
                  <c:v>248.34814236201461</c:v>
                </c:pt>
                <c:pt idx="30">
                  <c:v>298.09524212776626</c:v>
                </c:pt>
                <c:pt idx="31">
                  <c:v>362.5</c:v>
                </c:pt>
                <c:pt idx="32">
                  <c:v>585.60606060606062</c:v>
                </c:pt>
                <c:pt idx="33">
                  <c:v>0</c:v>
                </c:pt>
                <c:pt idx="34">
                  <c:v>0</c:v>
                </c:pt>
                <c:pt idx="35">
                  <c:v>0</c:v>
                </c:pt>
                <c:pt idx="36">
                  <c:v>0</c:v>
                </c:pt>
                <c:pt idx="37">
                  <c:v>0</c:v>
                </c:pt>
                <c:pt idx="38">
                  <c:v>0</c:v>
                </c:pt>
                <c:pt idx="39">
                  <c:v>0</c:v>
                </c:pt>
                <c:pt idx="40">
                  <c:v>0</c:v>
                </c:pt>
              </c:numCache>
            </c:numRef>
          </c:val>
          <c:extLst>
            <c:ext xmlns:c16="http://schemas.microsoft.com/office/drawing/2014/chart" uri="{C3380CC4-5D6E-409C-BE32-E72D297353CC}">
              <c16:uniqueId val="{00000001-4681-4388-90F9-DAD547834B6C}"/>
            </c:ext>
          </c:extLst>
        </c:ser>
        <c:dLbls>
          <c:showLegendKey val="0"/>
          <c:showVal val="0"/>
          <c:showCatName val="0"/>
          <c:showSerName val="0"/>
          <c:showPercent val="0"/>
          <c:showBubbleSize val="0"/>
        </c:dLbls>
        <c:gapWidth val="182"/>
        <c:axId val="350144000"/>
        <c:axId val="345694632"/>
      </c:barChart>
      <c:catAx>
        <c:axId val="35014400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694632"/>
        <c:crosses val="autoZero"/>
        <c:auto val="1"/>
        <c:lblAlgn val="ctr"/>
        <c:lblOffset val="100"/>
        <c:tickLblSkip val="1"/>
        <c:noMultiLvlLbl val="0"/>
      </c:catAx>
      <c:valAx>
        <c:axId val="345694632"/>
        <c:scaling>
          <c:orientation val="minMax"/>
        </c:scaling>
        <c:delete val="0"/>
        <c:axPos val="t"/>
        <c:majorGridlines>
          <c:spPr>
            <a:ln w="9525" cap="flat" cmpd="sng" algn="ctr">
              <a:solidFill>
                <a:schemeClr val="tx1">
                  <a:lumMod val="15000"/>
                  <a:lumOff val="85000"/>
                </a:schemeClr>
              </a:solidFill>
              <a:round/>
            </a:ln>
            <a:effectLst/>
          </c:spPr>
        </c:majorGridlines>
        <c:numFmt formatCode="_ * #,##0.00_ ;_ * \-#,##0.0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14400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latin typeface="+mn-lt"/>
                <a:ea typeface="+mn-ea"/>
                <a:cs typeface="+mn-cs"/>
              </a:rPr>
              <a:t>Total abstraction for water supply in 2016*</a:t>
            </a:r>
          </a:p>
          <a:p>
            <a:pPr algn="ctr" rtl="0">
              <a:defRPr>
                <a:solidFill>
                  <a:sysClr val="windowText" lastClr="000000">
                    <a:lumMod val="65000"/>
                    <a:lumOff val="35000"/>
                  </a:sysClr>
                </a:solidFill>
              </a:defRPr>
            </a:pPr>
            <a:r>
              <a:rPr lang="en-US" sz="1400" b="0" i="0" u="none" strike="noStrike" kern="1200" spc="0" baseline="0">
                <a:solidFill>
                  <a:sysClr val="windowText" lastClr="000000">
                    <a:lumMod val="65000"/>
                    <a:lumOff val="35000"/>
                  </a:sysClr>
                </a:solidFill>
                <a:latin typeface="+mn-lt"/>
                <a:ea typeface="+mn-ea"/>
                <a:cs typeface="+mn-cs"/>
              </a:rPr>
              <a:t>in m³/capita/year</a:t>
            </a:r>
          </a:p>
        </c:rich>
      </c:tx>
      <c:layout/>
      <c:overlay val="0"/>
      <c:spPr>
        <a:noFill/>
        <a:ln>
          <a:noFill/>
        </a:ln>
        <a:effectLst/>
      </c:spPr>
      <c:txPr>
        <a:bodyPr rot="0" spcFirstLastPara="1" vertOverflow="ellipsis" vert="horz" wrap="square" anchor="ctr" anchorCtr="1"/>
        <a:lstStyle/>
        <a:p>
          <a:pPr algn="ctr" rtl="0">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col"/>
        <c:grouping val="clustered"/>
        <c:varyColors val="0"/>
        <c:ser>
          <c:idx val="0"/>
          <c:order val="0"/>
          <c:tx>
            <c:strRef>
              <c:f>'Abstraction per capita'!$B$120</c:f>
              <c:strCache>
                <c:ptCount val="1"/>
                <c:pt idx="0">
                  <c:v>Abs capita 2016</c:v>
                </c:pt>
              </c:strCache>
            </c:strRef>
          </c:tx>
          <c:spPr>
            <a:solidFill>
              <a:schemeClr val="accent1"/>
            </a:solidFill>
            <a:ln>
              <a:noFill/>
            </a:ln>
            <a:effectLst/>
          </c:spPr>
          <c:invertIfNegative val="0"/>
          <c:cat>
            <c:strRef>
              <c:extLst>
                <c:ext xmlns:c15="http://schemas.microsoft.com/office/drawing/2012/chart" uri="{02D57815-91ED-43cb-92C2-25804820EDAC}">
                  <c15:fullRef>
                    <c15:sqref>'Abstraction per capita'!$A$121:$A$154</c15:sqref>
                  </c15:fullRef>
                </c:ext>
              </c:extLst>
              <c:f>'Abstraction per capita'!$A$121:$A$153</c:f>
              <c:strCache>
                <c:ptCount val="33"/>
                <c:pt idx="0">
                  <c:v>Uganda</c:v>
                </c:pt>
                <c:pt idx="1">
                  <c:v>Belgium</c:v>
                </c:pt>
                <c:pt idx="2">
                  <c:v>Germany</c:v>
                </c:pt>
                <c:pt idx="3">
                  <c:v>Hungary</c:v>
                </c:pt>
                <c:pt idx="4">
                  <c:v>Denmark</c:v>
                </c:pt>
                <c:pt idx="5">
                  <c:v>Netherlands</c:v>
                </c:pt>
                <c:pt idx="6">
                  <c:v>Malta</c:v>
                </c:pt>
                <c:pt idx="7">
                  <c:v>Turkey</c:v>
                </c:pt>
                <c:pt idx="8">
                  <c:v>Romania</c:v>
                </c:pt>
                <c:pt idx="9">
                  <c:v>Portugal</c:v>
                </c:pt>
                <c:pt idx="10">
                  <c:v>Finland</c:v>
                </c:pt>
                <c:pt idx="11">
                  <c:v>Austria</c:v>
                </c:pt>
                <c:pt idx="12">
                  <c:v>France</c:v>
                </c:pt>
                <c:pt idx="13">
                  <c:v>Brazil</c:v>
                </c:pt>
                <c:pt idx="14">
                  <c:v>Spain</c:v>
                </c:pt>
                <c:pt idx="15">
                  <c:v>Sweden</c:v>
                </c:pt>
                <c:pt idx="16">
                  <c:v>England &amp; Wales</c:v>
                </c:pt>
                <c:pt idx="17">
                  <c:v>Switzerland</c:v>
                </c:pt>
                <c:pt idx="18">
                  <c:v>Japan</c:v>
                </c:pt>
                <c:pt idx="19">
                  <c:v>Bulgaria</c:v>
                </c:pt>
                <c:pt idx="20">
                  <c:v>South Korea</c:v>
                </c:pt>
                <c:pt idx="21">
                  <c:v>Scotland (UK)</c:v>
                </c:pt>
                <c:pt idx="22">
                  <c:v>Hong Kong, China</c:v>
                </c:pt>
                <c:pt idx="23">
                  <c:v>Canada</c:v>
                </c:pt>
                <c:pt idx="24">
                  <c:v>Macao, China</c:v>
                </c:pt>
                <c:pt idx="25">
                  <c:v>Argentina</c:v>
                </c:pt>
                <c:pt idx="26">
                  <c:v>Italy</c:v>
                </c:pt>
                <c:pt idx="27">
                  <c:v>Czech Republic</c:v>
                </c:pt>
                <c:pt idx="28">
                  <c:v>Armenia</c:v>
                </c:pt>
                <c:pt idx="29">
                  <c:v>Chinese Taiwan</c:v>
                </c:pt>
                <c:pt idx="30">
                  <c:v>Poland</c:v>
                </c:pt>
                <c:pt idx="31">
                  <c:v>Cyprus</c:v>
                </c:pt>
                <c:pt idx="32">
                  <c:v>Russia</c:v>
                </c:pt>
              </c:strCache>
            </c:strRef>
          </c:cat>
          <c:val>
            <c:numRef>
              <c:extLst>
                <c:ext xmlns:c15="http://schemas.microsoft.com/office/drawing/2012/chart" uri="{02D57815-91ED-43cb-92C2-25804820EDAC}">
                  <c15:fullRef>
                    <c15:sqref>'Abstraction per capita'!$B$121:$B$154</c15:sqref>
                  </c15:fullRef>
                </c:ext>
              </c:extLst>
              <c:f>'Abstraction per capita'!$B$121:$B$153</c:f>
              <c:numCache>
                <c:formatCode>_ * #,##0.00_ ;_ * \-#,##0.00_ ;_ * "-"??_ ;_ @_ </c:formatCode>
                <c:ptCount val="33"/>
                <c:pt idx="0">
                  <c:v>15.190444665618017</c:v>
                </c:pt>
                <c:pt idx="1">
                  <c:v>62.479614696768493</c:v>
                </c:pt>
                <c:pt idx="2">
                  <c:v>63.243902439024389</c:v>
                </c:pt>
                <c:pt idx="3">
                  <c:v>63.38089566515135</c:v>
                </c:pt>
                <c:pt idx="4">
                  <c:v>65.189592762974641</c:v>
                </c:pt>
                <c:pt idx="5">
                  <c:v>70.3099556731148</c:v>
                </c:pt>
                <c:pt idx="6">
                  <c:v>72.357347538654381</c:v>
                </c:pt>
                <c:pt idx="7">
                  <c:v>79.34122411262706</c:v>
                </c:pt>
                <c:pt idx="8">
                  <c:v>80.187115848440044</c:v>
                </c:pt>
                <c:pt idx="9">
                  <c:v>81.066526225782809</c:v>
                </c:pt>
                <c:pt idx="10">
                  <c:v>82.297001999999992</c:v>
                </c:pt>
                <c:pt idx="11">
                  <c:v>82.743197912784197</c:v>
                </c:pt>
                <c:pt idx="12">
                  <c:v>85.224281533728515</c:v>
                </c:pt>
                <c:pt idx="13">
                  <c:v>87.395818757750504</c:v>
                </c:pt>
                <c:pt idx="14">
                  <c:v>87.634497474579973</c:v>
                </c:pt>
                <c:pt idx="15">
                  <c:v>100.65016464176222</c:v>
                </c:pt>
                <c:pt idx="16">
                  <c:v>102.9258932709904</c:v>
                </c:pt>
                <c:pt idx="17">
                  <c:v>109.36018957345972</c:v>
                </c:pt>
                <c:pt idx="18">
                  <c:v>122.17274284426267</c:v>
                </c:pt>
                <c:pt idx="19">
                  <c:v>125.3820250444285</c:v>
                </c:pt>
                <c:pt idx="20">
                  <c:v>127.66608936289607</c:v>
                </c:pt>
                <c:pt idx="21">
                  <c:v>128.17115384615386</c:v>
                </c:pt>
                <c:pt idx="22">
                  <c:v>134.57931184906482</c:v>
                </c:pt>
                <c:pt idx="23">
                  <c:v>137.31252578464662</c:v>
                </c:pt>
                <c:pt idx="24">
                  <c:v>151.45451752354484</c:v>
                </c:pt>
                <c:pt idx="25">
                  <c:v>158.51536243585699</c:v>
                </c:pt>
                <c:pt idx="26">
                  <c:v>159.98652745031995</c:v>
                </c:pt>
                <c:pt idx="27">
                  <c:v>163.95908543922985</c:v>
                </c:pt>
                <c:pt idx="28">
                  <c:v>199.91666666666669</c:v>
                </c:pt>
                <c:pt idx="29">
                  <c:v>248.34814236201461</c:v>
                </c:pt>
                <c:pt idx="30">
                  <c:v>298.09524212776626</c:v>
                </c:pt>
                <c:pt idx="31">
                  <c:v>362.5</c:v>
                </c:pt>
                <c:pt idx="32">
                  <c:v>585.60606060606062</c:v>
                </c:pt>
              </c:numCache>
            </c:numRef>
          </c:val>
          <c:extLst>
            <c:ext xmlns:c16="http://schemas.microsoft.com/office/drawing/2014/chart" uri="{C3380CC4-5D6E-409C-BE32-E72D297353CC}">
              <c16:uniqueId val="{00000000-3444-4469-816F-73885A8D083E}"/>
            </c:ext>
          </c:extLst>
        </c:ser>
        <c:dLbls>
          <c:showLegendKey val="0"/>
          <c:showVal val="0"/>
          <c:showCatName val="0"/>
          <c:showSerName val="0"/>
          <c:showPercent val="0"/>
          <c:showBubbleSize val="0"/>
        </c:dLbls>
        <c:gapWidth val="219"/>
        <c:overlap val="-27"/>
        <c:axId val="345695416"/>
        <c:axId val="345695808"/>
      </c:barChart>
      <c:catAx>
        <c:axId val="345695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695808"/>
        <c:crosses val="autoZero"/>
        <c:auto val="1"/>
        <c:lblAlgn val="ctr"/>
        <c:lblOffset val="100"/>
        <c:noMultiLvlLbl val="0"/>
      </c:catAx>
      <c:valAx>
        <c:axId val="345695808"/>
        <c:scaling>
          <c:orientation val="minMax"/>
        </c:scaling>
        <c:delete val="0"/>
        <c:axPos val="l"/>
        <c:majorGridlines>
          <c:spPr>
            <a:ln w="9525" cap="flat" cmpd="sng" algn="ctr">
              <a:solidFill>
                <a:schemeClr val="tx1">
                  <a:lumMod val="15000"/>
                  <a:lumOff val="85000"/>
                </a:schemeClr>
              </a:solidFill>
              <a:round/>
            </a:ln>
            <a:effectLst/>
          </c:spPr>
        </c:majorGridlines>
        <c:numFmt formatCode="_ * #,##0.00_ ;_ * \-#,##0.0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695416"/>
        <c:crosses val="autoZero"/>
        <c:crossBetween val="between"/>
        <c:majorUnit val="5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Water</a:t>
            </a:r>
            <a:r>
              <a:rPr lang="en-US" baseline="0"/>
              <a:t> delivered in 2016*</a:t>
            </a:r>
          </a:p>
          <a:p>
            <a:pPr>
              <a:defRPr/>
            </a:pPr>
            <a:r>
              <a:rPr lang="en-US" baseline="0"/>
              <a:t>in mio m³</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'Water delivered'!$B$119</c:f>
              <c:strCache>
                <c:ptCount val="1"/>
                <c:pt idx="0">
                  <c:v>Household &amp; small business 2016</c:v>
                </c:pt>
              </c:strCache>
            </c:strRef>
          </c:tx>
          <c:spPr>
            <a:solidFill>
              <a:schemeClr val="accent1"/>
            </a:solidFill>
            <a:ln>
              <a:noFill/>
            </a:ln>
            <a:effectLst/>
          </c:spPr>
          <c:invertIfNegative val="0"/>
          <c:cat>
            <c:strRef>
              <c:extLst>
                <c:ext xmlns:c15="http://schemas.microsoft.com/office/drawing/2012/chart" uri="{02D57815-91ED-43cb-92C2-25804820EDAC}">
                  <c15:fullRef>
                    <c15:sqref>'Water delivered'!$A$120:$A$155</c15:sqref>
                  </c15:fullRef>
                </c:ext>
              </c:extLst>
              <c:f>'Water delivered'!$A$120:$A$154</c:f>
              <c:strCache>
                <c:ptCount val="35"/>
                <c:pt idx="0">
                  <c:v>Mexico</c:v>
                </c:pt>
                <c:pt idx="1">
                  <c:v>Malta</c:v>
                </c:pt>
                <c:pt idx="2">
                  <c:v>Cyprus</c:v>
                </c:pt>
                <c:pt idx="3">
                  <c:v>Macao, China</c:v>
                </c:pt>
                <c:pt idx="4">
                  <c:v>Uganda</c:v>
                </c:pt>
                <c:pt idx="5">
                  <c:v>Armenia</c:v>
                </c:pt>
                <c:pt idx="6">
                  <c:v>Denmark</c:v>
                </c:pt>
                <c:pt idx="7">
                  <c:v>Finland</c:v>
                </c:pt>
                <c:pt idx="8">
                  <c:v>Scotland (UK)</c:v>
                </c:pt>
                <c:pt idx="9">
                  <c:v>Hungary</c:v>
                </c:pt>
                <c:pt idx="10">
                  <c:v>Czech Republic</c:v>
                </c:pt>
                <c:pt idx="11">
                  <c:v>Norway</c:v>
                </c:pt>
                <c:pt idx="12">
                  <c:v>Romania</c:v>
                </c:pt>
                <c:pt idx="13">
                  <c:v>Austria</c:v>
                </c:pt>
                <c:pt idx="14">
                  <c:v>Belgium</c:v>
                </c:pt>
                <c:pt idx="15">
                  <c:v>Portugal</c:v>
                </c:pt>
                <c:pt idx="16">
                  <c:v>Sweden</c:v>
                </c:pt>
                <c:pt idx="17">
                  <c:v>Switzerland</c:v>
                </c:pt>
                <c:pt idx="18">
                  <c:v>Hong Kong, China</c:v>
                </c:pt>
                <c:pt idx="19">
                  <c:v>Netherlands</c:v>
                </c:pt>
                <c:pt idx="20">
                  <c:v>Canada</c:v>
                </c:pt>
                <c:pt idx="21">
                  <c:v>Australia</c:v>
                </c:pt>
                <c:pt idx="22">
                  <c:v>Chinese Taiwan</c:v>
                </c:pt>
                <c:pt idx="23">
                  <c:v>Spain</c:v>
                </c:pt>
                <c:pt idx="24">
                  <c:v>Turkey</c:v>
                </c:pt>
                <c:pt idx="25">
                  <c:v>Argentina</c:v>
                </c:pt>
                <c:pt idx="26">
                  <c:v>England &amp; Wales</c:v>
                </c:pt>
                <c:pt idx="27">
                  <c:v>France</c:v>
                </c:pt>
                <c:pt idx="28">
                  <c:v>Germany</c:v>
                </c:pt>
                <c:pt idx="29">
                  <c:v>South Korea</c:v>
                </c:pt>
                <c:pt idx="30">
                  <c:v>Italy</c:v>
                </c:pt>
                <c:pt idx="31">
                  <c:v>Poland</c:v>
                </c:pt>
                <c:pt idx="32">
                  <c:v>Russia</c:v>
                </c:pt>
                <c:pt idx="33">
                  <c:v>Japan</c:v>
                </c:pt>
                <c:pt idx="34">
                  <c:v>China</c:v>
                </c:pt>
              </c:strCache>
            </c:strRef>
          </c:cat>
          <c:val>
            <c:numRef>
              <c:extLst>
                <c:ext xmlns:c15="http://schemas.microsoft.com/office/drawing/2012/chart" uri="{02D57815-91ED-43cb-92C2-25804820EDAC}">
                  <c15:fullRef>
                    <c15:sqref>'Water delivered'!$B$120:$B$155</c15:sqref>
                  </c15:fullRef>
                </c:ext>
              </c:extLst>
              <c:f>'Water delivered'!$B$120:$B$154</c:f>
              <c:numCache>
                <c:formatCode>_ * #,##0_ ;_ * \-#,##0_ ;_ * "-"??_ ;_ @_ </c:formatCode>
                <c:ptCount val="35"/>
                <c:pt idx="0">
                  <c:v>12.48072</c:v>
                </c:pt>
                <c:pt idx="1">
                  <c:v>12.462859</c:v>
                </c:pt>
                <c:pt idx="2">
                  <c:v>75</c:v>
                </c:pt>
                <c:pt idx="3">
                  <c:v>48.699959999999997</c:v>
                </c:pt>
                <c:pt idx="4">
                  <c:v>71.417815000000004</c:v>
                </c:pt>
                <c:pt idx="5">
                  <c:v>89.8</c:v>
                </c:pt>
                <c:pt idx="6">
                  <c:v>285</c:v>
                </c:pt>
                <c:pt idx="7">
                  <c:v>311.48500999999999</c:v>
                </c:pt>
                <c:pt idx="8">
                  <c:v>281.77999999999997</c:v>
                </c:pt>
                <c:pt idx="9">
                  <c:v>331.17099999999999</c:v>
                </c:pt>
                <c:pt idx="10">
                  <c:v>322.3</c:v>
                </c:pt>
                <c:pt idx="11">
                  <c:v>357.45162499999998</c:v>
                </c:pt>
                <c:pt idx="12">
                  <c:v>356.96000500000002</c:v>
                </c:pt>
                <c:pt idx="13">
                  <c:v>493.7</c:v>
                </c:pt>
                <c:pt idx="14">
                  <c:v>399.43971800000003</c:v>
                </c:pt>
                <c:pt idx="15">
                  <c:v>575.38744799999995</c:v>
                </c:pt>
                <c:pt idx="16">
                  <c:v>513.14113899999995</c:v>
                </c:pt>
                <c:pt idx="17">
                  <c:v>517</c:v>
                </c:pt>
                <c:pt idx="18">
                  <c:v>580</c:v>
                </c:pt>
                <c:pt idx="19">
                  <c:v>939</c:v>
                </c:pt>
                <c:pt idx="20">
                  <c:v>1375.3789999999999</c:v>
                </c:pt>
                <c:pt idx="21">
                  <c:v>1698.077</c:v>
                </c:pt>
                <c:pt idx="22">
                  <c:v>2375.33275</c:v>
                </c:pt>
                <c:pt idx="23">
                  <c:v>2306</c:v>
                </c:pt>
                <c:pt idx="24">
                  <c:v>3273</c:v>
                </c:pt>
                <c:pt idx="25">
                  <c:v>3858.903777</c:v>
                </c:pt>
                <c:pt idx="26">
                  <c:v>3148.0481370000002</c:v>
                </c:pt>
                <c:pt idx="27">
                  <c:v>3900</c:v>
                </c:pt>
                <c:pt idx="28">
                  <c:v>3654</c:v>
                </c:pt>
                <c:pt idx="29">
                  <c:v>5111.1364780000004</c:v>
                </c:pt>
                <c:pt idx="30">
                  <c:v>4605</c:v>
                </c:pt>
                <c:pt idx="31">
                  <c:v>1238</c:v>
                </c:pt>
                <c:pt idx="32">
                  <c:v>5837.4124270000002</c:v>
                </c:pt>
                <c:pt idx="33">
                  <c:v>12007.307000000001</c:v>
                </c:pt>
                <c:pt idx="34">
                  <c:v>21714</c:v>
                </c:pt>
              </c:numCache>
            </c:numRef>
          </c:val>
          <c:extLst>
            <c:ext xmlns:c16="http://schemas.microsoft.com/office/drawing/2014/chart" uri="{C3380CC4-5D6E-409C-BE32-E72D297353CC}">
              <c16:uniqueId val="{00000000-5D51-4564-A4DA-8E5D72E63553}"/>
            </c:ext>
          </c:extLst>
        </c:ser>
        <c:ser>
          <c:idx val="1"/>
          <c:order val="1"/>
          <c:tx>
            <c:strRef>
              <c:f>'Water delivered'!$C$119</c:f>
              <c:strCache>
                <c:ptCount val="1"/>
                <c:pt idx="0">
                  <c:v>Industry &amp; other billed water consumption 2016</c:v>
                </c:pt>
              </c:strCache>
            </c:strRef>
          </c:tx>
          <c:spPr>
            <a:solidFill>
              <a:schemeClr val="accent2"/>
            </a:solidFill>
            <a:ln>
              <a:noFill/>
            </a:ln>
            <a:effectLst/>
          </c:spPr>
          <c:invertIfNegative val="0"/>
          <c:cat>
            <c:strRef>
              <c:extLst>
                <c:ext xmlns:c15="http://schemas.microsoft.com/office/drawing/2012/chart" uri="{02D57815-91ED-43cb-92C2-25804820EDAC}">
                  <c15:fullRef>
                    <c15:sqref>'Water delivered'!$A$120:$A$155</c15:sqref>
                  </c15:fullRef>
                </c:ext>
              </c:extLst>
              <c:f>'Water delivered'!$A$120:$A$154</c:f>
              <c:strCache>
                <c:ptCount val="35"/>
                <c:pt idx="0">
                  <c:v>Mexico</c:v>
                </c:pt>
                <c:pt idx="1">
                  <c:v>Malta</c:v>
                </c:pt>
                <c:pt idx="2">
                  <c:v>Cyprus</c:v>
                </c:pt>
                <c:pt idx="3">
                  <c:v>Macao, China</c:v>
                </c:pt>
                <c:pt idx="4">
                  <c:v>Uganda</c:v>
                </c:pt>
                <c:pt idx="5">
                  <c:v>Armenia</c:v>
                </c:pt>
                <c:pt idx="6">
                  <c:v>Denmark</c:v>
                </c:pt>
                <c:pt idx="7">
                  <c:v>Finland</c:v>
                </c:pt>
                <c:pt idx="8">
                  <c:v>Scotland (UK)</c:v>
                </c:pt>
                <c:pt idx="9">
                  <c:v>Hungary</c:v>
                </c:pt>
                <c:pt idx="10">
                  <c:v>Czech Republic</c:v>
                </c:pt>
                <c:pt idx="11">
                  <c:v>Norway</c:v>
                </c:pt>
                <c:pt idx="12">
                  <c:v>Romania</c:v>
                </c:pt>
                <c:pt idx="13">
                  <c:v>Austria</c:v>
                </c:pt>
                <c:pt idx="14">
                  <c:v>Belgium</c:v>
                </c:pt>
                <c:pt idx="15">
                  <c:v>Portugal</c:v>
                </c:pt>
                <c:pt idx="16">
                  <c:v>Sweden</c:v>
                </c:pt>
                <c:pt idx="17">
                  <c:v>Switzerland</c:v>
                </c:pt>
                <c:pt idx="18">
                  <c:v>Hong Kong, China</c:v>
                </c:pt>
                <c:pt idx="19">
                  <c:v>Netherlands</c:v>
                </c:pt>
                <c:pt idx="20">
                  <c:v>Canada</c:v>
                </c:pt>
                <c:pt idx="21">
                  <c:v>Australia</c:v>
                </c:pt>
                <c:pt idx="22">
                  <c:v>Chinese Taiwan</c:v>
                </c:pt>
                <c:pt idx="23">
                  <c:v>Spain</c:v>
                </c:pt>
                <c:pt idx="24">
                  <c:v>Turkey</c:v>
                </c:pt>
                <c:pt idx="25">
                  <c:v>Argentina</c:v>
                </c:pt>
                <c:pt idx="26">
                  <c:v>England &amp; Wales</c:v>
                </c:pt>
                <c:pt idx="27">
                  <c:v>France</c:v>
                </c:pt>
                <c:pt idx="28">
                  <c:v>Germany</c:v>
                </c:pt>
                <c:pt idx="29">
                  <c:v>South Korea</c:v>
                </c:pt>
                <c:pt idx="30">
                  <c:v>Italy</c:v>
                </c:pt>
                <c:pt idx="31">
                  <c:v>Poland</c:v>
                </c:pt>
                <c:pt idx="32">
                  <c:v>Russia</c:v>
                </c:pt>
                <c:pt idx="33">
                  <c:v>Japan</c:v>
                </c:pt>
                <c:pt idx="34">
                  <c:v>China</c:v>
                </c:pt>
              </c:strCache>
            </c:strRef>
          </c:cat>
          <c:val>
            <c:numRef>
              <c:extLst>
                <c:ext xmlns:c15="http://schemas.microsoft.com/office/drawing/2012/chart" uri="{02D57815-91ED-43cb-92C2-25804820EDAC}">
                  <c15:fullRef>
                    <c15:sqref>'Water delivered'!$C$120:$C$155</c15:sqref>
                  </c15:fullRef>
                </c:ext>
              </c:extLst>
              <c:f>'Water delivered'!$C$120:$C$154</c:f>
              <c:numCache>
                <c:formatCode>_ * #,##0_ ;_ * \-#,##0_ ;_ * "-"??_ ;_ @_ </c:formatCode>
                <c:ptCount val="35"/>
                <c:pt idx="0">
                  <c:v>3.68</c:v>
                </c:pt>
                <c:pt idx="1">
                  <c:v>5.6430449999999999</c:v>
                </c:pt>
                <c:pt idx="2">
                  <c:v>5</c:v>
                </c:pt>
                <c:pt idx="3">
                  <c:v>38.002581999999997</c:v>
                </c:pt>
                <c:pt idx="4">
                  <c:v>16.851395</c:v>
                </c:pt>
                <c:pt idx="5">
                  <c:v>27.9</c:v>
                </c:pt>
                <c:pt idx="6">
                  <c:v>48</c:v>
                </c:pt>
                <c:pt idx="7">
                  <c:v>40</c:v>
                </c:pt>
                <c:pt idx="8">
                  <c:v>146.36500000000001</c:v>
                </c:pt>
                <c:pt idx="9">
                  <c:v>114.44499999999999</c:v>
                </c:pt>
                <c:pt idx="10">
                  <c:v>156.6</c:v>
                </c:pt>
                <c:pt idx="11">
                  <c:v>130.367401</c:v>
                </c:pt>
                <c:pt idx="12">
                  <c:v>147.701279</c:v>
                </c:pt>
                <c:pt idx="13">
                  <c:v>36.299999999999997</c:v>
                </c:pt>
                <c:pt idx="14">
                  <c:v>162.14998</c:v>
                </c:pt>
                <c:pt idx="15">
                  <c:v>0</c:v>
                </c:pt>
                <c:pt idx="16">
                  <c:v>153.275925</c:v>
                </c:pt>
                <c:pt idx="17">
                  <c:v>217</c:v>
                </c:pt>
                <c:pt idx="18">
                  <c:v>407.22</c:v>
                </c:pt>
                <c:pt idx="19">
                  <c:v>156</c:v>
                </c:pt>
                <c:pt idx="20">
                  <c:v>0</c:v>
                </c:pt>
                <c:pt idx="21">
                  <c:v>1043.011</c:v>
                </c:pt>
                <c:pt idx="22">
                  <c:v>616.87</c:v>
                </c:pt>
                <c:pt idx="23">
                  <c:v>867</c:v>
                </c:pt>
                <c:pt idx="24">
                  <c:v>582.55999999999995</c:v>
                </c:pt>
                <c:pt idx="25" formatCode="General">
                  <c:v>0</c:v>
                </c:pt>
                <c:pt idx="26">
                  <c:v>1190.3483490000001</c:v>
                </c:pt>
                <c:pt idx="27">
                  <c:v>642.39999999999964</c:v>
                </c:pt>
                <c:pt idx="28">
                  <c:v>925</c:v>
                </c:pt>
                <c:pt idx="29">
                  <c:v>258.74557700000003</c:v>
                </c:pt>
                <c:pt idx="30">
                  <c:v>1152</c:v>
                </c:pt>
                <c:pt idx="31">
                  <c:v>7650.1379999999999</c:v>
                </c:pt>
                <c:pt idx="32">
                  <c:v>3618.2597310000001</c:v>
                </c:pt>
                <c:pt idx="33">
                  <c:v>1046.3040000000001</c:v>
                </c:pt>
                <c:pt idx="34">
                  <c:v>8056</c:v>
                </c:pt>
              </c:numCache>
            </c:numRef>
          </c:val>
          <c:extLst>
            <c:ext xmlns:c16="http://schemas.microsoft.com/office/drawing/2014/chart" uri="{C3380CC4-5D6E-409C-BE32-E72D297353CC}">
              <c16:uniqueId val="{00000001-5D51-4564-A4DA-8E5D72E63553}"/>
            </c:ext>
          </c:extLst>
        </c:ser>
        <c:dLbls>
          <c:showLegendKey val="0"/>
          <c:showVal val="0"/>
          <c:showCatName val="0"/>
          <c:showSerName val="0"/>
          <c:showPercent val="0"/>
          <c:showBubbleSize val="0"/>
        </c:dLbls>
        <c:gapWidth val="150"/>
        <c:overlap val="100"/>
        <c:axId val="345696592"/>
        <c:axId val="345696984"/>
      </c:barChart>
      <c:catAx>
        <c:axId val="34569659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696984"/>
        <c:crosses val="autoZero"/>
        <c:auto val="1"/>
        <c:lblAlgn val="ctr"/>
        <c:lblOffset val="100"/>
        <c:tickLblSkip val="1"/>
        <c:noMultiLvlLbl val="0"/>
      </c:catAx>
      <c:valAx>
        <c:axId val="345696984"/>
        <c:scaling>
          <c:orientation val="minMax"/>
        </c:scaling>
        <c:delete val="0"/>
        <c:axPos val="t"/>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696592"/>
        <c:crosses val="autoZero"/>
        <c:crossBetween val="between"/>
        <c:majorUnit val="2000"/>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water delivered for households in 2014 and 2016</a:t>
            </a:r>
          </a:p>
          <a:p>
            <a:pPr>
              <a:defRPr/>
            </a:pPr>
            <a:r>
              <a:rPr lang="en-US" baseline="0"/>
              <a:t>in m³/capita/year</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'Delivered HH per capita'!$B$73</c:f>
              <c:strCache>
                <c:ptCount val="1"/>
                <c:pt idx="0">
                  <c:v>Delivered households per capita in 2014</c:v>
                </c:pt>
              </c:strCache>
            </c:strRef>
          </c:tx>
          <c:spPr>
            <a:solidFill>
              <a:schemeClr val="accent1"/>
            </a:solidFill>
            <a:ln>
              <a:noFill/>
            </a:ln>
            <a:effectLst/>
          </c:spPr>
          <c:invertIfNegative val="0"/>
          <c:cat>
            <c:strRef>
              <c:f>'Delivered HH per capita'!$A$74:$A$107</c:f>
              <c:strCache>
                <c:ptCount val="34"/>
                <c:pt idx="0">
                  <c:v>Argentina</c:v>
                </c:pt>
                <c:pt idx="1">
                  <c:v>Armenia</c:v>
                </c:pt>
                <c:pt idx="2">
                  <c:v>Australia</c:v>
                </c:pt>
                <c:pt idx="3">
                  <c:v>Austria</c:v>
                </c:pt>
                <c:pt idx="4">
                  <c:v>Belgium</c:v>
                </c:pt>
                <c:pt idx="5">
                  <c:v>Chile</c:v>
                </c:pt>
                <c:pt idx="6">
                  <c:v>China</c:v>
                </c:pt>
                <c:pt idx="7">
                  <c:v>Chinese Taiwan</c:v>
                </c:pt>
                <c:pt idx="8">
                  <c:v>Cyprus</c:v>
                </c:pt>
                <c:pt idx="9">
                  <c:v>Czech Republic</c:v>
                </c:pt>
                <c:pt idx="10">
                  <c:v>Denmark</c:v>
                </c:pt>
                <c:pt idx="11">
                  <c:v>England &amp; Wales</c:v>
                </c:pt>
                <c:pt idx="12">
                  <c:v>France</c:v>
                </c:pt>
                <c:pt idx="13">
                  <c:v>Germany</c:v>
                </c:pt>
                <c:pt idx="14">
                  <c:v>Hungary</c:v>
                </c:pt>
                <c:pt idx="15">
                  <c:v>Japan</c:v>
                </c:pt>
                <c:pt idx="16">
                  <c:v>Kenya</c:v>
                </c:pt>
                <c:pt idx="17">
                  <c:v>Macao, China</c:v>
                </c:pt>
                <c:pt idx="18">
                  <c:v>Mauritius</c:v>
                </c:pt>
                <c:pt idx="19">
                  <c:v>Mexico</c:v>
                </c:pt>
                <c:pt idx="20">
                  <c:v>Netherlands</c:v>
                </c:pt>
                <c:pt idx="21">
                  <c:v>Norway</c:v>
                </c:pt>
                <c:pt idx="22">
                  <c:v>Poland</c:v>
                </c:pt>
                <c:pt idx="23">
                  <c:v>Portugal</c:v>
                </c:pt>
                <c:pt idx="24">
                  <c:v>Romania</c:v>
                </c:pt>
                <c:pt idx="25">
                  <c:v>Russia</c:v>
                </c:pt>
                <c:pt idx="26">
                  <c:v>Scotland (UK)</c:v>
                </c:pt>
                <c:pt idx="27">
                  <c:v>South Korea</c:v>
                </c:pt>
                <c:pt idx="28">
                  <c:v>Spain</c:v>
                </c:pt>
                <c:pt idx="29">
                  <c:v>Sweden</c:v>
                </c:pt>
                <c:pt idx="30">
                  <c:v>Switzerland</c:v>
                </c:pt>
                <c:pt idx="31">
                  <c:v>Thailand</c:v>
                </c:pt>
                <c:pt idx="32">
                  <c:v>Uganda</c:v>
                </c:pt>
                <c:pt idx="33">
                  <c:v>Zambia</c:v>
                </c:pt>
              </c:strCache>
            </c:strRef>
          </c:cat>
          <c:val>
            <c:numRef>
              <c:f>'Delivered HH per capita'!$B$74:$B$107</c:f>
              <c:numCache>
                <c:formatCode>_ * #,##0.00_ ;_ * \-#,##0.00_ ;_ * "-"??_ ;_ @_ </c:formatCode>
                <c:ptCount val="34"/>
                <c:pt idx="0">
                  <c:v>0</c:v>
                </c:pt>
                <c:pt idx="1">
                  <c:v>0</c:v>
                </c:pt>
                <c:pt idx="2">
                  <c:v>73.047706590679297</c:v>
                </c:pt>
                <c:pt idx="3">
                  <c:v>0</c:v>
                </c:pt>
                <c:pt idx="4">
                  <c:v>31.666636901030003</c:v>
                </c:pt>
                <c:pt idx="5">
                  <c:v>51.030468358749886</c:v>
                </c:pt>
                <c:pt idx="6">
                  <c:v>45.451152656776557</c:v>
                </c:pt>
                <c:pt idx="7">
                  <c:v>84.86310657588372</c:v>
                </c:pt>
                <c:pt idx="8">
                  <c:v>83.928571428571431</c:v>
                </c:pt>
                <c:pt idx="9">
                  <c:v>0</c:v>
                </c:pt>
                <c:pt idx="10">
                  <c:v>46.627667752249685</c:v>
                </c:pt>
                <c:pt idx="11">
                  <c:v>54.542705766039859</c:v>
                </c:pt>
                <c:pt idx="12">
                  <c:v>58.108725445408865</c:v>
                </c:pt>
                <c:pt idx="13">
                  <c:v>40.039667782323043</c:v>
                </c:pt>
                <c:pt idx="14">
                  <c:v>30.477845173229159</c:v>
                </c:pt>
                <c:pt idx="15">
                  <c:v>81.576488143510147</c:v>
                </c:pt>
                <c:pt idx="16">
                  <c:v>12.142980658063157</c:v>
                </c:pt>
                <c:pt idx="17">
                  <c:v>55.027723986167871</c:v>
                </c:pt>
                <c:pt idx="18">
                  <c:v>61.019736842105267</c:v>
                </c:pt>
                <c:pt idx="19">
                  <c:v>0.10888551779559442</c:v>
                </c:pt>
                <c:pt idx="20">
                  <c:v>46.078241442452573</c:v>
                </c:pt>
                <c:pt idx="21">
                  <c:v>73.050155987520981</c:v>
                </c:pt>
                <c:pt idx="22">
                  <c:v>43.60729109515173</c:v>
                </c:pt>
                <c:pt idx="23">
                  <c:v>0</c:v>
                </c:pt>
                <c:pt idx="24">
                  <c:v>33.352690091914759</c:v>
                </c:pt>
                <c:pt idx="25">
                  <c:v>53.076823834196894</c:v>
                </c:pt>
                <c:pt idx="26">
                  <c:v>61.58667838257314</c:v>
                </c:pt>
                <c:pt idx="27">
                  <c:v>65.315642684319243</c:v>
                </c:pt>
                <c:pt idx="28">
                  <c:v>51.503596516278542</c:v>
                </c:pt>
                <c:pt idx="29">
                  <c:v>0</c:v>
                </c:pt>
                <c:pt idx="30">
                  <c:v>51.820388349514559</c:v>
                </c:pt>
                <c:pt idx="31">
                  <c:v>10.440251314814814</c:v>
                </c:pt>
                <c:pt idx="32">
                  <c:v>4.0774535000000007</c:v>
                </c:pt>
                <c:pt idx="33">
                  <c:v>21.885339952083743</c:v>
                </c:pt>
              </c:numCache>
            </c:numRef>
          </c:val>
          <c:extLst>
            <c:ext xmlns:c16="http://schemas.microsoft.com/office/drawing/2014/chart" uri="{C3380CC4-5D6E-409C-BE32-E72D297353CC}">
              <c16:uniqueId val="{00000000-5347-4663-8892-9B1720C81DF2}"/>
            </c:ext>
          </c:extLst>
        </c:ser>
        <c:ser>
          <c:idx val="1"/>
          <c:order val="1"/>
          <c:tx>
            <c:strRef>
              <c:f>'Delivered HH per capita'!$C$73</c:f>
              <c:strCache>
                <c:ptCount val="1"/>
                <c:pt idx="0">
                  <c:v>Delivered households per capita in 2016</c:v>
                </c:pt>
              </c:strCache>
            </c:strRef>
          </c:tx>
          <c:spPr>
            <a:solidFill>
              <a:schemeClr val="accent2"/>
            </a:solidFill>
            <a:ln>
              <a:noFill/>
            </a:ln>
            <a:effectLst/>
          </c:spPr>
          <c:invertIfNegative val="0"/>
          <c:cat>
            <c:strRef>
              <c:f>'Delivered HH per capita'!$A$74:$A$107</c:f>
              <c:strCache>
                <c:ptCount val="34"/>
                <c:pt idx="0">
                  <c:v>Argentina</c:v>
                </c:pt>
                <c:pt idx="1">
                  <c:v>Armenia</c:v>
                </c:pt>
                <c:pt idx="2">
                  <c:v>Australia</c:v>
                </c:pt>
                <c:pt idx="3">
                  <c:v>Austria</c:v>
                </c:pt>
                <c:pt idx="4">
                  <c:v>Belgium</c:v>
                </c:pt>
                <c:pt idx="5">
                  <c:v>Chile</c:v>
                </c:pt>
                <c:pt idx="6">
                  <c:v>China</c:v>
                </c:pt>
                <c:pt idx="7">
                  <c:v>Chinese Taiwan</c:v>
                </c:pt>
                <c:pt idx="8">
                  <c:v>Cyprus</c:v>
                </c:pt>
                <c:pt idx="9">
                  <c:v>Czech Republic</c:v>
                </c:pt>
                <c:pt idx="10">
                  <c:v>Denmark</c:v>
                </c:pt>
                <c:pt idx="11">
                  <c:v>England &amp; Wales</c:v>
                </c:pt>
                <c:pt idx="12">
                  <c:v>France</c:v>
                </c:pt>
                <c:pt idx="13">
                  <c:v>Germany</c:v>
                </c:pt>
                <c:pt idx="14">
                  <c:v>Hungary</c:v>
                </c:pt>
                <c:pt idx="15">
                  <c:v>Japan</c:v>
                </c:pt>
                <c:pt idx="16">
                  <c:v>Kenya</c:v>
                </c:pt>
                <c:pt idx="17">
                  <c:v>Macao, China</c:v>
                </c:pt>
                <c:pt idx="18">
                  <c:v>Mauritius</c:v>
                </c:pt>
                <c:pt idx="19">
                  <c:v>Mexico</c:v>
                </c:pt>
                <c:pt idx="20">
                  <c:v>Netherlands</c:v>
                </c:pt>
                <c:pt idx="21">
                  <c:v>Norway</c:v>
                </c:pt>
                <c:pt idx="22">
                  <c:v>Poland</c:v>
                </c:pt>
                <c:pt idx="23">
                  <c:v>Portugal</c:v>
                </c:pt>
                <c:pt idx="24">
                  <c:v>Romania</c:v>
                </c:pt>
                <c:pt idx="25">
                  <c:v>Russia</c:v>
                </c:pt>
                <c:pt idx="26">
                  <c:v>Scotland (UK)</c:v>
                </c:pt>
                <c:pt idx="27">
                  <c:v>South Korea</c:v>
                </c:pt>
                <c:pt idx="28">
                  <c:v>Spain</c:v>
                </c:pt>
                <c:pt idx="29">
                  <c:v>Sweden</c:v>
                </c:pt>
                <c:pt idx="30">
                  <c:v>Switzerland</c:v>
                </c:pt>
                <c:pt idx="31">
                  <c:v>Thailand</c:v>
                </c:pt>
                <c:pt idx="32">
                  <c:v>Uganda</c:v>
                </c:pt>
                <c:pt idx="33">
                  <c:v>Zambia</c:v>
                </c:pt>
              </c:strCache>
            </c:strRef>
          </c:cat>
          <c:val>
            <c:numRef>
              <c:f>'Delivered HH per capita'!$C$74:$C$107</c:f>
              <c:numCache>
                <c:formatCode>_ * #,##0.00_ ;_ * \-#,##0.00_ ;_ * "-"??_ ;_ @_ </c:formatCode>
                <c:ptCount val="34"/>
                <c:pt idx="0">
                  <c:v>109.80160631321202</c:v>
                </c:pt>
                <c:pt idx="1">
                  <c:v>30.291666666666671</c:v>
                </c:pt>
                <c:pt idx="2">
                  <c:v>71.97986520283159</c:v>
                </c:pt>
                <c:pt idx="3">
                  <c:v>47.869300534227854</c:v>
                </c:pt>
                <c:pt idx="4">
                  <c:v>32.158336343514833</c:v>
                </c:pt>
                <c:pt idx="5" formatCode="General">
                  <c:v>0</c:v>
                </c:pt>
                <c:pt idx="6" formatCode="General">
                  <c:v>0</c:v>
                </c:pt>
                <c:pt idx="7">
                  <c:v>101.65357983382859</c:v>
                </c:pt>
                <c:pt idx="8">
                  <c:v>89.285714285714292</c:v>
                </c:pt>
                <c:pt idx="9">
                  <c:v>32.320497392699565</c:v>
                </c:pt>
                <c:pt idx="10">
                  <c:v>39.404294232772969</c:v>
                </c:pt>
                <c:pt idx="11">
                  <c:v>54.285852286833304</c:v>
                </c:pt>
                <c:pt idx="12">
                  <c:v>58.527800705335032</c:v>
                </c:pt>
                <c:pt idx="13">
                  <c:v>40.548780487804876</c:v>
                </c:pt>
                <c:pt idx="14">
                  <c:v>32.967878188231644</c:v>
                </c:pt>
                <c:pt idx="15">
                  <c:v>83.222589590216486</c:v>
                </c:pt>
                <c:pt idx="16" formatCode="General">
                  <c:v>0</c:v>
                </c:pt>
                <c:pt idx="17">
                  <c:v>56.661205805156705</c:v>
                </c:pt>
                <c:pt idx="18" formatCode="General">
                  <c:v>0</c:v>
                </c:pt>
                <c:pt idx="19">
                  <c:v>0.1057852217045066</c:v>
                </c:pt>
                <c:pt idx="20">
                  <c:v>47.126989439514915</c:v>
                </c:pt>
                <c:pt idx="21">
                  <c:v>66.645784705549232</c:v>
                </c:pt>
                <c:pt idx="22" formatCode="General">
                  <c:v>0</c:v>
                </c:pt>
                <c:pt idx="23">
                  <c:v>38.163293775659895</c:v>
                </c:pt>
                <c:pt idx="24">
                  <c:v>27.772504862677977</c:v>
                </c:pt>
                <c:pt idx="25">
                  <c:v>49.13646824074074</c:v>
                </c:pt>
                <c:pt idx="26">
                  <c:v>54.188461538461532</c:v>
                </c:pt>
                <c:pt idx="27">
                  <c:v>65.305659288298642</c:v>
                </c:pt>
                <c:pt idx="28">
                  <c:v>49.530674307936621</c:v>
                </c:pt>
                <c:pt idx="29">
                  <c:v>52.211624162597928</c:v>
                </c:pt>
                <c:pt idx="30">
                  <c:v>51.066350710900473</c:v>
                </c:pt>
                <c:pt idx="31" formatCode="General">
                  <c:v>0</c:v>
                </c:pt>
                <c:pt idx="32">
                  <c:v>5.2798193931110236</c:v>
                </c:pt>
                <c:pt idx="33" formatCode="General">
                  <c:v>0</c:v>
                </c:pt>
              </c:numCache>
            </c:numRef>
          </c:val>
          <c:extLst>
            <c:ext xmlns:c16="http://schemas.microsoft.com/office/drawing/2014/chart" uri="{C3380CC4-5D6E-409C-BE32-E72D297353CC}">
              <c16:uniqueId val="{00000001-5347-4663-8892-9B1720C81DF2}"/>
            </c:ext>
          </c:extLst>
        </c:ser>
        <c:dLbls>
          <c:showLegendKey val="0"/>
          <c:showVal val="0"/>
          <c:showCatName val="0"/>
          <c:showSerName val="0"/>
          <c:showPercent val="0"/>
          <c:showBubbleSize val="0"/>
        </c:dLbls>
        <c:gapWidth val="219"/>
        <c:overlap val="-27"/>
        <c:axId val="345697768"/>
        <c:axId val="345698160"/>
      </c:barChart>
      <c:catAx>
        <c:axId val="345697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698160"/>
        <c:crosses val="autoZero"/>
        <c:auto val="1"/>
        <c:lblAlgn val="ctr"/>
        <c:lblOffset val="100"/>
        <c:tickLblSkip val="1"/>
        <c:noMultiLvlLbl val="0"/>
      </c:catAx>
      <c:valAx>
        <c:axId val="345698160"/>
        <c:scaling>
          <c:orientation val="minMax"/>
        </c:scaling>
        <c:delete val="0"/>
        <c:axPos val="l"/>
        <c:majorGridlines>
          <c:spPr>
            <a:ln w="9525" cap="flat" cmpd="sng" algn="ctr">
              <a:solidFill>
                <a:schemeClr val="tx1">
                  <a:lumMod val="15000"/>
                  <a:lumOff val="85000"/>
                </a:schemeClr>
              </a:solidFill>
              <a:round/>
            </a:ln>
            <a:effectLst/>
          </c:spPr>
        </c:majorGridlines>
        <c:numFmt formatCode="_ * #,##0.00_ ;_ * \-#,##0.0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69776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Delivered households per capita in 2016</a:t>
            </a:r>
          </a:p>
          <a:p>
            <a:pPr>
              <a:defRPr/>
            </a:pPr>
            <a:r>
              <a:rPr lang="en-US"/>
              <a:t>in m³/capita/year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'Delivered HH per capita'!$B$110</c:f>
              <c:strCache>
                <c:ptCount val="1"/>
                <c:pt idx="0">
                  <c:v>Delivered households per capita in 2016</c:v>
                </c:pt>
              </c:strCache>
            </c:strRef>
          </c:tx>
          <c:spPr>
            <a:solidFill>
              <a:schemeClr val="accent1"/>
            </a:solidFill>
            <a:ln>
              <a:noFill/>
            </a:ln>
            <a:effectLst/>
          </c:spPr>
          <c:invertIfNegative val="0"/>
          <c:cat>
            <c:strRef>
              <c:f>'Delivered HH per capita'!$A$111:$A$137</c:f>
              <c:strCache>
                <c:ptCount val="27"/>
                <c:pt idx="0">
                  <c:v>Mexico</c:v>
                </c:pt>
                <c:pt idx="1">
                  <c:v>Uganda</c:v>
                </c:pt>
                <c:pt idx="2">
                  <c:v>Romania</c:v>
                </c:pt>
                <c:pt idx="3">
                  <c:v>Armenia</c:v>
                </c:pt>
                <c:pt idx="4">
                  <c:v>Belgium</c:v>
                </c:pt>
                <c:pt idx="5">
                  <c:v>Czech Republic</c:v>
                </c:pt>
                <c:pt idx="6">
                  <c:v>Hungary</c:v>
                </c:pt>
                <c:pt idx="7">
                  <c:v>Portugal</c:v>
                </c:pt>
                <c:pt idx="8">
                  <c:v>Denmark</c:v>
                </c:pt>
                <c:pt idx="9">
                  <c:v>Germany</c:v>
                </c:pt>
                <c:pt idx="10">
                  <c:v>Netherlands</c:v>
                </c:pt>
                <c:pt idx="11">
                  <c:v>Austria</c:v>
                </c:pt>
                <c:pt idx="12">
                  <c:v>Russia</c:v>
                </c:pt>
                <c:pt idx="13">
                  <c:v>Spain</c:v>
                </c:pt>
                <c:pt idx="14">
                  <c:v>Switzerland</c:v>
                </c:pt>
                <c:pt idx="15">
                  <c:v>Sweden</c:v>
                </c:pt>
                <c:pt idx="16">
                  <c:v>Scotland (UK)</c:v>
                </c:pt>
                <c:pt idx="17">
                  <c:v>England &amp; Wales</c:v>
                </c:pt>
                <c:pt idx="18">
                  <c:v>Macao, China</c:v>
                </c:pt>
                <c:pt idx="19">
                  <c:v>France</c:v>
                </c:pt>
                <c:pt idx="20">
                  <c:v>South Korea</c:v>
                </c:pt>
                <c:pt idx="21">
                  <c:v>Norway</c:v>
                </c:pt>
                <c:pt idx="22">
                  <c:v>Australia</c:v>
                </c:pt>
                <c:pt idx="23">
                  <c:v>Japan</c:v>
                </c:pt>
                <c:pt idx="24">
                  <c:v>Cyprus</c:v>
                </c:pt>
                <c:pt idx="25">
                  <c:v>Chinese Taiwan</c:v>
                </c:pt>
                <c:pt idx="26">
                  <c:v>Argentina</c:v>
                </c:pt>
              </c:strCache>
            </c:strRef>
          </c:cat>
          <c:val>
            <c:numRef>
              <c:f>'Delivered HH per capita'!$B$111:$B$137</c:f>
              <c:numCache>
                <c:formatCode>_ * #,##0.00_ ;_ * \-#,##0.00_ ;_ * "-"??_ ;_ @_ </c:formatCode>
                <c:ptCount val="27"/>
                <c:pt idx="0">
                  <c:v>0.1057852217045066</c:v>
                </c:pt>
                <c:pt idx="1">
                  <c:v>5.2798193931110236</c:v>
                </c:pt>
                <c:pt idx="2">
                  <c:v>27.772504862677977</c:v>
                </c:pt>
                <c:pt idx="3">
                  <c:v>30.291666666666671</c:v>
                </c:pt>
                <c:pt idx="4">
                  <c:v>32.158336343514833</c:v>
                </c:pt>
                <c:pt idx="5">
                  <c:v>32.320497392699565</c:v>
                </c:pt>
                <c:pt idx="6">
                  <c:v>32.967878188231644</c:v>
                </c:pt>
                <c:pt idx="7">
                  <c:v>38.163293775659895</c:v>
                </c:pt>
                <c:pt idx="8">
                  <c:v>39.404294232772969</c:v>
                </c:pt>
                <c:pt idx="9">
                  <c:v>40.548780487804876</c:v>
                </c:pt>
                <c:pt idx="10">
                  <c:v>47.126989439514915</c:v>
                </c:pt>
                <c:pt idx="11">
                  <c:v>47.869300534227854</c:v>
                </c:pt>
                <c:pt idx="12">
                  <c:v>49.13646824074074</c:v>
                </c:pt>
                <c:pt idx="13">
                  <c:v>49.530674307936621</c:v>
                </c:pt>
                <c:pt idx="14">
                  <c:v>51.066350710900473</c:v>
                </c:pt>
                <c:pt idx="15">
                  <c:v>52.211624162597928</c:v>
                </c:pt>
                <c:pt idx="16">
                  <c:v>54.188461538461532</c:v>
                </c:pt>
                <c:pt idx="17">
                  <c:v>54.285852286833304</c:v>
                </c:pt>
                <c:pt idx="18">
                  <c:v>56.661205805156705</c:v>
                </c:pt>
                <c:pt idx="19">
                  <c:v>58.527800705335032</c:v>
                </c:pt>
                <c:pt idx="20">
                  <c:v>65.305659288298642</c:v>
                </c:pt>
                <c:pt idx="21">
                  <c:v>66.645784705549232</c:v>
                </c:pt>
                <c:pt idx="22">
                  <c:v>71.97986520283159</c:v>
                </c:pt>
                <c:pt idx="23">
                  <c:v>83.222589590216486</c:v>
                </c:pt>
                <c:pt idx="24">
                  <c:v>89.285714285714292</c:v>
                </c:pt>
                <c:pt idx="25">
                  <c:v>101.65357983382859</c:v>
                </c:pt>
                <c:pt idx="26">
                  <c:v>109.80160631321202</c:v>
                </c:pt>
              </c:numCache>
            </c:numRef>
          </c:val>
          <c:extLst>
            <c:ext xmlns:c16="http://schemas.microsoft.com/office/drawing/2014/chart" uri="{C3380CC4-5D6E-409C-BE32-E72D297353CC}">
              <c16:uniqueId val="{00000000-D8A4-4621-AC40-73CCD509EF82}"/>
            </c:ext>
          </c:extLst>
        </c:ser>
        <c:dLbls>
          <c:showLegendKey val="0"/>
          <c:showVal val="0"/>
          <c:showCatName val="0"/>
          <c:showSerName val="0"/>
          <c:showPercent val="0"/>
          <c:showBubbleSize val="0"/>
        </c:dLbls>
        <c:gapWidth val="219"/>
        <c:overlap val="-27"/>
        <c:axId val="344825592"/>
        <c:axId val="344825984"/>
      </c:barChart>
      <c:catAx>
        <c:axId val="344825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825984"/>
        <c:crosses val="autoZero"/>
        <c:auto val="1"/>
        <c:lblAlgn val="ctr"/>
        <c:lblOffset val="100"/>
        <c:noMultiLvlLbl val="0"/>
      </c:catAx>
      <c:valAx>
        <c:axId val="344825984"/>
        <c:scaling>
          <c:orientation val="minMax"/>
        </c:scaling>
        <c:delete val="0"/>
        <c:axPos val="l"/>
        <c:majorGridlines>
          <c:spPr>
            <a:ln w="9525" cap="flat" cmpd="sng" algn="ctr">
              <a:solidFill>
                <a:schemeClr val="tx1">
                  <a:lumMod val="15000"/>
                  <a:lumOff val="85000"/>
                </a:schemeClr>
              </a:solidFill>
              <a:round/>
            </a:ln>
            <a:effectLst/>
          </c:spPr>
        </c:majorGridlines>
        <c:numFmt formatCode="_ * #,##0.00_ ;_ * \-#,##0.0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8255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charges for 198 cities in 2017</a:t>
            </a:r>
          </a:p>
          <a:p>
            <a:pPr>
              <a:defRPr/>
            </a:pPr>
            <a:r>
              <a:rPr lang="en-US" sz="1100"/>
              <a:t>for a consumption</a:t>
            </a:r>
            <a:r>
              <a:rPr lang="en-US" sz="1100" baseline="0"/>
              <a:t> of 200 m³ in US$</a:t>
            </a:r>
            <a:endParaRPr lang="en-US" sz="1100"/>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5078026472939819E-2"/>
          <c:y val="8.6666655405699511E-2"/>
          <c:w val="0.97880732445886709"/>
          <c:h val="0.64709172746397869"/>
        </c:manualLayout>
      </c:layout>
      <c:barChart>
        <c:barDir val="col"/>
        <c:grouping val="stacked"/>
        <c:varyColors val="0"/>
        <c:ser>
          <c:idx val="0"/>
          <c:order val="0"/>
          <c:tx>
            <c:strRef>
              <c:f>'2017Total charges cities 200 m³'!$C$499</c:f>
              <c:strCache>
                <c:ptCount val="1"/>
                <c:pt idx="0">
                  <c:v>fixed charge drinking water</c:v>
                </c:pt>
              </c:strCache>
            </c:strRef>
          </c:tx>
          <c:spPr>
            <a:solidFill>
              <a:schemeClr val="accent1"/>
            </a:solidFill>
            <a:ln>
              <a:noFill/>
            </a:ln>
            <a:effectLst/>
          </c:spPr>
          <c:invertIfNegative val="0"/>
          <c:cat>
            <c:strRef>
              <c:f>'2017Total charges cities 200 m³'!$A$500:$A$697</c:f>
              <c:strCache>
                <c:ptCount val="198"/>
                <c:pt idx="0">
                  <c:v>Provincia de Salta</c:v>
                </c:pt>
                <c:pt idx="1">
                  <c:v>La Rioja</c:v>
                </c:pt>
                <c:pt idx="2">
                  <c:v>Mar del Plata</c:v>
                </c:pt>
                <c:pt idx="3">
                  <c:v>Yerevan</c:v>
                </c:pt>
                <c:pt idx="4">
                  <c:v>Buenos Aires</c:v>
                </c:pt>
                <c:pt idx="5">
                  <c:v>Daejeon</c:v>
                </c:pt>
                <c:pt idx="6">
                  <c:v>Jujuy</c:v>
                </c:pt>
                <c:pt idx="7">
                  <c:v>Santiago del Estero</c:v>
                </c:pt>
                <c:pt idx="8">
                  <c:v>Provincia Buenos Aires</c:v>
                </c:pt>
                <c:pt idx="9">
                  <c:v>Seoul</c:v>
                </c:pt>
                <c:pt idx="10">
                  <c:v>Gwangju</c:v>
                </c:pt>
                <c:pt idx="11">
                  <c:v>Taipei</c:v>
                </c:pt>
                <c:pt idx="12">
                  <c:v>Guadalajara</c:v>
                </c:pt>
                <c:pt idx="13">
                  <c:v>Incheon</c:v>
                </c:pt>
                <c:pt idx="14">
                  <c:v>Guangzhou</c:v>
                </c:pt>
                <c:pt idx="15">
                  <c:v>Gyeounggi</c:v>
                </c:pt>
                <c:pt idx="16">
                  <c:v>Daegu</c:v>
                </c:pt>
                <c:pt idx="17">
                  <c:v>Kaohsiung</c:v>
                </c:pt>
                <c:pt idx="18">
                  <c:v>Busan</c:v>
                </c:pt>
                <c:pt idx="19">
                  <c:v>Sao Paulo</c:v>
                </c:pt>
                <c:pt idx="20">
                  <c:v>Monterrey</c:v>
                </c:pt>
                <c:pt idx="21">
                  <c:v>Shenzhen</c:v>
                </c:pt>
                <c:pt idx="22">
                  <c:v>Shanghai</c:v>
                </c:pt>
                <c:pt idx="23">
                  <c:v>Ulsan</c:v>
                </c:pt>
                <c:pt idx="24">
                  <c:v>Brazil average</c:v>
                </c:pt>
                <c:pt idx="25">
                  <c:v>Moscow</c:v>
                </c:pt>
                <c:pt idx="26">
                  <c:v>Milan</c:v>
                </c:pt>
                <c:pt idx="27">
                  <c:v>San Luis Potosi</c:v>
                </c:pt>
                <c:pt idx="28">
                  <c:v>Hong Kong</c:v>
                </c:pt>
                <c:pt idx="29">
                  <c:v>Russia average</c:v>
                </c:pt>
                <c:pt idx="30">
                  <c:v>Tianjin</c:v>
                </c:pt>
                <c:pt idx="31">
                  <c:v>Mexico City</c:v>
                </c:pt>
                <c:pt idx="32">
                  <c:v>Beijing</c:v>
                </c:pt>
                <c:pt idx="33">
                  <c:v>León, Guanajuato</c:v>
                </c:pt>
                <c:pt idx="34">
                  <c:v>Puebla</c:v>
                </c:pt>
                <c:pt idx="35">
                  <c:v>Izmir</c:v>
                </c:pt>
                <c:pt idx="36">
                  <c:v>Brasilia</c:v>
                </c:pt>
                <c:pt idx="37">
                  <c:v>Sofia</c:v>
                </c:pt>
                <c:pt idx="38">
                  <c:v>Pleven</c:v>
                </c:pt>
                <c:pt idx="39">
                  <c:v>Oradea</c:v>
                </c:pt>
                <c:pt idx="40">
                  <c:v>Bucharest</c:v>
                </c:pt>
                <c:pt idx="41">
                  <c:v>Osaka</c:v>
                </c:pt>
                <c:pt idx="42">
                  <c:v>Sibiu</c:v>
                </c:pt>
                <c:pt idx="43">
                  <c:v>Drobeta Turnu-Severin</c:v>
                </c:pt>
                <c:pt idx="44">
                  <c:v>Alexandria</c:v>
                </c:pt>
                <c:pt idx="45">
                  <c:v>Burgas</c:v>
                </c:pt>
                <c:pt idx="46">
                  <c:v>Cluj Napoca</c:v>
                </c:pt>
                <c:pt idx="47">
                  <c:v>Nagoya</c:v>
                </c:pt>
                <c:pt idx="48">
                  <c:v>Voluntari</c:v>
                </c:pt>
                <c:pt idx="49">
                  <c:v>Timisoara</c:v>
                </c:pt>
                <c:pt idx="50">
                  <c:v>Stara Zagora</c:v>
                </c:pt>
                <c:pt idx="51">
                  <c:v>Razgrad</c:v>
                </c:pt>
                <c:pt idx="52">
                  <c:v>Naples</c:v>
                </c:pt>
                <c:pt idx="53">
                  <c:v>Craiova</c:v>
                </c:pt>
                <c:pt idx="54">
                  <c:v>Kaposvár</c:v>
                </c:pt>
                <c:pt idx="55">
                  <c:v>Bacau</c:v>
                </c:pt>
                <c:pt idx="56">
                  <c:v>Lisbon</c:v>
                </c:pt>
                <c:pt idx="57">
                  <c:v>Botosani</c:v>
                </c:pt>
                <c:pt idx="58">
                  <c:v>Galati</c:v>
                </c:pt>
                <c:pt idx="59">
                  <c:v>Baia Mare</c:v>
                </c:pt>
                <c:pt idx="60">
                  <c:v>Brasov</c:v>
                </c:pt>
                <c:pt idx="61">
                  <c:v>Hiroshima</c:v>
                </c:pt>
                <c:pt idx="62">
                  <c:v>Turda</c:v>
                </c:pt>
                <c:pt idx="63">
                  <c:v>Vaslui</c:v>
                </c:pt>
                <c:pt idx="64">
                  <c:v>Medias</c:v>
                </c:pt>
                <c:pt idx="65">
                  <c:v>Madrid</c:v>
                </c:pt>
                <c:pt idx="66">
                  <c:v>Kampala</c:v>
                </c:pt>
                <c:pt idx="67">
                  <c:v>Jinja</c:v>
                </c:pt>
                <c:pt idx="68">
                  <c:v>Entebbe</c:v>
                </c:pt>
                <c:pt idx="69">
                  <c:v>Mbarara</c:v>
                </c:pt>
                <c:pt idx="70">
                  <c:v>Petrosani</c:v>
                </c:pt>
                <c:pt idx="71">
                  <c:v>Porto</c:v>
                </c:pt>
                <c:pt idx="72">
                  <c:v>Braila</c:v>
                </c:pt>
                <c:pt idx="73">
                  <c:v>Satu Mare</c:v>
                </c:pt>
                <c:pt idx="74">
                  <c:v>Arad</c:v>
                </c:pt>
                <c:pt idx="75">
                  <c:v>Bistrita</c:v>
                </c:pt>
                <c:pt idx="76">
                  <c:v>Targu-Mures</c:v>
                </c:pt>
                <c:pt idx="77">
                  <c:v>Miami</c:v>
                </c:pt>
                <c:pt idx="78">
                  <c:v>Piatra Neamt</c:v>
                </c:pt>
                <c:pt idx="79">
                  <c:v>Yokohama</c:v>
                </c:pt>
                <c:pt idx="80">
                  <c:v>Braga</c:v>
                </c:pt>
                <c:pt idx="81">
                  <c:v>Ankara</c:v>
                </c:pt>
                <c:pt idx="82">
                  <c:v>Prahova</c:v>
                </c:pt>
                <c:pt idx="83">
                  <c:v>Bilbao</c:v>
                </c:pt>
                <c:pt idx="84">
                  <c:v>Rome</c:v>
                </c:pt>
                <c:pt idx="85">
                  <c:v>Suceava</c:v>
                </c:pt>
                <c:pt idx="86">
                  <c:v>Coimbra</c:v>
                </c:pt>
                <c:pt idx="87">
                  <c:v>Chicago</c:v>
                </c:pt>
                <c:pt idx="88">
                  <c:v>Bialystok</c:v>
                </c:pt>
                <c:pt idx="89">
                  <c:v>Buzau</c:v>
                </c:pt>
                <c:pt idx="90">
                  <c:v>Tokyo</c:v>
                </c:pt>
                <c:pt idx="91">
                  <c:v>Ramnicu Valcea</c:v>
                </c:pt>
                <c:pt idx="92">
                  <c:v>Faro</c:v>
                </c:pt>
                <c:pt idx="93">
                  <c:v>Fukuoka</c:v>
                </c:pt>
                <c:pt idx="94">
                  <c:v>Miskolc</c:v>
                </c:pt>
                <c:pt idx="95">
                  <c:v>Targoviste</c:v>
                </c:pt>
                <c:pt idx="96">
                  <c:v>Sapporo</c:v>
                </c:pt>
                <c:pt idx="97">
                  <c:v>Pitesti</c:v>
                </c:pt>
                <c:pt idx="98">
                  <c:v>Debrecen</c:v>
                </c:pt>
                <c:pt idx="99">
                  <c:v>Constanta</c:v>
                </c:pt>
                <c:pt idx="100">
                  <c:v>Tarnow</c:v>
                </c:pt>
                <c:pt idx="101">
                  <c:v>Stockholm</c:v>
                </c:pt>
                <c:pt idx="102">
                  <c:v>Turin</c:v>
                </c:pt>
                <c:pt idx="103">
                  <c:v>Budapest</c:v>
                </c:pt>
                <c:pt idx="104">
                  <c:v>Sintra</c:v>
                </c:pt>
                <c:pt idx="105">
                  <c:v>Valencia</c:v>
                </c:pt>
                <c:pt idx="106">
                  <c:v>Loures</c:v>
                </c:pt>
                <c:pt idx="107">
                  <c:v>Istanbul</c:v>
                </c:pt>
                <c:pt idx="108">
                  <c:v>Sevilla</c:v>
                </c:pt>
                <c:pt idx="109">
                  <c:v>Sendai</c:v>
                </c:pt>
                <c:pt idx="110">
                  <c:v>Bologna</c:v>
                </c:pt>
                <c:pt idx="111">
                  <c:v>Radom</c:v>
                </c:pt>
                <c:pt idx="112">
                  <c:v>Malmö</c:v>
                </c:pt>
                <c:pt idx="113">
                  <c:v>Pécs</c:v>
                </c:pt>
                <c:pt idx="114">
                  <c:v>Nicosia</c:v>
                </c:pt>
                <c:pt idx="115">
                  <c:v>Bydgoszcz</c:v>
                </c:pt>
                <c:pt idx="116">
                  <c:v>Minneapolis</c:v>
                </c:pt>
                <c:pt idx="117">
                  <c:v>Wroclaw</c:v>
                </c:pt>
                <c:pt idx="118">
                  <c:v>Larnaca</c:v>
                </c:pt>
                <c:pt idx="119">
                  <c:v>Eindhoven</c:v>
                </c:pt>
                <c:pt idx="120">
                  <c:v>London</c:v>
                </c:pt>
                <c:pt idx="121">
                  <c:v>Paphos</c:v>
                </c:pt>
                <c:pt idx="122">
                  <c:v>Warsaw</c:v>
                </c:pt>
                <c:pt idx="123">
                  <c:v>Trondheim</c:v>
                </c:pt>
                <c:pt idx="124">
                  <c:v>Durham</c:v>
                </c:pt>
                <c:pt idx="125">
                  <c:v>Macao, China average</c:v>
                </c:pt>
                <c:pt idx="126">
                  <c:v>Denver</c:v>
                </c:pt>
                <c:pt idx="127">
                  <c:v>New York</c:v>
                </c:pt>
                <c:pt idx="128">
                  <c:v>Brno</c:v>
                </c:pt>
                <c:pt idx="129">
                  <c:v>Ostrava</c:v>
                </c:pt>
                <c:pt idx="130">
                  <c:v>Lyon</c:v>
                </c:pt>
                <c:pt idx="131">
                  <c:v>Strassbourg</c:v>
                </c:pt>
                <c:pt idx="132">
                  <c:v>Barcelona</c:v>
                </c:pt>
                <c:pt idx="133">
                  <c:v>Los Angeles</c:v>
                </c:pt>
                <c:pt idx="134">
                  <c:v>Limassol</c:v>
                </c:pt>
                <c:pt idx="135">
                  <c:v>Reims</c:v>
                </c:pt>
                <c:pt idx="136">
                  <c:v>Lausanne</c:v>
                </c:pt>
                <c:pt idx="137">
                  <c:v>Amsterdam</c:v>
                </c:pt>
                <c:pt idx="138">
                  <c:v>Oslo</c:v>
                </c:pt>
                <c:pt idx="139">
                  <c:v>Vancouver</c:v>
                </c:pt>
                <c:pt idx="140">
                  <c:v>Bordeaux</c:v>
                </c:pt>
                <c:pt idx="141">
                  <c:v>Utrecht</c:v>
                </c:pt>
                <c:pt idx="142">
                  <c:v>Birmingham</c:v>
                </c:pt>
                <c:pt idx="143">
                  <c:v>Prague</c:v>
                </c:pt>
                <c:pt idx="144">
                  <c:v>Plzeñ</c:v>
                </c:pt>
                <c:pt idx="145">
                  <c:v>Linköping</c:v>
                </c:pt>
                <c:pt idx="146">
                  <c:v>Nancy</c:v>
                </c:pt>
                <c:pt idx="147">
                  <c:v>Ottawa</c:v>
                </c:pt>
                <c:pt idx="148">
                  <c:v>Rotterdam</c:v>
                </c:pt>
                <c:pt idx="149">
                  <c:v>Göteborg</c:v>
                </c:pt>
                <c:pt idx="150">
                  <c:v>Winnipeg</c:v>
                </c:pt>
                <c:pt idx="151">
                  <c:v>Sydney</c:v>
                </c:pt>
                <c:pt idx="152">
                  <c:v>Paris</c:v>
                </c:pt>
                <c:pt idx="153">
                  <c:v>Marseille</c:v>
                </c:pt>
                <c:pt idx="154">
                  <c:v>Malta average</c:v>
                </c:pt>
                <c:pt idx="155">
                  <c:v>Geneva</c:v>
                </c:pt>
                <c:pt idx="156">
                  <c:v>Espoo</c:v>
                </c:pt>
                <c:pt idx="157">
                  <c:v>Helsinki</c:v>
                </c:pt>
                <c:pt idx="158">
                  <c:v>Vantaa</c:v>
                </c:pt>
                <c:pt idx="159">
                  <c:v>Calgary</c:v>
                </c:pt>
                <c:pt idx="160">
                  <c:v>Bergen</c:v>
                </c:pt>
                <c:pt idx="161">
                  <c:v>Canberra</c:v>
                </c:pt>
                <c:pt idx="162">
                  <c:v>Lille</c:v>
                </c:pt>
                <c:pt idx="163">
                  <c:v>Leeds</c:v>
                </c:pt>
                <c:pt idx="164">
                  <c:v>Usti nad Labem</c:v>
                </c:pt>
                <c:pt idx="165">
                  <c:v>Antwerp</c:v>
                </c:pt>
                <c:pt idx="166">
                  <c:v>Basel</c:v>
                </c:pt>
                <c:pt idx="167">
                  <c:v>Uppsala</c:v>
                </c:pt>
                <c:pt idx="168">
                  <c:v>Den Haag</c:v>
                </c:pt>
                <c:pt idx="169">
                  <c:v>Cardiff</c:v>
                </c:pt>
                <c:pt idx="170">
                  <c:v>Austria average</c:v>
                </c:pt>
                <c:pt idx="171">
                  <c:v>Melbourne</c:v>
                </c:pt>
                <c:pt idx="172">
                  <c:v>SEDIF</c:v>
                </c:pt>
                <c:pt idx="173">
                  <c:v>Tampere</c:v>
                </c:pt>
                <c:pt idx="174">
                  <c:v>Manchester</c:v>
                </c:pt>
                <c:pt idx="175">
                  <c:v>Oulu</c:v>
                </c:pt>
                <c:pt idx="176">
                  <c:v>Berlin</c:v>
                </c:pt>
                <c:pt idx="177">
                  <c:v>Louvain</c:v>
                </c:pt>
                <c:pt idx="178">
                  <c:v>Kortrijk</c:v>
                </c:pt>
                <c:pt idx="179">
                  <c:v>Genk</c:v>
                </c:pt>
                <c:pt idx="180">
                  <c:v>Turku</c:v>
                </c:pt>
                <c:pt idx="181">
                  <c:v>Bern</c:v>
                </c:pt>
                <c:pt idx="182">
                  <c:v>Brussels</c:v>
                </c:pt>
                <c:pt idx="183">
                  <c:v>Perth</c:v>
                </c:pt>
                <c:pt idx="184">
                  <c:v>Zürich</c:v>
                </c:pt>
                <c:pt idx="185">
                  <c:v>Brisbane</c:v>
                </c:pt>
                <c:pt idx="186">
                  <c:v>Brest</c:v>
                </c:pt>
                <c:pt idx="187">
                  <c:v>Saskatoon</c:v>
                </c:pt>
                <c:pt idx="188">
                  <c:v>Le Havre</c:v>
                </c:pt>
                <c:pt idx="189">
                  <c:v>Ghent</c:v>
                </c:pt>
                <c:pt idx="190">
                  <c:v>Charleroi</c:v>
                </c:pt>
                <c:pt idx="191">
                  <c:v>Liège</c:v>
                </c:pt>
                <c:pt idx="192">
                  <c:v>Copenhagen</c:v>
                </c:pt>
                <c:pt idx="193">
                  <c:v>Washington D.C.</c:v>
                </c:pt>
                <c:pt idx="194">
                  <c:v>Esbjerg</c:v>
                </c:pt>
                <c:pt idx="195">
                  <c:v>Aalborg</c:v>
                </c:pt>
                <c:pt idx="196">
                  <c:v>Aarhus</c:v>
                </c:pt>
                <c:pt idx="197">
                  <c:v>Odense</c:v>
                </c:pt>
              </c:strCache>
            </c:strRef>
          </c:cat>
          <c:val>
            <c:numRef>
              <c:f>'2017Total charges cities 200 m³'!$C$500:$C$697</c:f>
              <c:numCache>
                <c:formatCode>_ * #,##0.00_ ;_ * \-#,##0.00_ ;_ * "-"??_ ;_ @_ </c:formatCode>
                <c:ptCount val="198"/>
                <c:pt idx="0">
                  <c:v>0</c:v>
                </c:pt>
                <c:pt idx="1">
                  <c:v>0</c:v>
                </c:pt>
                <c:pt idx="2">
                  <c:v>0</c:v>
                </c:pt>
                <c:pt idx="3">
                  <c:v>52.78568919107235</c:v>
                </c:pt>
                <c:pt idx="4">
                  <c:v>0</c:v>
                </c:pt>
                <c:pt idx="5">
                  <c:v>0</c:v>
                </c:pt>
                <c:pt idx="6">
                  <c:v>0</c:v>
                </c:pt>
                <c:pt idx="7">
                  <c:v>0</c:v>
                </c:pt>
                <c:pt idx="8">
                  <c:v>0</c:v>
                </c:pt>
                <c:pt idx="9">
                  <c:v>0</c:v>
                </c:pt>
                <c:pt idx="10">
                  <c:v>0</c:v>
                </c:pt>
                <c:pt idx="11">
                  <c:v>27.510121600805885</c:v>
                </c:pt>
                <c:pt idx="12">
                  <c:v>114.8934439564015</c:v>
                </c:pt>
                <c:pt idx="13">
                  <c:v>0</c:v>
                </c:pt>
                <c:pt idx="14">
                  <c:v>91.359877940742194</c:v>
                </c:pt>
                <c:pt idx="15">
                  <c:v>0</c:v>
                </c:pt>
                <c:pt idx="16">
                  <c:v>0</c:v>
                </c:pt>
                <c:pt idx="17">
                  <c:v>14.442813840423089</c:v>
                </c:pt>
                <c:pt idx="18">
                  <c:v>0</c:v>
                </c:pt>
                <c:pt idx="19">
                  <c:v>0</c:v>
                </c:pt>
                <c:pt idx="20">
                  <c:v>122.01073694485115</c:v>
                </c:pt>
                <c:pt idx="21">
                  <c:v>123.35121567083374</c:v>
                </c:pt>
                <c:pt idx="22">
                  <c:v>101.51097548971356</c:v>
                </c:pt>
                <c:pt idx="23">
                  <c:v>0</c:v>
                </c:pt>
                <c:pt idx="24">
                  <c:v>0</c:v>
                </c:pt>
                <c:pt idx="25">
                  <c:v>0</c:v>
                </c:pt>
                <c:pt idx="26">
                  <c:v>0.60023289036146021</c:v>
                </c:pt>
                <c:pt idx="27">
                  <c:v>141.32910362778591</c:v>
                </c:pt>
                <c:pt idx="28">
                  <c:v>0</c:v>
                </c:pt>
                <c:pt idx="29">
                  <c:v>0</c:v>
                </c:pt>
                <c:pt idx="30">
                  <c:v>120.27512550447879</c:v>
                </c:pt>
                <c:pt idx="31">
                  <c:v>211.48527737107531</c:v>
                </c:pt>
                <c:pt idx="32">
                  <c:v>125.19686977064671</c:v>
                </c:pt>
                <c:pt idx="33">
                  <c:v>233.85391247763135</c:v>
                </c:pt>
                <c:pt idx="34">
                  <c:v>208.43500894745404</c:v>
                </c:pt>
                <c:pt idx="35">
                  <c:v>120.69465306875378</c:v>
                </c:pt>
                <c:pt idx="36">
                  <c:v>0</c:v>
                </c:pt>
                <c:pt idx="37">
                  <c:v>143.36741582687893</c:v>
                </c:pt>
                <c:pt idx="38">
                  <c:v>181.66419128748359</c:v>
                </c:pt>
                <c:pt idx="39">
                  <c:v>0</c:v>
                </c:pt>
                <c:pt idx="40">
                  <c:v>0</c:v>
                </c:pt>
                <c:pt idx="41">
                  <c:v>90.537114092208327</c:v>
                </c:pt>
                <c:pt idx="42">
                  <c:v>0</c:v>
                </c:pt>
                <c:pt idx="43">
                  <c:v>0</c:v>
                </c:pt>
                <c:pt idx="44">
                  <c:v>0</c:v>
                </c:pt>
                <c:pt idx="45">
                  <c:v>157.97419877499416</c:v>
                </c:pt>
                <c:pt idx="46">
                  <c:v>0</c:v>
                </c:pt>
                <c:pt idx="47">
                  <c:v>66.571407420741423</c:v>
                </c:pt>
                <c:pt idx="48">
                  <c:v>0</c:v>
                </c:pt>
                <c:pt idx="49">
                  <c:v>0</c:v>
                </c:pt>
                <c:pt idx="50">
                  <c:v>222.17039610158466</c:v>
                </c:pt>
                <c:pt idx="51">
                  <c:v>257.76675790791586</c:v>
                </c:pt>
                <c:pt idx="52">
                  <c:v>13.013049063036458</c:v>
                </c:pt>
                <c:pt idx="53">
                  <c:v>0</c:v>
                </c:pt>
                <c:pt idx="54">
                  <c:v>0</c:v>
                </c:pt>
                <c:pt idx="55">
                  <c:v>0</c:v>
                </c:pt>
                <c:pt idx="56">
                  <c:v>68.426549501206466</c:v>
                </c:pt>
                <c:pt idx="57">
                  <c:v>0</c:v>
                </c:pt>
                <c:pt idx="58">
                  <c:v>0</c:v>
                </c:pt>
                <c:pt idx="59">
                  <c:v>0</c:v>
                </c:pt>
                <c:pt idx="60">
                  <c:v>0</c:v>
                </c:pt>
                <c:pt idx="61">
                  <c:v>86.27654401728087</c:v>
                </c:pt>
                <c:pt idx="62">
                  <c:v>0</c:v>
                </c:pt>
                <c:pt idx="63">
                  <c:v>0</c:v>
                </c:pt>
                <c:pt idx="64">
                  <c:v>0</c:v>
                </c:pt>
                <c:pt idx="65">
                  <c:v>0</c:v>
                </c:pt>
                <c:pt idx="66">
                  <c:v>4.9608404483911857</c:v>
                </c:pt>
                <c:pt idx="67">
                  <c:v>4.9608404483911857</c:v>
                </c:pt>
                <c:pt idx="68">
                  <c:v>4.9608404483911857</c:v>
                </c:pt>
                <c:pt idx="69">
                  <c:v>4.9608404483911857</c:v>
                </c:pt>
                <c:pt idx="70">
                  <c:v>0</c:v>
                </c:pt>
                <c:pt idx="71">
                  <c:v>49.963385793687948</c:v>
                </c:pt>
                <c:pt idx="72">
                  <c:v>0</c:v>
                </c:pt>
                <c:pt idx="73">
                  <c:v>0</c:v>
                </c:pt>
                <c:pt idx="74">
                  <c:v>0</c:v>
                </c:pt>
                <c:pt idx="75">
                  <c:v>0</c:v>
                </c:pt>
                <c:pt idx="76">
                  <c:v>0</c:v>
                </c:pt>
                <c:pt idx="77">
                  <c:v>38.4</c:v>
                </c:pt>
                <c:pt idx="78">
                  <c:v>0</c:v>
                </c:pt>
                <c:pt idx="79">
                  <c:v>84.146258979817148</c:v>
                </c:pt>
                <c:pt idx="80">
                  <c:v>67.190069747061855</c:v>
                </c:pt>
                <c:pt idx="81">
                  <c:v>232.95649194929769</c:v>
                </c:pt>
                <c:pt idx="82">
                  <c:v>0</c:v>
                </c:pt>
                <c:pt idx="83">
                  <c:v>0</c:v>
                </c:pt>
                <c:pt idx="84">
                  <c:v>22.028547076265593</c:v>
                </c:pt>
                <c:pt idx="85">
                  <c:v>0</c:v>
                </c:pt>
                <c:pt idx="86">
                  <c:v>56.181798537832677</c:v>
                </c:pt>
                <c:pt idx="87">
                  <c:v>0</c:v>
                </c:pt>
                <c:pt idx="88">
                  <c:v>0</c:v>
                </c:pt>
                <c:pt idx="89">
                  <c:v>0</c:v>
                </c:pt>
                <c:pt idx="90">
                  <c:v>124.62167469162793</c:v>
                </c:pt>
                <c:pt idx="91">
                  <c:v>0</c:v>
                </c:pt>
                <c:pt idx="92">
                  <c:v>40.743808597735921</c:v>
                </c:pt>
                <c:pt idx="93">
                  <c:v>90.537114092208327</c:v>
                </c:pt>
                <c:pt idx="94">
                  <c:v>0</c:v>
                </c:pt>
                <c:pt idx="95">
                  <c:v>0</c:v>
                </c:pt>
                <c:pt idx="96">
                  <c:v>140.59881247260589</c:v>
                </c:pt>
                <c:pt idx="97">
                  <c:v>0</c:v>
                </c:pt>
                <c:pt idx="98">
                  <c:v>4.7553297840520141</c:v>
                </c:pt>
                <c:pt idx="99">
                  <c:v>0</c:v>
                </c:pt>
                <c:pt idx="100">
                  <c:v>0</c:v>
                </c:pt>
                <c:pt idx="101">
                  <c:v>206.24267029725661</c:v>
                </c:pt>
                <c:pt idx="102">
                  <c:v>10.372024345446034</c:v>
                </c:pt>
                <c:pt idx="103">
                  <c:v>6.5670679389832856</c:v>
                </c:pt>
                <c:pt idx="104">
                  <c:v>58.630748730507442</c:v>
                </c:pt>
                <c:pt idx="105">
                  <c:v>0</c:v>
                </c:pt>
                <c:pt idx="106">
                  <c:v>45.749750903350495</c:v>
                </c:pt>
                <c:pt idx="107">
                  <c:v>341.52897462249979</c:v>
                </c:pt>
                <c:pt idx="108">
                  <c:v>0</c:v>
                </c:pt>
                <c:pt idx="109">
                  <c:v>133.14281484148285</c:v>
                </c:pt>
                <c:pt idx="110">
                  <c:v>30.419802883518805</c:v>
                </c:pt>
                <c:pt idx="111">
                  <c:v>0</c:v>
                </c:pt>
                <c:pt idx="112">
                  <c:v>202.56633036325914</c:v>
                </c:pt>
                <c:pt idx="113">
                  <c:v>0</c:v>
                </c:pt>
                <c:pt idx="114">
                  <c:v>50.419562790362662</c:v>
                </c:pt>
                <c:pt idx="115">
                  <c:v>0</c:v>
                </c:pt>
                <c:pt idx="116">
                  <c:v>48</c:v>
                </c:pt>
                <c:pt idx="117">
                  <c:v>0</c:v>
                </c:pt>
                <c:pt idx="118">
                  <c:v>79.230741527712752</c:v>
                </c:pt>
                <c:pt idx="119">
                  <c:v>84.560809594122517</c:v>
                </c:pt>
                <c:pt idx="120">
                  <c:v>42.301870472483515</c:v>
                </c:pt>
                <c:pt idx="121">
                  <c:v>57.622357474700181</c:v>
                </c:pt>
                <c:pt idx="122">
                  <c:v>0</c:v>
                </c:pt>
                <c:pt idx="123">
                  <c:v>38.609050458665287</c:v>
                </c:pt>
                <c:pt idx="124">
                  <c:v>167.65400488235434</c:v>
                </c:pt>
                <c:pt idx="125">
                  <c:v>0</c:v>
                </c:pt>
                <c:pt idx="126">
                  <c:v>184.68</c:v>
                </c:pt>
                <c:pt idx="127">
                  <c:v>0</c:v>
                </c:pt>
                <c:pt idx="128">
                  <c:v>0</c:v>
                </c:pt>
                <c:pt idx="129">
                  <c:v>0</c:v>
                </c:pt>
                <c:pt idx="130">
                  <c:v>49.447185507977089</c:v>
                </c:pt>
                <c:pt idx="131">
                  <c:v>32.040431687494745</c:v>
                </c:pt>
                <c:pt idx="132">
                  <c:v>0</c:v>
                </c:pt>
                <c:pt idx="133">
                  <c:v>0</c:v>
                </c:pt>
                <c:pt idx="134">
                  <c:v>79.230741527712752</c:v>
                </c:pt>
                <c:pt idx="135">
                  <c:v>13.145100298915978</c:v>
                </c:pt>
                <c:pt idx="136">
                  <c:v>71.837605960468792</c:v>
                </c:pt>
                <c:pt idx="137">
                  <c:v>50.599632657471098</c:v>
                </c:pt>
                <c:pt idx="138">
                  <c:v>37.536576834813467</c:v>
                </c:pt>
                <c:pt idx="139">
                  <c:v>489.8257778767325</c:v>
                </c:pt>
                <c:pt idx="140">
                  <c:v>66.409766989591958</c:v>
                </c:pt>
                <c:pt idx="141">
                  <c:v>54.020960132531421</c:v>
                </c:pt>
                <c:pt idx="142">
                  <c:v>35.247053735538977</c:v>
                </c:pt>
                <c:pt idx="143">
                  <c:v>0</c:v>
                </c:pt>
                <c:pt idx="144">
                  <c:v>0</c:v>
                </c:pt>
                <c:pt idx="145">
                  <c:v>285.5290682071348</c:v>
                </c:pt>
                <c:pt idx="146">
                  <c:v>49.147069062796362</c:v>
                </c:pt>
                <c:pt idx="147">
                  <c:v>87.214433957013028</c:v>
                </c:pt>
                <c:pt idx="148">
                  <c:v>70.827481062652311</c:v>
                </c:pt>
                <c:pt idx="149">
                  <c:v>299.37661529185851</c:v>
                </c:pt>
                <c:pt idx="150">
                  <c:v>142.60609578638508</c:v>
                </c:pt>
                <c:pt idx="151">
                  <c:v>70.200070200070201</c:v>
                </c:pt>
                <c:pt idx="152">
                  <c:v>24.741599740699389</c:v>
                </c:pt>
                <c:pt idx="153">
                  <c:v>22.712812571277656</c:v>
                </c:pt>
                <c:pt idx="154">
                  <c:v>70.827481062652311</c:v>
                </c:pt>
                <c:pt idx="155">
                  <c:v>114.94016953675008</c:v>
                </c:pt>
                <c:pt idx="156">
                  <c:v>47.44240765416982</c:v>
                </c:pt>
                <c:pt idx="157">
                  <c:v>47.44240765416982</c:v>
                </c:pt>
                <c:pt idx="158">
                  <c:v>47.44240765416982</c:v>
                </c:pt>
                <c:pt idx="159">
                  <c:v>148.76072487853753</c:v>
                </c:pt>
                <c:pt idx="160">
                  <c:v>299.6832546649556</c:v>
                </c:pt>
                <c:pt idx="161">
                  <c:v>79.154479154479162</c:v>
                </c:pt>
                <c:pt idx="162">
                  <c:v>44.801382936579394</c:v>
                </c:pt>
                <c:pt idx="163">
                  <c:v>32.530543842577572</c:v>
                </c:pt>
                <c:pt idx="164">
                  <c:v>0</c:v>
                </c:pt>
                <c:pt idx="165">
                  <c:v>0</c:v>
                </c:pt>
                <c:pt idx="166">
                  <c:v>28.735042384187519</c:v>
                </c:pt>
                <c:pt idx="167">
                  <c:v>0</c:v>
                </c:pt>
                <c:pt idx="168">
                  <c:v>73.444496464628273</c:v>
                </c:pt>
                <c:pt idx="169">
                  <c:v>46.559087468915564</c:v>
                </c:pt>
                <c:pt idx="170">
                  <c:v>44.009075521302258</c:v>
                </c:pt>
                <c:pt idx="171">
                  <c:v>129.72192972192974</c:v>
                </c:pt>
                <c:pt idx="172">
                  <c:v>27.178545275566918</c:v>
                </c:pt>
                <c:pt idx="173">
                  <c:v>96.817565215303546</c:v>
                </c:pt>
                <c:pt idx="174">
                  <c:v>43.031679100443291</c:v>
                </c:pt>
                <c:pt idx="175">
                  <c:v>50.347534843519284</c:v>
                </c:pt>
                <c:pt idx="176">
                  <c:v>26.290200597831955</c:v>
                </c:pt>
                <c:pt idx="177">
                  <c:v>0</c:v>
                </c:pt>
                <c:pt idx="178">
                  <c:v>0</c:v>
                </c:pt>
                <c:pt idx="179">
                  <c:v>0</c:v>
                </c:pt>
                <c:pt idx="180">
                  <c:v>129.72233226491878</c:v>
                </c:pt>
                <c:pt idx="181">
                  <c:v>55.417581740933073</c:v>
                </c:pt>
                <c:pt idx="182">
                  <c:v>28.81117873735009</c:v>
                </c:pt>
                <c:pt idx="183">
                  <c:v>184.32978432978433</c:v>
                </c:pt>
                <c:pt idx="184">
                  <c:v>139.57020586605367</c:v>
                </c:pt>
                <c:pt idx="185">
                  <c:v>149.97854997854998</c:v>
                </c:pt>
                <c:pt idx="186">
                  <c:v>14.837757049735297</c:v>
                </c:pt>
                <c:pt idx="187">
                  <c:v>190.84121215976592</c:v>
                </c:pt>
                <c:pt idx="188">
                  <c:v>36.458145760555098</c:v>
                </c:pt>
                <c:pt idx="189">
                  <c:v>0</c:v>
                </c:pt>
                <c:pt idx="190">
                  <c:v>62.904406909881033</c:v>
                </c:pt>
                <c:pt idx="191">
                  <c:v>67.430162903206437</c:v>
                </c:pt>
                <c:pt idx="192">
                  <c:v>61.898145312343843</c:v>
                </c:pt>
                <c:pt idx="193">
                  <c:v>121.92</c:v>
                </c:pt>
                <c:pt idx="194">
                  <c:v>106.77430066379313</c:v>
                </c:pt>
                <c:pt idx="195">
                  <c:v>161.19308675089545</c:v>
                </c:pt>
                <c:pt idx="196">
                  <c:v>88.720674947692842</c:v>
                </c:pt>
                <c:pt idx="197">
                  <c:v>77.372681640429803</c:v>
                </c:pt>
              </c:numCache>
            </c:numRef>
          </c:val>
          <c:extLst>
            <c:ext xmlns:c16="http://schemas.microsoft.com/office/drawing/2014/chart" uri="{C3380CC4-5D6E-409C-BE32-E72D297353CC}">
              <c16:uniqueId val="{00000000-FDA9-4630-8379-36F30F7F66FF}"/>
            </c:ext>
          </c:extLst>
        </c:ser>
        <c:ser>
          <c:idx val="1"/>
          <c:order val="1"/>
          <c:tx>
            <c:strRef>
              <c:f>'2017Total charges cities 200 m³'!$D$499</c:f>
              <c:strCache>
                <c:ptCount val="1"/>
                <c:pt idx="0">
                  <c:v>variable charge drinking water</c:v>
                </c:pt>
              </c:strCache>
            </c:strRef>
          </c:tx>
          <c:spPr>
            <a:solidFill>
              <a:schemeClr val="accent2"/>
            </a:solidFill>
            <a:ln>
              <a:noFill/>
            </a:ln>
            <a:effectLst/>
          </c:spPr>
          <c:invertIfNegative val="0"/>
          <c:cat>
            <c:strRef>
              <c:f>'2017Total charges cities 200 m³'!$A$500:$A$697</c:f>
              <c:strCache>
                <c:ptCount val="198"/>
                <c:pt idx="0">
                  <c:v>Provincia de Salta</c:v>
                </c:pt>
                <c:pt idx="1">
                  <c:v>La Rioja</c:v>
                </c:pt>
                <c:pt idx="2">
                  <c:v>Mar del Plata</c:v>
                </c:pt>
                <c:pt idx="3">
                  <c:v>Yerevan</c:v>
                </c:pt>
                <c:pt idx="4">
                  <c:v>Buenos Aires</c:v>
                </c:pt>
                <c:pt idx="5">
                  <c:v>Daejeon</c:v>
                </c:pt>
                <c:pt idx="6">
                  <c:v>Jujuy</c:v>
                </c:pt>
                <c:pt idx="7">
                  <c:v>Santiago del Estero</c:v>
                </c:pt>
                <c:pt idx="8">
                  <c:v>Provincia Buenos Aires</c:v>
                </c:pt>
                <c:pt idx="9">
                  <c:v>Seoul</c:v>
                </c:pt>
                <c:pt idx="10">
                  <c:v>Gwangju</c:v>
                </c:pt>
                <c:pt idx="11">
                  <c:v>Taipei</c:v>
                </c:pt>
                <c:pt idx="12">
                  <c:v>Guadalajara</c:v>
                </c:pt>
                <c:pt idx="13">
                  <c:v>Incheon</c:v>
                </c:pt>
                <c:pt idx="14">
                  <c:v>Guangzhou</c:v>
                </c:pt>
                <c:pt idx="15">
                  <c:v>Gyeounggi</c:v>
                </c:pt>
                <c:pt idx="16">
                  <c:v>Daegu</c:v>
                </c:pt>
                <c:pt idx="17">
                  <c:v>Kaohsiung</c:v>
                </c:pt>
                <c:pt idx="18">
                  <c:v>Busan</c:v>
                </c:pt>
                <c:pt idx="19">
                  <c:v>Sao Paulo</c:v>
                </c:pt>
                <c:pt idx="20">
                  <c:v>Monterrey</c:v>
                </c:pt>
                <c:pt idx="21">
                  <c:v>Shenzhen</c:v>
                </c:pt>
                <c:pt idx="22">
                  <c:v>Shanghai</c:v>
                </c:pt>
                <c:pt idx="23">
                  <c:v>Ulsan</c:v>
                </c:pt>
                <c:pt idx="24">
                  <c:v>Brazil average</c:v>
                </c:pt>
                <c:pt idx="25">
                  <c:v>Moscow</c:v>
                </c:pt>
                <c:pt idx="26">
                  <c:v>Milan</c:v>
                </c:pt>
                <c:pt idx="27">
                  <c:v>San Luis Potosi</c:v>
                </c:pt>
                <c:pt idx="28">
                  <c:v>Hong Kong</c:v>
                </c:pt>
                <c:pt idx="29">
                  <c:v>Russia average</c:v>
                </c:pt>
                <c:pt idx="30">
                  <c:v>Tianjin</c:v>
                </c:pt>
                <c:pt idx="31">
                  <c:v>Mexico City</c:v>
                </c:pt>
                <c:pt idx="32">
                  <c:v>Beijing</c:v>
                </c:pt>
                <c:pt idx="33">
                  <c:v>León, Guanajuato</c:v>
                </c:pt>
                <c:pt idx="34">
                  <c:v>Puebla</c:v>
                </c:pt>
                <c:pt idx="35">
                  <c:v>Izmir</c:v>
                </c:pt>
                <c:pt idx="36">
                  <c:v>Brasilia</c:v>
                </c:pt>
                <c:pt idx="37">
                  <c:v>Sofia</c:v>
                </c:pt>
                <c:pt idx="38">
                  <c:v>Pleven</c:v>
                </c:pt>
                <c:pt idx="39">
                  <c:v>Oradea</c:v>
                </c:pt>
                <c:pt idx="40">
                  <c:v>Bucharest</c:v>
                </c:pt>
                <c:pt idx="41">
                  <c:v>Osaka</c:v>
                </c:pt>
                <c:pt idx="42">
                  <c:v>Sibiu</c:v>
                </c:pt>
                <c:pt idx="43">
                  <c:v>Drobeta Turnu-Severin</c:v>
                </c:pt>
                <c:pt idx="44">
                  <c:v>Alexandria</c:v>
                </c:pt>
                <c:pt idx="45">
                  <c:v>Burgas</c:v>
                </c:pt>
                <c:pt idx="46">
                  <c:v>Cluj Napoca</c:v>
                </c:pt>
                <c:pt idx="47">
                  <c:v>Nagoya</c:v>
                </c:pt>
                <c:pt idx="48">
                  <c:v>Voluntari</c:v>
                </c:pt>
                <c:pt idx="49">
                  <c:v>Timisoara</c:v>
                </c:pt>
                <c:pt idx="50">
                  <c:v>Stara Zagora</c:v>
                </c:pt>
                <c:pt idx="51">
                  <c:v>Razgrad</c:v>
                </c:pt>
                <c:pt idx="52">
                  <c:v>Naples</c:v>
                </c:pt>
                <c:pt idx="53">
                  <c:v>Craiova</c:v>
                </c:pt>
                <c:pt idx="54">
                  <c:v>Kaposvár</c:v>
                </c:pt>
                <c:pt idx="55">
                  <c:v>Bacau</c:v>
                </c:pt>
                <c:pt idx="56">
                  <c:v>Lisbon</c:v>
                </c:pt>
                <c:pt idx="57">
                  <c:v>Botosani</c:v>
                </c:pt>
                <c:pt idx="58">
                  <c:v>Galati</c:v>
                </c:pt>
                <c:pt idx="59">
                  <c:v>Baia Mare</c:v>
                </c:pt>
                <c:pt idx="60">
                  <c:v>Brasov</c:v>
                </c:pt>
                <c:pt idx="61">
                  <c:v>Hiroshima</c:v>
                </c:pt>
                <c:pt idx="62">
                  <c:v>Turda</c:v>
                </c:pt>
                <c:pt idx="63">
                  <c:v>Vaslui</c:v>
                </c:pt>
                <c:pt idx="64">
                  <c:v>Medias</c:v>
                </c:pt>
                <c:pt idx="65">
                  <c:v>Madrid</c:v>
                </c:pt>
                <c:pt idx="66">
                  <c:v>Kampala</c:v>
                </c:pt>
                <c:pt idx="67">
                  <c:v>Jinja</c:v>
                </c:pt>
                <c:pt idx="68">
                  <c:v>Entebbe</c:v>
                </c:pt>
                <c:pt idx="69">
                  <c:v>Mbarara</c:v>
                </c:pt>
                <c:pt idx="70">
                  <c:v>Petrosani</c:v>
                </c:pt>
                <c:pt idx="71">
                  <c:v>Porto</c:v>
                </c:pt>
                <c:pt idx="72">
                  <c:v>Braila</c:v>
                </c:pt>
                <c:pt idx="73">
                  <c:v>Satu Mare</c:v>
                </c:pt>
                <c:pt idx="74">
                  <c:v>Arad</c:v>
                </c:pt>
                <c:pt idx="75">
                  <c:v>Bistrita</c:v>
                </c:pt>
                <c:pt idx="76">
                  <c:v>Targu-Mures</c:v>
                </c:pt>
                <c:pt idx="77">
                  <c:v>Miami</c:v>
                </c:pt>
                <c:pt idx="78">
                  <c:v>Piatra Neamt</c:v>
                </c:pt>
                <c:pt idx="79">
                  <c:v>Yokohama</c:v>
                </c:pt>
                <c:pt idx="80">
                  <c:v>Braga</c:v>
                </c:pt>
                <c:pt idx="81">
                  <c:v>Ankara</c:v>
                </c:pt>
                <c:pt idx="82">
                  <c:v>Prahova</c:v>
                </c:pt>
                <c:pt idx="83">
                  <c:v>Bilbao</c:v>
                </c:pt>
                <c:pt idx="84">
                  <c:v>Rome</c:v>
                </c:pt>
                <c:pt idx="85">
                  <c:v>Suceava</c:v>
                </c:pt>
                <c:pt idx="86">
                  <c:v>Coimbra</c:v>
                </c:pt>
                <c:pt idx="87">
                  <c:v>Chicago</c:v>
                </c:pt>
                <c:pt idx="88">
                  <c:v>Bialystok</c:v>
                </c:pt>
                <c:pt idx="89">
                  <c:v>Buzau</c:v>
                </c:pt>
                <c:pt idx="90">
                  <c:v>Tokyo</c:v>
                </c:pt>
                <c:pt idx="91">
                  <c:v>Ramnicu Valcea</c:v>
                </c:pt>
                <c:pt idx="92">
                  <c:v>Faro</c:v>
                </c:pt>
                <c:pt idx="93">
                  <c:v>Fukuoka</c:v>
                </c:pt>
                <c:pt idx="94">
                  <c:v>Miskolc</c:v>
                </c:pt>
                <c:pt idx="95">
                  <c:v>Targoviste</c:v>
                </c:pt>
                <c:pt idx="96">
                  <c:v>Sapporo</c:v>
                </c:pt>
                <c:pt idx="97">
                  <c:v>Pitesti</c:v>
                </c:pt>
                <c:pt idx="98">
                  <c:v>Debrecen</c:v>
                </c:pt>
                <c:pt idx="99">
                  <c:v>Constanta</c:v>
                </c:pt>
                <c:pt idx="100">
                  <c:v>Tarnow</c:v>
                </c:pt>
                <c:pt idx="101">
                  <c:v>Stockholm</c:v>
                </c:pt>
                <c:pt idx="102">
                  <c:v>Turin</c:v>
                </c:pt>
                <c:pt idx="103">
                  <c:v>Budapest</c:v>
                </c:pt>
                <c:pt idx="104">
                  <c:v>Sintra</c:v>
                </c:pt>
                <c:pt idx="105">
                  <c:v>Valencia</c:v>
                </c:pt>
                <c:pt idx="106">
                  <c:v>Loures</c:v>
                </c:pt>
                <c:pt idx="107">
                  <c:v>Istanbul</c:v>
                </c:pt>
                <c:pt idx="108">
                  <c:v>Sevilla</c:v>
                </c:pt>
                <c:pt idx="109">
                  <c:v>Sendai</c:v>
                </c:pt>
                <c:pt idx="110">
                  <c:v>Bologna</c:v>
                </c:pt>
                <c:pt idx="111">
                  <c:v>Radom</c:v>
                </c:pt>
                <c:pt idx="112">
                  <c:v>Malmö</c:v>
                </c:pt>
                <c:pt idx="113">
                  <c:v>Pécs</c:v>
                </c:pt>
                <c:pt idx="114">
                  <c:v>Nicosia</c:v>
                </c:pt>
                <c:pt idx="115">
                  <c:v>Bydgoszcz</c:v>
                </c:pt>
                <c:pt idx="116">
                  <c:v>Minneapolis</c:v>
                </c:pt>
                <c:pt idx="117">
                  <c:v>Wroclaw</c:v>
                </c:pt>
                <c:pt idx="118">
                  <c:v>Larnaca</c:v>
                </c:pt>
                <c:pt idx="119">
                  <c:v>Eindhoven</c:v>
                </c:pt>
                <c:pt idx="120">
                  <c:v>London</c:v>
                </c:pt>
                <c:pt idx="121">
                  <c:v>Paphos</c:v>
                </c:pt>
                <c:pt idx="122">
                  <c:v>Warsaw</c:v>
                </c:pt>
                <c:pt idx="123">
                  <c:v>Trondheim</c:v>
                </c:pt>
                <c:pt idx="124">
                  <c:v>Durham</c:v>
                </c:pt>
                <c:pt idx="125">
                  <c:v>Macao, China average</c:v>
                </c:pt>
                <c:pt idx="126">
                  <c:v>Denver</c:v>
                </c:pt>
                <c:pt idx="127">
                  <c:v>New York</c:v>
                </c:pt>
                <c:pt idx="128">
                  <c:v>Brno</c:v>
                </c:pt>
                <c:pt idx="129">
                  <c:v>Ostrava</c:v>
                </c:pt>
                <c:pt idx="130">
                  <c:v>Lyon</c:v>
                </c:pt>
                <c:pt idx="131">
                  <c:v>Strassbourg</c:v>
                </c:pt>
                <c:pt idx="132">
                  <c:v>Barcelona</c:v>
                </c:pt>
                <c:pt idx="133">
                  <c:v>Los Angeles</c:v>
                </c:pt>
                <c:pt idx="134">
                  <c:v>Limassol</c:v>
                </c:pt>
                <c:pt idx="135">
                  <c:v>Reims</c:v>
                </c:pt>
                <c:pt idx="136">
                  <c:v>Lausanne</c:v>
                </c:pt>
                <c:pt idx="137">
                  <c:v>Amsterdam</c:v>
                </c:pt>
                <c:pt idx="138">
                  <c:v>Oslo</c:v>
                </c:pt>
                <c:pt idx="139">
                  <c:v>Vancouver</c:v>
                </c:pt>
                <c:pt idx="140">
                  <c:v>Bordeaux</c:v>
                </c:pt>
                <c:pt idx="141">
                  <c:v>Utrecht</c:v>
                </c:pt>
                <c:pt idx="142">
                  <c:v>Birmingham</c:v>
                </c:pt>
                <c:pt idx="143">
                  <c:v>Prague</c:v>
                </c:pt>
                <c:pt idx="144">
                  <c:v>Plzeñ</c:v>
                </c:pt>
                <c:pt idx="145">
                  <c:v>Linköping</c:v>
                </c:pt>
                <c:pt idx="146">
                  <c:v>Nancy</c:v>
                </c:pt>
                <c:pt idx="147">
                  <c:v>Ottawa</c:v>
                </c:pt>
                <c:pt idx="148">
                  <c:v>Rotterdam</c:v>
                </c:pt>
                <c:pt idx="149">
                  <c:v>Göteborg</c:v>
                </c:pt>
                <c:pt idx="150">
                  <c:v>Winnipeg</c:v>
                </c:pt>
                <c:pt idx="151">
                  <c:v>Sydney</c:v>
                </c:pt>
                <c:pt idx="152">
                  <c:v>Paris</c:v>
                </c:pt>
                <c:pt idx="153">
                  <c:v>Marseille</c:v>
                </c:pt>
                <c:pt idx="154">
                  <c:v>Malta average</c:v>
                </c:pt>
                <c:pt idx="155">
                  <c:v>Geneva</c:v>
                </c:pt>
                <c:pt idx="156">
                  <c:v>Espoo</c:v>
                </c:pt>
                <c:pt idx="157">
                  <c:v>Helsinki</c:v>
                </c:pt>
                <c:pt idx="158">
                  <c:v>Vantaa</c:v>
                </c:pt>
                <c:pt idx="159">
                  <c:v>Calgary</c:v>
                </c:pt>
                <c:pt idx="160">
                  <c:v>Bergen</c:v>
                </c:pt>
                <c:pt idx="161">
                  <c:v>Canberra</c:v>
                </c:pt>
                <c:pt idx="162">
                  <c:v>Lille</c:v>
                </c:pt>
                <c:pt idx="163">
                  <c:v>Leeds</c:v>
                </c:pt>
                <c:pt idx="164">
                  <c:v>Usti nad Labem</c:v>
                </c:pt>
                <c:pt idx="165">
                  <c:v>Antwerp</c:v>
                </c:pt>
                <c:pt idx="166">
                  <c:v>Basel</c:v>
                </c:pt>
                <c:pt idx="167">
                  <c:v>Uppsala</c:v>
                </c:pt>
                <c:pt idx="168">
                  <c:v>Den Haag</c:v>
                </c:pt>
                <c:pt idx="169">
                  <c:v>Cardiff</c:v>
                </c:pt>
                <c:pt idx="170">
                  <c:v>Austria average</c:v>
                </c:pt>
                <c:pt idx="171">
                  <c:v>Melbourne</c:v>
                </c:pt>
                <c:pt idx="172">
                  <c:v>SEDIF</c:v>
                </c:pt>
                <c:pt idx="173">
                  <c:v>Tampere</c:v>
                </c:pt>
                <c:pt idx="174">
                  <c:v>Manchester</c:v>
                </c:pt>
                <c:pt idx="175">
                  <c:v>Oulu</c:v>
                </c:pt>
                <c:pt idx="176">
                  <c:v>Berlin</c:v>
                </c:pt>
                <c:pt idx="177">
                  <c:v>Louvain</c:v>
                </c:pt>
                <c:pt idx="178">
                  <c:v>Kortrijk</c:v>
                </c:pt>
                <c:pt idx="179">
                  <c:v>Genk</c:v>
                </c:pt>
                <c:pt idx="180">
                  <c:v>Turku</c:v>
                </c:pt>
                <c:pt idx="181">
                  <c:v>Bern</c:v>
                </c:pt>
                <c:pt idx="182">
                  <c:v>Brussels</c:v>
                </c:pt>
                <c:pt idx="183">
                  <c:v>Perth</c:v>
                </c:pt>
                <c:pt idx="184">
                  <c:v>Zürich</c:v>
                </c:pt>
                <c:pt idx="185">
                  <c:v>Brisbane</c:v>
                </c:pt>
                <c:pt idx="186">
                  <c:v>Brest</c:v>
                </c:pt>
                <c:pt idx="187">
                  <c:v>Saskatoon</c:v>
                </c:pt>
                <c:pt idx="188">
                  <c:v>Le Havre</c:v>
                </c:pt>
                <c:pt idx="189">
                  <c:v>Ghent</c:v>
                </c:pt>
                <c:pt idx="190">
                  <c:v>Charleroi</c:v>
                </c:pt>
                <c:pt idx="191">
                  <c:v>Liège</c:v>
                </c:pt>
                <c:pt idx="192">
                  <c:v>Copenhagen</c:v>
                </c:pt>
                <c:pt idx="193">
                  <c:v>Washington D.C.</c:v>
                </c:pt>
                <c:pt idx="194">
                  <c:v>Esbjerg</c:v>
                </c:pt>
                <c:pt idx="195">
                  <c:v>Aalborg</c:v>
                </c:pt>
                <c:pt idx="196">
                  <c:v>Aarhus</c:v>
                </c:pt>
                <c:pt idx="197">
                  <c:v>Odense</c:v>
                </c:pt>
              </c:strCache>
            </c:strRef>
          </c:cat>
          <c:val>
            <c:numRef>
              <c:f>'2017Total charges cities 200 m³'!$D$500:$D$697</c:f>
              <c:numCache>
                <c:formatCode>_ * #,##0.00_ ;_ * \-#,##0.00_ ;_ * "-"??_ ;_ @_ </c:formatCode>
                <c:ptCount val="198"/>
                <c:pt idx="0">
                  <c:v>0</c:v>
                </c:pt>
                <c:pt idx="1">
                  <c:v>0</c:v>
                </c:pt>
                <c:pt idx="2">
                  <c:v>0</c:v>
                </c:pt>
                <c:pt idx="3">
                  <c:v>0</c:v>
                </c:pt>
                <c:pt idx="4">
                  <c:v>0</c:v>
                </c:pt>
                <c:pt idx="5">
                  <c:v>99.327600505627913</c:v>
                </c:pt>
                <c:pt idx="6">
                  <c:v>0</c:v>
                </c:pt>
                <c:pt idx="7">
                  <c:v>0</c:v>
                </c:pt>
                <c:pt idx="8">
                  <c:v>0</c:v>
                </c:pt>
                <c:pt idx="9">
                  <c:v>107.2378189267215</c:v>
                </c:pt>
                <c:pt idx="10">
                  <c:v>116.66634941442312</c:v>
                </c:pt>
                <c:pt idx="11">
                  <c:v>52.525452762322999</c:v>
                </c:pt>
                <c:pt idx="12">
                  <c:v>0</c:v>
                </c:pt>
                <c:pt idx="13">
                  <c:v>125.86994478114576</c:v>
                </c:pt>
                <c:pt idx="14">
                  <c:v>0</c:v>
                </c:pt>
                <c:pt idx="15">
                  <c:v>128.92531350777671</c:v>
                </c:pt>
                <c:pt idx="16">
                  <c:v>129.20648240900042</c:v>
                </c:pt>
                <c:pt idx="17">
                  <c:v>77.675637461098972</c:v>
                </c:pt>
                <c:pt idx="18">
                  <c:v>144.38960307508054</c:v>
                </c:pt>
                <c:pt idx="19">
                  <c:v>0</c:v>
                </c:pt>
                <c:pt idx="20">
                  <c:v>0</c:v>
                </c:pt>
                <c:pt idx="21">
                  <c:v>0</c:v>
                </c:pt>
                <c:pt idx="22">
                  <c:v>0</c:v>
                </c:pt>
                <c:pt idx="23">
                  <c:v>162.2157114126635</c:v>
                </c:pt>
                <c:pt idx="24">
                  <c:v>0</c:v>
                </c:pt>
                <c:pt idx="25">
                  <c:v>106.71419394245939</c:v>
                </c:pt>
                <c:pt idx="26">
                  <c:v>47.022244630916795</c:v>
                </c:pt>
                <c:pt idx="27">
                  <c:v>0</c:v>
                </c:pt>
                <c:pt idx="28">
                  <c:v>113.95744452081885</c:v>
                </c:pt>
                <c:pt idx="29">
                  <c:v>96.577386970696821</c:v>
                </c:pt>
                <c:pt idx="30">
                  <c:v>0</c:v>
                </c:pt>
                <c:pt idx="31">
                  <c:v>0</c:v>
                </c:pt>
                <c:pt idx="32">
                  <c:v>0</c:v>
                </c:pt>
                <c:pt idx="33">
                  <c:v>0</c:v>
                </c:pt>
                <c:pt idx="34">
                  <c:v>0</c:v>
                </c:pt>
                <c:pt idx="35">
                  <c:v>0</c:v>
                </c:pt>
                <c:pt idx="36">
                  <c:v>0</c:v>
                </c:pt>
                <c:pt idx="37">
                  <c:v>0</c:v>
                </c:pt>
                <c:pt idx="38">
                  <c:v>0</c:v>
                </c:pt>
                <c:pt idx="39">
                  <c:v>164.65817990964382</c:v>
                </c:pt>
                <c:pt idx="40">
                  <c:v>170.31830484403784</c:v>
                </c:pt>
                <c:pt idx="41">
                  <c:v>79.530641398645741</c:v>
                </c:pt>
                <c:pt idx="42">
                  <c:v>158.48349816303218</c:v>
                </c:pt>
                <c:pt idx="43">
                  <c:v>196.56070226713732</c:v>
                </c:pt>
                <c:pt idx="44">
                  <c:v>165.17273672186147</c:v>
                </c:pt>
                <c:pt idx="45">
                  <c:v>0</c:v>
                </c:pt>
                <c:pt idx="46">
                  <c:v>135.32844161323851</c:v>
                </c:pt>
                <c:pt idx="47">
                  <c:v>102.67973880575155</c:v>
                </c:pt>
                <c:pt idx="48">
                  <c:v>189.87146370830803</c:v>
                </c:pt>
                <c:pt idx="49">
                  <c:v>146.64869148202655</c:v>
                </c:pt>
                <c:pt idx="50">
                  <c:v>0</c:v>
                </c:pt>
                <c:pt idx="51">
                  <c:v>0</c:v>
                </c:pt>
                <c:pt idx="52">
                  <c:v>197.45261161330595</c:v>
                </c:pt>
                <c:pt idx="53">
                  <c:v>183.69678196169639</c:v>
                </c:pt>
                <c:pt idx="54">
                  <c:v>168.27145848359524</c:v>
                </c:pt>
                <c:pt idx="55">
                  <c:v>178.55121383952002</c:v>
                </c:pt>
                <c:pt idx="56">
                  <c:v>124.47629680315961</c:v>
                </c:pt>
                <c:pt idx="57">
                  <c:v>183.18222514947877</c:v>
                </c:pt>
                <c:pt idx="58">
                  <c:v>207.36639532370771</c:v>
                </c:pt>
                <c:pt idx="59">
                  <c:v>179.06577065173767</c:v>
                </c:pt>
                <c:pt idx="60">
                  <c:v>191.41513414496094</c:v>
                </c:pt>
                <c:pt idx="61">
                  <c:v>91.602256610940188</c:v>
                </c:pt>
                <c:pt idx="62">
                  <c:v>162.59995266077328</c:v>
                </c:pt>
                <c:pt idx="63">
                  <c:v>209.42462257257824</c:v>
                </c:pt>
                <c:pt idx="64">
                  <c:v>164.1436230974262</c:v>
                </c:pt>
                <c:pt idx="65">
                  <c:v>199.20529165316142</c:v>
                </c:pt>
                <c:pt idx="66">
                  <c:v>176.33031771559337</c:v>
                </c:pt>
                <c:pt idx="67">
                  <c:v>176.33031771559337</c:v>
                </c:pt>
                <c:pt idx="68">
                  <c:v>176.33031771559337</c:v>
                </c:pt>
                <c:pt idx="69">
                  <c:v>176.33031771559337</c:v>
                </c:pt>
                <c:pt idx="70">
                  <c:v>217.1429747558428</c:v>
                </c:pt>
                <c:pt idx="71">
                  <c:v>189.39748622465518</c:v>
                </c:pt>
                <c:pt idx="72">
                  <c:v>206.85183851149006</c:v>
                </c:pt>
                <c:pt idx="73">
                  <c:v>177.00754340286713</c:v>
                </c:pt>
                <c:pt idx="74">
                  <c:v>164.65817990964382</c:v>
                </c:pt>
                <c:pt idx="75">
                  <c:v>190.90057733274332</c:v>
                </c:pt>
                <c:pt idx="76">
                  <c:v>180.09488427617293</c:v>
                </c:pt>
                <c:pt idx="77">
                  <c:v>93.57</c:v>
                </c:pt>
                <c:pt idx="78">
                  <c:v>183.18222514947877</c:v>
                </c:pt>
                <c:pt idx="79">
                  <c:v>121.35523763418355</c:v>
                </c:pt>
                <c:pt idx="80">
                  <c:v>134.9083444376418</c:v>
                </c:pt>
                <c:pt idx="81">
                  <c:v>0</c:v>
                </c:pt>
                <c:pt idx="82">
                  <c:v>212.51196344588408</c:v>
                </c:pt>
                <c:pt idx="83">
                  <c:v>184.43956255026947</c:v>
                </c:pt>
                <c:pt idx="84">
                  <c:v>126.15694889617171</c:v>
                </c:pt>
                <c:pt idx="85">
                  <c:v>210.96829300923116</c:v>
                </c:pt>
                <c:pt idx="86">
                  <c:v>163.26334617831719</c:v>
                </c:pt>
                <c:pt idx="87">
                  <c:v>205.11</c:v>
                </c:pt>
                <c:pt idx="88">
                  <c:v>194.33663935604429</c:v>
                </c:pt>
                <c:pt idx="89">
                  <c:v>238.75436086898355</c:v>
                </c:pt>
                <c:pt idx="90">
                  <c:v>102.60872930450277</c:v>
                </c:pt>
                <c:pt idx="91">
                  <c:v>200.16259995266077</c:v>
                </c:pt>
                <c:pt idx="92">
                  <c:v>133.46778550077431</c:v>
                </c:pt>
                <c:pt idx="93">
                  <c:v>117.16567706050489</c:v>
                </c:pt>
                <c:pt idx="94">
                  <c:v>192.46917234817835</c:v>
                </c:pt>
                <c:pt idx="95">
                  <c:v>196.0461454549197</c:v>
                </c:pt>
                <c:pt idx="96">
                  <c:v>149.11995262246077</c:v>
                </c:pt>
                <c:pt idx="97">
                  <c:v>188.84235008387276</c:v>
                </c:pt>
                <c:pt idx="98">
                  <c:v>189.2088162655302</c:v>
                </c:pt>
                <c:pt idx="99">
                  <c:v>210.45373619701351</c:v>
                </c:pt>
                <c:pt idx="100">
                  <c:v>169.61333908293804</c:v>
                </c:pt>
                <c:pt idx="101">
                  <c:v>89.457605060604465</c:v>
                </c:pt>
                <c:pt idx="102">
                  <c:v>180.92219781275136</c:v>
                </c:pt>
                <c:pt idx="103">
                  <c:v>133.19558972714333</c:v>
                </c:pt>
                <c:pt idx="104">
                  <c:v>180.8621745237152</c:v>
                </c:pt>
                <c:pt idx="105">
                  <c:v>219.25307019123417</c:v>
                </c:pt>
                <c:pt idx="106">
                  <c:v>210.83780506836652</c:v>
                </c:pt>
                <c:pt idx="107">
                  <c:v>0</c:v>
                </c:pt>
                <c:pt idx="108">
                  <c:v>192.36263670304078</c:v>
                </c:pt>
                <c:pt idx="109">
                  <c:v>215.26530303570945</c:v>
                </c:pt>
                <c:pt idx="110">
                  <c:v>265.27892822415095</c:v>
                </c:pt>
                <c:pt idx="111">
                  <c:v>192.03679747017392</c:v>
                </c:pt>
                <c:pt idx="112">
                  <c:v>118.62323520365085</c:v>
                </c:pt>
                <c:pt idx="113">
                  <c:v>262.68271755933142</c:v>
                </c:pt>
                <c:pt idx="114">
                  <c:v>264.10247175904249</c:v>
                </c:pt>
                <c:pt idx="115">
                  <c:v>274.2561448900388</c:v>
                </c:pt>
                <c:pt idx="116">
                  <c:v>249.32</c:v>
                </c:pt>
                <c:pt idx="117">
                  <c:v>257.58229121747883</c:v>
                </c:pt>
                <c:pt idx="118">
                  <c:v>273.70619800482586</c:v>
                </c:pt>
                <c:pt idx="119">
                  <c:v>110.80299156072556</c:v>
                </c:pt>
                <c:pt idx="120">
                  <c:v>346.98345767109959</c:v>
                </c:pt>
                <c:pt idx="121">
                  <c:v>250.41716185880119</c:v>
                </c:pt>
                <c:pt idx="122">
                  <c:v>241.48339801638639</c:v>
                </c:pt>
                <c:pt idx="123">
                  <c:v>213.03226073783748</c:v>
                </c:pt>
                <c:pt idx="124">
                  <c:v>166.31811639723597</c:v>
                </c:pt>
                <c:pt idx="125">
                  <c:v>680.71517096752939</c:v>
                </c:pt>
                <c:pt idx="126">
                  <c:v>120.99</c:v>
                </c:pt>
                <c:pt idx="127">
                  <c:v>269.10000000000002</c:v>
                </c:pt>
                <c:pt idx="128">
                  <c:v>303.07189309007362</c:v>
                </c:pt>
                <c:pt idx="129">
                  <c:v>305.04599661206231</c:v>
                </c:pt>
                <c:pt idx="130">
                  <c:v>247.2959508289216</c:v>
                </c:pt>
                <c:pt idx="131">
                  <c:v>240.0931561445841</c:v>
                </c:pt>
                <c:pt idx="132">
                  <c:v>424.43668143239574</c:v>
                </c:pt>
                <c:pt idx="133">
                  <c:v>408.34</c:v>
                </c:pt>
                <c:pt idx="134">
                  <c:v>264.10247175904249</c:v>
                </c:pt>
                <c:pt idx="135">
                  <c:v>223.28663521446322</c:v>
                </c:pt>
                <c:pt idx="136">
                  <c:v>299.66544200652697</c:v>
                </c:pt>
                <c:pt idx="137">
                  <c:v>283.30992425060924</c:v>
                </c:pt>
                <c:pt idx="138">
                  <c:v>238.13789329618675</c:v>
                </c:pt>
                <c:pt idx="139">
                  <c:v>0</c:v>
                </c:pt>
                <c:pt idx="140">
                  <c:v>259.3006086361508</c:v>
                </c:pt>
                <c:pt idx="141">
                  <c:v>151.25868837108797</c:v>
                </c:pt>
                <c:pt idx="142">
                  <c:v>410.66601794788625</c:v>
                </c:pt>
                <c:pt idx="143">
                  <c:v>379.49790086992158</c:v>
                </c:pt>
                <c:pt idx="144">
                  <c:v>423.58621286100242</c:v>
                </c:pt>
                <c:pt idx="145">
                  <c:v>155.63172387255847</c:v>
                </c:pt>
                <c:pt idx="146">
                  <c:v>343.33321328675527</c:v>
                </c:pt>
                <c:pt idx="147">
                  <c:v>301.62453581851003</c:v>
                </c:pt>
                <c:pt idx="148">
                  <c:v>216.08384053012568</c:v>
                </c:pt>
                <c:pt idx="149">
                  <c:v>176.21922750294414</c:v>
                </c:pt>
                <c:pt idx="150">
                  <c:v>283.60594470375878</c:v>
                </c:pt>
                <c:pt idx="151">
                  <c:v>312.00031200031202</c:v>
                </c:pt>
                <c:pt idx="152">
                  <c:v>244.89501926747576</c:v>
                </c:pt>
                <c:pt idx="153">
                  <c:v>338.53135016386358</c:v>
                </c:pt>
                <c:pt idx="154">
                  <c:v>789.11417630040455</c:v>
                </c:pt>
                <c:pt idx="155">
                  <c:v>221.67032696373229</c:v>
                </c:pt>
                <c:pt idx="156">
                  <c:v>271.30526644338005</c:v>
                </c:pt>
                <c:pt idx="157">
                  <c:v>271.30526644338005</c:v>
                </c:pt>
                <c:pt idx="158">
                  <c:v>271.30526644338005</c:v>
                </c:pt>
                <c:pt idx="159">
                  <c:v>278.24648732893871</c:v>
                </c:pt>
                <c:pt idx="160">
                  <c:v>0</c:v>
                </c:pt>
                <c:pt idx="161">
                  <c:v>407.1604071604072</c:v>
                </c:pt>
                <c:pt idx="162">
                  <c:v>273.70619800482581</c:v>
                </c:pt>
                <c:pt idx="163">
                  <c:v>364.36371499621583</c:v>
                </c:pt>
                <c:pt idx="164">
                  <c:v>408.54542412204091</c:v>
                </c:pt>
                <c:pt idx="165">
                  <c:v>354.86968943950251</c:v>
                </c:pt>
                <c:pt idx="166">
                  <c:v>420.76312062560294</c:v>
                </c:pt>
                <c:pt idx="167">
                  <c:v>302.6853212324562</c:v>
                </c:pt>
                <c:pt idx="168">
                  <c:v>244.89501926747576</c:v>
                </c:pt>
                <c:pt idx="169">
                  <c:v>346.22661909395612</c:v>
                </c:pt>
                <c:pt idx="170">
                  <c:v>356.77843003085195</c:v>
                </c:pt>
                <c:pt idx="171">
                  <c:v>336.16473616473621</c:v>
                </c:pt>
                <c:pt idx="172">
                  <c:v>283.30992425060924</c:v>
                </c:pt>
                <c:pt idx="173">
                  <c:v>276.10712956627168</c:v>
                </c:pt>
                <c:pt idx="174">
                  <c:v>476.26770461671526</c:v>
                </c:pt>
                <c:pt idx="175">
                  <c:v>295.31458205783844</c:v>
                </c:pt>
                <c:pt idx="176">
                  <c:v>406.71780650892543</c:v>
                </c:pt>
                <c:pt idx="177">
                  <c:v>414.25673161186535</c:v>
                </c:pt>
                <c:pt idx="178">
                  <c:v>414.25673161186535</c:v>
                </c:pt>
                <c:pt idx="179">
                  <c:v>414.25673161186535</c:v>
                </c:pt>
                <c:pt idx="180">
                  <c:v>338.84347126685151</c:v>
                </c:pt>
                <c:pt idx="181">
                  <c:v>476.18070236653602</c:v>
                </c:pt>
                <c:pt idx="182">
                  <c:v>548.51682452791681</c:v>
                </c:pt>
                <c:pt idx="183">
                  <c:v>267.22826722826727</c:v>
                </c:pt>
                <c:pt idx="184">
                  <c:v>394.08058126885737</c:v>
                </c:pt>
                <c:pt idx="185">
                  <c:v>548.74614874614872</c:v>
                </c:pt>
                <c:pt idx="186">
                  <c:v>388.95091295422623</c:v>
                </c:pt>
                <c:pt idx="187">
                  <c:v>573.31880819663002</c:v>
                </c:pt>
                <c:pt idx="188">
                  <c:v>362.54066577832197</c:v>
                </c:pt>
                <c:pt idx="189">
                  <c:v>518.03699835536179</c:v>
                </c:pt>
                <c:pt idx="190">
                  <c:v>581.86576391639949</c:v>
                </c:pt>
                <c:pt idx="191">
                  <c:v>623.75001500582232</c:v>
                </c:pt>
                <c:pt idx="192">
                  <c:v>268.67663699639252</c:v>
                </c:pt>
                <c:pt idx="193">
                  <c:v>259.12</c:v>
                </c:pt>
                <c:pt idx="194">
                  <c:v>156.48624861776929</c:v>
                </c:pt>
                <c:pt idx="195">
                  <c:v>164.48142572061369</c:v>
                </c:pt>
                <c:pt idx="196">
                  <c:v>273.06108895601687</c:v>
                </c:pt>
                <c:pt idx="197">
                  <c:v>306.3313420614017</c:v>
                </c:pt>
              </c:numCache>
            </c:numRef>
          </c:val>
          <c:extLst>
            <c:ext xmlns:c16="http://schemas.microsoft.com/office/drawing/2014/chart" uri="{C3380CC4-5D6E-409C-BE32-E72D297353CC}">
              <c16:uniqueId val="{00000001-FDA9-4630-8379-36F30F7F66FF}"/>
            </c:ext>
          </c:extLst>
        </c:ser>
        <c:ser>
          <c:idx val="2"/>
          <c:order val="2"/>
          <c:tx>
            <c:strRef>
              <c:f>'2017Total charges cities 200 m³'!$E$499</c:f>
              <c:strCache>
                <c:ptCount val="1"/>
                <c:pt idx="0">
                  <c:v>other charges drinking water</c:v>
                </c:pt>
              </c:strCache>
            </c:strRef>
          </c:tx>
          <c:spPr>
            <a:solidFill>
              <a:schemeClr val="accent3"/>
            </a:solidFill>
            <a:ln>
              <a:noFill/>
            </a:ln>
            <a:effectLst/>
          </c:spPr>
          <c:invertIfNegative val="0"/>
          <c:cat>
            <c:strRef>
              <c:f>'2017Total charges cities 200 m³'!$A$500:$A$697</c:f>
              <c:strCache>
                <c:ptCount val="198"/>
                <c:pt idx="0">
                  <c:v>Provincia de Salta</c:v>
                </c:pt>
                <c:pt idx="1">
                  <c:v>La Rioja</c:v>
                </c:pt>
                <c:pt idx="2">
                  <c:v>Mar del Plata</c:v>
                </c:pt>
                <c:pt idx="3">
                  <c:v>Yerevan</c:v>
                </c:pt>
                <c:pt idx="4">
                  <c:v>Buenos Aires</c:v>
                </c:pt>
                <c:pt idx="5">
                  <c:v>Daejeon</c:v>
                </c:pt>
                <c:pt idx="6">
                  <c:v>Jujuy</c:v>
                </c:pt>
                <c:pt idx="7">
                  <c:v>Santiago del Estero</c:v>
                </c:pt>
                <c:pt idx="8">
                  <c:v>Provincia Buenos Aires</c:v>
                </c:pt>
                <c:pt idx="9">
                  <c:v>Seoul</c:v>
                </c:pt>
                <c:pt idx="10">
                  <c:v>Gwangju</c:v>
                </c:pt>
                <c:pt idx="11">
                  <c:v>Taipei</c:v>
                </c:pt>
                <c:pt idx="12">
                  <c:v>Guadalajara</c:v>
                </c:pt>
                <c:pt idx="13">
                  <c:v>Incheon</c:v>
                </c:pt>
                <c:pt idx="14">
                  <c:v>Guangzhou</c:v>
                </c:pt>
                <c:pt idx="15">
                  <c:v>Gyeounggi</c:v>
                </c:pt>
                <c:pt idx="16">
                  <c:v>Daegu</c:v>
                </c:pt>
                <c:pt idx="17">
                  <c:v>Kaohsiung</c:v>
                </c:pt>
                <c:pt idx="18">
                  <c:v>Busan</c:v>
                </c:pt>
                <c:pt idx="19">
                  <c:v>Sao Paulo</c:v>
                </c:pt>
                <c:pt idx="20">
                  <c:v>Monterrey</c:v>
                </c:pt>
                <c:pt idx="21">
                  <c:v>Shenzhen</c:v>
                </c:pt>
                <c:pt idx="22">
                  <c:v>Shanghai</c:v>
                </c:pt>
                <c:pt idx="23">
                  <c:v>Ulsan</c:v>
                </c:pt>
                <c:pt idx="24">
                  <c:v>Brazil average</c:v>
                </c:pt>
                <c:pt idx="25">
                  <c:v>Moscow</c:v>
                </c:pt>
                <c:pt idx="26">
                  <c:v>Milan</c:v>
                </c:pt>
                <c:pt idx="27">
                  <c:v>San Luis Potosi</c:v>
                </c:pt>
                <c:pt idx="28">
                  <c:v>Hong Kong</c:v>
                </c:pt>
                <c:pt idx="29">
                  <c:v>Russia average</c:v>
                </c:pt>
                <c:pt idx="30">
                  <c:v>Tianjin</c:v>
                </c:pt>
                <c:pt idx="31">
                  <c:v>Mexico City</c:v>
                </c:pt>
                <c:pt idx="32">
                  <c:v>Beijing</c:v>
                </c:pt>
                <c:pt idx="33">
                  <c:v>León, Guanajuato</c:v>
                </c:pt>
                <c:pt idx="34">
                  <c:v>Puebla</c:v>
                </c:pt>
                <c:pt idx="35">
                  <c:v>Izmir</c:v>
                </c:pt>
                <c:pt idx="36">
                  <c:v>Brasilia</c:v>
                </c:pt>
                <c:pt idx="37">
                  <c:v>Sofia</c:v>
                </c:pt>
                <c:pt idx="38">
                  <c:v>Pleven</c:v>
                </c:pt>
                <c:pt idx="39">
                  <c:v>Oradea</c:v>
                </c:pt>
                <c:pt idx="40">
                  <c:v>Bucharest</c:v>
                </c:pt>
                <c:pt idx="41">
                  <c:v>Osaka</c:v>
                </c:pt>
                <c:pt idx="42">
                  <c:v>Sibiu</c:v>
                </c:pt>
                <c:pt idx="43">
                  <c:v>Drobeta Turnu-Severin</c:v>
                </c:pt>
                <c:pt idx="44">
                  <c:v>Alexandria</c:v>
                </c:pt>
                <c:pt idx="45">
                  <c:v>Burgas</c:v>
                </c:pt>
                <c:pt idx="46">
                  <c:v>Cluj Napoca</c:v>
                </c:pt>
                <c:pt idx="47">
                  <c:v>Nagoya</c:v>
                </c:pt>
                <c:pt idx="48">
                  <c:v>Voluntari</c:v>
                </c:pt>
                <c:pt idx="49">
                  <c:v>Timisoara</c:v>
                </c:pt>
                <c:pt idx="50">
                  <c:v>Stara Zagora</c:v>
                </c:pt>
                <c:pt idx="51">
                  <c:v>Razgrad</c:v>
                </c:pt>
                <c:pt idx="52">
                  <c:v>Naples</c:v>
                </c:pt>
                <c:pt idx="53">
                  <c:v>Craiova</c:v>
                </c:pt>
                <c:pt idx="54">
                  <c:v>Kaposvár</c:v>
                </c:pt>
                <c:pt idx="55">
                  <c:v>Bacau</c:v>
                </c:pt>
                <c:pt idx="56">
                  <c:v>Lisbon</c:v>
                </c:pt>
                <c:pt idx="57">
                  <c:v>Botosani</c:v>
                </c:pt>
                <c:pt idx="58">
                  <c:v>Galati</c:v>
                </c:pt>
                <c:pt idx="59">
                  <c:v>Baia Mare</c:v>
                </c:pt>
                <c:pt idx="60">
                  <c:v>Brasov</c:v>
                </c:pt>
                <c:pt idx="61">
                  <c:v>Hiroshima</c:v>
                </c:pt>
                <c:pt idx="62">
                  <c:v>Turda</c:v>
                </c:pt>
                <c:pt idx="63">
                  <c:v>Vaslui</c:v>
                </c:pt>
                <c:pt idx="64">
                  <c:v>Medias</c:v>
                </c:pt>
                <c:pt idx="65">
                  <c:v>Madrid</c:v>
                </c:pt>
                <c:pt idx="66">
                  <c:v>Kampala</c:v>
                </c:pt>
                <c:pt idx="67">
                  <c:v>Jinja</c:v>
                </c:pt>
                <c:pt idx="68">
                  <c:v>Entebbe</c:v>
                </c:pt>
                <c:pt idx="69">
                  <c:v>Mbarara</c:v>
                </c:pt>
                <c:pt idx="70">
                  <c:v>Petrosani</c:v>
                </c:pt>
                <c:pt idx="71">
                  <c:v>Porto</c:v>
                </c:pt>
                <c:pt idx="72">
                  <c:v>Braila</c:v>
                </c:pt>
                <c:pt idx="73">
                  <c:v>Satu Mare</c:v>
                </c:pt>
                <c:pt idx="74">
                  <c:v>Arad</c:v>
                </c:pt>
                <c:pt idx="75">
                  <c:v>Bistrita</c:v>
                </c:pt>
                <c:pt idx="76">
                  <c:v>Targu-Mures</c:v>
                </c:pt>
                <c:pt idx="77">
                  <c:v>Miami</c:v>
                </c:pt>
                <c:pt idx="78">
                  <c:v>Piatra Neamt</c:v>
                </c:pt>
                <c:pt idx="79">
                  <c:v>Yokohama</c:v>
                </c:pt>
                <c:pt idx="80">
                  <c:v>Braga</c:v>
                </c:pt>
                <c:pt idx="81">
                  <c:v>Ankara</c:v>
                </c:pt>
                <c:pt idx="82">
                  <c:v>Prahova</c:v>
                </c:pt>
                <c:pt idx="83">
                  <c:v>Bilbao</c:v>
                </c:pt>
                <c:pt idx="84">
                  <c:v>Rome</c:v>
                </c:pt>
                <c:pt idx="85">
                  <c:v>Suceava</c:v>
                </c:pt>
                <c:pt idx="86">
                  <c:v>Coimbra</c:v>
                </c:pt>
                <c:pt idx="87">
                  <c:v>Chicago</c:v>
                </c:pt>
                <c:pt idx="88">
                  <c:v>Bialystok</c:v>
                </c:pt>
                <c:pt idx="89">
                  <c:v>Buzau</c:v>
                </c:pt>
                <c:pt idx="90">
                  <c:v>Tokyo</c:v>
                </c:pt>
                <c:pt idx="91">
                  <c:v>Ramnicu Valcea</c:v>
                </c:pt>
                <c:pt idx="92">
                  <c:v>Faro</c:v>
                </c:pt>
                <c:pt idx="93">
                  <c:v>Fukuoka</c:v>
                </c:pt>
                <c:pt idx="94">
                  <c:v>Miskolc</c:v>
                </c:pt>
                <c:pt idx="95">
                  <c:v>Targoviste</c:v>
                </c:pt>
                <c:pt idx="96">
                  <c:v>Sapporo</c:v>
                </c:pt>
                <c:pt idx="97">
                  <c:v>Pitesti</c:v>
                </c:pt>
                <c:pt idx="98">
                  <c:v>Debrecen</c:v>
                </c:pt>
                <c:pt idx="99">
                  <c:v>Constanta</c:v>
                </c:pt>
                <c:pt idx="100">
                  <c:v>Tarnow</c:v>
                </c:pt>
                <c:pt idx="101">
                  <c:v>Stockholm</c:v>
                </c:pt>
                <c:pt idx="102">
                  <c:v>Turin</c:v>
                </c:pt>
                <c:pt idx="103">
                  <c:v>Budapest</c:v>
                </c:pt>
                <c:pt idx="104">
                  <c:v>Sintra</c:v>
                </c:pt>
                <c:pt idx="105">
                  <c:v>Valencia</c:v>
                </c:pt>
                <c:pt idx="106">
                  <c:v>Loures</c:v>
                </c:pt>
                <c:pt idx="107">
                  <c:v>Istanbul</c:v>
                </c:pt>
                <c:pt idx="108">
                  <c:v>Sevilla</c:v>
                </c:pt>
                <c:pt idx="109">
                  <c:v>Sendai</c:v>
                </c:pt>
                <c:pt idx="110">
                  <c:v>Bologna</c:v>
                </c:pt>
                <c:pt idx="111">
                  <c:v>Radom</c:v>
                </c:pt>
                <c:pt idx="112">
                  <c:v>Malmö</c:v>
                </c:pt>
                <c:pt idx="113">
                  <c:v>Pécs</c:v>
                </c:pt>
                <c:pt idx="114">
                  <c:v>Nicosia</c:v>
                </c:pt>
                <c:pt idx="115">
                  <c:v>Bydgoszcz</c:v>
                </c:pt>
                <c:pt idx="116">
                  <c:v>Minneapolis</c:v>
                </c:pt>
                <c:pt idx="117">
                  <c:v>Wroclaw</c:v>
                </c:pt>
                <c:pt idx="118">
                  <c:v>Larnaca</c:v>
                </c:pt>
                <c:pt idx="119">
                  <c:v>Eindhoven</c:v>
                </c:pt>
                <c:pt idx="120">
                  <c:v>London</c:v>
                </c:pt>
                <c:pt idx="121">
                  <c:v>Paphos</c:v>
                </c:pt>
                <c:pt idx="122">
                  <c:v>Warsaw</c:v>
                </c:pt>
                <c:pt idx="123">
                  <c:v>Trondheim</c:v>
                </c:pt>
                <c:pt idx="124">
                  <c:v>Durham</c:v>
                </c:pt>
                <c:pt idx="125">
                  <c:v>Macao, China average</c:v>
                </c:pt>
                <c:pt idx="126">
                  <c:v>Denver</c:v>
                </c:pt>
                <c:pt idx="127">
                  <c:v>New York</c:v>
                </c:pt>
                <c:pt idx="128">
                  <c:v>Brno</c:v>
                </c:pt>
                <c:pt idx="129">
                  <c:v>Ostrava</c:v>
                </c:pt>
                <c:pt idx="130">
                  <c:v>Lyon</c:v>
                </c:pt>
                <c:pt idx="131">
                  <c:v>Strassbourg</c:v>
                </c:pt>
                <c:pt idx="132">
                  <c:v>Barcelona</c:v>
                </c:pt>
                <c:pt idx="133">
                  <c:v>Los Angeles</c:v>
                </c:pt>
                <c:pt idx="134">
                  <c:v>Limassol</c:v>
                </c:pt>
                <c:pt idx="135">
                  <c:v>Reims</c:v>
                </c:pt>
                <c:pt idx="136">
                  <c:v>Lausanne</c:v>
                </c:pt>
                <c:pt idx="137">
                  <c:v>Amsterdam</c:v>
                </c:pt>
                <c:pt idx="138">
                  <c:v>Oslo</c:v>
                </c:pt>
                <c:pt idx="139">
                  <c:v>Vancouver</c:v>
                </c:pt>
                <c:pt idx="140">
                  <c:v>Bordeaux</c:v>
                </c:pt>
                <c:pt idx="141">
                  <c:v>Utrecht</c:v>
                </c:pt>
                <c:pt idx="142">
                  <c:v>Birmingham</c:v>
                </c:pt>
                <c:pt idx="143">
                  <c:v>Prague</c:v>
                </c:pt>
                <c:pt idx="144">
                  <c:v>Plzeñ</c:v>
                </c:pt>
                <c:pt idx="145">
                  <c:v>Linköping</c:v>
                </c:pt>
                <c:pt idx="146">
                  <c:v>Nancy</c:v>
                </c:pt>
                <c:pt idx="147">
                  <c:v>Ottawa</c:v>
                </c:pt>
                <c:pt idx="148">
                  <c:v>Rotterdam</c:v>
                </c:pt>
                <c:pt idx="149">
                  <c:v>Göteborg</c:v>
                </c:pt>
                <c:pt idx="150">
                  <c:v>Winnipeg</c:v>
                </c:pt>
                <c:pt idx="151">
                  <c:v>Sydney</c:v>
                </c:pt>
                <c:pt idx="152">
                  <c:v>Paris</c:v>
                </c:pt>
                <c:pt idx="153">
                  <c:v>Marseille</c:v>
                </c:pt>
                <c:pt idx="154">
                  <c:v>Malta average</c:v>
                </c:pt>
                <c:pt idx="155">
                  <c:v>Geneva</c:v>
                </c:pt>
                <c:pt idx="156">
                  <c:v>Espoo</c:v>
                </c:pt>
                <c:pt idx="157">
                  <c:v>Helsinki</c:v>
                </c:pt>
                <c:pt idx="158">
                  <c:v>Vantaa</c:v>
                </c:pt>
                <c:pt idx="159">
                  <c:v>Calgary</c:v>
                </c:pt>
                <c:pt idx="160">
                  <c:v>Bergen</c:v>
                </c:pt>
                <c:pt idx="161">
                  <c:v>Canberra</c:v>
                </c:pt>
                <c:pt idx="162">
                  <c:v>Lille</c:v>
                </c:pt>
                <c:pt idx="163">
                  <c:v>Leeds</c:v>
                </c:pt>
                <c:pt idx="164">
                  <c:v>Usti nad Labem</c:v>
                </c:pt>
                <c:pt idx="165">
                  <c:v>Antwerp</c:v>
                </c:pt>
                <c:pt idx="166">
                  <c:v>Basel</c:v>
                </c:pt>
                <c:pt idx="167">
                  <c:v>Uppsala</c:v>
                </c:pt>
                <c:pt idx="168">
                  <c:v>Den Haag</c:v>
                </c:pt>
                <c:pt idx="169">
                  <c:v>Cardiff</c:v>
                </c:pt>
                <c:pt idx="170">
                  <c:v>Austria average</c:v>
                </c:pt>
                <c:pt idx="171">
                  <c:v>Melbourne</c:v>
                </c:pt>
                <c:pt idx="172">
                  <c:v>SEDIF</c:v>
                </c:pt>
                <c:pt idx="173">
                  <c:v>Tampere</c:v>
                </c:pt>
                <c:pt idx="174">
                  <c:v>Manchester</c:v>
                </c:pt>
                <c:pt idx="175">
                  <c:v>Oulu</c:v>
                </c:pt>
                <c:pt idx="176">
                  <c:v>Berlin</c:v>
                </c:pt>
                <c:pt idx="177">
                  <c:v>Louvain</c:v>
                </c:pt>
                <c:pt idx="178">
                  <c:v>Kortrijk</c:v>
                </c:pt>
                <c:pt idx="179">
                  <c:v>Genk</c:v>
                </c:pt>
                <c:pt idx="180">
                  <c:v>Turku</c:v>
                </c:pt>
                <c:pt idx="181">
                  <c:v>Bern</c:v>
                </c:pt>
                <c:pt idx="182">
                  <c:v>Brussels</c:v>
                </c:pt>
                <c:pt idx="183">
                  <c:v>Perth</c:v>
                </c:pt>
                <c:pt idx="184">
                  <c:v>Zürich</c:v>
                </c:pt>
                <c:pt idx="185">
                  <c:v>Brisbane</c:v>
                </c:pt>
                <c:pt idx="186">
                  <c:v>Brest</c:v>
                </c:pt>
                <c:pt idx="187">
                  <c:v>Saskatoon</c:v>
                </c:pt>
                <c:pt idx="188">
                  <c:v>Le Havre</c:v>
                </c:pt>
                <c:pt idx="189">
                  <c:v>Ghent</c:v>
                </c:pt>
                <c:pt idx="190">
                  <c:v>Charleroi</c:v>
                </c:pt>
                <c:pt idx="191">
                  <c:v>Liège</c:v>
                </c:pt>
                <c:pt idx="192">
                  <c:v>Copenhagen</c:v>
                </c:pt>
                <c:pt idx="193">
                  <c:v>Washington D.C.</c:v>
                </c:pt>
                <c:pt idx="194">
                  <c:v>Esbjerg</c:v>
                </c:pt>
                <c:pt idx="195">
                  <c:v>Aalborg</c:v>
                </c:pt>
                <c:pt idx="196">
                  <c:v>Aarhus</c:v>
                </c:pt>
                <c:pt idx="197">
                  <c:v>Odense</c:v>
                </c:pt>
              </c:strCache>
            </c:strRef>
          </c:cat>
          <c:val>
            <c:numRef>
              <c:f>'2017Total charges cities 200 m³'!$E$500:$E$697</c:f>
              <c:numCache>
                <c:formatCode>_ * #,##0.00_ ;_ * \-#,##0.00_ ;_ * "-"??_ ;_ @_ </c:formatCode>
                <c:ptCount val="198"/>
                <c:pt idx="0">
                  <c:v>0</c:v>
                </c:pt>
                <c:pt idx="1">
                  <c:v>0</c:v>
                </c:pt>
                <c:pt idx="2">
                  <c:v>0</c:v>
                </c:pt>
                <c:pt idx="3">
                  <c:v>0</c:v>
                </c:pt>
                <c:pt idx="4">
                  <c:v>0</c:v>
                </c:pt>
                <c:pt idx="5">
                  <c:v>0</c:v>
                </c:pt>
                <c:pt idx="6">
                  <c:v>0</c:v>
                </c:pt>
                <c:pt idx="7">
                  <c:v>0</c:v>
                </c:pt>
                <c:pt idx="8">
                  <c:v>0</c:v>
                </c:pt>
                <c:pt idx="9">
                  <c:v>0</c:v>
                </c:pt>
                <c:pt idx="10">
                  <c:v>0</c:v>
                </c:pt>
                <c:pt idx="11">
                  <c:v>3.3713384314713095</c:v>
                </c:pt>
                <c:pt idx="12">
                  <c:v>0</c:v>
                </c:pt>
                <c:pt idx="13">
                  <c:v>0</c:v>
                </c:pt>
                <c:pt idx="14">
                  <c:v>0</c:v>
                </c:pt>
                <c:pt idx="15">
                  <c:v>0</c:v>
                </c:pt>
                <c:pt idx="16">
                  <c:v>0</c:v>
                </c:pt>
                <c:pt idx="17">
                  <c:v>3.3713384314713095</c:v>
                </c:pt>
                <c:pt idx="18">
                  <c:v>0</c:v>
                </c:pt>
                <c:pt idx="19">
                  <c:v>0</c:v>
                </c:pt>
                <c:pt idx="20">
                  <c:v>0</c:v>
                </c:pt>
                <c:pt idx="21">
                  <c:v>0</c:v>
                </c:pt>
                <c:pt idx="22">
                  <c:v>0</c:v>
                </c:pt>
                <c:pt idx="23">
                  <c:v>0</c:v>
                </c:pt>
                <c:pt idx="24">
                  <c:v>0</c:v>
                </c:pt>
                <c:pt idx="25">
                  <c:v>0</c:v>
                </c:pt>
                <c:pt idx="26">
                  <c:v>0.96037262457833639</c:v>
                </c:pt>
                <c:pt idx="27">
                  <c:v>0</c:v>
                </c:pt>
                <c:pt idx="28">
                  <c:v>0</c:v>
                </c:pt>
                <c:pt idx="29">
                  <c:v>4.0095931686252637</c:v>
                </c:pt>
                <c:pt idx="30">
                  <c:v>42.757653312333893</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0.96037262457833639</c:v>
                </c:pt>
                <c:pt idx="53">
                  <c:v>0</c:v>
                </c:pt>
                <c:pt idx="54">
                  <c:v>0</c:v>
                </c:pt>
                <c:pt idx="55">
                  <c:v>0</c:v>
                </c:pt>
                <c:pt idx="56">
                  <c:v>5.4261053288675996</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4.8979003853495158</c:v>
                </c:pt>
                <c:pt idx="72">
                  <c:v>0</c:v>
                </c:pt>
                <c:pt idx="73">
                  <c:v>0</c:v>
                </c:pt>
                <c:pt idx="74">
                  <c:v>0</c:v>
                </c:pt>
                <c:pt idx="75">
                  <c:v>0</c:v>
                </c:pt>
                <c:pt idx="76">
                  <c:v>0</c:v>
                </c:pt>
                <c:pt idx="77">
                  <c:v>0</c:v>
                </c:pt>
                <c:pt idx="78">
                  <c:v>0</c:v>
                </c:pt>
                <c:pt idx="79">
                  <c:v>0</c:v>
                </c:pt>
                <c:pt idx="80">
                  <c:v>4.1055929700723874</c:v>
                </c:pt>
                <c:pt idx="81">
                  <c:v>0</c:v>
                </c:pt>
                <c:pt idx="82">
                  <c:v>0</c:v>
                </c:pt>
                <c:pt idx="83">
                  <c:v>0</c:v>
                </c:pt>
                <c:pt idx="84">
                  <c:v>0.96037262457833639</c:v>
                </c:pt>
                <c:pt idx="85">
                  <c:v>0</c:v>
                </c:pt>
                <c:pt idx="86">
                  <c:v>5.8342636943133934</c:v>
                </c:pt>
                <c:pt idx="87">
                  <c:v>0</c:v>
                </c:pt>
                <c:pt idx="88">
                  <c:v>0</c:v>
                </c:pt>
                <c:pt idx="89">
                  <c:v>0</c:v>
                </c:pt>
                <c:pt idx="90">
                  <c:v>0</c:v>
                </c:pt>
                <c:pt idx="91">
                  <c:v>0</c:v>
                </c:pt>
                <c:pt idx="92">
                  <c:v>6.4344965846748536</c:v>
                </c:pt>
                <c:pt idx="93">
                  <c:v>0</c:v>
                </c:pt>
                <c:pt idx="94">
                  <c:v>0</c:v>
                </c:pt>
                <c:pt idx="95">
                  <c:v>0</c:v>
                </c:pt>
                <c:pt idx="96">
                  <c:v>0</c:v>
                </c:pt>
                <c:pt idx="97">
                  <c:v>0</c:v>
                </c:pt>
                <c:pt idx="98">
                  <c:v>0</c:v>
                </c:pt>
                <c:pt idx="99">
                  <c:v>0</c:v>
                </c:pt>
                <c:pt idx="100">
                  <c:v>0</c:v>
                </c:pt>
                <c:pt idx="101">
                  <c:v>0</c:v>
                </c:pt>
                <c:pt idx="102">
                  <c:v>0.96037262457833639</c:v>
                </c:pt>
                <c:pt idx="103">
                  <c:v>0</c:v>
                </c:pt>
                <c:pt idx="104">
                  <c:v>5.450114644482059</c:v>
                </c:pt>
                <c:pt idx="105">
                  <c:v>0</c:v>
                </c:pt>
                <c:pt idx="106">
                  <c:v>6.0023289036146021</c:v>
                </c:pt>
                <c:pt idx="107">
                  <c:v>14.135504782986796</c:v>
                </c:pt>
                <c:pt idx="108">
                  <c:v>0</c:v>
                </c:pt>
                <c:pt idx="109">
                  <c:v>0</c:v>
                </c:pt>
                <c:pt idx="110">
                  <c:v>0.96037262457833639</c:v>
                </c:pt>
                <c:pt idx="111">
                  <c:v>0</c:v>
                </c:pt>
                <c:pt idx="112">
                  <c:v>0</c:v>
                </c:pt>
                <c:pt idx="113">
                  <c:v>0</c:v>
                </c:pt>
                <c:pt idx="114">
                  <c:v>0</c:v>
                </c:pt>
                <c:pt idx="115">
                  <c:v>0</c:v>
                </c:pt>
                <c:pt idx="116">
                  <c:v>0</c:v>
                </c:pt>
                <c:pt idx="117">
                  <c:v>0</c:v>
                </c:pt>
                <c:pt idx="118">
                  <c:v>0</c:v>
                </c:pt>
                <c:pt idx="119">
                  <c:v>0</c:v>
                </c:pt>
                <c:pt idx="120">
                  <c:v>0</c:v>
                </c:pt>
                <c:pt idx="121">
                  <c:v>0</c:v>
                </c:pt>
                <c:pt idx="122">
                  <c:v>0</c:v>
                </c:pt>
                <c:pt idx="123">
                  <c:v>11.894707464538293</c:v>
                </c:pt>
                <c:pt idx="124">
                  <c:v>0</c:v>
                </c:pt>
                <c:pt idx="125">
                  <c:v>0</c:v>
                </c:pt>
                <c:pt idx="126">
                  <c:v>0</c:v>
                </c:pt>
                <c:pt idx="127">
                  <c:v>0</c:v>
                </c:pt>
                <c:pt idx="128">
                  <c:v>0</c:v>
                </c:pt>
                <c:pt idx="129">
                  <c:v>0</c:v>
                </c:pt>
                <c:pt idx="130">
                  <c:v>84.032604650604426</c:v>
                </c:pt>
                <c:pt idx="131">
                  <c:v>84.032604650604426</c:v>
                </c:pt>
                <c:pt idx="132">
                  <c:v>0</c:v>
                </c:pt>
                <c:pt idx="133">
                  <c:v>0</c:v>
                </c:pt>
                <c:pt idx="134">
                  <c:v>0</c:v>
                </c:pt>
                <c:pt idx="135">
                  <c:v>105.640988703617</c:v>
                </c:pt>
                <c:pt idx="136">
                  <c:v>0</c:v>
                </c:pt>
                <c:pt idx="137">
                  <c:v>0</c:v>
                </c:pt>
                <c:pt idx="138">
                  <c:v>0</c:v>
                </c:pt>
                <c:pt idx="139">
                  <c:v>0</c:v>
                </c:pt>
                <c:pt idx="140">
                  <c:v>93.63633089638779</c:v>
                </c:pt>
                <c:pt idx="141">
                  <c:v>0</c:v>
                </c:pt>
                <c:pt idx="142">
                  <c:v>0</c:v>
                </c:pt>
                <c:pt idx="143">
                  <c:v>0</c:v>
                </c:pt>
                <c:pt idx="144">
                  <c:v>0</c:v>
                </c:pt>
                <c:pt idx="145">
                  <c:v>0</c:v>
                </c:pt>
                <c:pt idx="146">
                  <c:v>98.438194019279479</c:v>
                </c:pt>
                <c:pt idx="147">
                  <c:v>0</c:v>
                </c:pt>
                <c:pt idx="148">
                  <c:v>9.4116517208676953</c:v>
                </c:pt>
                <c:pt idx="149">
                  <c:v>0</c:v>
                </c:pt>
                <c:pt idx="150">
                  <c:v>0</c:v>
                </c:pt>
                <c:pt idx="151">
                  <c:v>0</c:v>
                </c:pt>
                <c:pt idx="152">
                  <c:v>115.24471494940036</c:v>
                </c:pt>
                <c:pt idx="153">
                  <c:v>88.834467773496115</c:v>
                </c:pt>
                <c:pt idx="154">
                  <c:v>0</c:v>
                </c:pt>
                <c:pt idx="155">
                  <c:v>0</c:v>
                </c:pt>
                <c:pt idx="156">
                  <c:v>0</c:v>
                </c:pt>
                <c:pt idx="157">
                  <c:v>0</c:v>
                </c:pt>
                <c:pt idx="158">
                  <c:v>0</c:v>
                </c:pt>
                <c:pt idx="159">
                  <c:v>0</c:v>
                </c:pt>
                <c:pt idx="160">
                  <c:v>0</c:v>
                </c:pt>
                <c:pt idx="161">
                  <c:v>0</c:v>
                </c:pt>
                <c:pt idx="162">
                  <c:v>110.44285182650869</c:v>
                </c:pt>
                <c:pt idx="163">
                  <c:v>0</c:v>
                </c:pt>
                <c:pt idx="164">
                  <c:v>0</c:v>
                </c:pt>
                <c:pt idx="165">
                  <c:v>0</c:v>
                </c:pt>
                <c:pt idx="166">
                  <c:v>0</c:v>
                </c:pt>
                <c:pt idx="167">
                  <c:v>0</c:v>
                </c:pt>
                <c:pt idx="168">
                  <c:v>22.088570365301734</c:v>
                </c:pt>
                <c:pt idx="169">
                  <c:v>0</c:v>
                </c:pt>
                <c:pt idx="170">
                  <c:v>0</c:v>
                </c:pt>
                <c:pt idx="171">
                  <c:v>0</c:v>
                </c:pt>
                <c:pt idx="172">
                  <c:v>120.04657807229205</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91.23539933494196</c:v>
                </c:pt>
                <c:pt idx="187">
                  <c:v>0</c:v>
                </c:pt>
                <c:pt idx="188">
                  <c:v>124.84844119518372</c:v>
                </c:pt>
                <c:pt idx="189">
                  <c:v>0</c:v>
                </c:pt>
                <c:pt idx="190">
                  <c:v>6.2184127441447279</c:v>
                </c:pt>
                <c:pt idx="191">
                  <c:v>6.2184127441447279</c:v>
                </c:pt>
                <c:pt idx="192">
                  <c:v>201.4913584386193</c:v>
                </c:pt>
                <c:pt idx="193">
                  <c:v>47.32</c:v>
                </c:pt>
                <c:pt idx="194">
                  <c:v>201.4913584386193</c:v>
                </c:pt>
                <c:pt idx="195">
                  <c:v>201.4913584386193</c:v>
                </c:pt>
                <c:pt idx="196">
                  <c:v>201.4913584386193</c:v>
                </c:pt>
                <c:pt idx="197">
                  <c:v>201.4913584386193</c:v>
                </c:pt>
              </c:numCache>
            </c:numRef>
          </c:val>
          <c:extLst>
            <c:ext xmlns:c16="http://schemas.microsoft.com/office/drawing/2014/chart" uri="{C3380CC4-5D6E-409C-BE32-E72D297353CC}">
              <c16:uniqueId val="{00000002-FDA9-4630-8379-36F30F7F66FF}"/>
            </c:ext>
          </c:extLst>
        </c:ser>
        <c:ser>
          <c:idx val="3"/>
          <c:order val="3"/>
          <c:tx>
            <c:strRef>
              <c:f>'2017Total charges cities 200 m³'!$F$499</c:f>
              <c:strCache>
                <c:ptCount val="1"/>
                <c:pt idx="0">
                  <c:v>VAT drinking water</c:v>
                </c:pt>
              </c:strCache>
            </c:strRef>
          </c:tx>
          <c:spPr>
            <a:solidFill>
              <a:schemeClr val="accent4"/>
            </a:solidFill>
            <a:ln>
              <a:noFill/>
            </a:ln>
            <a:effectLst/>
          </c:spPr>
          <c:invertIfNegative val="0"/>
          <c:cat>
            <c:strRef>
              <c:f>'2017Total charges cities 200 m³'!$A$500:$A$697</c:f>
              <c:strCache>
                <c:ptCount val="198"/>
                <c:pt idx="0">
                  <c:v>Provincia de Salta</c:v>
                </c:pt>
                <c:pt idx="1">
                  <c:v>La Rioja</c:v>
                </c:pt>
                <c:pt idx="2">
                  <c:v>Mar del Plata</c:v>
                </c:pt>
                <c:pt idx="3">
                  <c:v>Yerevan</c:v>
                </c:pt>
                <c:pt idx="4">
                  <c:v>Buenos Aires</c:v>
                </c:pt>
                <c:pt idx="5">
                  <c:v>Daejeon</c:v>
                </c:pt>
                <c:pt idx="6">
                  <c:v>Jujuy</c:v>
                </c:pt>
                <c:pt idx="7">
                  <c:v>Santiago del Estero</c:v>
                </c:pt>
                <c:pt idx="8">
                  <c:v>Provincia Buenos Aires</c:v>
                </c:pt>
                <c:pt idx="9">
                  <c:v>Seoul</c:v>
                </c:pt>
                <c:pt idx="10">
                  <c:v>Gwangju</c:v>
                </c:pt>
                <c:pt idx="11">
                  <c:v>Taipei</c:v>
                </c:pt>
                <c:pt idx="12">
                  <c:v>Guadalajara</c:v>
                </c:pt>
                <c:pt idx="13">
                  <c:v>Incheon</c:v>
                </c:pt>
                <c:pt idx="14">
                  <c:v>Guangzhou</c:v>
                </c:pt>
                <c:pt idx="15">
                  <c:v>Gyeounggi</c:v>
                </c:pt>
                <c:pt idx="16">
                  <c:v>Daegu</c:v>
                </c:pt>
                <c:pt idx="17">
                  <c:v>Kaohsiung</c:v>
                </c:pt>
                <c:pt idx="18">
                  <c:v>Busan</c:v>
                </c:pt>
                <c:pt idx="19">
                  <c:v>Sao Paulo</c:v>
                </c:pt>
                <c:pt idx="20">
                  <c:v>Monterrey</c:v>
                </c:pt>
                <c:pt idx="21">
                  <c:v>Shenzhen</c:v>
                </c:pt>
                <c:pt idx="22">
                  <c:v>Shanghai</c:v>
                </c:pt>
                <c:pt idx="23">
                  <c:v>Ulsan</c:v>
                </c:pt>
                <c:pt idx="24">
                  <c:v>Brazil average</c:v>
                </c:pt>
                <c:pt idx="25">
                  <c:v>Moscow</c:v>
                </c:pt>
                <c:pt idx="26">
                  <c:v>Milan</c:v>
                </c:pt>
                <c:pt idx="27">
                  <c:v>San Luis Potosi</c:v>
                </c:pt>
                <c:pt idx="28">
                  <c:v>Hong Kong</c:v>
                </c:pt>
                <c:pt idx="29">
                  <c:v>Russia average</c:v>
                </c:pt>
                <c:pt idx="30">
                  <c:v>Tianjin</c:v>
                </c:pt>
                <c:pt idx="31">
                  <c:v>Mexico City</c:v>
                </c:pt>
                <c:pt idx="32">
                  <c:v>Beijing</c:v>
                </c:pt>
                <c:pt idx="33">
                  <c:v>León, Guanajuato</c:v>
                </c:pt>
                <c:pt idx="34">
                  <c:v>Puebla</c:v>
                </c:pt>
                <c:pt idx="35">
                  <c:v>Izmir</c:v>
                </c:pt>
                <c:pt idx="36">
                  <c:v>Brasilia</c:v>
                </c:pt>
                <c:pt idx="37">
                  <c:v>Sofia</c:v>
                </c:pt>
                <c:pt idx="38">
                  <c:v>Pleven</c:v>
                </c:pt>
                <c:pt idx="39">
                  <c:v>Oradea</c:v>
                </c:pt>
                <c:pt idx="40">
                  <c:v>Bucharest</c:v>
                </c:pt>
                <c:pt idx="41">
                  <c:v>Osaka</c:v>
                </c:pt>
                <c:pt idx="42">
                  <c:v>Sibiu</c:v>
                </c:pt>
                <c:pt idx="43">
                  <c:v>Drobeta Turnu-Severin</c:v>
                </c:pt>
                <c:pt idx="44">
                  <c:v>Alexandria</c:v>
                </c:pt>
                <c:pt idx="45">
                  <c:v>Burgas</c:v>
                </c:pt>
                <c:pt idx="46">
                  <c:v>Cluj Napoca</c:v>
                </c:pt>
                <c:pt idx="47">
                  <c:v>Nagoya</c:v>
                </c:pt>
                <c:pt idx="48">
                  <c:v>Voluntari</c:v>
                </c:pt>
                <c:pt idx="49">
                  <c:v>Timisoara</c:v>
                </c:pt>
                <c:pt idx="50">
                  <c:v>Stara Zagora</c:v>
                </c:pt>
                <c:pt idx="51">
                  <c:v>Razgrad</c:v>
                </c:pt>
                <c:pt idx="52">
                  <c:v>Naples</c:v>
                </c:pt>
                <c:pt idx="53">
                  <c:v>Craiova</c:v>
                </c:pt>
                <c:pt idx="54">
                  <c:v>Kaposvár</c:v>
                </c:pt>
                <c:pt idx="55">
                  <c:v>Bacau</c:v>
                </c:pt>
                <c:pt idx="56">
                  <c:v>Lisbon</c:v>
                </c:pt>
                <c:pt idx="57">
                  <c:v>Botosani</c:v>
                </c:pt>
                <c:pt idx="58">
                  <c:v>Galati</c:v>
                </c:pt>
                <c:pt idx="59">
                  <c:v>Baia Mare</c:v>
                </c:pt>
                <c:pt idx="60">
                  <c:v>Brasov</c:v>
                </c:pt>
                <c:pt idx="61">
                  <c:v>Hiroshima</c:v>
                </c:pt>
                <c:pt idx="62">
                  <c:v>Turda</c:v>
                </c:pt>
                <c:pt idx="63">
                  <c:v>Vaslui</c:v>
                </c:pt>
                <c:pt idx="64">
                  <c:v>Medias</c:v>
                </c:pt>
                <c:pt idx="65">
                  <c:v>Madrid</c:v>
                </c:pt>
                <c:pt idx="66">
                  <c:v>Kampala</c:v>
                </c:pt>
                <c:pt idx="67">
                  <c:v>Jinja</c:v>
                </c:pt>
                <c:pt idx="68">
                  <c:v>Entebbe</c:v>
                </c:pt>
                <c:pt idx="69">
                  <c:v>Mbarara</c:v>
                </c:pt>
                <c:pt idx="70">
                  <c:v>Petrosani</c:v>
                </c:pt>
                <c:pt idx="71">
                  <c:v>Porto</c:v>
                </c:pt>
                <c:pt idx="72">
                  <c:v>Braila</c:v>
                </c:pt>
                <c:pt idx="73">
                  <c:v>Satu Mare</c:v>
                </c:pt>
                <c:pt idx="74">
                  <c:v>Arad</c:v>
                </c:pt>
                <c:pt idx="75">
                  <c:v>Bistrita</c:v>
                </c:pt>
                <c:pt idx="76">
                  <c:v>Targu-Mures</c:v>
                </c:pt>
                <c:pt idx="77">
                  <c:v>Miami</c:v>
                </c:pt>
                <c:pt idx="78">
                  <c:v>Piatra Neamt</c:v>
                </c:pt>
                <c:pt idx="79">
                  <c:v>Yokohama</c:v>
                </c:pt>
                <c:pt idx="80">
                  <c:v>Braga</c:v>
                </c:pt>
                <c:pt idx="81">
                  <c:v>Ankara</c:v>
                </c:pt>
                <c:pt idx="82">
                  <c:v>Prahova</c:v>
                </c:pt>
                <c:pt idx="83">
                  <c:v>Bilbao</c:v>
                </c:pt>
                <c:pt idx="84">
                  <c:v>Rome</c:v>
                </c:pt>
                <c:pt idx="85">
                  <c:v>Suceava</c:v>
                </c:pt>
                <c:pt idx="86">
                  <c:v>Coimbra</c:v>
                </c:pt>
                <c:pt idx="87">
                  <c:v>Chicago</c:v>
                </c:pt>
                <c:pt idx="88">
                  <c:v>Bialystok</c:v>
                </c:pt>
                <c:pt idx="89">
                  <c:v>Buzau</c:v>
                </c:pt>
                <c:pt idx="90">
                  <c:v>Tokyo</c:v>
                </c:pt>
                <c:pt idx="91">
                  <c:v>Ramnicu Valcea</c:v>
                </c:pt>
                <c:pt idx="92">
                  <c:v>Faro</c:v>
                </c:pt>
                <c:pt idx="93">
                  <c:v>Fukuoka</c:v>
                </c:pt>
                <c:pt idx="94">
                  <c:v>Miskolc</c:v>
                </c:pt>
                <c:pt idx="95">
                  <c:v>Targoviste</c:v>
                </c:pt>
                <c:pt idx="96">
                  <c:v>Sapporo</c:v>
                </c:pt>
                <c:pt idx="97">
                  <c:v>Pitesti</c:v>
                </c:pt>
                <c:pt idx="98">
                  <c:v>Debrecen</c:v>
                </c:pt>
                <c:pt idx="99">
                  <c:v>Constanta</c:v>
                </c:pt>
                <c:pt idx="100">
                  <c:v>Tarnow</c:v>
                </c:pt>
                <c:pt idx="101">
                  <c:v>Stockholm</c:v>
                </c:pt>
                <c:pt idx="102">
                  <c:v>Turin</c:v>
                </c:pt>
                <c:pt idx="103">
                  <c:v>Budapest</c:v>
                </c:pt>
                <c:pt idx="104">
                  <c:v>Sintra</c:v>
                </c:pt>
                <c:pt idx="105">
                  <c:v>Valencia</c:v>
                </c:pt>
                <c:pt idx="106">
                  <c:v>Loures</c:v>
                </c:pt>
                <c:pt idx="107">
                  <c:v>Istanbul</c:v>
                </c:pt>
                <c:pt idx="108">
                  <c:v>Sevilla</c:v>
                </c:pt>
                <c:pt idx="109">
                  <c:v>Sendai</c:v>
                </c:pt>
                <c:pt idx="110">
                  <c:v>Bologna</c:v>
                </c:pt>
                <c:pt idx="111">
                  <c:v>Radom</c:v>
                </c:pt>
                <c:pt idx="112">
                  <c:v>Malmö</c:v>
                </c:pt>
                <c:pt idx="113">
                  <c:v>Pécs</c:v>
                </c:pt>
                <c:pt idx="114">
                  <c:v>Nicosia</c:v>
                </c:pt>
                <c:pt idx="115">
                  <c:v>Bydgoszcz</c:v>
                </c:pt>
                <c:pt idx="116">
                  <c:v>Minneapolis</c:v>
                </c:pt>
                <c:pt idx="117">
                  <c:v>Wroclaw</c:v>
                </c:pt>
                <c:pt idx="118">
                  <c:v>Larnaca</c:v>
                </c:pt>
                <c:pt idx="119">
                  <c:v>Eindhoven</c:v>
                </c:pt>
                <c:pt idx="120">
                  <c:v>London</c:v>
                </c:pt>
                <c:pt idx="121">
                  <c:v>Paphos</c:v>
                </c:pt>
                <c:pt idx="122">
                  <c:v>Warsaw</c:v>
                </c:pt>
                <c:pt idx="123">
                  <c:v>Trondheim</c:v>
                </c:pt>
                <c:pt idx="124">
                  <c:v>Durham</c:v>
                </c:pt>
                <c:pt idx="125">
                  <c:v>Macao, China average</c:v>
                </c:pt>
                <c:pt idx="126">
                  <c:v>Denver</c:v>
                </c:pt>
                <c:pt idx="127">
                  <c:v>New York</c:v>
                </c:pt>
                <c:pt idx="128">
                  <c:v>Brno</c:v>
                </c:pt>
                <c:pt idx="129">
                  <c:v>Ostrava</c:v>
                </c:pt>
                <c:pt idx="130">
                  <c:v>Lyon</c:v>
                </c:pt>
                <c:pt idx="131">
                  <c:v>Strassbourg</c:v>
                </c:pt>
                <c:pt idx="132">
                  <c:v>Barcelona</c:v>
                </c:pt>
                <c:pt idx="133">
                  <c:v>Los Angeles</c:v>
                </c:pt>
                <c:pt idx="134">
                  <c:v>Limassol</c:v>
                </c:pt>
                <c:pt idx="135">
                  <c:v>Reims</c:v>
                </c:pt>
                <c:pt idx="136">
                  <c:v>Lausanne</c:v>
                </c:pt>
                <c:pt idx="137">
                  <c:v>Amsterdam</c:v>
                </c:pt>
                <c:pt idx="138">
                  <c:v>Oslo</c:v>
                </c:pt>
                <c:pt idx="139">
                  <c:v>Vancouver</c:v>
                </c:pt>
                <c:pt idx="140">
                  <c:v>Bordeaux</c:v>
                </c:pt>
                <c:pt idx="141">
                  <c:v>Utrecht</c:v>
                </c:pt>
                <c:pt idx="142">
                  <c:v>Birmingham</c:v>
                </c:pt>
                <c:pt idx="143">
                  <c:v>Prague</c:v>
                </c:pt>
                <c:pt idx="144">
                  <c:v>Plzeñ</c:v>
                </c:pt>
                <c:pt idx="145">
                  <c:v>Linköping</c:v>
                </c:pt>
                <c:pt idx="146">
                  <c:v>Nancy</c:v>
                </c:pt>
                <c:pt idx="147">
                  <c:v>Ottawa</c:v>
                </c:pt>
                <c:pt idx="148">
                  <c:v>Rotterdam</c:v>
                </c:pt>
                <c:pt idx="149">
                  <c:v>Göteborg</c:v>
                </c:pt>
                <c:pt idx="150">
                  <c:v>Winnipeg</c:v>
                </c:pt>
                <c:pt idx="151">
                  <c:v>Sydney</c:v>
                </c:pt>
                <c:pt idx="152">
                  <c:v>Paris</c:v>
                </c:pt>
                <c:pt idx="153">
                  <c:v>Marseille</c:v>
                </c:pt>
                <c:pt idx="154">
                  <c:v>Malta average</c:v>
                </c:pt>
                <c:pt idx="155">
                  <c:v>Geneva</c:v>
                </c:pt>
                <c:pt idx="156">
                  <c:v>Espoo</c:v>
                </c:pt>
                <c:pt idx="157">
                  <c:v>Helsinki</c:v>
                </c:pt>
                <c:pt idx="158">
                  <c:v>Vantaa</c:v>
                </c:pt>
                <c:pt idx="159">
                  <c:v>Calgary</c:v>
                </c:pt>
                <c:pt idx="160">
                  <c:v>Bergen</c:v>
                </c:pt>
                <c:pt idx="161">
                  <c:v>Canberra</c:v>
                </c:pt>
                <c:pt idx="162">
                  <c:v>Lille</c:v>
                </c:pt>
                <c:pt idx="163">
                  <c:v>Leeds</c:v>
                </c:pt>
                <c:pt idx="164">
                  <c:v>Usti nad Labem</c:v>
                </c:pt>
                <c:pt idx="165">
                  <c:v>Antwerp</c:v>
                </c:pt>
                <c:pt idx="166">
                  <c:v>Basel</c:v>
                </c:pt>
                <c:pt idx="167">
                  <c:v>Uppsala</c:v>
                </c:pt>
                <c:pt idx="168">
                  <c:v>Den Haag</c:v>
                </c:pt>
                <c:pt idx="169">
                  <c:v>Cardiff</c:v>
                </c:pt>
                <c:pt idx="170">
                  <c:v>Austria average</c:v>
                </c:pt>
                <c:pt idx="171">
                  <c:v>Melbourne</c:v>
                </c:pt>
                <c:pt idx="172">
                  <c:v>SEDIF</c:v>
                </c:pt>
                <c:pt idx="173">
                  <c:v>Tampere</c:v>
                </c:pt>
                <c:pt idx="174">
                  <c:v>Manchester</c:v>
                </c:pt>
                <c:pt idx="175">
                  <c:v>Oulu</c:v>
                </c:pt>
                <c:pt idx="176">
                  <c:v>Berlin</c:v>
                </c:pt>
                <c:pt idx="177">
                  <c:v>Louvain</c:v>
                </c:pt>
                <c:pt idx="178">
                  <c:v>Kortrijk</c:v>
                </c:pt>
                <c:pt idx="179">
                  <c:v>Genk</c:v>
                </c:pt>
                <c:pt idx="180">
                  <c:v>Turku</c:v>
                </c:pt>
                <c:pt idx="181">
                  <c:v>Bern</c:v>
                </c:pt>
                <c:pt idx="182">
                  <c:v>Brussels</c:v>
                </c:pt>
                <c:pt idx="183">
                  <c:v>Perth</c:v>
                </c:pt>
                <c:pt idx="184">
                  <c:v>Zürich</c:v>
                </c:pt>
                <c:pt idx="185">
                  <c:v>Brisbane</c:v>
                </c:pt>
                <c:pt idx="186">
                  <c:v>Brest</c:v>
                </c:pt>
                <c:pt idx="187">
                  <c:v>Saskatoon</c:v>
                </c:pt>
                <c:pt idx="188">
                  <c:v>Le Havre</c:v>
                </c:pt>
                <c:pt idx="189">
                  <c:v>Ghent</c:v>
                </c:pt>
                <c:pt idx="190">
                  <c:v>Charleroi</c:v>
                </c:pt>
                <c:pt idx="191">
                  <c:v>Liège</c:v>
                </c:pt>
                <c:pt idx="192">
                  <c:v>Copenhagen</c:v>
                </c:pt>
                <c:pt idx="193">
                  <c:v>Washington D.C.</c:v>
                </c:pt>
                <c:pt idx="194">
                  <c:v>Esbjerg</c:v>
                </c:pt>
                <c:pt idx="195">
                  <c:v>Aalborg</c:v>
                </c:pt>
                <c:pt idx="196">
                  <c:v>Aarhus</c:v>
                </c:pt>
                <c:pt idx="197">
                  <c:v>Odense</c:v>
                </c:pt>
              </c:strCache>
            </c:strRef>
          </c:cat>
          <c:val>
            <c:numRef>
              <c:f>'2017Total charges cities 200 m³'!$F$500:$F$697</c:f>
              <c:numCache>
                <c:formatCode>_ * #,##0.00_ ;_ * \-#,##0.00_ ;_ * "-"??_ ;_ @_ </c:formatCode>
                <c:ptCount val="198"/>
                <c:pt idx="0">
                  <c:v>0</c:v>
                </c:pt>
                <c:pt idx="1">
                  <c:v>0</c:v>
                </c:pt>
                <c:pt idx="2">
                  <c:v>0</c:v>
                </c:pt>
                <c:pt idx="3">
                  <c:v>10.557137838214471</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4.861886411927828</c:v>
                </c:pt>
                <c:pt idx="27">
                  <c:v>0</c:v>
                </c:pt>
                <c:pt idx="28">
                  <c:v>0</c:v>
                </c:pt>
                <c:pt idx="29">
                  <c:v>0</c:v>
                </c:pt>
                <c:pt idx="30">
                  <c:v>0</c:v>
                </c:pt>
                <c:pt idx="31">
                  <c:v>0</c:v>
                </c:pt>
                <c:pt idx="32">
                  <c:v>0</c:v>
                </c:pt>
                <c:pt idx="33">
                  <c:v>0</c:v>
                </c:pt>
                <c:pt idx="34">
                  <c:v>0</c:v>
                </c:pt>
                <c:pt idx="35">
                  <c:v>9.6555722455003021</c:v>
                </c:pt>
                <c:pt idx="36">
                  <c:v>0</c:v>
                </c:pt>
                <c:pt idx="37">
                  <c:v>28.673483165375785</c:v>
                </c:pt>
                <c:pt idx="38">
                  <c:v>36.332838257496718</c:v>
                </c:pt>
                <c:pt idx="39">
                  <c:v>14.819236191867946</c:v>
                </c:pt>
                <c:pt idx="40">
                  <c:v>15.328647435963404</c:v>
                </c:pt>
                <c:pt idx="41">
                  <c:v>13.562814738519052</c:v>
                </c:pt>
                <c:pt idx="42">
                  <c:v>14.263514834672897</c:v>
                </c:pt>
                <c:pt idx="43">
                  <c:v>17.690463204042359</c:v>
                </c:pt>
                <c:pt idx="44">
                  <c:v>14.865546304967532</c:v>
                </c:pt>
                <c:pt idx="45">
                  <c:v>31.59483975499883</c:v>
                </c:pt>
                <c:pt idx="46">
                  <c:v>12.179559745191469</c:v>
                </c:pt>
                <c:pt idx="47">
                  <c:v>13.49180523727026</c:v>
                </c:pt>
                <c:pt idx="48">
                  <c:v>17.088431733747726</c:v>
                </c:pt>
                <c:pt idx="49">
                  <c:v>13.198382233382388</c:v>
                </c:pt>
                <c:pt idx="50">
                  <c:v>44.434079220316931</c:v>
                </c:pt>
                <c:pt idx="51">
                  <c:v>51.553351581583179</c:v>
                </c:pt>
                <c:pt idx="52">
                  <c:v>21.140202398530629</c:v>
                </c:pt>
                <c:pt idx="53">
                  <c:v>16.532710376552679</c:v>
                </c:pt>
                <c:pt idx="54">
                  <c:v>45.433293790570715</c:v>
                </c:pt>
                <c:pt idx="55">
                  <c:v>16.069609245556801</c:v>
                </c:pt>
                <c:pt idx="56">
                  <c:v>11.896615886964142</c:v>
                </c:pt>
                <c:pt idx="57">
                  <c:v>16.486400263453088</c:v>
                </c:pt>
                <c:pt idx="58">
                  <c:v>18.662975579133693</c:v>
                </c:pt>
                <c:pt idx="59">
                  <c:v>16.115919358656392</c:v>
                </c:pt>
                <c:pt idx="60">
                  <c:v>17.227362073046486</c:v>
                </c:pt>
                <c:pt idx="61">
                  <c:v>14.210776437414268</c:v>
                </c:pt>
                <c:pt idx="62">
                  <c:v>14.633995739469595</c:v>
                </c:pt>
                <c:pt idx="63">
                  <c:v>18.848216031532044</c:v>
                </c:pt>
                <c:pt idx="64">
                  <c:v>14.772926078768357</c:v>
                </c:pt>
                <c:pt idx="65">
                  <c:v>19.91572730219325</c:v>
                </c:pt>
                <c:pt idx="66">
                  <c:v>31.739457188806806</c:v>
                </c:pt>
                <c:pt idx="67">
                  <c:v>31.739457188806806</c:v>
                </c:pt>
                <c:pt idx="68">
                  <c:v>31.739457188806806</c:v>
                </c:pt>
                <c:pt idx="69">
                  <c:v>31.739457188806806</c:v>
                </c:pt>
                <c:pt idx="70">
                  <c:v>19.54286772802585</c:v>
                </c:pt>
                <c:pt idx="71">
                  <c:v>14.65768718262686</c:v>
                </c:pt>
                <c:pt idx="72">
                  <c:v>18.616665466034107</c:v>
                </c:pt>
                <c:pt idx="73">
                  <c:v>15.930678906258041</c:v>
                </c:pt>
                <c:pt idx="74">
                  <c:v>14.819236191867946</c:v>
                </c:pt>
                <c:pt idx="75">
                  <c:v>17.181051959946899</c:v>
                </c:pt>
                <c:pt idx="76">
                  <c:v>16.208539584855565</c:v>
                </c:pt>
                <c:pt idx="77">
                  <c:v>0</c:v>
                </c:pt>
                <c:pt idx="78">
                  <c:v>16.486400263453088</c:v>
                </c:pt>
                <c:pt idx="79">
                  <c:v>16.403194788470685</c:v>
                </c:pt>
                <c:pt idx="80">
                  <c:v>12.37680219925331</c:v>
                </c:pt>
                <c:pt idx="81">
                  <c:v>18.636519355943815</c:v>
                </c:pt>
                <c:pt idx="82">
                  <c:v>19.126076710129567</c:v>
                </c:pt>
                <c:pt idx="83">
                  <c:v>18.439154391904058</c:v>
                </c:pt>
                <c:pt idx="84">
                  <c:v>14.909784996578672</c:v>
                </c:pt>
                <c:pt idx="85">
                  <c:v>18.987146370830803</c:v>
                </c:pt>
                <c:pt idx="86">
                  <c:v>13.517244690940084</c:v>
                </c:pt>
                <c:pt idx="87">
                  <c:v>0</c:v>
                </c:pt>
                <c:pt idx="88">
                  <c:v>15.546931148483541</c:v>
                </c:pt>
                <c:pt idx="89">
                  <c:v>21.487892478208519</c:v>
                </c:pt>
                <c:pt idx="90">
                  <c:v>18.15180375672216</c:v>
                </c:pt>
                <c:pt idx="91">
                  <c:v>18.014633995739469</c:v>
                </c:pt>
                <c:pt idx="92">
                  <c:v>10.840205999927971</c:v>
                </c:pt>
                <c:pt idx="93">
                  <c:v>16.607347104560958</c:v>
                </c:pt>
                <c:pt idx="94">
                  <c:v>51.966676534008158</c:v>
                </c:pt>
                <c:pt idx="95">
                  <c:v>17.644153090942773</c:v>
                </c:pt>
                <c:pt idx="96">
                  <c:v>23.095840281169224</c:v>
                </c:pt>
                <c:pt idx="97">
                  <c:v>16.995811507548549</c:v>
                </c:pt>
                <c:pt idx="98">
                  <c:v>52.370319433387195</c:v>
                </c:pt>
                <c:pt idx="99">
                  <c:v>18.940836257731217</c:v>
                </c:pt>
                <c:pt idx="100">
                  <c:v>13.569067126635044</c:v>
                </c:pt>
                <c:pt idx="101">
                  <c:v>73.925068839465268</c:v>
                </c:pt>
                <c:pt idx="102">
                  <c:v>19.231461807181184</c:v>
                </c:pt>
                <c:pt idx="103">
                  <c:v>37.735917569854188</c:v>
                </c:pt>
                <c:pt idx="104">
                  <c:v>14.693701156048547</c:v>
                </c:pt>
                <c:pt idx="105">
                  <c:v>21.92050515600053</c:v>
                </c:pt>
                <c:pt idx="106">
                  <c:v>15.750111043084715</c:v>
                </c:pt>
                <c:pt idx="107">
                  <c:v>18.763011568766963</c:v>
                </c:pt>
                <c:pt idx="108">
                  <c:v>19.231461807181184</c:v>
                </c:pt>
                <c:pt idx="109">
                  <c:v>27.809095926557713</c:v>
                </c:pt>
                <c:pt idx="110">
                  <c:v>29.663509441663365</c:v>
                </c:pt>
                <c:pt idx="111">
                  <c:v>15.362943797613914</c:v>
                </c:pt>
                <c:pt idx="112">
                  <c:v>80.297391391727501</c:v>
                </c:pt>
                <c:pt idx="113">
                  <c:v>70.924333741019481</c:v>
                </c:pt>
                <c:pt idx="114">
                  <c:v>15.726101727470258</c:v>
                </c:pt>
                <c:pt idx="115">
                  <c:v>21.940491591203102</c:v>
                </c:pt>
                <c:pt idx="116">
                  <c:v>0</c:v>
                </c:pt>
                <c:pt idx="117">
                  <c:v>20.606583297398306</c:v>
                </c:pt>
                <c:pt idx="118">
                  <c:v>17.646846976626929</c:v>
                </c:pt>
                <c:pt idx="119">
                  <c:v>11.716546019855704</c:v>
                </c:pt>
                <c:pt idx="120">
                  <c:v>0</c:v>
                </c:pt>
                <c:pt idx="121">
                  <c:v>15.401975966675069</c:v>
                </c:pt>
                <c:pt idx="122">
                  <c:v>19.318671841310913</c:v>
                </c:pt>
                <c:pt idx="123">
                  <c:v>65.884004665260264</c:v>
                </c:pt>
                <c:pt idx="124">
                  <c:v>0</c:v>
                </c:pt>
                <c:pt idx="125">
                  <c:v>0</c:v>
                </c:pt>
                <c:pt idx="126">
                  <c:v>0</c:v>
                </c:pt>
                <c:pt idx="127">
                  <c:v>0</c:v>
                </c:pt>
                <c:pt idx="128">
                  <c:v>45.498385935358449</c:v>
                </c:pt>
                <c:pt idx="129">
                  <c:v>45.780400724213976</c:v>
                </c:pt>
                <c:pt idx="130">
                  <c:v>20.876099926771587</c:v>
                </c:pt>
                <c:pt idx="131">
                  <c:v>19.591601541398063</c:v>
                </c:pt>
                <c:pt idx="132">
                  <c:v>42.44847000636247</c:v>
                </c:pt>
                <c:pt idx="133">
                  <c:v>0</c:v>
                </c:pt>
                <c:pt idx="134">
                  <c:v>17.166660664337762</c:v>
                </c:pt>
                <c:pt idx="135">
                  <c:v>18.799294126120934</c:v>
                </c:pt>
                <c:pt idx="136">
                  <c:v>29.720243837359661</c:v>
                </c:pt>
                <c:pt idx="137">
                  <c:v>20.035773880265545</c:v>
                </c:pt>
                <c:pt idx="138">
                  <c:v>64.226545428398367</c:v>
                </c:pt>
                <c:pt idx="139">
                  <c:v>0</c:v>
                </c:pt>
                <c:pt idx="140">
                  <c:v>22.976915043036698</c:v>
                </c:pt>
                <c:pt idx="141">
                  <c:v>12.316778910217163</c:v>
                </c:pt>
                <c:pt idx="142">
                  <c:v>0</c:v>
                </c:pt>
                <c:pt idx="143">
                  <c:v>56.966987348816566</c:v>
                </c:pt>
                <c:pt idx="144">
                  <c:v>63.547332422112213</c:v>
                </c:pt>
                <c:pt idx="145">
                  <c:v>110.29019801992331</c:v>
                </c:pt>
                <c:pt idx="146">
                  <c:v>27.034489381880167</c:v>
                </c:pt>
                <c:pt idx="147">
                  <c:v>0</c:v>
                </c:pt>
                <c:pt idx="148">
                  <c:v>17.778898212506451</c:v>
                </c:pt>
                <c:pt idx="149">
                  <c:v>118.89896069870066</c:v>
                </c:pt>
                <c:pt idx="150">
                  <c:v>0</c:v>
                </c:pt>
                <c:pt idx="151">
                  <c:v>0</c:v>
                </c:pt>
                <c:pt idx="152">
                  <c:v>21.248244318795692</c:v>
                </c:pt>
                <c:pt idx="153">
                  <c:v>24.741599740699389</c:v>
                </c:pt>
                <c:pt idx="154">
                  <c:v>0</c:v>
                </c:pt>
                <c:pt idx="155">
                  <c:v>26.928839720038585</c:v>
                </c:pt>
                <c:pt idx="156">
                  <c:v>76.493679547664485</c:v>
                </c:pt>
                <c:pt idx="157">
                  <c:v>76.493679547664485</c:v>
                </c:pt>
                <c:pt idx="158">
                  <c:v>76.493679547664485</c:v>
                </c:pt>
                <c:pt idx="159">
                  <c:v>0</c:v>
                </c:pt>
                <c:pt idx="160">
                  <c:v>74.859877664883683</c:v>
                </c:pt>
                <c:pt idx="161">
                  <c:v>0</c:v>
                </c:pt>
                <c:pt idx="162">
                  <c:v>23.553138617783702</c:v>
                </c:pt>
                <c:pt idx="163">
                  <c:v>0</c:v>
                </c:pt>
                <c:pt idx="164">
                  <c:v>61.29121411126799</c:v>
                </c:pt>
                <c:pt idx="165">
                  <c:v>21.296262950024605</c:v>
                </c:pt>
                <c:pt idx="166">
                  <c:v>35.959853040783237</c:v>
                </c:pt>
                <c:pt idx="167">
                  <c:v>75.671330308114051</c:v>
                </c:pt>
                <c:pt idx="168">
                  <c:v>20.419922930096877</c:v>
                </c:pt>
                <c:pt idx="169">
                  <c:v>0</c:v>
                </c:pt>
                <c:pt idx="170">
                  <c:v>40.083552418338314</c:v>
                </c:pt>
                <c:pt idx="171">
                  <c:v>0</c:v>
                </c:pt>
                <c:pt idx="172">
                  <c:v>23.709199169277678</c:v>
                </c:pt>
                <c:pt idx="173">
                  <c:v>89.506728610700947</c:v>
                </c:pt>
                <c:pt idx="174">
                  <c:v>0</c:v>
                </c:pt>
                <c:pt idx="175">
                  <c:v>82.964190105761034</c:v>
                </c:pt>
                <c:pt idx="176">
                  <c:v>30.311760963253743</c:v>
                </c:pt>
                <c:pt idx="177">
                  <c:v>24.849641660964451</c:v>
                </c:pt>
                <c:pt idx="178">
                  <c:v>24.849641660964451</c:v>
                </c:pt>
                <c:pt idx="179">
                  <c:v>24.849641660964451</c:v>
                </c:pt>
                <c:pt idx="180">
                  <c:v>112.45963433812319</c:v>
                </c:pt>
                <c:pt idx="181">
                  <c:v>42.527862728597526</c:v>
                </c:pt>
                <c:pt idx="182">
                  <c:v>34.645442431663483</c:v>
                </c:pt>
                <c:pt idx="183">
                  <c:v>0</c:v>
                </c:pt>
                <c:pt idx="184">
                  <c:v>42.692062970792882</c:v>
                </c:pt>
                <c:pt idx="185">
                  <c:v>0</c:v>
                </c:pt>
                <c:pt idx="186">
                  <c:v>27.226563906795835</c:v>
                </c:pt>
                <c:pt idx="187">
                  <c:v>0</c:v>
                </c:pt>
                <c:pt idx="188">
                  <c:v>28.763160106121177</c:v>
                </c:pt>
                <c:pt idx="189">
                  <c:v>31.080059062916412</c:v>
                </c:pt>
                <c:pt idx="190">
                  <c:v>39.063156504723828</c:v>
                </c:pt>
                <c:pt idx="191">
                  <c:v>41.848237116001009</c:v>
                </c:pt>
                <c:pt idx="192">
                  <c:v>133.01653518683892</c:v>
                </c:pt>
                <c:pt idx="193">
                  <c:v>0</c:v>
                </c:pt>
                <c:pt idx="194">
                  <c:v>116.18797693004542</c:v>
                </c:pt>
                <c:pt idx="195">
                  <c:v>131.79146772753211</c:v>
                </c:pt>
                <c:pt idx="196">
                  <c:v>140.81828058558224</c:v>
                </c:pt>
                <c:pt idx="197">
                  <c:v>146.29884553511269</c:v>
                </c:pt>
              </c:numCache>
            </c:numRef>
          </c:val>
          <c:extLst>
            <c:ext xmlns:c16="http://schemas.microsoft.com/office/drawing/2014/chart" uri="{C3380CC4-5D6E-409C-BE32-E72D297353CC}">
              <c16:uniqueId val="{00000003-FDA9-4630-8379-36F30F7F66FF}"/>
            </c:ext>
          </c:extLst>
        </c:ser>
        <c:ser>
          <c:idx val="5"/>
          <c:order val="5"/>
          <c:tx>
            <c:strRef>
              <c:f>'2017Total charges cities 200 m³'!$H$499</c:f>
              <c:strCache>
                <c:ptCount val="1"/>
                <c:pt idx="0">
                  <c:v>environmental charges</c:v>
                </c:pt>
              </c:strCache>
            </c:strRef>
          </c:tx>
          <c:spPr>
            <a:solidFill>
              <a:schemeClr val="accent6"/>
            </a:solidFill>
            <a:ln>
              <a:noFill/>
            </a:ln>
            <a:effectLst/>
          </c:spPr>
          <c:invertIfNegative val="0"/>
          <c:cat>
            <c:strRef>
              <c:f>'2017Total charges cities 200 m³'!$A$500:$A$697</c:f>
              <c:strCache>
                <c:ptCount val="198"/>
                <c:pt idx="0">
                  <c:v>Provincia de Salta</c:v>
                </c:pt>
                <c:pt idx="1">
                  <c:v>La Rioja</c:v>
                </c:pt>
                <c:pt idx="2">
                  <c:v>Mar del Plata</c:v>
                </c:pt>
                <c:pt idx="3">
                  <c:v>Yerevan</c:v>
                </c:pt>
                <c:pt idx="4">
                  <c:v>Buenos Aires</c:v>
                </c:pt>
                <c:pt idx="5">
                  <c:v>Daejeon</c:v>
                </c:pt>
                <c:pt idx="6">
                  <c:v>Jujuy</c:v>
                </c:pt>
                <c:pt idx="7">
                  <c:v>Santiago del Estero</c:v>
                </c:pt>
                <c:pt idx="8">
                  <c:v>Provincia Buenos Aires</c:v>
                </c:pt>
                <c:pt idx="9">
                  <c:v>Seoul</c:v>
                </c:pt>
                <c:pt idx="10">
                  <c:v>Gwangju</c:v>
                </c:pt>
                <c:pt idx="11">
                  <c:v>Taipei</c:v>
                </c:pt>
                <c:pt idx="12">
                  <c:v>Guadalajara</c:v>
                </c:pt>
                <c:pt idx="13">
                  <c:v>Incheon</c:v>
                </c:pt>
                <c:pt idx="14">
                  <c:v>Guangzhou</c:v>
                </c:pt>
                <c:pt idx="15">
                  <c:v>Gyeounggi</c:v>
                </c:pt>
                <c:pt idx="16">
                  <c:v>Daegu</c:v>
                </c:pt>
                <c:pt idx="17">
                  <c:v>Kaohsiung</c:v>
                </c:pt>
                <c:pt idx="18">
                  <c:v>Busan</c:v>
                </c:pt>
                <c:pt idx="19">
                  <c:v>Sao Paulo</c:v>
                </c:pt>
                <c:pt idx="20">
                  <c:v>Monterrey</c:v>
                </c:pt>
                <c:pt idx="21">
                  <c:v>Shenzhen</c:v>
                </c:pt>
                <c:pt idx="22">
                  <c:v>Shanghai</c:v>
                </c:pt>
                <c:pt idx="23">
                  <c:v>Ulsan</c:v>
                </c:pt>
                <c:pt idx="24">
                  <c:v>Brazil average</c:v>
                </c:pt>
                <c:pt idx="25">
                  <c:v>Moscow</c:v>
                </c:pt>
                <c:pt idx="26">
                  <c:v>Milan</c:v>
                </c:pt>
                <c:pt idx="27">
                  <c:v>San Luis Potosi</c:v>
                </c:pt>
                <c:pt idx="28">
                  <c:v>Hong Kong</c:v>
                </c:pt>
                <c:pt idx="29">
                  <c:v>Russia average</c:v>
                </c:pt>
                <c:pt idx="30">
                  <c:v>Tianjin</c:v>
                </c:pt>
                <c:pt idx="31">
                  <c:v>Mexico City</c:v>
                </c:pt>
                <c:pt idx="32">
                  <c:v>Beijing</c:v>
                </c:pt>
                <c:pt idx="33">
                  <c:v>León, Guanajuato</c:v>
                </c:pt>
                <c:pt idx="34">
                  <c:v>Puebla</c:v>
                </c:pt>
                <c:pt idx="35">
                  <c:v>Izmir</c:v>
                </c:pt>
                <c:pt idx="36">
                  <c:v>Brasilia</c:v>
                </c:pt>
                <c:pt idx="37">
                  <c:v>Sofia</c:v>
                </c:pt>
                <c:pt idx="38">
                  <c:v>Pleven</c:v>
                </c:pt>
                <c:pt idx="39">
                  <c:v>Oradea</c:v>
                </c:pt>
                <c:pt idx="40">
                  <c:v>Bucharest</c:v>
                </c:pt>
                <c:pt idx="41">
                  <c:v>Osaka</c:v>
                </c:pt>
                <c:pt idx="42">
                  <c:v>Sibiu</c:v>
                </c:pt>
                <c:pt idx="43">
                  <c:v>Drobeta Turnu-Severin</c:v>
                </c:pt>
                <c:pt idx="44">
                  <c:v>Alexandria</c:v>
                </c:pt>
                <c:pt idx="45">
                  <c:v>Burgas</c:v>
                </c:pt>
                <c:pt idx="46">
                  <c:v>Cluj Napoca</c:v>
                </c:pt>
                <c:pt idx="47">
                  <c:v>Nagoya</c:v>
                </c:pt>
                <c:pt idx="48">
                  <c:v>Voluntari</c:v>
                </c:pt>
                <c:pt idx="49">
                  <c:v>Timisoara</c:v>
                </c:pt>
                <c:pt idx="50">
                  <c:v>Stara Zagora</c:v>
                </c:pt>
                <c:pt idx="51">
                  <c:v>Razgrad</c:v>
                </c:pt>
                <c:pt idx="52">
                  <c:v>Naples</c:v>
                </c:pt>
                <c:pt idx="53">
                  <c:v>Craiova</c:v>
                </c:pt>
                <c:pt idx="54">
                  <c:v>Kaposvár</c:v>
                </c:pt>
                <c:pt idx="55">
                  <c:v>Bacau</c:v>
                </c:pt>
                <c:pt idx="56">
                  <c:v>Lisbon</c:v>
                </c:pt>
                <c:pt idx="57">
                  <c:v>Botosani</c:v>
                </c:pt>
                <c:pt idx="58">
                  <c:v>Galati</c:v>
                </c:pt>
                <c:pt idx="59">
                  <c:v>Baia Mare</c:v>
                </c:pt>
                <c:pt idx="60">
                  <c:v>Brasov</c:v>
                </c:pt>
                <c:pt idx="61">
                  <c:v>Hiroshima</c:v>
                </c:pt>
                <c:pt idx="62">
                  <c:v>Turda</c:v>
                </c:pt>
                <c:pt idx="63">
                  <c:v>Vaslui</c:v>
                </c:pt>
                <c:pt idx="64">
                  <c:v>Medias</c:v>
                </c:pt>
                <c:pt idx="65">
                  <c:v>Madrid</c:v>
                </c:pt>
                <c:pt idx="66">
                  <c:v>Kampala</c:v>
                </c:pt>
                <c:pt idx="67">
                  <c:v>Jinja</c:v>
                </c:pt>
                <c:pt idx="68">
                  <c:v>Entebbe</c:v>
                </c:pt>
                <c:pt idx="69">
                  <c:v>Mbarara</c:v>
                </c:pt>
                <c:pt idx="70">
                  <c:v>Petrosani</c:v>
                </c:pt>
                <c:pt idx="71">
                  <c:v>Porto</c:v>
                </c:pt>
                <c:pt idx="72">
                  <c:v>Braila</c:v>
                </c:pt>
                <c:pt idx="73">
                  <c:v>Satu Mare</c:v>
                </c:pt>
                <c:pt idx="74">
                  <c:v>Arad</c:v>
                </c:pt>
                <c:pt idx="75">
                  <c:v>Bistrita</c:v>
                </c:pt>
                <c:pt idx="76">
                  <c:v>Targu-Mures</c:v>
                </c:pt>
                <c:pt idx="77">
                  <c:v>Miami</c:v>
                </c:pt>
                <c:pt idx="78">
                  <c:v>Piatra Neamt</c:v>
                </c:pt>
                <c:pt idx="79">
                  <c:v>Yokohama</c:v>
                </c:pt>
                <c:pt idx="80">
                  <c:v>Braga</c:v>
                </c:pt>
                <c:pt idx="81">
                  <c:v>Ankara</c:v>
                </c:pt>
                <c:pt idx="82">
                  <c:v>Prahova</c:v>
                </c:pt>
                <c:pt idx="83">
                  <c:v>Bilbao</c:v>
                </c:pt>
                <c:pt idx="84">
                  <c:v>Rome</c:v>
                </c:pt>
                <c:pt idx="85">
                  <c:v>Suceava</c:v>
                </c:pt>
                <c:pt idx="86">
                  <c:v>Coimbra</c:v>
                </c:pt>
                <c:pt idx="87">
                  <c:v>Chicago</c:v>
                </c:pt>
                <c:pt idx="88">
                  <c:v>Bialystok</c:v>
                </c:pt>
                <c:pt idx="89">
                  <c:v>Buzau</c:v>
                </c:pt>
                <c:pt idx="90">
                  <c:v>Tokyo</c:v>
                </c:pt>
                <c:pt idx="91">
                  <c:v>Ramnicu Valcea</c:v>
                </c:pt>
                <c:pt idx="92">
                  <c:v>Faro</c:v>
                </c:pt>
                <c:pt idx="93">
                  <c:v>Fukuoka</c:v>
                </c:pt>
                <c:pt idx="94">
                  <c:v>Miskolc</c:v>
                </c:pt>
                <c:pt idx="95">
                  <c:v>Targoviste</c:v>
                </c:pt>
                <c:pt idx="96">
                  <c:v>Sapporo</c:v>
                </c:pt>
                <c:pt idx="97">
                  <c:v>Pitesti</c:v>
                </c:pt>
                <c:pt idx="98">
                  <c:v>Debrecen</c:v>
                </c:pt>
                <c:pt idx="99">
                  <c:v>Constanta</c:v>
                </c:pt>
                <c:pt idx="100">
                  <c:v>Tarnow</c:v>
                </c:pt>
                <c:pt idx="101">
                  <c:v>Stockholm</c:v>
                </c:pt>
                <c:pt idx="102">
                  <c:v>Turin</c:v>
                </c:pt>
                <c:pt idx="103">
                  <c:v>Budapest</c:v>
                </c:pt>
                <c:pt idx="104">
                  <c:v>Sintra</c:v>
                </c:pt>
                <c:pt idx="105">
                  <c:v>Valencia</c:v>
                </c:pt>
                <c:pt idx="106">
                  <c:v>Loures</c:v>
                </c:pt>
                <c:pt idx="107">
                  <c:v>Istanbul</c:v>
                </c:pt>
                <c:pt idx="108">
                  <c:v>Sevilla</c:v>
                </c:pt>
                <c:pt idx="109">
                  <c:v>Sendai</c:v>
                </c:pt>
                <c:pt idx="110">
                  <c:v>Bologna</c:v>
                </c:pt>
                <c:pt idx="111">
                  <c:v>Radom</c:v>
                </c:pt>
                <c:pt idx="112">
                  <c:v>Malmö</c:v>
                </c:pt>
                <c:pt idx="113">
                  <c:v>Pécs</c:v>
                </c:pt>
                <c:pt idx="114">
                  <c:v>Nicosia</c:v>
                </c:pt>
                <c:pt idx="115">
                  <c:v>Bydgoszcz</c:v>
                </c:pt>
                <c:pt idx="116">
                  <c:v>Minneapolis</c:v>
                </c:pt>
                <c:pt idx="117">
                  <c:v>Wroclaw</c:v>
                </c:pt>
                <c:pt idx="118">
                  <c:v>Larnaca</c:v>
                </c:pt>
                <c:pt idx="119">
                  <c:v>Eindhoven</c:v>
                </c:pt>
                <c:pt idx="120">
                  <c:v>London</c:v>
                </c:pt>
                <c:pt idx="121">
                  <c:v>Paphos</c:v>
                </c:pt>
                <c:pt idx="122">
                  <c:v>Warsaw</c:v>
                </c:pt>
                <c:pt idx="123">
                  <c:v>Trondheim</c:v>
                </c:pt>
                <c:pt idx="124">
                  <c:v>Durham</c:v>
                </c:pt>
                <c:pt idx="125">
                  <c:v>Macao, China average</c:v>
                </c:pt>
                <c:pt idx="126">
                  <c:v>Denver</c:v>
                </c:pt>
                <c:pt idx="127">
                  <c:v>New York</c:v>
                </c:pt>
                <c:pt idx="128">
                  <c:v>Brno</c:v>
                </c:pt>
                <c:pt idx="129">
                  <c:v>Ostrava</c:v>
                </c:pt>
                <c:pt idx="130">
                  <c:v>Lyon</c:v>
                </c:pt>
                <c:pt idx="131">
                  <c:v>Strassbourg</c:v>
                </c:pt>
                <c:pt idx="132">
                  <c:v>Barcelona</c:v>
                </c:pt>
                <c:pt idx="133">
                  <c:v>Los Angeles</c:v>
                </c:pt>
                <c:pt idx="134">
                  <c:v>Limassol</c:v>
                </c:pt>
                <c:pt idx="135">
                  <c:v>Reims</c:v>
                </c:pt>
                <c:pt idx="136">
                  <c:v>Lausanne</c:v>
                </c:pt>
                <c:pt idx="137">
                  <c:v>Amsterdam</c:v>
                </c:pt>
                <c:pt idx="138">
                  <c:v>Oslo</c:v>
                </c:pt>
                <c:pt idx="139">
                  <c:v>Vancouver</c:v>
                </c:pt>
                <c:pt idx="140">
                  <c:v>Bordeaux</c:v>
                </c:pt>
                <c:pt idx="141">
                  <c:v>Utrecht</c:v>
                </c:pt>
                <c:pt idx="142">
                  <c:v>Birmingham</c:v>
                </c:pt>
                <c:pt idx="143">
                  <c:v>Prague</c:v>
                </c:pt>
                <c:pt idx="144">
                  <c:v>Plzeñ</c:v>
                </c:pt>
                <c:pt idx="145">
                  <c:v>Linköping</c:v>
                </c:pt>
                <c:pt idx="146">
                  <c:v>Nancy</c:v>
                </c:pt>
                <c:pt idx="147">
                  <c:v>Ottawa</c:v>
                </c:pt>
                <c:pt idx="148">
                  <c:v>Rotterdam</c:v>
                </c:pt>
                <c:pt idx="149">
                  <c:v>Göteborg</c:v>
                </c:pt>
                <c:pt idx="150">
                  <c:v>Winnipeg</c:v>
                </c:pt>
                <c:pt idx="151">
                  <c:v>Sydney</c:v>
                </c:pt>
                <c:pt idx="152">
                  <c:v>Paris</c:v>
                </c:pt>
                <c:pt idx="153">
                  <c:v>Marseille</c:v>
                </c:pt>
                <c:pt idx="154">
                  <c:v>Malta average</c:v>
                </c:pt>
                <c:pt idx="155">
                  <c:v>Geneva</c:v>
                </c:pt>
                <c:pt idx="156">
                  <c:v>Espoo</c:v>
                </c:pt>
                <c:pt idx="157">
                  <c:v>Helsinki</c:v>
                </c:pt>
                <c:pt idx="158">
                  <c:v>Vantaa</c:v>
                </c:pt>
                <c:pt idx="159">
                  <c:v>Calgary</c:v>
                </c:pt>
                <c:pt idx="160">
                  <c:v>Bergen</c:v>
                </c:pt>
                <c:pt idx="161">
                  <c:v>Canberra</c:v>
                </c:pt>
                <c:pt idx="162">
                  <c:v>Lille</c:v>
                </c:pt>
                <c:pt idx="163">
                  <c:v>Leeds</c:v>
                </c:pt>
                <c:pt idx="164">
                  <c:v>Usti nad Labem</c:v>
                </c:pt>
                <c:pt idx="165">
                  <c:v>Antwerp</c:v>
                </c:pt>
                <c:pt idx="166">
                  <c:v>Basel</c:v>
                </c:pt>
                <c:pt idx="167">
                  <c:v>Uppsala</c:v>
                </c:pt>
                <c:pt idx="168">
                  <c:v>Den Haag</c:v>
                </c:pt>
                <c:pt idx="169">
                  <c:v>Cardiff</c:v>
                </c:pt>
                <c:pt idx="170">
                  <c:v>Austria average</c:v>
                </c:pt>
                <c:pt idx="171">
                  <c:v>Melbourne</c:v>
                </c:pt>
                <c:pt idx="172">
                  <c:v>SEDIF</c:v>
                </c:pt>
                <c:pt idx="173">
                  <c:v>Tampere</c:v>
                </c:pt>
                <c:pt idx="174">
                  <c:v>Manchester</c:v>
                </c:pt>
                <c:pt idx="175">
                  <c:v>Oulu</c:v>
                </c:pt>
                <c:pt idx="176">
                  <c:v>Berlin</c:v>
                </c:pt>
                <c:pt idx="177">
                  <c:v>Louvain</c:v>
                </c:pt>
                <c:pt idx="178">
                  <c:v>Kortrijk</c:v>
                </c:pt>
                <c:pt idx="179">
                  <c:v>Genk</c:v>
                </c:pt>
                <c:pt idx="180">
                  <c:v>Turku</c:v>
                </c:pt>
                <c:pt idx="181">
                  <c:v>Bern</c:v>
                </c:pt>
                <c:pt idx="182">
                  <c:v>Brussels</c:v>
                </c:pt>
                <c:pt idx="183">
                  <c:v>Perth</c:v>
                </c:pt>
                <c:pt idx="184">
                  <c:v>Zürich</c:v>
                </c:pt>
                <c:pt idx="185">
                  <c:v>Brisbane</c:v>
                </c:pt>
                <c:pt idx="186">
                  <c:v>Brest</c:v>
                </c:pt>
                <c:pt idx="187">
                  <c:v>Saskatoon</c:v>
                </c:pt>
                <c:pt idx="188">
                  <c:v>Le Havre</c:v>
                </c:pt>
                <c:pt idx="189">
                  <c:v>Ghent</c:v>
                </c:pt>
                <c:pt idx="190">
                  <c:v>Charleroi</c:v>
                </c:pt>
                <c:pt idx="191">
                  <c:v>Liège</c:v>
                </c:pt>
                <c:pt idx="192">
                  <c:v>Copenhagen</c:v>
                </c:pt>
                <c:pt idx="193">
                  <c:v>Washington D.C.</c:v>
                </c:pt>
                <c:pt idx="194">
                  <c:v>Esbjerg</c:v>
                </c:pt>
                <c:pt idx="195">
                  <c:v>Aalborg</c:v>
                </c:pt>
                <c:pt idx="196">
                  <c:v>Aarhus</c:v>
                </c:pt>
                <c:pt idx="197">
                  <c:v>Odense</c:v>
                </c:pt>
              </c:strCache>
            </c:strRef>
          </c:cat>
          <c:val>
            <c:numRef>
              <c:f>'2017Total charges cities 200 m³'!$H$500:$H$697</c:f>
              <c:numCache>
                <c:formatCode>_ * #,##0.00_ ;_ * \-#,##0.00_ ;_ * "-"??_ ;_ @_ </c:formatCode>
                <c:ptCount val="198"/>
                <c:pt idx="0">
                  <c:v>0</c:v>
                </c:pt>
                <c:pt idx="1">
                  <c:v>0</c:v>
                </c:pt>
                <c:pt idx="2">
                  <c:v>0</c:v>
                </c:pt>
                <c:pt idx="3">
                  <c:v>9.3151216219539439</c:v>
                </c:pt>
                <c:pt idx="4">
                  <c:v>0</c:v>
                </c:pt>
                <c:pt idx="5">
                  <c:v>0</c:v>
                </c:pt>
                <c:pt idx="6">
                  <c:v>0</c:v>
                </c:pt>
                <c:pt idx="7">
                  <c:v>0</c:v>
                </c:pt>
                <c:pt idx="8">
                  <c:v>0</c:v>
                </c:pt>
                <c:pt idx="9">
                  <c:v>0</c:v>
                </c:pt>
                <c:pt idx="10">
                  <c:v>0</c:v>
                </c:pt>
                <c:pt idx="11">
                  <c:v>33.713384314713096</c:v>
                </c:pt>
                <c:pt idx="12">
                  <c:v>8.1340491296567432</c:v>
                </c:pt>
                <c:pt idx="13">
                  <c:v>0</c:v>
                </c:pt>
                <c:pt idx="14">
                  <c:v>36.913081996259471</c:v>
                </c:pt>
                <c:pt idx="15">
                  <c:v>0</c:v>
                </c:pt>
                <c:pt idx="16">
                  <c:v>0</c:v>
                </c:pt>
                <c:pt idx="17">
                  <c:v>33.713384314713096</c:v>
                </c:pt>
                <c:pt idx="18">
                  <c:v>0</c:v>
                </c:pt>
                <c:pt idx="19">
                  <c:v>0</c:v>
                </c:pt>
                <c:pt idx="20">
                  <c:v>26.435659671384414</c:v>
                </c:pt>
                <c:pt idx="21">
                  <c:v>27.684811497194605</c:v>
                </c:pt>
                <c:pt idx="22">
                  <c:v>52.293532828034259</c:v>
                </c:pt>
                <c:pt idx="23">
                  <c:v>0</c:v>
                </c:pt>
                <c:pt idx="24">
                  <c:v>0</c:v>
                </c:pt>
                <c:pt idx="25">
                  <c:v>76.512063581385974</c:v>
                </c:pt>
                <c:pt idx="26">
                  <c:v>119.18224271017155</c:v>
                </c:pt>
                <c:pt idx="27">
                  <c:v>46.770782495526269</c:v>
                </c:pt>
                <c:pt idx="28">
                  <c:v>74.75305252297953</c:v>
                </c:pt>
                <c:pt idx="29">
                  <c:v>84.392389549160299</c:v>
                </c:pt>
                <c:pt idx="30">
                  <c:v>27.684811497194605</c:v>
                </c:pt>
                <c:pt idx="31">
                  <c:v>0</c:v>
                </c:pt>
                <c:pt idx="32">
                  <c:v>41.834826262427406</c:v>
                </c:pt>
                <c:pt idx="33">
                  <c:v>0</c:v>
                </c:pt>
                <c:pt idx="34">
                  <c:v>34.569708801041159</c:v>
                </c:pt>
                <c:pt idx="35">
                  <c:v>98.558515824702866</c:v>
                </c:pt>
                <c:pt idx="36">
                  <c:v>0</c:v>
                </c:pt>
                <c:pt idx="37">
                  <c:v>77.452773447569015</c:v>
                </c:pt>
                <c:pt idx="38">
                  <c:v>52.780812333525638</c:v>
                </c:pt>
                <c:pt idx="39">
                  <c:v>92.620226199174652</c:v>
                </c:pt>
                <c:pt idx="40">
                  <c:v>89.532885325868833</c:v>
                </c:pt>
                <c:pt idx="41">
                  <c:v>101.89863429201486</c:v>
                </c:pt>
                <c:pt idx="42">
                  <c:v>109.60060100235667</c:v>
                </c:pt>
                <c:pt idx="43">
                  <c:v>78.212635457080822</c:v>
                </c:pt>
                <c:pt idx="44">
                  <c:v>109.60060100235667</c:v>
                </c:pt>
                <c:pt idx="45">
                  <c:v>103.4749413887491</c:v>
                </c:pt>
                <c:pt idx="46">
                  <c:v>143.56135060872072</c:v>
                </c:pt>
                <c:pt idx="47">
                  <c:v>128.66921626280902</c:v>
                </c:pt>
                <c:pt idx="48">
                  <c:v>104.4550328801803</c:v>
                </c:pt>
                <c:pt idx="49">
                  <c:v>146.1341346698089</c:v>
                </c:pt>
                <c:pt idx="50">
                  <c:v>56.463194589353002</c:v>
                </c:pt>
                <c:pt idx="51">
                  <c:v>30.686518798561416</c:v>
                </c:pt>
                <c:pt idx="52">
                  <c:v>102.43574506908681</c:v>
                </c:pt>
                <c:pt idx="53">
                  <c:v>125.55186218110342</c:v>
                </c:pt>
                <c:pt idx="54">
                  <c:v>107.08183721683334</c:v>
                </c:pt>
                <c:pt idx="55">
                  <c:v>132.2411007399327</c:v>
                </c:pt>
                <c:pt idx="56">
                  <c:v>127.9216335938344</c:v>
                </c:pt>
                <c:pt idx="57">
                  <c:v>133.27021436436797</c:v>
                </c:pt>
                <c:pt idx="58">
                  <c:v>114.74616912453304</c:v>
                </c:pt>
                <c:pt idx="59">
                  <c:v>142.0176801720678</c:v>
                </c:pt>
                <c:pt idx="60">
                  <c:v>132.2411007399327</c:v>
                </c:pt>
                <c:pt idx="61">
                  <c:v>161.36909158787719</c:v>
                </c:pt>
                <c:pt idx="62">
                  <c:v>158.99805497524983</c:v>
                </c:pt>
                <c:pt idx="63">
                  <c:v>116.28983956118596</c:v>
                </c:pt>
                <c:pt idx="64">
                  <c:v>157.96894135081456</c:v>
                </c:pt>
                <c:pt idx="65">
                  <c:v>134.64424196588274</c:v>
                </c:pt>
                <c:pt idx="66">
                  <c:v>132.24773828669504</c:v>
                </c:pt>
                <c:pt idx="67">
                  <c:v>132.24773828669504</c:v>
                </c:pt>
                <c:pt idx="68">
                  <c:v>132.24773828669504</c:v>
                </c:pt>
                <c:pt idx="69">
                  <c:v>132.24773828669504</c:v>
                </c:pt>
                <c:pt idx="70">
                  <c:v>112.17338506344485</c:v>
                </c:pt>
                <c:pt idx="71">
                  <c:v>105.73702596607482</c:v>
                </c:pt>
                <c:pt idx="72">
                  <c:v>124.52274855666815</c:v>
                </c:pt>
                <c:pt idx="73">
                  <c:v>153.85248685307346</c:v>
                </c:pt>
                <c:pt idx="74">
                  <c:v>165.17273672186147</c:v>
                </c:pt>
                <c:pt idx="75">
                  <c:v>142.0176801720678</c:v>
                </c:pt>
                <c:pt idx="76">
                  <c:v>152.82337322863819</c:v>
                </c:pt>
                <c:pt idx="77">
                  <c:v>248.71</c:v>
                </c:pt>
                <c:pt idx="78">
                  <c:v>156.42527091416164</c:v>
                </c:pt>
                <c:pt idx="79">
                  <c:v>155.15576022860799</c:v>
                </c:pt>
                <c:pt idx="80">
                  <c:v>171.4505228028475</c:v>
                </c:pt>
                <c:pt idx="81">
                  <c:v>116.47824597464884</c:v>
                </c:pt>
                <c:pt idx="82">
                  <c:v>133.78477117658562</c:v>
                </c:pt>
                <c:pt idx="83">
                  <c:v>176.32441387258254</c:v>
                </c:pt>
                <c:pt idx="84">
                  <c:v>214.12708130754731</c:v>
                </c:pt>
                <c:pt idx="85">
                  <c:v>148.70691873089709</c:v>
                </c:pt>
                <c:pt idx="86">
                  <c:v>160.04609788597975</c:v>
                </c:pt>
                <c:pt idx="87">
                  <c:v>205.11</c:v>
                </c:pt>
                <c:pt idx="88">
                  <c:v>190.88687652723877</c:v>
                </c:pt>
                <c:pt idx="89">
                  <c:v>133.78477117658562</c:v>
                </c:pt>
                <c:pt idx="90">
                  <c:v>161.1915678347552</c:v>
                </c:pt>
                <c:pt idx="91">
                  <c:v>176.49298659064948</c:v>
                </c:pt>
                <c:pt idx="92">
                  <c:v>238.52054597183707</c:v>
                </c:pt>
                <c:pt idx="93">
                  <c:v>191.93868187548165</c:v>
                </c:pt>
                <c:pt idx="94">
                  <c:v>148.03716326924555</c:v>
                </c:pt>
                <c:pt idx="95">
                  <c:v>184.72589558613168</c:v>
                </c:pt>
                <c:pt idx="96">
                  <c:v>113.86373525243611</c:v>
                </c:pt>
                <c:pt idx="97">
                  <c:v>195.0170318304844</c:v>
                </c:pt>
                <c:pt idx="98">
                  <c:v>153.723471508177</c:v>
                </c:pt>
                <c:pt idx="99">
                  <c:v>186.78412283500222</c:v>
                </c:pt>
                <c:pt idx="100">
                  <c:v>259.30717263188154</c:v>
                </c:pt>
                <c:pt idx="101">
                  <c:v>79.654031903277954</c:v>
                </c:pt>
                <c:pt idx="102">
                  <c:v>233.57462695525865</c:v>
                </c:pt>
                <c:pt idx="103">
                  <c:v>231.9565655671708</c:v>
                </c:pt>
                <c:pt idx="104">
                  <c:v>213.47882978595695</c:v>
                </c:pt>
                <c:pt idx="105">
                  <c:v>232.4101751479574</c:v>
                </c:pt>
                <c:pt idx="106">
                  <c:v>218.91693977263179</c:v>
                </c:pt>
                <c:pt idx="107">
                  <c:v>120.69465306875378</c:v>
                </c:pt>
                <c:pt idx="108">
                  <c:v>286.64721912101891</c:v>
                </c:pt>
                <c:pt idx="109">
                  <c:v>147.94829585185573</c:v>
                </c:pt>
                <c:pt idx="110">
                  <c:v>194.53547976614925</c:v>
                </c:pt>
                <c:pt idx="111">
                  <c:v>319.10306166451056</c:v>
                </c:pt>
                <c:pt idx="112">
                  <c:v>125.97591507164574</c:v>
                </c:pt>
                <c:pt idx="113">
                  <c:v>194.69424948515152</c:v>
                </c:pt>
                <c:pt idx="114">
                  <c:v>263.50223886868105</c:v>
                </c:pt>
                <c:pt idx="115">
                  <c:v>280.58071007618224</c:v>
                </c:pt>
                <c:pt idx="116">
                  <c:v>308.33</c:v>
                </c:pt>
                <c:pt idx="117">
                  <c:v>316.8032197786402</c:v>
                </c:pt>
                <c:pt idx="118">
                  <c:v>227.60831202506571</c:v>
                </c:pt>
                <c:pt idx="119">
                  <c:v>347.46281557244208</c:v>
                </c:pt>
                <c:pt idx="120">
                  <c:v>264.71780733052219</c:v>
                </c:pt>
                <c:pt idx="121">
                  <c:v>291.64115676882631</c:v>
                </c:pt>
                <c:pt idx="122">
                  <c:v>369.12462268219059</c:v>
                </c:pt>
                <c:pt idx="123">
                  <c:v>272.9445372702865</c:v>
                </c:pt>
                <c:pt idx="124">
                  <c:v>337.15280814891975</c:v>
                </c:pt>
                <c:pt idx="125">
                  <c:v>0</c:v>
                </c:pt>
                <c:pt idx="126">
                  <c:v>362.52</c:v>
                </c:pt>
                <c:pt idx="127">
                  <c:v>427.87</c:v>
                </c:pt>
                <c:pt idx="128">
                  <c:v>316.04457337742787</c:v>
                </c:pt>
                <c:pt idx="129">
                  <c:v>321.2148445064459</c:v>
                </c:pt>
                <c:pt idx="130">
                  <c:v>235.29129302169241</c:v>
                </c:pt>
                <c:pt idx="131">
                  <c:v>232.89036146024657</c:v>
                </c:pt>
                <c:pt idx="132">
                  <c:v>244.75096337378903</c:v>
                </c:pt>
                <c:pt idx="133">
                  <c:v>332.24</c:v>
                </c:pt>
                <c:pt idx="134">
                  <c:v>342.1927707950685</c:v>
                </c:pt>
                <c:pt idx="135">
                  <c:v>278.5080611277175</c:v>
                </c:pt>
                <c:pt idx="136">
                  <c:v>359.18802980234398</c:v>
                </c:pt>
                <c:pt idx="137">
                  <c:v>343.2731899977191</c:v>
                </c:pt>
                <c:pt idx="138">
                  <c:v>357.32871194699055</c:v>
                </c:pt>
                <c:pt idx="139">
                  <c:v>305.34593945562546</c:v>
                </c:pt>
                <c:pt idx="140">
                  <c:v>264.10247175904254</c:v>
                </c:pt>
                <c:pt idx="141">
                  <c:v>494.88001344521672</c:v>
                </c:pt>
                <c:pt idx="142">
                  <c:v>354.11936425559514</c:v>
                </c:pt>
                <c:pt idx="143">
                  <c:v>318.77071633636467</c:v>
                </c:pt>
                <c:pt idx="144">
                  <c:v>280.51070998163141</c:v>
                </c:pt>
                <c:pt idx="145">
                  <c:v>209.5513762378543</c:v>
                </c:pt>
                <c:pt idx="146">
                  <c:v>218.48477209157153</c:v>
                </c:pt>
                <c:pt idx="147">
                  <c:v>429.39272735947327</c:v>
                </c:pt>
                <c:pt idx="148">
                  <c:v>420.03097201714263</c:v>
                </c:pt>
                <c:pt idx="149">
                  <c:v>181.61119273947372</c:v>
                </c:pt>
                <c:pt idx="150">
                  <c:v>406.33274755683493</c:v>
                </c:pt>
                <c:pt idx="151">
                  <c:v>455.52045552045553</c:v>
                </c:pt>
                <c:pt idx="152">
                  <c:v>324.12576079518851</c:v>
                </c:pt>
                <c:pt idx="153">
                  <c:v>309.7201714265135</c:v>
                </c:pt>
                <c:pt idx="154">
                  <c:v>0</c:v>
                </c:pt>
                <c:pt idx="155">
                  <c:v>491.57447507235077</c:v>
                </c:pt>
                <c:pt idx="156">
                  <c:v>333.72948704097189</c:v>
                </c:pt>
                <c:pt idx="157">
                  <c:v>333.72948704097189</c:v>
                </c:pt>
                <c:pt idx="158">
                  <c:v>333.72948704097189</c:v>
                </c:pt>
                <c:pt idx="159">
                  <c:v>458.01890918343815</c:v>
                </c:pt>
                <c:pt idx="160">
                  <c:v>417.77722529136548</c:v>
                </c:pt>
                <c:pt idx="161">
                  <c:v>412.62041262041265</c:v>
                </c:pt>
                <c:pt idx="162">
                  <c:v>350.53600797109277</c:v>
                </c:pt>
                <c:pt idx="163">
                  <c:v>527.09752405665472</c:v>
                </c:pt>
                <c:pt idx="164">
                  <c:v>395.00871425697562</c:v>
                </c:pt>
                <c:pt idx="165">
                  <c:v>518.67324521914497</c:v>
                </c:pt>
                <c:pt idx="166">
                  <c:v>446.41940846862752</c:v>
                </c:pt>
                <c:pt idx="167">
                  <c:v>454.15052651315091</c:v>
                </c:pt>
                <c:pt idx="168">
                  <c:v>501.19446345181927</c:v>
                </c:pt>
                <c:pt idx="169">
                  <c:v>555.80333008973946</c:v>
                </c:pt>
                <c:pt idx="170">
                  <c:v>463.85997767133642</c:v>
                </c:pt>
                <c:pt idx="171">
                  <c:v>485.28528528528528</c:v>
                </c:pt>
                <c:pt idx="172">
                  <c:v>384.14904983133454</c:v>
                </c:pt>
                <c:pt idx="173">
                  <c:v>398.5546392000096</c:v>
                </c:pt>
                <c:pt idx="174">
                  <c:v>447.87274299924314</c:v>
                </c:pt>
                <c:pt idx="175">
                  <c:v>384.14904983133454</c:v>
                </c:pt>
                <c:pt idx="176">
                  <c:v>530.60587507953085</c:v>
                </c:pt>
                <c:pt idx="177">
                  <c:v>545.92381844155523</c:v>
                </c:pt>
                <c:pt idx="178">
                  <c:v>545.92381844155523</c:v>
                </c:pt>
                <c:pt idx="179">
                  <c:v>545.92381844155523</c:v>
                </c:pt>
                <c:pt idx="180">
                  <c:v>360.95605094776772</c:v>
                </c:pt>
                <c:pt idx="181">
                  <c:v>447.2711972250159</c:v>
                </c:pt>
                <c:pt idx="182">
                  <c:v>397.83435973157583</c:v>
                </c:pt>
                <c:pt idx="183">
                  <c:v>591.24059124059124</c:v>
                </c:pt>
                <c:pt idx="184">
                  <c:v>474.38476221752427</c:v>
                </c:pt>
                <c:pt idx="185">
                  <c:v>407.1604071604072</c:v>
                </c:pt>
                <c:pt idx="186">
                  <c:v>489.79003853495152</c:v>
                </c:pt>
                <c:pt idx="187">
                  <c:v>394.40517179684952</c:v>
                </c:pt>
                <c:pt idx="188">
                  <c:v>482.58724385061396</c:v>
                </c:pt>
                <c:pt idx="189">
                  <c:v>600.52100214883376</c:v>
                </c:pt>
                <c:pt idx="190">
                  <c:v>537.80866976386835</c:v>
                </c:pt>
                <c:pt idx="191">
                  <c:v>537.80866976386835</c:v>
                </c:pt>
                <c:pt idx="192">
                  <c:v>501.12190388378622</c:v>
                </c:pt>
                <c:pt idx="193">
                  <c:v>588.34</c:v>
                </c:pt>
                <c:pt idx="194">
                  <c:v>835.62657364750942</c:v>
                </c:pt>
                <c:pt idx="195">
                  <c:v>766.09432374664311</c:v>
                </c:pt>
                <c:pt idx="196">
                  <c:v>800.09155767327456</c:v>
                </c:pt>
                <c:pt idx="197">
                  <c:v>1090.1230548024257</c:v>
                </c:pt>
              </c:numCache>
            </c:numRef>
          </c:val>
          <c:extLst>
            <c:ext xmlns:c16="http://schemas.microsoft.com/office/drawing/2014/chart" uri="{C3380CC4-5D6E-409C-BE32-E72D297353CC}">
              <c16:uniqueId val="{00000004-FDA9-4630-8379-36F30F7F66FF}"/>
            </c:ext>
          </c:extLst>
        </c:ser>
        <c:ser>
          <c:idx val="6"/>
          <c:order val="6"/>
          <c:tx>
            <c:strRef>
              <c:f>'2017Total charges cities 200 m³'!$I$499</c:f>
              <c:strCache>
                <c:ptCount val="1"/>
                <c:pt idx="0">
                  <c:v>VAT environmental charges</c:v>
                </c:pt>
              </c:strCache>
            </c:strRef>
          </c:tx>
          <c:spPr>
            <a:solidFill>
              <a:schemeClr val="accent1">
                <a:lumMod val="60000"/>
              </a:schemeClr>
            </a:solidFill>
            <a:ln>
              <a:noFill/>
            </a:ln>
            <a:effectLst/>
          </c:spPr>
          <c:invertIfNegative val="0"/>
          <c:cat>
            <c:strRef>
              <c:f>'2017Total charges cities 200 m³'!$A$500:$A$697</c:f>
              <c:strCache>
                <c:ptCount val="198"/>
                <c:pt idx="0">
                  <c:v>Provincia de Salta</c:v>
                </c:pt>
                <c:pt idx="1">
                  <c:v>La Rioja</c:v>
                </c:pt>
                <c:pt idx="2">
                  <c:v>Mar del Plata</c:v>
                </c:pt>
                <c:pt idx="3">
                  <c:v>Yerevan</c:v>
                </c:pt>
                <c:pt idx="4">
                  <c:v>Buenos Aires</c:v>
                </c:pt>
                <c:pt idx="5">
                  <c:v>Daejeon</c:v>
                </c:pt>
                <c:pt idx="6">
                  <c:v>Jujuy</c:v>
                </c:pt>
                <c:pt idx="7">
                  <c:v>Santiago del Estero</c:v>
                </c:pt>
                <c:pt idx="8">
                  <c:v>Provincia Buenos Aires</c:v>
                </c:pt>
                <c:pt idx="9">
                  <c:v>Seoul</c:v>
                </c:pt>
                <c:pt idx="10">
                  <c:v>Gwangju</c:v>
                </c:pt>
                <c:pt idx="11">
                  <c:v>Taipei</c:v>
                </c:pt>
                <c:pt idx="12">
                  <c:v>Guadalajara</c:v>
                </c:pt>
                <c:pt idx="13">
                  <c:v>Incheon</c:v>
                </c:pt>
                <c:pt idx="14">
                  <c:v>Guangzhou</c:v>
                </c:pt>
                <c:pt idx="15">
                  <c:v>Gyeounggi</c:v>
                </c:pt>
                <c:pt idx="16">
                  <c:v>Daegu</c:v>
                </c:pt>
                <c:pt idx="17">
                  <c:v>Kaohsiung</c:v>
                </c:pt>
                <c:pt idx="18">
                  <c:v>Busan</c:v>
                </c:pt>
                <c:pt idx="19">
                  <c:v>Sao Paulo</c:v>
                </c:pt>
                <c:pt idx="20">
                  <c:v>Monterrey</c:v>
                </c:pt>
                <c:pt idx="21">
                  <c:v>Shenzhen</c:v>
                </c:pt>
                <c:pt idx="22">
                  <c:v>Shanghai</c:v>
                </c:pt>
                <c:pt idx="23">
                  <c:v>Ulsan</c:v>
                </c:pt>
                <c:pt idx="24">
                  <c:v>Brazil average</c:v>
                </c:pt>
                <c:pt idx="25">
                  <c:v>Moscow</c:v>
                </c:pt>
                <c:pt idx="26">
                  <c:v>Milan</c:v>
                </c:pt>
                <c:pt idx="27">
                  <c:v>San Luis Potosi</c:v>
                </c:pt>
                <c:pt idx="28">
                  <c:v>Hong Kong</c:v>
                </c:pt>
                <c:pt idx="29">
                  <c:v>Russia average</c:v>
                </c:pt>
                <c:pt idx="30">
                  <c:v>Tianjin</c:v>
                </c:pt>
                <c:pt idx="31">
                  <c:v>Mexico City</c:v>
                </c:pt>
                <c:pt idx="32">
                  <c:v>Beijing</c:v>
                </c:pt>
                <c:pt idx="33">
                  <c:v>León, Guanajuato</c:v>
                </c:pt>
                <c:pt idx="34">
                  <c:v>Puebla</c:v>
                </c:pt>
                <c:pt idx="35">
                  <c:v>Izmir</c:v>
                </c:pt>
                <c:pt idx="36">
                  <c:v>Brasilia</c:v>
                </c:pt>
                <c:pt idx="37">
                  <c:v>Sofia</c:v>
                </c:pt>
                <c:pt idx="38">
                  <c:v>Pleven</c:v>
                </c:pt>
                <c:pt idx="39">
                  <c:v>Oradea</c:v>
                </c:pt>
                <c:pt idx="40">
                  <c:v>Bucharest</c:v>
                </c:pt>
                <c:pt idx="41">
                  <c:v>Osaka</c:v>
                </c:pt>
                <c:pt idx="42">
                  <c:v>Sibiu</c:v>
                </c:pt>
                <c:pt idx="43">
                  <c:v>Drobeta Turnu-Severin</c:v>
                </c:pt>
                <c:pt idx="44">
                  <c:v>Alexandria</c:v>
                </c:pt>
                <c:pt idx="45">
                  <c:v>Burgas</c:v>
                </c:pt>
                <c:pt idx="46">
                  <c:v>Cluj Napoca</c:v>
                </c:pt>
                <c:pt idx="47">
                  <c:v>Nagoya</c:v>
                </c:pt>
                <c:pt idx="48">
                  <c:v>Voluntari</c:v>
                </c:pt>
                <c:pt idx="49">
                  <c:v>Timisoara</c:v>
                </c:pt>
                <c:pt idx="50">
                  <c:v>Stara Zagora</c:v>
                </c:pt>
                <c:pt idx="51">
                  <c:v>Razgrad</c:v>
                </c:pt>
                <c:pt idx="52">
                  <c:v>Naples</c:v>
                </c:pt>
                <c:pt idx="53">
                  <c:v>Craiova</c:v>
                </c:pt>
                <c:pt idx="54">
                  <c:v>Kaposvár</c:v>
                </c:pt>
                <c:pt idx="55">
                  <c:v>Bacau</c:v>
                </c:pt>
                <c:pt idx="56">
                  <c:v>Lisbon</c:v>
                </c:pt>
                <c:pt idx="57">
                  <c:v>Botosani</c:v>
                </c:pt>
                <c:pt idx="58">
                  <c:v>Galati</c:v>
                </c:pt>
                <c:pt idx="59">
                  <c:v>Baia Mare</c:v>
                </c:pt>
                <c:pt idx="60">
                  <c:v>Brasov</c:v>
                </c:pt>
                <c:pt idx="61">
                  <c:v>Hiroshima</c:v>
                </c:pt>
                <c:pt idx="62">
                  <c:v>Turda</c:v>
                </c:pt>
                <c:pt idx="63">
                  <c:v>Vaslui</c:v>
                </c:pt>
                <c:pt idx="64">
                  <c:v>Medias</c:v>
                </c:pt>
                <c:pt idx="65">
                  <c:v>Madrid</c:v>
                </c:pt>
                <c:pt idx="66">
                  <c:v>Kampala</c:v>
                </c:pt>
                <c:pt idx="67">
                  <c:v>Jinja</c:v>
                </c:pt>
                <c:pt idx="68">
                  <c:v>Entebbe</c:v>
                </c:pt>
                <c:pt idx="69">
                  <c:v>Mbarara</c:v>
                </c:pt>
                <c:pt idx="70">
                  <c:v>Petrosani</c:v>
                </c:pt>
                <c:pt idx="71">
                  <c:v>Porto</c:v>
                </c:pt>
                <c:pt idx="72">
                  <c:v>Braila</c:v>
                </c:pt>
                <c:pt idx="73">
                  <c:v>Satu Mare</c:v>
                </c:pt>
                <c:pt idx="74">
                  <c:v>Arad</c:v>
                </c:pt>
                <c:pt idx="75">
                  <c:v>Bistrita</c:v>
                </c:pt>
                <c:pt idx="76">
                  <c:v>Targu-Mures</c:v>
                </c:pt>
                <c:pt idx="77">
                  <c:v>Miami</c:v>
                </c:pt>
                <c:pt idx="78">
                  <c:v>Piatra Neamt</c:v>
                </c:pt>
                <c:pt idx="79">
                  <c:v>Yokohama</c:v>
                </c:pt>
                <c:pt idx="80">
                  <c:v>Braga</c:v>
                </c:pt>
                <c:pt idx="81">
                  <c:v>Ankara</c:v>
                </c:pt>
                <c:pt idx="82">
                  <c:v>Prahova</c:v>
                </c:pt>
                <c:pt idx="83">
                  <c:v>Bilbao</c:v>
                </c:pt>
                <c:pt idx="84">
                  <c:v>Rome</c:v>
                </c:pt>
                <c:pt idx="85">
                  <c:v>Suceava</c:v>
                </c:pt>
                <c:pt idx="86">
                  <c:v>Coimbra</c:v>
                </c:pt>
                <c:pt idx="87">
                  <c:v>Chicago</c:v>
                </c:pt>
                <c:pt idx="88">
                  <c:v>Bialystok</c:v>
                </c:pt>
                <c:pt idx="89">
                  <c:v>Buzau</c:v>
                </c:pt>
                <c:pt idx="90">
                  <c:v>Tokyo</c:v>
                </c:pt>
                <c:pt idx="91">
                  <c:v>Ramnicu Valcea</c:v>
                </c:pt>
                <c:pt idx="92">
                  <c:v>Faro</c:v>
                </c:pt>
                <c:pt idx="93">
                  <c:v>Fukuoka</c:v>
                </c:pt>
                <c:pt idx="94">
                  <c:v>Miskolc</c:v>
                </c:pt>
                <c:pt idx="95">
                  <c:v>Targoviste</c:v>
                </c:pt>
                <c:pt idx="96">
                  <c:v>Sapporo</c:v>
                </c:pt>
                <c:pt idx="97">
                  <c:v>Pitesti</c:v>
                </c:pt>
                <c:pt idx="98">
                  <c:v>Debrecen</c:v>
                </c:pt>
                <c:pt idx="99">
                  <c:v>Constanta</c:v>
                </c:pt>
                <c:pt idx="100">
                  <c:v>Tarnow</c:v>
                </c:pt>
                <c:pt idx="101">
                  <c:v>Stockholm</c:v>
                </c:pt>
                <c:pt idx="102">
                  <c:v>Turin</c:v>
                </c:pt>
                <c:pt idx="103">
                  <c:v>Budapest</c:v>
                </c:pt>
                <c:pt idx="104">
                  <c:v>Sintra</c:v>
                </c:pt>
                <c:pt idx="105">
                  <c:v>Valencia</c:v>
                </c:pt>
                <c:pt idx="106">
                  <c:v>Loures</c:v>
                </c:pt>
                <c:pt idx="107">
                  <c:v>Istanbul</c:v>
                </c:pt>
                <c:pt idx="108">
                  <c:v>Sevilla</c:v>
                </c:pt>
                <c:pt idx="109">
                  <c:v>Sendai</c:v>
                </c:pt>
                <c:pt idx="110">
                  <c:v>Bologna</c:v>
                </c:pt>
                <c:pt idx="111">
                  <c:v>Radom</c:v>
                </c:pt>
                <c:pt idx="112">
                  <c:v>Malmö</c:v>
                </c:pt>
                <c:pt idx="113">
                  <c:v>Pécs</c:v>
                </c:pt>
                <c:pt idx="114">
                  <c:v>Nicosia</c:v>
                </c:pt>
                <c:pt idx="115">
                  <c:v>Bydgoszcz</c:v>
                </c:pt>
                <c:pt idx="116">
                  <c:v>Minneapolis</c:v>
                </c:pt>
                <c:pt idx="117">
                  <c:v>Wroclaw</c:v>
                </c:pt>
                <c:pt idx="118">
                  <c:v>Larnaca</c:v>
                </c:pt>
                <c:pt idx="119">
                  <c:v>Eindhoven</c:v>
                </c:pt>
                <c:pt idx="120">
                  <c:v>London</c:v>
                </c:pt>
                <c:pt idx="121">
                  <c:v>Paphos</c:v>
                </c:pt>
                <c:pt idx="122">
                  <c:v>Warsaw</c:v>
                </c:pt>
                <c:pt idx="123">
                  <c:v>Trondheim</c:v>
                </c:pt>
                <c:pt idx="124">
                  <c:v>Durham</c:v>
                </c:pt>
                <c:pt idx="125">
                  <c:v>Macao, China average</c:v>
                </c:pt>
                <c:pt idx="126">
                  <c:v>Denver</c:v>
                </c:pt>
                <c:pt idx="127">
                  <c:v>New York</c:v>
                </c:pt>
                <c:pt idx="128">
                  <c:v>Brno</c:v>
                </c:pt>
                <c:pt idx="129">
                  <c:v>Ostrava</c:v>
                </c:pt>
                <c:pt idx="130">
                  <c:v>Lyon</c:v>
                </c:pt>
                <c:pt idx="131">
                  <c:v>Strassbourg</c:v>
                </c:pt>
                <c:pt idx="132">
                  <c:v>Barcelona</c:v>
                </c:pt>
                <c:pt idx="133">
                  <c:v>Los Angeles</c:v>
                </c:pt>
                <c:pt idx="134">
                  <c:v>Limassol</c:v>
                </c:pt>
                <c:pt idx="135">
                  <c:v>Reims</c:v>
                </c:pt>
                <c:pt idx="136">
                  <c:v>Lausanne</c:v>
                </c:pt>
                <c:pt idx="137">
                  <c:v>Amsterdam</c:v>
                </c:pt>
                <c:pt idx="138">
                  <c:v>Oslo</c:v>
                </c:pt>
                <c:pt idx="139">
                  <c:v>Vancouver</c:v>
                </c:pt>
                <c:pt idx="140">
                  <c:v>Bordeaux</c:v>
                </c:pt>
                <c:pt idx="141">
                  <c:v>Utrecht</c:v>
                </c:pt>
                <c:pt idx="142">
                  <c:v>Birmingham</c:v>
                </c:pt>
                <c:pt idx="143">
                  <c:v>Prague</c:v>
                </c:pt>
                <c:pt idx="144">
                  <c:v>Plzeñ</c:v>
                </c:pt>
                <c:pt idx="145">
                  <c:v>Linköping</c:v>
                </c:pt>
                <c:pt idx="146">
                  <c:v>Nancy</c:v>
                </c:pt>
                <c:pt idx="147">
                  <c:v>Ottawa</c:v>
                </c:pt>
                <c:pt idx="148">
                  <c:v>Rotterdam</c:v>
                </c:pt>
                <c:pt idx="149">
                  <c:v>Göteborg</c:v>
                </c:pt>
                <c:pt idx="150">
                  <c:v>Winnipeg</c:v>
                </c:pt>
                <c:pt idx="151">
                  <c:v>Sydney</c:v>
                </c:pt>
                <c:pt idx="152">
                  <c:v>Paris</c:v>
                </c:pt>
                <c:pt idx="153">
                  <c:v>Marseille</c:v>
                </c:pt>
                <c:pt idx="154">
                  <c:v>Malta average</c:v>
                </c:pt>
                <c:pt idx="155">
                  <c:v>Geneva</c:v>
                </c:pt>
                <c:pt idx="156">
                  <c:v>Espoo</c:v>
                </c:pt>
                <c:pt idx="157">
                  <c:v>Helsinki</c:v>
                </c:pt>
                <c:pt idx="158">
                  <c:v>Vantaa</c:v>
                </c:pt>
                <c:pt idx="159">
                  <c:v>Calgary</c:v>
                </c:pt>
                <c:pt idx="160">
                  <c:v>Bergen</c:v>
                </c:pt>
                <c:pt idx="161">
                  <c:v>Canberra</c:v>
                </c:pt>
                <c:pt idx="162">
                  <c:v>Lille</c:v>
                </c:pt>
                <c:pt idx="163">
                  <c:v>Leeds</c:v>
                </c:pt>
                <c:pt idx="164">
                  <c:v>Usti nad Labem</c:v>
                </c:pt>
                <c:pt idx="165">
                  <c:v>Antwerp</c:v>
                </c:pt>
                <c:pt idx="166">
                  <c:v>Basel</c:v>
                </c:pt>
                <c:pt idx="167">
                  <c:v>Uppsala</c:v>
                </c:pt>
                <c:pt idx="168">
                  <c:v>Den Haag</c:v>
                </c:pt>
                <c:pt idx="169">
                  <c:v>Cardiff</c:v>
                </c:pt>
                <c:pt idx="170">
                  <c:v>Austria average</c:v>
                </c:pt>
                <c:pt idx="171">
                  <c:v>Melbourne</c:v>
                </c:pt>
                <c:pt idx="172">
                  <c:v>SEDIF</c:v>
                </c:pt>
                <c:pt idx="173">
                  <c:v>Tampere</c:v>
                </c:pt>
                <c:pt idx="174">
                  <c:v>Manchester</c:v>
                </c:pt>
                <c:pt idx="175">
                  <c:v>Oulu</c:v>
                </c:pt>
                <c:pt idx="176">
                  <c:v>Berlin</c:v>
                </c:pt>
                <c:pt idx="177">
                  <c:v>Louvain</c:v>
                </c:pt>
                <c:pt idx="178">
                  <c:v>Kortrijk</c:v>
                </c:pt>
                <c:pt idx="179">
                  <c:v>Genk</c:v>
                </c:pt>
                <c:pt idx="180">
                  <c:v>Turku</c:v>
                </c:pt>
                <c:pt idx="181">
                  <c:v>Bern</c:v>
                </c:pt>
                <c:pt idx="182">
                  <c:v>Brussels</c:v>
                </c:pt>
                <c:pt idx="183">
                  <c:v>Perth</c:v>
                </c:pt>
                <c:pt idx="184">
                  <c:v>Zürich</c:v>
                </c:pt>
                <c:pt idx="185">
                  <c:v>Brisbane</c:v>
                </c:pt>
                <c:pt idx="186">
                  <c:v>Brest</c:v>
                </c:pt>
                <c:pt idx="187">
                  <c:v>Saskatoon</c:v>
                </c:pt>
                <c:pt idx="188">
                  <c:v>Le Havre</c:v>
                </c:pt>
                <c:pt idx="189">
                  <c:v>Ghent</c:v>
                </c:pt>
                <c:pt idx="190">
                  <c:v>Charleroi</c:v>
                </c:pt>
                <c:pt idx="191">
                  <c:v>Liège</c:v>
                </c:pt>
                <c:pt idx="192">
                  <c:v>Copenhagen</c:v>
                </c:pt>
                <c:pt idx="193">
                  <c:v>Washington D.C.</c:v>
                </c:pt>
                <c:pt idx="194">
                  <c:v>Esbjerg</c:v>
                </c:pt>
                <c:pt idx="195">
                  <c:v>Aalborg</c:v>
                </c:pt>
                <c:pt idx="196">
                  <c:v>Aarhus</c:v>
                </c:pt>
                <c:pt idx="197">
                  <c:v>Odense</c:v>
                </c:pt>
              </c:strCache>
            </c:strRef>
          </c:cat>
          <c:val>
            <c:numRef>
              <c:f>'2017Total charges cities 200 m³'!$I$500:$I$697</c:f>
              <c:numCache>
                <c:formatCode>_ * #,##0.00_ ;_ * \-#,##0.00_ ;_ * "-"??_ ;_ @_ </c:formatCode>
                <c:ptCount val="198"/>
                <c:pt idx="0">
                  <c:v>0</c:v>
                </c:pt>
                <c:pt idx="1">
                  <c:v>0</c:v>
                </c:pt>
                <c:pt idx="2">
                  <c:v>0</c:v>
                </c:pt>
                <c:pt idx="3">
                  <c:v>1.8630243243907889</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11.920625202578599</c:v>
                </c:pt>
                <c:pt idx="27">
                  <c:v>0</c:v>
                </c:pt>
                <c:pt idx="28">
                  <c:v>0</c:v>
                </c:pt>
                <c:pt idx="29">
                  <c:v>0</c:v>
                </c:pt>
                <c:pt idx="30">
                  <c:v>0</c:v>
                </c:pt>
                <c:pt idx="31">
                  <c:v>0</c:v>
                </c:pt>
                <c:pt idx="32">
                  <c:v>0</c:v>
                </c:pt>
                <c:pt idx="33">
                  <c:v>0</c:v>
                </c:pt>
                <c:pt idx="34">
                  <c:v>0</c:v>
                </c:pt>
                <c:pt idx="35">
                  <c:v>7.88468126597623</c:v>
                </c:pt>
                <c:pt idx="36">
                  <c:v>0</c:v>
                </c:pt>
                <c:pt idx="37">
                  <c:v>15.490554689513804</c:v>
                </c:pt>
                <c:pt idx="38">
                  <c:v>10.556162466705127</c:v>
                </c:pt>
                <c:pt idx="39">
                  <c:v>17.597842977843186</c:v>
                </c:pt>
                <c:pt idx="40">
                  <c:v>17.011248211915078</c:v>
                </c:pt>
                <c:pt idx="41">
                  <c:v>8.1305878929865525</c:v>
                </c:pt>
                <c:pt idx="42">
                  <c:v>20.824114190447766</c:v>
                </c:pt>
                <c:pt idx="43">
                  <c:v>14.860400736845355</c:v>
                </c:pt>
                <c:pt idx="44">
                  <c:v>20.824114190447766</c:v>
                </c:pt>
                <c:pt idx="45">
                  <c:v>20.694988277749818</c:v>
                </c:pt>
                <c:pt idx="46">
                  <c:v>27.276656615656936</c:v>
                </c:pt>
                <c:pt idx="47">
                  <c:v>10.260872930450278</c:v>
                </c:pt>
                <c:pt idx="48">
                  <c:v>19.846456247234258</c:v>
                </c:pt>
                <c:pt idx="49">
                  <c:v>27.76548558726369</c:v>
                </c:pt>
                <c:pt idx="50">
                  <c:v>11.292638917870601</c:v>
                </c:pt>
                <c:pt idx="51">
                  <c:v>6.1373037597122835</c:v>
                </c:pt>
                <c:pt idx="52">
                  <c:v>10.239973109566511</c:v>
                </c:pt>
                <c:pt idx="53">
                  <c:v>23.854853814409651</c:v>
                </c:pt>
                <c:pt idx="54">
                  <c:v>28.912096048545003</c:v>
                </c:pt>
                <c:pt idx="55">
                  <c:v>25.125809140587211</c:v>
                </c:pt>
                <c:pt idx="56">
                  <c:v>0</c:v>
                </c:pt>
                <c:pt idx="57">
                  <c:v>25.321340729229917</c:v>
                </c:pt>
                <c:pt idx="58">
                  <c:v>21.801772133661277</c:v>
                </c:pt>
                <c:pt idx="59">
                  <c:v>26.98335923269288</c:v>
                </c:pt>
                <c:pt idx="60">
                  <c:v>25.125809140587211</c:v>
                </c:pt>
                <c:pt idx="61">
                  <c:v>12.897100664311637</c:v>
                </c:pt>
                <c:pt idx="62">
                  <c:v>30.209630445297467</c:v>
                </c:pt>
                <c:pt idx="63">
                  <c:v>22.09506951662533</c:v>
                </c:pt>
                <c:pt idx="64">
                  <c:v>30.014098856654762</c:v>
                </c:pt>
                <c:pt idx="65">
                  <c:v>13.457221401903938</c:v>
                </c:pt>
                <c:pt idx="66">
                  <c:v>23.804592891605107</c:v>
                </c:pt>
                <c:pt idx="67">
                  <c:v>23.804592891605107</c:v>
                </c:pt>
                <c:pt idx="68">
                  <c:v>23.804592891605107</c:v>
                </c:pt>
                <c:pt idx="69">
                  <c:v>23.804592891605107</c:v>
                </c:pt>
                <c:pt idx="70">
                  <c:v>21.312943162054523</c:v>
                </c:pt>
                <c:pt idx="71">
                  <c:v>6.3384593222170205</c:v>
                </c:pt>
                <c:pt idx="72">
                  <c:v>23.659322225766946</c:v>
                </c:pt>
                <c:pt idx="73">
                  <c:v>29.231972502083959</c:v>
                </c:pt>
                <c:pt idx="74">
                  <c:v>31.38281997715368</c:v>
                </c:pt>
                <c:pt idx="75">
                  <c:v>26.98335923269288</c:v>
                </c:pt>
                <c:pt idx="76">
                  <c:v>29.036440913441254</c:v>
                </c:pt>
                <c:pt idx="77">
                  <c:v>0</c:v>
                </c:pt>
                <c:pt idx="78">
                  <c:v>29.72080147369071</c:v>
                </c:pt>
                <c:pt idx="79">
                  <c:v>12.391157967914003</c:v>
                </c:pt>
                <c:pt idx="80">
                  <c:v>0</c:v>
                </c:pt>
                <c:pt idx="81">
                  <c:v>9.3182596779719074</c:v>
                </c:pt>
                <c:pt idx="82">
                  <c:v>25.419106523551264</c:v>
                </c:pt>
                <c:pt idx="83">
                  <c:v>17.6348423188197</c:v>
                </c:pt>
                <c:pt idx="84">
                  <c:v>21.404304870289671</c:v>
                </c:pt>
                <c:pt idx="85">
                  <c:v>28.254314558870444</c:v>
                </c:pt>
                <c:pt idx="86">
                  <c:v>9.6037262457833634</c:v>
                </c:pt>
                <c:pt idx="87">
                  <c:v>0</c:v>
                </c:pt>
                <c:pt idx="88">
                  <c:v>15.2709501221791</c:v>
                </c:pt>
                <c:pt idx="89">
                  <c:v>25.419106523551264</c:v>
                </c:pt>
                <c:pt idx="90">
                  <c:v>12.87934828899944</c:v>
                </c:pt>
                <c:pt idx="91">
                  <c:v>33.533667452223405</c:v>
                </c:pt>
                <c:pt idx="92">
                  <c:v>0</c:v>
                </c:pt>
                <c:pt idx="93">
                  <c:v>15.346928457394922</c:v>
                </c:pt>
                <c:pt idx="94">
                  <c:v>39.970034082696309</c:v>
                </c:pt>
                <c:pt idx="95">
                  <c:v>35.097920161365018</c:v>
                </c:pt>
                <c:pt idx="96">
                  <c:v>9.0714637845330302</c:v>
                </c:pt>
                <c:pt idx="97">
                  <c:v>37.053236047792041</c:v>
                </c:pt>
                <c:pt idx="98">
                  <c:v>41.505337307207782</c:v>
                </c:pt>
                <c:pt idx="99">
                  <c:v>35.488983338650421</c:v>
                </c:pt>
                <c:pt idx="100">
                  <c:v>20.744573810550524</c:v>
                </c:pt>
                <c:pt idx="101">
                  <c:v>19.913507975819488</c:v>
                </c:pt>
                <c:pt idx="102">
                  <c:v>23.361064092868034</c:v>
                </c:pt>
                <c:pt idx="103">
                  <c:v>62.628272703136119</c:v>
                </c:pt>
                <c:pt idx="104">
                  <c:v>0</c:v>
                </c:pt>
                <c:pt idx="105">
                  <c:v>23.24101751479574</c:v>
                </c:pt>
                <c:pt idx="106">
                  <c:v>0</c:v>
                </c:pt>
                <c:pt idx="107">
                  <c:v>6.5775950668037</c:v>
                </c:pt>
                <c:pt idx="108">
                  <c:v>28.907215999807924</c:v>
                </c:pt>
                <c:pt idx="109">
                  <c:v>11.814205770267577</c:v>
                </c:pt>
                <c:pt idx="110">
                  <c:v>19.45955030551854</c:v>
                </c:pt>
                <c:pt idx="111">
                  <c:v>25.528244933160845</c:v>
                </c:pt>
                <c:pt idx="112">
                  <c:v>31.493978767911436</c:v>
                </c:pt>
                <c:pt idx="113">
                  <c:v>52.567447360990911</c:v>
                </c:pt>
                <c:pt idx="114">
                  <c:v>0</c:v>
                </c:pt>
                <c:pt idx="115">
                  <c:v>22.446456806094581</c:v>
                </c:pt>
                <c:pt idx="116">
                  <c:v>0</c:v>
                </c:pt>
                <c:pt idx="117">
                  <c:v>25.344257582291217</c:v>
                </c:pt>
                <c:pt idx="118">
                  <c:v>0</c:v>
                </c:pt>
                <c:pt idx="119">
                  <c:v>0</c:v>
                </c:pt>
                <c:pt idx="120">
                  <c:v>0</c:v>
                </c:pt>
                <c:pt idx="121">
                  <c:v>0</c:v>
                </c:pt>
                <c:pt idx="122">
                  <c:v>29.529969814575249</c:v>
                </c:pt>
                <c:pt idx="123">
                  <c:v>68.236134317571626</c:v>
                </c:pt>
                <c:pt idx="124">
                  <c:v>0</c:v>
                </c:pt>
                <c:pt idx="125">
                  <c:v>0</c:v>
                </c:pt>
                <c:pt idx="126">
                  <c:v>0</c:v>
                </c:pt>
                <c:pt idx="127">
                  <c:v>0</c:v>
                </c:pt>
                <c:pt idx="128">
                  <c:v>47.378484527728631</c:v>
                </c:pt>
                <c:pt idx="129">
                  <c:v>48.224528894295212</c:v>
                </c:pt>
                <c:pt idx="130">
                  <c:v>29.303369707446489</c:v>
                </c:pt>
                <c:pt idx="131">
                  <c:v>31.644277979856181</c:v>
                </c:pt>
                <c:pt idx="132">
                  <c:v>24.477497268940347</c:v>
                </c:pt>
                <c:pt idx="133">
                  <c:v>0</c:v>
                </c:pt>
                <c:pt idx="134">
                  <c:v>0</c:v>
                </c:pt>
                <c:pt idx="135">
                  <c:v>35.053600797109276</c:v>
                </c:pt>
                <c:pt idx="136">
                  <c:v>8.9797007450585991</c:v>
                </c:pt>
                <c:pt idx="137">
                  <c:v>0</c:v>
                </c:pt>
                <c:pt idx="138">
                  <c:v>94.024250091099319</c:v>
                </c:pt>
                <c:pt idx="139">
                  <c:v>0</c:v>
                </c:pt>
                <c:pt idx="140">
                  <c:v>32.076445660916434</c:v>
                </c:pt>
                <c:pt idx="141">
                  <c:v>0</c:v>
                </c:pt>
                <c:pt idx="142">
                  <c:v>0</c:v>
                </c:pt>
                <c:pt idx="143">
                  <c:v>47.754504246202664</c:v>
                </c:pt>
                <c:pt idx="144">
                  <c:v>42.114208469092112</c:v>
                </c:pt>
                <c:pt idx="145">
                  <c:v>52.387844059463575</c:v>
                </c:pt>
                <c:pt idx="146">
                  <c:v>26.974466092844022</c:v>
                </c:pt>
                <c:pt idx="147">
                  <c:v>0</c:v>
                </c:pt>
                <c:pt idx="148">
                  <c:v>0</c:v>
                </c:pt>
                <c:pt idx="149">
                  <c:v>45.402798184868431</c:v>
                </c:pt>
                <c:pt idx="150">
                  <c:v>0</c:v>
                </c:pt>
                <c:pt idx="151">
                  <c:v>0</c:v>
                </c:pt>
                <c:pt idx="152">
                  <c:v>39.687398710699753</c:v>
                </c:pt>
                <c:pt idx="153">
                  <c:v>34.861526272193608</c:v>
                </c:pt>
                <c:pt idx="154">
                  <c:v>0</c:v>
                </c:pt>
                <c:pt idx="155">
                  <c:v>12.294493134377374</c:v>
                </c:pt>
                <c:pt idx="156">
                  <c:v>80.095076889833251</c:v>
                </c:pt>
                <c:pt idx="157">
                  <c:v>80.095076889833251</c:v>
                </c:pt>
                <c:pt idx="158">
                  <c:v>80.095076889833251</c:v>
                </c:pt>
                <c:pt idx="159">
                  <c:v>0</c:v>
                </c:pt>
                <c:pt idx="160">
                  <c:v>104.44430632284137</c:v>
                </c:pt>
                <c:pt idx="161">
                  <c:v>0</c:v>
                </c:pt>
                <c:pt idx="162">
                  <c:v>41.512106697398586</c:v>
                </c:pt>
                <c:pt idx="163">
                  <c:v>0</c:v>
                </c:pt>
                <c:pt idx="164">
                  <c:v>59.223105659660789</c:v>
                </c:pt>
                <c:pt idx="165">
                  <c:v>31.128077694145325</c:v>
                </c:pt>
                <c:pt idx="166">
                  <c:v>11.165616469284293</c:v>
                </c:pt>
                <c:pt idx="167">
                  <c:v>113.53763162828773</c:v>
                </c:pt>
                <c:pt idx="168">
                  <c:v>0</c:v>
                </c:pt>
                <c:pt idx="169">
                  <c:v>0</c:v>
                </c:pt>
                <c:pt idx="170">
                  <c:v>46.385997767133645</c:v>
                </c:pt>
                <c:pt idx="171">
                  <c:v>0</c:v>
                </c:pt>
                <c:pt idx="172">
                  <c:v>45.509657747205907</c:v>
                </c:pt>
                <c:pt idx="173">
                  <c:v>95.653113408002312</c:v>
                </c:pt>
                <c:pt idx="174">
                  <c:v>0</c:v>
                </c:pt>
                <c:pt idx="175">
                  <c:v>92.195771959520286</c:v>
                </c:pt>
                <c:pt idx="176">
                  <c:v>0</c:v>
                </c:pt>
                <c:pt idx="177">
                  <c:v>32.760711155928497</c:v>
                </c:pt>
                <c:pt idx="178">
                  <c:v>32.760711155928497</c:v>
                </c:pt>
                <c:pt idx="179">
                  <c:v>32.760711155928497</c:v>
                </c:pt>
                <c:pt idx="180">
                  <c:v>89.218616823327437</c:v>
                </c:pt>
                <c:pt idx="181">
                  <c:v>11.186141499558714</c:v>
                </c:pt>
                <c:pt idx="182">
                  <c:v>23.865259720771661</c:v>
                </c:pt>
                <c:pt idx="183">
                  <c:v>0</c:v>
                </c:pt>
                <c:pt idx="184">
                  <c:v>11.863467498614561</c:v>
                </c:pt>
                <c:pt idx="185">
                  <c:v>0</c:v>
                </c:pt>
                <c:pt idx="186">
                  <c:v>53.972941501302508</c:v>
                </c:pt>
                <c:pt idx="187">
                  <c:v>0</c:v>
                </c:pt>
                <c:pt idx="188">
                  <c:v>55.533547016242295</c:v>
                </c:pt>
                <c:pt idx="189">
                  <c:v>36.037982737302073</c:v>
                </c:pt>
                <c:pt idx="190">
                  <c:v>32.268520185832102</c:v>
                </c:pt>
                <c:pt idx="191">
                  <c:v>32.244510870217646</c:v>
                </c:pt>
                <c:pt idx="192">
                  <c:v>125.28087895366345</c:v>
                </c:pt>
                <c:pt idx="193">
                  <c:v>0</c:v>
                </c:pt>
                <c:pt idx="194">
                  <c:v>208.90624042916048</c:v>
                </c:pt>
                <c:pt idx="195">
                  <c:v>191.52317795394393</c:v>
                </c:pt>
                <c:pt idx="196">
                  <c:v>200.02288941831864</c:v>
                </c:pt>
                <c:pt idx="197">
                  <c:v>272.53076370060643</c:v>
                </c:pt>
              </c:numCache>
            </c:numRef>
          </c:val>
          <c:extLst>
            <c:ext xmlns:c16="http://schemas.microsoft.com/office/drawing/2014/chart" uri="{C3380CC4-5D6E-409C-BE32-E72D297353CC}">
              <c16:uniqueId val="{00000005-FDA9-4630-8379-36F30F7F66FF}"/>
            </c:ext>
          </c:extLst>
        </c:ser>
        <c:ser>
          <c:idx val="7"/>
          <c:order val="7"/>
          <c:tx>
            <c:strRef>
              <c:f>'2017Total charges cities 200 m³'!$J$499</c:f>
              <c:strCache>
                <c:ptCount val="1"/>
                <c:pt idx="0">
                  <c:v>other taxes</c:v>
                </c:pt>
              </c:strCache>
            </c:strRef>
          </c:tx>
          <c:spPr>
            <a:solidFill>
              <a:schemeClr val="accent2">
                <a:lumMod val="60000"/>
              </a:schemeClr>
            </a:solidFill>
            <a:ln>
              <a:noFill/>
            </a:ln>
            <a:effectLst/>
          </c:spPr>
          <c:invertIfNegative val="0"/>
          <c:cat>
            <c:strRef>
              <c:f>'2017Total charges cities 200 m³'!$A$500:$A$697</c:f>
              <c:strCache>
                <c:ptCount val="198"/>
                <c:pt idx="0">
                  <c:v>Provincia de Salta</c:v>
                </c:pt>
                <c:pt idx="1">
                  <c:v>La Rioja</c:v>
                </c:pt>
                <c:pt idx="2">
                  <c:v>Mar del Plata</c:v>
                </c:pt>
                <c:pt idx="3">
                  <c:v>Yerevan</c:v>
                </c:pt>
                <c:pt idx="4">
                  <c:v>Buenos Aires</c:v>
                </c:pt>
                <c:pt idx="5">
                  <c:v>Daejeon</c:v>
                </c:pt>
                <c:pt idx="6">
                  <c:v>Jujuy</c:v>
                </c:pt>
                <c:pt idx="7">
                  <c:v>Santiago del Estero</c:v>
                </c:pt>
                <c:pt idx="8">
                  <c:v>Provincia Buenos Aires</c:v>
                </c:pt>
                <c:pt idx="9">
                  <c:v>Seoul</c:v>
                </c:pt>
                <c:pt idx="10">
                  <c:v>Gwangju</c:v>
                </c:pt>
                <c:pt idx="11">
                  <c:v>Taipei</c:v>
                </c:pt>
                <c:pt idx="12">
                  <c:v>Guadalajara</c:v>
                </c:pt>
                <c:pt idx="13">
                  <c:v>Incheon</c:v>
                </c:pt>
                <c:pt idx="14">
                  <c:v>Guangzhou</c:v>
                </c:pt>
                <c:pt idx="15">
                  <c:v>Gyeounggi</c:v>
                </c:pt>
                <c:pt idx="16">
                  <c:v>Daegu</c:v>
                </c:pt>
                <c:pt idx="17">
                  <c:v>Kaohsiung</c:v>
                </c:pt>
                <c:pt idx="18">
                  <c:v>Busan</c:v>
                </c:pt>
                <c:pt idx="19">
                  <c:v>Sao Paulo</c:v>
                </c:pt>
                <c:pt idx="20">
                  <c:v>Monterrey</c:v>
                </c:pt>
                <c:pt idx="21">
                  <c:v>Shenzhen</c:v>
                </c:pt>
                <c:pt idx="22">
                  <c:v>Shanghai</c:v>
                </c:pt>
                <c:pt idx="23">
                  <c:v>Ulsan</c:v>
                </c:pt>
                <c:pt idx="24">
                  <c:v>Brazil average</c:v>
                </c:pt>
                <c:pt idx="25">
                  <c:v>Moscow</c:v>
                </c:pt>
                <c:pt idx="26">
                  <c:v>Milan</c:v>
                </c:pt>
                <c:pt idx="27">
                  <c:v>San Luis Potosi</c:v>
                </c:pt>
                <c:pt idx="28">
                  <c:v>Hong Kong</c:v>
                </c:pt>
                <c:pt idx="29">
                  <c:v>Russia average</c:v>
                </c:pt>
                <c:pt idx="30">
                  <c:v>Tianjin</c:v>
                </c:pt>
                <c:pt idx="31">
                  <c:v>Mexico City</c:v>
                </c:pt>
                <c:pt idx="32">
                  <c:v>Beijing</c:v>
                </c:pt>
                <c:pt idx="33">
                  <c:v>León, Guanajuato</c:v>
                </c:pt>
                <c:pt idx="34">
                  <c:v>Puebla</c:v>
                </c:pt>
                <c:pt idx="35">
                  <c:v>Izmir</c:v>
                </c:pt>
                <c:pt idx="36">
                  <c:v>Brasilia</c:v>
                </c:pt>
                <c:pt idx="37">
                  <c:v>Sofia</c:v>
                </c:pt>
                <c:pt idx="38">
                  <c:v>Pleven</c:v>
                </c:pt>
                <c:pt idx="39">
                  <c:v>Oradea</c:v>
                </c:pt>
                <c:pt idx="40">
                  <c:v>Bucharest</c:v>
                </c:pt>
                <c:pt idx="41">
                  <c:v>Osaka</c:v>
                </c:pt>
                <c:pt idx="42">
                  <c:v>Sibiu</c:v>
                </c:pt>
                <c:pt idx="43">
                  <c:v>Drobeta Turnu-Severin</c:v>
                </c:pt>
                <c:pt idx="44">
                  <c:v>Alexandria</c:v>
                </c:pt>
                <c:pt idx="45">
                  <c:v>Burgas</c:v>
                </c:pt>
                <c:pt idx="46">
                  <c:v>Cluj Napoca</c:v>
                </c:pt>
                <c:pt idx="47">
                  <c:v>Nagoya</c:v>
                </c:pt>
                <c:pt idx="48">
                  <c:v>Voluntari</c:v>
                </c:pt>
                <c:pt idx="49">
                  <c:v>Timisoara</c:v>
                </c:pt>
                <c:pt idx="50">
                  <c:v>Stara Zagora</c:v>
                </c:pt>
                <c:pt idx="51">
                  <c:v>Razgrad</c:v>
                </c:pt>
                <c:pt idx="52">
                  <c:v>Naples</c:v>
                </c:pt>
                <c:pt idx="53">
                  <c:v>Craiova</c:v>
                </c:pt>
                <c:pt idx="54">
                  <c:v>Kaposvár</c:v>
                </c:pt>
                <c:pt idx="55">
                  <c:v>Bacau</c:v>
                </c:pt>
                <c:pt idx="56">
                  <c:v>Lisbon</c:v>
                </c:pt>
                <c:pt idx="57">
                  <c:v>Botosani</c:v>
                </c:pt>
                <c:pt idx="58">
                  <c:v>Galati</c:v>
                </c:pt>
                <c:pt idx="59">
                  <c:v>Baia Mare</c:v>
                </c:pt>
                <c:pt idx="60">
                  <c:v>Brasov</c:v>
                </c:pt>
                <c:pt idx="61">
                  <c:v>Hiroshima</c:v>
                </c:pt>
                <c:pt idx="62">
                  <c:v>Turda</c:v>
                </c:pt>
                <c:pt idx="63">
                  <c:v>Vaslui</c:v>
                </c:pt>
                <c:pt idx="64">
                  <c:v>Medias</c:v>
                </c:pt>
                <c:pt idx="65">
                  <c:v>Madrid</c:v>
                </c:pt>
                <c:pt idx="66">
                  <c:v>Kampala</c:v>
                </c:pt>
                <c:pt idx="67">
                  <c:v>Jinja</c:v>
                </c:pt>
                <c:pt idx="68">
                  <c:v>Entebbe</c:v>
                </c:pt>
                <c:pt idx="69">
                  <c:v>Mbarara</c:v>
                </c:pt>
                <c:pt idx="70">
                  <c:v>Petrosani</c:v>
                </c:pt>
                <c:pt idx="71">
                  <c:v>Porto</c:v>
                </c:pt>
                <c:pt idx="72">
                  <c:v>Braila</c:v>
                </c:pt>
                <c:pt idx="73">
                  <c:v>Satu Mare</c:v>
                </c:pt>
                <c:pt idx="74">
                  <c:v>Arad</c:v>
                </c:pt>
                <c:pt idx="75">
                  <c:v>Bistrita</c:v>
                </c:pt>
                <c:pt idx="76">
                  <c:v>Targu-Mures</c:v>
                </c:pt>
                <c:pt idx="77">
                  <c:v>Miami</c:v>
                </c:pt>
                <c:pt idx="78">
                  <c:v>Piatra Neamt</c:v>
                </c:pt>
                <c:pt idx="79">
                  <c:v>Yokohama</c:v>
                </c:pt>
                <c:pt idx="80">
                  <c:v>Braga</c:v>
                </c:pt>
                <c:pt idx="81">
                  <c:v>Ankara</c:v>
                </c:pt>
                <c:pt idx="82">
                  <c:v>Prahova</c:v>
                </c:pt>
                <c:pt idx="83">
                  <c:v>Bilbao</c:v>
                </c:pt>
                <c:pt idx="84">
                  <c:v>Rome</c:v>
                </c:pt>
                <c:pt idx="85">
                  <c:v>Suceava</c:v>
                </c:pt>
                <c:pt idx="86">
                  <c:v>Coimbra</c:v>
                </c:pt>
                <c:pt idx="87">
                  <c:v>Chicago</c:v>
                </c:pt>
                <c:pt idx="88">
                  <c:v>Bialystok</c:v>
                </c:pt>
                <c:pt idx="89">
                  <c:v>Buzau</c:v>
                </c:pt>
                <c:pt idx="90">
                  <c:v>Tokyo</c:v>
                </c:pt>
                <c:pt idx="91">
                  <c:v>Ramnicu Valcea</c:v>
                </c:pt>
                <c:pt idx="92">
                  <c:v>Faro</c:v>
                </c:pt>
                <c:pt idx="93">
                  <c:v>Fukuoka</c:v>
                </c:pt>
                <c:pt idx="94">
                  <c:v>Miskolc</c:v>
                </c:pt>
                <c:pt idx="95">
                  <c:v>Targoviste</c:v>
                </c:pt>
                <c:pt idx="96">
                  <c:v>Sapporo</c:v>
                </c:pt>
                <c:pt idx="97">
                  <c:v>Pitesti</c:v>
                </c:pt>
                <c:pt idx="98">
                  <c:v>Debrecen</c:v>
                </c:pt>
                <c:pt idx="99">
                  <c:v>Constanta</c:v>
                </c:pt>
                <c:pt idx="100">
                  <c:v>Tarnow</c:v>
                </c:pt>
                <c:pt idx="101">
                  <c:v>Stockholm</c:v>
                </c:pt>
                <c:pt idx="102">
                  <c:v>Turin</c:v>
                </c:pt>
                <c:pt idx="103">
                  <c:v>Budapest</c:v>
                </c:pt>
                <c:pt idx="104">
                  <c:v>Sintra</c:v>
                </c:pt>
                <c:pt idx="105">
                  <c:v>Valencia</c:v>
                </c:pt>
                <c:pt idx="106">
                  <c:v>Loures</c:v>
                </c:pt>
                <c:pt idx="107">
                  <c:v>Istanbul</c:v>
                </c:pt>
                <c:pt idx="108">
                  <c:v>Sevilla</c:v>
                </c:pt>
                <c:pt idx="109">
                  <c:v>Sendai</c:v>
                </c:pt>
                <c:pt idx="110">
                  <c:v>Bologna</c:v>
                </c:pt>
                <c:pt idx="111">
                  <c:v>Radom</c:v>
                </c:pt>
                <c:pt idx="112">
                  <c:v>Malmö</c:v>
                </c:pt>
                <c:pt idx="113">
                  <c:v>Pécs</c:v>
                </c:pt>
                <c:pt idx="114">
                  <c:v>Nicosia</c:v>
                </c:pt>
                <c:pt idx="115">
                  <c:v>Bydgoszcz</c:v>
                </c:pt>
                <c:pt idx="116">
                  <c:v>Minneapolis</c:v>
                </c:pt>
                <c:pt idx="117">
                  <c:v>Wroclaw</c:v>
                </c:pt>
                <c:pt idx="118">
                  <c:v>Larnaca</c:v>
                </c:pt>
                <c:pt idx="119">
                  <c:v>Eindhoven</c:v>
                </c:pt>
                <c:pt idx="120">
                  <c:v>London</c:v>
                </c:pt>
                <c:pt idx="121">
                  <c:v>Paphos</c:v>
                </c:pt>
                <c:pt idx="122">
                  <c:v>Warsaw</c:v>
                </c:pt>
                <c:pt idx="123">
                  <c:v>Trondheim</c:v>
                </c:pt>
                <c:pt idx="124">
                  <c:v>Durham</c:v>
                </c:pt>
                <c:pt idx="125">
                  <c:v>Macao, China average</c:v>
                </c:pt>
                <c:pt idx="126">
                  <c:v>Denver</c:v>
                </c:pt>
                <c:pt idx="127">
                  <c:v>New York</c:v>
                </c:pt>
                <c:pt idx="128">
                  <c:v>Brno</c:v>
                </c:pt>
                <c:pt idx="129">
                  <c:v>Ostrava</c:v>
                </c:pt>
                <c:pt idx="130">
                  <c:v>Lyon</c:v>
                </c:pt>
                <c:pt idx="131">
                  <c:v>Strassbourg</c:v>
                </c:pt>
                <c:pt idx="132">
                  <c:v>Barcelona</c:v>
                </c:pt>
                <c:pt idx="133">
                  <c:v>Los Angeles</c:v>
                </c:pt>
                <c:pt idx="134">
                  <c:v>Limassol</c:v>
                </c:pt>
                <c:pt idx="135">
                  <c:v>Reims</c:v>
                </c:pt>
                <c:pt idx="136">
                  <c:v>Lausanne</c:v>
                </c:pt>
                <c:pt idx="137">
                  <c:v>Amsterdam</c:v>
                </c:pt>
                <c:pt idx="138">
                  <c:v>Oslo</c:v>
                </c:pt>
                <c:pt idx="139">
                  <c:v>Vancouver</c:v>
                </c:pt>
                <c:pt idx="140">
                  <c:v>Bordeaux</c:v>
                </c:pt>
                <c:pt idx="141">
                  <c:v>Utrecht</c:v>
                </c:pt>
                <c:pt idx="142">
                  <c:v>Birmingham</c:v>
                </c:pt>
                <c:pt idx="143">
                  <c:v>Prague</c:v>
                </c:pt>
                <c:pt idx="144">
                  <c:v>Plzeñ</c:v>
                </c:pt>
                <c:pt idx="145">
                  <c:v>Linköping</c:v>
                </c:pt>
                <c:pt idx="146">
                  <c:v>Nancy</c:v>
                </c:pt>
                <c:pt idx="147">
                  <c:v>Ottawa</c:v>
                </c:pt>
                <c:pt idx="148">
                  <c:v>Rotterdam</c:v>
                </c:pt>
                <c:pt idx="149">
                  <c:v>Göteborg</c:v>
                </c:pt>
                <c:pt idx="150">
                  <c:v>Winnipeg</c:v>
                </c:pt>
                <c:pt idx="151">
                  <c:v>Sydney</c:v>
                </c:pt>
                <c:pt idx="152">
                  <c:v>Paris</c:v>
                </c:pt>
                <c:pt idx="153">
                  <c:v>Marseille</c:v>
                </c:pt>
                <c:pt idx="154">
                  <c:v>Malta average</c:v>
                </c:pt>
                <c:pt idx="155">
                  <c:v>Geneva</c:v>
                </c:pt>
                <c:pt idx="156">
                  <c:v>Espoo</c:v>
                </c:pt>
                <c:pt idx="157">
                  <c:v>Helsinki</c:v>
                </c:pt>
                <c:pt idx="158">
                  <c:v>Vantaa</c:v>
                </c:pt>
                <c:pt idx="159">
                  <c:v>Calgary</c:v>
                </c:pt>
                <c:pt idx="160">
                  <c:v>Bergen</c:v>
                </c:pt>
                <c:pt idx="161">
                  <c:v>Canberra</c:v>
                </c:pt>
                <c:pt idx="162">
                  <c:v>Lille</c:v>
                </c:pt>
                <c:pt idx="163">
                  <c:v>Leeds</c:v>
                </c:pt>
                <c:pt idx="164">
                  <c:v>Usti nad Labem</c:v>
                </c:pt>
                <c:pt idx="165">
                  <c:v>Antwerp</c:v>
                </c:pt>
                <c:pt idx="166">
                  <c:v>Basel</c:v>
                </c:pt>
                <c:pt idx="167">
                  <c:v>Uppsala</c:v>
                </c:pt>
                <c:pt idx="168">
                  <c:v>Den Haag</c:v>
                </c:pt>
                <c:pt idx="169">
                  <c:v>Cardiff</c:v>
                </c:pt>
                <c:pt idx="170">
                  <c:v>Austria average</c:v>
                </c:pt>
                <c:pt idx="171">
                  <c:v>Melbourne</c:v>
                </c:pt>
                <c:pt idx="172">
                  <c:v>SEDIF</c:v>
                </c:pt>
                <c:pt idx="173">
                  <c:v>Tampere</c:v>
                </c:pt>
                <c:pt idx="174">
                  <c:v>Manchester</c:v>
                </c:pt>
                <c:pt idx="175">
                  <c:v>Oulu</c:v>
                </c:pt>
                <c:pt idx="176">
                  <c:v>Berlin</c:v>
                </c:pt>
                <c:pt idx="177">
                  <c:v>Louvain</c:v>
                </c:pt>
                <c:pt idx="178">
                  <c:v>Kortrijk</c:v>
                </c:pt>
                <c:pt idx="179">
                  <c:v>Genk</c:v>
                </c:pt>
                <c:pt idx="180">
                  <c:v>Turku</c:v>
                </c:pt>
                <c:pt idx="181">
                  <c:v>Bern</c:v>
                </c:pt>
                <c:pt idx="182">
                  <c:v>Brussels</c:v>
                </c:pt>
                <c:pt idx="183">
                  <c:v>Perth</c:v>
                </c:pt>
                <c:pt idx="184">
                  <c:v>Zürich</c:v>
                </c:pt>
                <c:pt idx="185">
                  <c:v>Brisbane</c:v>
                </c:pt>
                <c:pt idx="186">
                  <c:v>Brest</c:v>
                </c:pt>
                <c:pt idx="187">
                  <c:v>Saskatoon</c:v>
                </c:pt>
                <c:pt idx="188">
                  <c:v>Le Havre</c:v>
                </c:pt>
                <c:pt idx="189">
                  <c:v>Ghent</c:v>
                </c:pt>
                <c:pt idx="190">
                  <c:v>Charleroi</c:v>
                </c:pt>
                <c:pt idx="191">
                  <c:v>Liège</c:v>
                </c:pt>
                <c:pt idx="192">
                  <c:v>Copenhagen</c:v>
                </c:pt>
                <c:pt idx="193">
                  <c:v>Washington D.C.</c:v>
                </c:pt>
                <c:pt idx="194">
                  <c:v>Esbjerg</c:v>
                </c:pt>
                <c:pt idx="195">
                  <c:v>Aalborg</c:v>
                </c:pt>
                <c:pt idx="196">
                  <c:v>Aarhus</c:v>
                </c:pt>
                <c:pt idx="197">
                  <c:v>Odense</c:v>
                </c:pt>
              </c:strCache>
            </c:strRef>
          </c:cat>
          <c:val>
            <c:numRef>
              <c:f>'2017Total charges cities 200 m³'!$J$500:$J$697</c:f>
              <c:numCache>
                <c:formatCode>_ * #,##0.00_ ;_ * \-#,##0.00_ ;_ * "-"??_ ;_ @_ </c:formatCode>
                <c:ptCount val="19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1.9207452491566728</c:v>
                </c:pt>
                <c:pt idx="27">
                  <c:v>0</c:v>
                </c:pt>
                <c:pt idx="28">
                  <c:v>0</c:v>
                </c:pt>
                <c:pt idx="29">
                  <c:v>4.3741016385002878</c:v>
                </c:pt>
                <c:pt idx="30">
                  <c:v>0</c:v>
                </c:pt>
                <c:pt idx="31">
                  <c:v>0</c:v>
                </c:pt>
                <c:pt idx="32">
                  <c:v>48.294615611772812</c:v>
                </c:pt>
                <c:pt idx="33">
                  <c:v>0</c:v>
                </c:pt>
                <c:pt idx="34">
                  <c:v>0</c:v>
                </c:pt>
                <c:pt idx="35">
                  <c:v>12.649221282314807</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1.9207452491566728</c:v>
                </c:pt>
                <c:pt idx="53">
                  <c:v>0</c:v>
                </c:pt>
                <c:pt idx="54">
                  <c:v>0</c:v>
                </c:pt>
                <c:pt idx="55">
                  <c:v>0</c:v>
                </c:pt>
                <c:pt idx="56">
                  <c:v>17.442767793904032</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12.649221282314807</c:v>
                </c:pt>
                <c:pt idx="82">
                  <c:v>0</c:v>
                </c:pt>
                <c:pt idx="83">
                  <c:v>0</c:v>
                </c:pt>
                <c:pt idx="84">
                  <c:v>1.9207452491566728</c:v>
                </c:pt>
                <c:pt idx="85">
                  <c:v>0</c:v>
                </c:pt>
                <c:pt idx="86">
                  <c:v>0</c:v>
                </c:pt>
                <c:pt idx="87">
                  <c:v>0</c:v>
                </c:pt>
                <c:pt idx="88">
                  <c:v>0</c:v>
                </c:pt>
                <c:pt idx="89">
                  <c:v>0</c:v>
                </c:pt>
                <c:pt idx="90">
                  <c:v>0</c:v>
                </c:pt>
                <c:pt idx="91">
                  <c:v>0</c:v>
                </c:pt>
                <c:pt idx="92">
                  <c:v>0</c:v>
                </c:pt>
                <c:pt idx="93">
                  <c:v>0</c:v>
                </c:pt>
                <c:pt idx="94">
                  <c:v>0</c:v>
                </c:pt>
                <c:pt idx="95">
                  <c:v>0</c:v>
                </c:pt>
                <c:pt idx="96">
                  <c:v>0</c:v>
                </c:pt>
                <c:pt idx="97">
                  <c:v>0</c:v>
                </c:pt>
                <c:pt idx="98">
                  <c:v>4.7553297840520141</c:v>
                </c:pt>
                <c:pt idx="99">
                  <c:v>0</c:v>
                </c:pt>
                <c:pt idx="100">
                  <c:v>0</c:v>
                </c:pt>
                <c:pt idx="101">
                  <c:v>0</c:v>
                </c:pt>
                <c:pt idx="102">
                  <c:v>1.9207452491566728</c:v>
                </c:pt>
                <c:pt idx="103">
                  <c:v>0</c:v>
                </c:pt>
                <c:pt idx="104">
                  <c:v>0</c:v>
                </c:pt>
                <c:pt idx="105">
                  <c:v>0</c:v>
                </c:pt>
                <c:pt idx="106">
                  <c:v>0</c:v>
                </c:pt>
                <c:pt idx="107">
                  <c:v>12.649221282314807</c:v>
                </c:pt>
                <c:pt idx="108">
                  <c:v>0</c:v>
                </c:pt>
                <c:pt idx="109">
                  <c:v>0</c:v>
                </c:pt>
                <c:pt idx="110">
                  <c:v>1.9207452491566728</c:v>
                </c:pt>
                <c:pt idx="111">
                  <c:v>0</c:v>
                </c:pt>
                <c:pt idx="112">
                  <c:v>0</c:v>
                </c:pt>
                <c:pt idx="113">
                  <c:v>0</c:v>
                </c:pt>
                <c:pt idx="114">
                  <c:v>0</c:v>
                </c:pt>
                <c:pt idx="115">
                  <c:v>0</c:v>
                </c:pt>
                <c:pt idx="116">
                  <c:v>12.36</c:v>
                </c:pt>
                <c:pt idx="117">
                  <c:v>0</c:v>
                </c:pt>
                <c:pt idx="118">
                  <c:v>30.731923986506764</c:v>
                </c:pt>
                <c:pt idx="119">
                  <c:v>80.671300464580256</c:v>
                </c:pt>
                <c:pt idx="120">
                  <c:v>0</c:v>
                </c:pt>
                <c:pt idx="121">
                  <c:v>42.016302325302213</c:v>
                </c:pt>
                <c:pt idx="122">
                  <c:v>0</c:v>
                </c:pt>
                <c:pt idx="123">
                  <c:v>0</c:v>
                </c:pt>
                <c:pt idx="124">
                  <c:v>0</c:v>
                </c:pt>
                <c:pt idx="125">
                  <c:v>0</c:v>
                </c:pt>
                <c:pt idx="126">
                  <c:v>16.670000000000002</c:v>
                </c:pt>
                <c:pt idx="127">
                  <c:v>0</c:v>
                </c:pt>
                <c:pt idx="128">
                  <c:v>0</c:v>
                </c:pt>
                <c:pt idx="129">
                  <c:v>0</c:v>
                </c:pt>
                <c:pt idx="130">
                  <c:v>57.936879509249586</c:v>
                </c:pt>
                <c:pt idx="131">
                  <c:v>84.032604650604426</c:v>
                </c:pt>
                <c:pt idx="132">
                  <c:v>0</c:v>
                </c:pt>
                <c:pt idx="133">
                  <c:v>0</c:v>
                </c:pt>
                <c:pt idx="134">
                  <c:v>43.216768106025135</c:v>
                </c:pt>
                <c:pt idx="135">
                  <c:v>72.027946843375233</c:v>
                </c:pt>
                <c:pt idx="136">
                  <c:v>0</c:v>
                </c:pt>
                <c:pt idx="137">
                  <c:v>80.671300464580256</c:v>
                </c:pt>
                <c:pt idx="138">
                  <c:v>0</c:v>
                </c:pt>
                <c:pt idx="139">
                  <c:v>0</c:v>
                </c:pt>
                <c:pt idx="140">
                  <c:v>57.622357474700181</c:v>
                </c:pt>
                <c:pt idx="141">
                  <c:v>80.671300464580256</c:v>
                </c:pt>
                <c:pt idx="142">
                  <c:v>0</c:v>
                </c:pt>
                <c:pt idx="143">
                  <c:v>0</c:v>
                </c:pt>
                <c:pt idx="144">
                  <c:v>0</c:v>
                </c:pt>
                <c:pt idx="145">
                  <c:v>0</c:v>
                </c:pt>
                <c:pt idx="146">
                  <c:v>50.347534843519284</c:v>
                </c:pt>
                <c:pt idx="147">
                  <c:v>0</c:v>
                </c:pt>
                <c:pt idx="148">
                  <c:v>80.671300464580256</c:v>
                </c:pt>
                <c:pt idx="149">
                  <c:v>0</c:v>
                </c:pt>
                <c:pt idx="150">
                  <c:v>0</c:v>
                </c:pt>
                <c:pt idx="151">
                  <c:v>0</c:v>
                </c:pt>
                <c:pt idx="152">
                  <c:v>72.027946843375233</c:v>
                </c:pt>
                <c:pt idx="153">
                  <c:v>38.414904983133454</c:v>
                </c:pt>
                <c:pt idx="154">
                  <c:v>0</c:v>
                </c:pt>
                <c:pt idx="155">
                  <c:v>0</c:v>
                </c:pt>
                <c:pt idx="156">
                  <c:v>47.44240765416982</c:v>
                </c:pt>
                <c:pt idx="157">
                  <c:v>47.44240765416982</c:v>
                </c:pt>
                <c:pt idx="158">
                  <c:v>47.44240765416982</c:v>
                </c:pt>
                <c:pt idx="159">
                  <c:v>0</c:v>
                </c:pt>
                <c:pt idx="160">
                  <c:v>0</c:v>
                </c:pt>
                <c:pt idx="161">
                  <c:v>0</c:v>
                </c:pt>
                <c:pt idx="162">
                  <c:v>63.864779534459373</c:v>
                </c:pt>
                <c:pt idx="163">
                  <c:v>0</c:v>
                </c:pt>
                <c:pt idx="164">
                  <c:v>0</c:v>
                </c:pt>
                <c:pt idx="165">
                  <c:v>0</c:v>
                </c:pt>
                <c:pt idx="166">
                  <c:v>0</c:v>
                </c:pt>
                <c:pt idx="167">
                  <c:v>0</c:v>
                </c:pt>
                <c:pt idx="168">
                  <c:v>80.671300464580256</c:v>
                </c:pt>
                <c:pt idx="169">
                  <c:v>0</c:v>
                </c:pt>
                <c:pt idx="170">
                  <c:v>0</c:v>
                </c:pt>
                <c:pt idx="171">
                  <c:v>0</c:v>
                </c:pt>
                <c:pt idx="172">
                  <c:v>72.027946843375233</c:v>
                </c:pt>
                <c:pt idx="173">
                  <c:v>0</c:v>
                </c:pt>
                <c:pt idx="174">
                  <c:v>0</c:v>
                </c:pt>
                <c:pt idx="175">
                  <c:v>50.347534843519284</c:v>
                </c:pt>
                <c:pt idx="176">
                  <c:v>0</c:v>
                </c:pt>
                <c:pt idx="177">
                  <c:v>0</c:v>
                </c:pt>
                <c:pt idx="178">
                  <c:v>0</c:v>
                </c:pt>
                <c:pt idx="179">
                  <c:v>0</c:v>
                </c:pt>
                <c:pt idx="180">
                  <c:v>0</c:v>
                </c:pt>
                <c:pt idx="181">
                  <c:v>0</c:v>
                </c:pt>
                <c:pt idx="182">
                  <c:v>0</c:v>
                </c:pt>
                <c:pt idx="183">
                  <c:v>0</c:v>
                </c:pt>
                <c:pt idx="184">
                  <c:v>0</c:v>
                </c:pt>
                <c:pt idx="185">
                  <c:v>0</c:v>
                </c:pt>
                <c:pt idx="186">
                  <c:v>50.179469634218073</c:v>
                </c:pt>
                <c:pt idx="187">
                  <c:v>0</c:v>
                </c:pt>
                <c:pt idx="188">
                  <c:v>72.027946843375233</c:v>
                </c:pt>
                <c:pt idx="189">
                  <c:v>0</c:v>
                </c:pt>
                <c:pt idx="190">
                  <c:v>0</c:v>
                </c:pt>
                <c:pt idx="191">
                  <c:v>0</c:v>
                </c:pt>
                <c:pt idx="192">
                  <c:v>22.433241883122115</c:v>
                </c:pt>
                <c:pt idx="193">
                  <c:v>334.2</c:v>
                </c:pt>
                <c:pt idx="194">
                  <c:v>16.246651213622751</c:v>
                </c:pt>
                <c:pt idx="195">
                  <c:v>24.654482618549455</c:v>
                </c:pt>
                <c:pt idx="196">
                  <c:v>18.382459613072115</c:v>
                </c:pt>
                <c:pt idx="197">
                  <c:v>17.337928410926313</c:v>
                </c:pt>
              </c:numCache>
            </c:numRef>
          </c:val>
          <c:extLst>
            <c:ext xmlns:c16="http://schemas.microsoft.com/office/drawing/2014/chart" uri="{C3380CC4-5D6E-409C-BE32-E72D297353CC}">
              <c16:uniqueId val="{00000006-FDA9-4630-8379-36F30F7F66FF}"/>
            </c:ext>
          </c:extLst>
        </c:ser>
        <c:ser>
          <c:idx val="8"/>
          <c:order val="8"/>
          <c:tx>
            <c:strRef>
              <c:f>'2017Total charges cities 200 m³'!$K$499</c:f>
              <c:strCache>
                <c:ptCount val="1"/>
                <c:pt idx="0">
                  <c:v>VAT other taxes</c:v>
                </c:pt>
              </c:strCache>
            </c:strRef>
          </c:tx>
          <c:spPr>
            <a:solidFill>
              <a:schemeClr val="accent3">
                <a:lumMod val="60000"/>
              </a:schemeClr>
            </a:solidFill>
            <a:ln>
              <a:noFill/>
            </a:ln>
            <a:effectLst/>
          </c:spPr>
          <c:invertIfNegative val="0"/>
          <c:cat>
            <c:strRef>
              <c:f>'2017Total charges cities 200 m³'!$A$500:$A$697</c:f>
              <c:strCache>
                <c:ptCount val="198"/>
                <c:pt idx="0">
                  <c:v>Provincia de Salta</c:v>
                </c:pt>
                <c:pt idx="1">
                  <c:v>La Rioja</c:v>
                </c:pt>
                <c:pt idx="2">
                  <c:v>Mar del Plata</c:v>
                </c:pt>
                <c:pt idx="3">
                  <c:v>Yerevan</c:v>
                </c:pt>
                <c:pt idx="4">
                  <c:v>Buenos Aires</c:v>
                </c:pt>
                <c:pt idx="5">
                  <c:v>Daejeon</c:v>
                </c:pt>
                <c:pt idx="6">
                  <c:v>Jujuy</c:v>
                </c:pt>
                <c:pt idx="7">
                  <c:v>Santiago del Estero</c:v>
                </c:pt>
                <c:pt idx="8">
                  <c:v>Provincia Buenos Aires</c:v>
                </c:pt>
                <c:pt idx="9">
                  <c:v>Seoul</c:v>
                </c:pt>
                <c:pt idx="10">
                  <c:v>Gwangju</c:v>
                </c:pt>
                <c:pt idx="11">
                  <c:v>Taipei</c:v>
                </c:pt>
                <c:pt idx="12">
                  <c:v>Guadalajara</c:v>
                </c:pt>
                <c:pt idx="13">
                  <c:v>Incheon</c:v>
                </c:pt>
                <c:pt idx="14">
                  <c:v>Guangzhou</c:v>
                </c:pt>
                <c:pt idx="15">
                  <c:v>Gyeounggi</c:v>
                </c:pt>
                <c:pt idx="16">
                  <c:v>Daegu</c:v>
                </c:pt>
                <c:pt idx="17">
                  <c:v>Kaohsiung</c:v>
                </c:pt>
                <c:pt idx="18">
                  <c:v>Busan</c:v>
                </c:pt>
                <c:pt idx="19">
                  <c:v>Sao Paulo</c:v>
                </c:pt>
                <c:pt idx="20">
                  <c:v>Monterrey</c:v>
                </c:pt>
                <c:pt idx="21">
                  <c:v>Shenzhen</c:v>
                </c:pt>
                <c:pt idx="22">
                  <c:v>Shanghai</c:v>
                </c:pt>
                <c:pt idx="23">
                  <c:v>Ulsan</c:v>
                </c:pt>
                <c:pt idx="24">
                  <c:v>Brazil average</c:v>
                </c:pt>
                <c:pt idx="25">
                  <c:v>Moscow</c:v>
                </c:pt>
                <c:pt idx="26">
                  <c:v>Milan</c:v>
                </c:pt>
                <c:pt idx="27">
                  <c:v>San Luis Potosi</c:v>
                </c:pt>
                <c:pt idx="28">
                  <c:v>Hong Kong</c:v>
                </c:pt>
                <c:pt idx="29">
                  <c:v>Russia average</c:v>
                </c:pt>
                <c:pt idx="30">
                  <c:v>Tianjin</c:v>
                </c:pt>
                <c:pt idx="31">
                  <c:v>Mexico City</c:v>
                </c:pt>
                <c:pt idx="32">
                  <c:v>Beijing</c:v>
                </c:pt>
                <c:pt idx="33">
                  <c:v>León, Guanajuato</c:v>
                </c:pt>
                <c:pt idx="34">
                  <c:v>Puebla</c:v>
                </c:pt>
                <c:pt idx="35">
                  <c:v>Izmir</c:v>
                </c:pt>
                <c:pt idx="36">
                  <c:v>Brasilia</c:v>
                </c:pt>
                <c:pt idx="37">
                  <c:v>Sofia</c:v>
                </c:pt>
                <c:pt idx="38">
                  <c:v>Pleven</c:v>
                </c:pt>
                <c:pt idx="39">
                  <c:v>Oradea</c:v>
                </c:pt>
                <c:pt idx="40">
                  <c:v>Bucharest</c:v>
                </c:pt>
                <c:pt idx="41">
                  <c:v>Osaka</c:v>
                </c:pt>
                <c:pt idx="42">
                  <c:v>Sibiu</c:v>
                </c:pt>
                <c:pt idx="43">
                  <c:v>Drobeta Turnu-Severin</c:v>
                </c:pt>
                <c:pt idx="44">
                  <c:v>Alexandria</c:v>
                </c:pt>
                <c:pt idx="45">
                  <c:v>Burgas</c:v>
                </c:pt>
                <c:pt idx="46">
                  <c:v>Cluj Napoca</c:v>
                </c:pt>
                <c:pt idx="47">
                  <c:v>Nagoya</c:v>
                </c:pt>
                <c:pt idx="48">
                  <c:v>Voluntari</c:v>
                </c:pt>
                <c:pt idx="49">
                  <c:v>Timisoara</c:v>
                </c:pt>
                <c:pt idx="50">
                  <c:v>Stara Zagora</c:v>
                </c:pt>
                <c:pt idx="51">
                  <c:v>Razgrad</c:v>
                </c:pt>
                <c:pt idx="52">
                  <c:v>Naples</c:v>
                </c:pt>
                <c:pt idx="53">
                  <c:v>Craiova</c:v>
                </c:pt>
                <c:pt idx="54">
                  <c:v>Kaposvár</c:v>
                </c:pt>
                <c:pt idx="55">
                  <c:v>Bacau</c:v>
                </c:pt>
                <c:pt idx="56">
                  <c:v>Lisbon</c:v>
                </c:pt>
                <c:pt idx="57">
                  <c:v>Botosani</c:v>
                </c:pt>
                <c:pt idx="58">
                  <c:v>Galati</c:v>
                </c:pt>
                <c:pt idx="59">
                  <c:v>Baia Mare</c:v>
                </c:pt>
                <c:pt idx="60">
                  <c:v>Brasov</c:v>
                </c:pt>
                <c:pt idx="61">
                  <c:v>Hiroshima</c:v>
                </c:pt>
                <c:pt idx="62">
                  <c:v>Turda</c:v>
                </c:pt>
                <c:pt idx="63">
                  <c:v>Vaslui</c:v>
                </c:pt>
                <c:pt idx="64">
                  <c:v>Medias</c:v>
                </c:pt>
                <c:pt idx="65">
                  <c:v>Madrid</c:v>
                </c:pt>
                <c:pt idx="66">
                  <c:v>Kampala</c:v>
                </c:pt>
                <c:pt idx="67">
                  <c:v>Jinja</c:v>
                </c:pt>
                <c:pt idx="68">
                  <c:v>Entebbe</c:v>
                </c:pt>
                <c:pt idx="69">
                  <c:v>Mbarara</c:v>
                </c:pt>
                <c:pt idx="70">
                  <c:v>Petrosani</c:v>
                </c:pt>
                <c:pt idx="71">
                  <c:v>Porto</c:v>
                </c:pt>
                <c:pt idx="72">
                  <c:v>Braila</c:v>
                </c:pt>
                <c:pt idx="73">
                  <c:v>Satu Mare</c:v>
                </c:pt>
                <c:pt idx="74">
                  <c:v>Arad</c:v>
                </c:pt>
                <c:pt idx="75">
                  <c:v>Bistrita</c:v>
                </c:pt>
                <c:pt idx="76">
                  <c:v>Targu-Mures</c:v>
                </c:pt>
                <c:pt idx="77">
                  <c:v>Miami</c:v>
                </c:pt>
                <c:pt idx="78">
                  <c:v>Piatra Neamt</c:v>
                </c:pt>
                <c:pt idx="79">
                  <c:v>Yokohama</c:v>
                </c:pt>
                <c:pt idx="80">
                  <c:v>Braga</c:v>
                </c:pt>
                <c:pt idx="81">
                  <c:v>Ankara</c:v>
                </c:pt>
                <c:pt idx="82">
                  <c:v>Prahova</c:v>
                </c:pt>
                <c:pt idx="83">
                  <c:v>Bilbao</c:v>
                </c:pt>
                <c:pt idx="84">
                  <c:v>Rome</c:v>
                </c:pt>
                <c:pt idx="85">
                  <c:v>Suceava</c:v>
                </c:pt>
                <c:pt idx="86">
                  <c:v>Coimbra</c:v>
                </c:pt>
                <c:pt idx="87">
                  <c:v>Chicago</c:v>
                </c:pt>
                <c:pt idx="88">
                  <c:v>Bialystok</c:v>
                </c:pt>
                <c:pt idx="89">
                  <c:v>Buzau</c:v>
                </c:pt>
                <c:pt idx="90">
                  <c:v>Tokyo</c:v>
                </c:pt>
                <c:pt idx="91">
                  <c:v>Ramnicu Valcea</c:v>
                </c:pt>
                <c:pt idx="92">
                  <c:v>Faro</c:v>
                </c:pt>
                <c:pt idx="93">
                  <c:v>Fukuoka</c:v>
                </c:pt>
                <c:pt idx="94">
                  <c:v>Miskolc</c:v>
                </c:pt>
                <c:pt idx="95">
                  <c:v>Targoviste</c:v>
                </c:pt>
                <c:pt idx="96">
                  <c:v>Sapporo</c:v>
                </c:pt>
                <c:pt idx="97">
                  <c:v>Pitesti</c:v>
                </c:pt>
                <c:pt idx="98">
                  <c:v>Debrecen</c:v>
                </c:pt>
                <c:pt idx="99">
                  <c:v>Constanta</c:v>
                </c:pt>
                <c:pt idx="100">
                  <c:v>Tarnow</c:v>
                </c:pt>
                <c:pt idx="101">
                  <c:v>Stockholm</c:v>
                </c:pt>
                <c:pt idx="102">
                  <c:v>Turin</c:v>
                </c:pt>
                <c:pt idx="103">
                  <c:v>Budapest</c:v>
                </c:pt>
                <c:pt idx="104">
                  <c:v>Sintra</c:v>
                </c:pt>
                <c:pt idx="105">
                  <c:v>Valencia</c:v>
                </c:pt>
                <c:pt idx="106">
                  <c:v>Loures</c:v>
                </c:pt>
                <c:pt idx="107">
                  <c:v>Istanbul</c:v>
                </c:pt>
                <c:pt idx="108">
                  <c:v>Sevilla</c:v>
                </c:pt>
                <c:pt idx="109">
                  <c:v>Sendai</c:v>
                </c:pt>
                <c:pt idx="110">
                  <c:v>Bologna</c:v>
                </c:pt>
                <c:pt idx="111">
                  <c:v>Radom</c:v>
                </c:pt>
                <c:pt idx="112">
                  <c:v>Malmö</c:v>
                </c:pt>
                <c:pt idx="113">
                  <c:v>Pécs</c:v>
                </c:pt>
                <c:pt idx="114">
                  <c:v>Nicosia</c:v>
                </c:pt>
                <c:pt idx="115">
                  <c:v>Bydgoszcz</c:v>
                </c:pt>
                <c:pt idx="116">
                  <c:v>Minneapolis</c:v>
                </c:pt>
                <c:pt idx="117">
                  <c:v>Wroclaw</c:v>
                </c:pt>
                <c:pt idx="118">
                  <c:v>Larnaca</c:v>
                </c:pt>
                <c:pt idx="119">
                  <c:v>Eindhoven</c:v>
                </c:pt>
                <c:pt idx="120">
                  <c:v>London</c:v>
                </c:pt>
                <c:pt idx="121">
                  <c:v>Paphos</c:v>
                </c:pt>
                <c:pt idx="122">
                  <c:v>Warsaw</c:v>
                </c:pt>
                <c:pt idx="123">
                  <c:v>Trondheim</c:v>
                </c:pt>
                <c:pt idx="124">
                  <c:v>Durham</c:v>
                </c:pt>
                <c:pt idx="125">
                  <c:v>Macao, China average</c:v>
                </c:pt>
                <c:pt idx="126">
                  <c:v>Denver</c:v>
                </c:pt>
                <c:pt idx="127">
                  <c:v>New York</c:v>
                </c:pt>
                <c:pt idx="128">
                  <c:v>Brno</c:v>
                </c:pt>
                <c:pt idx="129">
                  <c:v>Ostrava</c:v>
                </c:pt>
                <c:pt idx="130">
                  <c:v>Lyon</c:v>
                </c:pt>
                <c:pt idx="131">
                  <c:v>Strassbourg</c:v>
                </c:pt>
                <c:pt idx="132">
                  <c:v>Barcelona</c:v>
                </c:pt>
                <c:pt idx="133">
                  <c:v>Los Angeles</c:v>
                </c:pt>
                <c:pt idx="134">
                  <c:v>Limassol</c:v>
                </c:pt>
                <c:pt idx="135">
                  <c:v>Reims</c:v>
                </c:pt>
                <c:pt idx="136">
                  <c:v>Lausanne</c:v>
                </c:pt>
                <c:pt idx="137">
                  <c:v>Amsterdam</c:v>
                </c:pt>
                <c:pt idx="138">
                  <c:v>Oslo</c:v>
                </c:pt>
                <c:pt idx="139">
                  <c:v>Vancouver</c:v>
                </c:pt>
                <c:pt idx="140">
                  <c:v>Bordeaux</c:v>
                </c:pt>
                <c:pt idx="141">
                  <c:v>Utrecht</c:v>
                </c:pt>
                <c:pt idx="142">
                  <c:v>Birmingham</c:v>
                </c:pt>
                <c:pt idx="143">
                  <c:v>Prague</c:v>
                </c:pt>
                <c:pt idx="144">
                  <c:v>Plzeñ</c:v>
                </c:pt>
                <c:pt idx="145">
                  <c:v>Linköping</c:v>
                </c:pt>
                <c:pt idx="146">
                  <c:v>Nancy</c:v>
                </c:pt>
                <c:pt idx="147">
                  <c:v>Ottawa</c:v>
                </c:pt>
                <c:pt idx="148">
                  <c:v>Rotterdam</c:v>
                </c:pt>
                <c:pt idx="149">
                  <c:v>Göteborg</c:v>
                </c:pt>
                <c:pt idx="150">
                  <c:v>Winnipeg</c:v>
                </c:pt>
                <c:pt idx="151">
                  <c:v>Sydney</c:v>
                </c:pt>
                <c:pt idx="152">
                  <c:v>Paris</c:v>
                </c:pt>
                <c:pt idx="153">
                  <c:v>Marseille</c:v>
                </c:pt>
                <c:pt idx="154">
                  <c:v>Malta average</c:v>
                </c:pt>
                <c:pt idx="155">
                  <c:v>Geneva</c:v>
                </c:pt>
                <c:pt idx="156">
                  <c:v>Espoo</c:v>
                </c:pt>
                <c:pt idx="157">
                  <c:v>Helsinki</c:v>
                </c:pt>
                <c:pt idx="158">
                  <c:v>Vantaa</c:v>
                </c:pt>
                <c:pt idx="159">
                  <c:v>Calgary</c:v>
                </c:pt>
                <c:pt idx="160">
                  <c:v>Bergen</c:v>
                </c:pt>
                <c:pt idx="161">
                  <c:v>Canberra</c:v>
                </c:pt>
                <c:pt idx="162">
                  <c:v>Lille</c:v>
                </c:pt>
                <c:pt idx="163">
                  <c:v>Leeds</c:v>
                </c:pt>
                <c:pt idx="164">
                  <c:v>Usti nad Labem</c:v>
                </c:pt>
                <c:pt idx="165">
                  <c:v>Antwerp</c:v>
                </c:pt>
                <c:pt idx="166">
                  <c:v>Basel</c:v>
                </c:pt>
                <c:pt idx="167">
                  <c:v>Uppsala</c:v>
                </c:pt>
                <c:pt idx="168">
                  <c:v>Den Haag</c:v>
                </c:pt>
                <c:pt idx="169">
                  <c:v>Cardiff</c:v>
                </c:pt>
                <c:pt idx="170">
                  <c:v>Austria average</c:v>
                </c:pt>
                <c:pt idx="171">
                  <c:v>Melbourne</c:v>
                </c:pt>
                <c:pt idx="172">
                  <c:v>SEDIF</c:v>
                </c:pt>
                <c:pt idx="173">
                  <c:v>Tampere</c:v>
                </c:pt>
                <c:pt idx="174">
                  <c:v>Manchester</c:v>
                </c:pt>
                <c:pt idx="175">
                  <c:v>Oulu</c:v>
                </c:pt>
                <c:pt idx="176">
                  <c:v>Berlin</c:v>
                </c:pt>
                <c:pt idx="177">
                  <c:v>Louvain</c:v>
                </c:pt>
                <c:pt idx="178">
                  <c:v>Kortrijk</c:v>
                </c:pt>
                <c:pt idx="179">
                  <c:v>Genk</c:v>
                </c:pt>
                <c:pt idx="180">
                  <c:v>Turku</c:v>
                </c:pt>
                <c:pt idx="181">
                  <c:v>Bern</c:v>
                </c:pt>
                <c:pt idx="182">
                  <c:v>Brussels</c:v>
                </c:pt>
                <c:pt idx="183">
                  <c:v>Perth</c:v>
                </c:pt>
                <c:pt idx="184">
                  <c:v>Zürich</c:v>
                </c:pt>
                <c:pt idx="185">
                  <c:v>Brisbane</c:v>
                </c:pt>
                <c:pt idx="186">
                  <c:v>Brest</c:v>
                </c:pt>
                <c:pt idx="187">
                  <c:v>Saskatoon</c:v>
                </c:pt>
                <c:pt idx="188">
                  <c:v>Le Havre</c:v>
                </c:pt>
                <c:pt idx="189">
                  <c:v>Ghent</c:v>
                </c:pt>
                <c:pt idx="190">
                  <c:v>Charleroi</c:v>
                </c:pt>
                <c:pt idx="191">
                  <c:v>Liège</c:v>
                </c:pt>
                <c:pt idx="192">
                  <c:v>Copenhagen</c:v>
                </c:pt>
                <c:pt idx="193">
                  <c:v>Washington D.C.</c:v>
                </c:pt>
                <c:pt idx="194">
                  <c:v>Esbjerg</c:v>
                </c:pt>
                <c:pt idx="195">
                  <c:v>Aalborg</c:v>
                </c:pt>
                <c:pt idx="196">
                  <c:v>Aarhus</c:v>
                </c:pt>
                <c:pt idx="197">
                  <c:v>Odense</c:v>
                </c:pt>
              </c:strCache>
            </c:strRef>
          </c:cat>
          <c:val>
            <c:numRef>
              <c:f>'2017Total charges cities 200 m³'!$K$500:$K$697</c:f>
              <c:numCache>
                <c:formatCode>_ * #,##0.00_ ;_ * \-#,##0.00_ ;_ * "-"??_ ;_ @_ </c:formatCode>
                <c:ptCount val="198"/>
                <c:pt idx="0">
                  <c:v>0</c:v>
                </c:pt>
                <c:pt idx="1">
                  <c:v>0</c:v>
                </c:pt>
                <c:pt idx="2">
                  <c:v>0</c:v>
                </c:pt>
                <c:pt idx="3">
                  <c:v>0</c:v>
                </c:pt>
                <c:pt idx="4">
                  <c:v>0</c:v>
                </c:pt>
                <c:pt idx="5">
                  <c:v>0</c:v>
                </c:pt>
                <c:pt idx="6">
                  <c:v>0</c:v>
                </c:pt>
                <c:pt idx="7">
                  <c:v>0</c:v>
                </c:pt>
                <c:pt idx="8">
                  <c:v>0</c:v>
                </c:pt>
                <c:pt idx="9">
                  <c:v>0</c:v>
                </c:pt>
                <c:pt idx="10">
                  <c:v>0</c:v>
                </c:pt>
                <c:pt idx="11">
                  <c:v>3.9950360412935018</c:v>
                </c:pt>
                <c:pt idx="12">
                  <c:v>0</c:v>
                </c:pt>
                <c:pt idx="13">
                  <c:v>0</c:v>
                </c:pt>
                <c:pt idx="14">
                  <c:v>0</c:v>
                </c:pt>
                <c:pt idx="15">
                  <c:v>0</c:v>
                </c:pt>
                <c:pt idx="16">
                  <c:v>0</c:v>
                </c:pt>
                <c:pt idx="17">
                  <c:v>4.6018769589583375</c:v>
                </c:pt>
                <c:pt idx="18">
                  <c:v>0</c:v>
                </c:pt>
                <c:pt idx="19">
                  <c:v>0</c:v>
                </c:pt>
                <c:pt idx="20">
                  <c:v>0</c:v>
                </c:pt>
                <c:pt idx="21">
                  <c:v>0</c:v>
                </c:pt>
                <c:pt idx="22">
                  <c:v>0</c:v>
                </c:pt>
                <c:pt idx="23">
                  <c:v>0</c:v>
                </c:pt>
                <c:pt idx="24">
                  <c:v>0</c:v>
                </c:pt>
                <c:pt idx="25">
                  <c:v>0</c:v>
                </c:pt>
                <c:pt idx="26">
                  <c:v>0.19207452491566729</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0.19207452491566729</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0.19207452491566729</c:v>
                </c:pt>
                <c:pt idx="85">
                  <c:v>0</c:v>
                </c:pt>
                <c:pt idx="86">
                  <c:v>0</c:v>
                </c:pt>
                <c:pt idx="87">
                  <c:v>0</c:v>
                </c:pt>
                <c:pt idx="88">
                  <c:v>0</c:v>
                </c:pt>
                <c:pt idx="89">
                  <c:v>0</c:v>
                </c:pt>
                <c:pt idx="90">
                  <c:v>0</c:v>
                </c:pt>
                <c:pt idx="91">
                  <c:v>0</c:v>
                </c:pt>
                <c:pt idx="92">
                  <c:v>0</c:v>
                </c:pt>
                <c:pt idx="93">
                  <c:v>0</c:v>
                </c:pt>
                <c:pt idx="94">
                  <c:v>0</c:v>
                </c:pt>
                <c:pt idx="95">
                  <c:v>0</c:v>
                </c:pt>
                <c:pt idx="96">
                  <c:v>0</c:v>
                </c:pt>
                <c:pt idx="97">
                  <c:v>0</c:v>
                </c:pt>
                <c:pt idx="98">
                  <c:v>1.2839390416940439</c:v>
                </c:pt>
                <c:pt idx="99">
                  <c:v>0</c:v>
                </c:pt>
                <c:pt idx="100">
                  <c:v>0</c:v>
                </c:pt>
                <c:pt idx="101">
                  <c:v>0</c:v>
                </c:pt>
                <c:pt idx="102">
                  <c:v>0.19207452491566729</c:v>
                </c:pt>
                <c:pt idx="103">
                  <c:v>0</c:v>
                </c:pt>
                <c:pt idx="105">
                  <c:v>0</c:v>
                </c:pt>
                <c:pt idx="106">
                  <c:v>0</c:v>
                </c:pt>
                <c:pt idx="107">
                  <c:v>0</c:v>
                </c:pt>
                <c:pt idx="108">
                  <c:v>0</c:v>
                </c:pt>
                <c:pt idx="109">
                  <c:v>0</c:v>
                </c:pt>
                <c:pt idx="110">
                  <c:v>0.19207452491566729</c:v>
                </c:pt>
                <c:pt idx="111">
                  <c:v>0</c:v>
                </c:pt>
                <c:pt idx="112">
                  <c:v>0</c:v>
                </c:pt>
                <c:pt idx="113">
                  <c:v>0</c:v>
                </c:pt>
                <c:pt idx="114">
                  <c:v>0</c:v>
                </c:pt>
                <c:pt idx="115">
                  <c:v>0</c:v>
                </c:pt>
                <c:pt idx="116">
                  <c:v>0</c:v>
                </c:pt>
                <c:pt idx="117">
                  <c:v>0</c:v>
                </c:pt>
                <c:pt idx="118">
                  <c:v>0</c:v>
                </c:pt>
                <c:pt idx="119">
                  <c:v>4.8378770963133695</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4.8378770963133695</c:v>
                </c:pt>
                <c:pt idx="138">
                  <c:v>0</c:v>
                </c:pt>
                <c:pt idx="139">
                  <c:v>0</c:v>
                </c:pt>
                <c:pt idx="140">
                  <c:v>0</c:v>
                </c:pt>
                <c:pt idx="141">
                  <c:v>4.8378770963133695</c:v>
                </c:pt>
                <c:pt idx="142">
                  <c:v>0</c:v>
                </c:pt>
                <c:pt idx="143">
                  <c:v>0</c:v>
                </c:pt>
                <c:pt idx="144">
                  <c:v>0</c:v>
                </c:pt>
                <c:pt idx="145">
                  <c:v>0</c:v>
                </c:pt>
                <c:pt idx="146">
                  <c:v>0</c:v>
                </c:pt>
                <c:pt idx="147">
                  <c:v>0</c:v>
                </c:pt>
                <c:pt idx="148">
                  <c:v>4.8378770963133695</c:v>
                </c:pt>
                <c:pt idx="149">
                  <c:v>0</c:v>
                </c:pt>
                <c:pt idx="150">
                  <c:v>0</c:v>
                </c:pt>
                <c:pt idx="151">
                  <c:v>0</c:v>
                </c:pt>
                <c:pt idx="152">
                  <c:v>0</c:v>
                </c:pt>
                <c:pt idx="153">
                  <c:v>0</c:v>
                </c:pt>
                <c:pt idx="154">
                  <c:v>0</c:v>
                </c:pt>
                <c:pt idx="155">
                  <c:v>0</c:v>
                </c:pt>
                <c:pt idx="156">
                  <c:v>11.380415601253286</c:v>
                </c:pt>
                <c:pt idx="157">
                  <c:v>11.380415601253286</c:v>
                </c:pt>
                <c:pt idx="158">
                  <c:v>11.380415601253286</c:v>
                </c:pt>
                <c:pt idx="159">
                  <c:v>0</c:v>
                </c:pt>
                <c:pt idx="160">
                  <c:v>0</c:v>
                </c:pt>
                <c:pt idx="161">
                  <c:v>0</c:v>
                </c:pt>
                <c:pt idx="162">
                  <c:v>0</c:v>
                </c:pt>
                <c:pt idx="163">
                  <c:v>0</c:v>
                </c:pt>
                <c:pt idx="164">
                  <c:v>0</c:v>
                </c:pt>
                <c:pt idx="165">
                  <c:v>0</c:v>
                </c:pt>
                <c:pt idx="166">
                  <c:v>0</c:v>
                </c:pt>
                <c:pt idx="167">
                  <c:v>0</c:v>
                </c:pt>
                <c:pt idx="168">
                  <c:v>4.8378770963133695</c:v>
                </c:pt>
                <c:pt idx="169">
                  <c:v>0</c:v>
                </c:pt>
                <c:pt idx="170">
                  <c:v>0</c:v>
                </c:pt>
                <c:pt idx="171">
                  <c:v>0</c:v>
                </c:pt>
                <c:pt idx="172">
                  <c:v>0</c:v>
                </c:pt>
                <c:pt idx="173">
                  <c:v>0</c:v>
                </c:pt>
                <c:pt idx="174">
                  <c:v>0</c:v>
                </c:pt>
                <c:pt idx="175">
                  <c:v>12.08869041187981</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5.6079074880636517</c:v>
                </c:pt>
                <c:pt idx="193">
                  <c:v>0</c:v>
                </c:pt>
                <c:pt idx="194">
                  <c:v>4.0620657861225649</c:v>
                </c:pt>
                <c:pt idx="195">
                  <c:v>6.1640236373542416</c:v>
                </c:pt>
                <c:pt idx="196">
                  <c:v>4.5956149032680287</c:v>
                </c:pt>
                <c:pt idx="197">
                  <c:v>4.3344821027315783</c:v>
                </c:pt>
              </c:numCache>
            </c:numRef>
          </c:val>
          <c:extLst>
            <c:ext xmlns:c16="http://schemas.microsoft.com/office/drawing/2014/chart" uri="{C3380CC4-5D6E-409C-BE32-E72D297353CC}">
              <c16:uniqueId val="{00000007-FDA9-4630-8379-36F30F7F66FF}"/>
            </c:ext>
          </c:extLst>
        </c:ser>
        <c:ser>
          <c:idx val="9"/>
          <c:order val="9"/>
          <c:tx>
            <c:strRef>
              <c:f>'2017Total charges cities 200 m³'!$L$499</c:f>
              <c:strCache>
                <c:ptCount val="1"/>
                <c:pt idx="0">
                  <c:v>total annual charges 200 m³</c:v>
                </c:pt>
              </c:strCache>
            </c:strRef>
          </c:tx>
          <c:spPr>
            <a:solidFill>
              <a:schemeClr val="accent4">
                <a:lumMod val="60000"/>
              </a:schemeClr>
            </a:solidFill>
            <a:ln>
              <a:noFill/>
            </a:ln>
            <a:effectLst/>
          </c:spPr>
          <c:invertIfNegative val="0"/>
          <c:cat>
            <c:strRef>
              <c:f>'2017Total charges cities 200 m³'!$A$500:$A$697</c:f>
              <c:strCache>
                <c:ptCount val="198"/>
                <c:pt idx="0">
                  <c:v>Provincia de Salta</c:v>
                </c:pt>
                <c:pt idx="1">
                  <c:v>La Rioja</c:v>
                </c:pt>
                <c:pt idx="2">
                  <c:v>Mar del Plata</c:v>
                </c:pt>
                <c:pt idx="3">
                  <c:v>Yerevan</c:v>
                </c:pt>
                <c:pt idx="4">
                  <c:v>Buenos Aires</c:v>
                </c:pt>
                <c:pt idx="5">
                  <c:v>Daejeon</c:v>
                </c:pt>
                <c:pt idx="6">
                  <c:v>Jujuy</c:v>
                </c:pt>
                <c:pt idx="7">
                  <c:v>Santiago del Estero</c:v>
                </c:pt>
                <c:pt idx="8">
                  <c:v>Provincia Buenos Aires</c:v>
                </c:pt>
                <c:pt idx="9">
                  <c:v>Seoul</c:v>
                </c:pt>
                <c:pt idx="10">
                  <c:v>Gwangju</c:v>
                </c:pt>
                <c:pt idx="11">
                  <c:v>Taipei</c:v>
                </c:pt>
                <c:pt idx="12">
                  <c:v>Guadalajara</c:v>
                </c:pt>
                <c:pt idx="13">
                  <c:v>Incheon</c:v>
                </c:pt>
                <c:pt idx="14">
                  <c:v>Guangzhou</c:v>
                </c:pt>
                <c:pt idx="15">
                  <c:v>Gyeounggi</c:v>
                </c:pt>
                <c:pt idx="16">
                  <c:v>Daegu</c:v>
                </c:pt>
                <c:pt idx="17">
                  <c:v>Kaohsiung</c:v>
                </c:pt>
                <c:pt idx="18">
                  <c:v>Busan</c:v>
                </c:pt>
                <c:pt idx="19">
                  <c:v>Sao Paulo</c:v>
                </c:pt>
                <c:pt idx="20">
                  <c:v>Monterrey</c:v>
                </c:pt>
                <c:pt idx="21">
                  <c:v>Shenzhen</c:v>
                </c:pt>
                <c:pt idx="22">
                  <c:v>Shanghai</c:v>
                </c:pt>
                <c:pt idx="23">
                  <c:v>Ulsan</c:v>
                </c:pt>
                <c:pt idx="24">
                  <c:v>Brazil average</c:v>
                </c:pt>
                <c:pt idx="25">
                  <c:v>Moscow</c:v>
                </c:pt>
                <c:pt idx="26">
                  <c:v>Milan</c:v>
                </c:pt>
                <c:pt idx="27">
                  <c:v>San Luis Potosi</c:v>
                </c:pt>
                <c:pt idx="28">
                  <c:v>Hong Kong</c:v>
                </c:pt>
                <c:pt idx="29">
                  <c:v>Russia average</c:v>
                </c:pt>
                <c:pt idx="30">
                  <c:v>Tianjin</c:v>
                </c:pt>
                <c:pt idx="31">
                  <c:v>Mexico City</c:v>
                </c:pt>
                <c:pt idx="32">
                  <c:v>Beijing</c:v>
                </c:pt>
                <c:pt idx="33">
                  <c:v>León, Guanajuato</c:v>
                </c:pt>
                <c:pt idx="34">
                  <c:v>Puebla</c:v>
                </c:pt>
                <c:pt idx="35">
                  <c:v>Izmir</c:v>
                </c:pt>
                <c:pt idx="36">
                  <c:v>Brasilia</c:v>
                </c:pt>
                <c:pt idx="37">
                  <c:v>Sofia</c:v>
                </c:pt>
                <c:pt idx="38">
                  <c:v>Pleven</c:v>
                </c:pt>
                <c:pt idx="39">
                  <c:v>Oradea</c:v>
                </c:pt>
                <c:pt idx="40">
                  <c:v>Bucharest</c:v>
                </c:pt>
                <c:pt idx="41">
                  <c:v>Osaka</c:v>
                </c:pt>
                <c:pt idx="42">
                  <c:v>Sibiu</c:v>
                </c:pt>
                <c:pt idx="43">
                  <c:v>Drobeta Turnu-Severin</c:v>
                </c:pt>
                <c:pt idx="44">
                  <c:v>Alexandria</c:v>
                </c:pt>
                <c:pt idx="45">
                  <c:v>Burgas</c:v>
                </c:pt>
                <c:pt idx="46">
                  <c:v>Cluj Napoca</c:v>
                </c:pt>
                <c:pt idx="47">
                  <c:v>Nagoya</c:v>
                </c:pt>
                <c:pt idx="48">
                  <c:v>Voluntari</c:v>
                </c:pt>
                <c:pt idx="49">
                  <c:v>Timisoara</c:v>
                </c:pt>
                <c:pt idx="50">
                  <c:v>Stara Zagora</c:v>
                </c:pt>
                <c:pt idx="51">
                  <c:v>Razgrad</c:v>
                </c:pt>
                <c:pt idx="52">
                  <c:v>Naples</c:v>
                </c:pt>
                <c:pt idx="53">
                  <c:v>Craiova</c:v>
                </c:pt>
                <c:pt idx="54">
                  <c:v>Kaposvár</c:v>
                </c:pt>
                <c:pt idx="55">
                  <c:v>Bacau</c:v>
                </c:pt>
                <c:pt idx="56">
                  <c:v>Lisbon</c:v>
                </c:pt>
                <c:pt idx="57">
                  <c:v>Botosani</c:v>
                </c:pt>
                <c:pt idx="58">
                  <c:v>Galati</c:v>
                </c:pt>
                <c:pt idx="59">
                  <c:v>Baia Mare</c:v>
                </c:pt>
                <c:pt idx="60">
                  <c:v>Brasov</c:v>
                </c:pt>
                <c:pt idx="61">
                  <c:v>Hiroshima</c:v>
                </c:pt>
                <c:pt idx="62">
                  <c:v>Turda</c:v>
                </c:pt>
                <c:pt idx="63">
                  <c:v>Vaslui</c:v>
                </c:pt>
                <c:pt idx="64">
                  <c:v>Medias</c:v>
                </c:pt>
                <c:pt idx="65">
                  <c:v>Madrid</c:v>
                </c:pt>
                <c:pt idx="66">
                  <c:v>Kampala</c:v>
                </c:pt>
                <c:pt idx="67">
                  <c:v>Jinja</c:v>
                </c:pt>
                <c:pt idx="68">
                  <c:v>Entebbe</c:v>
                </c:pt>
                <c:pt idx="69">
                  <c:v>Mbarara</c:v>
                </c:pt>
                <c:pt idx="70">
                  <c:v>Petrosani</c:v>
                </c:pt>
                <c:pt idx="71">
                  <c:v>Porto</c:v>
                </c:pt>
                <c:pt idx="72">
                  <c:v>Braila</c:v>
                </c:pt>
                <c:pt idx="73">
                  <c:v>Satu Mare</c:v>
                </c:pt>
                <c:pt idx="74">
                  <c:v>Arad</c:v>
                </c:pt>
                <c:pt idx="75">
                  <c:v>Bistrita</c:v>
                </c:pt>
                <c:pt idx="76">
                  <c:v>Targu-Mures</c:v>
                </c:pt>
                <c:pt idx="77">
                  <c:v>Miami</c:v>
                </c:pt>
                <c:pt idx="78">
                  <c:v>Piatra Neamt</c:v>
                </c:pt>
                <c:pt idx="79">
                  <c:v>Yokohama</c:v>
                </c:pt>
                <c:pt idx="80">
                  <c:v>Braga</c:v>
                </c:pt>
                <c:pt idx="81">
                  <c:v>Ankara</c:v>
                </c:pt>
                <c:pt idx="82">
                  <c:v>Prahova</c:v>
                </c:pt>
                <c:pt idx="83">
                  <c:v>Bilbao</c:v>
                </c:pt>
                <c:pt idx="84">
                  <c:v>Rome</c:v>
                </c:pt>
                <c:pt idx="85">
                  <c:v>Suceava</c:v>
                </c:pt>
                <c:pt idx="86">
                  <c:v>Coimbra</c:v>
                </c:pt>
                <c:pt idx="87">
                  <c:v>Chicago</c:v>
                </c:pt>
                <c:pt idx="88">
                  <c:v>Bialystok</c:v>
                </c:pt>
                <c:pt idx="89">
                  <c:v>Buzau</c:v>
                </c:pt>
                <c:pt idx="90">
                  <c:v>Tokyo</c:v>
                </c:pt>
                <c:pt idx="91">
                  <c:v>Ramnicu Valcea</c:v>
                </c:pt>
                <c:pt idx="92">
                  <c:v>Faro</c:v>
                </c:pt>
                <c:pt idx="93">
                  <c:v>Fukuoka</c:v>
                </c:pt>
                <c:pt idx="94">
                  <c:v>Miskolc</c:v>
                </c:pt>
                <c:pt idx="95">
                  <c:v>Targoviste</c:v>
                </c:pt>
                <c:pt idx="96">
                  <c:v>Sapporo</c:v>
                </c:pt>
                <c:pt idx="97">
                  <c:v>Pitesti</c:v>
                </c:pt>
                <c:pt idx="98">
                  <c:v>Debrecen</c:v>
                </c:pt>
                <c:pt idx="99">
                  <c:v>Constanta</c:v>
                </c:pt>
                <c:pt idx="100">
                  <c:v>Tarnow</c:v>
                </c:pt>
                <c:pt idx="101">
                  <c:v>Stockholm</c:v>
                </c:pt>
                <c:pt idx="102">
                  <c:v>Turin</c:v>
                </c:pt>
                <c:pt idx="103">
                  <c:v>Budapest</c:v>
                </c:pt>
                <c:pt idx="104">
                  <c:v>Sintra</c:v>
                </c:pt>
                <c:pt idx="105">
                  <c:v>Valencia</c:v>
                </c:pt>
                <c:pt idx="106">
                  <c:v>Loures</c:v>
                </c:pt>
                <c:pt idx="107">
                  <c:v>Istanbul</c:v>
                </c:pt>
                <c:pt idx="108">
                  <c:v>Sevilla</c:v>
                </c:pt>
                <c:pt idx="109">
                  <c:v>Sendai</c:v>
                </c:pt>
                <c:pt idx="110">
                  <c:v>Bologna</c:v>
                </c:pt>
                <c:pt idx="111">
                  <c:v>Radom</c:v>
                </c:pt>
                <c:pt idx="112">
                  <c:v>Malmö</c:v>
                </c:pt>
                <c:pt idx="113">
                  <c:v>Pécs</c:v>
                </c:pt>
                <c:pt idx="114">
                  <c:v>Nicosia</c:v>
                </c:pt>
                <c:pt idx="115">
                  <c:v>Bydgoszcz</c:v>
                </c:pt>
                <c:pt idx="116">
                  <c:v>Minneapolis</c:v>
                </c:pt>
                <c:pt idx="117">
                  <c:v>Wroclaw</c:v>
                </c:pt>
                <c:pt idx="118">
                  <c:v>Larnaca</c:v>
                </c:pt>
                <c:pt idx="119">
                  <c:v>Eindhoven</c:v>
                </c:pt>
                <c:pt idx="120">
                  <c:v>London</c:v>
                </c:pt>
                <c:pt idx="121">
                  <c:v>Paphos</c:v>
                </c:pt>
                <c:pt idx="122">
                  <c:v>Warsaw</c:v>
                </c:pt>
                <c:pt idx="123">
                  <c:v>Trondheim</c:v>
                </c:pt>
                <c:pt idx="124">
                  <c:v>Durham</c:v>
                </c:pt>
                <c:pt idx="125">
                  <c:v>Macao, China average</c:v>
                </c:pt>
                <c:pt idx="126">
                  <c:v>Denver</c:v>
                </c:pt>
                <c:pt idx="127">
                  <c:v>New York</c:v>
                </c:pt>
                <c:pt idx="128">
                  <c:v>Brno</c:v>
                </c:pt>
                <c:pt idx="129">
                  <c:v>Ostrava</c:v>
                </c:pt>
                <c:pt idx="130">
                  <c:v>Lyon</c:v>
                </c:pt>
                <c:pt idx="131">
                  <c:v>Strassbourg</c:v>
                </c:pt>
                <c:pt idx="132">
                  <c:v>Barcelona</c:v>
                </c:pt>
                <c:pt idx="133">
                  <c:v>Los Angeles</c:v>
                </c:pt>
                <c:pt idx="134">
                  <c:v>Limassol</c:v>
                </c:pt>
                <c:pt idx="135">
                  <c:v>Reims</c:v>
                </c:pt>
                <c:pt idx="136">
                  <c:v>Lausanne</c:v>
                </c:pt>
                <c:pt idx="137">
                  <c:v>Amsterdam</c:v>
                </c:pt>
                <c:pt idx="138">
                  <c:v>Oslo</c:v>
                </c:pt>
                <c:pt idx="139">
                  <c:v>Vancouver</c:v>
                </c:pt>
                <c:pt idx="140">
                  <c:v>Bordeaux</c:v>
                </c:pt>
                <c:pt idx="141">
                  <c:v>Utrecht</c:v>
                </c:pt>
                <c:pt idx="142">
                  <c:v>Birmingham</c:v>
                </c:pt>
                <c:pt idx="143">
                  <c:v>Prague</c:v>
                </c:pt>
                <c:pt idx="144">
                  <c:v>Plzeñ</c:v>
                </c:pt>
                <c:pt idx="145">
                  <c:v>Linköping</c:v>
                </c:pt>
                <c:pt idx="146">
                  <c:v>Nancy</c:v>
                </c:pt>
                <c:pt idx="147">
                  <c:v>Ottawa</c:v>
                </c:pt>
                <c:pt idx="148">
                  <c:v>Rotterdam</c:v>
                </c:pt>
                <c:pt idx="149">
                  <c:v>Göteborg</c:v>
                </c:pt>
                <c:pt idx="150">
                  <c:v>Winnipeg</c:v>
                </c:pt>
                <c:pt idx="151">
                  <c:v>Sydney</c:v>
                </c:pt>
                <c:pt idx="152">
                  <c:v>Paris</c:v>
                </c:pt>
                <c:pt idx="153">
                  <c:v>Marseille</c:v>
                </c:pt>
                <c:pt idx="154">
                  <c:v>Malta average</c:v>
                </c:pt>
                <c:pt idx="155">
                  <c:v>Geneva</c:v>
                </c:pt>
                <c:pt idx="156">
                  <c:v>Espoo</c:v>
                </c:pt>
                <c:pt idx="157">
                  <c:v>Helsinki</c:v>
                </c:pt>
                <c:pt idx="158">
                  <c:v>Vantaa</c:v>
                </c:pt>
                <c:pt idx="159">
                  <c:v>Calgary</c:v>
                </c:pt>
                <c:pt idx="160">
                  <c:v>Bergen</c:v>
                </c:pt>
                <c:pt idx="161">
                  <c:v>Canberra</c:v>
                </c:pt>
                <c:pt idx="162">
                  <c:v>Lille</c:v>
                </c:pt>
                <c:pt idx="163">
                  <c:v>Leeds</c:v>
                </c:pt>
                <c:pt idx="164">
                  <c:v>Usti nad Labem</c:v>
                </c:pt>
                <c:pt idx="165">
                  <c:v>Antwerp</c:v>
                </c:pt>
                <c:pt idx="166">
                  <c:v>Basel</c:v>
                </c:pt>
                <c:pt idx="167">
                  <c:v>Uppsala</c:v>
                </c:pt>
                <c:pt idx="168">
                  <c:v>Den Haag</c:v>
                </c:pt>
                <c:pt idx="169">
                  <c:v>Cardiff</c:v>
                </c:pt>
                <c:pt idx="170">
                  <c:v>Austria average</c:v>
                </c:pt>
                <c:pt idx="171">
                  <c:v>Melbourne</c:v>
                </c:pt>
                <c:pt idx="172">
                  <c:v>SEDIF</c:v>
                </c:pt>
                <c:pt idx="173">
                  <c:v>Tampere</c:v>
                </c:pt>
                <c:pt idx="174">
                  <c:v>Manchester</c:v>
                </c:pt>
                <c:pt idx="175">
                  <c:v>Oulu</c:v>
                </c:pt>
                <c:pt idx="176">
                  <c:v>Berlin</c:v>
                </c:pt>
                <c:pt idx="177">
                  <c:v>Louvain</c:v>
                </c:pt>
                <c:pt idx="178">
                  <c:v>Kortrijk</c:v>
                </c:pt>
                <c:pt idx="179">
                  <c:v>Genk</c:v>
                </c:pt>
                <c:pt idx="180">
                  <c:v>Turku</c:v>
                </c:pt>
                <c:pt idx="181">
                  <c:v>Bern</c:v>
                </c:pt>
                <c:pt idx="182">
                  <c:v>Brussels</c:v>
                </c:pt>
                <c:pt idx="183">
                  <c:v>Perth</c:v>
                </c:pt>
                <c:pt idx="184">
                  <c:v>Zürich</c:v>
                </c:pt>
                <c:pt idx="185">
                  <c:v>Brisbane</c:v>
                </c:pt>
                <c:pt idx="186">
                  <c:v>Brest</c:v>
                </c:pt>
                <c:pt idx="187">
                  <c:v>Saskatoon</c:v>
                </c:pt>
                <c:pt idx="188">
                  <c:v>Le Havre</c:v>
                </c:pt>
                <c:pt idx="189">
                  <c:v>Ghent</c:v>
                </c:pt>
                <c:pt idx="190">
                  <c:v>Charleroi</c:v>
                </c:pt>
                <c:pt idx="191">
                  <c:v>Liège</c:v>
                </c:pt>
                <c:pt idx="192">
                  <c:v>Copenhagen</c:v>
                </c:pt>
                <c:pt idx="193">
                  <c:v>Washington D.C.</c:v>
                </c:pt>
                <c:pt idx="194">
                  <c:v>Esbjerg</c:v>
                </c:pt>
                <c:pt idx="195">
                  <c:v>Aalborg</c:v>
                </c:pt>
                <c:pt idx="196">
                  <c:v>Aarhus</c:v>
                </c:pt>
                <c:pt idx="197">
                  <c:v>Odense</c:v>
                </c:pt>
              </c:strCache>
            </c:strRef>
          </c:cat>
          <c:val>
            <c:numRef>
              <c:f>'2017Total charges cities 200 m³'!$L$500:$L$697</c:f>
              <c:numCache>
                <c:formatCode>_ * #,##0.00_ ;_ * \-#,##0.00_ ;_ * "-"??_ ;_ @_ </c:formatCode>
                <c:ptCount val="198"/>
                <c:pt idx="0">
                  <c:v>33.30485707480905</c:v>
                </c:pt>
                <c:pt idx="1">
                  <c:v>42.096117856226968</c:v>
                </c:pt>
                <c:pt idx="2">
                  <c:v>62.109246683788257</c:v>
                </c:pt>
                <c:pt idx="4">
                  <c:v>79.756820995801675</c:v>
                </c:pt>
                <c:pt idx="6">
                  <c:v>104.3720286081561</c:v>
                </c:pt>
                <c:pt idx="7">
                  <c:v>104.3994475354954</c:v>
                </c:pt>
                <c:pt idx="8">
                  <c:v>106.03544353340726</c:v>
                </c:pt>
                <c:pt idx="19">
                  <c:v>146.75109383917169</c:v>
                </c:pt>
                <c:pt idx="24">
                  <c:v>178.75853405923792</c:v>
                </c:pt>
                <c:pt idx="36">
                  <c:v>263.91040332394249</c:v>
                </c:pt>
              </c:numCache>
            </c:numRef>
          </c:val>
          <c:extLst>
            <c:ext xmlns:c16="http://schemas.microsoft.com/office/drawing/2014/chart" uri="{C3380CC4-5D6E-409C-BE32-E72D297353CC}">
              <c16:uniqueId val="{00000008-FDA9-4630-8379-36F30F7F66FF}"/>
            </c:ext>
          </c:extLst>
        </c:ser>
        <c:dLbls>
          <c:showLegendKey val="0"/>
          <c:showVal val="0"/>
          <c:showCatName val="0"/>
          <c:showSerName val="0"/>
          <c:showPercent val="0"/>
          <c:showBubbleSize val="0"/>
        </c:dLbls>
        <c:gapWidth val="219"/>
        <c:overlap val="100"/>
        <c:axId val="344826768"/>
        <c:axId val="344827160"/>
        <c:extLst>
          <c:ext xmlns:c15="http://schemas.microsoft.com/office/drawing/2012/chart" uri="{02D57815-91ED-43cb-92C2-25804820EDAC}">
            <c15:filteredBarSeries>
              <c15:ser>
                <c:idx val="4"/>
                <c:order val="4"/>
                <c:tx>
                  <c:strRef>
                    <c:extLst>
                      <c:ext uri="{02D57815-91ED-43cb-92C2-25804820EDAC}">
                        <c15:formulaRef>
                          <c15:sqref>'2017Total charges cities 200 m³'!$G$499</c15:sqref>
                        </c15:formulaRef>
                      </c:ext>
                    </c:extLst>
                    <c:strCache>
                      <c:ptCount val="1"/>
                      <c:pt idx="0">
                        <c:v>Total charge drinking water</c:v>
                      </c:pt>
                    </c:strCache>
                  </c:strRef>
                </c:tx>
                <c:spPr>
                  <a:solidFill>
                    <a:schemeClr val="accent5"/>
                  </a:solidFill>
                  <a:ln>
                    <a:noFill/>
                  </a:ln>
                  <a:effectLst/>
                </c:spPr>
                <c:invertIfNegative val="0"/>
                <c:cat>
                  <c:strRef>
                    <c:extLst>
                      <c:ext uri="{02D57815-91ED-43cb-92C2-25804820EDAC}">
                        <c15:formulaRef>
                          <c15:sqref>'2017Total charges cities 200 m³'!$A$500:$A$697</c15:sqref>
                        </c15:formulaRef>
                      </c:ext>
                    </c:extLst>
                    <c:strCache>
                      <c:ptCount val="198"/>
                      <c:pt idx="0">
                        <c:v>Provincia de Salta</c:v>
                      </c:pt>
                      <c:pt idx="1">
                        <c:v>La Rioja</c:v>
                      </c:pt>
                      <c:pt idx="2">
                        <c:v>Mar del Plata</c:v>
                      </c:pt>
                      <c:pt idx="3">
                        <c:v>Yerevan</c:v>
                      </c:pt>
                      <c:pt idx="4">
                        <c:v>Buenos Aires</c:v>
                      </c:pt>
                      <c:pt idx="5">
                        <c:v>Daejeon</c:v>
                      </c:pt>
                      <c:pt idx="6">
                        <c:v>Jujuy</c:v>
                      </c:pt>
                      <c:pt idx="7">
                        <c:v>Santiago del Estero</c:v>
                      </c:pt>
                      <c:pt idx="8">
                        <c:v>Provincia Buenos Aires</c:v>
                      </c:pt>
                      <c:pt idx="9">
                        <c:v>Seoul</c:v>
                      </c:pt>
                      <c:pt idx="10">
                        <c:v>Gwangju</c:v>
                      </c:pt>
                      <c:pt idx="11">
                        <c:v>Taipei</c:v>
                      </c:pt>
                      <c:pt idx="12">
                        <c:v>Guadalajara</c:v>
                      </c:pt>
                      <c:pt idx="13">
                        <c:v>Incheon</c:v>
                      </c:pt>
                      <c:pt idx="14">
                        <c:v>Guangzhou</c:v>
                      </c:pt>
                      <c:pt idx="15">
                        <c:v>Gyeounggi</c:v>
                      </c:pt>
                      <c:pt idx="16">
                        <c:v>Daegu</c:v>
                      </c:pt>
                      <c:pt idx="17">
                        <c:v>Kaohsiung</c:v>
                      </c:pt>
                      <c:pt idx="18">
                        <c:v>Busan</c:v>
                      </c:pt>
                      <c:pt idx="19">
                        <c:v>Sao Paulo</c:v>
                      </c:pt>
                      <c:pt idx="20">
                        <c:v>Monterrey</c:v>
                      </c:pt>
                      <c:pt idx="21">
                        <c:v>Shenzhen</c:v>
                      </c:pt>
                      <c:pt idx="22">
                        <c:v>Shanghai</c:v>
                      </c:pt>
                      <c:pt idx="23">
                        <c:v>Ulsan</c:v>
                      </c:pt>
                      <c:pt idx="24">
                        <c:v>Brazil average</c:v>
                      </c:pt>
                      <c:pt idx="25">
                        <c:v>Moscow</c:v>
                      </c:pt>
                      <c:pt idx="26">
                        <c:v>Milan</c:v>
                      </c:pt>
                      <c:pt idx="27">
                        <c:v>San Luis Potosi</c:v>
                      </c:pt>
                      <c:pt idx="28">
                        <c:v>Hong Kong</c:v>
                      </c:pt>
                      <c:pt idx="29">
                        <c:v>Russia average</c:v>
                      </c:pt>
                      <c:pt idx="30">
                        <c:v>Tianjin</c:v>
                      </c:pt>
                      <c:pt idx="31">
                        <c:v>Mexico City</c:v>
                      </c:pt>
                      <c:pt idx="32">
                        <c:v>Beijing</c:v>
                      </c:pt>
                      <c:pt idx="33">
                        <c:v>León, Guanajuato</c:v>
                      </c:pt>
                      <c:pt idx="34">
                        <c:v>Puebla</c:v>
                      </c:pt>
                      <c:pt idx="35">
                        <c:v>Izmir</c:v>
                      </c:pt>
                      <c:pt idx="36">
                        <c:v>Brasilia</c:v>
                      </c:pt>
                      <c:pt idx="37">
                        <c:v>Sofia</c:v>
                      </c:pt>
                      <c:pt idx="38">
                        <c:v>Pleven</c:v>
                      </c:pt>
                      <c:pt idx="39">
                        <c:v>Oradea</c:v>
                      </c:pt>
                      <c:pt idx="40">
                        <c:v>Bucharest</c:v>
                      </c:pt>
                      <c:pt idx="41">
                        <c:v>Osaka</c:v>
                      </c:pt>
                      <c:pt idx="42">
                        <c:v>Sibiu</c:v>
                      </c:pt>
                      <c:pt idx="43">
                        <c:v>Drobeta Turnu-Severin</c:v>
                      </c:pt>
                      <c:pt idx="44">
                        <c:v>Alexandria</c:v>
                      </c:pt>
                      <c:pt idx="45">
                        <c:v>Burgas</c:v>
                      </c:pt>
                      <c:pt idx="46">
                        <c:v>Cluj Napoca</c:v>
                      </c:pt>
                      <c:pt idx="47">
                        <c:v>Nagoya</c:v>
                      </c:pt>
                      <c:pt idx="48">
                        <c:v>Voluntari</c:v>
                      </c:pt>
                      <c:pt idx="49">
                        <c:v>Timisoara</c:v>
                      </c:pt>
                      <c:pt idx="50">
                        <c:v>Stara Zagora</c:v>
                      </c:pt>
                      <c:pt idx="51">
                        <c:v>Razgrad</c:v>
                      </c:pt>
                      <c:pt idx="52">
                        <c:v>Naples</c:v>
                      </c:pt>
                      <c:pt idx="53">
                        <c:v>Craiova</c:v>
                      </c:pt>
                      <c:pt idx="54">
                        <c:v>Kaposvár</c:v>
                      </c:pt>
                      <c:pt idx="55">
                        <c:v>Bacau</c:v>
                      </c:pt>
                      <c:pt idx="56">
                        <c:v>Lisbon</c:v>
                      </c:pt>
                      <c:pt idx="57">
                        <c:v>Botosani</c:v>
                      </c:pt>
                      <c:pt idx="58">
                        <c:v>Galati</c:v>
                      </c:pt>
                      <c:pt idx="59">
                        <c:v>Baia Mare</c:v>
                      </c:pt>
                      <c:pt idx="60">
                        <c:v>Brasov</c:v>
                      </c:pt>
                      <c:pt idx="61">
                        <c:v>Hiroshima</c:v>
                      </c:pt>
                      <c:pt idx="62">
                        <c:v>Turda</c:v>
                      </c:pt>
                      <c:pt idx="63">
                        <c:v>Vaslui</c:v>
                      </c:pt>
                      <c:pt idx="64">
                        <c:v>Medias</c:v>
                      </c:pt>
                      <c:pt idx="65">
                        <c:v>Madrid</c:v>
                      </c:pt>
                      <c:pt idx="66">
                        <c:v>Kampala</c:v>
                      </c:pt>
                      <c:pt idx="67">
                        <c:v>Jinja</c:v>
                      </c:pt>
                      <c:pt idx="68">
                        <c:v>Entebbe</c:v>
                      </c:pt>
                      <c:pt idx="69">
                        <c:v>Mbarara</c:v>
                      </c:pt>
                      <c:pt idx="70">
                        <c:v>Petrosani</c:v>
                      </c:pt>
                      <c:pt idx="71">
                        <c:v>Porto</c:v>
                      </c:pt>
                      <c:pt idx="72">
                        <c:v>Braila</c:v>
                      </c:pt>
                      <c:pt idx="73">
                        <c:v>Satu Mare</c:v>
                      </c:pt>
                      <c:pt idx="74">
                        <c:v>Arad</c:v>
                      </c:pt>
                      <c:pt idx="75">
                        <c:v>Bistrita</c:v>
                      </c:pt>
                      <c:pt idx="76">
                        <c:v>Targu-Mures</c:v>
                      </c:pt>
                      <c:pt idx="77">
                        <c:v>Miami</c:v>
                      </c:pt>
                      <c:pt idx="78">
                        <c:v>Piatra Neamt</c:v>
                      </c:pt>
                      <c:pt idx="79">
                        <c:v>Yokohama</c:v>
                      </c:pt>
                      <c:pt idx="80">
                        <c:v>Braga</c:v>
                      </c:pt>
                      <c:pt idx="81">
                        <c:v>Ankara</c:v>
                      </c:pt>
                      <c:pt idx="82">
                        <c:v>Prahova</c:v>
                      </c:pt>
                      <c:pt idx="83">
                        <c:v>Bilbao</c:v>
                      </c:pt>
                      <c:pt idx="84">
                        <c:v>Rome</c:v>
                      </c:pt>
                      <c:pt idx="85">
                        <c:v>Suceava</c:v>
                      </c:pt>
                      <c:pt idx="86">
                        <c:v>Coimbra</c:v>
                      </c:pt>
                      <c:pt idx="87">
                        <c:v>Chicago</c:v>
                      </c:pt>
                      <c:pt idx="88">
                        <c:v>Bialystok</c:v>
                      </c:pt>
                      <c:pt idx="89">
                        <c:v>Buzau</c:v>
                      </c:pt>
                      <c:pt idx="90">
                        <c:v>Tokyo</c:v>
                      </c:pt>
                      <c:pt idx="91">
                        <c:v>Ramnicu Valcea</c:v>
                      </c:pt>
                      <c:pt idx="92">
                        <c:v>Faro</c:v>
                      </c:pt>
                      <c:pt idx="93">
                        <c:v>Fukuoka</c:v>
                      </c:pt>
                      <c:pt idx="94">
                        <c:v>Miskolc</c:v>
                      </c:pt>
                      <c:pt idx="95">
                        <c:v>Targoviste</c:v>
                      </c:pt>
                      <c:pt idx="96">
                        <c:v>Sapporo</c:v>
                      </c:pt>
                      <c:pt idx="97">
                        <c:v>Pitesti</c:v>
                      </c:pt>
                      <c:pt idx="98">
                        <c:v>Debrecen</c:v>
                      </c:pt>
                      <c:pt idx="99">
                        <c:v>Constanta</c:v>
                      </c:pt>
                      <c:pt idx="100">
                        <c:v>Tarnow</c:v>
                      </c:pt>
                      <c:pt idx="101">
                        <c:v>Stockholm</c:v>
                      </c:pt>
                      <c:pt idx="102">
                        <c:v>Turin</c:v>
                      </c:pt>
                      <c:pt idx="103">
                        <c:v>Budapest</c:v>
                      </c:pt>
                      <c:pt idx="104">
                        <c:v>Sintra</c:v>
                      </c:pt>
                      <c:pt idx="105">
                        <c:v>Valencia</c:v>
                      </c:pt>
                      <c:pt idx="106">
                        <c:v>Loures</c:v>
                      </c:pt>
                      <c:pt idx="107">
                        <c:v>Istanbul</c:v>
                      </c:pt>
                      <c:pt idx="108">
                        <c:v>Sevilla</c:v>
                      </c:pt>
                      <c:pt idx="109">
                        <c:v>Sendai</c:v>
                      </c:pt>
                      <c:pt idx="110">
                        <c:v>Bologna</c:v>
                      </c:pt>
                      <c:pt idx="111">
                        <c:v>Radom</c:v>
                      </c:pt>
                      <c:pt idx="112">
                        <c:v>Malmö</c:v>
                      </c:pt>
                      <c:pt idx="113">
                        <c:v>Pécs</c:v>
                      </c:pt>
                      <c:pt idx="114">
                        <c:v>Nicosia</c:v>
                      </c:pt>
                      <c:pt idx="115">
                        <c:v>Bydgoszcz</c:v>
                      </c:pt>
                      <c:pt idx="116">
                        <c:v>Minneapolis</c:v>
                      </c:pt>
                      <c:pt idx="117">
                        <c:v>Wroclaw</c:v>
                      </c:pt>
                      <c:pt idx="118">
                        <c:v>Larnaca</c:v>
                      </c:pt>
                      <c:pt idx="119">
                        <c:v>Eindhoven</c:v>
                      </c:pt>
                      <c:pt idx="120">
                        <c:v>London</c:v>
                      </c:pt>
                      <c:pt idx="121">
                        <c:v>Paphos</c:v>
                      </c:pt>
                      <c:pt idx="122">
                        <c:v>Warsaw</c:v>
                      </c:pt>
                      <c:pt idx="123">
                        <c:v>Trondheim</c:v>
                      </c:pt>
                      <c:pt idx="124">
                        <c:v>Durham</c:v>
                      </c:pt>
                      <c:pt idx="125">
                        <c:v>Macao, China average</c:v>
                      </c:pt>
                      <c:pt idx="126">
                        <c:v>Denver</c:v>
                      </c:pt>
                      <c:pt idx="127">
                        <c:v>New York</c:v>
                      </c:pt>
                      <c:pt idx="128">
                        <c:v>Brno</c:v>
                      </c:pt>
                      <c:pt idx="129">
                        <c:v>Ostrava</c:v>
                      </c:pt>
                      <c:pt idx="130">
                        <c:v>Lyon</c:v>
                      </c:pt>
                      <c:pt idx="131">
                        <c:v>Strassbourg</c:v>
                      </c:pt>
                      <c:pt idx="132">
                        <c:v>Barcelona</c:v>
                      </c:pt>
                      <c:pt idx="133">
                        <c:v>Los Angeles</c:v>
                      </c:pt>
                      <c:pt idx="134">
                        <c:v>Limassol</c:v>
                      </c:pt>
                      <c:pt idx="135">
                        <c:v>Reims</c:v>
                      </c:pt>
                      <c:pt idx="136">
                        <c:v>Lausanne</c:v>
                      </c:pt>
                      <c:pt idx="137">
                        <c:v>Amsterdam</c:v>
                      </c:pt>
                      <c:pt idx="138">
                        <c:v>Oslo</c:v>
                      </c:pt>
                      <c:pt idx="139">
                        <c:v>Vancouver</c:v>
                      </c:pt>
                      <c:pt idx="140">
                        <c:v>Bordeaux</c:v>
                      </c:pt>
                      <c:pt idx="141">
                        <c:v>Utrecht</c:v>
                      </c:pt>
                      <c:pt idx="142">
                        <c:v>Birmingham</c:v>
                      </c:pt>
                      <c:pt idx="143">
                        <c:v>Prague</c:v>
                      </c:pt>
                      <c:pt idx="144">
                        <c:v>Plzeñ</c:v>
                      </c:pt>
                      <c:pt idx="145">
                        <c:v>Linköping</c:v>
                      </c:pt>
                      <c:pt idx="146">
                        <c:v>Nancy</c:v>
                      </c:pt>
                      <c:pt idx="147">
                        <c:v>Ottawa</c:v>
                      </c:pt>
                      <c:pt idx="148">
                        <c:v>Rotterdam</c:v>
                      </c:pt>
                      <c:pt idx="149">
                        <c:v>Göteborg</c:v>
                      </c:pt>
                      <c:pt idx="150">
                        <c:v>Winnipeg</c:v>
                      </c:pt>
                      <c:pt idx="151">
                        <c:v>Sydney</c:v>
                      </c:pt>
                      <c:pt idx="152">
                        <c:v>Paris</c:v>
                      </c:pt>
                      <c:pt idx="153">
                        <c:v>Marseille</c:v>
                      </c:pt>
                      <c:pt idx="154">
                        <c:v>Malta average</c:v>
                      </c:pt>
                      <c:pt idx="155">
                        <c:v>Geneva</c:v>
                      </c:pt>
                      <c:pt idx="156">
                        <c:v>Espoo</c:v>
                      </c:pt>
                      <c:pt idx="157">
                        <c:v>Helsinki</c:v>
                      </c:pt>
                      <c:pt idx="158">
                        <c:v>Vantaa</c:v>
                      </c:pt>
                      <c:pt idx="159">
                        <c:v>Calgary</c:v>
                      </c:pt>
                      <c:pt idx="160">
                        <c:v>Bergen</c:v>
                      </c:pt>
                      <c:pt idx="161">
                        <c:v>Canberra</c:v>
                      </c:pt>
                      <c:pt idx="162">
                        <c:v>Lille</c:v>
                      </c:pt>
                      <c:pt idx="163">
                        <c:v>Leeds</c:v>
                      </c:pt>
                      <c:pt idx="164">
                        <c:v>Usti nad Labem</c:v>
                      </c:pt>
                      <c:pt idx="165">
                        <c:v>Antwerp</c:v>
                      </c:pt>
                      <c:pt idx="166">
                        <c:v>Basel</c:v>
                      </c:pt>
                      <c:pt idx="167">
                        <c:v>Uppsala</c:v>
                      </c:pt>
                      <c:pt idx="168">
                        <c:v>Den Haag</c:v>
                      </c:pt>
                      <c:pt idx="169">
                        <c:v>Cardiff</c:v>
                      </c:pt>
                      <c:pt idx="170">
                        <c:v>Austria average</c:v>
                      </c:pt>
                      <c:pt idx="171">
                        <c:v>Melbourne</c:v>
                      </c:pt>
                      <c:pt idx="172">
                        <c:v>SEDIF</c:v>
                      </c:pt>
                      <c:pt idx="173">
                        <c:v>Tampere</c:v>
                      </c:pt>
                      <c:pt idx="174">
                        <c:v>Manchester</c:v>
                      </c:pt>
                      <c:pt idx="175">
                        <c:v>Oulu</c:v>
                      </c:pt>
                      <c:pt idx="176">
                        <c:v>Berlin</c:v>
                      </c:pt>
                      <c:pt idx="177">
                        <c:v>Louvain</c:v>
                      </c:pt>
                      <c:pt idx="178">
                        <c:v>Kortrijk</c:v>
                      </c:pt>
                      <c:pt idx="179">
                        <c:v>Genk</c:v>
                      </c:pt>
                      <c:pt idx="180">
                        <c:v>Turku</c:v>
                      </c:pt>
                      <c:pt idx="181">
                        <c:v>Bern</c:v>
                      </c:pt>
                      <c:pt idx="182">
                        <c:v>Brussels</c:v>
                      </c:pt>
                      <c:pt idx="183">
                        <c:v>Perth</c:v>
                      </c:pt>
                      <c:pt idx="184">
                        <c:v>Zürich</c:v>
                      </c:pt>
                      <c:pt idx="185">
                        <c:v>Brisbane</c:v>
                      </c:pt>
                      <c:pt idx="186">
                        <c:v>Brest</c:v>
                      </c:pt>
                      <c:pt idx="187">
                        <c:v>Saskatoon</c:v>
                      </c:pt>
                      <c:pt idx="188">
                        <c:v>Le Havre</c:v>
                      </c:pt>
                      <c:pt idx="189">
                        <c:v>Ghent</c:v>
                      </c:pt>
                      <c:pt idx="190">
                        <c:v>Charleroi</c:v>
                      </c:pt>
                      <c:pt idx="191">
                        <c:v>Liège</c:v>
                      </c:pt>
                      <c:pt idx="192">
                        <c:v>Copenhagen</c:v>
                      </c:pt>
                      <c:pt idx="193">
                        <c:v>Washington D.C.</c:v>
                      </c:pt>
                      <c:pt idx="194">
                        <c:v>Esbjerg</c:v>
                      </c:pt>
                      <c:pt idx="195">
                        <c:v>Aalborg</c:v>
                      </c:pt>
                      <c:pt idx="196">
                        <c:v>Aarhus</c:v>
                      </c:pt>
                      <c:pt idx="197">
                        <c:v>Odense</c:v>
                      </c:pt>
                    </c:strCache>
                  </c:strRef>
                </c:cat>
                <c:val>
                  <c:numRef>
                    <c:extLst>
                      <c:ext uri="{02D57815-91ED-43cb-92C2-25804820EDAC}">
                        <c15:formulaRef>
                          <c15:sqref>'2017Total charges cities 200 m³'!$G$500:$G$697</c15:sqref>
                        </c15:formulaRef>
                      </c:ext>
                    </c:extLst>
                    <c:numCache>
                      <c:formatCode>_ * #,##0.00_ ;_ * \-#,##0.00_ ;_ * "-"??_ ;_ @_ </c:formatCode>
                      <c:ptCount val="198"/>
                      <c:pt idx="0">
                        <c:v>0</c:v>
                      </c:pt>
                      <c:pt idx="1">
                        <c:v>0</c:v>
                      </c:pt>
                      <c:pt idx="2">
                        <c:v>0</c:v>
                      </c:pt>
                      <c:pt idx="3">
                        <c:v>63.342827029286823</c:v>
                      </c:pt>
                      <c:pt idx="4">
                        <c:v>0</c:v>
                      </c:pt>
                      <c:pt idx="5">
                        <c:v>99.327600505627913</c:v>
                      </c:pt>
                      <c:pt idx="6">
                        <c:v>0</c:v>
                      </c:pt>
                      <c:pt idx="7">
                        <c:v>0</c:v>
                      </c:pt>
                      <c:pt idx="8">
                        <c:v>0</c:v>
                      </c:pt>
                      <c:pt idx="9">
                        <c:v>107.2378189267215</c:v>
                      </c:pt>
                      <c:pt idx="10">
                        <c:v>116.66634941442312</c:v>
                      </c:pt>
                      <c:pt idx="11">
                        <c:v>83.406912794600203</c:v>
                      </c:pt>
                      <c:pt idx="12">
                        <c:v>114.8934439564015</c:v>
                      </c:pt>
                      <c:pt idx="13">
                        <c:v>125.86994478114576</c:v>
                      </c:pt>
                      <c:pt idx="14">
                        <c:v>91.359877940742194</c:v>
                      </c:pt>
                      <c:pt idx="15">
                        <c:v>128.92531350777671</c:v>
                      </c:pt>
                      <c:pt idx="16">
                        <c:v>129.20648240900042</c:v>
                      </c:pt>
                      <c:pt idx="17">
                        <c:v>95.489789732993373</c:v>
                      </c:pt>
                      <c:pt idx="18">
                        <c:v>144.38960307508054</c:v>
                      </c:pt>
                      <c:pt idx="19">
                        <c:v>0</c:v>
                      </c:pt>
                      <c:pt idx="20">
                        <c:v>122.01073694485115</c:v>
                      </c:pt>
                      <c:pt idx="21">
                        <c:v>123.35121567083374</c:v>
                      </c:pt>
                      <c:pt idx="22">
                        <c:v>101.51097548971356</c:v>
                      </c:pt>
                      <c:pt idx="23">
                        <c:v>162.2157114126635</c:v>
                      </c:pt>
                      <c:pt idx="24">
                        <c:v>0</c:v>
                      </c:pt>
                      <c:pt idx="25">
                        <c:v>106.71419394245939</c:v>
                      </c:pt>
                      <c:pt idx="26">
                        <c:v>53.444736557784417</c:v>
                      </c:pt>
                      <c:pt idx="27">
                        <c:v>141.32910362778591</c:v>
                      </c:pt>
                      <c:pt idx="28">
                        <c:v>113.95744452081885</c:v>
                      </c:pt>
                      <c:pt idx="29">
                        <c:v>100.58698013932208</c:v>
                      </c:pt>
                      <c:pt idx="30">
                        <c:v>163.03277881681268</c:v>
                      </c:pt>
                      <c:pt idx="31">
                        <c:v>211.48527737107531</c:v>
                      </c:pt>
                      <c:pt idx="32">
                        <c:v>125.19686977064671</c:v>
                      </c:pt>
                      <c:pt idx="33">
                        <c:v>233.85391247763135</c:v>
                      </c:pt>
                      <c:pt idx="34">
                        <c:v>208.43500894745404</c:v>
                      </c:pt>
                      <c:pt idx="35">
                        <c:v>130.35022531425409</c:v>
                      </c:pt>
                      <c:pt idx="36">
                        <c:v>0</c:v>
                      </c:pt>
                      <c:pt idx="37">
                        <c:v>172.04089899225471</c:v>
                      </c:pt>
                      <c:pt idx="38">
                        <c:v>217.99702954498031</c:v>
                      </c:pt>
                      <c:pt idx="39">
                        <c:v>179.47741610151178</c:v>
                      </c:pt>
                      <c:pt idx="40">
                        <c:v>185.64695228000124</c:v>
                      </c:pt>
                      <c:pt idx="41">
                        <c:v>183.63057022937312</c:v>
                      </c:pt>
                      <c:pt idx="42">
                        <c:v>172.74701299770507</c:v>
                      </c:pt>
                      <c:pt idx="43">
                        <c:v>214.25116547117966</c:v>
                      </c:pt>
                      <c:pt idx="44">
                        <c:v>180.03828302682899</c:v>
                      </c:pt>
                      <c:pt idx="45">
                        <c:v>189.56903852999301</c:v>
                      </c:pt>
                      <c:pt idx="46">
                        <c:v>147.50800135842996</c:v>
                      </c:pt>
                      <c:pt idx="47">
                        <c:v>182.74295146376323</c:v>
                      </c:pt>
                      <c:pt idx="48">
                        <c:v>206.95989544205577</c:v>
                      </c:pt>
                      <c:pt idx="49">
                        <c:v>159.84707371540892</c:v>
                      </c:pt>
                      <c:pt idx="50">
                        <c:v>266.60447532190159</c:v>
                      </c:pt>
                      <c:pt idx="51">
                        <c:v>309.32010948949903</c:v>
                      </c:pt>
                      <c:pt idx="52">
                        <c:v>232.56623569945134</c:v>
                      </c:pt>
                      <c:pt idx="53">
                        <c:v>200.22949233824906</c:v>
                      </c:pt>
                      <c:pt idx="54">
                        <c:v>213.70475227416597</c:v>
                      </c:pt>
                      <c:pt idx="55">
                        <c:v>194.62082308507681</c:v>
                      </c:pt>
                      <c:pt idx="56">
                        <c:v>210.22556752019784</c:v>
                      </c:pt>
                      <c:pt idx="57">
                        <c:v>199.66862541293185</c:v>
                      </c:pt>
                      <c:pt idx="58">
                        <c:v>226.02937090284141</c:v>
                      </c:pt>
                      <c:pt idx="59">
                        <c:v>195.18169001039405</c:v>
                      </c:pt>
                      <c:pt idx="60">
                        <c:v>208.64249621800744</c:v>
                      </c:pt>
                      <c:pt idx="61">
                        <c:v>192.08957706563532</c:v>
                      </c:pt>
                      <c:pt idx="62">
                        <c:v>177.23394840024287</c:v>
                      </c:pt>
                      <c:pt idx="63">
                        <c:v>228.27283860411029</c:v>
                      </c:pt>
                      <c:pt idx="64">
                        <c:v>178.91654917619456</c:v>
                      </c:pt>
                      <c:pt idx="65">
                        <c:v>219.12101895535469</c:v>
                      </c:pt>
                      <c:pt idx="66">
                        <c:v>213.03061535279136</c:v>
                      </c:pt>
                      <c:pt idx="67">
                        <c:v>213.03061535279136</c:v>
                      </c:pt>
                      <c:pt idx="68">
                        <c:v>213.03061535279136</c:v>
                      </c:pt>
                      <c:pt idx="69">
                        <c:v>213.03061535279136</c:v>
                      </c:pt>
                      <c:pt idx="70">
                        <c:v>236.68584248386864</c:v>
                      </c:pt>
                      <c:pt idx="71">
                        <c:v>258.91645958631949</c:v>
                      </c:pt>
                      <c:pt idx="72">
                        <c:v>225.46850397752416</c:v>
                      </c:pt>
                      <c:pt idx="73">
                        <c:v>192.93822230912517</c:v>
                      </c:pt>
                      <c:pt idx="74">
                        <c:v>179.47741610151178</c:v>
                      </c:pt>
                      <c:pt idx="75">
                        <c:v>208.08162929269022</c:v>
                      </c:pt>
                      <c:pt idx="76">
                        <c:v>196.30342386102851</c:v>
                      </c:pt>
                      <c:pt idx="77">
                        <c:v>131.97</c:v>
                      </c:pt>
                      <c:pt idx="78">
                        <c:v>199.66862541293185</c:v>
                      </c:pt>
                      <c:pt idx="79">
                        <c:v>221.90469140247137</c:v>
                      </c:pt>
                      <c:pt idx="80">
                        <c:v>218.58080935402936</c:v>
                      </c:pt>
                      <c:pt idx="81">
                        <c:v>251.5930113052415</c:v>
                      </c:pt>
                      <c:pt idx="82">
                        <c:v>231.63804015601363</c:v>
                      </c:pt>
                      <c:pt idx="83">
                        <c:v>202.87871694217353</c:v>
                      </c:pt>
                      <c:pt idx="84">
                        <c:v>164.05565359359431</c:v>
                      </c:pt>
                      <c:pt idx="85">
                        <c:v>229.95543938006196</c:v>
                      </c:pt>
                      <c:pt idx="86">
                        <c:v>238.79665310140334</c:v>
                      </c:pt>
                      <c:pt idx="87">
                        <c:v>205.11</c:v>
                      </c:pt>
                      <c:pt idx="88">
                        <c:v>209.88357050452782</c:v>
                      </c:pt>
                      <c:pt idx="89">
                        <c:v>260.24225334719205</c:v>
                      </c:pt>
                      <c:pt idx="90">
                        <c:v>245.38220775285285</c:v>
                      </c:pt>
                      <c:pt idx="91">
                        <c:v>218.17723394840024</c:v>
                      </c:pt>
                      <c:pt idx="92">
                        <c:v>191.48629668311307</c:v>
                      </c:pt>
                      <c:pt idx="93">
                        <c:v>224.31013825727416</c:v>
                      </c:pt>
                      <c:pt idx="94">
                        <c:v>244.43584888218652</c:v>
                      </c:pt>
                      <c:pt idx="95">
                        <c:v>213.69029854586248</c:v>
                      </c:pt>
                      <c:pt idx="96">
                        <c:v>312.81460537623587</c:v>
                      </c:pt>
                      <c:pt idx="97">
                        <c:v>205.83816159142131</c:v>
                      </c:pt>
                      <c:pt idx="98">
                        <c:v>246.33446548296939</c:v>
                      </c:pt>
                      <c:pt idx="99">
                        <c:v>229.39457245474472</c:v>
                      </c:pt>
                      <c:pt idx="100">
                        <c:v>183.18240620957309</c:v>
                      </c:pt>
                      <c:pt idx="101">
                        <c:v>369.62534419732634</c:v>
                      </c:pt>
                      <c:pt idx="102">
                        <c:v>211.48605658995689</c:v>
                      </c:pt>
                      <c:pt idx="103">
                        <c:v>177.49857523598081</c:v>
                      </c:pt>
                      <c:pt idx="104">
                        <c:v>259.63673905475321</c:v>
                      </c:pt>
                      <c:pt idx="105">
                        <c:v>241.1735753472347</c:v>
                      </c:pt>
                      <c:pt idx="106">
                        <c:v>278.33999591841632</c:v>
                      </c:pt>
                      <c:pt idx="107">
                        <c:v>374.42749097425354</c:v>
                      </c:pt>
                      <c:pt idx="108">
                        <c:v>211.59409851022195</c:v>
                      </c:pt>
                      <c:pt idx="109">
                        <c:v>376.21721380374998</c:v>
                      </c:pt>
                      <c:pt idx="110">
                        <c:v>326.32261317391146</c:v>
                      </c:pt>
                      <c:pt idx="111">
                        <c:v>207.39974126778785</c:v>
                      </c:pt>
                      <c:pt idx="112">
                        <c:v>401.48695695863751</c:v>
                      </c:pt>
                      <c:pt idx="113">
                        <c:v>333.60705130035092</c:v>
                      </c:pt>
                      <c:pt idx="114">
                        <c:v>330.24813627687541</c:v>
                      </c:pt>
                      <c:pt idx="115">
                        <c:v>296.19663648124191</c:v>
                      </c:pt>
                      <c:pt idx="116">
                        <c:v>297.32</c:v>
                      </c:pt>
                      <c:pt idx="117">
                        <c:v>278.18887451487711</c:v>
                      </c:pt>
                      <c:pt idx="118">
                        <c:v>370.58378650916558</c:v>
                      </c:pt>
                      <c:pt idx="119">
                        <c:v>207.0803471747038</c:v>
                      </c:pt>
                      <c:pt idx="120">
                        <c:v>389.28532814358311</c:v>
                      </c:pt>
                      <c:pt idx="121">
                        <c:v>323.44149530017648</c:v>
                      </c:pt>
                      <c:pt idx="122">
                        <c:v>260.80206985769729</c:v>
                      </c:pt>
                      <c:pt idx="123">
                        <c:v>329.4200233263013</c:v>
                      </c:pt>
                      <c:pt idx="124">
                        <c:v>333.97212127959028</c:v>
                      </c:pt>
                      <c:pt idx="125">
                        <c:v>680.71517096752939</c:v>
                      </c:pt>
                      <c:pt idx="126">
                        <c:v>305.67</c:v>
                      </c:pt>
                      <c:pt idx="127">
                        <c:v>269.10000000000002</c:v>
                      </c:pt>
                      <c:pt idx="128">
                        <c:v>348.57027902543206</c:v>
                      </c:pt>
                      <c:pt idx="129">
                        <c:v>350.82639733627627</c:v>
                      </c:pt>
                      <c:pt idx="130">
                        <c:v>401.65184091427471</c:v>
                      </c:pt>
                      <c:pt idx="131">
                        <c:v>375.75779402408131</c:v>
                      </c:pt>
                      <c:pt idx="132">
                        <c:v>466.88515143875821</c:v>
                      </c:pt>
                      <c:pt idx="133">
                        <c:v>408.34</c:v>
                      </c:pt>
                      <c:pt idx="134">
                        <c:v>360.49987395109304</c:v>
                      </c:pt>
                      <c:pt idx="135">
                        <c:v>360.87201834311708</c:v>
                      </c:pt>
                      <c:pt idx="136">
                        <c:v>401.22329180435543</c:v>
                      </c:pt>
                      <c:pt idx="137">
                        <c:v>353.94533078834587</c:v>
                      </c:pt>
                      <c:pt idx="138">
                        <c:v>339.90101555939856</c:v>
                      </c:pt>
                      <c:pt idx="139">
                        <c:v>489.8257778767325</c:v>
                      </c:pt>
                      <c:pt idx="140">
                        <c:v>442.32362156516723</c:v>
                      </c:pt>
                      <c:pt idx="141">
                        <c:v>217.59642741383655</c:v>
                      </c:pt>
                      <c:pt idx="142">
                        <c:v>445.91307168342524</c:v>
                      </c:pt>
                      <c:pt idx="143">
                        <c:v>436.46488821873817</c:v>
                      </c:pt>
                      <c:pt idx="144">
                        <c:v>487.13354528311464</c:v>
                      </c:pt>
                      <c:pt idx="145">
                        <c:v>551.45099009961655</c:v>
                      </c:pt>
                      <c:pt idx="146">
                        <c:v>517.95296575071131</c:v>
                      </c:pt>
                      <c:pt idx="147">
                        <c:v>388.83896977552308</c:v>
                      </c:pt>
                      <c:pt idx="148">
                        <c:v>314.10187152615214</c:v>
                      </c:pt>
                      <c:pt idx="149">
                        <c:v>594.49480349350335</c:v>
                      </c:pt>
                      <c:pt idx="150">
                        <c:v>426.21204049014386</c:v>
                      </c:pt>
                      <c:pt idx="151">
                        <c:v>382.20038220038225</c:v>
                      </c:pt>
                      <c:pt idx="152">
                        <c:v>406.12957827637121</c:v>
                      </c:pt>
                      <c:pt idx="153">
                        <c:v>474.8202302493367</c:v>
                      </c:pt>
                      <c:pt idx="154">
                        <c:v>859.94165736305683</c:v>
                      </c:pt>
                      <c:pt idx="155">
                        <c:v>363.53933622052097</c:v>
                      </c:pt>
                      <c:pt idx="156">
                        <c:v>395.24135364521436</c:v>
                      </c:pt>
                      <c:pt idx="157">
                        <c:v>395.24135364521436</c:v>
                      </c:pt>
                      <c:pt idx="158">
                        <c:v>395.24135364521436</c:v>
                      </c:pt>
                      <c:pt idx="159">
                        <c:v>427.00721220747624</c:v>
                      </c:pt>
                      <c:pt idx="160">
                        <c:v>374.5431323298393</c:v>
                      </c:pt>
                      <c:pt idx="161">
                        <c:v>486.31488631488639</c:v>
                      </c:pt>
                      <c:pt idx="162">
                        <c:v>452.50357138569757</c:v>
                      </c:pt>
                      <c:pt idx="163">
                        <c:v>396.89425883879341</c:v>
                      </c:pt>
                      <c:pt idx="164">
                        <c:v>469.83663823330892</c:v>
                      </c:pt>
                      <c:pt idx="165">
                        <c:v>376.16595238952709</c:v>
                      </c:pt>
                      <c:pt idx="166">
                        <c:v>485.45801605057369</c:v>
                      </c:pt>
                      <c:pt idx="167">
                        <c:v>378.35665154057028</c:v>
                      </c:pt>
                      <c:pt idx="168">
                        <c:v>360.84800902750266</c:v>
                      </c:pt>
                      <c:pt idx="169">
                        <c:v>392.78570656287167</c:v>
                      </c:pt>
                      <c:pt idx="170">
                        <c:v>440.87105797049253</c:v>
                      </c:pt>
                      <c:pt idx="171">
                        <c:v>465.88666588666592</c:v>
                      </c:pt>
                      <c:pt idx="172">
                        <c:v>454.24424676774589</c:v>
                      </c:pt>
                      <c:pt idx="173">
                        <c:v>462.4314233922762</c:v>
                      </c:pt>
                      <c:pt idx="174">
                        <c:v>519.29938371715855</c:v>
                      </c:pt>
                      <c:pt idx="175">
                        <c:v>428.62630700711873</c:v>
                      </c:pt>
                      <c:pt idx="176">
                        <c:v>463.31976807001115</c:v>
                      </c:pt>
                      <c:pt idx="177">
                        <c:v>439.10637327282979</c:v>
                      </c:pt>
                      <c:pt idx="178">
                        <c:v>439.10637327282979</c:v>
                      </c:pt>
                      <c:pt idx="179">
                        <c:v>439.10637327282979</c:v>
                      </c:pt>
                      <c:pt idx="180">
                        <c:v>581.02543786989349</c:v>
                      </c:pt>
                      <c:pt idx="181">
                        <c:v>574.1261468360666</c:v>
                      </c:pt>
                      <c:pt idx="182">
                        <c:v>611.97344569693041</c:v>
                      </c:pt>
                      <c:pt idx="183">
                        <c:v>451.5580515580516</c:v>
                      </c:pt>
                      <c:pt idx="184">
                        <c:v>576.34285010570397</c:v>
                      </c:pt>
                      <c:pt idx="185">
                        <c:v>698.72469872469867</c:v>
                      </c:pt>
                      <c:pt idx="186">
                        <c:v>522.25063324569931</c:v>
                      </c:pt>
                      <c:pt idx="187">
                        <c:v>764.16002035639599</c:v>
                      </c:pt>
                      <c:pt idx="188">
                        <c:v>552.61041284018199</c:v>
                      </c:pt>
                      <c:pt idx="189">
                        <c:v>549.11705741827825</c:v>
                      </c:pt>
                      <c:pt idx="190">
                        <c:v>690.05174007514904</c:v>
                      </c:pt>
                      <c:pt idx="191">
                        <c:v>739.2468277691745</c:v>
                      </c:pt>
                      <c:pt idx="192">
                        <c:v>665.08267593419464</c:v>
                      </c:pt>
                      <c:pt idx="193">
                        <c:v>428.36</c:v>
                      </c:pt>
                      <c:pt idx="194">
                        <c:v>580.93988465022721</c:v>
                      </c:pt>
                      <c:pt idx="195">
                        <c:v>658.95733863766054</c:v>
                      </c:pt>
                      <c:pt idx="196">
                        <c:v>704.09140292791119</c:v>
                      </c:pt>
                      <c:pt idx="197">
                        <c:v>731.49422767556348</c:v>
                      </c:pt>
                    </c:numCache>
                  </c:numRef>
                </c:val>
                <c:extLst>
                  <c:ext xmlns:c16="http://schemas.microsoft.com/office/drawing/2014/chart" uri="{C3380CC4-5D6E-409C-BE32-E72D297353CC}">
                    <c16:uniqueId val="{00000009-FDA9-4630-8379-36F30F7F66FF}"/>
                  </c:ext>
                </c:extLst>
              </c15:ser>
            </c15:filteredBarSeries>
          </c:ext>
        </c:extLst>
      </c:barChart>
      <c:catAx>
        <c:axId val="344826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344827160"/>
        <c:crosses val="autoZero"/>
        <c:auto val="1"/>
        <c:lblAlgn val="ctr"/>
        <c:lblOffset val="100"/>
        <c:noMultiLvlLbl val="0"/>
      </c:catAx>
      <c:valAx>
        <c:axId val="344827160"/>
        <c:scaling>
          <c:orientation val="minMax"/>
        </c:scaling>
        <c:delete val="0"/>
        <c:axPos val="l"/>
        <c:majorGridlines>
          <c:spPr>
            <a:ln w="9525" cap="flat" cmpd="sng" algn="ctr">
              <a:solidFill>
                <a:schemeClr val="tx1">
                  <a:lumMod val="15000"/>
                  <a:lumOff val="85000"/>
                </a:schemeClr>
              </a:solidFill>
              <a:round/>
            </a:ln>
            <a:effectLst/>
          </c:spPr>
        </c:majorGridlines>
        <c:numFmt formatCode="_ * #,##0.00_ ;_ * \-#,##0.0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82676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r">
              <a:defRPr/>
            </a:pPr>
            <a:r>
              <a:rPr lang="en-US" sz="1800" b="1" i="0" baseline="0">
                <a:effectLst/>
              </a:rPr>
              <a:t>Total charges for 160 cities in 2015</a:t>
            </a:r>
            <a:endParaRPr lang="en-US">
              <a:effectLst/>
            </a:endParaRPr>
          </a:p>
          <a:p>
            <a:pPr algn="r">
              <a:defRPr/>
            </a:pPr>
            <a:r>
              <a:rPr lang="en-US" sz="1400" b="1" i="0" baseline="0">
                <a:effectLst/>
              </a:rPr>
              <a:t>for a consumption of 200 m³ in US$</a:t>
            </a:r>
            <a:endParaRPr lang="en-US"/>
          </a:p>
        </c:rich>
      </c:tx>
      <c:layout>
        <c:manualLayout>
          <c:xMode val="edge"/>
          <c:yMode val="edge"/>
          <c:x val="0.87376815854372858"/>
          <c:y val="1.4524318814891805E-2"/>
        </c:manualLayout>
      </c:layout>
      <c:overlay val="0"/>
    </c:title>
    <c:autoTitleDeleted val="0"/>
    <c:plotArea>
      <c:layout/>
      <c:barChart>
        <c:barDir val="col"/>
        <c:grouping val="stacked"/>
        <c:varyColors val="0"/>
        <c:ser>
          <c:idx val="0"/>
          <c:order val="0"/>
          <c:tx>
            <c:strRef>
              <c:f>'[1]total charges cities 200 m³ G'!$B$436</c:f>
              <c:strCache>
                <c:ptCount val="1"/>
                <c:pt idx="0">
                  <c:v>FIXED CHARGE</c:v>
                </c:pt>
              </c:strCache>
            </c:strRef>
          </c:tx>
          <c:invertIfNegative val="0"/>
          <c:cat>
            <c:strRef>
              <c:f>'[1]total charges cities 200 m³ G'!$A$437:$A$595</c:f>
              <c:strCache>
                <c:ptCount val="159"/>
                <c:pt idx="0">
                  <c:v>Guadalajara</c:v>
                </c:pt>
                <c:pt idx="1">
                  <c:v>San Luis Potosi</c:v>
                </c:pt>
                <c:pt idx="2">
                  <c:v>Monterrey</c:v>
                </c:pt>
                <c:pt idx="3">
                  <c:v>Puebla</c:v>
                </c:pt>
                <c:pt idx="4">
                  <c:v>León, Guanajuato</c:v>
                </c:pt>
                <c:pt idx="5">
                  <c:v>Mulonga</c:v>
                </c:pt>
                <c:pt idx="6">
                  <c:v>Kenya Average</c:v>
                </c:pt>
                <c:pt idx="7">
                  <c:v>Thailand Average</c:v>
                </c:pt>
                <c:pt idx="8">
                  <c:v>Mauritius</c:v>
                </c:pt>
                <c:pt idx="9">
                  <c:v>Taipei</c:v>
                </c:pt>
                <c:pt idx="10">
                  <c:v>Kafubu</c:v>
                </c:pt>
                <c:pt idx="11">
                  <c:v>Lusaka</c:v>
                </c:pt>
                <c:pt idx="12">
                  <c:v>Sao Paulo (SABESP)</c:v>
                </c:pt>
                <c:pt idx="13">
                  <c:v>Brazil Average</c:v>
                </c:pt>
                <c:pt idx="14">
                  <c:v>Kaohsiung</c:v>
                </c:pt>
                <c:pt idx="15">
                  <c:v>Russia Average</c:v>
                </c:pt>
                <c:pt idx="16">
                  <c:v>Gwangju</c:v>
                </c:pt>
                <c:pt idx="17">
                  <c:v>Daejeon</c:v>
                </c:pt>
                <c:pt idx="18">
                  <c:v>Gyeounggi</c:v>
                </c:pt>
                <c:pt idx="19">
                  <c:v>Entebbe</c:v>
                </c:pt>
                <c:pt idx="20">
                  <c:v>Daegu</c:v>
                </c:pt>
                <c:pt idx="21">
                  <c:v>Mbarara</c:v>
                </c:pt>
                <c:pt idx="22">
                  <c:v>NWWSC of Zambia</c:v>
                </c:pt>
                <c:pt idx="23">
                  <c:v>Kampala</c:v>
                </c:pt>
                <c:pt idx="24">
                  <c:v>Hong Kong</c:v>
                </c:pt>
                <c:pt idx="25">
                  <c:v>Seoul</c:v>
                </c:pt>
                <c:pt idx="26">
                  <c:v>Incheon</c:v>
                </c:pt>
                <c:pt idx="27">
                  <c:v>Jinja</c:v>
                </c:pt>
                <c:pt idx="28">
                  <c:v>Miami</c:v>
                </c:pt>
                <c:pt idx="29">
                  <c:v>Busan</c:v>
                </c:pt>
                <c:pt idx="30">
                  <c:v>Brasilia Federal District</c:v>
                </c:pt>
                <c:pt idx="31">
                  <c:v>Ulsan</c:v>
                </c:pt>
                <c:pt idx="32">
                  <c:v>Gran Santiago</c:v>
                </c:pt>
                <c:pt idx="33">
                  <c:v>Severin</c:v>
                </c:pt>
                <c:pt idx="34">
                  <c:v>Apaserv SA Valea Jiului</c:v>
                </c:pt>
                <c:pt idx="35">
                  <c:v>Deva</c:v>
                </c:pt>
                <c:pt idx="36">
                  <c:v>Concepcion</c:v>
                </c:pt>
                <c:pt idx="37">
                  <c:v>Sibiu</c:v>
                </c:pt>
                <c:pt idx="38">
                  <c:v>Osaka</c:v>
                </c:pt>
                <c:pt idx="39">
                  <c:v>Baia Mare</c:v>
                </c:pt>
                <c:pt idx="40">
                  <c:v>Lisbon</c:v>
                </c:pt>
                <c:pt idx="41">
                  <c:v>Nagoya</c:v>
                </c:pt>
                <c:pt idx="42">
                  <c:v>Craiova</c:v>
                </c:pt>
                <c:pt idx="43">
                  <c:v>Giurgiu</c:v>
                </c:pt>
                <c:pt idx="44">
                  <c:v>Kaposvár</c:v>
                </c:pt>
                <c:pt idx="45">
                  <c:v>Calarasi</c:v>
                </c:pt>
                <c:pt idx="46">
                  <c:v>Iasi</c:v>
                </c:pt>
                <c:pt idx="47">
                  <c:v>Resita</c:v>
                </c:pt>
                <c:pt idx="48">
                  <c:v>Madrid</c:v>
                </c:pt>
                <c:pt idx="49">
                  <c:v>Bucharest</c:v>
                </c:pt>
                <c:pt idx="50">
                  <c:v>Temuco</c:v>
                </c:pt>
                <c:pt idx="51">
                  <c:v>Miercurea Ciuc</c:v>
                </c:pt>
                <c:pt idx="52">
                  <c:v>Hiroshima</c:v>
                </c:pt>
                <c:pt idx="53">
                  <c:v>Bialystok</c:v>
                </c:pt>
                <c:pt idx="54">
                  <c:v>Bilbao</c:v>
                </c:pt>
                <c:pt idx="55">
                  <c:v>Valparaiso</c:v>
                </c:pt>
                <c:pt idx="56">
                  <c:v>Vina del Mar</c:v>
                </c:pt>
                <c:pt idx="57">
                  <c:v>Brasov</c:v>
                </c:pt>
                <c:pt idx="58">
                  <c:v>Thessaloniki</c:v>
                </c:pt>
                <c:pt idx="59">
                  <c:v>Suceava</c:v>
                </c:pt>
                <c:pt idx="60">
                  <c:v>Yokohama</c:v>
                </c:pt>
                <c:pt idx="61">
                  <c:v>Medias</c:v>
                </c:pt>
                <c:pt idx="62">
                  <c:v>Faro</c:v>
                </c:pt>
                <c:pt idx="63">
                  <c:v>Porto</c:v>
                </c:pt>
                <c:pt idx="64">
                  <c:v>Miskolc</c:v>
                </c:pt>
                <c:pt idx="65">
                  <c:v>Serres</c:v>
                </c:pt>
                <c:pt idx="66">
                  <c:v>Tokyo</c:v>
                </c:pt>
                <c:pt idx="67">
                  <c:v>Debrecen</c:v>
                </c:pt>
                <c:pt idx="68">
                  <c:v>Chicago</c:v>
                </c:pt>
                <c:pt idx="69">
                  <c:v>Fukuoka</c:v>
                </c:pt>
                <c:pt idx="70">
                  <c:v>Braga</c:v>
                </c:pt>
                <c:pt idx="71">
                  <c:v>Sapporo</c:v>
                </c:pt>
                <c:pt idx="72">
                  <c:v>Buzau</c:v>
                </c:pt>
                <c:pt idx="73">
                  <c:v>Constanta</c:v>
                </c:pt>
                <c:pt idx="74">
                  <c:v>Alexandroupolis</c:v>
                </c:pt>
                <c:pt idx="75">
                  <c:v>Budapest</c:v>
                </c:pt>
                <c:pt idx="76">
                  <c:v>Coimbra</c:v>
                </c:pt>
                <c:pt idx="77">
                  <c:v>Valencia</c:v>
                </c:pt>
                <c:pt idx="78">
                  <c:v>Igoumenitsa</c:v>
                </c:pt>
                <c:pt idx="79">
                  <c:v>Wroclaw</c:v>
                </c:pt>
                <c:pt idx="80">
                  <c:v>Sevilla</c:v>
                </c:pt>
                <c:pt idx="81">
                  <c:v>Saskatoon</c:v>
                </c:pt>
                <c:pt idx="82">
                  <c:v>Sendai</c:v>
                </c:pt>
                <c:pt idx="83">
                  <c:v>Antofagasta</c:v>
                </c:pt>
                <c:pt idx="84">
                  <c:v>Pécs</c:v>
                </c:pt>
                <c:pt idx="85">
                  <c:v>Tarnow</c:v>
                </c:pt>
                <c:pt idx="86">
                  <c:v>Sintra</c:v>
                </c:pt>
                <c:pt idx="87">
                  <c:v>Loures</c:v>
                </c:pt>
                <c:pt idx="88">
                  <c:v>Bydgoszcz</c:v>
                </c:pt>
                <c:pt idx="89">
                  <c:v>Durham</c:v>
                </c:pt>
                <c:pt idx="90">
                  <c:v>Paphos</c:v>
                </c:pt>
                <c:pt idx="91">
                  <c:v>Denver</c:v>
                </c:pt>
                <c:pt idx="92">
                  <c:v>Eindhoven</c:v>
                </c:pt>
                <c:pt idx="93">
                  <c:v>Minneapolis</c:v>
                </c:pt>
                <c:pt idx="94">
                  <c:v>Los Angeles</c:v>
                </c:pt>
                <c:pt idx="95">
                  <c:v>Winnipeg</c:v>
                </c:pt>
                <c:pt idx="96">
                  <c:v>Vancouver</c:v>
                </c:pt>
                <c:pt idx="97">
                  <c:v>Larnaca</c:v>
                </c:pt>
                <c:pt idx="98">
                  <c:v>Lefkosia</c:v>
                </c:pt>
                <c:pt idx="99">
                  <c:v>Lemesos</c:v>
                </c:pt>
                <c:pt idx="100">
                  <c:v>Reims</c:v>
                </c:pt>
                <c:pt idx="101">
                  <c:v>Barcelona</c:v>
                </c:pt>
                <c:pt idx="102">
                  <c:v>Strassbourg</c:v>
                </c:pt>
                <c:pt idx="103">
                  <c:v>Trondheim</c:v>
                </c:pt>
                <c:pt idx="104">
                  <c:v>Lyon</c:v>
                </c:pt>
                <c:pt idx="105">
                  <c:v>Radom</c:v>
                </c:pt>
                <c:pt idx="106">
                  <c:v>Utrecht</c:v>
                </c:pt>
                <c:pt idx="107">
                  <c:v>Bordeaux</c:v>
                </c:pt>
                <c:pt idx="108">
                  <c:v>Calgary</c:v>
                </c:pt>
                <c:pt idx="109">
                  <c:v>Paris</c:v>
                </c:pt>
                <c:pt idx="110">
                  <c:v>London</c:v>
                </c:pt>
                <c:pt idx="111">
                  <c:v>Oslo</c:v>
                </c:pt>
                <c:pt idx="112">
                  <c:v>Amsterdam</c:v>
                </c:pt>
                <c:pt idx="113">
                  <c:v>Marseille</c:v>
                </c:pt>
                <c:pt idx="114">
                  <c:v>Malta Average</c:v>
                </c:pt>
                <c:pt idx="115">
                  <c:v>Espoo</c:v>
                </c:pt>
                <c:pt idx="116">
                  <c:v>Helsinki</c:v>
                </c:pt>
                <c:pt idx="117">
                  <c:v>Vantaa</c:v>
                </c:pt>
                <c:pt idx="118">
                  <c:v>Lausanne</c:v>
                </c:pt>
                <c:pt idx="119">
                  <c:v>Brussels</c:v>
                </c:pt>
                <c:pt idx="120">
                  <c:v>Lille</c:v>
                </c:pt>
                <c:pt idx="121">
                  <c:v>Bergen</c:v>
                </c:pt>
                <c:pt idx="122">
                  <c:v>Nancy</c:v>
                </c:pt>
                <c:pt idx="123">
                  <c:v>Antwerp</c:v>
                </c:pt>
                <c:pt idx="124">
                  <c:v>Geneva</c:v>
                </c:pt>
                <c:pt idx="125">
                  <c:v>Canberra</c:v>
                </c:pt>
                <c:pt idx="126">
                  <c:v>Den Haag</c:v>
                </c:pt>
                <c:pt idx="127">
                  <c:v>Basel</c:v>
                </c:pt>
                <c:pt idx="128">
                  <c:v>Sydney</c:v>
                </c:pt>
                <c:pt idx="129">
                  <c:v>Zürich</c:v>
                </c:pt>
                <c:pt idx="130">
                  <c:v>Birmingham</c:v>
                </c:pt>
                <c:pt idx="131">
                  <c:v>Melbourne</c:v>
                </c:pt>
                <c:pt idx="132">
                  <c:v>New York</c:v>
                </c:pt>
                <c:pt idx="133">
                  <c:v>Oulu</c:v>
                </c:pt>
                <c:pt idx="134">
                  <c:v>Perth</c:v>
                </c:pt>
                <c:pt idx="135">
                  <c:v>Tampere</c:v>
                </c:pt>
                <c:pt idx="136">
                  <c:v>Brest</c:v>
                </c:pt>
                <c:pt idx="137">
                  <c:v>Leeds</c:v>
                </c:pt>
                <c:pt idx="138">
                  <c:v>SEDIF</c:v>
                </c:pt>
                <c:pt idx="139">
                  <c:v>Rotterdam</c:v>
                </c:pt>
                <c:pt idx="140">
                  <c:v>Genk</c:v>
                </c:pt>
                <c:pt idx="141">
                  <c:v>Washington D.C.</c:v>
                </c:pt>
                <c:pt idx="142">
                  <c:v>Athens</c:v>
                </c:pt>
                <c:pt idx="143">
                  <c:v>Turku</c:v>
                </c:pt>
                <c:pt idx="144">
                  <c:v>Louvain</c:v>
                </c:pt>
                <c:pt idx="145">
                  <c:v>Kortrijk</c:v>
                </c:pt>
                <c:pt idx="146">
                  <c:v>Cardiff</c:v>
                </c:pt>
                <c:pt idx="147">
                  <c:v>Le Havre</c:v>
                </c:pt>
                <c:pt idx="148">
                  <c:v>Manchester</c:v>
                </c:pt>
                <c:pt idx="149">
                  <c:v>Charleroi</c:v>
                </c:pt>
                <c:pt idx="150">
                  <c:v>Liège</c:v>
                </c:pt>
                <c:pt idx="151">
                  <c:v>South East Queensland</c:v>
                </c:pt>
                <c:pt idx="152">
                  <c:v>Bern</c:v>
                </c:pt>
                <c:pt idx="153">
                  <c:v>Copenhagen</c:v>
                </c:pt>
                <c:pt idx="154">
                  <c:v>Macao, China Average</c:v>
                </c:pt>
                <c:pt idx="155">
                  <c:v>Aalborg</c:v>
                </c:pt>
                <c:pt idx="156">
                  <c:v>Esbjerg</c:v>
                </c:pt>
                <c:pt idx="157">
                  <c:v>Aarhus</c:v>
                </c:pt>
                <c:pt idx="158">
                  <c:v>Odense</c:v>
                </c:pt>
              </c:strCache>
            </c:strRef>
          </c:cat>
          <c:val>
            <c:numRef>
              <c:f>'[1]total charges cities 200 m³ G'!$B$437:$B$595</c:f>
              <c:numCache>
                <c:formatCode>General</c:formatCode>
                <c:ptCount val="159"/>
                <c:pt idx="0">
                  <c:v>0</c:v>
                </c:pt>
                <c:pt idx="1">
                  <c:v>0.12736471406911157</c:v>
                </c:pt>
                <c:pt idx="2">
                  <c:v>0.21999359702846541</c:v>
                </c:pt>
                <c:pt idx="3">
                  <c:v>0.27788664887806158</c:v>
                </c:pt>
                <c:pt idx="4">
                  <c:v>0.37051553183741548</c:v>
                </c:pt>
                <c:pt idx="5">
                  <c:v>0.45205790319270417</c:v>
                </c:pt>
                <c:pt idx="6">
                  <c:v>5.8330000421920332</c:v>
                </c:pt>
                <c:pt idx="7">
                  <c:v>0</c:v>
                </c:pt>
                <c:pt idx="8">
                  <c:v>18.410098329450939</c:v>
                </c:pt>
                <c:pt idx="9">
                  <c:v>23.588728700587662</c:v>
                </c:pt>
                <c:pt idx="10">
                  <c:v>0.45205790319270417</c:v>
                </c:pt>
                <c:pt idx="11">
                  <c:v>0.90411580638540834</c:v>
                </c:pt>
                <c:pt idx="12">
                  <c:v>0</c:v>
                </c:pt>
                <c:pt idx="13">
                  <c:v>0</c:v>
                </c:pt>
                <c:pt idx="14">
                  <c:v>28.548410119685581</c:v>
                </c:pt>
                <c:pt idx="15">
                  <c:v>0</c:v>
                </c:pt>
                <c:pt idx="16">
                  <c:v>0</c:v>
                </c:pt>
                <c:pt idx="17">
                  <c:v>0</c:v>
                </c:pt>
                <c:pt idx="18">
                  <c:v>0</c:v>
                </c:pt>
                <c:pt idx="19">
                  <c:v>6.8004827155024818</c:v>
                </c:pt>
                <c:pt idx="20">
                  <c:v>0</c:v>
                </c:pt>
                <c:pt idx="21">
                  <c:v>6.0869788442192148</c:v>
                </c:pt>
                <c:pt idx="22">
                  <c:v>0.45205790319270417</c:v>
                </c:pt>
                <c:pt idx="23">
                  <c:v>6.2107469240751092</c:v>
                </c:pt>
                <c:pt idx="24">
                  <c:v>0</c:v>
                </c:pt>
                <c:pt idx="25">
                  <c:v>0</c:v>
                </c:pt>
                <c:pt idx="26">
                  <c:v>0</c:v>
                </c:pt>
                <c:pt idx="27">
                  <c:v>5.6983294343154336</c:v>
                </c:pt>
                <c:pt idx="28">
                  <c:v>38.4</c:v>
                </c:pt>
                <c:pt idx="29">
                  <c:v>0</c:v>
                </c:pt>
                <c:pt idx="30">
                  <c:v>0</c:v>
                </c:pt>
                <c:pt idx="31">
                  <c:v>0</c:v>
                </c:pt>
                <c:pt idx="32">
                  <c:v>10.266807607901336</c:v>
                </c:pt>
                <c:pt idx="33">
                  <c:v>0</c:v>
                </c:pt>
                <c:pt idx="34">
                  <c:v>0</c:v>
                </c:pt>
                <c:pt idx="35">
                  <c:v>0</c:v>
                </c:pt>
                <c:pt idx="36">
                  <c:v>10.80827622831805</c:v>
                </c:pt>
                <c:pt idx="37">
                  <c:v>0</c:v>
                </c:pt>
                <c:pt idx="38">
                  <c:v>84.783843590765343</c:v>
                </c:pt>
                <c:pt idx="39">
                  <c:v>0</c:v>
                </c:pt>
                <c:pt idx="40">
                  <c:v>55.899407127500162</c:v>
                </c:pt>
                <c:pt idx="41">
                  <c:v>62.341061463798042</c:v>
                </c:pt>
                <c:pt idx="42">
                  <c:v>0</c:v>
                </c:pt>
                <c:pt idx="43">
                  <c:v>0</c:v>
                </c:pt>
                <c:pt idx="44">
                  <c:v>0</c:v>
                </c:pt>
                <c:pt idx="45">
                  <c:v>0</c:v>
                </c:pt>
                <c:pt idx="46">
                  <c:v>0</c:v>
                </c:pt>
                <c:pt idx="47">
                  <c:v>0</c:v>
                </c:pt>
                <c:pt idx="48">
                  <c:v>66.486416053163069</c:v>
                </c:pt>
                <c:pt idx="49">
                  <c:v>0</c:v>
                </c:pt>
                <c:pt idx="50">
                  <c:v>18.17506228998753</c:v>
                </c:pt>
                <c:pt idx="51">
                  <c:v>0</c:v>
                </c:pt>
                <c:pt idx="52">
                  <c:v>80.794015657082269</c:v>
                </c:pt>
                <c:pt idx="53">
                  <c:v>0</c:v>
                </c:pt>
                <c:pt idx="54">
                  <c:v>35.756943992008168</c:v>
                </c:pt>
                <c:pt idx="55">
                  <c:v>17.885341417764561</c:v>
                </c:pt>
                <c:pt idx="56">
                  <c:v>17.885341417764561</c:v>
                </c:pt>
                <c:pt idx="57">
                  <c:v>0</c:v>
                </c:pt>
                <c:pt idx="58">
                  <c:v>26.06032966317024</c:v>
                </c:pt>
                <c:pt idx="59">
                  <c:v>0</c:v>
                </c:pt>
                <c:pt idx="60">
                  <c:v>78.799101690240732</c:v>
                </c:pt>
                <c:pt idx="61">
                  <c:v>0</c:v>
                </c:pt>
                <c:pt idx="62">
                  <c:v>35.561491519534393</c:v>
                </c:pt>
                <c:pt idx="63">
                  <c:v>44.639173018872022</c:v>
                </c:pt>
                <c:pt idx="64">
                  <c:v>0</c:v>
                </c:pt>
                <c:pt idx="65">
                  <c:v>86.324842009251412</c:v>
                </c:pt>
                <c:pt idx="66">
                  <c:v>116.70246706022994</c:v>
                </c:pt>
                <c:pt idx="67">
                  <c:v>4.2382076519995646</c:v>
                </c:pt>
                <c:pt idx="68">
                  <c:v>0</c:v>
                </c:pt>
                <c:pt idx="69">
                  <c:v>84.783843590765343</c:v>
                </c:pt>
                <c:pt idx="70">
                  <c:v>61.111473060134216</c:v>
                </c:pt>
                <c:pt idx="71">
                  <c:v>131.66432181154147</c:v>
                </c:pt>
                <c:pt idx="72">
                  <c:v>0</c:v>
                </c:pt>
                <c:pt idx="73">
                  <c:v>0</c:v>
                </c:pt>
                <c:pt idx="74">
                  <c:v>55.378200534236761</c:v>
                </c:pt>
                <c:pt idx="75">
                  <c:v>5.8529268955314864</c:v>
                </c:pt>
                <c:pt idx="76">
                  <c:v>50.752492019024046</c:v>
                </c:pt>
                <c:pt idx="77">
                  <c:v>77.008274154668058</c:v>
                </c:pt>
                <c:pt idx="78">
                  <c:v>52.989336981779488</c:v>
                </c:pt>
                <c:pt idx="79">
                  <c:v>0</c:v>
                </c:pt>
                <c:pt idx="80">
                  <c:v>50.339870132690514</c:v>
                </c:pt>
                <c:pt idx="81">
                  <c:v>75.965211386149292</c:v>
                </c:pt>
                <c:pt idx="82">
                  <c:v>124.68212292759608</c:v>
                </c:pt>
                <c:pt idx="83">
                  <c:v>15.456467891895299</c:v>
                </c:pt>
                <c:pt idx="84">
                  <c:v>0</c:v>
                </c:pt>
                <c:pt idx="85">
                  <c:v>0</c:v>
                </c:pt>
                <c:pt idx="86">
                  <c:v>53.032770864551445</c:v>
                </c:pt>
                <c:pt idx="87">
                  <c:v>40.328360153755945</c:v>
                </c:pt>
                <c:pt idx="88">
                  <c:v>0</c:v>
                </c:pt>
                <c:pt idx="89">
                  <c:v>136.91002870276452</c:v>
                </c:pt>
                <c:pt idx="90">
                  <c:v>52.12065932634048</c:v>
                </c:pt>
                <c:pt idx="91">
                  <c:v>105.48</c:v>
                </c:pt>
                <c:pt idx="92">
                  <c:v>76.487067561404658</c:v>
                </c:pt>
                <c:pt idx="93">
                  <c:v>42</c:v>
                </c:pt>
                <c:pt idx="94">
                  <c:v>0</c:v>
                </c:pt>
                <c:pt idx="95">
                  <c:v>93.661652674968167</c:v>
                </c:pt>
                <c:pt idx="96">
                  <c:v>408.60075821337881</c:v>
                </c:pt>
                <c:pt idx="97">
                  <c:v>71.665906573718161</c:v>
                </c:pt>
                <c:pt idx="98">
                  <c:v>45.605576910547917</c:v>
                </c:pt>
                <c:pt idx="99">
                  <c:v>71.665906573718161</c:v>
                </c:pt>
                <c:pt idx="100">
                  <c:v>11.890025408821421</c:v>
                </c:pt>
                <c:pt idx="101">
                  <c:v>90.429343931200734</c:v>
                </c:pt>
                <c:pt idx="102">
                  <c:v>30.794622885312833</c:v>
                </c:pt>
                <c:pt idx="103">
                  <c:v>33.858898682888842</c:v>
                </c:pt>
                <c:pt idx="104">
                  <c:v>66.193237344452413</c:v>
                </c:pt>
                <c:pt idx="105">
                  <c:v>21.680216802168019</c:v>
                </c:pt>
                <c:pt idx="106">
                  <c:v>48.863118118444199</c:v>
                </c:pt>
                <c:pt idx="107">
                  <c:v>59.623862575194906</c:v>
                </c:pt>
                <c:pt idx="108">
                  <c:v>136.39208407967715</c:v>
                </c:pt>
                <c:pt idx="109">
                  <c:v>22.824505396659934</c:v>
                </c:pt>
                <c:pt idx="110">
                  <c:v>31.31677842458183</c:v>
                </c:pt>
                <c:pt idx="111">
                  <c:v>35.438980621423653</c:v>
                </c:pt>
                <c:pt idx="112">
                  <c:v>45.76845397094273</c:v>
                </c:pt>
                <c:pt idx="113">
                  <c:v>20.631094316676439</c:v>
                </c:pt>
                <c:pt idx="114">
                  <c:v>64.064977088626833</c:v>
                </c:pt>
                <c:pt idx="115">
                  <c:v>41.902838404239155</c:v>
                </c:pt>
                <c:pt idx="116">
                  <c:v>41.902838404239155</c:v>
                </c:pt>
                <c:pt idx="117">
                  <c:v>41.902838404239155</c:v>
                </c:pt>
                <c:pt idx="118">
                  <c:v>135.79630554168747</c:v>
                </c:pt>
                <c:pt idx="119">
                  <c:v>25.84316024931049</c:v>
                </c:pt>
                <c:pt idx="120">
                  <c:v>19.990444545790172</c:v>
                </c:pt>
                <c:pt idx="121">
                  <c:v>277.53010620407883</c:v>
                </c:pt>
                <c:pt idx="122">
                  <c:v>45.76845397094273</c:v>
                </c:pt>
                <c:pt idx="123">
                  <c:v>73.663865181227877</c:v>
                </c:pt>
                <c:pt idx="124">
                  <c:v>197.70344483275088</c:v>
                </c:pt>
                <c:pt idx="125">
                  <c:v>75.276439935978487</c:v>
                </c:pt>
                <c:pt idx="126">
                  <c:v>66.432123699698138</c:v>
                </c:pt>
                <c:pt idx="127">
                  <c:v>69.895157264103844</c:v>
                </c:pt>
                <c:pt idx="128">
                  <c:v>83.315671385451921</c:v>
                </c:pt>
                <c:pt idx="129">
                  <c:v>107.83824263604592</c:v>
                </c:pt>
                <c:pt idx="130">
                  <c:v>43.504531722054381</c:v>
                </c:pt>
                <c:pt idx="131">
                  <c:v>114.01091873798683</c:v>
                </c:pt>
                <c:pt idx="132">
                  <c:v>178.85</c:v>
                </c:pt>
                <c:pt idx="133">
                  <c:v>45.540426086389992</c:v>
                </c:pt>
                <c:pt idx="134">
                  <c:v>157.86127209875099</c:v>
                </c:pt>
                <c:pt idx="135">
                  <c:v>83.523356570460621</c:v>
                </c:pt>
                <c:pt idx="136">
                  <c:v>6.667101005494386</c:v>
                </c:pt>
                <c:pt idx="137">
                  <c:v>32.996831478888808</c:v>
                </c:pt>
                <c:pt idx="138">
                  <c:v>0</c:v>
                </c:pt>
                <c:pt idx="139">
                  <c:v>64.890220861293898</c:v>
                </c:pt>
                <c:pt idx="140">
                  <c:v>57.75620561600104</c:v>
                </c:pt>
                <c:pt idx="141">
                  <c:v>46.32</c:v>
                </c:pt>
                <c:pt idx="142">
                  <c:v>13.03016483158512</c:v>
                </c:pt>
                <c:pt idx="143">
                  <c:v>117.27148348426608</c:v>
                </c:pt>
                <c:pt idx="144">
                  <c:v>57.75620561600104</c:v>
                </c:pt>
                <c:pt idx="145">
                  <c:v>57.75620561600104</c:v>
                </c:pt>
                <c:pt idx="146">
                  <c:v>50.696337779087763</c:v>
                </c:pt>
                <c:pt idx="147">
                  <c:v>32.977175494603344</c:v>
                </c:pt>
                <c:pt idx="148">
                  <c:v>51.271092771350673</c:v>
                </c:pt>
                <c:pt idx="149">
                  <c:v>113.74248050904511</c:v>
                </c:pt>
                <c:pt idx="150">
                  <c:v>114.1008100419137</c:v>
                </c:pt>
                <c:pt idx="151">
                  <c:v>162.2463074348274</c:v>
                </c:pt>
                <c:pt idx="152">
                  <c:v>4.8227658512231653</c:v>
                </c:pt>
                <c:pt idx="153">
                  <c:v>55.872831108362739</c:v>
                </c:pt>
                <c:pt idx="154">
                  <c:v>0</c:v>
                </c:pt>
                <c:pt idx="155">
                  <c:v>141.87043032265103</c:v>
                </c:pt>
                <c:pt idx="156">
                  <c:v>96.32243279618784</c:v>
                </c:pt>
                <c:pt idx="157">
                  <c:v>80.026190389582041</c:v>
                </c:pt>
                <c:pt idx="158">
                  <c:v>69.841038885453429</c:v>
                </c:pt>
              </c:numCache>
            </c:numRef>
          </c:val>
          <c:extLst>
            <c:ext xmlns:c16="http://schemas.microsoft.com/office/drawing/2014/chart" uri="{C3380CC4-5D6E-409C-BE32-E72D297353CC}">
              <c16:uniqueId val="{00000000-0558-4826-A22F-921250C2D3A0}"/>
            </c:ext>
          </c:extLst>
        </c:ser>
        <c:ser>
          <c:idx val="1"/>
          <c:order val="1"/>
          <c:tx>
            <c:strRef>
              <c:f>'[1]total charges cities 200 m³ G'!$C$436</c:f>
              <c:strCache>
                <c:ptCount val="1"/>
                <c:pt idx="0">
                  <c:v>VARIABLE CHARGE</c:v>
                </c:pt>
              </c:strCache>
            </c:strRef>
          </c:tx>
          <c:invertIfNegative val="0"/>
          <c:cat>
            <c:strRef>
              <c:f>'[1]total charges cities 200 m³ G'!$A$437:$A$595</c:f>
              <c:strCache>
                <c:ptCount val="159"/>
                <c:pt idx="0">
                  <c:v>Guadalajara</c:v>
                </c:pt>
                <c:pt idx="1">
                  <c:v>San Luis Potosi</c:v>
                </c:pt>
                <c:pt idx="2">
                  <c:v>Monterrey</c:v>
                </c:pt>
                <c:pt idx="3">
                  <c:v>Puebla</c:v>
                </c:pt>
                <c:pt idx="4">
                  <c:v>León, Guanajuato</c:v>
                </c:pt>
                <c:pt idx="5">
                  <c:v>Mulonga</c:v>
                </c:pt>
                <c:pt idx="6">
                  <c:v>Kenya Average</c:v>
                </c:pt>
                <c:pt idx="7">
                  <c:v>Thailand Average</c:v>
                </c:pt>
                <c:pt idx="8">
                  <c:v>Mauritius</c:v>
                </c:pt>
                <c:pt idx="9">
                  <c:v>Taipei</c:v>
                </c:pt>
                <c:pt idx="10">
                  <c:v>Kafubu</c:v>
                </c:pt>
                <c:pt idx="11">
                  <c:v>Lusaka</c:v>
                </c:pt>
                <c:pt idx="12">
                  <c:v>Sao Paulo (SABESP)</c:v>
                </c:pt>
                <c:pt idx="13">
                  <c:v>Brazil Average</c:v>
                </c:pt>
                <c:pt idx="14">
                  <c:v>Kaohsiung</c:v>
                </c:pt>
                <c:pt idx="15">
                  <c:v>Russia Average</c:v>
                </c:pt>
                <c:pt idx="16">
                  <c:v>Gwangju</c:v>
                </c:pt>
                <c:pt idx="17">
                  <c:v>Daejeon</c:v>
                </c:pt>
                <c:pt idx="18">
                  <c:v>Gyeounggi</c:v>
                </c:pt>
                <c:pt idx="19">
                  <c:v>Entebbe</c:v>
                </c:pt>
                <c:pt idx="20">
                  <c:v>Daegu</c:v>
                </c:pt>
                <c:pt idx="21">
                  <c:v>Mbarara</c:v>
                </c:pt>
                <c:pt idx="22">
                  <c:v>NWWSC of Zambia</c:v>
                </c:pt>
                <c:pt idx="23">
                  <c:v>Kampala</c:v>
                </c:pt>
                <c:pt idx="24">
                  <c:v>Hong Kong</c:v>
                </c:pt>
                <c:pt idx="25">
                  <c:v>Seoul</c:v>
                </c:pt>
                <c:pt idx="26">
                  <c:v>Incheon</c:v>
                </c:pt>
                <c:pt idx="27">
                  <c:v>Jinja</c:v>
                </c:pt>
                <c:pt idx="28">
                  <c:v>Miami</c:v>
                </c:pt>
                <c:pt idx="29">
                  <c:v>Busan</c:v>
                </c:pt>
                <c:pt idx="30">
                  <c:v>Brasilia Federal District</c:v>
                </c:pt>
                <c:pt idx="31">
                  <c:v>Ulsan</c:v>
                </c:pt>
                <c:pt idx="32">
                  <c:v>Gran Santiago</c:v>
                </c:pt>
                <c:pt idx="33">
                  <c:v>Severin</c:v>
                </c:pt>
                <c:pt idx="34">
                  <c:v>Apaserv SA Valea Jiului</c:v>
                </c:pt>
                <c:pt idx="35">
                  <c:v>Deva</c:v>
                </c:pt>
                <c:pt idx="36">
                  <c:v>Concepcion</c:v>
                </c:pt>
                <c:pt idx="37">
                  <c:v>Sibiu</c:v>
                </c:pt>
                <c:pt idx="38">
                  <c:v>Osaka</c:v>
                </c:pt>
                <c:pt idx="39">
                  <c:v>Baia Mare</c:v>
                </c:pt>
                <c:pt idx="40">
                  <c:v>Lisbon</c:v>
                </c:pt>
                <c:pt idx="41">
                  <c:v>Nagoya</c:v>
                </c:pt>
                <c:pt idx="42">
                  <c:v>Craiova</c:v>
                </c:pt>
                <c:pt idx="43">
                  <c:v>Giurgiu</c:v>
                </c:pt>
                <c:pt idx="44">
                  <c:v>Kaposvár</c:v>
                </c:pt>
                <c:pt idx="45">
                  <c:v>Calarasi</c:v>
                </c:pt>
                <c:pt idx="46">
                  <c:v>Iasi</c:v>
                </c:pt>
                <c:pt idx="47">
                  <c:v>Resita</c:v>
                </c:pt>
                <c:pt idx="48">
                  <c:v>Madrid</c:v>
                </c:pt>
                <c:pt idx="49">
                  <c:v>Bucharest</c:v>
                </c:pt>
                <c:pt idx="50">
                  <c:v>Temuco</c:v>
                </c:pt>
                <c:pt idx="51">
                  <c:v>Miercurea Ciuc</c:v>
                </c:pt>
                <c:pt idx="52">
                  <c:v>Hiroshima</c:v>
                </c:pt>
                <c:pt idx="53">
                  <c:v>Bialystok</c:v>
                </c:pt>
                <c:pt idx="54">
                  <c:v>Bilbao</c:v>
                </c:pt>
                <c:pt idx="55">
                  <c:v>Valparaiso</c:v>
                </c:pt>
                <c:pt idx="56">
                  <c:v>Vina del Mar</c:v>
                </c:pt>
                <c:pt idx="57">
                  <c:v>Brasov</c:v>
                </c:pt>
                <c:pt idx="58">
                  <c:v>Thessaloniki</c:v>
                </c:pt>
                <c:pt idx="59">
                  <c:v>Suceava</c:v>
                </c:pt>
                <c:pt idx="60">
                  <c:v>Yokohama</c:v>
                </c:pt>
                <c:pt idx="61">
                  <c:v>Medias</c:v>
                </c:pt>
                <c:pt idx="62">
                  <c:v>Faro</c:v>
                </c:pt>
                <c:pt idx="63">
                  <c:v>Porto</c:v>
                </c:pt>
                <c:pt idx="64">
                  <c:v>Miskolc</c:v>
                </c:pt>
                <c:pt idx="65">
                  <c:v>Serres</c:v>
                </c:pt>
                <c:pt idx="66">
                  <c:v>Tokyo</c:v>
                </c:pt>
                <c:pt idx="67">
                  <c:v>Debrecen</c:v>
                </c:pt>
                <c:pt idx="68">
                  <c:v>Chicago</c:v>
                </c:pt>
                <c:pt idx="69">
                  <c:v>Fukuoka</c:v>
                </c:pt>
                <c:pt idx="70">
                  <c:v>Braga</c:v>
                </c:pt>
                <c:pt idx="71">
                  <c:v>Sapporo</c:v>
                </c:pt>
                <c:pt idx="72">
                  <c:v>Buzau</c:v>
                </c:pt>
                <c:pt idx="73">
                  <c:v>Constanta</c:v>
                </c:pt>
                <c:pt idx="74">
                  <c:v>Alexandroupolis</c:v>
                </c:pt>
                <c:pt idx="75">
                  <c:v>Budapest</c:v>
                </c:pt>
                <c:pt idx="76">
                  <c:v>Coimbra</c:v>
                </c:pt>
                <c:pt idx="77">
                  <c:v>Valencia</c:v>
                </c:pt>
                <c:pt idx="78">
                  <c:v>Igoumenitsa</c:v>
                </c:pt>
                <c:pt idx="79">
                  <c:v>Wroclaw</c:v>
                </c:pt>
                <c:pt idx="80">
                  <c:v>Sevilla</c:v>
                </c:pt>
                <c:pt idx="81">
                  <c:v>Saskatoon</c:v>
                </c:pt>
                <c:pt idx="82">
                  <c:v>Sendai</c:v>
                </c:pt>
                <c:pt idx="83">
                  <c:v>Antofagasta</c:v>
                </c:pt>
                <c:pt idx="84">
                  <c:v>Pécs</c:v>
                </c:pt>
                <c:pt idx="85">
                  <c:v>Tarnow</c:v>
                </c:pt>
                <c:pt idx="86">
                  <c:v>Sintra</c:v>
                </c:pt>
                <c:pt idx="87">
                  <c:v>Loures</c:v>
                </c:pt>
                <c:pt idx="88">
                  <c:v>Bydgoszcz</c:v>
                </c:pt>
                <c:pt idx="89">
                  <c:v>Durham</c:v>
                </c:pt>
                <c:pt idx="90">
                  <c:v>Paphos</c:v>
                </c:pt>
                <c:pt idx="91">
                  <c:v>Denver</c:v>
                </c:pt>
                <c:pt idx="92">
                  <c:v>Eindhoven</c:v>
                </c:pt>
                <c:pt idx="93">
                  <c:v>Minneapolis</c:v>
                </c:pt>
                <c:pt idx="94">
                  <c:v>Los Angeles</c:v>
                </c:pt>
                <c:pt idx="95">
                  <c:v>Winnipeg</c:v>
                </c:pt>
                <c:pt idx="96">
                  <c:v>Vancouver</c:v>
                </c:pt>
                <c:pt idx="97">
                  <c:v>Larnaca</c:v>
                </c:pt>
                <c:pt idx="98">
                  <c:v>Lefkosia</c:v>
                </c:pt>
                <c:pt idx="99">
                  <c:v>Lemesos</c:v>
                </c:pt>
                <c:pt idx="100">
                  <c:v>Reims</c:v>
                </c:pt>
                <c:pt idx="101">
                  <c:v>Barcelona</c:v>
                </c:pt>
                <c:pt idx="102">
                  <c:v>Strassbourg</c:v>
                </c:pt>
                <c:pt idx="103">
                  <c:v>Trondheim</c:v>
                </c:pt>
                <c:pt idx="104">
                  <c:v>Lyon</c:v>
                </c:pt>
                <c:pt idx="105">
                  <c:v>Radom</c:v>
                </c:pt>
                <c:pt idx="106">
                  <c:v>Utrecht</c:v>
                </c:pt>
                <c:pt idx="107">
                  <c:v>Bordeaux</c:v>
                </c:pt>
                <c:pt idx="108">
                  <c:v>Calgary</c:v>
                </c:pt>
                <c:pt idx="109">
                  <c:v>Paris</c:v>
                </c:pt>
                <c:pt idx="110">
                  <c:v>London</c:v>
                </c:pt>
                <c:pt idx="111">
                  <c:v>Oslo</c:v>
                </c:pt>
                <c:pt idx="112">
                  <c:v>Amsterdam</c:v>
                </c:pt>
                <c:pt idx="113">
                  <c:v>Marseille</c:v>
                </c:pt>
                <c:pt idx="114">
                  <c:v>Malta Average</c:v>
                </c:pt>
                <c:pt idx="115">
                  <c:v>Espoo</c:v>
                </c:pt>
                <c:pt idx="116">
                  <c:v>Helsinki</c:v>
                </c:pt>
                <c:pt idx="117">
                  <c:v>Vantaa</c:v>
                </c:pt>
                <c:pt idx="118">
                  <c:v>Lausanne</c:v>
                </c:pt>
                <c:pt idx="119">
                  <c:v>Brussels</c:v>
                </c:pt>
                <c:pt idx="120">
                  <c:v>Lille</c:v>
                </c:pt>
                <c:pt idx="121">
                  <c:v>Bergen</c:v>
                </c:pt>
                <c:pt idx="122">
                  <c:v>Nancy</c:v>
                </c:pt>
                <c:pt idx="123">
                  <c:v>Antwerp</c:v>
                </c:pt>
                <c:pt idx="124">
                  <c:v>Geneva</c:v>
                </c:pt>
                <c:pt idx="125">
                  <c:v>Canberra</c:v>
                </c:pt>
                <c:pt idx="126">
                  <c:v>Den Haag</c:v>
                </c:pt>
                <c:pt idx="127">
                  <c:v>Basel</c:v>
                </c:pt>
                <c:pt idx="128">
                  <c:v>Sydney</c:v>
                </c:pt>
                <c:pt idx="129">
                  <c:v>Zürich</c:v>
                </c:pt>
                <c:pt idx="130">
                  <c:v>Birmingham</c:v>
                </c:pt>
                <c:pt idx="131">
                  <c:v>Melbourne</c:v>
                </c:pt>
                <c:pt idx="132">
                  <c:v>New York</c:v>
                </c:pt>
                <c:pt idx="133">
                  <c:v>Oulu</c:v>
                </c:pt>
                <c:pt idx="134">
                  <c:v>Perth</c:v>
                </c:pt>
                <c:pt idx="135">
                  <c:v>Tampere</c:v>
                </c:pt>
                <c:pt idx="136">
                  <c:v>Brest</c:v>
                </c:pt>
                <c:pt idx="137">
                  <c:v>Leeds</c:v>
                </c:pt>
                <c:pt idx="138">
                  <c:v>SEDIF</c:v>
                </c:pt>
                <c:pt idx="139">
                  <c:v>Rotterdam</c:v>
                </c:pt>
                <c:pt idx="140">
                  <c:v>Genk</c:v>
                </c:pt>
                <c:pt idx="141">
                  <c:v>Washington D.C.</c:v>
                </c:pt>
                <c:pt idx="142">
                  <c:v>Athens</c:v>
                </c:pt>
                <c:pt idx="143">
                  <c:v>Turku</c:v>
                </c:pt>
                <c:pt idx="144">
                  <c:v>Louvain</c:v>
                </c:pt>
                <c:pt idx="145">
                  <c:v>Kortrijk</c:v>
                </c:pt>
                <c:pt idx="146">
                  <c:v>Cardiff</c:v>
                </c:pt>
                <c:pt idx="147">
                  <c:v>Le Havre</c:v>
                </c:pt>
                <c:pt idx="148">
                  <c:v>Manchester</c:v>
                </c:pt>
                <c:pt idx="149">
                  <c:v>Charleroi</c:v>
                </c:pt>
                <c:pt idx="150">
                  <c:v>Liège</c:v>
                </c:pt>
                <c:pt idx="151">
                  <c:v>South East Queensland</c:v>
                </c:pt>
                <c:pt idx="152">
                  <c:v>Bern</c:v>
                </c:pt>
                <c:pt idx="153">
                  <c:v>Copenhagen</c:v>
                </c:pt>
                <c:pt idx="154">
                  <c:v>Macao, China Average</c:v>
                </c:pt>
                <c:pt idx="155">
                  <c:v>Aalborg</c:v>
                </c:pt>
                <c:pt idx="156">
                  <c:v>Esbjerg</c:v>
                </c:pt>
                <c:pt idx="157">
                  <c:v>Aarhus</c:v>
                </c:pt>
                <c:pt idx="158">
                  <c:v>Odense</c:v>
                </c:pt>
              </c:strCache>
            </c:strRef>
          </c:cat>
          <c:val>
            <c:numRef>
              <c:f>'[1]total charges cities 200 m³ G'!$C$437:$C$595</c:f>
              <c:numCache>
                <c:formatCode>General</c:formatCode>
                <c:ptCount val="159"/>
                <c:pt idx="0">
                  <c:v>0.99576049181305393</c:v>
                </c:pt>
                <c:pt idx="1">
                  <c:v>0.97260327107321554</c:v>
                </c:pt>
                <c:pt idx="2">
                  <c:v>1.0304963229228117</c:v>
                </c:pt>
                <c:pt idx="3">
                  <c:v>1.2620685303211963</c:v>
                </c:pt>
                <c:pt idx="4">
                  <c:v>2.1188856976952195</c:v>
                </c:pt>
                <c:pt idx="5">
                  <c:v>67.933453460186811</c:v>
                </c:pt>
                <c:pt idx="6">
                  <c:v>44.749609723688842</c:v>
                </c:pt>
                <c:pt idx="7">
                  <c:v>0</c:v>
                </c:pt>
                <c:pt idx="8">
                  <c:v>20.418472692663769</c:v>
                </c:pt>
                <c:pt idx="9">
                  <c:v>28.911313638156159</c:v>
                </c:pt>
                <c:pt idx="10">
                  <c:v>60.485347447183813</c:v>
                </c:pt>
                <c:pt idx="11">
                  <c:v>82.182318568820847</c:v>
                </c:pt>
                <c:pt idx="12">
                  <c:v>0</c:v>
                </c:pt>
                <c:pt idx="13">
                  <c:v>0</c:v>
                </c:pt>
                <c:pt idx="14">
                  <c:v>47.177457401175324</c:v>
                </c:pt>
                <c:pt idx="15">
                  <c:v>69.373075082106553</c:v>
                </c:pt>
                <c:pt idx="16">
                  <c:v>90.043657489822451</c:v>
                </c:pt>
                <c:pt idx="17">
                  <c:v>86.322270986620239</c:v>
                </c:pt>
                <c:pt idx="18">
                  <c:v>107.49994272182887</c:v>
                </c:pt>
                <c:pt idx="19">
                  <c:v>136.9877455254429</c:v>
                </c:pt>
                <c:pt idx="20">
                  <c:v>98.111745441437108</c:v>
                </c:pt>
                <c:pt idx="21">
                  <c:v>141.14617661703821</c:v>
                </c:pt>
                <c:pt idx="22">
                  <c:v>119.28723126287801</c:v>
                </c:pt>
                <c:pt idx="23">
                  <c:v>134.41830842819701</c:v>
                </c:pt>
                <c:pt idx="24">
                  <c:v>114.49633598349713</c:v>
                </c:pt>
                <c:pt idx="25">
                  <c:v>97.313579210559041</c:v>
                </c:pt>
                <c:pt idx="26">
                  <c:v>112.47195911545151</c:v>
                </c:pt>
                <c:pt idx="27">
                  <c:v>138.68110452774681</c:v>
                </c:pt>
                <c:pt idx="28">
                  <c:v>26.24</c:v>
                </c:pt>
                <c:pt idx="29">
                  <c:v>121.17891897585818</c:v>
                </c:pt>
                <c:pt idx="30">
                  <c:v>0</c:v>
                </c:pt>
                <c:pt idx="31">
                  <c:v>147.76412455975458</c:v>
                </c:pt>
                <c:pt idx="32">
                  <c:v>94.520731356743156</c:v>
                </c:pt>
                <c:pt idx="33">
                  <c:v>148.98382016551096</c:v>
                </c:pt>
                <c:pt idx="34">
                  <c:v>142.75620067306195</c:v>
                </c:pt>
                <c:pt idx="35">
                  <c:v>146.10953424591912</c:v>
                </c:pt>
                <c:pt idx="36">
                  <c:v>115.19076853665082</c:v>
                </c:pt>
                <c:pt idx="37">
                  <c:v>133.17524760775578</c:v>
                </c:pt>
                <c:pt idx="38">
                  <c:v>74.47678809541739</c:v>
                </c:pt>
                <c:pt idx="39">
                  <c:v>145.1514389393885</c:v>
                </c:pt>
                <c:pt idx="40">
                  <c:v>134.22155623601972</c:v>
                </c:pt>
                <c:pt idx="41">
                  <c:v>96.154853201762108</c:v>
                </c:pt>
                <c:pt idx="42">
                  <c:v>146.58858189918442</c:v>
                </c:pt>
                <c:pt idx="43">
                  <c:v>129.34286638163331</c:v>
                </c:pt>
                <c:pt idx="44">
                  <c:v>149.97264445255973</c:v>
                </c:pt>
                <c:pt idx="45">
                  <c:v>144.6723912861232</c:v>
                </c:pt>
                <c:pt idx="46">
                  <c:v>153.29524904489875</c:v>
                </c:pt>
                <c:pt idx="47">
                  <c:v>184.4333465071438</c:v>
                </c:pt>
                <c:pt idx="48">
                  <c:v>113.72076356765913</c:v>
                </c:pt>
                <c:pt idx="49">
                  <c:v>219.88287284877663</c:v>
                </c:pt>
                <c:pt idx="50">
                  <c:v>120.2116593805149</c:v>
                </c:pt>
                <c:pt idx="51">
                  <c:v>148.02572485898034</c:v>
                </c:pt>
                <c:pt idx="52">
                  <c:v>85.781300574186105</c:v>
                </c:pt>
                <c:pt idx="53">
                  <c:v>173.0773610257111</c:v>
                </c:pt>
                <c:pt idx="54">
                  <c:v>125.73023215410342</c:v>
                </c:pt>
                <c:pt idx="55">
                  <c:v>190.04704729426021</c:v>
                </c:pt>
                <c:pt idx="56">
                  <c:v>190.04704729426021</c:v>
                </c:pt>
                <c:pt idx="57">
                  <c:v>168.62477394938861</c:v>
                </c:pt>
                <c:pt idx="58">
                  <c:v>143.98332138901557</c:v>
                </c:pt>
                <c:pt idx="59">
                  <c:v>168.14572629612331</c:v>
                </c:pt>
                <c:pt idx="60">
                  <c:v>113.64359897773959</c:v>
                </c:pt>
                <c:pt idx="61">
                  <c:v>152.81620139163343</c:v>
                </c:pt>
                <c:pt idx="62">
                  <c:v>135.11195083284471</c:v>
                </c:pt>
                <c:pt idx="63">
                  <c:v>206.57154646339612</c:v>
                </c:pt>
                <c:pt idx="64">
                  <c:v>171.53895861350634</c:v>
                </c:pt>
                <c:pt idx="65">
                  <c:v>81.351662431863105</c:v>
                </c:pt>
                <c:pt idx="66">
                  <c:v>96.088356069534058</c:v>
                </c:pt>
                <c:pt idx="67">
                  <c:v>168.63315255478366</c:v>
                </c:pt>
                <c:pt idx="68">
                  <c:v>201.31</c:v>
                </c:pt>
                <c:pt idx="69">
                  <c:v>109.72026817628456</c:v>
                </c:pt>
                <c:pt idx="70">
                  <c:v>167.00327925814929</c:v>
                </c:pt>
                <c:pt idx="71">
                  <c:v>139.64397767890762</c:v>
                </c:pt>
                <c:pt idx="72">
                  <c:v>210.78096743673578</c:v>
                </c:pt>
                <c:pt idx="73">
                  <c:v>176.76858405489887</c:v>
                </c:pt>
                <c:pt idx="74">
                  <c:v>184.5940017807892</c:v>
                </c:pt>
                <c:pt idx="75">
                  <c:v>118.71112903407392</c:v>
                </c:pt>
                <c:pt idx="76">
                  <c:v>176.29813017134668</c:v>
                </c:pt>
                <c:pt idx="77">
                  <c:v>121.41941928898733</c:v>
                </c:pt>
                <c:pt idx="78">
                  <c:v>108.58470692987599</c:v>
                </c:pt>
                <c:pt idx="79">
                  <c:v>217.10581251470779</c:v>
                </c:pt>
                <c:pt idx="80">
                  <c:v>123.66712272243578</c:v>
                </c:pt>
                <c:pt idx="81">
                  <c:v>208.61658429908425</c:v>
                </c:pt>
                <c:pt idx="82">
                  <c:v>201.58605634933735</c:v>
                </c:pt>
                <c:pt idx="83">
                  <c:v>399.89215632775705</c:v>
                </c:pt>
                <c:pt idx="84">
                  <c:v>234.11707582125948</c:v>
                </c:pt>
                <c:pt idx="85">
                  <c:v>159.41335883947076</c:v>
                </c:pt>
                <c:pt idx="86">
                  <c:v>199.22036180424348</c:v>
                </c:pt>
                <c:pt idx="87">
                  <c:v>226.44254783156339</c:v>
                </c:pt>
                <c:pt idx="88">
                  <c:v>278.84685943031235</c:v>
                </c:pt>
                <c:pt idx="89">
                  <c:v>135.81659005402452</c:v>
                </c:pt>
                <c:pt idx="90">
                  <c:v>226.50769865572133</c:v>
                </c:pt>
                <c:pt idx="91">
                  <c:v>137.37</c:v>
                </c:pt>
                <c:pt idx="92">
                  <c:v>100.22368449627554</c:v>
                </c:pt>
                <c:pt idx="93">
                  <c:v>244.71</c:v>
                </c:pt>
                <c:pt idx="94">
                  <c:v>330.11</c:v>
                </c:pt>
                <c:pt idx="95">
                  <c:v>208.61658429908425</c:v>
                </c:pt>
                <c:pt idx="96">
                  <c:v>0</c:v>
                </c:pt>
                <c:pt idx="97">
                  <c:v>247.57313180011727</c:v>
                </c:pt>
                <c:pt idx="98">
                  <c:v>238.8863552457272</c:v>
                </c:pt>
                <c:pt idx="99">
                  <c:v>238.8863552457272</c:v>
                </c:pt>
                <c:pt idx="100">
                  <c:v>201.96755488956936</c:v>
                </c:pt>
                <c:pt idx="101">
                  <c:v>302.95133233435405</c:v>
                </c:pt>
                <c:pt idx="102">
                  <c:v>217.16941385975198</c:v>
                </c:pt>
                <c:pt idx="103">
                  <c:v>186.44966874710786</c:v>
                </c:pt>
                <c:pt idx="104">
                  <c:v>256.25990835450733</c:v>
                </c:pt>
                <c:pt idx="105">
                  <c:v>326.92390415967651</c:v>
                </c:pt>
                <c:pt idx="106">
                  <c:v>147.67520142463135</c:v>
                </c:pt>
                <c:pt idx="107">
                  <c:v>232.37127282993464</c:v>
                </c:pt>
                <c:pt idx="108">
                  <c:v>254.6273316500133</c:v>
                </c:pt>
                <c:pt idx="109">
                  <c:v>214.99771972115448</c:v>
                </c:pt>
                <c:pt idx="110">
                  <c:v>372.23491268145312</c:v>
                </c:pt>
                <c:pt idx="111">
                  <c:v>225.04881324560114</c:v>
                </c:pt>
                <c:pt idx="112">
                  <c:v>269.29007318609246</c:v>
                </c:pt>
                <c:pt idx="113">
                  <c:v>308.38056768084783</c:v>
                </c:pt>
                <c:pt idx="114">
                  <c:v>713.77071253284691</c:v>
                </c:pt>
                <c:pt idx="115">
                  <c:v>234.54296696853217</c:v>
                </c:pt>
                <c:pt idx="116">
                  <c:v>234.54296696853217</c:v>
                </c:pt>
                <c:pt idx="117">
                  <c:v>234.54296696853217</c:v>
                </c:pt>
                <c:pt idx="118">
                  <c:v>383.42486270594105</c:v>
                </c:pt>
                <c:pt idx="119">
                  <c:v>406.19367168328012</c:v>
                </c:pt>
                <c:pt idx="120">
                  <c:v>243.22974352292226</c:v>
                </c:pt>
                <c:pt idx="121">
                  <c:v>0</c:v>
                </c:pt>
                <c:pt idx="122">
                  <c:v>321.41073251243296</c:v>
                </c:pt>
                <c:pt idx="123">
                  <c:v>195.30045388407498</c:v>
                </c:pt>
                <c:pt idx="124">
                  <c:v>257.61357963055417</c:v>
                </c:pt>
                <c:pt idx="125">
                  <c:v>385.88310957472464</c:v>
                </c:pt>
                <c:pt idx="126">
                  <c:v>230.19957869133711</c:v>
                </c:pt>
                <c:pt idx="127">
                  <c:v>291.56265601597602</c:v>
                </c:pt>
                <c:pt idx="128">
                  <c:v>325.95429331501362</c:v>
                </c:pt>
                <c:pt idx="129">
                  <c:v>239.64053919121318</c:v>
                </c:pt>
                <c:pt idx="130">
                  <c:v>437.37381180458328</c:v>
                </c:pt>
                <c:pt idx="131">
                  <c:v>317.91506186554022</c:v>
                </c:pt>
                <c:pt idx="132">
                  <c:v>269.10000000000002</c:v>
                </c:pt>
                <c:pt idx="133">
                  <c:v>267.11837904749495</c:v>
                </c:pt>
                <c:pt idx="134">
                  <c:v>230.21435514401188</c:v>
                </c:pt>
                <c:pt idx="135">
                  <c:v>236.71466110712967</c:v>
                </c:pt>
                <c:pt idx="136">
                  <c:v>286.66362629487264</c:v>
                </c:pt>
                <c:pt idx="137">
                  <c:v>373.14862574607616</c:v>
                </c:pt>
                <c:pt idx="138">
                  <c:v>321.41073251243296</c:v>
                </c:pt>
                <c:pt idx="139">
                  <c:v>198.49284426781333</c:v>
                </c:pt>
                <c:pt idx="140">
                  <c:v>214.45479618650509</c:v>
                </c:pt>
                <c:pt idx="141">
                  <c:v>236.58</c:v>
                </c:pt>
                <c:pt idx="142">
                  <c:v>475.514148587313</c:v>
                </c:pt>
                <c:pt idx="143">
                  <c:v>275.80515560188502</c:v>
                </c:pt>
                <c:pt idx="144">
                  <c:v>276.8910026711838</c:v>
                </c:pt>
                <c:pt idx="145">
                  <c:v>291.82139987404173</c:v>
                </c:pt>
                <c:pt idx="146">
                  <c:v>385.49848942598186</c:v>
                </c:pt>
                <c:pt idx="147">
                  <c:v>327.92581492822552</c:v>
                </c:pt>
                <c:pt idx="148">
                  <c:v>515.8057622872301</c:v>
                </c:pt>
                <c:pt idx="149">
                  <c:v>526.31007448910896</c:v>
                </c:pt>
                <c:pt idx="150">
                  <c:v>529.64362499185609</c:v>
                </c:pt>
                <c:pt idx="151">
                  <c:v>486.73892230448223</c:v>
                </c:pt>
                <c:pt idx="152">
                  <c:v>519.2211682476285</c:v>
                </c:pt>
                <c:pt idx="153">
                  <c:v>252.3007529737005</c:v>
                </c:pt>
                <c:pt idx="154">
                  <c:v>1403.2182520011579</c:v>
                </c:pt>
                <c:pt idx="155">
                  <c:v>127.9837037575934</c:v>
                </c:pt>
                <c:pt idx="156">
                  <c:v>141.25350114582955</c:v>
                </c:pt>
                <c:pt idx="157">
                  <c:v>311.6656360263359</c:v>
                </c:pt>
                <c:pt idx="158">
                  <c:v>254.62878760321561</c:v>
                </c:pt>
              </c:numCache>
            </c:numRef>
          </c:val>
          <c:extLst>
            <c:ext xmlns:c16="http://schemas.microsoft.com/office/drawing/2014/chart" uri="{C3380CC4-5D6E-409C-BE32-E72D297353CC}">
              <c16:uniqueId val="{00000001-0558-4826-A22F-921250C2D3A0}"/>
            </c:ext>
          </c:extLst>
        </c:ser>
        <c:ser>
          <c:idx val="2"/>
          <c:order val="2"/>
          <c:tx>
            <c:strRef>
              <c:f>'[1]total charges cities 200 m³ G'!$D$436</c:f>
              <c:strCache>
                <c:ptCount val="1"/>
                <c:pt idx="0">
                  <c:v>OTHER CHARGES DRINKING WATER</c:v>
                </c:pt>
              </c:strCache>
            </c:strRef>
          </c:tx>
          <c:invertIfNegative val="0"/>
          <c:cat>
            <c:strRef>
              <c:f>'[1]total charges cities 200 m³ G'!$A$437:$A$595</c:f>
              <c:strCache>
                <c:ptCount val="159"/>
                <c:pt idx="0">
                  <c:v>Guadalajara</c:v>
                </c:pt>
                <c:pt idx="1">
                  <c:v>San Luis Potosi</c:v>
                </c:pt>
                <c:pt idx="2">
                  <c:v>Monterrey</c:v>
                </c:pt>
                <c:pt idx="3">
                  <c:v>Puebla</c:v>
                </c:pt>
                <c:pt idx="4">
                  <c:v>León, Guanajuato</c:v>
                </c:pt>
                <c:pt idx="5">
                  <c:v>Mulonga</c:v>
                </c:pt>
                <c:pt idx="6">
                  <c:v>Kenya Average</c:v>
                </c:pt>
                <c:pt idx="7">
                  <c:v>Thailand Average</c:v>
                </c:pt>
                <c:pt idx="8">
                  <c:v>Mauritius</c:v>
                </c:pt>
                <c:pt idx="9">
                  <c:v>Taipei</c:v>
                </c:pt>
                <c:pt idx="10">
                  <c:v>Kafubu</c:v>
                </c:pt>
                <c:pt idx="11">
                  <c:v>Lusaka</c:v>
                </c:pt>
                <c:pt idx="12">
                  <c:v>Sao Paulo (SABESP)</c:v>
                </c:pt>
                <c:pt idx="13">
                  <c:v>Brazil Average</c:v>
                </c:pt>
                <c:pt idx="14">
                  <c:v>Kaohsiung</c:v>
                </c:pt>
                <c:pt idx="15">
                  <c:v>Russia Average</c:v>
                </c:pt>
                <c:pt idx="16">
                  <c:v>Gwangju</c:v>
                </c:pt>
                <c:pt idx="17">
                  <c:v>Daejeon</c:v>
                </c:pt>
                <c:pt idx="18">
                  <c:v>Gyeounggi</c:v>
                </c:pt>
                <c:pt idx="19">
                  <c:v>Entebbe</c:v>
                </c:pt>
                <c:pt idx="20">
                  <c:v>Daegu</c:v>
                </c:pt>
                <c:pt idx="21">
                  <c:v>Mbarara</c:v>
                </c:pt>
                <c:pt idx="22">
                  <c:v>NWWSC of Zambia</c:v>
                </c:pt>
                <c:pt idx="23">
                  <c:v>Kampala</c:v>
                </c:pt>
                <c:pt idx="24">
                  <c:v>Hong Kong</c:v>
                </c:pt>
                <c:pt idx="25">
                  <c:v>Seoul</c:v>
                </c:pt>
                <c:pt idx="26">
                  <c:v>Incheon</c:v>
                </c:pt>
                <c:pt idx="27">
                  <c:v>Jinja</c:v>
                </c:pt>
                <c:pt idx="28">
                  <c:v>Miami</c:v>
                </c:pt>
                <c:pt idx="29">
                  <c:v>Busan</c:v>
                </c:pt>
                <c:pt idx="30">
                  <c:v>Brasilia Federal District</c:v>
                </c:pt>
                <c:pt idx="31">
                  <c:v>Ulsan</c:v>
                </c:pt>
                <c:pt idx="32">
                  <c:v>Gran Santiago</c:v>
                </c:pt>
                <c:pt idx="33">
                  <c:v>Severin</c:v>
                </c:pt>
                <c:pt idx="34">
                  <c:v>Apaserv SA Valea Jiului</c:v>
                </c:pt>
                <c:pt idx="35">
                  <c:v>Deva</c:v>
                </c:pt>
                <c:pt idx="36">
                  <c:v>Concepcion</c:v>
                </c:pt>
                <c:pt idx="37">
                  <c:v>Sibiu</c:v>
                </c:pt>
                <c:pt idx="38">
                  <c:v>Osaka</c:v>
                </c:pt>
                <c:pt idx="39">
                  <c:v>Baia Mare</c:v>
                </c:pt>
                <c:pt idx="40">
                  <c:v>Lisbon</c:v>
                </c:pt>
                <c:pt idx="41">
                  <c:v>Nagoya</c:v>
                </c:pt>
                <c:pt idx="42">
                  <c:v>Craiova</c:v>
                </c:pt>
                <c:pt idx="43">
                  <c:v>Giurgiu</c:v>
                </c:pt>
                <c:pt idx="44">
                  <c:v>Kaposvár</c:v>
                </c:pt>
                <c:pt idx="45">
                  <c:v>Calarasi</c:v>
                </c:pt>
                <c:pt idx="46">
                  <c:v>Iasi</c:v>
                </c:pt>
                <c:pt idx="47">
                  <c:v>Resita</c:v>
                </c:pt>
                <c:pt idx="48">
                  <c:v>Madrid</c:v>
                </c:pt>
                <c:pt idx="49">
                  <c:v>Bucharest</c:v>
                </c:pt>
                <c:pt idx="50">
                  <c:v>Temuco</c:v>
                </c:pt>
                <c:pt idx="51">
                  <c:v>Miercurea Ciuc</c:v>
                </c:pt>
                <c:pt idx="52">
                  <c:v>Hiroshima</c:v>
                </c:pt>
                <c:pt idx="53">
                  <c:v>Bialystok</c:v>
                </c:pt>
                <c:pt idx="54">
                  <c:v>Bilbao</c:v>
                </c:pt>
                <c:pt idx="55">
                  <c:v>Valparaiso</c:v>
                </c:pt>
                <c:pt idx="56">
                  <c:v>Vina del Mar</c:v>
                </c:pt>
                <c:pt idx="57">
                  <c:v>Brasov</c:v>
                </c:pt>
                <c:pt idx="58">
                  <c:v>Thessaloniki</c:v>
                </c:pt>
                <c:pt idx="59">
                  <c:v>Suceava</c:v>
                </c:pt>
                <c:pt idx="60">
                  <c:v>Yokohama</c:v>
                </c:pt>
                <c:pt idx="61">
                  <c:v>Medias</c:v>
                </c:pt>
                <c:pt idx="62">
                  <c:v>Faro</c:v>
                </c:pt>
                <c:pt idx="63">
                  <c:v>Porto</c:v>
                </c:pt>
                <c:pt idx="64">
                  <c:v>Miskolc</c:v>
                </c:pt>
                <c:pt idx="65">
                  <c:v>Serres</c:v>
                </c:pt>
                <c:pt idx="66">
                  <c:v>Tokyo</c:v>
                </c:pt>
                <c:pt idx="67">
                  <c:v>Debrecen</c:v>
                </c:pt>
                <c:pt idx="68">
                  <c:v>Chicago</c:v>
                </c:pt>
                <c:pt idx="69">
                  <c:v>Fukuoka</c:v>
                </c:pt>
                <c:pt idx="70">
                  <c:v>Braga</c:v>
                </c:pt>
                <c:pt idx="71">
                  <c:v>Sapporo</c:v>
                </c:pt>
                <c:pt idx="72">
                  <c:v>Buzau</c:v>
                </c:pt>
                <c:pt idx="73">
                  <c:v>Constanta</c:v>
                </c:pt>
                <c:pt idx="74">
                  <c:v>Alexandroupolis</c:v>
                </c:pt>
                <c:pt idx="75">
                  <c:v>Budapest</c:v>
                </c:pt>
                <c:pt idx="76">
                  <c:v>Coimbra</c:v>
                </c:pt>
                <c:pt idx="77">
                  <c:v>Valencia</c:v>
                </c:pt>
                <c:pt idx="78">
                  <c:v>Igoumenitsa</c:v>
                </c:pt>
                <c:pt idx="79">
                  <c:v>Wroclaw</c:v>
                </c:pt>
                <c:pt idx="80">
                  <c:v>Sevilla</c:v>
                </c:pt>
                <c:pt idx="81">
                  <c:v>Saskatoon</c:v>
                </c:pt>
                <c:pt idx="82">
                  <c:v>Sendai</c:v>
                </c:pt>
                <c:pt idx="83">
                  <c:v>Antofagasta</c:v>
                </c:pt>
                <c:pt idx="84">
                  <c:v>Pécs</c:v>
                </c:pt>
                <c:pt idx="85">
                  <c:v>Tarnow</c:v>
                </c:pt>
                <c:pt idx="86">
                  <c:v>Sintra</c:v>
                </c:pt>
                <c:pt idx="87">
                  <c:v>Loures</c:v>
                </c:pt>
                <c:pt idx="88">
                  <c:v>Bydgoszcz</c:v>
                </c:pt>
                <c:pt idx="89">
                  <c:v>Durham</c:v>
                </c:pt>
                <c:pt idx="90">
                  <c:v>Paphos</c:v>
                </c:pt>
                <c:pt idx="91">
                  <c:v>Denver</c:v>
                </c:pt>
                <c:pt idx="92">
                  <c:v>Eindhoven</c:v>
                </c:pt>
                <c:pt idx="93">
                  <c:v>Minneapolis</c:v>
                </c:pt>
                <c:pt idx="94">
                  <c:v>Los Angeles</c:v>
                </c:pt>
                <c:pt idx="95">
                  <c:v>Winnipeg</c:v>
                </c:pt>
                <c:pt idx="96">
                  <c:v>Vancouver</c:v>
                </c:pt>
                <c:pt idx="97">
                  <c:v>Larnaca</c:v>
                </c:pt>
                <c:pt idx="98">
                  <c:v>Lefkosia</c:v>
                </c:pt>
                <c:pt idx="99">
                  <c:v>Lemesos</c:v>
                </c:pt>
                <c:pt idx="100">
                  <c:v>Reims</c:v>
                </c:pt>
                <c:pt idx="101">
                  <c:v>Barcelona</c:v>
                </c:pt>
                <c:pt idx="102">
                  <c:v>Strassbourg</c:v>
                </c:pt>
                <c:pt idx="103">
                  <c:v>Trondheim</c:v>
                </c:pt>
                <c:pt idx="104">
                  <c:v>Lyon</c:v>
                </c:pt>
                <c:pt idx="105">
                  <c:v>Radom</c:v>
                </c:pt>
                <c:pt idx="106">
                  <c:v>Utrecht</c:v>
                </c:pt>
                <c:pt idx="107">
                  <c:v>Bordeaux</c:v>
                </c:pt>
                <c:pt idx="108">
                  <c:v>Calgary</c:v>
                </c:pt>
                <c:pt idx="109">
                  <c:v>Paris</c:v>
                </c:pt>
                <c:pt idx="110">
                  <c:v>London</c:v>
                </c:pt>
                <c:pt idx="111">
                  <c:v>Oslo</c:v>
                </c:pt>
                <c:pt idx="112">
                  <c:v>Amsterdam</c:v>
                </c:pt>
                <c:pt idx="113">
                  <c:v>Marseille</c:v>
                </c:pt>
                <c:pt idx="114">
                  <c:v>Malta Average</c:v>
                </c:pt>
                <c:pt idx="115">
                  <c:v>Espoo</c:v>
                </c:pt>
                <c:pt idx="116">
                  <c:v>Helsinki</c:v>
                </c:pt>
                <c:pt idx="117">
                  <c:v>Vantaa</c:v>
                </c:pt>
                <c:pt idx="118">
                  <c:v>Lausanne</c:v>
                </c:pt>
                <c:pt idx="119">
                  <c:v>Brussels</c:v>
                </c:pt>
                <c:pt idx="120">
                  <c:v>Lille</c:v>
                </c:pt>
                <c:pt idx="121">
                  <c:v>Bergen</c:v>
                </c:pt>
                <c:pt idx="122">
                  <c:v>Nancy</c:v>
                </c:pt>
                <c:pt idx="123">
                  <c:v>Antwerp</c:v>
                </c:pt>
                <c:pt idx="124">
                  <c:v>Geneva</c:v>
                </c:pt>
                <c:pt idx="125">
                  <c:v>Canberra</c:v>
                </c:pt>
                <c:pt idx="126">
                  <c:v>Den Haag</c:v>
                </c:pt>
                <c:pt idx="127">
                  <c:v>Basel</c:v>
                </c:pt>
                <c:pt idx="128">
                  <c:v>Sydney</c:v>
                </c:pt>
                <c:pt idx="129">
                  <c:v>Zürich</c:v>
                </c:pt>
                <c:pt idx="130">
                  <c:v>Birmingham</c:v>
                </c:pt>
                <c:pt idx="131">
                  <c:v>Melbourne</c:v>
                </c:pt>
                <c:pt idx="132">
                  <c:v>New York</c:v>
                </c:pt>
                <c:pt idx="133">
                  <c:v>Oulu</c:v>
                </c:pt>
                <c:pt idx="134">
                  <c:v>Perth</c:v>
                </c:pt>
                <c:pt idx="135">
                  <c:v>Tampere</c:v>
                </c:pt>
                <c:pt idx="136">
                  <c:v>Brest</c:v>
                </c:pt>
                <c:pt idx="137">
                  <c:v>Leeds</c:v>
                </c:pt>
                <c:pt idx="138">
                  <c:v>SEDIF</c:v>
                </c:pt>
                <c:pt idx="139">
                  <c:v>Rotterdam</c:v>
                </c:pt>
                <c:pt idx="140">
                  <c:v>Genk</c:v>
                </c:pt>
                <c:pt idx="141">
                  <c:v>Washington D.C.</c:v>
                </c:pt>
                <c:pt idx="142">
                  <c:v>Athens</c:v>
                </c:pt>
                <c:pt idx="143">
                  <c:v>Turku</c:v>
                </c:pt>
                <c:pt idx="144">
                  <c:v>Louvain</c:v>
                </c:pt>
                <c:pt idx="145">
                  <c:v>Kortrijk</c:v>
                </c:pt>
                <c:pt idx="146">
                  <c:v>Cardiff</c:v>
                </c:pt>
                <c:pt idx="147">
                  <c:v>Le Havre</c:v>
                </c:pt>
                <c:pt idx="148">
                  <c:v>Manchester</c:v>
                </c:pt>
                <c:pt idx="149">
                  <c:v>Charleroi</c:v>
                </c:pt>
                <c:pt idx="150">
                  <c:v>Liège</c:v>
                </c:pt>
                <c:pt idx="151">
                  <c:v>South East Queensland</c:v>
                </c:pt>
                <c:pt idx="152">
                  <c:v>Bern</c:v>
                </c:pt>
                <c:pt idx="153">
                  <c:v>Copenhagen</c:v>
                </c:pt>
                <c:pt idx="154">
                  <c:v>Macao, China Average</c:v>
                </c:pt>
                <c:pt idx="155">
                  <c:v>Aalborg</c:v>
                </c:pt>
                <c:pt idx="156">
                  <c:v>Esbjerg</c:v>
                </c:pt>
                <c:pt idx="157">
                  <c:v>Aarhus</c:v>
                </c:pt>
                <c:pt idx="158">
                  <c:v>Odense</c:v>
                </c:pt>
              </c:strCache>
            </c:strRef>
          </c:cat>
          <c:val>
            <c:numRef>
              <c:f>'[1]total charges cities 200 m³ G'!$D$437:$D$595</c:f>
              <c:numCache>
                <c:formatCode>General</c:formatCode>
                <c:ptCount val="1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2.3588728700587662</c:v>
                </c:pt>
                <c:pt idx="15">
                  <c:v>6.2194660519898051</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24.14923882120442</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65.074814863074693</c:v>
                </c:pt>
                <c:pt idx="66">
                  <c:v>0</c:v>
                </c:pt>
                <c:pt idx="67">
                  <c:v>0</c:v>
                </c:pt>
                <c:pt idx="68">
                  <c:v>0</c:v>
                </c:pt>
                <c:pt idx="69">
                  <c:v>0</c:v>
                </c:pt>
                <c:pt idx="70">
                  <c:v>0</c:v>
                </c:pt>
                <c:pt idx="71">
                  <c:v>0</c:v>
                </c:pt>
                <c:pt idx="72">
                  <c:v>0</c:v>
                </c:pt>
                <c:pt idx="73">
                  <c:v>0</c:v>
                </c:pt>
                <c:pt idx="74">
                  <c:v>0</c:v>
                </c:pt>
                <c:pt idx="75">
                  <c:v>0</c:v>
                </c:pt>
                <c:pt idx="76">
                  <c:v>0</c:v>
                </c:pt>
                <c:pt idx="77">
                  <c:v>0</c:v>
                </c:pt>
                <c:pt idx="78">
                  <c:v>86.867765543900802</c:v>
                </c:pt>
                <c:pt idx="79">
                  <c:v>0</c:v>
                </c:pt>
                <c:pt idx="80">
                  <c:v>0</c:v>
                </c:pt>
                <c:pt idx="81">
                  <c:v>0</c:v>
                </c:pt>
                <c:pt idx="82">
                  <c:v>0</c:v>
                </c:pt>
                <c:pt idx="83">
                  <c:v>0</c:v>
                </c:pt>
                <c:pt idx="84">
                  <c:v>0</c:v>
                </c:pt>
                <c:pt idx="85">
                  <c:v>14.028375577873426</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95.554542098290881</c:v>
                </c:pt>
                <c:pt idx="101">
                  <c:v>0</c:v>
                </c:pt>
                <c:pt idx="102">
                  <c:v>86.867765543900802</c:v>
                </c:pt>
                <c:pt idx="103">
                  <c:v>20.8345089895376</c:v>
                </c:pt>
                <c:pt idx="104">
                  <c:v>76.009294850913193</c:v>
                </c:pt>
                <c:pt idx="105">
                  <c:v>0</c:v>
                </c:pt>
                <c:pt idx="106">
                  <c:v>0</c:v>
                </c:pt>
                <c:pt idx="107">
                  <c:v>86.867765543900802</c:v>
                </c:pt>
                <c:pt idx="108">
                  <c:v>0</c:v>
                </c:pt>
                <c:pt idx="109">
                  <c:v>106.41301279127848</c:v>
                </c:pt>
                <c:pt idx="110">
                  <c:v>0</c:v>
                </c:pt>
                <c:pt idx="111">
                  <c:v>0</c:v>
                </c:pt>
                <c:pt idx="112">
                  <c:v>0</c:v>
                </c:pt>
                <c:pt idx="113">
                  <c:v>73.837600712315677</c:v>
                </c:pt>
                <c:pt idx="114">
                  <c:v>0</c:v>
                </c:pt>
                <c:pt idx="115">
                  <c:v>0</c:v>
                </c:pt>
                <c:pt idx="116">
                  <c:v>0</c:v>
                </c:pt>
                <c:pt idx="117">
                  <c:v>0</c:v>
                </c:pt>
                <c:pt idx="118">
                  <c:v>0</c:v>
                </c:pt>
                <c:pt idx="119">
                  <c:v>0</c:v>
                </c:pt>
                <c:pt idx="120">
                  <c:v>97.726236236888397</c:v>
                </c:pt>
                <c:pt idx="121">
                  <c:v>0</c:v>
                </c:pt>
                <c:pt idx="122">
                  <c:v>99.897930375485913</c:v>
                </c:pt>
                <c:pt idx="123">
                  <c:v>0</c:v>
                </c:pt>
                <c:pt idx="124">
                  <c:v>0</c:v>
                </c:pt>
                <c:pt idx="125">
                  <c:v>0</c:v>
                </c:pt>
                <c:pt idx="126">
                  <c:v>20.30534019588681</c:v>
                </c:pt>
                <c:pt idx="127">
                  <c:v>0</c:v>
                </c:pt>
                <c:pt idx="128">
                  <c:v>0</c:v>
                </c:pt>
                <c:pt idx="129">
                  <c:v>0</c:v>
                </c:pt>
                <c:pt idx="130">
                  <c:v>0</c:v>
                </c:pt>
                <c:pt idx="131">
                  <c:v>0</c:v>
                </c:pt>
                <c:pt idx="132">
                  <c:v>0</c:v>
                </c:pt>
                <c:pt idx="133">
                  <c:v>0</c:v>
                </c:pt>
                <c:pt idx="134">
                  <c:v>0</c:v>
                </c:pt>
                <c:pt idx="135">
                  <c:v>0</c:v>
                </c:pt>
                <c:pt idx="136">
                  <c:v>82.524377266705756</c:v>
                </c:pt>
                <c:pt idx="137">
                  <c:v>0</c:v>
                </c:pt>
                <c:pt idx="138">
                  <c:v>104.24131865268096</c:v>
                </c:pt>
                <c:pt idx="139">
                  <c:v>9.1754077355745203</c:v>
                </c:pt>
                <c:pt idx="140">
                  <c:v>0</c:v>
                </c:pt>
                <c:pt idx="141">
                  <c:v>75.599999999999994</c:v>
                </c:pt>
                <c:pt idx="142">
                  <c:v>0</c:v>
                </c:pt>
                <c:pt idx="143">
                  <c:v>0</c:v>
                </c:pt>
                <c:pt idx="144">
                  <c:v>0</c:v>
                </c:pt>
                <c:pt idx="145">
                  <c:v>0</c:v>
                </c:pt>
                <c:pt idx="146">
                  <c:v>0</c:v>
                </c:pt>
                <c:pt idx="147">
                  <c:v>112.92809520707104</c:v>
                </c:pt>
                <c:pt idx="148">
                  <c:v>0</c:v>
                </c:pt>
                <c:pt idx="149">
                  <c:v>0</c:v>
                </c:pt>
                <c:pt idx="150">
                  <c:v>0</c:v>
                </c:pt>
                <c:pt idx="151">
                  <c:v>0</c:v>
                </c:pt>
                <c:pt idx="152">
                  <c:v>0</c:v>
                </c:pt>
                <c:pt idx="153">
                  <c:v>190.02582663417118</c:v>
                </c:pt>
                <c:pt idx="154">
                  <c:v>0</c:v>
                </c:pt>
                <c:pt idx="155">
                  <c:v>190.02582663417118</c:v>
                </c:pt>
                <c:pt idx="156">
                  <c:v>190.02582663417118</c:v>
                </c:pt>
                <c:pt idx="157">
                  <c:v>190.02582663417118</c:v>
                </c:pt>
                <c:pt idx="158">
                  <c:v>190.02582663417118</c:v>
                </c:pt>
              </c:numCache>
            </c:numRef>
          </c:val>
          <c:extLst>
            <c:ext xmlns:c16="http://schemas.microsoft.com/office/drawing/2014/chart" uri="{C3380CC4-5D6E-409C-BE32-E72D297353CC}">
              <c16:uniqueId val="{00000002-0558-4826-A22F-921250C2D3A0}"/>
            </c:ext>
          </c:extLst>
        </c:ser>
        <c:ser>
          <c:idx val="3"/>
          <c:order val="3"/>
          <c:tx>
            <c:strRef>
              <c:f>'[1]total charges cities 200 m³ G'!$E$436</c:f>
              <c:strCache>
                <c:ptCount val="1"/>
                <c:pt idx="0">
                  <c:v>TOTAL CHARGE DRINKING WATER</c:v>
                </c:pt>
              </c:strCache>
            </c:strRef>
          </c:tx>
          <c:invertIfNegative val="0"/>
          <c:cat>
            <c:strRef>
              <c:f>'[1]total charges cities 200 m³ G'!$A$437:$A$595</c:f>
              <c:strCache>
                <c:ptCount val="159"/>
                <c:pt idx="0">
                  <c:v>Guadalajara</c:v>
                </c:pt>
                <c:pt idx="1">
                  <c:v>San Luis Potosi</c:v>
                </c:pt>
                <c:pt idx="2">
                  <c:v>Monterrey</c:v>
                </c:pt>
                <c:pt idx="3">
                  <c:v>Puebla</c:v>
                </c:pt>
                <c:pt idx="4">
                  <c:v>León, Guanajuato</c:v>
                </c:pt>
                <c:pt idx="5">
                  <c:v>Mulonga</c:v>
                </c:pt>
                <c:pt idx="6">
                  <c:v>Kenya Average</c:v>
                </c:pt>
                <c:pt idx="7">
                  <c:v>Thailand Average</c:v>
                </c:pt>
                <c:pt idx="8">
                  <c:v>Mauritius</c:v>
                </c:pt>
                <c:pt idx="9">
                  <c:v>Taipei</c:v>
                </c:pt>
                <c:pt idx="10">
                  <c:v>Kafubu</c:v>
                </c:pt>
                <c:pt idx="11">
                  <c:v>Lusaka</c:v>
                </c:pt>
                <c:pt idx="12">
                  <c:v>Sao Paulo (SABESP)</c:v>
                </c:pt>
                <c:pt idx="13">
                  <c:v>Brazil Average</c:v>
                </c:pt>
                <c:pt idx="14">
                  <c:v>Kaohsiung</c:v>
                </c:pt>
                <c:pt idx="15">
                  <c:v>Russia Average</c:v>
                </c:pt>
                <c:pt idx="16">
                  <c:v>Gwangju</c:v>
                </c:pt>
                <c:pt idx="17">
                  <c:v>Daejeon</c:v>
                </c:pt>
                <c:pt idx="18">
                  <c:v>Gyeounggi</c:v>
                </c:pt>
                <c:pt idx="19">
                  <c:v>Entebbe</c:v>
                </c:pt>
                <c:pt idx="20">
                  <c:v>Daegu</c:v>
                </c:pt>
                <c:pt idx="21">
                  <c:v>Mbarara</c:v>
                </c:pt>
                <c:pt idx="22">
                  <c:v>NWWSC of Zambia</c:v>
                </c:pt>
                <c:pt idx="23">
                  <c:v>Kampala</c:v>
                </c:pt>
                <c:pt idx="24">
                  <c:v>Hong Kong</c:v>
                </c:pt>
                <c:pt idx="25">
                  <c:v>Seoul</c:v>
                </c:pt>
                <c:pt idx="26">
                  <c:v>Incheon</c:v>
                </c:pt>
                <c:pt idx="27">
                  <c:v>Jinja</c:v>
                </c:pt>
                <c:pt idx="28">
                  <c:v>Miami</c:v>
                </c:pt>
                <c:pt idx="29">
                  <c:v>Busan</c:v>
                </c:pt>
                <c:pt idx="30">
                  <c:v>Brasilia Federal District</c:v>
                </c:pt>
                <c:pt idx="31">
                  <c:v>Ulsan</c:v>
                </c:pt>
                <c:pt idx="32">
                  <c:v>Gran Santiago</c:v>
                </c:pt>
                <c:pt idx="33">
                  <c:v>Severin</c:v>
                </c:pt>
                <c:pt idx="34">
                  <c:v>Apaserv SA Valea Jiului</c:v>
                </c:pt>
                <c:pt idx="35">
                  <c:v>Deva</c:v>
                </c:pt>
                <c:pt idx="36">
                  <c:v>Concepcion</c:v>
                </c:pt>
                <c:pt idx="37">
                  <c:v>Sibiu</c:v>
                </c:pt>
                <c:pt idx="38">
                  <c:v>Osaka</c:v>
                </c:pt>
                <c:pt idx="39">
                  <c:v>Baia Mare</c:v>
                </c:pt>
                <c:pt idx="40">
                  <c:v>Lisbon</c:v>
                </c:pt>
                <c:pt idx="41">
                  <c:v>Nagoya</c:v>
                </c:pt>
                <c:pt idx="42">
                  <c:v>Craiova</c:v>
                </c:pt>
                <c:pt idx="43">
                  <c:v>Giurgiu</c:v>
                </c:pt>
                <c:pt idx="44">
                  <c:v>Kaposvár</c:v>
                </c:pt>
                <c:pt idx="45">
                  <c:v>Calarasi</c:v>
                </c:pt>
                <c:pt idx="46">
                  <c:v>Iasi</c:v>
                </c:pt>
                <c:pt idx="47">
                  <c:v>Resita</c:v>
                </c:pt>
                <c:pt idx="48">
                  <c:v>Madrid</c:v>
                </c:pt>
                <c:pt idx="49">
                  <c:v>Bucharest</c:v>
                </c:pt>
                <c:pt idx="50">
                  <c:v>Temuco</c:v>
                </c:pt>
                <c:pt idx="51">
                  <c:v>Miercurea Ciuc</c:v>
                </c:pt>
                <c:pt idx="52">
                  <c:v>Hiroshima</c:v>
                </c:pt>
                <c:pt idx="53">
                  <c:v>Bialystok</c:v>
                </c:pt>
                <c:pt idx="54">
                  <c:v>Bilbao</c:v>
                </c:pt>
                <c:pt idx="55">
                  <c:v>Valparaiso</c:v>
                </c:pt>
                <c:pt idx="56">
                  <c:v>Vina del Mar</c:v>
                </c:pt>
                <c:pt idx="57">
                  <c:v>Brasov</c:v>
                </c:pt>
                <c:pt idx="58">
                  <c:v>Thessaloniki</c:v>
                </c:pt>
                <c:pt idx="59">
                  <c:v>Suceava</c:v>
                </c:pt>
                <c:pt idx="60">
                  <c:v>Yokohama</c:v>
                </c:pt>
                <c:pt idx="61">
                  <c:v>Medias</c:v>
                </c:pt>
                <c:pt idx="62">
                  <c:v>Faro</c:v>
                </c:pt>
                <c:pt idx="63">
                  <c:v>Porto</c:v>
                </c:pt>
                <c:pt idx="64">
                  <c:v>Miskolc</c:v>
                </c:pt>
                <c:pt idx="65">
                  <c:v>Serres</c:v>
                </c:pt>
                <c:pt idx="66">
                  <c:v>Tokyo</c:v>
                </c:pt>
                <c:pt idx="67">
                  <c:v>Debrecen</c:v>
                </c:pt>
                <c:pt idx="68">
                  <c:v>Chicago</c:v>
                </c:pt>
                <c:pt idx="69">
                  <c:v>Fukuoka</c:v>
                </c:pt>
                <c:pt idx="70">
                  <c:v>Braga</c:v>
                </c:pt>
                <c:pt idx="71">
                  <c:v>Sapporo</c:v>
                </c:pt>
                <c:pt idx="72">
                  <c:v>Buzau</c:v>
                </c:pt>
                <c:pt idx="73">
                  <c:v>Constanta</c:v>
                </c:pt>
                <c:pt idx="74">
                  <c:v>Alexandroupolis</c:v>
                </c:pt>
                <c:pt idx="75">
                  <c:v>Budapest</c:v>
                </c:pt>
                <c:pt idx="76">
                  <c:v>Coimbra</c:v>
                </c:pt>
                <c:pt idx="77">
                  <c:v>Valencia</c:v>
                </c:pt>
                <c:pt idx="78">
                  <c:v>Igoumenitsa</c:v>
                </c:pt>
                <c:pt idx="79">
                  <c:v>Wroclaw</c:v>
                </c:pt>
                <c:pt idx="80">
                  <c:v>Sevilla</c:v>
                </c:pt>
                <c:pt idx="81">
                  <c:v>Saskatoon</c:v>
                </c:pt>
                <c:pt idx="82">
                  <c:v>Sendai</c:v>
                </c:pt>
                <c:pt idx="83">
                  <c:v>Antofagasta</c:v>
                </c:pt>
                <c:pt idx="84">
                  <c:v>Pécs</c:v>
                </c:pt>
                <c:pt idx="85">
                  <c:v>Tarnow</c:v>
                </c:pt>
                <c:pt idx="86">
                  <c:v>Sintra</c:v>
                </c:pt>
                <c:pt idx="87">
                  <c:v>Loures</c:v>
                </c:pt>
                <c:pt idx="88">
                  <c:v>Bydgoszcz</c:v>
                </c:pt>
                <c:pt idx="89">
                  <c:v>Durham</c:v>
                </c:pt>
                <c:pt idx="90">
                  <c:v>Paphos</c:v>
                </c:pt>
                <c:pt idx="91">
                  <c:v>Denver</c:v>
                </c:pt>
                <c:pt idx="92">
                  <c:v>Eindhoven</c:v>
                </c:pt>
                <c:pt idx="93">
                  <c:v>Minneapolis</c:v>
                </c:pt>
                <c:pt idx="94">
                  <c:v>Los Angeles</c:v>
                </c:pt>
                <c:pt idx="95">
                  <c:v>Winnipeg</c:v>
                </c:pt>
                <c:pt idx="96">
                  <c:v>Vancouver</c:v>
                </c:pt>
                <c:pt idx="97">
                  <c:v>Larnaca</c:v>
                </c:pt>
                <c:pt idx="98">
                  <c:v>Lefkosia</c:v>
                </c:pt>
                <c:pt idx="99">
                  <c:v>Lemesos</c:v>
                </c:pt>
                <c:pt idx="100">
                  <c:v>Reims</c:v>
                </c:pt>
                <c:pt idx="101">
                  <c:v>Barcelona</c:v>
                </c:pt>
                <c:pt idx="102">
                  <c:v>Strassbourg</c:v>
                </c:pt>
                <c:pt idx="103">
                  <c:v>Trondheim</c:v>
                </c:pt>
                <c:pt idx="104">
                  <c:v>Lyon</c:v>
                </c:pt>
                <c:pt idx="105">
                  <c:v>Radom</c:v>
                </c:pt>
                <c:pt idx="106">
                  <c:v>Utrecht</c:v>
                </c:pt>
                <c:pt idx="107">
                  <c:v>Bordeaux</c:v>
                </c:pt>
                <c:pt idx="108">
                  <c:v>Calgary</c:v>
                </c:pt>
                <c:pt idx="109">
                  <c:v>Paris</c:v>
                </c:pt>
                <c:pt idx="110">
                  <c:v>London</c:v>
                </c:pt>
                <c:pt idx="111">
                  <c:v>Oslo</c:v>
                </c:pt>
                <c:pt idx="112">
                  <c:v>Amsterdam</c:v>
                </c:pt>
                <c:pt idx="113">
                  <c:v>Marseille</c:v>
                </c:pt>
                <c:pt idx="114">
                  <c:v>Malta Average</c:v>
                </c:pt>
                <c:pt idx="115">
                  <c:v>Espoo</c:v>
                </c:pt>
                <c:pt idx="116">
                  <c:v>Helsinki</c:v>
                </c:pt>
                <c:pt idx="117">
                  <c:v>Vantaa</c:v>
                </c:pt>
                <c:pt idx="118">
                  <c:v>Lausanne</c:v>
                </c:pt>
                <c:pt idx="119">
                  <c:v>Brussels</c:v>
                </c:pt>
                <c:pt idx="120">
                  <c:v>Lille</c:v>
                </c:pt>
                <c:pt idx="121">
                  <c:v>Bergen</c:v>
                </c:pt>
                <c:pt idx="122">
                  <c:v>Nancy</c:v>
                </c:pt>
                <c:pt idx="123">
                  <c:v>Antwerp</c:v>
                </c:pt>
                <c:pt idx="124">
                  <c:v>Geneva</c:v>
                </c:pt>
                <c:pt idx="125">
                  <c:v>Canberra</c:v>
                </c:pt>
                <c:pt idx="126">
                  <c:v>Den Haag</c:v>
                </c:pt>
                <c:pt idx="127">
                  <c:v>Basel</c:v>
                </c:pt>
                <c:pt idx="128">
                  <c:v>Sydney</c:v>
                </c:pt>
                <c:pt idx="129">
                  <c:v>Zürich</c:v>
                </c:pt>
                <c:pt idx="130">
                  <c:v>Birmingham</c:v>
                </c:pt>
                <c:pt idx="131">
                  <c:v>Melbourne</c:v>
                </c:pt>
                <c:pt idx="132">
                  <c:v>New York</c:v>
                </c:pt>
                <c:pt idx="133">
                  <c:v>Oulu</c:v>
                </c:pt>
                <c:pt idx="134">
                  <c:v>Perth</c:v>
                </c:pt>
                <c:pt idx="135">
                  <c:v>Tampere</c:v>
                </c:pt>
                <c:pt idx="136">
                  <c:v>Brest</c:v>
                </c:pt>
                <c:pt idx="137">
                  <c:v>Leeds</c:v>
                </c:pt>
                <c:pt idx="138">
                  <c:v>SEDIF</c:v>
                </c:pt>
                <c:pt idx="139">
                  <c:v>Rotterdam</c:v>
                </c:pt>
                <c:pt idx="140">
                  <c:v>Genk</c:v>
                </c:pt>
                <c:pt idx="141">
                  <c:v>Washington D.C.</c:v>
                </c:pt>
                <c:pt idx="142">
                  <c:v>Athens</c:v>
                </c:pt>
                <c:pt idx="143">
                  <c:v>Turku</c:v>
                </c:pt>
                <c:pt idx="144">
                  <c:v>Louvain</c:v>
                </c:pt>
                <c:pt idx="145">
                  <c:v>Kortrijk</c:v>
                </c:pt>
                <c:pt idx="146">
                  <c:v>Cardiff</c:v>
                </c:pt>
                <c:pt idx="147">
                  <c:v>Le Havre</c:v>
                </c:pt>
                <c:pt idx="148">
                  <c:v>Manchester</c:v>
                </c:pt>
                <c:pt idx="149">
                  <c:v>Charleroi</c:v>
                </c:pt>
                <c:pt idx="150">
                  <c:v>Liège</c:v>
                </c:pt>
                <c:pt idx="151">
                  <c:v>South East Queensland</c:v>
                </c:pt>
                <c:pt idx="152">
                  <c:v>Bern</c:v>
                </c:pt>
                <c:pt idx="153">
                  <c:v>Copenhagen</c:v>
                </c:pt>
                <c:pt idx="154">
                  <c:v>Macao, China Average</c:v>
                </c:pt>
                <c:pt idx="155">
                  <c:v>Aalborg</c:v>
                </c:pt>
                <c:pt idx="156">
                  <c:v>Esbjerg</c:v>
                </c:pt>
                <c:pt idx="157">
                  <c:v>Aarhus</c:v>
                </c:pt>
                <c:pt idx="158">
                  <c:v>Odense</c:v>
                </c:pt>
              </c:strCache>
            </c:strRef>
          </c:cat>
          <c:val>
            <c:numRef>
              <c:f>'[1]total charges cities 200 m³ G'!$E$437:$E$595</c:f>
              <c:numCache>
                <c:formatCode>General</c:formatCode>
                <c:ptCount val="159"/>
                <c:pt idx="7">
                  <c:v>66.274095207430534</c:v>
                </c:pt>
              </c:numCache>
            </c:numRef>
          </c:val>
          <c:extLst>
            <c:ext xmlns:c16="http://schemas.microsoft.com/office/drawing/2014/chart" uri="{C3380CC4-5D6E-409C-BE32-E72D297353CC}">
              <c16:uniqueId val="{00000003-0558-4826-A22F-921250C2D3A0}"/>
            </c:ext>
          </c:extLst>
        </c:ser>
        <c:ser>
          <c:idx val="4"/>
          <c:order val="4"/>
          <c:tx>
            <c:strRef>
              <c:f>'[1]total charges cities 200 m³ G'!$F$436</c:f>
              <c:strCache>
                <c:ptCount val="1"/>
                <c:pt idx="0">
                  <c:v>ENVIRONMENTAL CHARGES</c:v>
                </c:pt>
              </c:strCache>
            </c:strRef>
          </c:tx>
          <c:invertIfNegative val="0"/>
          <c:cat>
            <c:strRef>
              <c:f>'[1]total charges cities 200 m³ G'!$A$437:$A$595</c:f>
              <c:strCache>
                <c:ptCount val="159"/>
                <c:pt idx="0">
                  <c:v>Guadalajara</c:v>
                </c:pt>
                <c:pt idx="1">
                  <c:v>San Luis Potosi</c:v>
                </c:pt>
                <c:pt idx="2">
                  <c:v>Monterrey</c:v>
                </c:pt>
                <c:pt idx="3">
                  <c:v>Puebla</c:v>
                </c:pt>
                <c:pt idx="4">
                  <c:v>León, Guanajuato</c:v>
                </c:pt>
                <c:pt idx="5">
                  <c:v>Mulonga</c:v>
                </c:pt>
                <c:pt idx="6">
                  <c:v>Kenya Average</c:v>
                </c:pt>
                <c:pt idx="7">
                  <c:v>Thailand Average</c:v>
                </c:pt>
                <c:pt idx="8">
                  <c:v>Mauritius</c:v>
                </c:pt>
                <c:pt idx="9">
                  <c:v>Taipei</c:v>
                </c:pt>
                <c:pt idx="10">
                  <c:v>Kafubu</c:v>
                </c:pt>
                <c:pt idx="11">
                  <c:v>Lusaka</c:v>
                </c:pt>
                <c:pt idx="12">
                  <c:v>Sao Paulo (SABESP)</c:v>
                </c:pt>
                <c:pt idx="13">
                  <c:v>Brazil Average</c:v>
                </c:pt>
                <c:pt idx="14">
                  <c:v>Kaohsiung</c:v>
                </c:pt>
                <c:pt idx="15">
                  <c:v>Russia Average</c:v>
                </c:pt>
                <c:pt idx="16">
                  <c:v>Gwangju</c:v>
                </c:pt>
                <c:pt idx="17">
                  <c:v>Daejeon</c:v>
                </c:pt>
                <c:pt idx="18">
                  <c:v>Gyeounggi</c:v>
                </c:pt>
                <c:pt idx="19">
                  <c:v>Entebbe</c:v>
                </c:pt>
                <c:pt idx="20">
                  <c:v>Daegu</c:v>
                </c:pt>
                <c:pt idx="21">
                  <c:v>Mbarara</c:v>
                </c:pt>
                <c:pt idx="22">
                  <c:v>NWWSC of Zambia</c:v>
                </c:pt>
                <c:pt idx="23">
                  <c:v>Kampala</c:v>
                </c:pt>
                <c:pt idx="24">
                  <c:v>Hong Kong</c:v>
                </c:pt>
                <c:pt idx="25">
                  <c:v>Seoul</c:v>
                </c:pt>
                <c:pt idx="26">
                  <c:v>Incheon</c:v>
                </c:pt>
                <c:pt idx="27">
                  <c:v>Jinja</c:v>
                </c:pt>
                <c:pt idx="28">
                  <c:v>Miami</c:v>
                </c:pt>
                <c:pt idx="29">
                  <c:v>Busan</c:v>
                </c:pt>
                <c:pt idx="30">
                  <c:v>Brasilia Federal District</c:v>
                </c:pt>
                <c:pt idx="31">
                  <c:v>Ulsan</c:v>
                </c:pt>
                <c:pt idx="32">
                  <c:v>Gran Santiago</c:v>
                </c:pt>
                <c:pt idx="33">
                  <c:v>Severin</c:v>
                </c:pt>
                <c:pt idx="34">
                  <c:v>Apaserv SA Valea Jiului</c:v>
                </c:pt>
                <c:pt idx="35">
                  <c:v>Deva</c:v>
                </c:pt>
                <c:pt idx="36">
                  <c:v>Concepcion</c:v>
                </c:pt>
                <c:pt idx="37">
                  <c:v>Sibiu</c:v>
                </c:pt>
                <c:pt idx="38">
                  <c:v>Osaka</c:v>
                </c:pt>
                <c:pt idx="39">
                  <c:v>Baia Mare</c:v>
                </c:pt>
                <c:pt idx="40">
                  <c:v>Lisbon</c:v>
                </c:pt>
                <c:pt idx="41">
                  <c:v>Nagoya</c:v>
                </c:pt>
                <c:pt idx="42">
                  <c:v>Craiova</c:v>
                </c:pt>
                <c:pt idx="43">
                  <c:v>Giurgiu</c:v>
                </c:pt>
                <c:pt idx="44">
                  <c:v>Kaposvár</c:v>
                </c:pt>
                <c:pt idx="45">
                  <c:v>Calarasi</c:v>
                </c:pt>
                <c:pt idx="46">
                  <c:v>Iasi</c:v>
                </c:pt>
                <c:pt idx="47">
                  <c:v>Resita</c:v>
                </c:pt>
                <c:pt idx="48">
                  <c:v>Madrid</c:v>
                </c:pt>
                <c:pt idx="49">
                  <c:v>Bucharest</c:v>
                </c:pt>
                <c:pt idx="50">
                  <c:v>Temuco</c:v>
                </c:pt>
                <c:pt idx="51">
                  <c:v>Miercurea Ciuc</c:v>
                </c:pt>
                <c:pt idx="52">
                  <c:v>Hiroshima</c:v>
                </c:pt>
                <c:pt idx="53">
                  <c:v>Bialystok</c:v>
                </c:pt>
                <c:pt idx="54">
                  <c:v>Bilbao</c:v>
                </c:pt>
                <c:pt idx="55">
                  <c:v>Valparaiso</c:v>
                </c:pt>
                <c:pt idx="56">
                  <c:v>Vina del Mar</c:v>
                </c:pt>
                <c:pt idx="57">
                  <c:v>Brasov</c:v>
                </c:pt>
                <c:pt idx="58">
                  <c:v>Thessaloniki</c:v>
                </c:pt>
                <c:pt idx="59">
                  <c:v>Suceava</c:v>
                </c:pt>
                <c:pt idx="60">
                  <c:v>Yokohama</c:v>
                </c:pt>
                <c:pt idx="61">
                  <c:v>Medias</c:v>
                </c:pt>
                <c:pt idx="62">
                  <c:v>Faro</c:v>
                </c:pt>
                <c:pt idx="63">
                  <c:v>Porto</c:v>
                </c:pt>
                <c:pt idx="64">
                  <c:v>Miskolc</c:v>
                </c:pt>
                <c:pt idx="65">
                  <c:v>Serres</c:v>
                </c:pt>
                <c:pt idx="66">
                  <c:v>Tokyo</c:v>
                </c:pt>
                <c:pt idx="67">
                  <c:v>Debrecen</c:v>
                </c:pt>
                <c:pt idx="68">
                  <c:v>Chicago</c:v>
                </c:pt>
                <c:pt idx="69">
                  <c:v>Fukuoka</c:v>
                </c:pt>
                <c:pt idx="70">
                  <c:v>Braga</c:v>
                </c:pt>
                <c:pt idx="71">
                  <c:v>Sapporo</c:v>
                </c:pt>
                <c:pt idx="72">
                  <c:v>Buzau</c:v>
                </c:pt>
                <c:pt idx="73">
                  <c:v>Constanta</c:v>
                </c:pt>
                <c:pt idx="74">
                  <c:v>Alexandroupolis</c:v>
                </c:pt>
                <c:pt idx="75">
                  <c:v>Budapest</c:v>
                </c:pt>
                <c:pt idx="76">
                  <c:v>Coimbra</c:v>
                </c:pt>
                <c:pt idx="77">
                  <c:v>Valencia</c:v>
                </c:pt>
                <c:pt idx="78">
                  <c:v>Igoumenitsa</c:v>
                </c:pt>
                <c:pt idx="79">
                  <c:v>Wroclaw</c:v>
                </c:pt>
                <c:pt idx="80">
                  <c:v>Sevilla</c:v>
                </c:pt>
                <c:pt idx="81">
                  <c:v>Saskatoon</c:v>
                </c:pt>
                <c:pt idx="82">
                  <c:v>Sendai</c:v>
                </c:pt>
                <c:pt idx="83">
                  <c:v>Antofagasta</c:v>
                </c:pt>
                <c:pt idx="84">
                  <c:v>Pécs</c:v>
                </c:pt>
                <c:pt idx="85">
                  <c:v>Tarnow</c:v>
                </c:pt>
                <c:pt idx="86">
                  <c:v>Sintra</c:v>
                </c:pt>
                <c:pt idx="87">
                  <c:v>Loures</c:v>
                </c:pt>
                <c:pt idx="88">
                  <c:v>Bydgoszcz</c:v>
                </c:pt>
                <c:pt idx="89">
                  <c:v>Durham</c:v>
                </c:pt>
                <c:pt idx="90">
                  <c:v>Paphos</c:v>
                </c:pt>
                <c:pt idx="91">
                  <c:v>Denver</c:v>
                </c:pt>
                <c:pt idx="92">
                  <c:v>Eindhoven</c:v>
                </c:pt>
                <c:pt idx="93">
                  <c:v>Minneapolis</c:v>
                </c:pt>
                <c:pt idx="94">
                  <c:v>Los Angeles</c:v>
                </c:pt>
                <c:pt idx="95">
                  <c:v>Winnipeg</c:v>
                </c:pt>
                <c:pt idx="96">
                  <c:v>Vancouver</c:v>
                </c:pt>
                <c:pt idx="97">
                  <c:v>Larnaca</c:v>
                </c:pt>
                <c:pt idx="98">
                  <c:v>Lefkosia</c:v>
                </c:pt>
                <c:pt idx="99">
                  <c:v>Lemesos</c:v>
                </c:pt>
                <c:pt idx="100">
                  <c:v>Reims</c:v>
                </c:pt>
                <c:pt idx="101">
                  <c:v>Barcelona</c:v>
                </c:pt>
                <c:pt idx="102">
                  <c:v>Strassbourg</c:v>
                </c:pt>
                <c:pt idx="103">
                  <c:v>Trondheim</c:v>
                </c:pt>
                <c:pt idx="104">
                  <c:v>Lyon</c:v>
                </c:pt>
                <c:pt idx="105">
                  <c:v>Radom</c:v>
                </c:pt>
                <c:pt idx="106">
                  <c:v>Utrecht</c:v>
                </c:pt>
                <c:pt idx="107">
                  <c:v>Bordeaux</c:v>
                </c:pt>
                <c:pt idx="108">
                  <c:v>Calgary</c:v>
                </c:pt>
                <c:pt idx="109">
                  <c:v>Paris</c:v>
                </c:pt>
                <c:pt idx="110">
                  <c:v>London</c:v>
                </c:pt>
                <c:pt idx="111">
                  <c:v>Oslo</c:v>
                </c:pt>
                <c:pt idx="112">
                  <c:v>Amsterdam</c:v>
                </c:pt>
                <c:pt idx="113">
                  <c:v>Marseille</c:v>
                </c:pt>
                <c:pt idx="114">
                  <c:v>Malta Average</c:v>
                </c:pt>
                <c:pt idx="115">
                  <c:v>Espoo</c:v>
                </c:pt>
                <c:pt idx="116">
                  <c:v>Helsinki</c:v>
                </c:pt>
                <c:pt idx="117">
                  <c:v>Vantaa</c:v>
                </c:pt>
                <c:pt idx="118">
                  <c:v>Lausanne</c:v>
                </c:pt>
                <c:pt idx="119">
                  <c:v>Brussels</c:v>
                </c:pt>
                <c:pt idx="120">
                  <c:v>Lille</c:v>
                </c:pt>
                <c:pt idx="121">
                  <c:v>Bergen</c:v>
                </c:pt>
                <c:pt idx="122">
                  <c:v>Nancy</c:v>
                </c:pt>
                <c:pt idx="123">
                  <c:v>Antwerp</c:v>
                </c:pt>
                <c:pt idx="124">
                  <c:v>Geneva</c:v>
                </c:pt>
                <c:pt idx="125">
                  <c:v>Canberra</c:v>
                </c:pt>
                <c:pt idx="126">
                  <c:v>Den Haag</c:v>
                </c:pt>
                <c:pt idx="127">
                  <c:v>Basel</c:v>
                </c:pt>
                <c:pt idx="128">
                  <c:v>Sydney</c:v>
                </c:pt>
                <c:pt idx="129">
                  <c:v>Zürich</c:v>
                </c:pt>
                <c:pt idx="130">
                  <c:v>Birmingham</c:v>
                </c:pt>
                <c:pt idx="131">
                  <c:v>Melbourne</c:v>
                </c:pt>
                <c:pt idx="132">
                  <c:v>New York</c:v>
                </c:pt>
                <c:pt idx="133">
                  <c:v>Oulu</c:v>
                </c:pt>
                <c:pt idx="134">
                  <c:v>Perth</c:v>
                </c:pt>
                <c:pt idx="135">
                  <c:v>Tampere</c:v>
                </c:pt>
                <c:pt idx="136">
                  <c:v>Brest</c:v>
                </c:pt>
                <c:pt idx="137">
                  <c:v>Leeds</c:v>
                </c:pt>
                <c:pt idx="138">
                  <c:v>SEDIF</c:v>
                </c:pt>
                <c:pt idx="139">
                  <c:v>Rotterdam</c:v>
                </c:pt>
                <c:pt idx="140">
                  <c:v>Genk</c:v>
                </c:pt>
                <c:pt idx="141">
                  <c:v>Washington D.C.</c:v>
                </c:pt>
                <c:pt idx="142">
                  <c:v>Athens</c:v>
                </c:pt>
                <c:pt idx="143">
                  <c:v>Turku</c:v>
                </c:pt>
                <c:pt idx="144">
                  <c:v>Louvain</c:v>
                </c:pt>
                <c:pt idx="145">
                  <c:v>Kortrijk</c:v>
                </c:pt>
                <c:pt idx="146">
                  <c:v>Cardiff</c:v>
                </c:pt>
                <c:pt idx="147">
                  <c:v>Le Havre</c:v>
                </c:pt>
                <c:pt idx="148">
                  <c:v>Manchester</c:v>
                </c:pt>
                <c:pt idx="149">
                  <c:v>Charleroi</c:v>
                </c:pt>
                <c:pt idx="150">
                  <c:v>Liège</c:v>
                </c:pt>
                <c:pt idx="151">
                  <c:v>South East Queensland</c:v>
                </c:pt>
                <c:pt idx="152">
                  <c:v>Bern</c:v>
                </c:pt>
                <c:pt idx="153">
                  <c:v>Copenhagen</c:v>
                </c:pt>
                <c:pt idx="154">
                  <c:v>Macao, China Average</c:v>
                </c:pt>
                <c:pt idx="155">
                  <c:v>Aalborg</c:v>
                </c:pt>
                <c:pt idx="156">
                  <c:v>Esbjerg</c:v>
                </c:pt>
                <c:pt idx="157">
                  <c:v>Aarhus</c:v>
                </c:pt>
                <c:pt idx="158">
                  <c:v>Odense</c:v>
                </c:pt>
              </c:strCache>
            </c:strRef>
          </c:cat>
          <c:val>
            <c:numRef>
              <c:f>'[1]total charges cities 200 m³ G'!$F$437:$F$595</c:f>
              <c:numCache>
                <c:formatCode>General</c:formatCode>
                <c:ptCount val="159"/>
                <c:pt idx="0">
                  <c:v>4.6314441479676935E-2</c:v>
                </c:pt>
                <c:pt idx="1">
                  <c:v>0.34735831109757698</c:v>
                </c:pt>
                <c:pt idx="2">
                  <c:v>0.26630803850814233</c:v>
                </c:pt>
                <c:pt idx="3">
                  <c:v>0.39367275257725387</c:v>
                </c:pt>
                <c:pt idx="4">
                  <c:v>0.27788664887806158</c:v>
                </c:pt>
                <c:pt idx="5">
                  <c:v>15.270515969849544</c:v>
                </c:pt>
                <c:pt idx="6">
                  <c:v>33.56220729276663</c:v>
                </c:pt>
                <c:pt idx="7">
                  <c:v>18.577437431157538</c:v>
                </c:pt>
                <c:pt idx="8">
                  <c:v>46.234869897787689</c:v>
                </c:pt>
                <c:pt idx="9">
                  <c:v>31.451638267450218</c:v>
                </c:pt>
                <c:pt idx="10">
                  <c:v>25.651573658766804</c:v>
                </c:pt>
                <c:pt idx="11">
                  <c:v>26.706676804818574</c:v>
                </c:pt>
                <c:pt idx="12">
                  <c:v>0</c:v>
                </c:pt>
                <c:pt idx="13">
                  <c:v>0</c:v>
                </c:pt>
                <c:pt idx="14">
                  <c:v>54.435527770586916</c:v>
                </c:pt>
                <c:pt idx="15">
                  <c:v>70.441617707778803</c:v>
                </c:pt>
                <c:pt idx="16">
                  <c:v>59.538794810340121</c:v>
                </c:pt>
                <c:pt idx="17">
                  <c:v>65.227635653350077</c:v>
                </c:pt>
                <c:pt idx="18">
                  <c:v>52.450197477510017</c:v>
                </c:pt>
                <c:pt idx="19">
                  <c:v>17.160841153035896</c:v>
                </c:pt>
                <c:pt idx="20">
                  <c:v>65.393708457227035</c:v>
                </c:pt>
                <c:pt idx="21">
                  <c:v>19.834055286360471</c:v>
                </c:pt>
                <c:pt idx="22">
                  <c:v>47.714711681989925</c:v>
                </c:pt>
                <c:pt idx="23">
                  <c:v>29.415057002521024</c:v>
                </c:pt>
                <c:pt idx="24">
                  <c:v>55.815484810214492</c:v>
                </c:pt>
                <c:pt idx="25">
                  <c:v>75.544484939094673</c:v>
                </c:pt>
                <c:pt idx="26">
                  <c:v>70.65042108606734</c:v>
                </c:pt>
                <c:pt idx="27">
                  <c:v>48.637327552111621</c:v>
                </c:pt>
                <c:pt idx="28">
                  <c:v>136.88</c:v>
                </c:pt>
                <c:pt idx="29">
                  <c:v>83.173666194748776</c:v>
                </c:pt>
                <c:pt idx="30">
                  <c:v>0</c:v>
                </c:pt>
                <c:pt idx="31">
                  <c:v>67.793291011204431</c:v>
                </c:pt>
                <c:pt idx="32">
                  <c:v>127.27466044995059</c:v>
                </c:pt>
                <c:pt idx="33">
                  <c:v>59.401909004898265</c:v>
                </c:pt>
                <c:pt idx="34">
                  <c:v>66.108576150612578</c:v>
                </c:pt>
                <c:pt idx="35">
                  <c:v>70.420005030000354</c:v>
                </c:pt>
                <c:pt idx="36">
                  <c:v>146.31607253260486</c:v>
                </c:pt>
                <c:pt idx="37">
                  <c:v>88.144768200816785</c:v>
                </c:pt>
                <c:pt idx="38">
                  <c:v>95.423384747253536</c:v>
                </c:pt>
                <c:pt idx="39">
                  <c:v>92.935244733469858</c:v>
                </c:pt>
                <c:pt idx="40">
                  <c:v>71.01439833213891</c:v>
                </c:pt>
                <c:pt idx="41">
                  <c:v>120.49280359722886</c:v>
                </c:pt>
                <c:pt idx="42">
                  <c:v>98.683816572653569</c:v>
                </c:pt>
                <c:pt idx="43">
                  <c:v>121.67810392938837</c:v>
                </c:pt>
                <c:pt idx="44">
                  <c:v>95.437137378901653</c:v>
                </c:pt>
                <c:pt idx="45">
                  <c:v>109.70191259775567</c:v>
                </c:pt>
                <c:pt idx="46">
                  <c:v>111.6181032108169</c:v>
                </c:pt>
                <c:pt idx="47">
                  <c:v>82.875244014898385</c:v>
                </c:pt>
                <c:pt idx="48">
                  <c:v>121.81032423393489</c:v>
                </c:pt>
                <c:pt idx="49">
                  <c:v>48.862860633061473</c:v>
                </c:pt>
                <c:pt idx="50">
                  <c:v>196.81470184346861</c:v>
                </c:pt>
                <c:pt idx="51">
                  <c:v>123.11524688918431</c:v>
                </c:pt>
                <c:pt idx="52">
                  <c:v>151.11473298824646</c:v>
                </c:pt>
                <c:pt idx="53">
                  <c:v>170.5469902504814</c:v>
                </c:pt>
                <c:pt idx="54">
                  <c:v>154.35316090081875</c:v>
                </c:pt>
                <c:pt idx="55">
                  <c:v>139.88314403965407</c:v>
                </c:pt>
                <c:pt idx="56">
                  <c:v>139.88314403965407</c:v>
                </c:pt>
                <c:pt idx="57">
                  <c:v>116.40857974346999</c:v>
                </c:pt>
                <c:pt idx="58">
                  <c:v>130.3885160813951</c:v>
                </c:pt>
                <c:pt idx="59">
                  <c:v>121.19905627612307</c:v>
                </c:pt>
                <c:pt idx="60">
                  <c:v>145.29623391829196</c:v>
                </c:pt>
                <c:pt idx="61">
                  <c:v>147.06762955244974</c:v>
                </c:pt>
                <c:pt idx="62">
                  <c:v>181.62963928160357</c:v>
                </c:pt>
                <c:pt idx="63">
                  <c:v>104.97969465980412</c:v>
                </c:pt>
                <c:pt idx="64">
                  <c:v>131.93874381797508</c:v>
                </c:pt>
                <c:pt idx="65">
                  <c:v>87.595283080330972</c:v>
                </c:pt>
                <c:pt idx="66">
                  <c:v>150.94849015767633</c:v>
                </c:pt>
                <c:pt idx="67">
                  <c:v>141.24489758187016</c:v>
                </c:pt>
                <c:pt idx="68">
                  <c:v>201.31</c:v>
                </c:pt>
                <c:pt idx="69">
                  <c:v>179.74174841242251</c:v>
                </c:pt>
                <c:pt idx="70">
                  <c:v>156.8397506895129</c:v>
                </c:pt>
                <c:pt idx="71">
                  <c:v>106.62815152768017</c:v>
                </c:pt>
                <c:pt idx="72">
                  <c:v>120.24096096959245</c:v>
                </c:pt>
                <c:pt idx="73">
                  <c:v>159.04382088408244</c:v>
                </c:pt>
                <c:pt idx="74">
                  <c:v>114.55686581101918</c:v>
                </c:pt>
                <c:pt idx="75">
                  <c:v>206.73226374651981</c:v>
                </c:pt>
                <c:pt idx="76">
                  <c:v>174.31103003452998</c:v>
                </c:pt>
                <c:pt idx="77">
                  <c:v>210.23085108693294</c:v>
                </c:pt>
                <c:pt idx="78">
                  <c:v>128.12995417725367</c:v>
                </c:pt>
                <c:pt idx="79">
                  <c:v>253.54315167801539</c:v>
                </c:pt>
                <c:pt idx="80">
                  <c:v>260.09294850913199</c:v>
                </c:pt>
                <c:pt idx="81">
                  <c:v>205.45136715799472</c:v>
                </c:pt>
                <c:pt idx="82">
                  <c:v>138.54677499714478</c:v>
                </c:pt>
                <c:pt idx="83">
                  <c:v>91.080647602095667</c:v>
                </c:pt>
                <c:pt idx="84">
                  <c:v>170.76774942256574</c:v>
                </c:pt>
                <c:pt idx="85">
                  <c:v>341.33689609538487</c:v>
                </c:pt>
                <c:pt idx="86">
                  <c:v>247.16050991378376</c:v>
                </c:pt>
                <c:pt idx="87">
                  <c:v>238.82120442156926</c:v>
                </c:pt>
                <c:pt idx="88">
                  <c:v>277.83471112022045</c:v>
                </c:pt>
                <c:pt idx="89">
                  <c:v>284.64653876311945</c:v>
                </c:pt>
                <c:pt idx="90">
                  <c:v>272.54761439398879</c:v>
                </c:pt>
                <c:pt idx="91">
                  <c:v>323.68</c:v>
                </c:pt>
                <c:pt idx="92">
                  <c:v>375.26874714965146</c:v>
                </c:pt>
                <c:pt idx="93">
                  <c:v>292.05</c:v>
                </c:pt>
                <c:pt idx="94">
                  <c:v>300.02999999999997</c:v>
                </c:pt>
                <c:pt idx="95">
                  <c:v>328.03159462200836</c:v>
                </c:pt>
                <c:pt idx="96">
                  <c:v>225.88140506866364</c:v>
                </c:pt>
                <c:pt idx="97">
                  <c:v>325.75412078962796</c:v>
                </c:pt>
                <c:pt idx="98">
                  <c:v>363.88906986340044</c:v>
                </c:pt>
                <c:pt idx="99">
                  <c:v>339.92442504397684</c:v>
                </c:pt>
                <c:pt idx="100">
                  <c:v>317.0673442352379</c:v>
                </c:pt>
                <c:pt idx="101">
                  <c:v>221.38250048863119</c:v>
                </c:pt>
                <c:pt idx="102">
                  <c:v>295.35040284926271</c:v>
                </c:pt>
                <c:pt idx="103">
                  <c:v>302.15681184609997</c:v>
                </c:pt>
                <c:pt idx="104">
                  <c:v>246.79132191022217</c:v>
                </c:pt>
                <c:pt idx="105">
                  <c:v>348.6041209618445</c:v>
                </c:pt>
                <c:pt idx="106">
                  <c:v>502.31285425760632</c:v>
                </c:pt>
                <c:pt idx="107">
                  <c:v>289.92116750276898</c:v>
                </c:pt>
                <c:pt idx="108">
                  <c:v>336.52013150038488</c:v>
                </c:pt>
                <c:pt idx="109">
                  <c:v>338.78428562121314</c:v>
                </c:pt>
                <c:pt idx="110">
                  <c:v>334.55161741949746</c:v>
                </c:pt>
                <c:pt idx="111">
                  <c:v>337.68608286401138</c:v>
                </c:pt>
                <c:pt idx="112">
                  <c:v>413.273394575108</c:v>
                </c:pt>
                <c:pt idx="113">
                  <c:v>305.12302647295155</c:v>
                </c:pt>
                <c:pt idx="114">
                  <c:v>0</c:v>
                </c:pt>
                <c:pt idx="115">
                  <c:v>353.86670141377294</c:v>
                </c:pt>
                <c:pt idx="116">
                  <c:v>353.86670141377294</c:v>
                </c:pt>
                <c:pt idx="117">
                  <c:v>353.86670141377294</c:v>
                </c:pt>
                <c:pt idx="118">
                  <c:v>239.64053919121318</c:v>
                </c:pt>
                <c:pt idx="119">
                  <c:v>315.16711186396509</c:v>
                </c:pt>
                <c:pt idx="120">
                  <c:v>373.878862900949</c:v>
                </c:pt>
                <c:pt idx="121">
                  <c:v>360.93585995959501</c:v>
                </c:pt>
                <c:pt idx="122">
                  <c:v>281.5818620105544</c:v>
                </c:pt>
                <c:pt idx="123">
                  <c:v>498.01289986318329</c:v>
                </c:pt>
                <c:pt idx="124">
                  <c:v>331.00349475786317</c:v>
                </c:pt>
                <c:pt idx="125">
                  <c:v>369.07380745309837</c:v>
                </c:pt>
                <c:pt idx="126">
                  <c:v>493.62607770321631</c:v>
                </c:pt>
                <c:pt idx="127">
                  <c:v>434.34847728407385</c:v>
                </c:pt>
                <c:pt idx="128">
                  <c:v>432.65681982620646</c:v>
                </c:pt>
                <c:pt idx="129">
                  <c:v>461.55766350474283</c:v>
                </c:pt>
                <c:pt idx="130">
                  <c:v>377.14243607692873</c:v>
                </c:pt>
                <c:pt idx="131">
                  <c:v>440.69605127567985</c:v>
                </c:pt>
                <c:pt idx="132">
                  <c:v>427.87</c:v>
                </c:pt>
                <c:pt idx="133">
                  <c:v>410.38504137077331</c:v>
                </c:pt>
                <c:pt idx="134">
                  <c:v>526.20424032917003</c:v>
                </c:pt>
                <c:pt idx="135">
                  <c:v>430.99441874606384</c:v>
                </c:pt>
                <c:pt idx="136">
                  <c:v>488.41401177058225</c:v>
                </c:pt>
                <c:pt idx="137">
                  <c:v>528.42089750202638</c:v>
                </c:pt>
                <c:pt idx="138">
                  <c:v>451.69066388689816</c:v>
                </c:pt>
                <c:pt idx="139">
                  <c:v>659.7606793059266</c:v>
                </c:pt>
                <c:pt idx="140">
                  <c:v>630.03018654852644</c:v>
                </c:pt>
                <c:pt idx="141">
                  <c:v>629.46</c:v>
                </c:pt>
                <c:pt idx="142">
                  <c:v>356.63561144048475</c:v>
                </c:pt>
                <c:pt idx="143">
                  <c:v>408.27849805633377</c:v>
                </c:pt>
                <c:pt idx="144">
                  <c:v>630.03018654852644</c:v>
                </c:pt>
                <c:pt idx="145">
                  <c:v>630.03018654852644</c:v>
                </c:pt>
                <c:pt idx="146">
                  <c:v>611.83405791761845</c:v>
                </c:pt>
                <c:pt idx="147">
                  <c:v>501.6613460160271</c:v>
                </c:pt>
                <c:pt idx="148">
                  <c:v>493.16925797656768</c:v>
                </c:pt>
                <c:pt idx="149">
                  <c:v>381.67524485851413</c:v>
                </c:pt>
                <c:pt idx="150">
                  <c:v>381.67524485851413</c:v>
                </c:pt>
                <c:pt idx="151">
                  <c:v>460.42871028802375</c:v>
                </c:pt>
                <c:pt idx="152">
                  <c:v>557.49375936095862</c:v>
                </c:pt>
                <c:pt idx="153">
                  <c:v>430.4536029973446</c:v>
                </c:pt>
                <c:pt idx="154">
                  <c:v>0</c:v>
                </c:pt>
                <c:pt idx="155">
                  <c:v>676.87606853151942</c:v>
                </c:pt>
                <c:pt idx="156">
                  <c:v>765.49270670401222</c:v>
                </c:pt>
                <c:pt idx="157">
                  <c:v>796.53704848859627</c:v>
                </c:pt>
                <c:pt idx="158">
                  <c:v>921.14510203339273</c:v>
                </c:pt>
              </c:numCache>
            </c:numRef>
          </c:val>
          <c:extLst>
            <c:ext xmlns:c16="http://schemas.microsoft.com/office/drawing/2014/chart" uri="{C3380CC4-5D6E-409C-BE32-E72D297353CC}">
              <c16:uniqueId val="{00000004-0558-4826-A22F-921250C2D3A0}"/>
            </c:ext>
          </c:extLst>
        </c:ser>
        <c:ser>
          <c:idx val="5"/>
          <c:order val="5"/>
          <c:tx>
            <c:strRef>
              <c:f>'[1]total charges cities 200 m³ G'!$G$436</c:f>
              <c:strCache>
                <c:ptCount val="1"/>
                <c:pt idx="0">
                  <c:v>VAT &amp; OTHER TAXES</c:v>
                </c:pt>
              </c:strCache>
            </c:strRef>
          </c:tx>
          <c:invertIfNegative val="0"/>
          <c:cat>
            <c:strRef>
              <c:f>'[1]total charges cities 200 m³ G'!$A$437:$A$595</c:f>
              <c:strCache>
                <c:ptCount val="159"/>
                <c:pt idx="0">
                  <c:v>Guadalajara</c:v>
                </c:pt>
                <c:pt idx="1">
                  <c:v>San Luis Potosi</c:v>
                </c:pt>
                <c:pt idx="2">
                  <c:v>Monterrey</c:v>
                </c:pt>
                <c:pt idx="3">
                  <c:v>Puebla</c:v>
                </c:pt>
                <c:pt idx="4">
                  <c:v>León, Guanajuato</c:v>
                </c:pt>
                <c:pt idx="5">
                  <c:v>Mulonga</c:v>
                </c:pt>
                <c:pt idx="6">
                  <c:v>Kenya Average</c:v>
                </c:pt>
                <c:pt idx="7">
                  <c:v>Thailand Average</c:v>
                </c:pt>
                <c:pt idx="8">
                  <c:v>Mauritius</c:v>
                </c:pt>
                <c:pt idx="9">
                  <c:v>Taipei</c:v>
                </c:pt>
                <c:pt idx="10">
                  <c:v>Kafubu</c:v>
                </c:pt>
                <c:pt idx="11">
                  <c:v>Lusaka</c:v>
                </c:pt>
                <c:pt idx="12">
                  <c:v>Sao Paulo (SABESP)</c:v>
                </c:pt>
                <c:pt idx="13">
                  <c:v>Brazil Average</c:v>
                </c:pt>
                <c:pt idx="14">
                  <c:v>Kaohsiung</c:v>
                </c:pt>
                <c:pt idx="15">
                  <c:v>Russia Average</c:v>
                </c:pt>
                <c:pt idx="16">
                  <c:v>Gwangju</c:v>
                </c:pt>
                <c:pt idx="17">
                  <c:v>Daejeon</c:v>
                </c:pt>
                <c:pt idx="18">
                  <c:v>Gyeounggi</c:v>
                </c:pt>
                <c:pt idx="19">
                  <c:v>Entebbe</c:v>
                </c:pt>
                <c:pt idx="20">
                  <c:v>Daegu</c:v>
                </c:pt>
                <c:pt idx="21">
                  <c:v>Mbarara</c:v>
                </c:pt>
                <c:pt idx="22">
                  <c:v>NWWSC of Zambia</c:v>
                </c:pt>
                <c:pt idx="23">
                  <c:v>Kampala</c:v>
                </c:pt>
                <c:pt idx="24">
                  <c:v>Hong Kong</c:v>
                </c:pt>
                <c:pt idx="25">
                  <c:v>Seoul</c:v>
                </c:pt>
                <c:pt idx="26">
                  <c:v>Incheon</c:v>
                </c:pt>
                <c:pt idx="27">
                  <c:v>Jinja</c:v>
                </c:pt>
                <c:pt idx="28">
                  <c:v>Miami</c:v>
                </c:pt>
                <c:pt idx="29">
                  <c:v>Busan</c:v>
                </c:pt>
                <c:pt idx="30">
                  <c:v>Brasilia Federal District</c:v>
                </c:pt>
                <c:pt idx="31">
                  <c:v>Ulsan</c:v>
                </c:pt>
                <c:pt idx="32">
                  <c:v>Gran Santiago</c:v>
                </c:pt>
                <c:pt idx="33">
                  <c:v>Severin</c:v>
                </c:pt>
                <c:pt idx="34">
                  <c:v>Apaserv SA Valea Jiului</c:v>
                </c:pt>
                <c:pt idx="35">
                  <c:v>Deva</c:v>
                </c:pt>
                <c:pt idx="36">
                  <c:v>Concepcion</c:v>
                </c:pt>
                <c:pt idx="37">
                  <c:v>Sibiu</c:v>
                </c:pt>
                <c:pt idx="38">
                  <c:v>Osaka</c:v>
                </c:pt>
                <c:pt idx="39">
                  <c:v>Baia Mare</c:v>
                </c:pt>
                <c:pt idx="40">
                  <c:v>Lisbon</c:v>
                </c:pt>
                <c:pt idx="41">
                  <c:v>Nagoya</c:v>
                </c:pt>
                <c:pt idx="42">
                  <c:v>Craiova</c:v>
                </c:pt>
                <c:pt idx="43">
                  <c:v>Giurgiu</c:v>
                </c:pt>
                <c:pt idx="44">
                  <c:v>Kaposvár</c:v>
                </c:pt>
                <c:pt idx="45">
                  <c:v>Calarasi</c:v>
                </c:pt>
                <c:pt idx="46">
                  <c:v>Iasi</c:v>
                </c:pt>
                <c:pt idx="47">
                  <c:v>Resita</c:v>
                </c:pt>
                <c:pt idx="48">
                  <c:v>Madrid</c:v>
                </c:pt>
                <c:pt idx="49">
                  <c:v>Bucharest</c:v>
                </c:pt>
                <c:pt idx="50">
                  <c:v>Temuco</c:v>
                </c:pt>
                <c:pt idx="51">
                  <c:v>Miercurea Ciuc</c:v>
                </c:pt>
                <c:pt idx="52">
                  <c:v>Hiroshima</c:v>
                </c:pt>
                <c:pt idx="53">
                  <c:v>Bialystok</c:v>
                </c:pt>
                <c:pt idx="54">
                  <c:v>Bilbao</c:v>
                </c:pt>
                <c:pt idx="55">
                  <c:v>Valparaiso</c:v>
                </c:pt>
                <c:pt idx="56">
                  <c:v>Vina del Mar</c:v>
                </c:pt>
                <c:pt idx="57">
                  <c:v>Brasov</c:v>
                </c:pt>
                <c:pt idx="58">
                  <c:v>Thessaloniki</c:v>
                </c:pt>
                <c:pt idx="59">
                  <c:v>Suceava</c:v>
                </c:pt>
                <c:pt idx="60">
                  <c:v>Yokohama</c:v>
                </c:pt>
                <c:pt idx="61">
                  <c:v>Medias</c:v>
                </c:pt>
                <c:pt idx="62">
                  <c:v>Faro</c:v>
                </c:pt>
                <c:pt idx="63">
                  <c:v>Porto</c:v>
                </c:pt>
                <c:pt idx="64">
                  <c:v>Miskolc</c:v>
                </c:pt>
                <c:pt idx="65">
                  <c:v>Serres</c:v>
                </c:pt>
                <c:pt idx="66">
                  <c:v>Tokyo</c:v>
                </c:pt>
                <c:pt idx="67">
                  <c:v>Debrecen</c:v>
                </c:pt>
                <c:pt idx="68">
                  <c:v>Chicago</c:v>
                </c:pt>
                <c:pt idx="69">
                  <c:v>Fukuoka</c:v>
                </c:pt>
                <c:pt idx="70">
                  <c:v>Braga</c:v>
                </c:pt>
                <c:pt idx="71">
                  <c:v>Sapporo</c:v>
                </c:pt>
                <c:pt idx="72">
                  <c:v>Buzau</c:v>
                </c:pt>
                <c:pt idx="73">
                  <c:v>Constanta</c:v>
                </c:pt>
                <c:pt idx="74">
                  <c:v>Alexandroupolis</c:v>
                </c:pt>
                <c:pt idx="75">
                  <c:v>Budapest</c:v>
                </c:pt>
                <c:pt idx="76">
                  <c:v>Coimbra</c:v>
                </c:pt>
                <c:pt idx="77">
                  <c:v>Valencia</c:v>
                </c:pt>
                <c:pt idx="78">
                  <c:v>Igoumenitsa</c:v>
                </c:pt>
                <c:pt idx="79">
                  <c:v>Wroclaw</c:v>
                </c:pt>
                <c:pt idx="80">
                  <c:v>Sevilla</c:v>
                </c:pt>
                <c:pt idx="81">
                  <c:v>Saskatoon</c:v>
                </c:pt>
                <c:pt idx="82">
                  <c:v>Sendai</c:v>
                </c:pt>
                <c:pt idx="83">
                  <c:v>Antofagasta</c:v>
                </c:pt>
                <c:pt idx="84">
                  <c:v>Pécs</c:v>
                </c:pt>
                <c:pt idx="85">
                  <c:v>Tarnow</c:v>
                </c:pt>
                <c:pt idx="86">
                  <c:v>Sintra</c:v>
                </c:pt>
                <c:pt idx="87">
                  <c:v>Loures</c:v>
                </c:pt>
                <c:pt idx="88">
                  <c:v>Bydgoszcz</c:v>
                </c:pt>
                <c:pt idx="89">
                  <c:v>Durham</c:v>
                </c:pt>
                <c:pt idx="90">
                  <c:v>Paphos</c:v>
                </c:pt>
                <c:pt idx="91">
                  <c:v>Denver</c:v>
                </c:pt>
                <c:pt idx="92">
                  <c:v>Eindhoven</c:v>
                </c:pt>
                <c:pt idx="93">
                  <c:v>Minneapolis</c:v>
                </c:pt>
                <c:pt idx="94">
                  <c:v>Los Angeles</c:v>
                </c:pt>
                <c:pt idx="95">
                  <c:v>Winnipeg</c:v>
                </c:pt>
                <c:pt idx="96">
                  <c:v>Vancouver</c:v>
                </c:pt>
                <c:pt idx="97">
                  <c:v>Larnaca</c:v>
                </c:pt>
                <c:pt idx="98">
                  <c:v>Lefkosia</c:v>
                </c:pt>
                <c:pt idx="99">
                  <c:v>Lemesos</c:v>
                </c:pt>
                <c:pt idx="100">
                  <c:v>Reims</c:v>
                </c:pt>
                <c:pt idx="101">
                  <c:v>Barcelona</c:v>
                </c:pt>
                <c:pt idx="102">
                  <c:v>Strassbourg</c:v>
                </c:pt>
                <c:pt idx="103">
                  <c:v>Trondheim</c:v>
                </c:pt>
                <c:pt idx="104">
                  <c:v>Lyon</c:v>
                </c:pt>
                <c:pt idx="105">
                  <c:v>Radom</c:v>
                </c:pt>
                <c:pt idx="106">
                  <c:v>Utrecht</c:v>
                </c:pt>
                <c:pt idx="107">
                  <c:v>Bordeaux</c:v>
                </c:pt>
                <c:pt idx="108">
                  <c:v>Calgary</c:v>
                </c:pt>
                <c:pt idx="109">
                  <c:v>Paris</c:v>
                </c:pt>
                <c:pt idx="110">
                  <c:v>London</c:v>
                </c:pt>
                <c:pt idx="111">
                  <c:v>Oslo</c:v>
                </c:pt>
                <c:pt idx="112">
                  <c:v>Amsterdam</c:v>
                </c:pt>
                <c:pt idx="113">
                  <c:v>Marseille</c:v>
                </c:pt>
                <c:pt idx="114">
                  <c:v>Malta Average</c:v>
                </c:pt>
                <c:pt idx="115">
                  <c:v>Espoo</c:v>
                </c:pt>
                <c:pt idx="116">
                  <c:v>Helsinki</c:v>
                </c:pt>
                <c:pt idx="117">
                  <c:v>Vantaa</c:v>
                </c:pt>
                <c:pt idx="118">
                  <c:v>Lausanne</c:v>
                </c:pt>
                <c:pt idx="119">
                  <c:v>Brussels</c:v>
                </c:pt>
                <c:pt idx="120">
                  <c:v>Lille</c:v>
                </c:pt>
                <c:pt idx="121">
                  <c:v>Bergen</c:v>
                </c:pt>
                <c:pt idx="122">
                  <c:v>Nancy</c:v>
                </c:pt>
                <c:pt idx="123">
                  <c:v>Antwerp</c:v>
                </c:pt>
                <c:pt idx="124">
                  <c:v>Geneva</c:v>
                </c:pt>
                <c:pt idx="125">
                  <c:v>Canberra</c:v>
                </c:pt>
                <c:pt idx="126">
                  <c:v>Den Haag</c:v>
                </c:pt>
                <c:pt idx="127">
                  <c:v>Basel</c:v>
                </c:pt>
                <c:pt idx="128">
                  <c:v>Sydney</c:v>
                </c:pt>
                <c:pt idx="129">
                  <c:v>Zürich</c:v>
                </c:pt>
                <c:pt idx="130">
                  <c:v>Birmingham</c:v>
                </c:pt>
                <c:pt idx="131">
                  <c:v>Melbourne</c:v>
                </c:pt>
                <c:pt idx="132">
                  <c:v>New York</c:v>
                </c:pt>
                <c:pt idx="133">
                  <c:v>Oulu</c:v>
                </c:pt>
                <c:pt idx="134">
                  <c:v>Perth</c:v>
                </c:pt>
                <c:pt idx="135">
                  <c:v>Tampere</c:v>
                </c:pt>
                <c:pt idx="136">
                  <c:v>Brest</c:v>
                </c:pt>
                <c:pt idx="137">
                  <c:v>Leeds</c:v>
                </c:pt>
                <c:pt idx="138">
                  <c:v>SEDIF</c:v>
                </c:pt>
                <c:pt idx="139">
                  <c:v>Rotterdam</c:v>
                </c:pt>
                <c:pt idx="140">
                  <c:v>Genk</c:v>
                </c:pt>
                <c:pt idx="141">
                  <c:v>Washington D.C.</c:v>
                </c:pt>
                <c:pt idx="142">
                  <c:v>Athens</c:v>
                </c:pt>
                <c:pt idx="143">
                  <c:v>Turku</c:v>
                </c:pt>
                <c:pt idx="144">
                  <c:v>Louvain</c:v>
                </c:pt>
                <c:pt idx="145">
                  <c:v>Kortrijk</c:v>
                </c:pt>
                <c:pt idx="146">
                  <c:v>Cardiff</c:v>
                </c:pt>
                <c:pt idx="147">
                  <c:v>Le Havre</c:v>
                </c:pt>
                <c:pt idx="148">
                  <c:v>Manchester</c:v>
                </c:pt>
                <c:pt idx="149">
                  <c:v>Charleroi</c:v>
                </c:pt>
                <c:pt idx="150">
                  <c:v>Liège</c:v>
                </c:pt>
                <c:pt idx="151">
                  <c:v>South East Queensland</c:v>
                </c:pt>
                <c:pt idx="152">
                  <c:v>Bern</c:v>
                </c:pt>
                <c:pt idx="153">
                  <c:v>Copenhagen</c:v>
                </c:pt>
                <c:pt idx="154">
                  <c:v>Macao, China Average</c:v>
                </c:pt>
                <c:pt idx="155">
                  <c:v>Aalborg</c:v>
                </c:pt>
                <c:pt idx="156">
                  <c:v>Esbjerg</c:v>
                </c:pt>
                <c:pt idx="157">
                  <c:v>Aarhus</c:v>
                </c:pt>
                <c:pt idx="158">
                  <c:v>Odense</c:v>
                </c:pt>
              </c:strCache>
            </c:strRef>
          </c:cat>
          <c:val>
            <c:numRef>
              <c:f>'[1]total charges cities 200 m³ G'!$G$437:$G$595</c:f>
              <c:numCache>
                <c:formatCode>General</c:formatCode>
                <c:ptCount val="159"/>
                <c:pt idx="0">
                  <c:v>6.7155940145531542E-2</c:v>
                </c:pt>
                <c:pt idx="1">
                  <c:v>6.7155940145531542E-2</c:v>
                </c:pt>
                <c:pt idx="2">
                  <c:v>6.7155940145531542E-2</c:v>
                </c:pt>
                <c:pt idx="3">
                  <c:v>6.7155940145531542E-2</c:v>
                </c:pt>
                <c:pt idx="4">
                  <c:v>6.7155940145531542E-2</c:v>
                </c:pt>
                <c:pt idx="5">
                  <c:v>0</c:v>
                </c:pt>
                <c:pt idx="6">
                  <c:v>0</c:v>
                </c:pt>
                <c:pt idx="7">
                  <c:v>0</c:v>
                </c:pt>
                <c:pt idx="8">
                  <c:v>0</c:v>
                </c:pt>
                <c:pt idx="9">
                  <c:v>2.6310505089117009</c:v>
                </c:pt>
                <c:pt idx="10">
                  <c:v>0</c:v>
                </c:pt>
                <c:pt idx="11">
                  <c:v>0</c:v>
                </c:pt>
                <c:pt idx="12">
                  <c:v>0</c:v>
                </c:pt>
                <c:pt idx="13">
                  <c:v>0</c:v>
                </c:pt>
                <c:pt idx="14">
                  <c:v>3.3266155859803113</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50.012575000898217</c:v>
                </c:pt>
                <c:pt idx="34">
                  <c:v>50.127546437681886</c:v>
                </c:pt>
                <c:pt idx="35">
                  <c:v>51.967089426220674</c:v>
                </c:pt>
                <c:pt idx="36">
                  <c:v>0</c:v>
                </c:pt>
                <c:pt idx="37">
                  <c:v>53.116803794057411</c:v>
                </c:pt>
                <c:pt idx="38">
                  <c:v>20.314873895669656</c:v>
                </c:pt>
                <c:pt idx="39">
                  <c:v>57.14080408148601</c:v>
                </c:pt>
                <c:pt idx="40">
                  <c:v>11.792299172584533</c:v>
                </c:pt>
                <c:pt idx="41">
                  <c:v>22.243290730283142</c:v>
                </c:pt>
                <c:pt idx="42">
                  <c:v>58.865375633241115</c:v>
                </c:pt>
                <c:pt idx="43">
                  <c:v>60.245032874645212</c:v>
                </c:pt>
                <c:pt idx="44">
                  <c:v>66.262018253764111</c:v>
                </c:pt>
                <c:pt idx="45">
                  <c:v>61.049832932130926</c:v>
                </c:pt>
                <c:pt idx="46">
                  <c:v>63.579204541371752</c:v>
                </c:pt>
                <c:pt idx="47">
                  <c:v>64.15406172529012</c:v>
                </c:pt>
                <c:pt idx="48">
                  <c:v>30.197406997198513</c:v>
                </c:pt>
                <c:pt idx="49">
                  <c:v>64.498976035641135</c:v>
                </c:pt>
                <c:pt idx="50">
                  <c:v>0</c:v>
                </c:pt>
                <c:pt idx="51">
                  <c:v>65.073833219559518</c:v>
                </c:pt>
                <c:pt idx="52">
                  <c:v>25.385280228058562</c:v>
                </c:pt>
                <c:pt idx="53">
                  <c:v>0</c:v>
                </c:pt>
                <c:pt idx="54">
                  <c:v>31.587291245900929</c:v>
                </c:pt>
                <c:pt idx="55">
                  <c:v>0</c:v>
                </c:pt>
                <c:pt idx="56">
                  <c:v>0</c:v>
                </c:pt>
                <c:pt idx="57">
                  <c:v>68.408004886286065</c:v>
                </c:pt>
                <c:pt idx="58">
                  <c:v>53.184789454253263</c:v>
                </c:pt>
                <c:pt idx="59">
                  <c:v>69.442747817339139</c:v>
                </c:pt>
                <c:pt idx="60">
                  <c:v>26.964587118474782</c:v>
                </c:pt>
                <c:pt idx="61">
                  <c:v>71.972119426579965</c:v>
                </c:pt>
                <c:pt idx="62">
                  <c:v>21.141442439246855</c:v>
                </c:pt>
                <c:pt idx="63">
                  <c:v>21.369470323799597</c:v>
                </c:pt>
                <c:pt idx="64">
                  <c:v>81.937533639266974</c:v>
                </c:pt>
                <c:pt idx="65">
                  <c:v>65.541729102873148</c:v>
                </c:pt>
                <c:pt idx="66">
                  <c:v>29.059246783658395</c:v>
                </c:pt>
                <c:pt idx="67">
                  <c:v>84.812353614425078</c:v>
                </c:pt>
                <c:pt idx="68">
                  <c:v>0</c:v>
                </c:pt>
                <c:pt idx="69">
                  <c:v>29.923709502623062</c:v>
                </c:pt>
                <c:pt idx="70">
                  <c:v>23.095967163984625</c:v>
                </c:pt>
                <c:pt idx="71">
                  <c:v>30.123200899307214</c:v>
                </c:pt>
                <c:pt idx="72">
                  <c:v>79.445262817518781</c:v>
                </c:pt>
                <c:pt idx="73">
                  <c:v>80.594977185355518</c:v>
                </c:pt>
                <c:pt idx="74">
                  <c:v>63.087714726257957</c:v>
                </c:pt>
                <c:pt idx="75">
                  <c:v>91.030227716383834</c:v>
                </c:pt>
                <c:pt idx="76">
                  <c:v>24.084087997046495</c:v>
                </c:pt>
                <c:pt idx="77">
                  <c:v>40.871283688405327</c:v>
                </c:pt>
                <c:pt idx="78">
                  <c:v>75.748691554281507</c:v>
                </c:pt>
                <c:pt idx="79">
                  <c:v>0</c:v>
                </c:pt>
                <c:pt idx="80">
                  <c:v>43.412165830564419</c:v>
                </c:pt>
                <c:pt idx="81">
                  <c:v>0</c:v>
                </c:pt>
                <c:pt idx="82">
                  <c:v>37.105399783252594</c:v>
                </c:pt>
                <c:pt idx="83">
                  <c:v>0</c:v>
                </c:pt>
                <c:pt idx="84">
                  <c:v>109.3189028158328</c:v>
                </c:pt>
                <c:pt idx="85">
                  <c:v>0</c:v>
                </c:pt>
                <c:pt idx="86">
                  <c:v>16.472300041262187</c:v>
                </c:pt>
                <c:pt idx="87">
                  <c:v>16.624318630964016</c:v>
                </c:pt>
                <c:pt idx="88">
                  <c:v>0</c:v>
                </c:pt>
                <c:pt idx="89">
                  <c:v>0</c:v>
                </c:pt>
                <c:pt idx="90">
                  <c:v>13.93141789910309</c:v>
                </c:pt>
                <c:pt idx="91">
                  <c:v>0</c:v>
                </c:pt>
                <c:pt idx="92">
                  <c:v>14.941255673550938</c:v>
                </c:pt>
                <c:pt idx="93">
                  <c:v>22.22</c:v>
                </c:pt>
                <c:pt idx="94">
                  <c:v>0</c:v>
                </c:pt>
                <c:pt idx="95">
                  <c:v>0</c:v>
                </c:pt>
                <c:pt idx="96">
                  <c:v>0</c:v>
                </c:pt>
                <c:pt idx="97">
                  <c:v>15.961951918691771</c:v>
                </c:pt>
                <c:pt idx="98">
                  <c:v>14.224596607813755</c:v>
                </c:pt>
                <c:pt idx="99">
                  <c:v>15.527613090972268</c:v>
                </c:pt>
                <c:pt idx="100">
                  <c:v>48.711099528742373</c:v>
                </c:pt>
                <c:pt idx="101">
                  <c:v>61.480661063695784</c:v>
                </c:pt>
                <c:pt idx="102">
                  <c:v>47.864138814689341</c:v>
                </c:pt>
                <c:pt idx="103">
                  <c:v>135.83061521618907</c:v>
                </c:pt>
                <c:pt idx="104">
                  <c:v>46.647990097074732</c:v>
                </c:pt>
                <c:pt idx="105">
                  <c:v>0</c:v>
                </c:pt>
                <c:pt idx="106">
                  <c:v>16.135687449779574</c:v>
                </c:pt>
                <c:pt idx="107">
                  <c:v>49.677503420418269</c:v>
                </c:pt>
                <c:pt idx="108">
                  <c:v>0</c:v>
                </c:pt>
                <c:pt idx="109">
                  <c:v>52.64186591960388</c:v>
                </c:pt>
                <c:pt idx="110">
                  <c:v>0</c:v>
                </c:pt>
                <c:pt idx="111">
                  <c:v>149.54346918275905</c:v>
                </c:pt>
                <c:pt idx="112">
                  <c:v>23.24798575368645</c:v>
                </c:pt>
                <c:pt idx="113">
                  <c:v>52.652724390296868</c:v>
                </c:pt>
                <c:pt idx="114">
                  <c:v>0</c:v>
                </c:pt>
                <c:pt idx="115">
                  <c:v>151.28021369470324</c:v>
                </c:pt>
                <c:pt idx="116">
                  <c:v>151.28021369470324</c:v>
                </c:pt>
                <c:pt idx="117">
                  <c:v>151.28021369470324</c:v>
                </c:pt>
                <c:pt idx="118">
                  <c:v>32.151772341487771</c:v>
                </c:pt>
                <c:pt idx="119">
                  <c:v>44.834625491345797</c:v>
                </c:pt>
                <c:pt idx="120">
                  <c:v>57.321866788281547</c:v>
                </c:pt>
                <c:pt idx="121">
                  <c:v>159.58827579201605</c:v>
                </c:pt>
                <c:pt idx="122">
                  <c:v>53.684279106130688</c:v>
                </c:pt>
                <c:pt idx="123">
                  <c:v>46.01819879688145</c:v>
                </c:pt>
                <c:pt idx="124">
                  <c:v>37.86320519221168</c:v>
                </c:pt>
                <c:pt idx="125">
                  <c:v>0</c:v>
                </c:pt>
                <c:pt idx="126">
                  <c:v>22.140421743001717</c:v>
                </c:pt>
                <c:pt idx="127">
                  <c:v>43.784323514727909</c:v>
                </c:pt>
                <c:pt idx="128">
                  <c:v>0</c:v>
                </c:pt>
                <c:pt idx="129">
                  <c:v>45.611582626060908</c:v>
                </c:pt>
                <c:pt idx="130">
                  <c:v>0</c:v>
                </c:pt>
                <c:pt idx="131">
                  <c:v>0</c:v>
                </c:pt>
                <c:pt idx="132">
                  <c:v>0</c:v>
                </c:pt>
                <c:pt idx="133">
                  <c:v>173.52922014463485</c:v>
                </c:pt>
                <c:pt idx="134">
                  <c:v>0</c:v>
                </c:pt>
                <c:pt idx="135">
                  <c:v>180.29404738636609</c:v>
                </c:pt>
                <c:pt idx="136">
                  <c:v>69.407344669576744</c:v>
                </c:pt>
                <c:pt idx="137">
                  <c:v>0</c:v>
                </c:pt>
                <c:pt idx="138">
                  <c:v>68.549525484830724</c:v>
                </c:pt>
                <c:pt idx="139">
                  <c:v>20.142463135491997</c:v>
                </c:pt>
                <c:pt idx="140">
                  <c:v>54.129476404543183</c:v>
                </c:pt>
                <c:pt idx="141">
                  <c:v>0</c:v>
                </c:pt>
                <c:pt idx="142">
                  <c:v>146.83909918127131</c:v>
                </c:pt>
                <c:pt idx="143">
                  <c:v>192.32523291419636</c:v>
                </c:pt>
                <c:pt idx="144">
                  <c:v>57.875648793623903</c:v>
                </c:pt>
                <c:pt idx="145">
                  <c:v>58.77690186114188</c:v>
                </c:pt>
                <c:pt idx="146">
                  <c:v>0</c:v>
                </c:pt>
                <c:pt idx="147">
                  <c:v>76.269898147544893</c:v>
                </c:pt>
                <c:pt idx="148">
                  <c:v>0</c:v>
                </c:pt>
                <c:pt idx="149">
                  <c:v>61.144048472213179</c:v>
                </c:pt>
                <c:pt idx="150">
                  <c:v>61.361217886072922</c:v>
                </c:pt>
                <c:pt idx="151">
                  <c:v>0</c:v>
                </c:pt>
                <c:pt idx="152">
                  <c:v>57.703444832750868</c:v>
                </c:pt>
                <c:pt idx="153">
                  <c:v>232.16325342839474</c:v>
                </c:pt>
                <c:pt idx="154">
                  <c:v>0</c:v>
                </c:pt>
                <c:pt idx="155">
                  <c:v>284.18900731148375</c:v>
                </c:pt>
                <c:pt idx="156">
                  <c:v>298.27361682005022</c:v>
                </c:pt>
                <c:pt idx="157">
                  <c:v>344.56367538467134</c:v>
                </c:pt>
                <c:pt idx="158">
                  <c:v>358.91018878905822</c:v>
                </c:pt>
              </c:numCache>
            </c:numRef>
          </c:val>
          <c:extLst>
            <c:ext xmlns:c16="http://schemas.microsoft.com/office/drawing/2014/chart" uri="{C3380CC4-5D6E-409C-BE32-E72D297353CC}">
              <c16:uniqueId val="{00000005-0558-4826-A22F-921250C2D3A0}"/>
            </c:ext>
          </c:extLst>
        </c:ser>
        <c:ser>
          <c:idx val="6"/>
          <c:order val="6"/>
          <c:tx>
            <c:strRef>
              <c:f>'[1]total charges cities 200 m³ G'!$H$436</c:f>
              <c:strCache>
                <c:ptCount val="1"/>
                <c:pt idx="0">
                  <c:v>TOTAL ANNUAL CHARGES 200 m³</c:v>
                </c:pt>
              </c:strCache>
            </c:strRef>
          </c:tx>
          <c:invertIfNegative val="0"/>
          <c:cat>
            <c:strRef>
              <c:f>'[1]total charges cities 200 m³ G'!$A$437:$A$595</c:f>
              <c:strCache>
                <c:ptCount val="159"/>
                <c:pt idx="0">
                  <c:v>Guadalajara</c:v>
                </c:pt>
                <c:pt idx="1">
                  <c:v>San Luis Potosi</c:v>
                </c:pt>
                <c:pt idx="2">
                  <c:v>Monterrey</c:v>
                </c:pt>
                <c:pt idx="3">
                  <c:v>Puebla</c:v>
                </c:pt>
                <c:pt idx="4">
                  <c:v>León, Guanajuato</c:v>
                </c:pt>
                <c:pt idx="5">
                  <c:v>Mulonga</c:v>
                </c:pt>
                <c:pt idx="6">
                  <c:v>Kenya Average</c:v>
                </c:pt>
                <c:pt idx="7">
                  <c:v>Thailand Average</c:v>
                </c:pt>
                <c:pt idx="8">
                  <c:v>Mauritius</c:v>
                </c:pt>
                <c:pt idx="9">
                  <c:v>Taipei</c:v>
                </c:pt>
                <c:pt idx="10">
                  <c:v>Kafubu</c:v>
                </c:pt>
                <c:pt idx="11">
                  <c:v>Lusaka</c:v>
                </c:pt>
                <c:pt idx="12">
                  <c:v>Sao Paulo (SABESP)</c:v>
                </c:pt>
                <c:pt idx="13">
                  <c:v>Brazil Average</c:v>
                </c:pt>
                <c:pt idx="14">
                  <c:v>Kaohsiung</c:v>
                </c:pt>
                <c:pt idx="15">
                  <c:v>Russia Average</c:v>
                </c:pt>
                <c:pt idx="16">
                  <c:v>Gwangju</c:v>
                </c:pt>
                <c:pt idx="17">
                  <c:v>Daejeon</c:v>
                </c:pt>
                <c:pt idx="18">
                  <c:v>Gyeounggi</c:v>
                </c:pt>
                <c:pt idx="19">
                  <c:v>Entebbe</c:v>
                </c:pt>
                <c:pt idx="20">
                  <c:v>Daegu</c:v>
                </c:pt>
                <c:pt idx="21">
                  <c:v>Mbarara</c:v>
                </c:pt>
                <c:pt idx="22">
                  <c:v>NWWSC of Zambia</c:v>
                </c:pt>
                <c:pt idx="23">
                  <c:v>Kampala</c:v>
                </c:pt>
                <c:pt idx="24">
                  <c:v>Hong Kong</c:v>
                </c:pt>
                <c:pt idx="25">
                  <c:v>Seoul</c:v>
                </c:pt>
                <c:pt idx="26">
                  <c:v>Incheon</c:v>
                </c:pt>
                <c:pt idx="27">
                  <c:v>Jinja</c:v>
                </c:pt>
                <c:pt idx="28">
                  <c:v>Miami</c:v>
                </c:pt>
                <c:pt idx="29">
                  <c:v>Busan</c:v>
                </c:pt>
                <c:pt idx="30">
                  <c:v>Brasilia Federal District</c:v>
                </c:pt>
                <c:pt idx="31">
                  <c:v>Ulsan</c:v>
                </c:pt>
                <c:pt idx="32">
                  <c:v>Gran Santiago</c:v>
                </c:pt>
                <c:pt idx="33">
                  <c:v>Severin</c:v>
                </c:pt>
                <c:pt idx="34">
                  <c:v>Apaserv SA Valea Jiului</c:v>
                </c:pt>
                <c:pt idx="35">
                  <c:v>Deva</c:v>
                </c:pt>
                <c:pt idx="36">
                  <c:v>Concepcion</c:v>
                </c:pt>
                <c:pt idx="37">
                  <c:v>Sibiu</c:v>
                </c:pt>
                <c:pt idx="38">
                  <c:v>Osaka</c:v>
                </c:pt>
                <c:pt idx="39">
                  <c:v>Baia Mare</c:v>
                </c:pt>
                <c:pt idx="40">
                  <c:v>Lisbon</c:v>
                </c:pt>
                <c:pt idx="41">
                  <c:v>Nagoya</c:v>
                </c:pt>
                <c:pt idx="42">
                  <c:v>Craiova</c:v>
                </c:pt>
                <c:pt idx="43">
                  <c:v>Giurgiu</c:v>
                </c:pt>
                <c:pt idx="44">
                  <c:v>Kaposvár</c:v>
                </c:pt>
                <c:pt idx="45">
                  <c:v>Calarasi</c:v>
                </c:pt>
                <c:pt idx="46">
                  <c:v>Iasi</c:v>
                </c:pt>
                <c:pt idx="47">
                  <c:v>Resita</c:v>
                </c:pt>
                <c:pt idx="48">
                  <c:v>Madrid</c:v>
                </c:pt>
                <c:pt idx="49">
                  <c:v>Bucharest</c:v>
                </c:pt>
                <c:pt idx="50">
                  <c:v>Temuco</c:v>
                </c:pt>
                <c:pt idx="51">
                  <c:v>Miercurea Ciuc</c:v>
                </c:pt>
                <c:pt idx="52">
                  <c:v>Hiroshima</c:v>
                </c:pt>
                <c:pt idx="53">
                  <c:v>Bialystok</c:v>
                </c:pt>
                <c:pt idx="54">
                  <c:v>Bilbao</c:v>
                </c:pt>
                <c:pt idx="55">
                  <c:v>Valparaiso</c:v>
                </c:pt>
                <c:pt idx="56">
                  <c:v>Vina del Mar</c:v>
                </c:pt>
                <c:pt idx="57">
                  <c:v>Brasov</c:v>
                </c:pt>
                <c:pt idx="58">
                  <c:v>Thessaloniki</c:v>
                </c:pt>
                <c:pt idx="59">
                  <c:v>Suceava</c:v>
                </c:pt>
                <c:pt idx="60">
                  <c:v>Yokohama</c:v>
                </c:pt>
                <c:pt idx="61">
                  <c:v>Medias</c:v>
                </c:pt>
                <c:pt idx="62">
                  <c:v>Faro</c:v>
                </c:pt>
                <c:pt idx="63">
                  <c:v>Porto</c:v>
                </c:pt>
                <c:pt idx="64">
                  <c:v>Miskolc</c:v>
                </c:pt>
                <c:pt idx="65">
                  <c:v>Serres</c:v>
                </c:pt>
                <c:pt idx="66">
                  <c:v>Tokyo</c:v>
                </c:pt>
                <c:pt idx="67">
                  <c:v>Debrecen</c:v>
                </c:pt>
                <c:pt idx="68">
                  <c:v>Chicago</c:v>
                </c:pt>
                <c:pt idx="69">
                  <c:v>Fukuoka</c:v>
                </c:pt>
                <c:pt idx="70">
                  <c:v>Braga</c:v>
                </c:pt>
                <c:pt idx="71">
                  <c:v>Sapporo</c:v>
                </c:pt>
                <c:pt idx="72">
                  <c:v>Buzau</c:v>
                </c:pt>
                <c:pt idx="73">
                  <c:v>Constanta</c:v>
                </c:pt>
                <c:pt idx="74">
                  <c:v>Alexandroupolis</c:v>
                </c:pt>
                <c:pt idx="75">
                  <c:v>Budapest</c:v>
                </c:pt>
                <c:pt idx="76">
                  <c:v>Coimbra</c:v>
                </c:pt>
                <c:pt idx="77">
                  <c:v>Valencia</c:v>
                </c:pt>
                <c:pt idx="78">
                  <c:v>Igoumenitsa</c:v>
                </c:pt>
                <c:pt idx="79">
                  <c:v>Wroclaw</c:v>
                </c:pt>
                <c:pt idx="80">
                  <c:v>Sevilla</c:v>
                </c:pt>
                <c:pt idx="81">
                  <c:v>Saskatoon</c:v>
                </c:pt>
                <c:pt idx="82">
                  <c:v>Sendai</c:v>
                </c:pt>
                <c:pt idx="83">
                  <c:v>Antofagasta</c:v>
                </c:pt>
                <c:pt idx="84">
                  <c:v>Pécs</c:v>
                </c:pt>
                <c:pt idx="85">
                  <c:v>Tarnow</c:v>
                </c:pt>
                <c:pt idx="86">
                  <c:v>Sintra</c:v>
                </c:pt>
                <c:pt idx="87">
                  <c:v>Loures</c:v>
                </c:pt>
                <c:pt idx="88">
                  <c:v>Bydgoszcz</c:v>
                </c:pt>
                <c:pt idx="89">
                  <c:v>Durham</c:v>
                </c:pt>
                <c:pt idx="90">
                  <c:v>Paphos</c:v>
                </c:pt>
                <c:pt idx="91">
                  <c:v>Denver</c:v>
                </c:pt>
                <c:pt idx="92">
                  <c:v>Eindhoven</c:v>
                </c:pt>
                <c:pt idx="93">
                  <c:v>Minneapolis</c:v>
                </c:pt>
                <c:pt idx="94">
                  <c:v>Los Angeles</c:v>
                </c:pt>
                <c:pt idx="95">
                  <c:v>Winnipeg</c:v>
                </c:pt>
                <c:pt idx="96">
                  <c:v>Vancouver</c:v>
                </c:pt>
                <c:pt idx="97">
                  <c:v>Larnaca</c:v>
                </c:pt>
                <c:pt idx="98">
                  <c:v>Lefkosia</c:v>
                </c:pt>
                <c:pt idx="99">
                  <c:v>Lemesos</c:v>
                </c:pt>
                <c:pt idx="100">
                  <c:v>Reims</c:v>
                </c:pt>
                <c:pt idx="101">
                  <c:v>Barcelona</c:v>
                </c:pt>
                <c:pt idx="102">
                  <c:v>Strassbourg</c:v>
                </c:pt>
                <c:pt idx="103">
                  <c:v>Trondheim</c:v>
                </c:pt>
                <c:pt idx="104">
                  <c:v>Lyon</c:v>
                </c:pt>
                <c:pt idx="105">
                  <c:v>Radom</c:v>
                </c:pt>
                <c:pt idx="106">
                  <c:v>Utrecht</c:v>
                </c:pt>
                <c:pt idx="107">
                  <c:v>Bordeaux</c:v>
                </c:pt>
                <c:pt idx="108">
                  <c:v>Calgary</c:v>
                </c:pt>
                <c:pt idx="109">
                  <c:v>Paris</c:v>
                </c:pt>
                <c:pt idx="110">
                  <c:v>London</c:v>
                </c:pt>
                <c:pt idx="111">
                  <c:v>Oslo</c:v>
                </c:pt>
                <c:pt idx="112">
                  <c:v>Amsterdam</c:v>
                </c:pt>
                <c:pt idx="113">
                  <c:v>Marseille</c:v>
                </c:pt>
                <c:pt idx="114">
                  <c:v>Malta Average</c:v>
                </c:pt>
                <c:pt idx="115">
                  <c:v>Espoo</c:v>
                </c:pt>
                <c:pt idx="116">
                  <c:v>Helsinki</c:v>
                </c:pt>
                <c:pt idx="117">
                  <c:v>Vantaa</c:v>
                </c:pt>
                <c:pt idx="118">
                  <c:v>Lausanne</c:v>
                </c:pt>
                <c:pt idx="119">
                  <c:v>Brussels</c:v>
                </c:pt>
                <c:pt idx="120">
                  <c:v>Lille</c:v>
                </c:pt>
                <c:pt idx="121">
                  <c:v>Bergen</c:v>
                </c:pt>
                <c:pt idx="122">
                  <c:v>Nancy</c:v>
                </c:pt>
                <c:pt idx="123">
                  <c:v>Antwerp</c:v>
                </c:pt>
                <c:pt idx="124">
                  <c:v>Geneva</c:v>
                </c:pt>
                <c:pt idx="125">
                  <c:v>Canberra</c:v>
                </c:pt>
                <c:pt idx="126">
                  <c:v>Den Haag</c:v>
                </c:pt>
                <c:pt idx="127">
                  <c:v>Basel</c:v>
                </c:pt>
                <c:pt idx="128">
                  <c:v>Sydney</c:v>
                </c:pt>
                <c:pt idx="129">
                  <c:v>Zürich</c:v>
                </c:pt>
                <c:pt idx="130">
                  <c:v>Birmingham</c:v>
                </c:pt>
                <c:pt idx="131">
                  <c:v>Melbourne</c:v>
                </c:pt>
                <c:pt idx="132">
                  <c:v>New York</c:v>
                </c:pt>
                <c:pt idx="133">
                  <c:v>Oulu</c:v>
                </c:pt>
                <c:pt idx="134">
                  <c:v>Perth</c:v>
                </c:pt>
                <c:pt idx="135">
                  <c:v>Tampere</c:v>
                </c:pt>
                <c:pt idx="136">
                  <c:v>Brest</c:v>
                </c:pt>
                <c:pt idx="137">
                  <c:v>Leeds</c:v>
                </c:pt>
                <c:pt idx="138">
                  <c:v>SEDIF</c:v>
                </c:pt>
                <c:pt idx="139">
                  <c:v>Rotterdam</c:v>
                </c:pt>
                <c:pt idx="140">
                  <c:v>Genk</c:v>
                </c:pt>
                <c:pt idx="141">
                  <c:v>Washington D.C.</c:v>
                </c:pt>
                <c:pt idx="142">
                  <c:v>Athens</c:v>
                </c:pt>
                <c:pt idx="143">
                  <c:v>Turku</c:v>
                </c:pt>
                <c:pt idx="144">
                  <c:v>Louvain</c:v>
                </c:pt>
                <c:pt idx="145">
                  <c:v>Kortrijk</c:v>
                </c:pt>
                <c:pt idx="146">
                  <c:v>Cardiff</c:v>
                </c:pt>
                <c:pt idx="147">
                  <c:v>Le Havre</c:v>
                </c:pt>
                <c:pt idx="148">
                  <c:v>Manchester</c:v>
                </c:pt>
                <c:pt idx="149">
                  <c:v>Charleroi</c:v>
                </c:pt>
                <c:pt idx="150">
                  <c:v>Liège</c:v>
                </c:pt>
                <c:pt idx="151">
                  <c:v>South East Queensland</c:v>
                </c:pt>
                <c:pt idx="152">
                  <c:v>Bern</c:v>
                </c:pt>
                <c:pt idx="153">
                  <c:v>Copenhagen</c:v>
                </c:pt>
                <c:pt idx="154">
                  <c:v>Macao, China Average</c:v>
                </c:pt>
                <c:pt idx="155">
                  <c:v>Aalborg</c:v>
                </c:pt>
                <c:pt idx="156">
                  <c:v>Esbjerg</c:v>
                </c:pt>
                <c:pt idx="157">
                  <c:v>Aarhus</c:v>
                </c:pt>
                <c:pt idx="158">
                  <c:v>Odense</c:v>
                </c:pt>
              </c:strCache>
            </c:strRef>
          </c:cat>
          <c:val>
            <c:numRef>
              <c:f>'[1]total charges cities 200 m³ G'!$H$437:$H$595</c:f>
              <c:numCache>
                <c:formatCode>General</c:formatCode>
                <c:ptCount val="159"/>
                <c:pt idx="12">
                  <c:v>110.07710446721167</c:v>
                </c:pt>
                <c:pt idx="13">
                  <c:v>135.32414677620517</c:v>
                </c:pt>
                <c:pt idx="30">
                  <c:v>212.5800962417253</c:v>
                </c:pt>
              </c:numCache>
            </c:numRef>
          </c:val>
          <c:extLst>
            <c:ext xmlns:c16="http://schemas.microsoft.com/office/drawing/2014/chart" uri="{C3380CC4-5D6E-409C-BE32-E72D297353CC}">
              <c16:uniqueId val="{00000006-0558-4826-A22F-921250C2D3A0}"/>
            </c:ext>
          </c:extLst>
        </c:ser>
        <c:dLbls>
          <c:showLegendKey val="0"/>
          <c:showVal val="0"/>
          <c:showCatName val="0"/>
          <c:showSerName val="0"/>
          <c:showPercent val="0"/>
          <c:showBubbleSize val="0"/>
        </c:dLbls>
        <c:gapWidth val="55"/>
        <c:overlap val="100"/>
        <c:axId val="344827944"/>
        <c:axId val="344828336"/>
      </c:barChart>
      <c:catAx>
        <c:axId val="344827944"/>
        <c:scaling>
          <c:orientation val="minMax"/>
        </c:scaling>
        <c:delete val="0"/>
        <c:axPos val="b"/>
        <c:numFmt formatCode="General" sourceLinked="0"/>
        <c:majorTickMark val="none"/>
        <c:minorTickMark val="none"/>
        <c:tickLblPos val="nextTo"/>
        <c:crossAx val="344828336"/>
        <c:crosses val="autoZero"/>
        <c:auto val="1"/>
        <c:lblAlgn val="ctr"/>
        <c:lblOffset val="100"/>
        <c:noMultiLvlLbl val="0"/>
      </c:catAx>
      <c:valAx>
        <c:axId val="344828336"/>
        <c:scaling>
          <c:orientation val="minMax"/>
        </c:scaling>
        <c:delete val="0"/>
        <c:axPos val="l"/>
        <c:majorGridlines/>
        <c:numFmt formatCode="General" sourceLinked="1"/>
        <c:majorTickMark val="none"/>
        <c:minorTickMark val="none"/>
        <c:tickLblPos val="nextTo"/>
        <c:crossAx val="344827944"/>
        <c:crosses val="autoZero"/>
        <c:crossBetween val="between"/>
      </c:valAx>
    </c:plotArea>
    <c:legend>
      <c:legendPos val="b"/>
      <c:layout/>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drinking</a:t>
            </a:r>
            <a:r>
              <a:rPr lang="en-US" baseline="0"/>
              <a:t> water charges for 188 cities in 2017</a:t>
            </a:r>
          </a:p>
          <a:p>
            <a:pPr>
              <a:defRPr/>
            </a:pPr>
            <a:r>
              <a:rPr lang="en-US" sz="1100" baseline="0"/>
              <a:t>for a consumption of 200 m³ in US$</a:t>
            </a:r>
            <a:endParaRPr lang="en-US" sz="1100"/>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'2017Total DW ch cities 200 m³'!$C$499</c:f>
              <c:strCache>
                <c:ptCount val="1"/>
                <c:pt idx="0">
                  <c:v>fixed charge drinking water</c:v>
                </c:pt>
              </c:strCache>
            </c:strRef>
          </c:tx>
          <c:spPr>
            <a:solidFill>
              <a:schemeClr val="accent1"/>
            </a:solidFill>
            <a:ln>
              <a:noFill/>
            </a:ln>
            <a:effectLst/>
          </c:spPr>
          <c:invertIfNegative val="0"/>
          <c:cat>
            <c:strRef>
              <c:f>'2017Total DW ch cities 200 m³'!$A$500:$A$687</c:f>
              <c:strCache>
                <c:ptCount val="188"/>
                <c:pt idx="0">
                  <c:v>Milan</c:v>
                </c:pt>
                <c:pt idx="1">
                  <c:v>Yerevan</c:v>
                </c:pt>
                <c:pt idx="2">
                  <c:v>Taipei</c:v>
                </c:pt>
                <c:pt idx="3">
                  <c:v>Guangzhou</c:v>
                </c:pt>
                <c:pt idx="4">
                  <c:v>Kaohsiung</c:v>
                </c:pt>
                <c:pt idx="5">
                  <c:v>Daejeon</c:v>
                </c:pt>
                <c:pt idx="6">
                  <c:v>Russia average</c:v>
                </c:pt>
                <c:pt idx="7">
                  <c:v>Shanghai</c:v>
                </c:pt>
                <c:pt idx="8">
                  <c:v>Moscow</c:v>
                </c:pt>
                <c:pt idx="9">
                  <c:v>Seoul</c:v>
                </c:pt>
                <c:pt idx="10">
                  <c:v>Hong Kong</c:v>
                </c:pt>
                <c:pt idx="11">
                  <c:v>Guadalajara</c:v>
                </c:pt>
                <c:pt idx="12">
                  <c:v>Gwangju</c:v>
                </c:pt>
                <c:pt idx="13">
                  <c:v>Monterrey</c:v>
                </c:pt>
                <c:pt idx="14">
                  <c:v>Shenzhen</c:v>
                </c:pt>
                <c:pt idx="15">
                  <c:v>Beijing</c:v>
                </c:pt>
                <c:pt idx="16">
                  <c:v>Incheon</c:v>
                </c:pt>
                <c:pt idx="17">
                  <c:v>Gyeounggi</c:v>
                </c:pt>
                <c:pt idx="18">
                  <c:v>Daegu</c:v>
                </c:pt>
                <c:pt idx="19">
                  <c:v>Izmir</c:v>
                </c:pt>
                <c:pt idx="20">
                  <c:v>Miami</c:v>
                </c:pt>
                <c:pt idx="21">
                  <c:v>San Luis Potosi</c:v>
                </c:pt>
                <c:pt idx="22">
                  <c:v>Busan</c:v>
                </c:pt>
                <c:pt idx="23">
                  <c:v>Cluj Napoca</c:v>
                </c:pt>
                <c:pt idx="24">
                  <c:v>Timisoara</c:v>
                </c:pt>
                <c:pt idx="25">
                  <c:v>Ulsan</c:v>
                </c:pt>
                <c:pt idx="26">
                  <c:v>Tianjin</c:v>
                </c:pt>
                <c:pt idx="27">
                  <c:v>Rome</c:v>
                </c:pt>
                <c:pt idx="28">
                  <c:v>Sofia</c:v>
                </c:pt>
                <c:pt idx="29">
                  <c:v>Sibiu</c:v>
                </c:pt>
                <c:pt idx="30">
                  <c:v>Turda</c:v>
                </c:pt>
                <c:pt idx="31">
                  <c:v>Budapest</c:v>
                </c:pt>
                <c:pt idx="32">
                  <c:v>Medias</c:v>
                </c:pt>
                <c:pt idx="33">
                  <c:v>Oradea</c:v>
                </c:pt>
                <c:pt idx="34">
                  <c:v>Arad</c:v>
                </c:pt>
                <c:pt idx="35">
                  <c:v>Alexandria</c:v>
                </c:pt>
                <c:pt idx="36">
                  <c:v>Nagoya</c:v>
                </c:pt>
                <c:pt idx="37">
                  <c:v>Tarnow</c:v>
                </c:pt>
                <c:pt idx="38">
                  <c:v>Osaka</c:v>
                </c:pt>
                <c:pt idx="39">
                  <c:v>Bucharest</c:v>
                </c:pt>
                <c:pt idx="40">
                  <c:v>Burgas</c:v>
                </c:pt>
                <c:pt idx="41">
                  <c:v>Faro</c:v>
                </c:pt>
                <c:pt idx="42">
                  <c:v>Hiroshima</c:v>
                </c:pt>
                <c:pt idx="43">
                  <c:v>Satu Mare</c:v>
                </c:pt>
                <c:pt idx="44">
                  <c:v>Bacau</c:v>
                </c:pt>
                <c:pt idx="45">
                  <c:v>Baia Mare</c:v>
                </c:pt>
                <c:pt idx="46">
                  <c:v>Targu-Mures</c:v>
                </c:pt>
                <c:pt idx="47">
                  <c:v>Botosani</c:v>
                </c:pt>
                <c:pt idx="48">
                  <c:v>Piatra Neamt</c:v>
                </c:pt>
                <c:pt idx="49">
                  <c:v>Craiova</c:v>
                </c:pt>
                <c:pt idx="50">
                  <c:v>Bilbao</c:v>
                </c:pt>
                <c:pt idx="51">
                  <c:v>Chicago</c:v>
                </c:pt>
                <c:pt idx="52">
                  <c:v>Pitesti</c:v>
                </c:pt>
                <c:pt idx="53">
                  <c:v>Voluntari</c:v>
                </c:pt>
                <c:pt idx="54">
                  <c:v>Eindhoven</c:v>
                </c:pt>
                <c:pt idx="55">
                  <c:v>Radom</c:v>
                </c:pt>
                <c:pt idx="56">
                  <c:v>Bistrita</c:v>
                </c:pt>
                <c:pt idx="57">
                  <c:v>Puebla</c:v>
                </c:pt>
                <c:pt idx="58">
                  <c:v>Brasov</c:v>
                </c:pt>
                <c:pt idx="59">
                  <c:v>Bialystok</c:v>
                </c:pt>
                <c:pt idx="60">
                  <c:v>Lisbon</c:v>
                </c:pt>
                <c:pt idx="61">
                  <c:v>Mexico City</c:v>
                </c:pt>
                <c:pt idx="62">
                  <c:v>Turin</c:v>
                </c:pt>
                <c:pt idx="63">
                  <c:v>Sevilla</c:v>
                </c:pt>
                <c:pt idx="64">
                  <c:v>Kampala</c:v>
                </c:pt>
                <c:pt idx="65">
                  <c:v>Jinja</c:v>
                </c:pt>
                <c:pt idx="66">
                  <c:v>Entebbe</c:v>
                </c:pt>
                <c:pt idx="67">
                  <c:v>Mbarara</c:v>
                </c:pt>
                <c:pt idx="68">
                  <c:v>Targoviste</c:v>
                </c:pt>
                <c:pt idx="69">
                  <c:v>Kaposvár</c:v>
                </c:pt>
                <c:pt idx="70">
                  <c:v>Drobeta Turnu-Severin</c:v>
                </c:pt>
                <c:pt idx="71">
                  <c:v>Utrecht</c:v>
                </c:pt>
                <c:pt idx="72">
                  <c:v>Pleven</c:v>
                </c:pt>
                <c:pt idx="73">
                  <c:v>Ramnicu Valcea</c:v>
                </c:pt>
                <c:pt idx="74">
                  <c:v>Braga</c:v>
                </c:pt>
                <c:pt idx="75">
                  <c:v>Madrid</c:v>
                </c:pt>
                <c:pt idx="76">
                  <c:v>Yokohama</c:v>
                </c:pt>
                <c:pt idx="77">
                  <c:v>Fukuoka</c:v>
                </c:pt>
                <c:pt idx="78">
                  <c:v>Braila</c:v>
                </c:pt>
                <c:pt idx="79">
                  <c:v>Galati</c:v>
                </c:pt>
                <c:pt idx="80">
                  <c:v>Vaslui</c:v>
                </c:pt>
                <c:pt idx="81">
                  <c:v>Constanta</c:v>
                </c:pt>
                <c:pt idx="82">
                  <c:v>Suceava</c:v>
                </c:pt>
                <c:pt idx="83">
                  <c:v>Prahova</c:v>
                </c:pt>
                <c:pt idx="84">
                  <c:v>Naples</c:v>
                </c:pt>
                <c:pt idx="85">
                  <c:v>León, Guanajuato</c:v>
                </c:pt>
                <c:pt idx="86">
                  <c:v>Petrosani</c:v>
                </c:pt>
                <c:pt idx="87">
                  <c:v>Coimbra</c:v>
                </c:pt>
                <c:pt idx="88">
                  <c:v>Valencia</c:v>
                </c:pt>
                <c:pt idx="89">
                  <c:v>Miskolc</c:v>
                </c:pt>
                <c:pt idx="90">
                  <c:v>Tokyo</c:v>
                </c:pt>
                <c:pt idx="91">
                  <c:v>Debrecen</c:v>
                </c:pt>
                <c:pt idx="92">
                  <c:v>Ankara</c:v>
                </c:pt>
                <c:pt idx="93">
                  <c:v>Porto</c:v>
                </c:pt>
                <c:pt idx="94">
                  <c:v>Sintra</c:v>
                </c:pt>
                <c:pt idx="95">
                  <c:v>Buzau</c:v>
                </c:pt>
                <c:pt idx="96">
                  <c:v>Warsaw</c:v>
                </c:pt>
                <c:pt idx="97">
                  <c:v>Stara Zagora</c:v>
                </c:pt>
                <c:pt idx="98">
                  <c:v>New York</c:v>
                </c:pt>
                <c:pt idx="99">
                  <c:v>Wroclaw</c:v>
                </c:pt>
                <c:pt idx="100">
                  <c:v>Loures</c:v>
                </c:pt>
                <c:pt idx="101">
                  <c:v>Bydgoszcz</c:v>
                </c:pt>
                <c:pt idx="102">
                  <c:v>Minneapolis</c:v>
                </c:pt>
                <c:pt idx="103">
                  <c:v>Denver</c:v>
                </c:pt>
                <c:pt idx="104">
                  <c:v>Razgrad</c:v>
                </c:pt>
                <c:pt idx="105">
                  <c:v>Sapporo</c:v>
                </c:pt>
                <c:pt idx="106">
                  <c:v>Rotterdam</c:v>
                </c:pt>
                <c:pt idx="107">
                  <c:v>Paphos</c:v>
                </c:pt>
                <c:pt idx="108">
                  <c:v>Bologna</c:v>
                </c:pt>
                <c:pt idx="109">
                  <c:v>Trondheim</c:v>
                </c:pt>
                <c:pt idx="110">
                  <c:v>Nicosia</c:v>
                </c:pt>
                <c:pt idx="111">
                  <c:v>Pécs</c:v>
                </c:pt>
                <c:pt idx="112">
                  <c:v>Durham</c:v>
                </c:pt>
                <c:pt idx="113">
                  <c:v>Oslo</c:v>
                </c:pt>
                <c:pt idx="114">
                  <c:v>Brno</c:v>
                </c:pt>
                <c:pt idx="115">
                  <c:v>Ostrava</c:v>
                </c:pt>
                <c:pt idx="116">
                  <c:v>Amsterdam</c:v>
                </c:pt>
                <c:pt idx="117">
                  <c:v>Limassol</c:v>
                </c:pt>
                <c:pt idx="118">
                  <c:v>Den Haag</c:v>
                </c:pt>
                <c:pt idx="119">
                  <c:v>Reims</c:v>
                </c:pt>
                <c:pt idx="120">
                  <c:v>Geneva</c:v>
                </c:pt>
                <c:pt idx="121">
                  <c:v>Stockholm</c:v>
                </c:pt>
                <c:pt idx="122">
                  <c:v>Larnaca</c:v>
                </c:pt>
                <c:pt idx="123">
                  <c:v>Istanbul</c:v>
                </c:pt>
                <c:pt idx="124">
                  <c:v>Bergen</c:v>
                </c:pt>
                <c:pt idx="125">
                  <c:v>Strassbourg</c:v>
                </c:pt>
                <c:pt idx="126">
                  <c:v>Antwerp</c:v>
                </c:pt>
                <c:pt idx="127">
                  <c:v>Sendai</c:v>
                </c:pt>
                <c:pt idx="128">
                  <c:v>Uppsala</c:v>
                </c:pt>
                <c:pt idx="129">
                  <c:v>Sydney</c:v>
                </c:pt>
                <c:pt idx="130">
                  <c:v>Ottawa</c:v>
                </c:pt>
                <c:pt idx="131">
                  <c:v>London</c:v>
                </c:pt>
                <c:pt idx="132">
                  <c:v>Cardiff</c:v>
                </c:pt>
                <c:pt idx="133">
                  <c:v>Espoo</c:v>
                </c:pt>
                <c:pt idx="134">
                  <c:v>Helsinki</c:v>
                </c:pt>
                <c:pt idx="135">
                  <c:v>Vantaa</c:v>
                </c:pt>
                <c:pt idx="136">
                  <c:v>Leeds</c:v>
                </c:pt>
                <c:pt idx="137">
                  <c:v>Lausanne</c:v>
                </c:pt>
                <c:pt idx="138">
                  <c:v>Malmö</c:v>
                </c:pt>
                <c:pt idx="139">
                  <c:v>Lyon</c:v>
                </c:pt>
                <c:pt idx="140">
                  <c:v>Paris</c:v>
                </c:pt>
                <c:pt idx="141">
                  <c:v>Los Angeles</c:v>
                </c:pt>
                <c:pt idx="142">
                  <c:v>Winnipeg</c:v>
                </c:pt>
                <c:pt idx="143">
                  <c:v>Calgary</c:v>
                </c:pt>
                <c:pt idx="144">
                  <c:v>Washington D.C.</c:v>
                </c:pt>
                <c:pt idx="145">
                  <c:v>Oulu</c:v>
                </c:pt>
                <c:pt idx="146">
                  <c:v>Prague</c:v>
                </c:pt>
                <c:pt idx="147">
                  <c:v>Louvain</c:v>
                </c:pt>
                <c:pt idx="148">
                  <c:v>Kortrijk</c:v>
                </c:pt>
                <c:pt idx="149">
                  <c:v>Genk</c:v>
                </c:pt>
                <c:pt idx="150">
                  <c:v>Austria average</c:v>
                </c:pt>
                <c:pt idx="151">
                  <c:v>Bordeaux</c:v>
                </c:pt>
                <c:pt idx="152">
                  <c:v>Birmingham</c:v>
                </c:pt>
                <c:pt idx="153">
                  <c:v>Perth</c:v>
                </c:pt>
                <c:pt idx="154">
                  <c:v>Lille</c:v>
                </c:pt>
                <c:pt idx="155">
                  <c:v>SEDIF</c:v>
                </c:pt>
                <c:pt idx="156">
                  <c:v>Tampere</c:v>
                </c:pt>
                <c:pt idx="157">
                  <c:v>Berlin</c:v>
                </c:pt>
                <c:pt idx="158">
                  <c:v>Melbourne</c:v>
                </c:pt>
                <c:pt idx="159">
                  <c:v>Barcelona</c:v>
                </c:pt>
                <c:pt idx="160">
                  <c:v>Usti nad Labem</c:v>
                </c:pt>
                <c:pt idx="161">
                  <c:v>Marseille</c:v>
                </c:pt>
                <c:pt idx="162">
                  <c:v>Basel</c:v>
                </c:pt>
                <c:pt idx="163">
                  <c:v>Canberra</c:v>
                </c:pt>
                <c:pt idx="164">
                  <c:v>Plzeñ</c:v>
                </c:pt>
                <c:pt idx="165">
                  <c:v>Vancouver</c:v>
                </c:pt>
                <c:pt idx="166">
                  <c:v>Nancy</c:v>
                </c:pt>
                <c:pt idx="167">
                  <c:v>Manchester</c:v>
                </c:pt>
                <c:pt idx="168">
                  <c:v>Brest</c:v>
                </c:pt>
                <c:pt idx="169">
                  <c:v>Ghent</c:v>
                </c:pt>
                <c:pt idx="170">
                  <c:v>Linköping</c:v>
                </c:pt>
                <c:pt idx="171">
                  <c:v>Le Havre</c:v>
                </c:pt>
                <c:pt idx="172">
                  <c:v>Bern</c:v>
                </c:pt>
                <c:pt idx="173">
                  <c:v>Zürich</c:v>
                </c:pt>
                <c:pt idx="174">
                  <c:v>Esbjerg</c:v>
                </c:pt>
                <c:pt idx="175">
                  <c:v>Turku</c:v>
                </c:pt>
                <c:pt idx="176">
                  <c:v>Göteborg</c:v>
                </c:pt>
                <c:pt idx="177">
                  <c:v>Brussels</c:v>
                </c:pt>
                <c:pt idx="178">
                  <c:v>Aalborg</c:v>
                </c:pt>
                <c:pt idx="179">
                  <c:v>Copenhagen</c:v>
                </c:pt>
                <c:pt idx="180">
                  <c:v>Macao, China average</c:v>
                </c:pt>
                <c:pt idx="181">
                  <c:v>Charleroi</c:v>
                </c:pt>
                <c:pt idx="182">
                  <c:v>Brisbane</c:v>
                </c:pt>
                <c:pt idx="183">
                  <c:v>Aarhus</c:v>
                </c:pt>
                <c:pt idx="184">
                  <c:v>Odense</c:v>
                </c:pt>
                <c:pt idx="185">
                  <c:v>Liège</c:v>
                </c:pt>
                <c:pt idx="186">
                  <c:v>Saskatoon</c:v>
                </c:pt>
                <c:pt idx="187">
                  <c:v>Malta average</c:v>
                </c:pt>
              </c:strCache>
            </c:strRef>
          </c:cat>
          <c:val>
            <c:numRef>
              <c:f>'2017Total DW ch cities 200 m³'!$C$500:$C$687</c:f>
              <c:numCache>
                <c:formatCode>0.00</c:formatCode>
                <c:ptCount val="188"/>
                <c:pt idx="0">
                  <c:v>0.60023289036146021</c:v>
                </c:pt>
                <c:pt idx="1">
                  <c:v>52.78568919107235</c:v>
                </c:pt>
                <c:pt idx="2">
                  <c:v>27.510121600805885</c:v>
                </c:pt>
                <c:pt idx="3">
                  <c:v>91.359877940742194</c:v>
                </c:pt>
                <c:pt idx="4">
                  <c:v>14.442813840423089</c:v>
                </c:pt>
                <c:pt idx="5">
                  <c:v>0</c:v>
                </c:pt>
                <c:pt idx="6">
                  <c:v>0</c:v>
                </c:pt>
                <c:pt idx="7">
                  <c:v>101.51097548971356</c:v>
                </c:pt>
                <c:pt idx="8">
                  <c:v>0</c:v>
                </c:pt>
                <c:pt idx="9">
                  <c:v>0</c:v>
                </c:pt>
                <c:pt idx="10">
                  <c:v>0</c:v>
                </c:pt>
                <c:pt idx="11">
                  <c:v>114.8934439564015</c:v>
                </c:pt>
                <c:pt idx="12">
                  <c:v>0</c:v>
                </c:pt>
                <c:pt idx="13">
                  <c:v>122.01073694485115</c:v>
                </c:pt>
                <c:pt idx="14">
                  <c:v>123.35121567083374</c:v>
                </c:pt>
                <c:pt idx="15">
                  <c:v>125.19686977064671</c:v>
                </c:pt>
                <c:pt idx="16">
                  <c:v>0</c:v>
                </c:pt>
                <c:pt idx="17">
                  <c:v>0</c:v>
                </c:pt>
                <c:pt idx="18">
                  <c:v>0</c:v>
                </c:pt>
                <c:pt idx="19">
                  <c:v>120.69465306875378</c:v>
                </c:pt>
                <c:pt idx="20">
                  <c:v>38.4</c:v>
                </c:pt>
                <c:pt idx="21">
                  <c:v>141.32910362778591</c:v>
                </c:pt>
                <c:pt idx="22">
                  <c:v>0</c:v>
                </c:pt>
                <c:pt idx="23">
                  <c:v>0</c:v>
                </c:pt>
                <c:pt idx="24">
                  <c:v>0</c:v>
                </c:pt>
                <c:pt idx="25">
                  <c:v>0</c:v>
                </c:pt>
                <c:pt idx="26">
                  <c:v>120.27512550447879</c:v>
                </c:pt>
                <c:pt idx="27">
                  <c:v>22.028547076265593</c:v>
                </c:pt>
                <c:pt idx="28">
                  <c:v>143.36741582687893</c:v>
                </c:pt>
                <c:pt idx="29">
                  <c:v>0</c:v>
                </c:pt>
                <c:pt idx="30">
                  <c:v>0</c:v>
                </c:pt>
                <c:pt idx="31">
                  <c:v>6.5670679389832856</c:v>
                </c:pt>
                <c:pt idx="32">
                  <c:v>0</c:v>
                </c:pt>
                <c:pt idx="33">
                  <c:v>0</c:v>
                </c:pt>
                <c:pt idx="34">
                  <c:v>0</c:v>
                </c:pt>
                <c:pt idx="35">
                  <c:v>0</c:v>
                </c:pt>
                <c:pt idx="36">
                  <c:v>66.571407420741423</c:v>
                </c:pt>
                <c:pt idx="37">
                  <c:v>0</c:v>
                </c:pt>
                <c:pt idx="38">
                  <c:v>90.537114092208327</c:v>
                </c:pt>
                <c:pt idx="39">
                  <c:v>0</c:v>
                </c:pt>
                <c:pt idx="40">
                  <c:v>157.97419877499416</c:v>
                </c:pt>
                <c:pt idx="41">
                  <c:v>40.743808597735921</c:v>
                </c:pt>
                <c:pt idx="42">
                  <c:v>86.27654401728087</c:v>
                </c:pt>
                <c:pt idx="43">
                  <c:v>0</c:v>
                </c:pt>
                <c:pt idx="44">
                  <c:v>0</c:v>
                </c:pt>
                <c:pt idx="45">
                  <c:v>0</c:v>
                </c:pt>
                <c:pt idx="46">
                  <c:v>0</c:v>
                </c:pt>
                <c:pt idx="47">
                  <c:v>0</c:v>
                </c:pt>
                <c:pt idx="48">
                  <c:v>0</c:v>
                </c:pt>
                <c:pt idx="49">
                  <c:v>0</c:v>
                </c:pt>
                <c:pt idx="50">
                  <c:v>0</c:v>
                </c:pt>
                <c:pt idx="51">
                  <c:v>0</c:v>
                </c:pt>
                <c:pt idx="52">
                  <c:v>0</c:v>
                </c:pt>
                <c:pt idx="53">
                  <c:v>0</c:v>
                </c:pt>
                <c:pt idx="54">
                  <c:v>84.560809594122517</c:v>
                </c:pt>
                <c:pt idx="55">
                  <c:v>0</c:v>
                </c:pt>
                <c:pt idx="56">
                  <c:v>0</c:v>
                </c:pt>
                <c:pt idx="57">
                  <c:v>208.43500894745404</c:v>
                </c:pt>
                <c:pt idx="58">
                  <c:v>0</c:v>
                </c:pt>
                <c:pt idx="59">
                  <c:v>0</c:v>
                </c:pt>
                <c:pt idx="60">
                  <c:v>68.426549501206466</c:v>
                </c:pt>
                <c:pt idx="61">
                  <c:v>211.48527737107531</c:v>
                </c:pt>
                <c:pt idx="62">
                  <c:v>10.372024345446034</c:v>
                </c:pt>
                <c:pt idx="63">
                  <c:v>0</c:v>
                </c:pt>
                <c:pt idx="64">
                  <c:v>4.9608404483911857</c:v>
                </c:pt>
                <c:pt idx="65">
                  <c:v>4.9608404483911857</c:v>
                </c:pt>
                <c:pt idx="66">
                  <c:v>4.9608404483911857</c:v>
                </c:pt>
                <c:pt idx="67">
                  <c:v>4.9608404483911857</c:v>
                </c:pt>
                <c:pt idx="68">
                  <c:v>0</c:v>
                </c:pt>
                <c:pt idx="69">
                  <c:v>0</c:v>
                </c:pt>
                <c:pt idx="70">
                  <c:v>0</c:v>
                </c:pt>
                <c:pt idx="71">
                  <c:v>54.020960132531421</c:v>
                </c:pt>
                <c:pt idx="72">
                  <c:v>181.66419128748359</c:v>
                </c:pt>
                <c:pt idx="73">
                  <c:v>0</c:v>
                </c:pt>
                <c:pt idx="74">
                  <c:v>67.190069747061855</c:v>
                </c:pt>
                <c:pt idx="75">
                  <c:v>0</c:v>
                </c:pt>
                <c:pt idx="76">
                  <c:v>84.146258979817148</c:v>
                </c:pt>
                <c:pt idx="77">
                  <c:v>90.537114092208327</c:v>
                </c:pt>
                <c:pt idx="78">
                  <c:v>0</c:v>
                </c:pt>
                <c:pt idx="79">
                  <c:v>0</c:v>
                </c:pt>
                <c:pt idx="80">
                  <c:v>0</c:v>
                </c:pt>
                <c:pt idx="81">
                  <c:v>0</c:v>
                </c:pt>
                <c:pt idx="82">
                  <c:v>0</c:v>
                </c:pt>
                <c:pt idx="83">
                  <c:v>0</c:v>
                </c:pt>
                <c:pt idx="84">
                  <c:v>13.013049063036458</c:v>
                </c:pt>
                <c:pt idx="85">
                  <c:v>233.85391247763135</c:v>
                </c:pt>
                <c:pt idx="86">
                  <c:v>0</c:v>
                </c:pt>
                <c:pt idx="87">
                  <c:v>56.181798537832677</c:v>
                </c:pt>
                <c:pt idx="88">
                  <c:v>0</c:v>
                </c:pt>
                <c:pt idx="89">
                  <c:v>0</c:v>
                </c:pt>
                <c:pt idx="90">
                  <c:v>124.62167469162793</c:v>
                </c:pt>
                <c:pt idx="91">
                  <c:v>4.7553297840520141</c:v>
                </c:pt>
                <c:pt idx="92">
                  <c:v>232.95649194929769</c:v>
                </c:pt>
                <c:pt idx="93">
                  <c:v>49.963385793687948</c:v>
                </c:pt>
                <c:pt idx="94">
                  <c:v>58.630748730507442</c:v>
                </c:pt>
                <c:pt idx="95">
                  <c:v>0</c:v>
                </c:pt>
                <c:pt idx="96">
                  <c:v>0</c:v>
                </c:pt>
                <c:pt idx="97">
                  <c:v>222.17039610158466</c:v>
                </c:pt>
                <c:pt idx="98">
                  <c:v>0</c:v>
                </c:pt>
                <c:pt idx="99">
                  <c:v>0</c:v>
                </c:pt>
                <c:pt idx="100">
                  <c:v>45.749750903350495</c:v>
                </c:pt>
                <c:pt idx="101">
                  <c:v>0</c:v>
                </c:pt>
                <c:pt idx="102">
                  <c:v>48</c:v>
                </c:pt>
                <c:pt idx="103">
                  <c:v>184.68</c:v>
                </c:pt>
                <c:pt idx="104">
                  <c:v>257.76675790791586</c:v>
                </c:pt>
                <c:pt idx="105">
                  <c:v>140.59881247260589</c:v>
                </c:pt>
                <c:pt idx="106">
                  <c:v>70.827481062652311</c:v>
                </c:pt>
                <c:pt idx="107">
                  <c:v>57.622357474700181</c:v>
                </c:pt>
                <c:pt idx="108">
                  <c:v>30.419802883518805</c:v>
                </c:pt>
                <c:pt idx="109">
                  <c:v>38.609050458665287</c:v>
                </c:pt>
                <c:pt idx="110">
                  <c:v>50.419562790362662</c:v>
                </c:pt>
                <c:pt idx="111">
                  <c:v>0</c:v>
                </c:pt>
                <c:pt idx="112">
                  <c:v>167.65400488235434</c:v>
                </c:pt>
                <c:pt idx="113">
                  <c:v>37.536576834813467</c:v>
                </c:pt>
                <c:pt idx="114">
                  <c:v>0</c:v>
                </c:pt>
                <c:pt idx="115">
                  <c:v>0</c:v>
                </c:pt>
                <c:pt idx="116">
                  <c:v>50.599632657471098</c:v>
                </c:pt>
                <c:pt idx="117">
                  <c:v>79.230741527712752</c:v>
                </c:pt>
                <c:pt idx="118">
                  <c:v>73.444496464628273</c:v>
                </c:pt>
                <c:pt idx="119">
                  <c:v>13.145100298915978</c:v>
                </c:pt>
                <c:pt idx="120">
                  <c:v>114.94016953675008</c:v>
                </c:pt>
                <c:pt idx="121">
                  <c:v>206.24267029725661</c:v>
                </c:pt>
                <c:pt idx="122">
                  <c:v>79.230741527712752</c:v>
                </c:pt>
                <c:pt idx="123">
                  <c:v>341.52897462249979</c:v>
                </c:pt>
                <c:pt idx="124">
                  <c:v>299.6832546649556</c:v>
                </c:pt>
                <c:pt idx="125">
                  <c:v>32.040431687494745</c:v>
                </c:pt>
                <c:pt idx="126">
                  <c:v>0</c:v>
                </c:pt>
                <c:pt idx="127">
                  <c:v>133.14281484148285</c:v>
                </c:pt>
                <c:pt idx="128">
                  <c:v>0</c:v>
                </c:pt>
                <c:pt idx="129">
                  <c:v>70.200070200070201</c:v>
                </c:pt>
                <c:pt idx="130">
                  <c:v>87.214433957013028</c:v>
                </c:pt>
                <c:pt idx="131">
                  <c:v>42.301870472483515</c:v>
                </c:pt>
                <c:pt idx="132">
                  <c:v>46.559087468915564</c:v>
                </c:pt>
                <c:pt idx="133">
                  <c:v>47.44240765416982</c:v>
                </c:pt>
                <c:pt idx="134">
                  <c:v>47.44240765416982</c:v>
                </c:pt>
                <c:pt idx="135">
                  <c:v>47.44240765416982</c:v>
                </c:pt>
                <c:pt idx="136">
                  <c:v>32.530543842577572</c:v>
                </c:pt>
                <c:pt idx="137">
                  <c:v>71.837605960468792</c:v>
                </c:pt>
                <c:pt idx="138">
                  <c:v>202.56633036325914</c:v>
                </c:pt>
                <c:pt idx="139">
                  <c:v>49.447185507977089</c:v>
                </c:pt>
                <c:pt idx="140">
                  <c:v>24.741599740699389</c:v>
                </c:pt>
                <c:pt idx="141">
                  <c:v>0</c:v>
                </c:pt>
                <c:pt idx="142">
                  <c:v>142.60609578638508</c:v>
                </c:pt>
                <c:pt idx="143">
                  <c:v>148.76072487853753</c:v>
                </c:pt>
                <c:pt idx="144">
                  <c:v>121.92</c:v>
                </c:pt>
                <c:pt idx="145">
                  <c:v>50.347534843519284</c:v>
                </c:pt>
                <c:pt idx="146">
                  <c:v>0</c:v>
                </c:pt>
                <c:pt idx="147">
                  <c:v>0</c:v>
                </c:pt>
                <c:pt idx="148">
                  <c:v>0</c:v>
                </c:pt>
                <c:pt idx="149">
                  <c:v>0</c:v>
                </c:pt>
                <c:pt idx="150">
                  <c:v>44.009075521302258</c:v>
                </c:pt>
                <c:pt idx="151">
                  <c:v>66.409766989591958</c:v>
                </c:pt>
                <c:pt idx="152">
                  <c:v>35.247053735538977</c:v>
                </c:pt>
                <c:pt idx="153">
                  <c:v>184.32978432978433</c:v>
                </c:pt>
                <c:pt idx="154">
                  <c:v>44.801382936579394</c:v>
                </c:pt>
                <c:pt idx="155">
                  <c:v>27.178545275566918</c:v>
                </c:pt>
                <c:pt idx="156">
                  <c:v>96.817565215303546</c:v>
                </c:pt>
                <c:pt idx="157">
                  <c:v>26.290200597831955</c:v>
                </c:pt>
                <c:pt idx="158">
                  <c:v>129.72192972192974</c:v>
                </c:pt>
                <c:pt idx="159">
                  <c:v>0</c:v>
                </c:pt>
                <c:pt idx="160">
                  <c:v>0</c:v>
                </c:pt>
                <c:pt idx="161">
                  <c:v>22.712812571277656</c:v>
                </c:pt>
                <c:pt idx="162">
                  <c:v>28.735042384187519</c:v>
                </c:pt>
                <c:pt idx="163">
                  <c:v>79.154479154479162</c:v>
                </c:pt>
                <c:pt idx="164">
                  <c:v>0</c:v>
                </c:pt>
                <c:pt idx="165">
                  <c:v>489.8257778767325</c:v>
                </c:pt>
                <c:pt idx="166">
                  <c:v>49.147069062796362</c:v>
                </c:pt>
                <c:pt idx="167">
                  <c:v>43.031679100443291</c:v>
                </c:pt>
                <c:pt idx="168">
                  <c:v>14.837757049735297</c:v>
                </c:pt>
                <c:pt idx="169">
                  <c:v>0</c:v>
                </c:pt>
                <c:pt idx="170">
                  <c:v>285.5290682071348</c:v>
                </c:pt>
                <c:pt idx="171">
                  <c:v>36.458145760555098</c:v>
                </c:pt>
                <c:pt idx="172">
                  <c:v>55.417581740933073</c:v>
                </c:pt>
                <c:pt idx="173">
                  <c:v>139.57020586605367</c:v>
                </c:pt>
                <c:pt idx="174">
                  <c:v>106.77430066379313</c:v>
                </c:pt>
                <c:pt idx="175">
                  <c:v>129.72233226491878</c:v>
                </c:pt>
                <c:pt idx="176">
                  <c:v>299.37661529185851</c:v>
                </c:pt>
                <c:pt idx="177">
                  <c:v>28.81117873735009</c:v>
                </c:pt>
                <c:pt idx="178">
                  <c:v>161.19308675089545</c:v>
                </c:pt>
                <c:pt idx="179">
                  <c:v>61.898145312343843</c:v>
                </c:pt>
                <c:pt idx="180">
                  <c:v>0</c:v>
                </c:pt>
                <c:pt idx="181">
                  <c:v>62.904406909881033</c:v>
                </c:pt>
                <c:pt idx="182">
                  <c:v>149.97854997854998</c:v>
                </c:pt>
                <c:pt idx="183">
                  <c:v>88.720674947692842</c:v>
                </c:pt>
                <c:pt idx="184">
                  <c:v>77.372681640429803</c:v>
                </c:pt>
                <c:pt idx="185">
                  <c:v>67.430162903206437</c:v>
                </c:pt>
                <c:pt idx="186">
                  <c:v>190.84121215976592</c:v>
                </c:pt>
                <c:pt idx="187">
                  <c:v>70.827481062652311</c:v>
                </c:pt>
              </c:numCache>
            </c:numRef>
          </c:val>
          <c:extLst>
            <c:ext xmlns:c16="http://schemas.microsoft.com/office/drawing/2014/chart" uri="{C3380CC4-5D6E-409C-BE32-E72D297353CC}">
              <c16:uniqueId val="{00000000-B29D-4771-B0AF-CCEC93EB817E}"/>
            </c:ext>
          </c:extLst>
        </c:ser>
        <c:ser>
          <c:idx val="1"/>
          <c:order val="1"/>
          <c:tx>
            <c:strRef>
              <c:f>'2017Total DW ch cities 200 m³'!$D$499</c:f>
              <c:strCache>
                <c:ptCount val="1"/>
                <c:pt idx="0">
                  <c:v>variable charge drinking water</c:v>
                </c:pt>
              </c:strCache>
            </c:strRef>
          </c:tx>
          <c:spPr>
            <a:solidFill>
              <a:schemeClr val="accent2"/>
            </a:solidFill>
            <a:ln>
              <a:noFill/>
            </a:ln>
            <a:effectLst/>
          </c:spPr>
          <c:invertIfNegative val="0"/>
          <c:cat>
            <c:strRef>
              <c:f>'2017Total DW ch cities 200 m³'!$A$500:$A$687</c:f>
              <c:strCache>
                <c:ptCount val="188"/>
                <c:pt idx="0">
                  <c:v>Milan</c:v>
                </c:pt>
                <c:pt idx="1">
                  <c:v>Yerevan</c:v>
                </c:pt>
                <c:pt idx="2">
                  <c:v>Taipei</c:v>
                </c:pt>
                <c:pt idx="3">
                  <c:v>Guangzhou</c:v>
                </c:pt>
                <c:pt idx="4">
                  <c:v>Kaohsiung</c:v>
                </c:pt>
                <c:pt idx="5">
                  <c:v>Daejeon</c:v>
                </c:pt>
                <c:pt idx="6">
                  <c:v>Russia average</c:v>
                </c:pt>
                <c:pt idx="7">
                  <c:v>Shanghai</c:v>
                </c:pt>
                <c:pt idx="8">
                  <c:v>Moscow</c:v>
                </c:pt>
                <c:pt idx="9">
                  <c:v>Seoul</c:v>
                </c:pt>
                <c:pt idx="10">
                  <c:v>Hong Kong</c:v>
                </c:pt>
                <c:pt idx="11">
                  <c:v>Guadalajara</c:v>
                </c:pt>
                <c:pt idx="12">
                  <c:v>Gwangju</c:v>
                </c:pt>
                <c:pt idx="13">
                  <c:v>Monterrey</c:v>
                </c:pt>
                <c:pt idx="14">
                  <c:v>Shenzhen</c:v>
                </c:pt>
                <c:pt idx="15">
                  <c:v>Beijing</c:v>
                </c:pt>
                <c:pt idx="16">
                  <c:v>Incheon</c:v>
                </c:pt>
                <c:pt idx="17">
                  <c:v>Gyeounggi</c:v>
                </c:pt>
                <c:pt idx="18">
                  <c:v>Daegu</c:v>
                </c:pt>
                <c:pt idx="19">
                  <c:v>Izmir</c:v>
                </c:pt>
                <c:pt idx="20">
                  <c:v>Miami</c:v>
                </c:pt>
                <c:pt idx="21">
                  <c:v>San Luis Potosi</c:v>
                </c:pt>
                <c:pt idx="22">
                  <c:v>Busan</c:v>
                </c:pt>
                <c:pt idx="23">
                  <c:v>Cluj Napoca</c:v>
                </c:pt>
                <c:pt idx="24">
                  <c:v>Timisoara</c:v>
                </c:pt>
                <c:pt idx="25">
                  <c:v>Ulsan</c:v>
                </c:pt>
                <c:pt idx="26">
                  <c:v>Tianjin</c:v>
                </c:pt>
                <c:pt idx="27">
                  <c:v>Rome</c:v>
                </c:pt>
                <c:pt idx="28">
                  <c:v>Sofia</c:v>
                </c:pt>
                <c:pt idx="29">
                  <c:v>Sibiu</c:v>
                </c:pt>
                <c:pt idx="30">
                  <c:v>Turda</c:v>
                </c:pt>
                <c:pt idx="31">
                  <c:v>Budapest</c:v>
                </c:pt>
                <c:pt idx="32">
                  <c:v>Medias</c:v>
                </c:pt>
                <c:pt idx="33">
                  <c:v>Oradea</c:v>
                </c:pt>
                <c:pt idx="34">
                  <c:v>Arad</c:v>
                </c:pt>
                <c:pt idx="35">
                  <c:v>Alexandria</c:v>
                </c:pt>
                <c:pt idx="36">
                  <c:v>Nagoya</c:v>
                </c:pt>
                <c:pt idx="37">
                  <c:v>Tarnow</c:v>
                </c:pt>
                <c:pt idx="38">
                  <c:v>Osaka</c:v>
                </c:pt>
                <c:pt idx="39">
                  <c:v>Bucharest</c:v>
                </c:pt>
                <c:pt idx="40">
                  <c:v>Burgas</c:v>
                </c:pt>
                <c:pt idx="41">
                  <c:v>Faro</c:v>
                </c:pt>
                <c:pt idx="42">
                  <c:v>Hiroshima</c:v>
                </c:pt>
                <c:pt idx="43">
                  <c:v>Satu Mare</c:v>
                </c:pt>
                <c:pt idx="44">
                  <c:v>Bacau</c:v>
                </c:pt>
                <c:pt idx="45">
                  <c:v>Baia Mare</c:v>
                </c:pt>
                <c:pt idx="46">
                  <c:v>Targu-Mures</c:v>
                </c:pt>
                <c:pt idx="47">
                  <c:v>Botosani</c:v>
                </c:pt>
                <c:pt idx="48">
                  <c:v>Piatra Neamt</c:v>
                </c:pt>
                <c:pt idx="49">
                  <c:v>Craiova</c:v>
                </c:pt>
                <c:pt idx="50">
                  <c:v>Bilbao</c:v>
                </c:pt>
                <c:pt idx="51">
                  <c:v>Chicago</c:v>
                </c:pt>
                <c:pt idx="52">
                  <c:v>Pitesti</c:v>
                </c:pt>
                <c:pt idx="53">
                  <c:v>Voluntari</c:v>
                </c:pt>
                <c:pt idx="54">
                  <c:v>Eindhoven</c:v>
                </c:pt>
                <c:pt idx="55">
                  <c:v>Radom</c:v>
                </c:pt>
                <c:pt idx="56">
                  <c:v>Bistrita</c:v>
                </c:pt>
                <c:pt idx="57">
                  <c:v>Puebla</c:v>
                </c:pt>
                <c:pt idx="58">
                  <c:v>Brasov</c:v>
                </c:pt>
                <c:pt idx="59">
                  <c:v>Bialystok</c:v>
                </c:pt>
                <c:pt idx="60">
                  <c:v>Lisbon</c:v>
                </c:pt>
                <c:pt idx="61">
                  <c:v>Mexico City</c:v>
                </c:pt>
                <c:pt idx="62">
                  <c:v>Turin</c:v>
                </c:pt>
                <c:pt idx="63">
                  <c:v>Sevilla</c:v>
                </c:pt>
                <c:pt idx="64">
                  <c:v>Kampala</c:v>
                </c:pt>
                <c:pt idx="65">
                  <c:v>Jinja</c:v>
                </c:pt>
                <c:pt idx="66">
                  <c:v>Entebbe</c:v>
                </c:pt>
                <c:pt idx="67">
                  <c:v>Mbarara</c:v>
                </c:pt>
                <c:pt idx="68">
                  <c:v>Targoviste</c:v>
                </c:pt>
                <c:pt idx="69">
                  <c:v>Kaposvár</c:v>
                </c:pt>
                <c:pt idx="70">
                  <c:v>Drobeta Turnu-Severin</c:v>
                </c:pt>
                <c:pt idx="71">
                  <c:v>Utrecht</c:v>
                </c:pt>
                <c:pt idx="72">
                  <c:v>Pleven</c:v>
                </c:pt>
                <c:pt idx="73">
                  <c:v>Ramnicu Valcea</c:v>
                </c:pt>
                <c:pt idx="74">
                  <c:v>Braga</c:v>
                </c:pt>
                <c:pt idx="75">
                  <c:v>Madrid</c:v>
                </c:pt>
                <c:pt idx="76">
                  <c:v>Yokohama</c:v>
                </c:pt>
                <c:pt idx="77">
                  <c:v>Fukuoka</c:v>
                </c:pt>
                <c:pt idx="78">
                  <c:v>Braila</c:v>
                </c:pt>
                <c:pt idx="79">
                  <c:v>Galati</c:v>
                </c:pt>
                <c:pt idx="80">
                  <c:v>Vaslui</c:v>
                </c:pt>
                <c:pt idx="81">
                  <c:v>Constanta</c:v>
                </c:pt>
                <c:pt idx="82">
                  <c:v>Suceava</c:v>
                </c:pt>
                <c:pt idx="83">
                  <c:v>Prahova</c:v>
                </c:pt>
                <c:pt idx="84">
                  <c:v>Naples</c:v>
                </c:pt>
                <c:pt idx="85">
                  <c:v>León, Guanajuato</c:v>
                </c:pt>
                <c:pt idx="86">
                  <c:v>Petrosani</c:v>
                </c:pt>
                <c:pt idx="87">
                  <c:v>Coimbra</c:v>
                </c:pt>
                <c:pt idx="88">
                  <c:v>Valencia</c:v>
                </c:pt>
                <c:pt idx="89">
                  <c:v>Miskolc</c:v>
                </c:pt>
                <c:pt idx="90">
                  <c:v>Tokyo</c:v>
                </c:pt>
                <c:pt idx="91">
                  <c:v>Debrecen</c:v>
                </c:pt>
                <c:pt idx="92">
                  <c:v>Ankara</c:v>
                </c:pt>
                <c:pt idx="93">
                  <c:v>Porto</c:v>
                </c:pt>
                <c:pt idx="94">
                  <c:v>Sintra</c:v>
                </c:pt>
                <c:pt idx="95">
                  <c:v>Buzau</c:v>
                </c:pt>
                <c:pt idx="96">
                  <c:v>Warsaw</c:v>
                </c:pt>
                <c:pt idx="97">
                  <c:v>Stara Zagora</c:v>
                </c:pt>
                <c:pt idx="98">
                  <c:v>New York</c:v>
                </c:pt>
                <c:pt idx="99">
                  <c:v>Wroclaw</c:v>
                </c:pt>
                <c:pt idx="100">
                  <c:v>Loures</c:v>
                </c:pt>
                <c:pt idx="101">
                  <c:v>Bydgoszcz</c:v>
                </c:pt>
                <c:pt idx="102">
                  <c:v>Minneapolis</c:v>
                </c:pt>
                <c:pt idx="103">
                  <c:v>Denver</c:v>
                </c:pt>
                <c:pt idx="104">
                  <c:v>Razgrad</c:v>
                </c:pt>
                <c:pt idx="105">
                  <c:v>Sapporo</c:v>
                </c:pt>
                <c:pt idx="106">
                  <c:v>Rotterdam</c:v>
                </c:pt>
                <c:pt idx="107">
                  <c:v>Paphos</c:v>
                </c:pt>
                <c:pt idx="108">
                  <c:v>Bologna</c:v>
                </c:pt>
                <c:pt idx="109">
                  <c:v>Trondheim</c:v>
                </c:pt>
                <c:pt idx="110">
                  <c:v>Nicosia</c:v>
                </c:pt>
                <c:pt idx="111">
                  <c:v>Pécs</c:v>
                </c:pt>
                <c:pt idx="112">
                  <c:v>Durham</c:v>
                </c:pt>
                <c:pt idx="113">
                  <c:v>Oslo</c:v>
                </c:pt>
                <c:pt idx="114">
                  <c:v>Brno</c:v>
                </c:pt>
                <c:pt idx="115">
                  <c:v>Ostrava</c:v>
                </c:pt>
                <c:pt idx="116">
                  <c:v>Amsterdam</c:v>
                </c:pt>
                <c:pt idx="117">
                  <c:v>Limassol</c:v>
                </c:pt>
                <c:pt idx="118">
                  <c:v>Den Haag</c:v>
                </c:pt>
                <c:pt idx="119">
                  <c:v>Reims</c:v>
                </c:pt>
                <c:pt idx="120">
                  <c:v>Geneva</c:v>
                </c:pt>
                <c:pt idx="121">
                  <c:v>Stockholm</c:v>
                </c:pt>
                <c:pt idx="122">
                  <c:v>Larnaca</c:v>
                </c:pt>
                <c:pt idx="123">
                  <c:v>Istanbul</c:v>
                </c:pt>
                <c:pt idx="124">
                  <c:v>Bergen</c:v>
                </c:pt>
                <c:pt idx="125">
                  <c:v>Strassbourg</c:v>
                </c:pt>
                <c:pt idx="126">
                  <c:v>Antwerp</c:v>
                </c:pt>
                <c:pt idx="127">
                  <c:v>Sendai</c:v>
                </c:pt>
                <c:pt idx="128">
                  <c:v>Uppsala</c:v>
                </c:pt>
                <c:pt idx="129">
                  <c:v>Sydney</c:v>
                </c:pt>
                <c:pt idx="130">
                  <c:v>Ottawa</c:v>
                </c:pt>
                <c:pt idx="131">
                  <c:v>London</c:v>
                </c:pt>
                <c:pt idx="132">
                  <c:v>Cardiff</c:v>
                </c:pt>
                <c:pt idx="133">
                  <c:v>Espoo</c:v>
                </c:pt>
                <c:pt idx="134">
                  <c:v>Helsinki</c:v>
                </c:pt>
                <c:pt idx="135">
                  <c:v>Vantaa</c:v>
                </c:pt>
                <c:pt idx="136">
                  <c:v>Leeds</c:v>
                </c:pt>
                <c:pt idx="137">
                  <c:v>Lausanne</c:v>
                </c:pt>
                <c:pt idx="138">
                  <c:v>Malmö</c:v>
                </c:pt>
                <c:pt idx="139">
                  <c:v>Lyon</c:v>
                </c:pt>
                <c:pt idx="140">
                  <c:v>Paris</c:v>
                </c:pt>
                <c:pt idx="141">
                  <c:v>Los Angeles</c:v>
                </c:pt>
                <c:pt idx="142">
                  <c:v>Winnipeg</c:v>
                </c:pt>
                <c:pt idx="143">
                  <c:v>Calgary</c:v>
                </c:pt>
                <c:pt idx="144">
                  <c:v>Washington D.C.</c:v>
                </c:pt>
                <c:pt idx="145">
                  <c:v>Oulu</c:v>
                </c:pt>
                <c:pt idx="146">
                  <c:v>Prague</c:v>
                </c:pt>
                <c:pt idx="147">
                  <c:v>Louvain</c:v>
                </c:pt>
                <c:pt idx="148">
                  <c:v>Kortrijk</c:v>
                </c:pt>
                <c:pt idx="149">
                  <c:v>Genk</c:v>
                </c:pt>
                <c:pt idx="150">
                  <c:v>Austria average</c:v>
                </c:pt>
                <c:pt idx="151">
                  <c:v>Bordeaux</c:v>
                </c:pt>
                <c:pt idx="152">
                  <c:v>Birmingham</c:v>
                </c:pt>
                <c:pt idx="153">
                  <c:v>Perth</c:v>
                </c:pt>
                <c:pt idx="154">
                  <c:v>Lille</c:v>
                </c:pt>
                <c:pt idx="155">
                  <c:v>SEDIF</c:v>
                </c:pt>
                <c:pt idx="156">
                  <c:v>Tampere</c:v>
                </c:pt>
                <c:pt idx="157">
                  <c:v>Berlin</c:v>
                </c:pt>
                <c:pt idx="158">
                  <c:v>Melbourne</c:v>
                </c:pt>
                <c:pt idx="159">
                  <c:v>Barcelona</c:v>
                </c:pt>
                <c:pt idx="160">
                  <c:v>Usti nad Labem</c:v>
                </c:pt>
                <c:pt idx="161">
                  <c:v>Marseille</c:v>
                </c:pt>
                <c:pt idx="162">
                  <c:v>Basel</c:v>
                </c:pt>
                <c:pt idx="163">
                  <c:v>Canberra</c:v>
                </c:pt>
                <c:pt idx="164">
                  <c:v>Plzeñ</c:v>
                </c:pt>
                <c:pt idx="165">
                  <c:v>Vancouver</c:v>
                </c:pt>
                <c:pt idx="166">
                  <c:v>Nancy</c:v>
                </c:pt>
                <c:pt idx="167">
                  <c:v>Manchester</c:v>
                </c:pt>
                <c:pt idx="168">
                  <c:v>Brest</c:v>
                </c:pt>
                <c:pt idx="169">
                  <c:v>Ghent</c:v>
                </c:pt>
                <c:pt idx="170">
                  <c:v>Linköping</c:v>
                </c:pt>
                <c:pt idx="171">
                  <c:v>Le Havre</c:v>
                </c:pt>
                <c:pt idx="172">
                  <c:v>Bern</c:v>
                </c:pt>
                <c:pt idx="173">
                  <c:v>Zürich</c:v>
                </c:pt>
                <c:pt idx="174">
                  <c:v>Esbjerg</c:v>
                </c:pt>
                <c:pt idx="175">
                  <c:v>Turku</c:v>
                </c:pt>
                <c:pt idx="176">
                  <c:v>Göteborg</c:v>
                </c:pt>
                <c:pt idx="177">
                  <c:v>Brussels</c:v>
                </c:pt>
                <c:pt idx="178">
                  <c:v>Aalborg</c:v>
                </c:pt>
                <c:pt idx="179">
                  <c:v>Copenhagen</c:v>
                </c:pt>
                <c:pt idx="180">
                  <c:v>Macao, China average</c:v>
                </c:pt>
                <c:pt idx="181">
                  <c:v>Charleroi</c:v>
                </c:pt>
                <c:pt idx="182">
                  <c:v>Brisbane</c:v>
                </c:pt>
                <c:pt idx="183">
                  <c:v>Aarhus</c:v>
                </c:pt>
                <c:pt idx="184">
                  <c:v>Odense</c:v>
                </c:pt>
                <c:pt idx="185">
                  <c:v>Liège</c:v>
                </c:pt>
                <c:pt idx="186">
                  <c:v>Saskatoon</c:v>
                </c:pt>
                <c:pt idx="187">
                  <c:v>Malta average</c:v>
                </c:pt>
              </c:strCache>
            </c:strRef>
          </c:cat>
          <c:val>
            <c:numRef>
              <c:f>'2017Total DW ch cities 200 m³'!$D$500:$D$687</c:f>
              <c:numCache>
                <c:formatCode>0.00</c:formatCode>
                <c:ptCount val="188"/>
                <c:pt idx="0">
                  <c:v>47.022244630916795</c:v>
                </c:pt>
                <c:pt idx="1">
                  <c:v>0</c:v>
                </c:pt>
                <c:pt idx="2">
                  <c:v>52.525452762322999</c:v>
                </c:pt>
                <c:pt idx="3">
                  <c:v>0</c:v>
                </c:pt>
                <c:pt idx="4">
                  <c:v>77.675637461098972</c:v>
                </c:pt>
                <c:pt idx="5">
                  <c:v>99.327600505627913</c:v>
                </c:pt>
                <c:pt idx="6">
                  <c:v>96.577386970696821</c:v>
                </c:pt>
                <c:pt idx="7">
                  <c:v>0</c:v>
                </c:pt>
                <c:pt idx="8">
                  <c:v>106.71419394245939</c:v>
                </c:pt>
                <c:pt idx="9">
                  <c:v>107.2378189267215</c:v>
                </c:pt>
                <c:pt idx="10">
                  <c:v>113.95744452081885</c:v>
                </c:pt>
                <c:pt idx="11">
                  <c:v>0</c:v>
                </c:pt>
                <c:pt idx="12">
                  <c:v>116.66634941442312</c:v>
                </c:pt>
                <c:pt idx="13">
                  <c:v>0</c:v>
                </c:pt>
                <c:pt idx="14">
                  <c:v>0</c:v>
                </c:pt>
                <c:pt idx="15">
                  <c:v>0</c:v>
                </c:pt>
                <c:pt idx="16">
                  <c:v>125.86994478114576</c:v>
                </c:pt>
                <c:pt idx="17">
                  <c:v>128.92531350777671</c:v>
                </c:pt>
                <c:pt idx="18">
                  <c:v>129.20648240900042</c:v>
                </c:pt>
                <c:pt idx="19">
                  <c:v>0</c:v>
                </c:pt>
                <c:pt idx="20">
                  <c:v>93.57</c:v>
                </c:pt>
                <c:pt idx="21">
                  <c:v>0</c:v>
                </c:pt>
                <c:pt idx="22">
                  <c:v>144.38960307508054</c:v>
                </c:pt>
                <c:pt idx="23">
                  <c:v>135.32844161323851</c:v>
                </c:pt>
                <c:pt idx="24">
                  <c:v>146.64869148202655</c:v>
                </c:pt>
                <c:pt idx="25">
                  <c:v>162.2157114126635</c:v>
                </c:pt>
                <c:pt idx="26">
                  <c:v>0</c:v>
                </c:pt>
                <c:pt idx="27">
                  <c:v>126.15694889617171</c:v>
                </c:pt>
                <c:pt idx="28">
                  <c:v>0</c:v>
                </c:pt>
                <c:pt idx="29">
                  <c:v>158.48349816303218</c:v>
                </c:pt>
                <c:pt idx="30">
                  <c:v>162.59995266077328</c:v>
                </c:pt>
                <c:pt idx="31">
                  <c:v>133.19558972714333</c:v>
                </c:pt>
                <c:pt idx="32">
                  <c:v>164.1436230974262</c:v>
                </c:pt>
                <c:pt idx="33">
                  <c:v>164.65817990964382</c:v>
                </c:pt>
                <c:pt idx="34">
                  <c:v>164.65817990964382</c:v>
                </c:pt>
                <c:pt idx="35">
                  <c:v>165.17273672186147</c:v>
                </c:pt>
                <c:pt idx="36">
                  <c:v>102.67973880575155</c:v>
                </c:pt>
                <c:pt idx="37">
                  <c:v>169.61333908293804</c:v>
                </c:pt>
                <c:pt idx="38">
                  <c:v>79.530641398645741</c:v>
                </c:pt>
                <c:pt idx="39">
                  <c:v>170.31830484403784</c:v>
                </c:pt>
                <c:pt idx="40">
                  <c:v>0</c:v>
                </c:pt>
                <c:pt idx="41">
                  <c:v>133.46778550077431</c:v>
                </c:pt>
                <c:pt idx="42">
                  <c:v>91.602256610940188</c:v>
                </c:pt>
                <c:pt idx="43">
                  <c:v>177.00754340286713</c:v>
                </c:pt>
                <c:pt idx="44">
                  <c:v>178.55121383952002</c:v>
                </c:pt>
                <c:pt idx="45">
                  <c:v>179.06577065173767</c:v>
                </c:pt>
                <c:pt idx="46">
                  <c:v>180.09488427617293</c:v>
                </c:pt>
                <c:pt idx="47">
                  <c:v>183.18222514947877</c:v>
                </c:pt>
                <c:pt idx="48">
                  <c:v>183.18222514947877</c:v>
                </c:pt>
                <c:pt idx="49">
                  <c:v>183.69678196169639</c:v>
                </c:pt>
                <c:pt idx="50">
                  <c:v>184.43956255026947</c:v>
                </c:pt>
                <c:pt idx="51">
                  <c:v>205.11</c:v>
                </c:pt>
                <c:pt idx="52">
                  <c:v>188.84235008387276</c:v>
                </c:pt>
                <c:pt idx="53">
                  <c:v>189.87146370830803</c:v>
                </c:pt>
                <c:pt idx="54">
                  <c:v>110.80299156072556</c:v>
                </c:pt>
                <c:pt idx="55">
                  <c:v>192.03679747017392</c:v>
                </c:pt>
                <c:pt idx="56">
                  <c:v>190.90057733274332</c:v>
                </c:pt>
                <c:pt idx="57">
                  <c:v>0</c:v>
                </c:pt>
                <c:pt idx="58">
                  <c:v>191.41513414496094</c:v>
                </c:pt>
                <c:pt idx="59">
                  <c:v>194.33663935604429</c:v>
                </c:pt>
                <c:pt idx="60">
                  <c:v>124.47629680315961</c:v>
                </c:pt>
                <c:pt idx="61">
                  <c:v>0</c:v>
                </c:pt>
                <c:pt idx="62">
                  <c:v>180.92219781275136</c:v>
                </c:pt>
                <c:pt idx="63">
                  <c:v>192.36263670304078</c:v>
                </c:pt>
                <c:pt idx="64">
                  <c:v>176.33031771559337</c:v>
                </c:pt>
                <c:pt idx="65">
                  <c:v>176.33031771559337</c:v>
                </c:pt>
                <c:pt idx="66">
                  <c:v>176.33031771559337</c:v>
                </c:pt>
                <c:pt idx="67">
                  <c:v>176.33031771559337</c:v>
                </c:pt>
                <c:pt idx="68">
                  <c:v>196.0461454549197</c:v>
                </c:pt>
                <c:pt idx="69">
                  <c:v>168.27145848359524</c:v>
                </c:pt>
                <c:pt idx="70">
                  <c:v>196.56070226713732</c:v>
                </c:pt>
                <c:pt idx="71">
                  <c:v>151.25868837108797</c:v>
                </c:pt>
                <c:pt idx="72">
                  <c:v>0</c:v>
                </c:pt>
                <c:pt idx="73">
                  <c:v>200.16259995266077</c:v>
                </c:pt>
                <c:pt idx="74">
                  <c:v>134.9083444376418</c:v>
                </c:pt>
                <c:pt idx="75">
                  <c:v>199.20529165316142</c:v>
                </c:pt>
                <c:pt idx="76">
                  <c:v>121.35523763418355</c:v>
                </c:pt>
                <c:pt idx="77">
                  <c:v>117.16567706050489</c:v>
                </c:pt>
                <c:pt idx="78">
                  <c:v>206.85183851149006</c:v>
                </c:pt>
                <c:pt idx="79">
                  <c:v>207.36639532370771</c:v>
                </c:pt>
                <c:pt idx="80">
                  <c:v>209.42462257257824</c:v>
                </c:pt>
                <c:pt idx="81">
                  <c:v>210.45373619701351</c:v>
                </c:pt>
                <c:pt idx="82">
                  <c:v>210.96829300923116</c:v>
                </c:pt>
                <c:pt idx="83">
                  <c:v>212.51196344588408</c:v>
                </c:pt>
                <c:pt idx="84">
                  <c:v>197.45261161330595</c:v>
                </c:pt>
                <c:pt idx="85">
                  <c:v>0</c:v>
                </c:pt>
                <c:pt idx="86">
                  <c:v>217.1429747558428</c:v>
                </c:pt>
                <c:pt idx="87">
                  <c:v>163.26334617831719</c:v>
                </c:pt>
                <c:pt idx="88">
                  <c:v>219.25307019123417</c:v>
                </c:pt>
                <c:pt idx="89">
                  <c:v>192.46917234817835</c:v>
                </c:pt>
                <c:pt idx="90">
                  <c:v>102.60872930450277</c:v>
                </c:pt>
                <c:pt idx="91">
                  <c:v>189.2088162655302</c:v>
                </c:pt>
                <c:pt idx="92">
                  <c:v>0</c:v>
                </c:pt>
                <c:pt idx="93">
                  <c:v>189.39748622465518</c:v>
                </c:pt>
                <c:pt idx="94">
                  <c:v>180.8621745237152</c:v>
                </c:pt>
                <c:pt idx="95">
                  <c:v>238.75436086898355</c:v>
                </c:pt>
                <c:pt idx="96">
                  <c:v>241.48339801638639</c:v>
                </c:pt>
                <c:pt idx="97">
                  <c:v>0</c:v>
                </c:pt>
                <c:pt idx="98">
                  <c:v>269.10000000000002</c:v>
                </c:pt>
                <c:pt idx="99">
                  <c:v>257.58229121747883</c:v>
                </c:pt>
                <c:pt idx="100">
                  <c:v>210.83780506836652</c:v>
                </c:pt>
                <c:pt idx="101">
                  <c:v>274.2561448900388</c:v>
                </c:pt>
                <c:pt idx="102">
                  <c:v>249.32</c:v>
                </c:pt>
                <c:pt idx="103">
                  <c:v>120.99</c:v>
                </c:pt>
                <c:pt idx="104">
                  <c:v>0</c:v>
                </c:pt>
                <c:pt idx="105">
                  <c:v>149.11995262246077</c:v>
                </c:pt>
                <c:pt idx="106">
                  <c:v>216.08384053012568</c:v>
                </c:pt>
                <c:pt idx="107">
                  <c:v>250.41716185880119</c:v>
                </c:pt>
                <c:pt idx="108">
                  <c:v>265.27892822415095</c:v>
                </c:pt>
                <c:pt idx="109">
                  <c:v>213.03226073783748</c:v>
                </c:pt>
                <c:pt idx="110">
                  <c:v>264.10247175904249</c:v>
                </c:pt>
                <c:pt idx="111">
                  <c:v>262.68271755933142</c:v>
                </c:pt>
                <c:pt idx="112">
                  <c:v>166.31811639723597</c:v>
                </c:pt>
                <c:pt idx="113">
                  <c:v>238.13789329618675</c:v>
                </c:pt>
                <c:pt idx="114">
                  <c:v>303.07189309007362</c:v>
                </c:pt>
                <c:pt idx="115">
                  <c:v>305.04599661206231</c:v>
                </c:pt>
                <c:pt idx="116">
                  <c:v>283.30992425060924</c:v>
                </c:pt>
                <c:pt idx="117">
                  <c:v>264.10247175904249</c:v>
                </c:pt>
                <c:pt idx="118">
                  <c:v>244.89501926747576</c:v>
                </c:pt>
                <c:pt idx="119">
                  <c:v>223.28663521446322</c:v>
                </c:pt>
                <c:pt idx="120">
                  <c:v>221.67032696373229</c:v>
                </c:pt>
                <c:pt idx="121">
                  <c:v>89.457605060604465</c:v>
                </c:pt>
                <c:pt idx="122">
                  <c:v>273.70619800482586</c:v>
                </c:pt>
                <c:pt idx="123">
                  <c:v>0</c:v>
                </c:pt>
                <c:pt idx="124">
                  <c:v>0</c:v>
                </c:pt>
                <c:pt idx="125">
                  <c:v>240.0931561445841</c:v>
                </c:pt>
                <c:pt idx="126">
                  <c:v>354.86968943950251</c:v>
                </c:pt>
                <c:pt idx="127">
                  <c:v>215.26530303570945</c:v>
                </c:pt>
                <c:pt idx="128">
                  <c:v>302.6853212324562</c:v>
                </c:pt>
                <c:pt idx="129">
                  <c:v>312.00031200031202</c:v>
                </c:pt>
                <c:pt idx="130">
                  <c:v>301.62453581851003</c:v>
                </c:pt>
                <c:pt idx="131">
                  <c:v>346.98345767109959</c:v>
                </c:pt>
                <c:pt idx="132">
                  <c:v>346.22661909395612</c:v>
                </c:pt>
                <c:pt idx="133">
                  <c:v>271.30526644338005</c:v>
                </c:pt>
                <c:pt idx="134">
                  <c:v>271.30526644338005</c:v>
                </c:pt>
                <c:pt idx="135">
                  <c:v>271.30526644338005</c:v>
                </c:pt>
                <c:pt idx="136">
                  <c:v>364.36371499621583</c:v>
                </c:pt>
                <c:pt idx="137">
                  <c:v>299.66544200652697</c:v>
                </c:pt>
                <c:pt idx="138">
                  <c:v>118.62323520365085</c:v>
                </c:pt>
                <c:pt idx="139">
                  <c:v>247.2959508289216</c:v>
                </c:pt>
                <c:pt idx="140">
                  <c:v>244.89501926747576</c:v>
                </c:pt>
                <c:pt idx="141">
                  <c:v>408.34</c:v>
                </c:pt>
                <c:pt idx="142">
                  <c:v>283.60594470375878</c:v>
                </c:pt>
                <c:pt idx="143">
                  <c:v>278.24648732893871</c:v>
                </c:pt>
                <c:pt idx="144">
                  <c:v>259.12</c:v>
                </c:pt>
                <c:pt idx="145">
                  <c:v>295.31458205783844</c:v>
                </c:pt>
                <c:pt idx="146">
                  <c:v>379.49790086992158</c:v>
                </c:pt>
                <c:pt idx="147">
                  <c:v>414.25673161186535</c:v>
                </c:pt>
                <c:pt idx="148">
                  <c:v>414.25673161186535</c:v>
                </c:pt>
                <c:pt idx="149">
                  <c:v>414.25673161186535</c:v>
                </c:pt>
                <c:pt idx="150">
                  <c:v>356.77843003085195</c:v>
                </c:pt>
                <c:pt idx="151">
                  <c:v>259.3006086361508</c:v>
                </c:pt>
                <c:pt idx="152">
                  <c:v>410.66601794788625</c:v>
                </c:pt>
                <c:pt idx="153">
                  <c:v>267.22826722826727</c:v>
                </c:pt>
                <c:pt idx="154">
                  <c:v>273.70619800482581</c:v>
                </c:pt>
                <c:pt idx="155">
                  <c:v>283.30992425060924</c:v>
                </c:pt>
                <c:pt idx="156">
                  <c:v>276.10712956627168</c:v>
                </c:pt>
                <c:pt idx="157">
                  <c:v>406.71780650892543</c:v>
                </c:pt>
                <c:pt idx="158">
                  <c:v>336.16473616473621</c:v>
                </c:pt>
                <c:pt idx="159">
                  <c:v>424.43668143239574</c:v>
                </c:pt>
                <c:pt idx="160">
                  <c:v>408.54542412204091</c:v>
                </c:pt>
                <c:pt idx="161">
                  <c:v>338.53135016386358</c:v>
                </c:pt>
                <c:pt idx="162">
                  <c:v>420.76312062560294</c:v>
                </c:pt>
                <c:pt idx="163">
                  <c:v>407.1604071604072</c:v>
                </c:pt>
                <c:pt idx="164">
                  <c:v>423.58621286100242</c:v>
                </c:pt>
                <c:pt idx="165">
                  <c:v>0</c:v>
                </c:pt>
                <c:pt idx="166">
                  <c:v>343.33321328675527</c:v>
                </c:pt>
                <c:pt idx="167">
                  <c:v>476.26770461671526</c:v>
                </c:pt>
                <c:pt idx="168">
                  <c:v>388.95091295422623</c:v>
                </c:pt>
                <c:pt idx="169">
                  <c:v>518.03699835536179</c:v>
                </c:pt>
                <c:pt idx="170">
                  <c:v>155.63172387255847</c:v>
                </c:pt>
                <c:pt idx="171">
                  <c:v>362.54066577832197</c:v>
                </c:pt>
                <c:pt idx="172">
                  <c:v>476.18070236653602</c:v>
                </c:pt>
                <c:pt idx="173">
                  <c:v>394.08058126885737</c:v>
                </c:pt>
                <c:pt idx="174">
                  <c:v>156.48624861776929</c:v>
                </c:pt>
                <c:pt idx="175">
                  <c:v>338.84347126685151</c:v>
                </c:pt>
                <c:pt idx="176">
                  <c:v>176.21922750294414</c:v>
                </c:pt>
                <c:pt idx="177">
                  <c:v>548.51682452791681</c:v>
                </c:pt>
                <c:pt idx="178">
                  <c:v>164.48142572061369</c:v>
                </c:pt>
                <c:pt idx="179">
                  <c:v>268.67663699639252</c:v>
                </c:pt>
                <c:pt idx="180">
                  <c:v>680.71517096752939</c:v>
                </c:pt>
                <c:pt idx="181">
                  <c:v>581.86576391639949</c:v>
                </c:pt>
                <c:pt idx="182">
                  <c:v>548.74614874614872</c:v>
                </c:pt>
                <c:pt idx="183">
                  <c:v>273.06108895601687</c:v>
                </c:pt>
                <c:pt idx="184">
                  <c:v>306.3313420614017</c:v>
                </c:pt>
                <c:pt idx="185">
                  <c:v>623.75001500582232</c:v>
                </c:pt>
                <c:pt idx="186">
                  <c:v>573.31880819663002</c:v>
                </c:pt>
                <c:pt idx="187">
                  <c:v>789.11417630040455</c:v>
                </c:pt>
              </c:numCache>
            </c:numRef>
          </c:val>
          <c:extLst>
            <c:ext xmlns:c16="http://schemas.microsoft.com/office/drawing/2014/chart" uri="{C3380CC4-5D6E-409C-BE32-E72D297353CC}">
              <c16:uniqueId val="{00000001-B29D-4771-B0AF-CCEC93EB817E}"/>
            </c:ext>
          </c:extLst>
        </c:ser>
        <c:ser>
          <c:idx val="2"/>
          <c:order val="2"/>
          <c:tx>
            <c:strRef>
              <c:f>'2017Total DW ch cities 200 m³'!$E$499</c:f>
              <c:strCache>
                <c:ptCount val="1"/>
                <c:pt idx="0">
                  <c:v>other charges drinking water</c:v>
                </c:pt>
              </c:strCache>
            </c:strRef>
          </c:tx>
          <c:spPr>
            <a:solidFill>
              <a:schemeClr val="accent3"/>
            </a:solidFill>
            <a:ln>
              <a:noFill/>
            </a:ln>
            <a:effectLst/>
          </c:spPr>
          <c:invertIfNegative val="0"/>
          <c:cat>
            <c:strRef>
              <c:f>'2017Total DW ch cities 200 m³'!$A$500:$A$687</c:f>
              <c:strCache>
                <c:ptCount val="188"/>
                <c:pt idx="0">
                  <c:v>Milan</c:v>
                </c:pt>
                <c:pt idx="1">
                  <c:v>Yerevan</c:v>
                </c:pt>
                <c:pt idx="2">
                  <c:v>Taipei</c:v>
                </c:pt>
                <c:pt idx="3">
                  <c:v>Guangzhou</c:v>
                </c:pt>
                <c:pt idx="4">
                  <c:v>Kaohsiung</c:v>
                </c:pt>
                <c:pt idx="5">
                  <c:v>Daejeon</c:v>
                </c:pt>
                <c:pt idx="6">
                  <c:v>Russia average</c:v>
                </c:pt>
                <c:pt idx="7">
                  <c:v>Shanghai</c:v>
                </c:pt>
                <c:pt idx="8">
                  <c:v>Moscow</c:v>
                </c:pt>
                <c:pt idx="9">
                  <c:v>Seoul</c:v>
                </c:pt>
                <c:pt idx="10">
                  <c:v>Hong Kong</c:v>
                </c:pt>
                <c:pt idx="11">
                  <c:v>Guadalajara</c:v>
                </c:pt>
                <c:pt idx="12">
                  <c:v>Gwangju</c:v>
                </c:pt>
                <c:pt idx="13">
                  <c:v>Monterrey</c:v>
                </c:pt>
                <c:pt idx="14">
                  <c:v>Shenzhen</c:v>
                </c:pt>
                <c:pt idx="15">
                  <c:v>Beijing</c:v>
                </c:pt>
                <c:pt idx="16">
                  <c:v>Incheon</c:v>
                </c:pt>
                <c:pt idx="17">
                  <c:v>Gyeounggi</c:v>
                </c:pt>
                <c:pt idx="18">
                  <c:v>Daegu</c:v>
                </c:pt>
                <c:pt idx="19">
                  <c:v>Izmir</c:v>
                </c:pt>
                <c:pt idx="20">
                  <c:v>Miami</c:v>
                </c:pt>
                <c:pt idx="21">
                  <c:v>San Luis Potosi</c:v>
                </c:pt>
                <c:pt idx="22">
                  <c:v>Busan</c:v>
                </c:pt>
                <c:pt idx="23">
                  <c:v>Cluj Napoca</c:v>
                </c:pt>
                <c:pt idx="24">
                  <c:v>Timisoara</c:v>
                </c:pt>
                <c:pt idx="25">
                  <c:v>Ulsan</c:v>
                </c:pt>
                <c:pt idx="26">
                  <c:v>Tianjin</c:v>
                </c:pt>
                <c:pt idx="27">
                  <c:v>Rome</c:v>
                </c:pt>
                <c:pt idx="28">
                  <c:v>Sofia</c:v>
                </c:pt>
                <c:pt idx="29">
                  <c:v>Sibiu</c:v>
                </c:pt>
                <c:pt idx="30">
                  <c:v>Turda</c:v>
                </c:pt>
                <c:pt idx="31">
                  <c:v>Budapest</c:v>
                </c:pt>
                <c:pt idx="32">
                  <c:v>Medias</c:v>
                </c:pt>
                <c:pt idx="33">
                  <c:v>Oradea</c:v>
                </c:pt>
                <c:pt idx="34">
                  <c:v>Arad</c:v>
                </c:pt>
                <c:pt idx="35">
                  <c:v>Alexandria</c:v>
                </c:pt>
                <c:pt idx="36">
                  <c:v>Nagoya</c:v>
                </c:pt>
                <c:pt idx="37">
                  <c:v>Tarnow</c:v>
                </c:pt>
                <c:pt idx="38">
                  <c:v>Osaka</c:v>
                </c:pt>
                <c:pt idx="39">
                  <c:v>Bucharest</c:v>
                </c:pt>
                <c:pt idx="40">
                  <c:v>Burgas</c:v>
                </c:pt>
                <c:pt idx="41">
                  <c:v>Faro</c:v>
                </c:pt>
                <c:pt idx="42">
                  <c:v>Hiroshima</c:v>
                </c:pt>
                <c:pt idx="43">
                  <c:v>Satu Mare</c:v>
                </c:pt>
                <c:pt idx="44">
                  <c:v>Bacau</c:v>
                </c:pt>
                <c:pt idx="45">
                  <c:v>Baia Mare</c:v>
                </c:pt>
                <c:pt idx="46">
                  <c:v>Targu-Mures</c:v>
                </c:pt>
                <c:pt idx="47">
                  <c:v>Botosani</c:v>
                </c:pt>
                <c:pt idx="48">
                  <c:v>Piatra Neamt</c:v>
                </c:pt>
                <c:pt idx="49">
                  <c:v>Craiova</c:v>
                </c:pt>
                <c:pt idx="50">
                  <c:v>Bilbao</c:v>
                </c:pt>
                <c:pt idx="51">
                  <c:v>Chicago</c:v>
                </c:pt>
                <c:pt idx="52">
                  <c:v>Pitesti</c:v>
                </c:pt>
                <c:pt idx="53">
                  <c:v>Voluntari</c:v>
                </c:pt>
                <c:pt idx="54">
                  <c:v>Eindhoven</c:v>
                </c:pt>
                <c:pt idx="55">
                  <c:v>Radom</c:v>
                </c:pt>
                <c:pt idx="56">
                  <c:v>Bistrita</c:v>
                </c:pt>
                <c:pt idx="57">
                  <c:v>Puebla</c:v>
                </c:pt>
                <c:pt idx="58">
                  <c:v>Brasov</c:v>
                </c:pt>
                <c:pt idx="59">
                  <c:v>Bialystok</c:v>
                </c:pt>
                <c:pt idx="60">
                  <c:v>Lisbon</c:v>
                </c:pt>
                <c:pt idx="61">
                  <c:v>Mexico City</c:v>
                </c:pt>
                <c:pt idx="62">
                  <c:v>Turin</c:v>
                </c:pt>
                <c:pt idx="63">
                  <c:v>Sevilla</c:v>
                </c:pt>
                <c:pt idx="64">
                  <c:v>Kampala</c:v>
                </c:pt>
                <c:pt idx="65">
                  <c:v>Jinja</c:v>
                </c:pt>
                <c:pt idx="66">
                  <c:v>Entebbe</c:v>
                </c:pt>
                <c:pt idx="67">
                  <c:v>Mbarara</c:v>
                </c:pt>
                <c:pt idx="68">
                  <c:v>Targoviste</c:v>
                </c:pt>
                <c:pt idx="69">
                  <c:v>Kaposvár</c:v>
                </c:pt>
                <c:pt idx="70">
                  <c:v>Drobeta Turnu-Severin</c:v>
                </c:pt>
                <c:pt idx="71">
                  <c:v>Utrecht</c:v>
                </c:pt>
                <c:pt idx="72">
                  <c:v>Pleven</c:v>
                </c:pt>
                <c:pt idx="73">
                  <c:v>Ramnicu Valcea</c:v>
                </c:pt>
                <c:pt idx="74">
                  <c:v>Braga</c:v>
                </c:pt>
                <c:pt idx="75">
                  <c:v>Madrid</c:v>
                </c:pt>
                <c:pt idx="76">
                  <c:v>Yokohama</c:v>
                </c:pt>
                <c:pt idx="77">
                  <c:v>Fukuoka</c:v>
                </c:pt>
                <c:pt idx="78">
                  <c:v>Braila</c:v>
                </c:pt>
                <c:pt idx="79">
                  <c:v>Galati</c:v>
                </c:pt>
                <c:pt idx="80">
                  <c:v>Vaslui</c:v>
                </c:pt>
                <c:pt idx="81">
                  <c:v>Constanta</c:v>
                </c:pt>
                <c:pt idx="82">
                  <c:v>Suceava</c:v>
                </c:pt>
                <c:pt idx="83">
                  <c:v>Prahova</c:v>
                </c:pt>
                <c:pt idx="84">
                  <c:v>Naples</c:v>
                </c:pt>
                <c:pt idx="85">
                  <c:v>León, Guanajuato</c:v>
                </c:pt>
                <c:pt idx="86">
                  <c:v>Petrosani</c:v>
                </c:pt>
                <c:pt idx="87">
                  <c:v>Coimbra</c:v>
                </c:pt>
                <c:pt idx="88">
                  <c:v>Valencia</c:v>
                </c:pt>
                <c:pt idx="89">
                  <c:v>Miskolc</c:v>
                </c:pt>
                <c:pt idx="90">
                  <c:v>Tokyo</c:v>
                </c:pt>
                <c:pt idx="91">
                  <c:v>Debrecen</c:v>
                </c:pt>
                <c:pt idx="92">
                  <c:v>Ankara</c:v>
                </c:pt>
                <c:pt idx="93">
                  <c:v>Porto</c:v>
                </c:pt>
                <c:pt idx="94">
                  <c:v>Sintra</c:v>
                </c:pt>
                <c:pt idx="95">
                  <c:v>Buzau</c:v>
                </c:pt>
                <c:pt idx="96">
                  <c:v>Warsaw</c:v>
                </c:pt>
                <c:pt idx="97">
                  <c:v>Stara Zagora</c:v>
                </c:pt>
                <c:pt idx="98">
                  <c:v>New York</c:v>
                </c:pt>
                <c:pt idx="99">
                  <c:v>Wroclaw</c:v>
                </c:pt>
                <c:pt idx="100">
                  <c:v>Loures</c:v>
                </c:pt>
                <c:pt idx="101">
                  <c:v>Bydgoszcz</c:v>
                </c:pt>
                <c:pt idx="102">
                  <c:v>Minneapolis</c:v>
                </c:pt>
                <c:pt idx="103">
                  <c:v>Denver</c:v>
                </c:pt>
                <c:pt idx="104">
                  <c:v>Razgrad</c:v>
                </c:pt>
                <c:pt idx="105">
                  <c:v>Sapporo</c:v>
                </c:pt>
                <c:pt idx="106">
                  <c:v>Rotterdam</c:v>
                </c:pt>
                <c:pt idx="107">
                  <c:v>Paphos</c:v>
                </c:pt>
                <c:pt idx="108">
                  <c:v>Bologna</c:v>
                </c:pt>
                <c:pt idx="109">
                  <c:v>Trondheim</c:v>
                </c:pt>
                <c:pt idx="110">
                  <c:v>Nicosia</c:v>
                </c:pt>
                <c:pt idx="111">
                  <c:v>Pécs</c:v>
                </c:pt>
                <c:pt idx="112">
                  <c:v>Durham</c:v>
                </c:pt>
                <c:pt idx="113">
                  <c:v>Oslo</c:v>
                </c:pt>
                <c:pt idx="114">
                  <c:v>Brno</c:v>
                </c:pt>
                <c:pt idx="115">
                  <c:v>Ostrava</c:v>
                </c:pt>
                <c:pt idx="116">
                  <c:v>Amsterdam</c:v>
                </c:pt>
                <c:pt idx="117">
                  <c:v>Limassol</c:v>
                </c:pt>
                <c:pt idx="118">
                  <c:v>Den Haag</c:v>
                </c:pt>
                <c:pt idx="119">
                  <c:v>Reims</c:v>
                </c:pt>
                <c:pt idx="120">
                  <c:v>Geneva</c:v>
                </c:pt>
                <c:pt idx="121">
                  <c:v>Stockholm</c:v>
                </c:pt>
                <c:pt idx="122">
                  <c:v>Larnaca</c:v>
                </c:pt>
                <c:pt idx="123">
                  <c:v>Istanbul</c:v>
                </c:pt>
                <c:pt idx="124">
                  <c:v>Bergen</c:v>
                </c:pt>
                <c:pt idx="125">
                  <c:v>Strassbourg</c:v>
                </c:pt>
                <c:pt idx="126">
                  <c:v>Antwerp</c:v>
                </c:pt>
                <c:pt idx="127">
                  <c:v>Sendai</c:v>
                </c:pt>
                <c:pt idx="128">
                  <c:v>Uppsala</c:v>
                </c:pt>
                <c:pt idx="129">
                  <c:v>Sydney</c:v>
                </c:pt>
                <c:pt idx="130">
                  <c:v>Ottawa</c:v>
                </c:pt>
                <c:pt idx="131">
                  <c:v>London</c:v>
                </c:pt>
                <c:pt idx="132">
                  <c:v>Cardiff</c:v>
                </c:pt>
                <c:pt idx="133">
                  <c:v>Espoo</c:v>
                </c:pt>
                <c:pt idx="134">
                  <c:v>Helsinki</c:v>
                </c:pt>
                <c:pt idx="135">
                  <c:v>Vantaa</c:v>
                </c:pt>
                <c:pt idx="136">
                  <c:v>Leeds</c:v>
                </c:pt>
                <c:pt idx="137">
                  <c:v>Lausanne</c:v>
                </c:pt>
                <c:pt idx="138">
                  <c:v>Malmö</c:v>
                </c:pt>
                <c:pt idx="139">
                  <c:v>Lyon</c:v>
                </c:pt>
                <c:pt idx="140">
                  <c:v>Paris</c:v>
                </c:pt>
                <c:pt idx="141">
                  <c:v>Los Angeles</c:v>
                </c:pt>
                <c:pt idx="142">
                  <c:v>Winnipeg</c:v>
                </c:pt>
                <c:pt idx="143">
                  <c:v>Calgary</c:v>
                </c:pt>
                <c:pt idx="144">
                  <c:v>Washington D.C.</c:v>
                </c:pt>
                <c:pt idx="145">
                  <c:v>Oulu</c:v>
                </c:pt>
                <c:pt idx="146">
                  <c:v>Prague</c:v>
                </c:pt>
                <c:pt idx="147">
                  <c:v>Louvain</c:v>
                </c:pt>
                <c:pt idx="148">
                  <c:v>Kortrijk</c:v>
                </c:pt>
                <c:pt idx="149">
                  <c:v>Genk</c:v>
                </c:pt>
                <c:pt idx="150">
                  <c:v>Austria average</c:v>
                </c:pt>
                <c:pt idx="151">
                  <c:v>Bordeaux</c:v>
                </c:pt>
                <c:pt idx="152">
                  <c:v>Birmingham</c:v>
                </c:pt>
                <c:pt idx="153">
                  <c:v>Perth</c:v>
                </c:pt>
                <c:pt idx="154">
                  <c:v>Lille</c:v>
                </c:pt>
                <c:pt idx="155">
                  <c:v>SEDIF</c:v>
                </c:pt>
                <c:pt idx="156">
                  <c:v>Tampere</c:v>
                </c:pt>
                <c:pt idx="157">
                  <c:v>Berlin</c:v>
                </c:pt>
                <c:pt idx="158">
                  <c:v>Melbourne</c:v>
                </c:pt>
                <c:pt idx="159">
                  <c:v>Barcelona</c:v>
                </c:pt>
                <c:pt idx="160">
                  <c:v>Usti nad Labem</c:v>
                </c:pt>
                <c:pt idx="161">
                  <c:v>Marseille</c:v>
                </c:pt>
                <c:pt idx="162">
                  <c:v>Basel</c:v>
                </c:pt>
                <c:pt idx="163">
                  <c:v>Canberra</c:v>
                </c:pt>
                <c:pt idx="164">
                  <c:v>Plzeñ</c:v>
                </c:pt>
                <c:pt idx="165">
                  <c:v>Vancouver</c:v>
                </c:pt>
                <c:pt idx="166">
                  <c:v>Nancy</c:v>
                </c:pt>
                <c:pt idx="167">
                  <c:v>Manchester</c:v>
                </c:pt>
                <c:pt idx="168">
                  <c:v>Brest</c:v>
                </c:pt>
                <c:pt idx="169">
                  <c:v>Ghent</c:v>
                </c:pt>
                <c:pt idx="170">
                  <c:v>Linköping</c:v>
                </c:pt>
                <c:pt idx="171">
                  <c:v>Le Havre</c:v>
                </c:pt>
                <c:pt idx="172">
                  <c:v>Bern</c:v>
                </c:pt>
                <c:pt idx="173">
                  <c:v>Zürich</c:v>
                </c:pt>
                <c:pt idx="174">
                  <c:v>Esbjerg</c:v>
                </c:pt>
                <c:pt idx="175">
                  <c:v>Turku</c:v>
                </c:pt>
                <c:pt idx="176">
                  <c:v>Göteborg</c:v>
                </c:pt>
                <c:pt idx="177">
                  <c:v>Brussels</c:v>
                </c:pt>
                <c:pt idx="178">
                  <c:v>Aalborg</c:v>
                </c:pt>
                <c:pt idx="179">
                  <c:v>Copenhagen</c:v>
                </c:pt>
                <c:pt idx="180">
                  <c:v>Macao, China average</c:v>
                </c:pt>
                <c:pt idx="181">
                  <c:v>Charleroi</c:v>
                </c:pt>
                <c:pt idx="182">
                  <c:v>Brisbane</c:v>
                </c:pt>
                <c:pt idx="183">
                  <c:v>Aarhus</c:v>
                </c:pt>
                <c:pt idx="184">
                  <c:v>Odense</c:v>
                </c:pt>
                <c:pt idx="185">
                  <c:v>Liège</c:v>
                </c:pt>
                <c:pt idx="186">
                  <c:v>Saskatoon</c:v>
                </c:pt>
                <c:pt idx="187">
                  <c:v>Malta average</c:v>
                </c:pt>
              </c:strCache>
            </c:strRef>
          </c:cat>
          <c:val>
            <c:numRef>
              <c:f>'2017Total DW ch cities 200 m³'!$E$500:$E$687</c:f>
              <c:numCache>
                <c:formatCode>0.00</c:formatCode>
                <c:ptCount val="188"/>
                <c:pt idx="0">
                  <c:v>0.96037262457833639</c:v>
                </c:pt>
                <c:pt idx="1">
                  <c:v>0</c:v>
                </c:pt>
                <c:pt idx="2">
                  <c:v>3.3713384314713095</c:v>
                </c:pt>
                <c:pt idx="3">
                  <c:v>0</c:v>
                </c:pt>
                <c:pt idx="4">
                  <c:v>3.3713384314713095</c:v>
                </c:pt>
                <c:pt idx="5">
                  <c:v>0</c:v>
                </c:pt>
                <c:pt idx="6">
                  <c:v>4.0095931686252637</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42.757653312333893</c:v>
                </c:pt>
                <c:pt idx="27">
                  <c:v>0.96037262457833639</c:v>
                </c:pt>
                <c:pt idx="28">
                  <c:v>0</c:v>
                </c:pt>
                <c:pt idx="29">
                  <c:v>0</c:v>
                </c:pt>
                <c:pt idx="30">
                  <c:v>0</c:v>
                </c:pt>
                <c:pt idx="31">
                  <c:v>0</c:v>
                </c:pt>
                <c:pt idx="32">
                  <c:v>0</c:v>
                </c:pt>
                <c:pt idx="33">
                  <c:v>0</c:v>
                </c:pt>
                <c:pt idx="34">
                  <c:v>0</c:v>
                </c:pt>
                <c:pt idx="35">
                  <c:v>0</c:v>
                </c:pt>
                <c:pt idx="36">
                  <c:v>0</c:v>
                </c:pt>
                <c:pt idx="37">
                  <c:v>0</c:v>
                </c:pt>
                <c:pt idx="38">
                  <c:v>0</c:v>
                </c:pt>
                <c:pt idx="39">
                  <c:v>0</c:v>
                </c:pt>
                <c:pt idx="40">
                  <c:v>0</c:v>
                </c:pt>
                <c:pt idx="41">
                  <c:v>6.4344965846748536</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5.4261053288675996</c:v>
                </c:pt>
                <c:pt idx="61">
                  <c:v>0</c:v>
                </c:pt>
                <c:pt idx="62">
                  <c:v>0.96037262457833639</c:v>
                </c:pt>
                <c:pt idx="63">
                  <c:v>0</c:v>
                </c:pt>
                <c:pt idx="64">
                  <c:v>0</c:v>
                </c:pt>
                <c:pt idx="65">
                  <c:v>0</c:v>
                </c:pt>
                <c:pt idx="66">
                  <c:v>0</c:v>
                </c:pt>
                <c:pt idx="67">
                  <c:v>0</c:v>
                </c:pt>
                <c:pt idx="68">
                  <c:v>0</c:v>
                </c:pt>
                <c:pt idx="69">
                  <c:v>0</c:v>
                </c:pt>
                <c:pt idx="70">
                  <c:v>0</c:v>
                </c:pt>
                <c:pt idx="71">
                  <c:v>0</c:v>
                </c:pt>
                <c:pt idx="72">
                  <c:v>0</c:v>
                </c:pt>
                <c:pt idx="73">
                  <c:v>0</c:v>
                </c:pt>
                <c:pt idx="74">
                  <c:v>4.1055929700723874</c:v>
                </c:pt>
                <c:pt idx="75">
                  <c:v>0</c:v>
                </c:pt>
                <c:pt idx="76">
                  <c:v>0</c:v>
                </c:pt>
                <c:pt idx="77">
                  <c:v>0</c:v>
                </c:pt>
                <c:pt idx="78">
                  <c:v>0</c:v>
                </c:pt>
                <c:pt idx="79">
                  <c:v>0</c:v>
                </c:pt>
                <c:pt idx="80">
                  <c:v>0</c:v>
                </c:pt>
                <c:pt idx="81">
                  <c:v>0</c:v>
                </c:pt>
                <c:pt idx="82">
                  <c:v>0</c:v>
                </c:pt>
                <c:pt idx="83">
                  <c:v>0</c:v>
                </c:pt>
                <c:pt idx="84">
                  <c:v>0.96037262457833639</c:v>
                </c:pt>
                <c:pt idx="85">
                  <c:v>0</c:v>
                </c:pt>
                <c:pt idx="86">
                  <c:v>0</c:v>
                </c:pt>
                <c:pt idx="87">
                  <c:v>5.8342636943133934</c:v>
                </c:pt>
                <c:pt idx="88">
                  <c:v>0</c:v>
                </c:pt>
                <c:pt idx="89">
                  <c:v>0</c:v>
                </c:pt>
                <c:pt idx="90">
                  <c:v>0</c:v>
                </c:pt>
                <c:pt idx="91">
                  <c:v>0</c:v>
                </c:pt>
                <c:pt idx="92">
                  <c:v>0</c:v>
                </c:pt>
                <c:pt idx="93">
                  <c:v>4.8979003853495158</c:v>
                </c:pt>
                <c:pt idx="94">
                  <c:v>5.450114644482059</c:v>
                </c:pt>
                <c:pt idx="95">
                  <c:v>0</c:v>
                </c:pt>
                <c:pt idx="96">
                  <c:v>0</c:v>
                </c:pt>
                <c:pt idx="97">
                  <c:v>0</c:v>
                </c:pt>
                <c:pt idx="98">
                  <c:v>0</c:v>
                </c:pt>
                <c:pt idx="99">
                  <c:v>0</c:v>
                </c:pt>
                <c:pt idx="100">
                  <c:v>6.0023289036146021</c:v>
                </c:pt>
                <c:pt idx="101">
                  <c:v>0</c:v>
                </c:pt>
                <c:pt idx="102">
                  <c:v>0</c:v>
                </c:pt>
                <c:pt idx="103">
                  <c:v>0</c:v>
                </c:pt>
                <c:pt idx="104">
                  <c:v>0</c:v>
                </c:pt>
                <c:pt idx="105">
                  <c:v>0</c:v>
                </c:pt>
                <c:pt idx="106">
                  <c:v>9.4116517208676953</c:v>
                </c:pt>
                <c:pt idx="107">
                  <c:v>0</c:v>
                </c:pt>
                <c:pt idx="108">
                  <c:v>0.96037262457833639</c:v>
                </c:pt>
                <c:pt idx="109">
                  <c:v>11.894707464538293</c:v>
                </c:pt>
                <c:pt idx="110">
                  <c:v>0</c:v>
                </c:pt>
                <c:pt idx="111">
                  <c:v>0</c:v>
                </c:pt>
                <c:pt idx="112">
                  <c:v>0</c:v>
                </c:pt>
                <c:pt idx="113">
                  <c:v>0</c:v>
                </c:pt>
                <c:pt idx="114">
                  <c:v>0</c:v>
                </c:pt>
                <c:pt idx="115">
                  <c:v>0</c:v>
                </c:pt>
                <c:pt idx="116">
                  <c:v>0</c:v>
                </c:pt>
                <c:pt idx="117">
                  <c:v>0</c:v>
                </c:pt>
                <c:pt idx="118">
                  <c:v>22.088570365301734</c:v>
                </c:pt>
                <c:pt idx="119">
                  <c:v>105.640988703617</c:v>
                </c:pt>
                <c:pt idx="120">
                  <c:v>0</c:v>
                </c:pt>
                <c:pt idx="121">
                  <c:v>0</c:v>
                </c:pt>
                <c:pt idx="122">
                  <c:v>0</c:v>
                </c:pt>
                <c:pt idx="123">
                  <c:v>14.135504782986796</c:v>
                </c:pt>
                <c:pt idx="124">
                  <c:v>0</c:v>
                </c:pt>
                <c:pt idx="125">
                  <c:v>84.032604650604426</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84.032604650604426</c:v>
                </c:pt>
                <c:pt idx="140">
                  <c:v>115.24471494940036</c:v>
                </c:pt>
                <c:pt idx="141">
                  <c:v>0</c:v>
                </c:pt>
                <c:pt idx="142">
                  <c:v>0</c:v>
                </c:pt>
                <c:pt idx="143">
                  <c:v>0</c:v>
                </c:pt>
                <c:pt idx="144">
                  <c:v>47.32</c:v>
                </c:pt>
                <c:pt idx="145">
                  <c:v>0</c:v>
                </c:pt>
                <c:pt idx="146">
                  <c:v>0</c:v>
                </c:pt>
                <c:pt idx="147">
                  <c:v>0</c:v>
                </c:pt>
                <c:pt idx="148">
                  <c:v>0</c:v>
                </c:pt>
                <c:pt idx="149">
                  <c:v>0</c:v>
                </c:pt>
                <c:pt idx="150">
                  <c:v>0</c:v>
                </c:pt>
                <c:pt idx="151">
                  <c:v>93.63633089638779</c:v>
                </c:pt>
                <c:pt idx="152">
                  <c:v>0</c:v>
                </c:pt>
                <c:pt idx="153">
                  <c:v>0</c:v>
                </c:pt>
                <c:pt idx="154">
                  <c:v>110.44285182650869</c:v>
                </c:pt>
                <c:pt idx="155">
                  <c:v>120.04657807229205</c:v>
                </c:pt>
                <c:pt idx="156">
                  <c:v>0</c:v>
                </c:pt>
                <c:pt idx="157">
                  <c:v>0</c:v>
                </c:pt>
                <c:pt idx="158">
                  <c:v>0</c:v>
                </c:pt>
                <c:pt idx="159">
                  <c:v>0</c:v>
                </c:pt>
                <c:pt idx="160">
                  <c:v>0</c:v>
                </c:pt>
                <c:pt idx="161">
                  <c:v>88.834467773496115</c:v>
                </c:pt>
                <c:pt idx="162">
                  <c:v>0</c:v>
                </c:pt>
                <c:pt idx="163">
                  <c:v>0</c:v>
                </c:pt>
                <c:pt idx="164">
                  <c:v>0</c:v>
                </c:pt>
                <c:pt idx="165">
                  <c:v>0</c:v>
                </c:pt>
                <c:pt idx="166">
                  <c:v>98.438194019279479</c:v>
                </c:pt>
                <c:pt idx="167">
                  <c:v>0</c:v>
                </c:pt>
                <c:pt idx="168">
                  <c:v>91.23539933494196</c:v>
                </c:pt>
                <c:pt idx="169">
                  <c:v>0</c:v>
                </c:pt>
                <c:pt idx="170">
                  <c:v>0</c:v>
                </c:pt>
                <c:pt idx="171">
                  <c:v>124.84844119518372</c:v>
                </c:pt>
                <c:pt idx="172">
                  <c:v>0</c:v>
                </c:pt>
                <c:pt idx="173">
                  <c:v>0</c:v>
                </c:pt>
                <c:pt idx="174">
                  <c:v>201.4913584386193</c:v>
                </c:pt>
                <c:pt idx="175">
                  <c:v>0</c:v>
                </c:pt>
                <c:pt idx="176">
                  <c:v>0</c:v>
                </c:pt>
                <c:pt idx="177">
                  <c:v>0</c:v>
                </c:pt>
                <c:pt idx="178">
                  <c:v>201.4913584386193</c:v>
                </c:pt>
                <c:pt idx="179">
                  <c:v>201.4913584386193</c:v>
                </c:pt>
                <c:pt idx="180">
                  <c:v>0</c:v>
                </c:pt>
                <c:pt idx="181">
                  <c:v>6.2184127441447279</c:v>
                </c:pt>
                <c:pt idx="182">
                  <c:v>0</c:v>
                </c:pt>
                <c:pt idx="183">
                  <c:v>201.4913584386193</c:v>
                </c:pt>
                <c:pt idx="184">
                  <c:v>201.4913584386193</c:v>
                </c:pt>
                <c:pt idx="185">
                  <c:v>6.2184127441447279</c:v>
                </c:pt>
                <c:pt idx="186">
                  <c:v>0</c:v>
                </c:pt>
                <c:pt idx="187">
                  <c:v>0</c:v>
                </c:pt>
              </c:numCache>
            </c:numRef>
          </c:val>
          <c:extLst>
            <c:ext xmlns:c16="http://schemas.microsoft.com/office/drawing/2014/chart" uri="{C3380CC4-5D6E-409C-BE32-E72D297353CC}">
              <c16:uniqueId val="{00000002-B29D-4771-B0AF-CCEC93EB817E}"/>
            </c:ext>
          </c:extLst>
        </c:ser>
        <c:ser>
          <c:idx val="3"/>
          <c:order val="3"/>
          <c:tx>
            <c:strRef>
              <c:f>'2017Total DW ch cities 200 m³'!$F$499</c:f>
              <c:strCache>
                <c:ptCount val="1"/>
                <c:pt idx="0">
                  <c:v>VAT drinking water</c:v>
                </c:pt>
              </c:strCache>
            </c:strRef>
          </c:tx>
          <c:spPr>
            <a:solidFill>
              <a:schemeClr val="accent4"/>
            </a:solidFill>
            <a:ln>
              <a:noFill/>
            </a:ln>
            <a:effectLst/>
          </c:spPr>
          <c:invertIfNegative val="0"/>
          <c:cat>
            <c:strRef>
              <c:f>'2017Total DW ch cities 200 m³'!$A$500:$A$687</c:f>
              <c:strCache>
                <c:ptCount val="188"/>
                <c:pt idx="0">
                  <c:v>Milan</c:v>
                </c:pt>
                <c:pt idx="1">
                  <c:v>Yerevan</c:v>
                </c:pt>
                <c:pt idx="2">
                  <c:v>Taipei</c:v>
                </c:pt>
                <c:pt idx="3">
                  <c:v>Guangzhou</c:v>
                </c:pt>
                <c:pt idx="4">
                  <c:v>Kaohsiung</c:v>
                </c:pt>
                <c:pt idx="5">
                  <c:v>Daejeon</c:v>
                </c:pt>
                <c:pt idx="6">
                  <c:v>Russia average</c:v>
                </c:pt>
                <c:pt idx="7">
                  <c:v>Shanghai</c:v>
                </c:pt>
                <c:pt idx="8">
                  <c:v>Moscow</c:v>
                </c:pt>
                <c:pt idx="9">
                  <c:v>Seoul</c:v>
                </c:pt>
                <c:pt idx="10">
                  <c:v>Hong Kong</c:v>
                </c:pt>
                <c:pt idx="11">
                  <c:v>Guadalajara</c:v>
                </c:pt>
                <c:pt idx="12">
                  <c:v>Gwangju</c:v>
                </c:pt>
                <c:pt idx="13">
                  <c:v>Monterrey</c:v>
                </c:pt>
                <c:pt idx="14">
                  <c:v>Shenzhen</c:v>
                </c:pt>
                <c:pt idx="15">
                  <c:v>Beijing</c:v>
                </c:pt>
                <c:pt idx="16">
                  <c:v>Incheon</c:v>
                </c:pt>
                <c:pt idx="17">
                  <c:v>Gyeounggi</c:v>
                </c:pt>
                <c:pt idx="18">
                  <c:v>Daegu</c:v>
                </c:pt>
                <c:pt idx="19">
                  <c:v>Izmir</c:v>
                </c:pt>
                <c:pt idx="20">
                  <c:v>Miami</c:v>
                </c:pt>
                <c:pt idx="21">
                  <c:v>San Luis Potosi</c:v>
                </c:pt>
                <c:pt idx="22">
                  <c:v>Busan</c:v>
                </c:pt>
                <c:pt idx="23">
                  <c:v>Cluj Napoca</c:v>
                </c:pt>
                <c:pt idx="24">
                  <c:v>Timisoara</c:v>
                </c:pt>
                <c:pt idx="25">
                  <c:v>Ulsan</c:v>
                </c:pt>
                <c:pt idx="26">
                  <c:v>Tianjin</c:v>
                </c:pt>
                <c:pt idx="27">
                  <c:v>Rome</c:v>
                </c:pt>
                <c:pt idx="28">
                  <c:v>Sofia</c:v>
                </c:pt>
                <c:pt idx="29">
                  <c:v>Sibiu</c:v>
                </c:pt>
                <c:pt idx="30">
                  <c:v>Turda</c:v>
                </c:pt>
                <c:pt idx="31">
                  <c:v>Budapest</c:v>
                </c:pt>
                <c:pt idx="32">
                  <c:v>Medias</c:v>
                </c:pt>
                <c:pt idx="33">
                  <c:v>Oradea</c:v>
                </c:pt>
                <c:pt idx="34">
                  <c:v>Arad</c:v>
                </c:pt>
                <c:pt idx="35">
                  <c:v>Alexandria</c:v>
                </c:pt>
                <c:pt idx="36">
                  <c:v>Nagoya</c:v>
                </c:pt>
                <c:pt idx="37">
                  <c:v>Tarnow</c:v>
                </c:pt>
                <c:pt idx="38">
                  <c:v>Osaka</c:v>
                </c:pt>
                <c:pt idx="39">
                  <c:v>Bucharest</c:v>
                </c:pt>
                <c:pt idx="40">
                  <c:v>Burgas</c:v>
                </c:pt>
                <c:pt idx="41">
                  <c:v>Faro</c:v>
                </c:pt>
                <c:pt idx="42">
                  <c:v>Hiroshima</c:v>
                </c:pt>
                <c:pt idx="43">
                  <c:v>Satu Mare</c:v>
                </c:pt>
                <c:pt idx="44">
                  <c:v>Bacau</c:v>
                </c:pt>
                <c:pt idx="45">
                  <c:v>Baia Mare</c:v>
                </c:pt>
                <c:pt idx="46">
                  <c:v>Targu-Mures</c:v>
                </c:pt>
                <c:pt idx="47">
                  <c:v>Botosani</c:v>
                </c:pt>
                <c:pt idx="48">
                  <c:v>Piatra Neamt</c:v>
                </c:pt>
                <c:pt idx="49">
                  <c:v>Craiova</c:v>
                </c:pt>
                <c:pt idx="50">
                  <c:v>Bilbao</c:v>
                </c:pt>
                <c:pt idx="51">
                  <c:v>Chicago</c:v>
                </c:pt>
                <c:pt idx="52">
                  <c:v>Pitesti</c:v>
                </c:pt>
                <c:pt idx="53">
                  <c:v>Voluntari</c:v>
                </c:pt>
                <c:pt idx="54">
                  <c:v>Eindhoven</c:v>
                </c:pt>
                <c:pt idx="55">
                  <c:v>Radom</c:v>
                </c:pt>
                <c:pt idx="56">
                  <c:v>Bistrita</c:v>
                </c:pt>
                <c:pt idx="57">
                  <c:v>Puebla</c:v>
                </c:pt>
                <c:pt idx="58">
                  <c:v>Brasov</c:v>
                </c:pt>
                <c:pt idx="59">
                  <c:v>Bialystok</c:v>
                </c:pt>
                <c:pt idx="60">
                  <c:v>Lisbon</c:v>
                </c:pt>
                <c:pt idx="61">
                  <c:v>Mexico City</c:v>
                </c:pt>
                <c:pt idx="62">
                  <c:v>Turin</c:v>
                </c:pt>
                <c:pt idx="63">
                  <c:v>Sevilla</c:v>
                </c:pt>
                <c:pt idx="64">
                  <c:v>Kampala</c:v>
                </c:pt>
                <c:pt idx="65">
                  <c:v>Jinja</c:v>
                </c:pt>
                <c:pt idx="66">
                  <c:v>Entebbe</c:v>
                </c:pt>
                <c:pt idx="67">
                  <c:v>Mbarara</c:v>
                </c:pt>
                <c:pt idx="68">
                  <c:v>Targoviste</c:v>
                </c:pt>
                <c:pt idx="69">
                  <c:v>Kaposvár</c:v>
                </c:pt>
                <c:pt idx="70">
                  <c:v>Drobeta Turnu-Severin</c:v>
                </c:pt>
                <c:pt idx="71">
                  <c:v>Utrecht</c:v>
                </c:pt>
                <c:pt idx="72">
                  <c:v>Pleven</c:v>
                </c:pt>
                <c:pt idx="73">
                  <c:v>Ramnicu Valcea</c:v>
                </c:pt>
                <c:pt idx="74">
                  <c:v>Braga</c:v>
                </c:pt>
                <c:pt idx="75">
                  <c:v>Madrid</c:v>
                </c:pt>
                <c:pt idx="76">
                  <c:v>Yokohama</c:v>
                </c:pt>
                <c:pt idx="77">
                  <c:v>Fukuoka</c:v>
                </c:pt>
                <c:pt idx="78">
                  <c:v>Braila</c:v>
                </c:pt>
                <c:pt idx="79">
                  <c:v>Galati</c:v>
                </c:pt>
                <c:pt idx="80">
                  <c:v>Vaslui</c:v>
                </c:pt>
                <c:pt idx="81">
                  <c:v>Constanta</c:v>
                </c:pt>
                <c:pt idx="82">
                  <c:v>Suceava</c:v>
                </c:pt>
                <c:pt idx="83">
                  <c:v>Prahova</c:v>
                </c:pt>
                <c:pt idx="84">
                  <c:v>Naples</c:v>
                </c:pt>
                <c:pt idx="85">
                  <c:v>León, Guanajuato</c:v>
                </c:pt>
                <c:pt idx="86">
                  <c:v>Petrosani</c:v>
                </c:pt>
                <c:pt idx="87">
                  <c:v>Coimbra</c:v>
                </c:pt>
                <c:pt idx="88">
                  <c:v>Valencia</c:v>
                </c:pt>
                <c:pt idx="89">
                  <c:v>Miskolc</c:v>
                </c:pt>
                <c:pt idx="90">
                  <c:v>Tokyo</c:v>
                </c:pt>
                <c:pt idx="91">
                  <c:v>Debrecen</c:v>
                </c:pt>
                <c:pt idx="92">
                  <c:v>Ankara</c:v>
                </c:pt>
                <c:pt idx="93">
                  <c:v>Porto</c:v>
                </c:pt>
                <c:pt idx="94">
                  <c:v>Sintra</c:v>
                </c:pt>
                <c:pt idx="95">
                  <c:v>Buzau</c:v>
                </c:pt>
                <c:pt idx="96">
                  <c:v>Warsaw</c:v>
                </c:pt>
                <c:pt idx="97">
                  <c:v>Stara Zagora</c:v>
                </c:pt>
                <c:pt idx="98">
                  <c:v>New York</c:v>
                </c:pt>
                <c:pt idx="99">
                  <c:v>Wroclaw</c:v>
                </c:pt>
                <c:pt idx="100">
                  <c:v>Loures</c:v>
                </c:pt>
                <c:pt idx="101">
                  <c:v>Bydgoszcz</c:v>
                </c:pt>
                <c:pt idx="102">
                  <c:v>Minneapolis</c:v>
                </c:pt>
                <c:pt idx="103">
                  <c:v>Denver</c:v>
                </c:pt>
                <c:pt idx="104">
                  <c:v>Razgrad</c:v>
                </c:pt>
                <c:pt idx="105">
                  <c:v>Sapporo</c:v>
                </c:pt>
                <c:pt idx="106">
                  <c:v>Rotterdam</c:v>
                </c:pt>
                <c:pt idx="107">
                  <c:v>Paphos</c:v>
                </c:pt>
                <c:pt idx="108">
                  <c:v>Bologna</c:v>
                </c:pt>
                <c:pt idx="109">
                  <c:v>Trondheim</c:v>
                </c:pt>
                <c:pt idx="110">
                  <c:v>Nicosia</c:v>
                </c:pt>
                <c:pt idx="111">
                  <c:v>Pécs</c:v>
                </c:pt>
                <c:pt idx="112">
                  <c:v>Durham</c:v>
                </c:pt>
                <c:pt idx="113">
                  <c:v>Oslo</c:v>
                </c:pt>
                <c:pt idx="114">
                  <c:v>Brno</c:v>
                </c:pt>
                <c:pt idx="115">
                  <c:v>Ostrava</c:v>
                </c:pt>
                <c:pt idx="116">
                  <c:v>Amsterdam</c:v>
                </c:pt>
                <c:pt idx="117">
                  <c:v>Limassol</c:v>
                </c:pt>
                <c:pt idx="118">
                  <c:v>Den Haag</c:v>
                </c:pt>
                <c:pt idx="119">
                  <c:v>Reims</c:v>
                </c:pt>
                <c:pt idx="120">
                  <c:v>Geneva</c:v>
                </c:pt>
                <c:pt idx="121">
                  <c:v>Stockholm</c:v>
                </c:pt>
                <c:pt idx="122">
                  <c:v>Larnaca</c:v>
                </c:pt>
                <c:pt idx="123">
                  <c:v>Istanbul</c:v>
                </c:pt>
                <c:pt idx="124">
                  <c:v>Bergen</c:v>
                </c:pt>
                <c:pt idx="125">
                  <c:v>Strassbourg</c:v>
                </c:pt>
                <c:pt idx="126">
                  <c:v>Antwerp</c:v>
                </c:pt>
                <c:pt idx="127">
                  <c:v>Sendai</c:v>
                </c:pt>
                <c:pt idx="128">
                  <c:v>Uppsala</c:v>
                </c:pt>
                <c:pt idx="129">
                  <c:v>Sydney</c:v>
                </c:pt>
                <c:pt idx="130">
                  <c:v>Ottawa</c:v>
                </c:pt>
                <c:pt idx="131">
                  <c:v>London</c:v>
                </c:pt>
                <c:pt idx="132">
                  <c:v>Cardiff</c:v>
                </c:pt>
                <c:pt idx="133">
                  <c:v>Espoo</c:v>
                </c:pt>
                <c:pt idx="134">
                  <c:v>Helsinki</c:v>
                </c:pt>
                <c:pt idx="135">
                  <c:v>Vantaa</c:v>
                </c:pt>
                <c:pt idx="136">
                  <c:v>Leeds</c:v>
                </c:pt>
                <c:pt idx="137">
                  <c:v>Lausanne</c:v>
                </c:pt>
                <c:pt idx="138">
                  <c:v>Malmö</c:v>
                </c:pt>
                <c:pt idx="139">
                  <c:v>Lyon</c:v>
                </c:pt>
                <c:pt idx="140">
                  <c:v>Paris</c:v>
                </c:pt>
                <c:pt idx="141">
                  <c:v>Los Angeles</c:v>
                </c:pt>
                <c:pt idx="142">
                  <c:v>Winnipeg</c:v>
                </c:pt>
                <c:pt idx="143">
                  <c:v>Calgary</c:v>
                </c:pt>
                <c:pt idx="144">
                  <c:v>Washington D.C.</c:v>
                </c:pt>
                <c:pt idx="145">
                  <c:v>Oulu</c:v>
                </c:pt>
                <c:pt idx="146">
                  <c:v>Prague</c:v>
                </c:pt>
                <c:pt idx="147">
                  <c:v>Louvain</c:v>
                </c:pt>
                <c:pt idx="148">
                  <c:v>Kortrijk</c:v>
                </c:pt>
                <c:pt idx="149">
                  <c:v>Genk</c:v>
                </c:pt>
                <c:pt idx="150">
                  <c:v>Austria average</c:v>
                </c:pt>
                <c:pt idx="151">
                  <c:v>Bordeaux</c:v>
                </c:pt>
                <c:pt idx="152">
                  <c:v>Birmingham</c:v>
                </c:pt>
                <c:pt idx="153">
                  <c:v>Perth</c:v>
                </c:pt>
                <c:pt idx="154">
                  <c:v>Lille</c:v>
                </c:pt>
                <c:pt idx="155">
                  <c:v>SEDIF</c:v>
                </c:pt>
                <c:pt idx="156">
                  <c:v>Tampere</c:v>
                </c:pt>
                <c:pt idx="157">
                  <c:v>Berlin</c:v>
                </c:pt>
                <c:pt idx="158">
                  <c:v>Melbourne</c:v>
                </c:pt>
                <c:pt idx="159">
                  <c:v>Barcelona</c:v>
                </c:pt>
                <c:pt idx="160">
                  <c:v>Usti nad Labem</c:v>
                </c:pt>
                <c:pt idx="161">
                  <c:v>Marseille</c:v>
                </c:pt>
                <c:pt idx="162">
                  <c:v>Basel</c:v>
                </c:pt>
                <c:pt idx="163">
                  <c:v>Canberra</c:v>
                </c:pt>
                <c:pt idx="164">
                  <c:v>Plzeñ</c:v>
                </c:pt>
                <c:pt idx="165">
                  <c:v>Vancouver</c:v>
                </c:pt>
                <c:pt idx="166">
                  <c:v>Nancy</c:v>
                </c:pt>
                <c:pt idx="167">
                  <c:v>Manchester</c:v>
                </c:pt>
                <c:pt idx="168">
                  <c:v>Brest</c:v>
                </c:pt>
                <c:pt idx="169">
                  <c:v>Ghent</c:v>
                </c:pt>
                <c:pt idx="170">
                  <c:v>Linköping</c:v>
                </c:pt>
                <c:pt idx="171">
                  <c:v>Le Havre</c:v>
                </c:pt>
                <c:pt idx="172">
                  <c:v>Bern</c:v>
                </c:pt>
                <c:pt idx="173">
                  <c:v>Zürich</c:v>
                </c:pt>
                <c:pt idx="174">
                  <c:v>Esbjerg</c:v>
                </c:pt>
                <c:pt idx="175">
                  <c:v>Turku</c:v>
                </c:pt>
                <c:pt idx="176">
                  <c:v>Göteborg</c:v>
                </c:pt>
                <c:pt idx="177">
                  <c:v>Brussels</c:v>
                </c:pt>
                <c:pt idx="178">
                  <c:v>Aalborg</c:v>
                </c:pt>
                <c:pt idx="179">
                  <c:v>Copenhagen</c:v>
                </c:pt>
                <c:pt idx="180">
                  <c:v>Macao, China average</c:v>
                </c:pt>
                <c:pt idx="181">
                  <c:v>Charleroi</c:v>
                </c:pt>
                <c:pt idx="182">
                  <c:v>Brisbane</c:v>
                </c:pt>
                <c:pt idx="183">
                  <c:v>Aarhus</c:v>
                </c:pt>
                <c:pt idx="184">
                  <c:v>Odense</c:v>
                </c:pt>
                <c:pt idx="185">
                  <c:v>Liège</c:v>
                </c:pt>
                <c:pt idx="186">
                  <c:v>Saskatoon</c:v>
                </c:pt>
                <c:pt idx="187">
                  <c:v>Malta average</c:v>
                </c:pt>
              </c:strCache>
            </c:strRef>
          </c:cat>
          <c:val>
            <c:numRef>
              <c:f>'2017Total DW ch cities 200 m³'!$F$500:$F$687</c:f>
              <c:numCache>
                <c:formatCode>0.00</c:formatCode>
                <c:ptCount val="188"/>
                <c:pt idx="0">
                  <c:v>4.861886411927828</c:v>
                </c:pt>
                <c:pt idx="1">
                  <c:v>10.557137838214471</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9.6555722455003021</c:v>
                </c:pt>
                <c:pt idx="20">
                  <c:v>0</c:v>
                </c:pt>
                <c:pt idx="21">
                  <c:v>0</c:v>
                </c:pt>
                <c:pt idx="22">
                  <c:v>0</c:v>
                </c:pt>
                <c:pt idx="23">
                  <c:v>12.179559745191469</c:v>
                </c:pt>
                <c:pt idx="24">
                  <c:v>13.198382233382388</c:v>
                </c:pt>
                <c:pt idx="25">
                  <c:v>0</c:v>
                </c:pt>
                <c:pt idx="26">
                  <c:v>0</c:v>
                </c:pt>
                <c:pt idx="27">
                  <c:v>14.909784996578672</c:v>
                </c:pt>
                <c:pt idx="28">
                  <c:v>28.673483165375785</c:v>
                </c:pt>
                <c:pt idx="29">
                  <c:v>14.263514834672897</c:v>
                </c:pt>
                <c:pt idx="30">
                  <c:v>14.633995739469595</c:v>
                </c:pt>
                <c:pt idx="31">
                  <c:v>37.735917569854188</c:v>
                </c:pt>
                <c:pt idx="32">
                  <c:v>14.772926078768357</c:v>
                </c:pt>
                <c:pt idx="33">
                  <c:v>14.819236191867946</c:v>
                </c:pt>
                <c:pt idx="34">
                  <c:v>14.819236191867946</c:v>
                </c:pt>
                <c:pt idx="35">
                  <c:v>14.865546304967532</c:v>
                </c:pt>
                <c:pt idx="36">
                  <c:v>13.49180523727026</c:v>
                </c:pt>
                <c:pt idx="37">
                  <c:v>13.569067126635044</c:v>
                </c:pt>
                <c:pt idx="38">
                  <c:v>13.562814738519052</c:v>
                </c:pt>
                <c:pt idx="39">
                  <c:v>15.328647435963404</c:v>
                </c:pt>
                <c:pt idx="40">
                  <c:v>31.59483975499883</c:v>
                </c:pt>
                <c:pt idx="41">
                  <c:v>10.840205999927971</c:v>
                </c:pt>
                <c:pt idx="42">
                  <c:v>14.210776437414268</c:v>
                </c:pt>
                <c:pt idx="43">
                  <c:v>15.930678906258041</c:v>
                </c:pt>
                <c:pt idx="44">
                  <c:v>16.069609245556801</c:v>
                </c:pt>
                <c:pt idx="45">
                  <c:v>16.115919358656392</c:v>
                </c:pt>
                <c:pt idx="46">
                  <c:v>16.208539584855565</c:v>
                </c:pt>
                <c:pt idx="47">
                  <c:v>16.486400263453088</c:v>
                </c:pt>
                <c:pt idx="48">
                  <c:v>16.486400263453088</c:v>
                </c:pt>
                <c:pt idx="49">
                  <c:v>16.532710376552679</c:v>
                </c:pt>
                <c:pt idx="50">
                  <c:v>18.439154391904058</c:v>
                </c:pt>
                <c:pt idx="51">
                  <c:v>0</c:v>
                </c:pt>
                <c:pt idx="52">
                  <c:v>16.995811507548549</c:v>
                </c:pt>
                <c:pt idx="53">
                  <c:v>17.088431733747726</c:v>
                </c:pt>
                <c:pt idx="54">
                  <c:v>11.716546019855704</c:v>
                </c:pt>
                <c:pt idx="55">
                  <c:v>15.362943797613914</c:v>
                </c:pt>
                <c:pt idx="56">
                  <c:v>17.181051959946899</c:v>
                </c:pt>
                <c:pt idx="57">
                  <c:v>0</c:v>
                </c:pt>
                <c:pt idx="58">
                  <c:v>17.227362073046486</c:v>
                </c:pt>
                <c:pt idx="59">
                  <c:v>15.546931148483541</c:v>
                </c:pt>
                <c:pt idx="60">
                  <c:v>11.896615886964142</c:v>
                </c:pt>
                <c:pt idx="61">
                  <c:v>0</c:v>
                </c:pt>
                <c:pt idx="62">
                  <c:v>19.231461807181184</c:v>
                </c:pt>
                <c:pt idx="63">
                  <c:v>19.231461807181184</c:v>
                </c:pt>
                <c:pt idx="64">
                  <c:v>31.739457188806806</c:v>
                </c:pt>
                <c:pt idx="65">
                  <c:v>31.739457188806806</c:v>
                </c:pt>
                <c:pt idx="66">
                  <c:v>31.739457188806806</c:v>
                </c:pt>
                <c:pt idx="67">
                  <c:v>31.739457188806806</c:v>
                </c:pt>
                <c:pt idx="68">
                  <c:v>17.644153090942773</c:v>
                </c:pt>
                <c:pt idx="69">
                  <c:v>45.433293790570715</c:v>
                </c:pt>
                <c:pt idx="70">
                  <c:v>17.690463204042359</c:v>
                </c:pt>
                <c:pt idx="71">
                  <c:v>12.316778910217163</c:v>
                </c:pt>
                <c:pt idx="72">
                  <c:v>36.332838257496718</c:v>
                </c:pt>
                <c:pt idx="73">
                  <c:v>18.014633995739469</c:v>
                </c:pt>
                <c:pt idx="74">
                  <c:v>12.37680219925331</c:v>
                </c:pt>
                <c:pt idx="75">
                  <c:v>19.91572730219325</c:v>
                </c:pt>
                <c:pt idx="76">
                  <c:v>16.403194788470685</c:v>
                </c:pt>
                <c:pt idx="77">
                  <c:v>16.607347104560958</c:v>
                </c:pt>
                <c:pt idx="78">
                  <c:v>18.616665466034107</c:v>
                </c:pt>
                <c:pt idx="79">
                  <c:v>18.662975579133693</c:v>
                </c:pt>
                <c:pt idx="80">
                  <c:v>18.848216031532044</c:v>
                </c:pt>
                <c:pt idx="81">
                  <c:v>18.940836257731217</c:v>
                </c:pt>
                <c:pt idx="82">
                  <c:v>18.987146370830803</c:v>
                </c:pt>
                <c:pt idx="83">
                  <c:v>19.126076710129567</c:v>
                </c:pt>
                <c:pt idx="84">
                  <c:v>21.140202398530629</c:v>
                </c:pt>
                <c:pt idx="85">
                  <c:v>0</c:v>
                </c:pt>
                <c:pt idx="86">
                  <c:v>19.54286772802585</c:v>
                </c:pt>
                <c:pt idx="87">
                  <c:v>13.517244690940084</c:v>
                </c:pt>
                <c:pt idx="88">
                  <c:v>21.92050515600053</c:v>
                </c:pt>
                <c:pt idx="89">
                  <c:v>51.966676534008158</c:v>
                </c:pt>
                <c:pt idx="90">
                  <c:v>18.15180375672216</c:v>
                </c:pt>
                <c:pt idx="91">
                  <c:v>52.370319433387195</c:v>
                </c:pt>
                <c:pt idx="92">
                  <c:v>18.636519355943815</c:v>
                </c:pt>
                <c:pt idx="93">
                  <c:v>14.65768718262686</c:v>
                </c:pt>
                <c:pt idx="94">
                  <c:v>14.693701156048547</c:v>
                </c:pt>
                <c:pt idx="95">
                  <c:v>21.487892478208519</c:v>
                </c:pt>
                <c:pt idx="96">
                  <c:v>19.318671841310913</c:v>
                </c:pt>
                <c:pt idx="97">
                  <c:v>44.434079220316931</c:v>
                </c:pt>
                <c:pt idx="98">
                  <c:v>0</c:v>
                </c:pt>
                <c:pt idx="99">
                  <c:v>20.606583297398306</c:v>
                </c:pt>
                <c:pt idx="100">
                  <c:v>15.750111043084715</c:v>
                </c:pt>
                <c:pt idx="101">
                  <c:v>21.940491591203102</c:v>
                </c:pt>
                <c:pt idx="102">
                  <c:v>0</c:v>
                </c:pt>
                <c:pt idx="103">
                  <c:v>0</c:v>
                </c:pt>
                <c:pt idx="104">
                  <c:v>51.553351581583179</c:v>
                </c:pt>
                <c:pt idx="105">
                  <c:v>23.095840281169224</c:v>
                </c:pt>
                <c:pt idx="106">
                  <c:v>17.778898212506451</c:v>
                </c:pt>
                <c:pt idx="107">
                  <c:v>15.401975966675069</c:v>
                </c:pt>
                <c:pt idx="108">
                  <c:v>29.663509441663365</c:v>
                </c:pt>
                <c:pt idx="109">
                  <c:v>65.884004665260264</c:v>
                </c:pt>
                <c:pt idx="110">
                  <c:v>15.726101727470258</c:v>
                </c:pt>
                <c:pt idx="111">
                  <c:v>70.924333741019481</c:v>
                </c:pt>
                <c:pt idx="112">
                  <c:v>0</c:v>
                </c:pt>
                <c:pt idx="113">
                  <c:v>64.226545428398367</c:v>
                </c:pt>
                <c:pt idx="114">
                  <c:v>45.498385935358449</c:v>
                </c:pt>
                <c:pt idx="115">
                  <c:v>45.780400724213976</c:v>
                </c:pt>
                <c:pt idx="116">
                  <c:v>20.035773880265545</c:v>
                </c:pt>
                <c:pt idx="117">
                  <c:v>17.166660664337762</c:v>
                </c:pt>
                <c:pt idx="118">
                  <c:v>20.419922930096877</c:v>
                </c:pt>
                <c:pt idx="119">
                  <c:v>18.799294126120934</c:v>
                </c:pt>
                <c:pt idx="120">
                  <c:v>26.928839720038585</c:v>
                </c:pt>
                <c:pt idx="121">
                  <c:v>73.925068839465268</c:v>
                </c:pt>
                <c:pt idx="122">
                  <c:v>17.646846976626929</c:v>
                </c:pt>
                <c:pt idx="123">
                  <c:v>18.763011568766963</c:v>
                </c:pt>
                <c:pt idx="124">
                  <c:v>74.859877664883683</c:v>
                </c:pt>
                <c:pt idx="125">
                  <c:v>19.591601541398063</c:v>
                </c:pt>
                <c:pt idx="126">
                  <c:v>21.296262950024605</c:v>
                </c:pt>
                <c:pt idx="127">
                  <c:v>27.809095926557713</c:v>
                </c:pt>
                <c:pt idx="128">
                  <c:v>75.671330308114051</c:v>
                </c:pt>
                <c:pt idx="129">
                  <c:v>0</c:v>
                </c:pt>
                <c:pt idx="130">
                  <c:v>0</c:v>
                </c:pt>
                <c:pt idx="131">
                  <c:v>0</c:v>
                </c:pt>
                <c:pt idx="132">
                  <c:v>0</c:v>
                </c:pt>
                <c:pt idx="133">
                  <c:v>76.493679547664485</c:v>
                </c:pt>
                <c:pt idx="134">
                  <c:v>76.493679547664485</c:v>
                </c:pt>
                <c:pt idx="135">
                  <c:v>76.493679547664485</c:v>
                </c:pt>
                <c:pt idx="136">
                  <c:v>0</c:v>
                </c:pt>
                <c:pt idx="137">
                  <c:v>29.720243837359661</c:v>
                </c:pt>
                <c:pt idx="138">
                  <c:v>80.297391391727501</c:v>
                </c:pt>
                <c:pt idx="139">
                  <c:v>20.876099926771587</c:v>
                </c:pt>
                <c:pt idx="140">
                  <c:v>21.248244318795692</c:v>
                </c:pt>
                <c:pt idx="141">
                  <c:v>0</c:v>
                </c:pt>
                <c:pt idx="142">
                  <c:v>0</c:v>
                </c:pt>
                <c:pt idx="143">
                  <c:v>0</c:v>
                </c:pt>
                <c:pt idx="144">
                  <c:v>0</c:v>
                </c:pt>
                <c:pt idx="145">
                  <c:v>82.964190105761034</c:v>
                </c:pt>
                <c:pt idx="146">
                  <c:v>56.966987348816566</c:v>
                </c:pt>
                <c:pt idx="147">
                  <c:v>24.849641660964451</c:v>
                </c:pt>
                <c:pt idx="148">
                  <c:v>24.849641660964451</c:v>
                </c:pt>
                <c:pt idx="149">
                  <c:v>24.849641660964451</c:v>
                </c:pt>
                <c:pt idx="150">
                  <c:v>40.083552418338314</c:v>
                </c:pt>
                <c:pt idx="151">
                  <c:v>22.976915043036698</c:v>
                </c:pt>
                <c:pt idx="152">
                  <c:v>0</c:v>
                </c:pt>
                <c:pt idx="153">
                  <c:v>0</c:v>
                </c:pt>
                <c:pt idx="154">
                  <c:v>23.553138617783702</c:v>
                </c:pt>
                <c:pt idx="155">
                  <c:v>23.709199169277678</c:v>
                </c:pt>
                <c:pt idx="156">
                  <c:v>89.506728610700947</c:v>
                </c:pt>
                <c:pt idx="157">
                  <c:v>30.311760963253743</c:v>
                </c:pt>
                <c:pt idx="158">
                  <c:v>0</c:v>
                </c:pt>
                <c:pt idx="159">
                  <c:v>42.44847000636247</c:v>
                </c:pt>
                <c:pt idx="160">
                  <c:v>61.29121411126799</c:v>
                </c:pt>
                <c:pt idx="161">
                  <c:v>24.741599740699389</c:v>
                </c:pt>
                <c:pt idx="162">
                  <c:v>35.959853040783237</c:v>
                </c:pt>
                <c:pt idx="163">
                  <c:v>0</c:v>
                </c:pt>
                <c:pt idx="164">
                  <c:v>63.547332422112213</c:v>
                </c:pt>
                <c:pt idx="165">
                  <c:v>0</c:v>
                </c:pt>
                <c:pt idx="166">
                  <c:v>27.034489381880167</c:v>
                </c:pt>
                <c:pt idx="167">
                  <c:v>0</c:v>
                </c:pt>
                <c:pt idx="168">
                  <c:v>27.226563906795835</c:v>
                </c:pt>
                <c:pt idx="169">
                  <c:v>31.080059062916412</c:v>
                </c:pt>
                <c:pt idx="170">
                  <c:v>110.29019801992331</c:v>
                </c:pt>
                <c:pt idx="171">
                  <c:v>28.763160106121177</c:v>
                </c:pt>
                <c:pt idx="172">
                  <c:v>42.527862728597526</c:v>
                </c:pt>
                <c:pt idx="173">
                  <c:v>42.692062970792882</c:v>
                </c:pt>
                <c:pt idx="174">
                  <c:v>116.18797693004542</c:v>
                </c:pt>
                <c:pt idx="175">
                  <c:v>112.45963433812319</c:v>
                </c:pt>
                <c:pt idx="176">
                  <c:v>118.89896069870066</c:v>
                </c:pt>
                <c:pt idx="177">
                  <c:v>34.645442431663483</c:v>
                </c:pt>
                <c:pt idx="178">
                  <c:v>131.79146772753211</c:v>
                </c:pt>
                <c:pt idx="179">
                  <c:v>133.01653518683892</c:v>
                </c:pt>
                <c:pt idx="180">
                  <c:v>0</c:v>
                </c:pt>
                <c:pt idx="181">
                  <c:v>39.063156504723828</c:v>
                </c:pt>
                <c:pt idx="182">
                  <c:v>0</c:v>
                </c:pt>
                <c:pt idx="183">
                  <c:v>140.81828058558224</c:v>
                </c:pt>
                <c:pt idx="184">
                  <c:v>146.29884553511269</c:v>
                </c:pt>
                <c:pt idx="185">
                  <c:v>41.848237116001009</c:v>
                </c:pt>
                <c:pt idx="186">
                  <c:v>0</c:v>
                </c:pt>
                <c:pt idx="187">
                  <c:v>0</c:v>
                </c:pt>
              </c:numCache>
            </c:numRef>
          </c:val>
          <c:extLst>
            <c:ext xmlns:c16="http://schemas.microsoft.com/office/drawing/2014/chart" uri="{C3380CC4-5D6E-409C-BE32-E72D297353CC}">
              <c16:uniqueId val="{00000003-B29D-4771-B0AF-CCEC93EB817E}"/>
            </c:ext>
          </c:extLst>
        </c:ser>
        <c:dLbls>
          <c:showLegendKey val="0"/>
          <c:showVal val="0"/>
          <c:showCatName val="0"/>
          <c:showSerName val="0"/>
          <c:showPercent val="0"/>
          <c:showBubbleSize val="0"/>
        </c:dLbls>
        <c:gapWidth val="150"/>
        <c:overlap val="100"/>
        <c:axId val="344829120"/>
        <c:axId val="344829512"/>
      </c:barChart>
      <c:catAx>
        <c:axId val="344829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829512"/>
        <c:crosses val="autoZero"/>
        <c:auto val="1"/>
        <c:lblAlgn val="ctr"/>
        <c:lblOffset val="100"/>
        <c:noMultiLvlLbl val="0"/>
      </c:catAx>
      <c:valAx>
        <c:axId val="3448295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82912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r">
              <a:defRPr/>
            </a:pPr>
            <a:r>
              <a:rPr lang="en-US" sz="1800" b="1" i="0" baseline="0">
                <a:effectLst/>
              </a:rPr>
              <a:t>Total charge drinking water for 160 cities in 2015</a:t>
            </a:r>
            <a:endParaRPr lang="en-US">
              <a:effectLst/>
            </a:endParaRPr>
          </a:p>
          <a:p>
            <a:pPr algn="r">
              <a:defRPr/>
            </a:pPr>
            <a:r>
              <a:rPr lang="en-US" sz="1400" b="1" i="0" baseline="0">
                <a:effectLst/>
              </a:rPr>
              <a:t>for a consumption of 200 m³ in US$</a:t>
            </a:r>
            <a:endParaRPr lang="en-US" sz="1400">
              <a:effectLst/>
            </a:endParaRPr>
          </a:p>
        </c:rich>
      </c:tx>
      <c:layout>
        <c:manualLayout>
          <c:xMode val="edge"/>
          <c:yMode val="edge"/>
          <c:x val="0.82199327165685454"/>
          <c:y val="1.6035277610743637E-2"/>
        </c:manualLayout>
      </c:layout>
      <c:overlay val="0"/>
    </c:title>
    <c:autoTitleDeleted val="0"/>
    <c:plotArea>
      <c:layout/>
      <c:barChart>
        <c:barDir val="col"/>
        <c:grouping val="stacked"/>
        <c:varyColors val="0"/>
        <c:ser>
          <c:idx val="0"/>
          <c:order val="0"/>
          <c:tx>
            <c:strRef>
              <c:f>'[1]DWcharges cities 200 m³ graph'!$B$273</c:f>
              <c:strCache>
                <c:ptCount val="1"/>
                <c:pt idx="0">
                  <c:v>FIXED CHARGE</c:v>
                </c:pt>
              </c:strCache>
            </c:strRef>
          </c:tx>
          <c:invertIfNegative val="0"/>
          <c:cat>
            <c:strRef>
              <c:f>'[1]DWcharges cities 200 m³ graph'!$A$274:$A$429</c:f>
              <c:strCache>
                <c:ptCount val="156"/>
                <c:pt idx="0">
                  <c:v>Guadalajara</c:v>
                </c:pt>
                <c:pt idx="1">
                  <c:v>San Luis Potosi</c:v>
                </c:pt>
                <c:pt idx="2">
                  <c:v>Monterrey</c:v>
                </c:pt>
                <c:pt idx="3">
                  <c:v>Puebla</c:v>
                </c:pt>
                <c:pt idx="4">
                  <c:v>León, Guanajuato</c:v>
                </c:pt>
                <c:pt idx="5">
                  <c:v>Mauritius</c:v>
                </c:pt>
                <c:pt idx="6">
                  <c:v>Kenya Average</c:v>
                </c:pt>
                <c:pt idx="7">
                  <c:v>Taipei</c:v>
                </c:pt>
                <c:pt idx="8">
                  <c:v>Kafubu</c:v>
                </c:pt>
                <c:pt idx="9">
                  <c:v>Miami</c:v>
                </c:pt>
                <c:pt idx="10">
                  <c:v>Thailand Average</c:v>
                </c:pt>
                <c:pt idx="11">
                  <c:v>Mulonga</c:v>
                </c:pt>
                <c:pt idx="12">
                  <c:v>Russia Average</c:v>
                </c:pt>
                <c:pt idx="13">
                  <c:v>Kaohsiung</c:v>
                </c:pt>
                <c:pt idx="14">
                  <c:v>Lusaka</c:v>
                </c:pt>
                <c:pt idx="15">
                  <c:v>Daejeon</c:v>
                </c:pt>
                <c:pt idx="16">
                  <c:v>Gwangju</c:v>
                </c:pt>
                <c:pt idx="17">
                  <c:v>Seoul</c:v>
                </c:pt>
                <c:pt idx="18">
                  <c:v>Daegu</c:v>
                </c:pt>
                <c:pt idx="19">
                  <c:v>Gran Santiago</c:v>
                </c:pt>
                <c:pt idx="20">
                  <c:v>Gyeounggi</c:v>
                </c:pt>
                <c:pt idx="21">
                  <c:v>Incheon</c:v>
                </c:pt>
                <c:pt idx="22">
                  <c:v>Hong Kong</c:v>
                </c:pt>
                <c:pt idx="23">
                  <c:v>NWWSC of Zambia</c:v>
                </c:pt>
                <c:pt idx="24">
                  <c:v>Busan</c:v>
                </c:pt>
                <c:pt idx="25">
                  <c:v>Budapest</c:v>
                </c:pt>
                <c:pt idx="26">
                  <c:v>Concepcion</c:v>
                </c:pt>
                <c:pt idx="27">
                  <c:v>Giurgiu</c:v>
                </c:pt>
                <c:pt idx="28">
                  <c:v>Sibiu</c:v>
                </c:pt>
                <c:pt idx="29">
                  <c:v>Temuco</c:v>
                </c:pt>
                <c:pt idx="30">
                  <c:v>Kampala</c:v>
                </c:pt>
                <c:pt idx="31">
                  <c:v>Apaserv SA Valea Jiului</c:v>
                </c:pt>
                <c:pt idx="32">
                  <c:v>Entebbe</c:v>
                </c:pt>
                <c:pt idx="33">
                  <c:v>Jinja</c:v>
                </c:pt>
                <c:pt idx="34">
                  <c:v>Calarasi</c:v>
                </c:pt>
                <c:pt idx="35">
                  <c:v>Baia Mare</c:v>
                </c:pt>
                <c:pt idx="36">
                  <c:v>Deva</c:v>
                </c:pt>
                <c:pt idx="37">
                  <c:v>Craiova</c:v>
                </c:pt>
                <c:pt idx="38">
                  <c:v>Mbarara</c:v>
                </c:pt>
                <c:pt idx="39">
                  <c:v>Ulsan</c:v>
                </c:pt>
                <c:pt idx="40">
                  <c:v>Miercurea Ciuc</c:v>
                </c:pt>
                <c:pt idx="41">
                  <c:v>Severin</c:v>
                </c:pt>
                <c:pt idx="42">
                  <c:v>Kaposvár</c:v>
                </c:pt>
                <c:pt idx="43">
                  <c:v>Medias</c:v>
                </c:pt>
                <c:pt idx="44">
                  <c:v>Iasi</c:v>
                </c:pt>
                <c:pt idx="45">
                  <c:v>Nagoya</c:v>
                </c:pt>
                <c:pt idx="46">
                  <c:v>Osaka</c:v>
                </c:pt>
                <c:pt idx="47">
                  <c:v>Bilbao</c:v>
                </c:pt>
                <c:pt idx="48">
                  <c:v>Hiroshima</c:v>
                </c:pt>
                <c:pt idx="49">
                  <c:v>Suceava</c:v>
                </c:pt>
                <c:pt idx="50">
                  <c:v>Brasov</c:v>
                </c:pt>
                <c:pt idx="51">
                  <c:v>Thessaloniki</c:v>
                </c:pt>
                <c:pt idx="52">
                  <c:v>Faro</c:v>
                </c:pt>
                <c:pt idx="53">
                  <c:v>Miskolc</c:v>
                </c:pt>
                <c:pt idx="54">
                  <c:v>Debrecen</c:v>
                </c:pt>
                <c:pt idx="55">
                  <c:v>Bialystok</c:v>
                </c:pt>
                <c:pt idx="56">
                  <c:v>Tarnow</c:v>
                </c:pt>
                <c:pt idx="57">
                  <c:v>Sevilla</c:v>
                </c:pt>
                <c:pt idx="58">
                  <c:v>Eindhoven</c:v>
                </c:pt>
                <c:pt idx="59">
                  <c:v>Constanta</c:v>
                </c:pt>
                <c:pt idx="60">
                  <c:v>Madrid</c:v>
                </c:pt>
                <c:pt idx="61">
                  <c:v>Resita</c:v>
                </c:pt>
                <c:pt idx="62">
                  <c:v>Yokohama</c:v>
                </c:pt>
                <c:pt idx="63">
                  <c:v>Fukuoka</c:v>
                </c:pt>
                <c:pt idx="64">
                  <c:v>Utrecht</c:v>
                </c:pt>
                <c:pt idx="65">
                  <c:v>Valencia</c:v>
                </c:pt>
                <c:pt idx="66">
                  <c:v>Chicago</c:v>
                </c:pt>
                <c:pt idx="67">
                  <c:v>Valparaiso</c:v>
                </c:pt>
                <c:pt idx="68">
                  <c:v>Vina del Mar</c:v>
                </c:pt>
                <c:pt idx="69">
                  <c:v>Buzau</c:v>
                </c:pt>
                <c:pt idx="70">
                  <c:v>Tokyo</c:v>
                </c:pt>
                <c:pt idx="71">
                  <c:v>Lisbon</c:v>
                </c:pt>
                <c:pt idx="72">
                  <c:v>Wroclaw</c:v>
                </c:pt>
                <c:pt idx="73">
                  <c:v>Bucharest</c:v>
                </c:pt>
                <c:pt idx="74">
                  <c:v>Coimbra</c:v>
                </c:pt>
                <c:pt idx="75">
                  <c:v>Braga</c:v>
                </c:pt>
                <c:pt idx="76">
                  <c:v>Serres</c:v>
                </c:pt>
                <c:pt idx="77">
                  <c:v>Pécs</c:v>
                </c:pt>
                <c:pt idx="78">
                  <c:v>Alexandroupolis</c:v>
                </c:pt>
                <c:pt idx="79">
                  <c:v>Trondheim</c:v>
                </c:pt>
                <c:pt idx="80">
                  <c:v>Denver</c:v>
                </c:pt>
                <c:pt idx="81">
                  <c:v>Igoumenitsa</c:v>
                </c:pt>
                <c:pt idx="82">
                  <c:v>Porto</c:v>
                </c:pt>
                <c:pt idx="83">
                  <c:v>Sintra</c:v>
                </c:pt>
                <c:pt idx="84">
                  <c:v>Oslo</c:v>
                </c:pt>
                <c:pt idx="85">
                  <c:v>Loures</c:v>
                </c:pt>
                <c:pt idx="86">
                  <c:v>Antwerp</c:v>
                </c:pt>
                <c:pt idx="87">
                  <c:v>Sapporo</c:v>
                </c:pt>
                <c:pt idx="88">
                  <c:v>Genk</c:v>
                </c:pt>
                <c:pt idx="89">
                  <c:v>Rotterdam</c:v>
                </c:pt>
                <c:pt idx="90">
                  <c:v>Durham</c:v>
                </c:pt>
                <c:pt idx="91">
                  <c:v>Espoo</c:v>
                </c:pt>
                <c:pt idx="92">
                  <c:v>Helsinki</c:v>
                </c:pt>
                <c:pt idx="93">
                  <c:v>Vantaa</c:v>
                </c:pt>
                <c:pt idx="94">
                  <c:v>Bergen</c:v>
                </c:pt>
                <c:pt idx="95">
                  <c:v>Paphos</c:v>
                </c:pt>
                <c:pt idx="96">
                  <c:v>Bydgoszcz</c:v>
                </c:pt>
                <c:pt idx="97">
                  <c:v>Lefkosia</c:v>
                </c:pt>
                <c:pt idx="98">
                  <c:v>Saskatoon</c:v>
                </c:pt>
                <c:pt idx="99">
                  <c:v>Minneapolis</c:v>
                </c:pt>
                <c:pt idx="100">
                  <c:v>Winnipeg</c:v>
                </c:pt>
                <c:pt idx="101">
                  <c:v>Reims</c:v>
                </c:pt>
                <c:pt idx="102">
                  <c:v>Lemesos</c:v>
                </c:pt>
                <c:pt idx="103">
                  <c:v>Oulu</c:v>
                </c:pt>
                <c:pt idx="104">
                  <c:v>Amsterdam</c:v>
                </c:pt>
                <c:pt idx="105">
                  <c:v>Den Haag</c:v>
                </c:pt>
                <c:pt idx="106">
                  <c:v>Larnaca</c:v>
                </c:pt>
                <c:pt idx="107">
                  <c:v>Tampere</c:v>
                </c:pt>
                <c:pt idx="108">
                  <c:v>Sendai</c:v>
                </c:pt>
                <c:pt idx="109">
                  <c:v>Los Angeles</c:v>
                </c:pt>
                <c:pt idx="110">
                  <c:v>Louvain</c:v>
                </c:pt>
                <c:pt idx="111">
                  <c:v>Strassbourg</c:v>
                </c:pt>
                <c:pt idx="112">
                  <c:v>Paris</c:v>
                </c:pt>
                <c:pt idx="113">
                  <c:v>Zürich</c:v>
                </c:pt>
                <c:pt idx="114">
                  <c:v>Radom</c:v>
                </c:pt>
                <c:pt idx="115">
                  <c:v>Kortrijk</c:v>
                </c:pt>
                <c:pt idx="116">
                  <c:v>Washington D.C.</c:v>
                </c:pt>
                <c:pt idx="117">
                  <c:v>Lille</c:v>
                </c:pt>
                <c:pt idx="118">
                  <c:v>Basel</c:v>
                </c:pt>
                <c:pt idx="119">
                  <c:v>Brest</c:v>
                </c:pt>
                <c:pt idx="120">
                  <c:v>Bordeaux</c:v>
                </c:pt>
                <c:pt idx="121">
                  <c:v>Perth</c:v>
                </c:pt>
                <c:pt idx="122">
                  <c:v>Calgary</c:v>
                </c:pt>
                <c:pt idx="123">
                  <c:v>Turku</c:v>
                </c:pt>
                <c:pt idx="124">
                  <c:v>Barcelona</c:v>
                </c:pt>
                <c:pt idx="125">
                  <c:v>Lyon</c:v>
                </c:pt>
                <c:pt idx="126">
                  <c:v>Marseille</c:v>
                </c:pt>
                <c:pt idx="127">
                  <c:v>London</c:v>
                </c:pt>
                <c:pt idx="128">
                  <c:v>Leeds</c:v>
                </c:pt>
                <c:pt idx="129">
                  <c:v>Vancouver</c:v>
                </c:pt>
                <c:pt idx="130">
                  <c:v>Sydney</c:v>
                </c:pt>
                <c:pt idx="131">
                  <c:v>Antofagasta</c:v>
                </c:pt>
                <c:pt idx="132">
                  <c:v>SEDIF</c:v>
                </c:pt>
                <c:pt idx="133">
                  <c:v>Esbjerg</c:v>
                </c:pt>
                <c:pt idx="134">
                  <c:v>Melbourne</c:v>
                </c:pt>
                <c:pt idx="135">
                  <c:v>Brussels</c:v>
                </c:pt>
                <c:pt idx="136">
                  <c:v>Cardiff</c:v>
                </c:pt>
                <c:pt idx="137">
                  <c:v>New York</c:v>
                </c:pt>
                <c:pt idx="138">
                  <c:v>Geneva</c:v>
                </c:pt>
                <c:pt idx="139">
                  <c:v>Aalborg</c:v>
                </c:pt>
                <c:pt idx="140">
                  <c:v>Canberra</c:v>
                </c:pt>
                <c:pt idx="141">
                  <c:v>Nancy</c:v>
                </c:pt>
                <c:pt idx="142">
                  <c:v>Le Havre</c:v>
                </c:pt>
                <c:pt idx="143">
                  <c:v>Birmingham</c:v>
                </c:pt>
                <c:pt idx="144">
                  <c:v>Athens</c:v>
                </c:pt>
                <c:pt idx="145">
                  <c:v>Copenhagen</c:v>
                </c:pt>
                <c:pt idx="146">
                  <c:v>Odense</c:v>
                </c:pt>
                <c:pt idx="147">
                  <c:v>Lausanne</c:v>
                </c:pt>
                <c:pt idx="148">
                  <c:v>Bern</c:v>
                </c:pt>
                <c:pt idx="149">
                  <c:v>Manchester</c:v>
                </c:pt>
                <c:pt idx="150">
                  <c:v>Aarhus</c:v>
                </c:pt>
                <c:pt idx="151">
                  <c:v>Charleroi</c:v>
                </c:pt>
                <c:pt idx="152">
                  <c:v>Liège</c:v>
                </c:pt>
                <c:pt idx="153">
                  <c:v>South East Queensland</c:v>
                </c:pt>
                <c:pt idx="154">
                  <c:v>Malta Average</c:v>
                </c:pt>
                <c:pt idx="155">
                  <c:v>Macao, China Average</c:v>
                </c:pt>
              </c:strCache>
            </c:strRef>
          </c:cat>
          <c:val>
            <c:numRef>
              <c:f>'[1]DWcharges cities 200 m³ graph'!$B$274:$B$429</c:f>
              <c:numCache>
                <c:formatCode>General</c:formatCode>
                <c:ptCount val="156"/>
                <c:pt idx="0">
                  <c:v>0</c:v>
                </c:pt>
                <c:pt idx="1">
                  <c:v>0.12736471406911157</c:v>
                </c:pt>
                <c:pt idx="2">
                  <c:v>0.21999359702846541</c:v>
                </c:pt>
                <c:pt idx="3">
                  <c:v>0.27788664887806158</c:v>
                </c:pt>
                <c:pt idx="4">
                  <c:v>0.37051553183741548</c:v>
                </c:pt>
                <c:pt idx="5">
                  <c:v>18.410098329450939</c:v>
                </c:pt>
                <c:pt idx="6">
                  <c:v>5.8330000421920332</c:v>
                </c:pt>
                <c:pt idx="7">
                  <c:v>23.588728700587662</c:v>
                </c:pt>
                <c:pt idx="8">
                  <c:v>0.45205790319270417</c:v>
                </c:pt>
                <c:pt idx="9">
                  <c:v>38.4</c:v>
                </c:pt>
                <c:pt idx="11">
                  <c:v>0.45205790319270417</c:v>
                </c:pt>
                <c:pt idx="12">
                  <c:v>0</c:v>
                </c:pt>
                <c:pt idx="13">
                  <c:v>28.548410119685581</c:v>
                </c:pt>
                <c:pt idx="14">
                  <c:v>0.90411580638540834</c:v>
                </c:pt>
                <c:pt idx="15">
                  <c:v>0</c:v>
                </c:pt>
                <c:pt idx="16">
                  <c:v>0</c:v>
                </c:pt>
                <c:pt idx="17">
                  <c:v>0</c:v>
                </c:pt>
                <c:pt idx="18">
                  <c:v>0</c:v>
                </c:pt>
                <c:pt idx="19">
                  <c:v>10.266807607901336</c:v>
                </c:pt>
                <c:pt idx="20">
                  <c:v>0</c:v>
                </c:pt>
                <c:pt idx="21">
                  <c:v>0</c:v>
                </c:pt>
                <c:pt idx="22">
                  <c:v>0</c:v>
                </c:pt>
                <c:pt idx="23">
                  <c:v>0.45205790319270417</c:v>
                </c:pt>
                <c:pt idx="24">
                  <c:v>0</c:v>
                </c:pt>
                <c:pt idx="25">
                  <c:v>5.8529268955314864</c:v>
                </c:pt>
                <c:pt idx="26">
                  <c:v>10.80827622831805</c:v>
                </c:pt>
                <c:pt idx="27">
                  <c:v>0</c:v>
                </c:pt>
                <c:pt idx="28">
                  <c:v>0</c:v>
                </c:pt>
                <c:pt idx="29">
                  <c:v>18.17506228998753</c:v>
                </c:pt>
                <c:pt idx="30">
                  <c:v>6.2107469240751092</c:v>
                </c:pt>
                <c:pt idx="31">
                  <c:v>0</c:v>
                </c:pt>
                <c:pt idx="32">
                  <c:v>6.8004827155024818</c:v>
                </c:pt>
                <c:pt idx="33">
                  <c:v>5.6983294343154336</c:v>
                </c:pt>
                <c:pt idx="34">
                  <c:v>0</c:v>
                </c:pt>
                <c:pt idx="35">
                  <c:v>0</c:v>
                </c:pt>
                <c:pt idx="36">
                  <c:v>0</c:v>
                </c:pt>
                <c:pt idx="37">
                  <c:v>0</c:v>
                </c:pt>
                <c:pt idx="38">
                  <c:v>6.0869788442192148</c:v>
                </c:pt>
                <c:pt idx="39">
                  <c:v>0</c:v>
                </c:pt>
                <c:pt idx="40">
                  <c:v>0</c:v>
                </c:pt>
                <c:pt idx="41">
                  <c:v>0</c:v>
                </c:pt>
                <c:pt idx="42">
                  <c:v>0</c:v>
                </c:pt>
                <c:pt idx="43">
                  <c:v>0</c:v>
                </c:pt>
                <c:pt idx="44">
                  <c:v>0</c:v>
                </c:pt>
                <c:pt idx="45">
                  <c:v>62.341061463798042</c:v>
                </c:pt>
                <c:pt idx="46">
                  <c:v>84.783843590765343</c:v>
                </c:pt>
                <c:pt idx="47">
                  <c:v>35.756943992008168</c:v>
                </c:pt>
                <c:pt idx="48">
                  <c:v>80.794015657082269</c:v>
                </c:pt>
                <c:pt idx="49">
                  <c:v>0</c:v>
                </c:pt>
                <c:pt idx="50">
                  <c:v>0</c:v>
                </c:pt>
                <c:pt idx="51">
                  <c:v>26.06032966317024</c:v>
                </c:pt>
                <c:pt idx="52">
                  <c:v>35.561491519534393</c:v>
                </c:pt>
                <c:pt idx="53">
                  <c:v>0</c:v>
                </c:pt>
                <c:pt idx="54">
                  <c:v>4.2382076519995646</c:v>
                </c:pt>
                <c:pt idx="55">
                  <c:v>0</c:v>
                </c:pt>
                <c:pt idx="56">
                  <c:v>0</c:v>
                </c:pt>
                <c:pt idx="57">
                  <c:v>50.339870132690514</c:v>
                </c:pt>
                <c:pt idx="58">
                  <c:v>76.487067561404658</c:v>
                </c:pt>
                <c:pt idx="59">
                  <c:v>0</c:v>
                </c:pt>
                <c:pt idx="60">
                  <c:v>66.486416053163069</c:v>
                </c:pt>
                <c:pt idx="61">
                  <c:v>0</c:v>
                </c:pt>
                <c:pt idx="62">
                  <c:v>78.799101690240732</c:v>
                </c:pt>
                <c:pt idx="63">
                  <c:v>84.783843590765343</c:v>
                </c:pt>
                <c:pt idx="64">
                  <c:v>48.863118118444199</c:v>
                </c:pt>
                <c:pt idx="65">
                  <c:v>77.008274154668058</c:v>
                </c:pt>
                <c:pt idx="66">
                  <c:v>0</c:v>
                </c:pt>
                <c:pt idx="67">
                  <c:v>17.885341417764561</c:v>
                </c:pt>
                <c:pt idx="68">
                  <c:v>17.885341417764561</c:v>
                </c:pt>
                <c:pt idx="69">
                  <c:v>0</c:v>
                </c:pt>
                <c:pt idx="70">
                  <c:v>116.70246706022994</c:v>
                </c:pt>
                <c:pt idx="71">
                  <c:v>55.899407127500162</c:v>
                </c:pt>
                <c:pt idx="72">
                  <c:v>0</c:v>
                </c:pt>
                <c:pt idx="73">
                  <c:v>0</c:v>
                </c:pt>
                <c:pt idx="74">
                  <c:v>50.752492019024046</c:v>
                </c:pt>
                <c:pt idx="75">
                  <c:v>61.111473060134216</c:v>
                </c:pt>
                <c:pt idx="76">
                  <c:v>86.324842009251412</c:v>
                </c:pt>
                <c:pt idx="77">
                  <c:v>0</c:v>
                </c:pt>
                <c:pt idx="78">
                  <c:v>55.378200534236761</c:v>
                </c:pt>
                <c:pt idx="79">
                  <c:v>33.858898682888842</c:v>
                </c:pt>
                <c:pt idx="80">
                  <c:v>105.48</c:v>
                </c:pt>
                <c:pt idx="81">
                  <c:v>52.989336981779488</c:v>
                </c:pt>
                <c:pt idx="82">
                  <c:v>44.639173018872022</c:v>
                </c:pt>
                <c:pt idx="83">
                  <c:v>53.032770864551445</c:v>
                </c:pt>
                <c:pt idx="84">
                  <c:v>35.438980621423653</c:v>
                </c:pt>
                <c:pt idx="85">
                  <c:v>40.328360153755945</c:v>
                </c:pt>
                <c:pt idx="86">
                  <c:v>73.663865181227877</c:v>
                </c:pt>
                <c:pt idx="87">
                  <c:v>131.66432181154147</c:v>
                </c:pt>
                <c:pt idx="88">
                  <c:v>57.75620561600104</c:v>
                </c:pt>
                <c:pt idx="89">
                  <c:v>64.890220861293898</c:v>
                </c:pt>
                <c:pt idx="90">
                  <c:v>136.91002870276452</c:v>
                </c:pt>
                <c:pt idx="91">
                  <c:v>41.902838404239155</c:v>
                </c:pt>
                <c:pt idx="92">
                  <c:v>41.902838404239155</c:v>
                </c:pt>
                <c:pt idx="93">
                  <c:v>41.902838404239155</c:v>
                </c:pt>
                <c:pt idx="94">
                  <c:v>277.53010620407883</c:v>
                </c:pt>
                <c:pt idx="95">
                  <c:v>52.12065932634048</c:v>
                </c:pt>
                <c:pt idx="96">
                  <c:v>0</c:v>
                </c:pt>
                <c:pt idx="97">
                  <c:v>45.605576910547917</c:v>
                </c:pt>
                <c:pt idx="98">
                  <c:v>75.965211386149292</c:v>
                </c:pt>
                <c:pt idx="99">
                  <c:v>42</c:v>
                </c:pt>
                <c:pt idx="100">
                  <c:v>93.661652674968167</c:v>
                </c:pt>
                <c:pt idx="101">
                  <c:v>11.890025408821421</c:v>
                </c:pt>
                <c:pt idx="102">
                  <c:v>71.665906573718161</c:v>
                </c:pt>
                <c:pt idx="103">
                  <c:v>45.540426086389992</c:v>
                </c:pt>
                <c:pt idx="104">
                  <c:v>45.76845397094273</c:v>
                </c:pt>
                <c:pt idx="105">
                  <c:v>66.432123699698138</c:v>
                </c:pt>
                <c:pt idx="106">
                  <c:v>71.665906573718161</c:v>
                </c:pt>
                <c:pt idx="107">
                  <c:v>83.523356570460621</c:v>
                </c:pt>
                <c:pt idx="108">
                  <c:v>124.68212292759608</c:v>
                </c:pt>
                <c:pt idx="109">
                  <c:v>0</c:v>
                </c:pt>
                <c:pt idx="110">
                  <c:v>57.75620561600104</c:v>
                </c:pt>
                <c:pt idx="111">
                  <c:v>30.794622885312833</c:v>
                </c:pt>
                <c:pt idx="112">
                  <c:v>22.824505396659934</c:v>
                </c:pt>
                <c:pt idx="113">
                  <c:v>107.83824263604592</c:v>
                </c:pt>
                <c:pt idx="114">
                  <c:v>21.680216802168019</c:v>
                </c:pt>
                <c:pt idx="115">
                  <c:v>57.75620561600104</c:v>
                </c:pt>
                <c:pt idx="116">
                  <c:v>46.32</c:v>
                </c:pt>
                <c:pt idx="117">
                  <c:v>19.990444545790172</c:v>
                </c:pt>
                <c:pt idx="118">
                  <c:v>69.895157264103844</c:v>
                </c:pt>
                <c:pt idx="119">
                  <c:v>6.667101005494386</c:v>
                </c:pt>
                <c:pt idx="120">
                  <c:v>59.623862575194906</c:v>
                </c:pt>
                <c:pt idx="121">
                  <c:v>157.86127209875099</c:v>
                </c:pt>
                <c:pt idx="122">
                  <c:v>136.39208407967715</c:v>
                </c:pt>
                <c:pt idx="123">
                  <c:v>117.27148348426608</c:v>
                </c:pt>
                <c:pt idx="124">
                  <c:v>90.429343931200734</c:v>
                </c:pt>
                <c:pt idx="125">
                  <c:v>66.193237344452413</c:v>
                </c:pt>
                <c:pt idx="126">
                  <c:v>20.631094316676439</c:v>
                </c:pt>
                <c:pt idx="127">
                  <c:v>31.31677842458183</c:v>
                </c:pt>
                <c:pt idx="128">
                  <c:v>32.996831478888808</c:v>
                </c:pt>
                <c:pt idx="129">
                  <c:v>408.60075821337881</c:v>
                </c:pt>
                <c:pt idx="130">
                  <c:v>83.315671385451921</c:v>
                </c:pt>
                <c:pt idx="131">
                  <c:v>15.456467891895299</c:v>
                </c:pt>
                <c:pt idx="132">
                  <c:v>0</c:v>
                </c:pt>
                <c:pt idx="133">
                  <c:v>96.32243279618784</c:v>
                </c:pt>
                <c:pt idx="134">
                  <c:v>114.01091873798683</c:v>
                </c:pt>
                <c:pt idx="135">
                  <c:v>25.84316024931049</c:v>
                </c:pt>
                <c:pt idx="136">
                  <c:v>50.696337779087763</c:v>
                </c:pt>
                <c:pt idx="137">
                  <c:v>178.85</c:v>
                </c:pt>
                <c:pt idx="138">
                  <c:v>197.70344483275088</c:v>
                </c:pt>
                <c:pt idx="139">
                  <c:v>141.87043032265103</c:v>
                </c:pt>
                <c:pt idx="140">
                  <c:v>75.276439935978487</c:v>
                </c:pt>
                <c:pt idx="141">
                  <c:v>45.76845397094273</c:v>
                </c:pt>
                <c:pt idx="142">
                  <c:v>32.977175494603344</c:v>
                </c:pt>
                <c:pt idx="143">
                  <c:v>43.504531722054381</c:v>
                </c:pt>
                <c:pt idx="144">
                  <c:v>13.03016483158512</c:v>
                </c:pt>
                <c:pt idx="145">
                  <c:v>55.872831108362739</c:v>
                </c:pt>
                <c:pt idx="146">
                  <c:v>69.841038885453429</c:v>
                </c:pt>
                <c:pt idx="147">
                  <c:v>135.79630554168747</c:v>
                </c:pt>
                <c:pt idx="148">
                  <c:v>4.8227658512231653</c:v>
                </c:pt>
                <c:pt idx="149">
                  <c:v>51.271092771350673</c:v>
                </c:pt>
                <c:pt idx="150">
                  <c:v>80.026190389582041</c:v>
                </c:pt>
                <c:pt idx="151">
                  <c:v>113.74248050904511</c:v>
                </c:pt>
                <c:pt idx="152">
                  <c:v>114.1008100419137</c:v>
                </c:pt>
                <c:pt idx="153">
                  <c:v>162.2463074348274</c:v>
                </c:pt>
                <c:pt idx="154">
                  <c:v>64.064977088626833</c:v>
                </c:pt>
                <c:pt idx="155">
                  <c:v>0</c:v>
                </c:pt>
              </c:numCache>
            </c:numRef>
          </c:val>
          <c:extLst>
            <c:ext xmlns:c16="http://schemas.microsoft.com/office/drawing/2014/chart" uri="{C3380CC4-5D6E-409C-BE32-E72D297353CC}">
              <c16:uniqueId val="{00000000-F584-46D2-82EF-ED33EB05DC03}"/>
            </c:ext>
          </c:extLst>
        </c:ser>
        <c:ser>
          <c:idx val="1"/>
          <c:order val="1"/>
          <c:tx>
            <c:strRef>
              <c:f>'[1]DWcharges cities 200 m³ graph'!$C$273</c:f>
              <c:strCache>
                <c:ptCount val="1"/>
                <c:pt idx="0">
                  <c:v>VARIABLE CHARGE</c:v>
                </c:pt>
              </c:strCache>
            </c:strRef>
          </c:tx>
          <c:invertIfNegative val="0"/>
          <c:cat>
            <c:strRef>
              <c:f>'[1]DWcharges cities 200 m³ graph'!$A$274:$A$429</c:f>
              <c:strCache>
                <c:ptCount val="156"/>
                <c:pt idx="0">
                  <c:v>Guadalajara</c:v>
                </c:pt>
                <c:pt idx="1">
                  <c:v>San Luis Potosi</c:v>
                </c:pt>
                <c:pt idx="2">
                  <c:v>Monterrey</c:v>
                </c:pt>
                <c:pt idx="3">
                  <c:v>Puebla</c:v>
                </c:pt>
                <c:pt idx="4">
                  <c:v>León, Guanajuato</c:v>
                </c:pt>
                <c:pt idx="5">
                  <c:v>Mauritius</c:v>
                </c:pt>
                <c:pt idx="6">
                  <c:v>Kenya Average</c:v>
                </c:pt>
                <c:pt idx="7">
                  <c:v>Taipei</c:v>
                </c:pt>
                <c:pt idx="8">
                  <c:v>Kafubu</c:v>
                </c:pt>
                <c:pt idx="9">
                  <c:v>Miami</c:v>
                </c:pt>
                <c:pt idx="10">
                  <c:v>Thailand Average</c:v>
                </c:pt>
                <c:pt idx="11">
                  <c:v>Mulonga</c:v>
                </c:pt>
                <c:pt idx="12">
                  <c:v>Russia Average</c:v>
                </c:pt>
                <c:pt idx="13">
                  <c:v>Kaohsiung</c:v>
                </c:pt>
                <c:pt idx="14">
                  <c:v>Lusaka</c:v>
                </c:pt>
                <c:pt idx="15">
                  <c:v>Daejeon</c:v>
                </c:pt>
                <c:pt idx="16">
                  <c:v>Gwangju</c:v>
                </c:pt>
                <c:pt idx="17">
                  <c:v>Seoul</c:v>
                </c:pt>
                <c:pt idx="18">
                  <c:v>Daegu</c:v>
                </c:pt>
                <c:pt idx="19">
                  <c:v>Gran Santiago</c:v>
                </c:pt>
                <c:pt idx="20">
                  <c:v>Gyeounggi</c:v>
                </c:pt>
                <c:pt idx="21">
                  <c:v>Incheon</c:v>
                </c:pt>
                <c:pt idx="22">
                  <c:v>Hong Kong</c:v>
                </c:pt>
                <c:pt idx="23">
                  <c:v>NWWSC of Zambia</c:v>
                </c:pt>
                <c:pt idx="24">
                  <c:v>Busan</c:v>
                </c:pt>
                <c:pt idx="25">
                  <c:v>Budapest</c:v>
                </c:pt>
                <c:pt idx="26">
                  <c:v>Concepcion</c:v>
                </c:pt>
                <c:pt idx="27">
                  <c:v>Giurgiu</c:v>
                </c:pt>
                <c:pt idx="28">
                  <c:v>Sibiu</c:v>
                </c:pt>
                <c:pt idx="29">
                  <c:v>Temuco</c:v>
                </c:pt>
                <c:pt idx="30">
                  <c:v>Kampala</c:v>
                </c:pt>
                <c:pt idx="31">
                  <c:v>Apaserv SA Valea Jiului</c:v>
                </c:pt>
                <c:pt idx="32">
                  <c:v>Entebbe</c:v>
                </c:pt>
                <c:pt idx="33">
                  <c:v>Jinja</c:v>
                </c:pt>
                <c:pt idx="34">
                  <c:v>Calarasi</c:v>
                </c:pt>
                <c:pt idx="35">
                  <c:v>Baia Mare</c:v>
                </c:pt>
                <c:pt idx="36">
                  <c:v>Deva</c:v>
                </c:pt>
                <c:pt idx="37">
                  <c:v>Craiova</c:v>
                </c:pt>
                <c:pt idx="38">
                  <c:v>Mbarara</c:v>
                </c:pt>
                <c:pt idx="39">
                  <c:v>Ulsan</c:v>
                </c:pt>
                <c:pt idx="40">
                  <c:v>Miercurea Ciuc</c:v>
                </c:pt>
                <c:pt idx="41">
                  <c:v>Severin</c:v>
                </c:pt>
                <c:pt idx="42">
                  <c:v>Kaposvár</c:v>
                </c:pt>
                <c:pt idx="43">
                  <c:v>Medias</c:v>
                </c:pt>
                <c:pt idx="44">
                  <c:v>Iasi</c:v>
                </c:pt>
                <c:pt idx="45">
                  <c:v>Nagoya</c:v>
                </c:pt>
                <c:pt idx="46">
                  <c:v>Osaka</c:v>
                </c:pt>
                <c:pt idx="47">
                  <c:v>Bilbao</c:v>
                </c:pt>
                <c:pt idx="48">
                  <c:v>Hiroshima</c:v>
                </c:pt>
                <c:pt idx="49">
                  <c:v>Suceava</c:v>
                </c:pt>
                <c:pt idx="50">
                  <c:v>Brasov</c:v>
                </c:pt>
                <c:pt idx="51">
                  <c:v>Thessaloniki</c:v>
                </c:pt>
                <c:pt idx="52">
                  <c:v>Faro</c:v>
                </c:pt>
                <c:pt idx="53">
                  <c:v>Miskolc</c:v>
                </c:pt>
                <c:pt idx="54">
                  <c:v>Debrecen</c:v>
                </c:pt>
                <c:pt idx="55">
                  <c:v>Bialystok</c:v>
                </c:pt>
                <c:pt idx="56">
                  <c:v>Tarnow</c:v>
                </c:pt>
                <c:pt idx="57">
                  <c:v>Sevilla</c:v>
                </c:pt>
                <c:pt idx="58">
                  <c:v>Eindhoven</c:v>
                </c:pt>
                <c:pt idx="59">
                  <c:v>Constanta</c:v>
                </c:pt>
                <c:pt idx="60">
                  <c:v>Madrid</c:v>
                </c:pt>
                <c:pt idx="61">
                  <c:v>Resita</c:v>
                </c:pt>
                <c:pt idx="62">
                  <c:v>Yokohama</c:v>
                </c:pt>
                <c:pt idx="63">
                  <c:v>Fukuoka</c:v>
                </c:pt>
                <c:pt idx="64">
                  <c:v>Utrecht</c:v>
                </c:pt>
                <c:pt idx="65">
                  <c:v>Valencia</c:v>
                </c:pt>
                <c:pt idx="66">
                  <c:v>Chicago</c:v>
                </c:pt>
                <c:pt idx="67">
                  <c:v>Valparaiso</c:v>
                </c:pt>
                <c:pt idx="68">
                  <c:v>Vina del Mar</c:v>
                </c:pt>
                <c:pt idx="69">
                  <c:v>Buzau</c:v>
                </c:pt>
                <c:pt idx="70">
                  <c:v>Tokyo</c:v>
                </c:pt>
                <c:pt idx="71">
                  <c:v>Lisbon</c:v>
                </c:pt>
                <c:pt idx="72">
                  <c:v>Wroclaw</c:v>
                </c:pt>
                <c:pt idx="73">
                  <c:v>Bucharest</c:v>
                </c:pt>
                <c:pt idx="74">
                  <c:v>Coimbra</c:v>
                </c:pt>
                <c:pt idx="75">
                  <c:v>Braga</c:v>
                </c:pt>
                <c:pt idx="76">
                  <c:v>Serres</c:v>
                </c:pt>
                <c:pt idx="77">
                  <c:v>Pécs</c:v>
                </c:pt>
                <c:pt idx="78">
                  <c:v>Alexandroupolis</c:v>
                </c:pt>
                <c:pt idx="79">
                  <c:v>Trondheim</c:v>
                </c:pt>
                <c:pt idx="80">
                  <c:v>Denver</c:v>
                </c:pt>
                <c:pt idx="81">
                  <c:v>Igoumenitsa</c:v>
                </c:pt>
                <c:pt idx="82">
                  <c:v>Porto</c:v>
                </c:pt>
                <c:pt idx="83">
                  <c:v>Sintra</c:v>
                </c:pt>
                <c:pt idx="84">
                  <c:v>Oslo</c:v>
                </c:pt>
                <c:pt idx="85">
                  <c:v>Loures</c:v>
                </c:pt>
                <c:pt idx="86">
                  <c:v>Antwerp</c:v>
                </c:pt>
                <c:pt idx="87">
                  <c:v>Sapporo</c:v>
                </c:pt>
                <c:pt idx="88">
                  <c:v>Genk</c:v>
                </c:pt>
                <c:pt idx="89">
                  <c:v>Rotterdam</c:v>
                </c:pt>
                <c:pt idx="90">
                  <c:v>Durham</c:v>
                </c:pt>
                <c:pt idx="91">
                  <c:v>Espoo</c:v>
                </c:pt>
                <c:pt idx="92">
                  <c:v>Helsinki</c:v>
                </c:pt>
                <c:pt idx="93">
                  <c:v>Vantaa</c:v>
                </c:pt>
                <c:pt idx="94">
                  <c:v>Bergen</c:v>
                </c:pt>
                <c:pt idx="95">
                  <c:v>Paphos</c:v>
                </c:pt>
                <c:pt idx="96">
                  <c:v>Bydgoszcz</c:v>
                </c:pt>
                <c:pt idx="97">
                  <c:v>Lefkosia</c:v>
                </c:pt>
                <c:pt idx="98">
                  <c:v>Saskatoon</c:v>
                </c:pt>
                <c:pt idx="99">
                  <c:v>Minneapolis</c:v>
                </c:pt>
                <c:pt idx="100">
                  <c:v>Winnipeg</c:v>
                </c:pt>
                <c:pt idx="101">
                  <c:v>Reims</c:v>
                </c:pt>
                <c:pt idx="102">
                  <c:v>Lemesos</c:v>
                </c:pt>
                <c:pt idx="103">
                  <c:v>Oulu</c:v>
                </c:pt>
                <c:pt idx="104">
                  <c:v>Amsterdam</c:v>
                </c:pt>
                <c:pt idx="105">
                  <c:v>Den Haag</c:v>
                </c:pt>
                <c:pt idx="106">
                  <c:v>Larnaca</c:v>
                </c:pt>
                <c:pt idx="107">
                  <c:v>Tampere</c:v>
                </c:pt>
                <c:pt idx="108">
                  <c:v>Sendai</c:v>
                </c:pt>
                <c:pt idx="109">
                  <c:v>Los Angeles</c:v>
                </c:pt>
                <c:pt idx="110">
                  <c:v>Louvain</c:v>
                </c:pt>
                <c:pt idx="111">
                  <c:v>Strassbourg</c:v>
                </c:pt>
                <c:pt idx="112">
                  <c:v>Paris</c:v>
                </c:pt>
                <c:pt idx="113">
                  <c:v>Zürich</c:v>
                </c:pt>
                <c:pt idx="114">
                  <c:v>Radom</c:v>
                </c:pt>
                <c:pt idx="115">
                  <c:v>Kortrijk</c:v>
                </c:pt>
                <c:pt idx="116">
                  <c:v>Washington D.C.</c:v>
                </c:pt>
                <c:pt idx="117">
                  <c:v>Lille</c:v>
                </c:pt>
                <c:pt idx="118">
                  <c:v>Basel</c:v>
                </c:pt>
                <c:pt idx="119">
                  <c:v>Brest</c:v>
                </c:pt>
                <c:pt idx="120">
                  <c:v>Bordeaux</c:v>
                </c:pt>
                <c:pt idx="121">
                  <c:v>Perth</c:v>
                </c:pt>
                <c:pt idx="122">
                  <c:v>Calgary</c:v>
                </c:pt>
                <c:pt idx="123">
                  <c:v>Turku</c:v>
                </c:pt>
                <c:pt idx="124">
                  <c:v>Barcelona</c:v>
                </c:pt>
                <c:pt idx="125">
                  <c:v>Lyon</c:v>
                </c:pt>
                <c:pt idx="126">
                  <c:v>Marseille</c:v>
                </c:pt>
                <c:pt idx="127">
                  <c:v>London</c:v>
                </c:pt>
                <c:pt idx="128">
                  <c:v>Leeds</c:v>
                </c:pt>
                <c:pt idx="129">
                  <c:v>Vancouver</c:v>
                </c:pt>
                <c:pt idx="130">
                  <c:v>Sydney</c:v>
                </c:pt>
                <c:pt idx="131">
                  <c:v>Antofagasta</c:v>
                </c:pt>
                <c:pt idx="132">
                  <c:v>SEDIF</c:v>
                </c:pt>
                <c:pt idx="133">
                  <c:v>Esbjerg</c:v>
                </c:pt>
                <c:pt idx="134">
                  <c:v>Melbourne</c:v>
                </c:pt>
                <c:pt idx="135">
                  <c:v>Brussels</c:v>
                </c:pt>
                <c:pt idx="136">
                  <c:v>Cardiff</c:v>
                </c:pt>
                <c:pt idx="137">
                  <c:v>New York</c:v>
                </c:pt>
                <c:pt idx="138">
                  <c:v>Geneva</c:v>
                </c:pt>
                <c:pt idx="139">
                  <c:v>Aalborg</c:v>
                </c:pt>
                <c:pt idx="140">
                  <c:v>Canberra</c:v>
                </c:pt>
                <c:pt idx="141">
                  <c:v>Nancy</c:v>
                </c:pt>
                <c:pt idx="142">
                  <c:v>Le Havre</c:v>
                </c:pt>
                <c:pt idx="143">
                  <c:v>Birmingham</c:v>
                </c:pt>
                <c:pt idx="144">
                  <c:v>Athens</c:v>
                </c:pt>
                <c:pt idx="145">
                  <c:v>Copenhagen</c:v>
                </c:pt>
                <c:pt idx="146">
                  <c:v>Odense</c:v>
                </c:pt>
                <c:pt idx="147">
                  <c:v>Lausanne</c:v>
                </c:pt>
                <c:pt idx="148">
                  <c:v>Bern</c:v>
                </c:pt>
                <c:pt idx="149">
                  <c:v>Manchester</c:v>
                </c:pt>
                <c:pt idx="150">
                  <c:v>Aarhus</c:v>
                </c:pt>
                <c:pt idx="151">
                  <c:v>Charleroi</c:v>
                </c:pt>
                <c:pt idx="152">
                  <c:v>Liège</c:v>
                </c:pt>
                <c:pt idx="153">
                  <c:v>South East Queensland</c:v>
                </c:pt>
                <c:pt idx="154">
                  <c:v>Malta Average</c:v>
                </c:pt>
                <c:pt idx="155">
                  <c:v>Macao, China Average</c:v>
                </c:pt>
              </c:strCache>
            </c:strRef>
          </c:cat>
          <c:val>
            <c:numRef>
              <c:f>'[1]DWcharges cities 200 m³ graph'!$C$274:$C$429</c:f>
              <c:numCache>
                <c:formatCode>General</c:formatCode>
                <c:ptCount val="156"/>
                <c:pt idx="0">
                  <c:v>0.99576049181305393</c:v>
                </c:pt>
                <c:pt idx="1">
                  <c:v>0.97260327107321554</c:v>
                </c:pt>
                <c:pt idx="2">
                  <c:v>1.0304963229228117</c:v>
                </c:pt>
                <c:pt idx="3">
                  <c:v>1.2620685303211963</c:v>
                </c:pt>
                <c:pt idx="4">
                  <c:v>2.1188856976952195</c:v>
                </c:pt>
                <c:pt idx="5">
                  <c:v>20.418472692663769</c:v>
                </c:pt>
                <c:pt idx="6">
                  <c:v>44.749609723688842</c:v>
                </c:pt>
                <c:pt idx="7">
                  <c:v>28.911313638156159</c:v>
                </c:pt>
                <c:pt idx="8">
                  <c:v>60.485347447183813</c:v>
                </c:pt>
                <c:pt idx="9">
                  <c:v>26.24</c:v>
                </c:pt>
                <c:pt idx="11">
                  <c:v>67.933453460186811</c:v>
                </c:pt>
                <c:pt idx="12">
                  <c:v>69.373075082106553</c:v>
                </c:pt>
                <c:pt idx="13">
                  <c:v>47.177457401175324</c:v>
                </c:pt>
                <c:pt idx="14">
                  <c:v>82.182318568820847</c:v>
                </c:pt>
                <c:pt idx="15">
                  <c:v>86.322270986620239</c:v>
                </c:pt>
                <c:pt idx="16">
                  <c:v>90.043657489822451</c:v>
                </c:pt>
                <c:pt idx="17">
                  <c:v>97.313579210559041</c:v>
                </c:pt>
                <c:pt idx="18">
                  <c:v>98.111745441437108</c:v>
                </c:pt>
                <c:pt idx="19">
                  <c:v>94.520731356743156</c:v>
                </c:pt>
                <c:pt idx="20">
                  <c:v>107.49994272182887</c:v>
                </c:pt>
                <c:pt idx="21">
                  <c:v>112.47195911545151</c:v>
                </c:pt>
                <c:pt idx="22">
                  <c:v>114.49633598349713</c:v>
                </c:pt>
                <c:pt idx="23">
                  <c:v>119.28723126287801</c:v>
                </c:pt>
                <c:pt idx="24">
                  <c:v>121.17891897585818</c:v>
                </c:pt>
                <c:pt idx="25">
                  <c:v>118.71112903407392</c:v>
                </c:pt>
                <c:pt idx="26">
                  <c:v>115.19076853665082</c:v>
                </c:pt>
                <c:pt idx="27">
                  <c:v>129.34286638163331</c:v>
                </c:pt>
                <c:pt idx="28">
                  <c:v>133.17524760775578</c:v>
                </c:pt>
                <c:pt idx="29">
                  <c:v>120.2116593805149</c:v>
                </c:pt>
                <c:pt idx="30">
                  <c:v>134.41830842819701</c:v>
                </c:pt>
                <c:pt idx="31">
                  <c:v>142.75620067306195</c:v>
                </c:pt>
                <c:pt idx="32">
                  <c:v>136.9877455254429</c:v>
                </c:pt>
                <c:pt idx="33">
                  <c:v>138.68110452774681</c:v>
                </c:pt>
                <c:pt idx="34">
                  <c:v>144.6723912861232</c:v>
                </c:pt>
                <c:pt idx="35">
                  <c:v>145.1514389393885</c:v>
                </c:pt>
                <c:pt idx="36">
                  <c:v>146.10953424591912</c:v>
                </c:pt>
                <c:pt idx="37">
                  <c:v>146.58858189918442</c:v>
                </c:pt>
                <c:pt idx="38">
                  <c:v>141.14617661703821</c:v>
                </c:pt>
                <c:pt idx="39">
                  <c:v>147.76412455975458</c:v>
                </c:pt>
                <c:pt idx="40">
                  <c:v>148.02572485898034</c:v>
                </c:pt>
                <c:pt idx="41">
                  <c:v>148.98382016551096</c:v>
                </c:pt>
                <c:pt idx="42">
                  <c:v>149.97264445255973</c:v>
                </c:pt>
                <c:pt idx="43">
                  <c:v>152.81620139163343</c:v>
                </c:pt>
                <c:pt idx="44">
                  <c:v>153.29524904489875</c:v>
                </c:pt>
                <c:pt idx="45">
                  <c:v>96.154853201762108</c:v>
                </c:pt>
                <c:pt idx="46">
                  <c:v>74.47678809541739</c:v>
                </c:pt>
                <c:pt idx="47">
                  <c:v>125.73023215410342</c:v>
                </c:pt>
                <c:pt idx="48">
                  <c:v>85.781300574186105</c:v>
                </c:pt>
                <c:pt idx="49">
                  <c:v>168.14572629612331</c:v>
                </c:pt>
                <c:pt idx="50">
                  <c:v>168.62477394938861</c:v>
                </c:pt>
                <c:pt idx="51">
                  <c:v>143.98332138901557</c:v>
                </c:pt>
                <c:pt idx="52">
                  <c:v>135.11195083284471</c:v>
                </c:pt>
                <c:pt idx="53">
                  <c:v>171.53895861350634</c:v>
                </c:pt>
                <c:pt idx="54">
                  <c:v>168.63315255478366</c:v>
                </c:pt>
                <c:pt idx="55">
                  <c:v>173.0773610257111</c:v>
                </c:pt>
                <c:pt idx="56">
                  <c:v>159.41335883947076</c:v>
                </c:pt>
                <c:pt idx="57">
                  <c:v>123.66712272243578</c:v>
                </c:pt>
                <c:pt idx="58">
                  <c:v>100.22368449627554</c:v>
                </c:pt>
                <c:pt idx="59">
                  <c:v>176.76858405489887</c:v>
                </c:pt>
                <c:pt idx="60">
                  <c:v>113.72076356765913</c:v>
                </c:pt>
                <c:pt idx="61">
                  <c:v>184.4333465071438</c:v>
                </c:pt>
                <c:pt idx="62">
                  <c:v>113.64359897773959</c:v>
                </c:pt>
                <c:pt idx="63">
                  <c:v>109.72026817628456</c:v>
                </c:pt>
                <c:pt idx="64">
                  <c:v>147.67520142463135</c:v>
                </c:pt>
                <c:pt idx="65">
                  <c:v>121.41941928898733</c:v>
                </c:pt>
                <c:pt idx="66">
                  <c:v>201.31</c:v>
                </c:pt>
                <c:pt idx="67">
                  <c:v>190.04704729426021</c:v>
                </c:pt>
                <c:pt idx="68">
                  <c:v>190.04704729426021</c:v>
                </c:pt>
                <c:pt idx="69">
                  <c:v>210.78096743673578</c:v>
                </c:pt>
                <c:pt idx="70">
                  <c:v>96.088356069534058</c:v>
                </c:pt>
                <c:pt idx="71">
                  <c:v>134.22155623601972</c:v>
                </c:pt>
                <c:pt idx="72">
                  <c:v>217.10581251470779</c:v>
                </c:pt>
                <c:pt idx="73">
                  <c:v>219.88287284877663</c:v>
                </c:pt>
                <c:pt idx="74">
                  <c:v>176.29813017134668</c:v>
                </c:pt>
                <c:pt idx="75">
                  <c:v>167.00327925814929</c:v>
                </c:pt>
                <c:pt idx="76">
                  <c:v>81.351662431863105</c:v>
                </c:pt>
                <c:pt idx="77">
                  <c:v>234.11707582125948</c:v>
                </c:pt>
                <c:pt idx="78">
                  <c:v>184.5940017807892</c:v>
                </c:pt>
                <c:pt idx="79">
                  <c:v>186.44966874710786</c:v>
                </c:pt>
                <c:pt idx="80">
                  <c:v>137.37</c:v>
                </c:pt>
                <c:pt idx="81">
                  <c:v>108.58470692987599</c:v>
                </c:pt>
                <c:pt idx="82">
                  <c:v>206.57154646339612</c:v>
                </c:pt>
                <c:pt idx="83">
                  <c:v>199.22036180424348</c:v>
                </c:pt>
                <c:pt idx="84">
                  <c:v>225.04881324560114</c:v>
                </c:pt>
                <c:pt idx="85">
                  <c:v>226.44254783156339</c:v>
                </c:pt>
                <c:pt idx="86">
                  <c:v>195.30045388407498</c:v>
                </c:pt>
                <c:pt idx="87">
                  <c:v>139.64397767890762</c:v>
                </c:pt>
                <c:pt idx="88">
                  <c:v>214.45479618650509</c:v>
                </c:pt>
                <c:pt idx="89">
                  <c:v>198.49284426781333</c:v>
                </c:pt>
                <c:pt idx="90">
                  <c:v>135.81659005402452</c:v>
                </c:pt>
                <c:pt idx="91">
                  <c:v>234.54296696853217</c:v>
                </c:pt>
                <c:pt idx="92">
                  <c:v>234.54296696853217</c:v>
                </c:pt>
                <c:pt idx="93">
                  <c:v>234.54296696853217</c:v>
                </c:pt>
                <c:pt idx="94">
                  <c:v>0</c:v>
                </c:pt>
                <c:pt idx="95">
                  <c:v>226.50769865572133</c:v>
                </c:pt>
                <c:pt idx="96">
                  <c:v>278.84685943031235</c:v>
                </c:pt>
                <c:pt idx="97">
                  <c:v>238.8863552457272</c:v>
                </c:pt>
                <c:pt idx="98">
                  <c:v>208.61658429908425</c:v>
                </c:pt>
                <c:pt idx="99">
                  <c:v>244.71</c:v>
                </c:pt>
                <c:pt idx="100">
                  <c:v>208.61658429908425</c:v>
                </c:pt>
                <c:pt idx="101">
                  <c:v>201.96755488956936</c:v>
                </c:pt>
                <c:pt idx="102">
                  <c:v>238.8863552457272</c:v>
                </c:pt>
                <c:pt idx="103">
                  <c:v>267.11837904749495</c:v>
                </c:pt>
                <c:pt idx="104">
                  <c:v>269.29007318609246</c:v>
                </c:pt>
                <c:pt idx="105">
                  <c:v>230.19957869133711</c:v>
                </c:pt>
                <c:pt idx="106">
                  <c:v>247.57313180011727</c:v>
                </c:pt>
                <c:pt idx="107">
                  <c:v>236.71466110712967</c:v>
                </c:pt>
                <c:pt idx="108">
                  <c:v>201.58605634933735</c:v>
                </c:pt>
                <c:pt idx="109">
                  <c:v>330.11</c:v>
                </c:pt>
                <c:pt idx="110">
                  <c:v>276.8910026711838</c:v>
                </c:pt>
                <c:pt idx="111">
                  <c:v>217.16941385975198</c:v>
                </c:pt>
                <c:pt idx="112">
                  <c:v>214.99771972115448</c:v>
                </c:pt>
                <c:pt idx="113">
                  <c:v>239.64053919121318</c:v>
                </c:pt>
                <c:pt idx="114">
                  <c:v>326.92390415967651</c:v>
                </c:pt>
                <c:pt idx="115">
                  <c:v>291.82139987404173</c:v>
                </c:pt>
                <c:pt idx="116">
                  <c:v>236.58</c:v>
                </c:pt>
                <c:pt idx="117">
                  <c:v>243.22974352292226</c:v>
                </c:pt>
                <c:pt idx="118">
                  <c:v>291.56265601597602</c:v>
                </c:pt>
                <c:pt idx="119">
                  <c:v>286.66362629487264</c:v>
                </c:pt>
                <c:pt idx="120">
                  <c:v>232.37127282993464</c:v>
                </c:pt>
                <c:pt idx="121">
                  <c:v>230.21435514401188</c:v>
                </c:pt>
                <c:pt idx="122">
                  <c:v>254.6273316500133</c:v>
                </c:pt>
                <c:pt idx="123">
                  <c:v>275.80515560188502</c:v>
                </c:pt>
                <c:pt idx="124">
                  <c:v>302.95133233435405</c:v>
                </c:pt>
                <c:pt idx="125">
                  <c:v>256.25990835450733</c:v>
                </c:pt>
                <c:pt idx="126">
                  <c:v>308.38056768084783</c:v>
                </c:pt>
                <c:pt idx="127">
                  <c:v>372.23491268145312</c:v>
                </c:pt>
                <c:pt idx="128">
                  <c:v>373.14862574607616</c:v>
                </c:pt>
                <c:pt idx="129">
                  <c:v>0</c:v>
                </c:pt>
                <c:pt idx="130">
                  <c:v>325.95429331501362</c:v>
                </c:pt>
                <c:pt idx="131">
                  <c:v>399.89215632775705</c:v>
                </c:pt>
                <c:pt idx="132">
                  <c:v>321.41073251243296</c:v>
                </c:pt>
                <c:pt idx="133">
                  <c:v>141.25350114582955</c:v>
                </c:pt>
                <c:pt idx="134">
                  <c:v>317.91506186554022</c:v>
                </c:pt>
                <c:pt idx="135">
                  <c:v>406.19367168328012</c:v>
                </c:pt>
                <c:pt idx="136">
                  <c:v>385.49848942598186</c:v>
                </c:pt>
                <c:pt idx="137">
                  <c:v>269.10000000000002</c:v>
                </c:pt>
                <c:pt idx="138">
                  <c:v>257.61357963055417</c:v>
                </c:pt>
                <c:pt idx="139">
                  <c:v>127.9837037575934</c:v>
                </c:pt>
                <c:pt idx="140">
                  <c:v>385.88310957472464</c:v>
                </c:pt>
                <c:pt idx="141">
                  <c:v>321.41073251243296</c:v>
                </c:pt>
                <c:pt idx="142">
                  <c:v>327.92581492822552</c:v>
                </c:pt>
                <c:pt idx="143">
                  <c:v>437.37381180458328</c:v>
                </c:pt>
                <c:pt idx="144">
                  <c:v>475.514148587313</c:v>
                </c:pt>
                <c:pt idx="145">
                  <c:v>252.3007529737005</c:v>
                </c:pt>
                <c:pt idx="146">
                  <c:v>254.62878760321561</c:v>
                </c:pt>
                <c:pt idx="147">
                  <c:v>383.42486270594105</c:v>
                </c:pt>
                <c:pt idx="148">
                  <c:v>519.2211682476285</c:v>
                </c:pt>
                <c:pt idx="149">
                  <c:v>515.8057622872301</c:v>
                </c:pt>
                <c:pt idx="150">
                  <c:v>311.6656360263359</c:v>
                </c:pt>
                <c:pt idx="151">
                  <c:v>526.31007448910896</c:v>
                </c:pt>
                <c:pt idx="152">
                  <c:v>529.64362499185609</c:v>
                </c:pt>
                <c:pt idx="153">
                  <c:v>486.73892230448223</c:v>
                </c:pt>
                <c:pt idx="154">
                  <c:v>713.77071253284691</c:v>
                </c:pt>
                <c:pt idx="155">
                  <c:v>1403.2182520011579</c:v>
                </c:pt>
              </c:numCache>
            </c:numRef>
          </c:val>
          <c:extLst>
            <c:ext xmlns:c16="http://schemas.microsoft.com/office/drawing/2014/chart" uri="{C3380CC4-5D6E-409C-BE32-E72D297353CC}">
              <c16:uniqueId val="{00000001-F584-46D2-82EF-ED33EB05DC03}"/>
            </c:ext>
          </c:extLst>
        </c:ser>
        <c:ser>
          <c:idx val="2"/>
          <c:order val="2"/>
          <c:tx>
            <c:strRef>
              <c:f>'[1]DWcharges cities 200 m³ graph'!$D$273</c:f>
              <c:strCache>
                <c:ptCount val="1"/>
                <c:pt idx="0">
                  <c:v>OTHER CHARGES DRINKING WATER</c:v>
                </c:pt>
              </c:strCache>
            </c:strRef>
          </c:tx>
          <c:invertIfNegative val="0"/>
          <c:cat>
            <c:strRef>
              <c:f>'[1]DWcharges cities 200 m³ graph'!$A$274:$A$429</c:f>
              <c:strCache>
                <c:ptCount val="156"/>
                <c:pt idx="0">
                  <c:v>Guadalajara</c:v>
                </c:pt>
                <c:pt idx="1">
                  <c:v>San Luis Potosi</c:v>
                </c:pt>
                <c:pt idx="2">
                  <c:v>Monterrey</c:v>
                </c:pt>
                <c:pt idx="3">
                  <c:v>Puebla</c:v>
                </c:pt>
                <c:pt idx="4">
                  <c:v>León, Guanajuato</c:v>
                </c:pt>
                <c:pt idx="5">
                  <c:v>Mauritius</c:v>
                </c:pt>
                <c:pt idx="6">
                  <c:v>Kenya Average</c:v>
                </c:pt>
                <c:pt idx="7">
                  <c:v>Taipei</c:v>
                </c:pt>
                <c:pt idx="8">
                  <c:v>Kafubu</c:v>
                </c:pt>
                <c:pt idx="9">
                  <c:v>Miami</c:v>
                </c:pt>
                <c:pt idx="10">
                  <c:v>Thailand Average</c:v>
                </c:pt>
                <c:pt idx="11">
                  <c:v>Mulonga</c:v>
                </c:pt>
                <c:pt idx="12">
                  <c:v>Russia Average</c:v>
                </c:pt>
                <c:pt idx="13">
                  <c:v>Kaohsiung</c:v>
                </c:pt>
                <c:pt idx="14">
                  <c:v>Lusaka</c:v>
                </c:pt>
                <c:pt idx="15">
                  <c:v>Daejeon</c:v>
                </c:pt>
                <c:pt idx="16">
                  <c:v>Gwangju</c:v>
                </c:pt>
                <c:pt idx="17">
                  <c:v>Seoul</c:v>
                </c:pt>
                <c:pt idx="18">
                  <c:v>Daegu</c:v>
                </c:pt>
                <c:pt idx="19">
                  <c:v>Gran Santiago</c:v>
                </c:pt>
                <c:pt idx="20">
                  <c:v>Gyeounggi</c:v>
                </c:pt>
                <c:pt idx="21">
                  <c:v>Incheon</c:v>
                </c:pt>
                <c:pt idx="22">
                  <c:v>Hong Kong</c:v>
                </c:pt>
                <c:pt idx="23">
                  <c:v>NWWSC of Zambia</c:v>
                </c:pt>
                <c:pt idx="24">
                  <c:v>Busan</c:v>
                </c:pt>
                <c:pt idx="25">
                  <c:v>Budapest</c:v>
                </c:pt>
                <c:pt idx="26">
                  <c:v>Concepcion</c:v>
                </c:pt>
                <c:pt idx="27">
                  <c:v>Giurgiu</c:v>
                </c:pt>
                <c:pt idx="28">
                  <c:v>Sibiu</c:v>
                </c:pt>
                <c:pt idx="29">
                  <c:v>Temuco</c:v>
                </c:pt>
                <c:pt idx="30">
                  <c:v>Kampala</c:v>
                </c:pt>
                <c:pt idx="31">
                  <c:v>Apaserv SA Valea Jiului</c:v>
                </c:pt>
                <c:pt idx="32">
                  <c:v>Entebbe</c:v>
                </c:pt>
                <c:pt idx="33">
                  <c:v>Jinja</c:v>
                </c:pt>
                <c:pt idx="34">
                  <c:v>Calarasi</c:v>
                </c:pt>
                <c:pt idx="35">
                  <c:v>Baia Mare</c:v>
                </c:pt>
                <c:pt idx="36">
                  <c:v>Deva</c:v>
                </c:pt>
                <c:pt idx="37">
                  <c:v>Craiova</c:v>
                </c:pt>
                <c:pt idx="38">
                  <c:v>Mbarara</c:v>
                </c:pt>
                <c:pt idx="39">
                  <c:v>Ulsan</c:v>
                </c:pt>
                <c:pt idx="40">
                  <c:v>Miercurea Ciuc</c:v>
                </c:pt>
                <c:pt idx="41">
                  <c:v>Severin</c:v>
                </c:pt>
                <c:pt idx="42">
                  <c:v>Kaposvár</c:v>
                </c:pt>
                <c:pt idx="43">
                  <c:v>Medias</c:v>
                </c:pt>
                <c:pt idx="44">
                  <c:v>Iasi</c:v>
                </c:pt>
                <c:pt idx="45">
                  <c:v>Nagoya</c:v>
                </c:pt>
                <c:pt idx="46">
                  <c:v>Osaka</c:v>
                </c:pt>
                <c:pt idx="47">
                  <c:v>Bilbao</c:v>
                </c:pt>
                <c:pt idx="48">
                  <c:v>Hiroshima</c:v>
                </c:pt>
                <c:pt idx="49">
                  <c:v>Suceava</c:v>
                </c:pt>
                <c:pt idx="50">
                  <c:v>Brasov</c:v>
                </c:pt>
                <c:pt idx="51">
                  <c:v>Thessaloniki</c:v>
                </c:pt>
                <c:pt idx="52">
                  <c:v>Faro</c:v>
                </c:pt>
                <c:pt idx="53">
                  <c:v>Miskolc</c:v>
                </c:pt>
                <c:pt idx="54">
                  <c:v>Debrecen</c:v>
                </c:pt>
                <c:pt idx="55">
                  <c:v>Bialystok</c:v>
                </c:pt>
                <c:pt idx="56">
                  <c:v>Tarnow</c:v>
                </c:pt>
                <c:pt idx="57">
                  <c:v>Sevilla</c:v>
                </c:pt>
                <c:pt idx="58">
                  <c:v>Eindhoven</c:v>
                </c:pt>
                <c:pt idx="59">
                  <c:v>Constanta</c:v>
                </c:pt>
                <c:pt idx="60">
                  <c:v>Madrid</c:v>
                </c:pt>
                <c:pt idx="61">
                  <c:v>Resita</c:v>
                </c:pt>
                <c:pt idx="62">
                  <c:v>Yokohama</c:v>
                </c:pt>
                <c:pt idx="63">
                  <c:v>Fukuoka</c:v>
                </c:pt>
                <c:pt idx="64">
                  <c:v>Utrecht</c:v>
                </c:pt>
                <c:pt idx="65">
                  <c:v>Valencia</c:v>
                </c:pt>
                <c:pt idx="66">
                  <c:v>Chicago</c:v>
                </c:pt>
                <c:pt idx="67">
                  <c:v>Valparaiso</c:v>
                </c:pt>
                <c:pt idx="68">
                  <c:v>Vina del Mar</c:v>
                </c:pt>
                <c:pt idx="69">
                  <c:v>Buzau</c:v>
                </c:pt>
                <c:pt idx="70">
                  <c:v>Tokyo</c:v>
                </c:pt>
                <c:pt idx="71">
                  <c:v>Lisbon</c:v>
                </c:pt>
                <c:pt idx="72">
                  <c:v>Wroclaw</c:v>
                </c:pt>
                <c:pt idx="73">
                  <c:v>Bucharest</c:v>
                </c:pt>
                <c:pt idx="74">
                  <c:v>Coimbra</c:v>
                </c:pt>
                <c:pt idx="75">
                  <c:v>Braga</c:v>
                </c:pt>
                <c:pt idx="76">
                  <c:v>Serres</c:v>
                </c:pt>
                <c:pt idx="77">
                  <c:v>Pécs</c:v>
                </c:pt>
                <c:pt idx="78">
                  <c:v>Alexandroupolis</c:v>
                </c:pt>
                <c:pt idx="79">
                  <c:v>Trondheim</c:v>
                </c:pt>
                <c:pt idx="80">
                  <c:v>Denver</c:v>
                </c:pt>
                <c:pt idx="81">
                  <c:v>Igoumenitsa</c:v>
                </c:pt>
                <c:pt idx="82">
                  <c:v>Porto</c:v>
                </c:pt>
                <c:pt idx="83">
                  <c:v>Sintra</c:v>
                </c:pt>
                <c:pt idx="84">
                  <c:v>Oslo</c:v>
                </c:pt>
                <c:pt idx="85">
                  <c:v>Loures</c:v>
                </c:pt>
                <c:pt idx="86">
                  <c:v>Antwerp</c:v>
                </c:pt>
                <c:pt idx="87">
                  <c:v>Sapporo</c:v>
                </c:pt>
                <c:pt idx="88">
                  <c:v>Genk</c:v>
                </c:pt>
                <c:pt idx="89">
                  <c:v>Rotterdam</c:v>
                </c:pt>
                <c:pt idx="90">
                  <c:v>Durham</c:v>
                </c:pt>
                <c:pt idx="91">
                  <c:v>Espoo</c:v>
                </c:pt>
                <c:pt idx="92">
                  <c:v>Helsinki</c:v>
                </c:pt>
                <c:pt idx="93">
                  <c:v>Vantaa</c:v>
                </c:pt>
                <c:pt idx="94">
                  <c:v>Bergen</c:v>
                </c:pt>
                <c:pt idx="95">
                  <c:v>Paphos</c:v>
                </c:pt>
                <c:pt idx="96">
                  <c:v>Bydgoszcz</c:v>
                </c:pt>
                <c:pt idx="97">
                  <c:v>Lefkosia</c:v>
                </c:pt>
                <c:pt idx="98">
                  <c:v>Saskatoon</c:v>
                </c:pt>
                <c:pt idx="99">
                  <c:v>Minneapolis</c:v>
                </c:pt>
                <c:pt idx="100">
                  <c:v>Winnipeg</c:v>
                </c:pt>
                <c:pt idx="101">
                  <c:v>Reims</c:v>
                </c:pt>
                <c:pt idx="102">
                  <c:v>Lemesos</c:v>
                </c:pt>
                <c:pt idx="103">
                  <c:v>Oulu</c:v>
                </c:pt>
                <c:pt idx="104">
                  <c:v>Amsterdam</c:v>
                </c:pt>
                <c:pt idx="105">
                  <c:v>Den Haag</c:v>
                </c:pt>
                <c:pt idx="106">
                  <c:v>Larnaca</c:v>
                </c:pt>
                <c:pt idx="107">
                  <c:v>Tampere</c:v>
                </c:pt>
                <c:pt idx="108">
                  <c:v>Sendai</c:v>
                </c:pt>
                <c:pt idx="109">
                  <c:v>Los Angeles</c:v>
                </c:pt>
                <c:pt idx="110">
                  <c:v>Louvain</c:v>
                </c:pt>
                <c:pt idx="111">
                  <c:v>Strassbourg</c:v>
                </c:pt>
                <c:pt idx="112">
                  <c:v>Paris</c:v>
                </c:pt>
                <c:pt idx="113">
                  <c:v>Zürich</c:v>
                </c:pt>
                <c:pt idx="114">
                  <c:v>Radom</c:v>
                </c:pt>
                <c:pt idx="115">
                  <c:v>Kortrijk</c:v>
                </c:pt>
                <c:pt idx="116">
                  <c:v>Washington D.C.</c:v>
                </c:pt>
                <c:pt idx="117">
                  <c:v>Lille</c:v>
                </c:pt>
                <c:pt idx="118">
                  <c:v>Basel</c:v>
                </c:pt>
                <c:pt idx="119">
                  <c:v>Brest</c:v>
                </c:pt>
                <c:pt idx="120">
                  <c:v>Bordeaux</c:v>
                </c:pt>
                <c:pt idx="121">
                  <c:v>Perth</c:v>
                </c:pt>
                <c:pt idx="122">
                  <c:v>Calgary</c:v>
                </c:pt>
                <c:pt idx="123">
                  <c:v>Turku</c:v>
                </c:pt>
                <c:pt idx="124">
                  <c:v>Barcelona</c:v>
                </c:pt>
                <c:pt idx="125">
                  <c:v>Lyon</c:v>
                </c:pt>
                <c:pt idx="126">
                  <c:v>Marseille</c:v>
                </c:pt>
                <c:pt idx="127">
                  <c:v>London</c:v>
                </c:pt>
                <c:pt idx="128">
                  <c:v>Leeds</c:v>
                </c:pt>
                <c:pt idx="129">
                  <c:v>Vancouver</c:v>
                </c:pt>
                <c:pt idx="130">
                  <c:v>Sydney</c:v>
                </c:pt>
                <c:pt idx="131">
                  <c:v>Antofagasta</c:v>
                </c:pt>
                <c:pt idx="132">
                  <c:v>SEDIF</c:v>
                </c:pt>
                <c:pt idx="133">
                  <c:v>Esbjerg</c:v>
                </c:pt>
                <c:pt idx="134">
                  <c:v>Melbourne</c:v>
                </c:pt>
                <c:pt idx="135">
                  <c:v>Brussels</c:v>
                </c:pt>
                <c:pt idx="136">
                  <c:v>Cardiff</c:v>
                </c:pt>
                <c:pt idx="137">
                  <c:v>New York</c:v>
                </c:pt>
                <c:pt idx="138">
                  <c:v>Geneva</c:v>
                </c:pt>
                <c:pt idx="139">
                  <c:v>Aalborg</c:v>
                </c:pt>
                <c:pt idx="140">
                  <c:v>Canberra</c:v>
                </c:pt>
                <c:pt idx="141">
                  <c:v>Nancy</c:v>
                </c:pt>
                <c:pt idx="142">
                  <c:v>Le Havre</c:v>
                </c:pt>
                <c:pt idx="143">
                  <c:v>Birmingham</c:v>
                </c:pt>
                <c:pt idx="144">
                  <c:v>Athens</c:v>
                </c:pt>
                <c:pt idx="145">
                  <c:v>Copenhagen</c:v>
                </c:pt>
                <c:pt idx="146">
                  <c:v>Odense</c:v>
                </c:pt>
                <c:pt idx="147">
                  <c:v>Lausanne</c:v>
                </c:pt>
                <c:pt idx="148">
                  <c:v>Bern</c:v>
                </c:pt>
                <c:pt idx="149">
                  <c:v>Manchester</c:v>
                </c:pt>
                <c:pt idx="150">
                  <c:v>Aarhus</c:v>
                </c:pt>
                <c:pt idx="151">
                  <c:v>Charleroi</c:v>
                </c:pt>
                <c:pt idx="152">
                  <c:v>Liège</c:v>
                </c:pt>
                <c:pt idx="153">
                  <c:v>South East Queensland</c:v>
                </c:pt>
                <c:pt idx="154">
                  <c:v>Malta Average</c:v>
                </c:pt>
                <c:pt idx="155">
                  <c:v>Macao, China Average</c:v>
                </c:pt>
              </c:strCache>
            </c:strRef>
          </c:cat>
          <c:val>
            <c:numRef>
              <c:f>'[1]DWcharges cities 200 m³ graph'!$D$274:$D$429</c:f>
              <c:numCache>
                <c:formatCode>General</c:formatCode>
                <c:ptCount val="156"/>
                <c:pt idx="0">
                  <c:v>0</c:v>
                </c:pt>
                <c:pt idx="1">
                  <c:v>0</c:v>
                </c:pt>
                <c:pt idx="2">
                  <c:v>0</c:v>
                </c:pt>
                <c:pt idx="3">
                  <c:v>0</c:v>
                </c:pt>
                <c:pt idx="4">
                  <c:v>0</c:v>
                </c:pt>
                <c:pt idx="5">
                  <c:v>0</c:v>
                </c:pt>
                <c:pt idx="6">
                  <c:v>0</c:v>
                </c:pt>
                <c:pt idx="7">
                  <c:v>0</c:v>
                </c:pt>
                <c:pt idx="8">
                  <c:v>0</c:v>
                </c:pt>
                <c:pt idx="9">
                  <c:v>0</c:v>
                </c:pt>
                <c:pt idx="11">
                  <c:v>0</c:v>
                </c:pt>
                <c:pt idx="12">
                  <c:v>6.2194660519898051</c:v>
                </c:pt>
                <c:pt idx="13">
                  <c:v>2.3588728700587662</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14.028375577873426</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24.14923882120442</c:v>
                </c:pt>
                <c:pt idx="72">
                  <c:v>0</c:v>
                </c:pt>
                <c:pt idx="73">
                  <c:v>0</c:v>
                </c:pt>
                <c:pt idx="74">
                  <c:v>0</c:v>
                </c:pt>
                <c:pt idx="75">
                  <c:v>0</c:v>
                </c:pt>
                <c:pt idx="76">
                  <c:v>65.074814863074693</c:v>
                </c:pt>
                <c:pt idx="77">
                  <c:v>0</c:v>
                </c:pt>
                <c:pt idx="78">
                  <c:v>0</c:v>
                </c:pt>
                <c:pt idx="79">
                  <c:v>20.8345089895376</c:v>
                </c:pt>
                <c:pt idx="80">
                  <c:v>0</c:v>
                </c:pt>
                <c:pt idx="81">
                  <c:v>86.867765543900802</c:v>
                </c:pt>
                <c:pt idx="82">
                  <c:v>0</c:v>
                </c:pt>
                <c:pt idx="83">
                  <c:v>0</c:v>
                </c:pt>
                <c:pt idx="84">
                  <c:v>0</c:v>
                </c:pt>
                <c:pt idx="85">
                  <c:v>0</c:v>
                </c:pt>
                <c:pt idx="86">
                  <c:v>0</c:v>
                </c:pt>
                <c:pt idx="87">
                  <c:v>0</c:v>
                </c:pt>
                <c:pt idx="88">
                  <c:v>0</c:v>
                </c:pt>
                <c:pt idx="89">
                  <c:v>9.1754077355745203</c:v>
                </c:pt>
                <c:pt idx="90">
                  <c:v>0</c:v>
                </c:pt>
                <c:pt idx="91">
                  <c:v>0</c:v>
                </c:pt>
                <c:pt idx="92">
                  <c:v>0</c:v>
                </c:pt>
                <c:pt idx="93">
                  <c:v>0</c:v>
                </c:pt>
                <c:pt idx="94">
                  <c:v>0</c:v>
                </c:pt>
                <c:pt idx="95">
                  <c:v>0</c:v>
                </c:pt>
                <c:pt idx="96">
                  <c:v>0</c:v>
                </c:pt>
                <c:pt idx="97">
                  <c:v>0</c:v>
                </c:pt>
                <c:pt idx="98">
                  <c:v>0</c:v>
                </c:pt>
                <c:pt idx="99">
                  <c:v>0</c:v>
                </c:pt>
                <c:pt idx="100">
                  <c:v>0</c:v>
                </c:pt>
                <c:pt idx="101">
                  <c:v>95.554542098290881</c:v>
                </c:pt>
                <c:pt idx="102">
                  <c:v>0</c:v>
                </c:pt>
                <c:pt idx="103">
                  <c:v>0</c:v>
                </c:pt>
                <c:pt idx="104">
                  <c:v>0</c:v>
                </c:pt>
                <c:pt idx="105">
                  <c:v>20.30534019588681</c:v>
                </c:pt>
                <c:pt idx="106">
                  <c:v>0</c:v>
                </c:pt>
                <c:pt idx="107">
                  <c:v>0</c:v>
                </c:pt>
                <c:pt idx="108">
                  <c:v>0</c:v>
                </c:pt>
                <c:pt idx="109">
                  <c:v>0</c:v>
                </c:pt>
                <c:pt idx="110">
                  <c:v>0</c:v>
                </c:pt>
                <c:pt idx="111">
                  <c:v>86.867765543900802</c:v>
                </c:pt>
                <c:pt idx="112">
                  <c:v>106.41301279127848</c:v>
                </c:pt>
                <c:pt idx="113">
                  <c:v>0</c:v>
                </c:pt>
                <c:pt idx="114">
                  <c:v>0</c:v>
                </c:pt>
                <c:pt idx="115">
                  <c:v>0</c:v>
                </c:pt>
                <c:pt idx="116">
                  <c:v>75.599999999999994</c:v>
                </c:pt>
                <c:pt idx="117">
                  <c:v>97.726236236888397</c:v>
                </c:pt>
                <c:pt idx="118">
                  <c:v>0</c:v>
                </c:pt>
                <c:pt idx="119">
                  <c:v>82.524377266705756</c:v>
                </c:pt>
                <c:pt idx="120">
                  <c:v>86.867765543900802</c:v>
                </c:pt>
                <c:pt idx="121">
                  <c:v>0</c:v>
                </c:pt>
                <c:pt idx="122">
                  <c:v>0</c:v>
                </c:pt>
                <c:pt idx="123">
                  <c:v>0</c:v>
                </c:pt>
                <c:pt idx="124">
                  <c:v>0</c:v>
                </c:pt>
                <c:pt idx="125">
                  <c:v>76.009294850913193</c:v>
                </c:pt>
                <c:pt idx="126">
                  <c:v>73.837600712315677</c:v>
                </c:pt>
                <c:pt idx="127">
                  <c:v>0</c:v>
                </c:pt>
                <c:pt idx="128">
                  <c:v>0</c:v>
                </c:pt>
                <c:pt idx="129">
                  <c:v>0</c:v>
                </c:pt>
                <c:pt idx="130">
                  <c:v>0</c:v>
                </c:pt>
                <c:pt idx="131">
                  <c:v>0</c:v>
                </c:pt>
                <c:pt idx="132">
                  <c:v>104.24131865268096</c:v>
                </c:pt>
                <c:pt idx="133">
                  <c:v>190.02582663417118</c:v>
                </c:pt>
                <c:pt idx="134">
                  <c:v>0</c:v>
                </c:pt>
                <c:pt idx="135">
                  <c:v>0</c:v>
                </c:pt>
                <c:pt idx="136">
                  <c:v>0</c:v>
                </c:pt>
                <c:pt idx="137">
                  <c:v>0</c:v>
                </c:pt>
                <c:pt idx="138">
                  <c:v>0</c:v>
                </c:pt>
                <c:pt idx="139">
                  <c:v>190.02582663417118</c:v>
                </c:pt>
                <c:pt idx="140">
                  <c:v>0</c:v>
                </c:pt>
                <c:pt idx="141">
                  <c:v>99.897930375485913</c:v>
                </c:pt>
                <c:pt idx="142">
                  <c:v>112.92809520707104</c:v>
                </c:pt>
                <c:pt idx="143">
                  <c:v>0</c:v>
                </c:pt>
                <c:pt idx="144">
                  <c:v>0</c:v>
                </c:pt>
                <c:pt idx="145">
                  <c:v>190.02582663417118</c:v>
                </c:pt>
                <c:pt idx="146">
                  <c:v>190.02582663417118</c:v>
                </c:pt>
                <c:pt idx="147">
                  <c:v>0</c:v>
                </c:pt>
                <c:pt idx="148">
                  <c:v>0</c:v>
                </c:pt>
                <c:pt idx="149">
                  <c:v>0</c:v>
                </c:pt>
                <c:pt idx="150">
                  <c:v>190.02582663417118</c:v>
                </c:pt>
                <c:pt idx="151">
                  <c:v>0</c:v>
                </c:pt>
                <c:pt idx="152">
                  <c:v>0</c:v>
                </c:pt>
                <c:pt idx="153">
                  <c:v>0</c:v>
                </c:pt>
                <c:pt idx="154">
                  <c:v>0</c:v>
                </c:pt>
                <c:pt idx="155">
                  <c:v>0</c:v>
                </c:pt>
              </c:numCache>
            </c:numRef>
          </c:val>
          <c:extLst>
            <c:ext xmlns:c16="http://schemas.microsoft.com/office/drawing/2014/chart" uri="{C3380CC4-5D6E-409C-BE32-E72D297353CC}">
              <c16:uniqueId val="{00000002-F584-46D2-82EF-ED33EB05DC03}"/>
            </c:ext>
          </c:extLst>
        </c:ser>
        <c:ser>
          <c:idx val="3"/>
          <c:order val="3"/>
          <c:tx>
            <c:strRef>
              <c:f>'[1]DWcharges cities 200 m³ graph'!$E$273</c:f>
              <c:strCache>
                <c:ptCount val="1"/>
                <c:pt idx="0">
                  <c:v>TOTAL CHARGE DRINKING WATER</c:v>
                </c:pt>
              </c:strCache>
            </c:strRef>
          </c:tx>
          <c:invertIfNegative val="0"/>
          <c:cat>
            <c:strRef>
              <c:f>'[1]DWcharges cities 200 m³ graph'!$A$274:$A$429</c:f>
              <c:strCache>
                <c:ptCount val="156"/>
                <c:pt idx="0">
                  <c:v>Guadalajara</c:v>
                </c:pt>
                <c:pt idx="1">
                  <c:v>San Luis Potosi</c:v>
                </c:pt>
                <c:pt idx="2">
                  <c:v>Monterrey</c:v>
                </c:pt>
                <c:pt idx="3">
                  <c:v>Puebla</c:v>
                </c:pt>
                <c:pt idx="4">
                  <c:v>León, Guanajuato</c:v>
                </c:pt>
                <c:pt idx="5">
                  <c:v>Mauritius</c:v>
                </c:pt>
                <c:pt idx="6">
                  <c:v>Kenya Average</c:v>
                </c:pt>
                <c:pt idx="7">
                  <c:v>Taipei</c:v>
                </c:pt>
                <c:pt idx="8">
                  <c:v>Kafubu</c:v>
                </c:pt>
                <c:pt idx="9">
                  <c:v>Miami</c:v>
                </c:pt>
                <c:pt idx="10">
                  <c:v>Thailand Average</c:v>
                </c:pt>
                <c:pt idx="11">
                  <c:v>Mulonga</c:v>
                </c:pt>
                <c:pt idx="12">
                  <c:v>Russia Average</c:v>
                </c:pt>
                <c:pt idx="13">
                  <c:v>Kaohsiung</c:v>
                </c:pt>
                <c:pt idx="14">
                  <c:v>Lusaka</c:v>
                </c:pt>
                <c:pt idx="15">
                  <c:v>Daejeon</c:v>
                </c:pt>
                <c:pt idx="16">
                  <c:v>Gwangju</c:v>
                </c:pt>
                <c:pt idx="17">
                  <c:v>Seoul</c:v>
                </c:pt>
                <c:pt idx="18">
                  <c:v>Daegu</c:v>
                </c:pt>
                <c:pt idx="19">
                  <c:v>Gran Santiago</c:v>
                </c:pt>
                <c:pt idx="20">
                  <c:v>Gyeounggi</c:v>
                </c:pt>
                <c:pt idx="21">
                  <c:v>Incheon</c:v>
                </c:pt>
                <c:pt idx="22">
                  <c:v>Hong Kong</c:v>
                </c:pt>
                <c:pt idx="23">
                  <c:v>NWWSC of Zambia</c:v>
                </c:pt>
                <c:pt idx="24">
                  <c:v>Busan</c:v>
                </c:pt>
                <c:pt idx="25">
                  <c:v>Budapest</c:v>
                </c:pt>
                <c:pt idx="26">
                  <c:v>Concepcion</c:v>
                </c:pt>
                <c:pt idx="27">
                  <c:v>Giurgiu</c:v>
                </c:pt>
                <c:pt idx="28">
                  <c:v>Sibiu</c:v>
                </c:pt>
                <c:pt idx="29">
                  <c:v>Temuco</c:v>
                </c:pt>
                <c:pt idx="30">
                  <c:v>Kampala</c:v>
                </c:pt>
                <c:pt idx="31">
                  <c:v>Apaserv SA Valea Jiului</c:v>
                </c:pt>
                <c:pt idx="32">
                  <c:v>Entebbe</c:v>
                </c:pt>
                <c:pt idx="33">
                  <c:v>Jinja</c:v>
                </c:pt>
                <c:pt idx="34">
                  <c:v>Calarasi</c:v>
                </c:pt>
                <c:pt idx="35">
                  <c:v>Baia Mare</c:v>
                </c:pt>
                <c:pt idx="36">
                  <c:v>Deva</c:v>
                </c:pt>
                <c:pt idx="37">
                  <c:v>Craiova</c:v>
                </c:pt>
                <c:pt idx="38">
                  <c:v>Mbarara</c:v>
                </c:pt>
                <c:pt idx="39">
                  <c:v>Ulsan</c:v>
                </c:pt>
                <c:pt idx="40">
                  <c:v>Miercurea Ciuc</c:v>
                </c:pt>
                <c:pt idx="41">
                  <c:v>Severin</c:v>
                </c:pt>
                <c:pt idx="42">
                  <c:v>Kaposvár</c:v>
                </c:pt>
                <c:pt idx="43">
                  <c:v>Medias</c:v>
                </c:pt>
                <c:pt idx="44">
                  <c:v>Iasi</c:v>
                </c:pt>
                <c:pt idx="45">
                  <c:v>Nagoya</c:v>
                </c:pt>
                <c:pt idx="46">
                  <c:v>Osaka</c:v>
                </c:pt>
                <c:pt idx="47">
                  <c:v>Bilbao</c:v>
                </c:pt>
                <c:pt idx="48">
                  <c:v>Hiroshima</c:v>
                </c:pt>
                <c:pt idx="49">
                  <c:v>Suceava</c:v>
                </c:pt>
                <c:pt idx="50">
                  <c:v>Brasov</c:v>
                </c:pt>
                <c:pt idx="51">
                  <c:v>Thessaloniki</c:v>
                </c:pt>
                <c:pt idx="52">
                  <c:v>Faro</c:v>
                </c:pt>
                <c:pt idx="53">
                  <c:v>Miskolc</c:v>
                </c:pt>
                <c:pt idx="54">
                  <c:v>Debrecen</c:v>
                </c:pt>
                <c:pt idx="55">
                  <c:v>Bialystok</c:v>
                </c:pt>
                <c:pt idx="56">
                  <c:v>Tarnow</c:v>
                </c:pt>
                <c:pt idx="57">
                  <c:v>Sevilla</c:v>
                </c:pt>
                <c:pt idx="58">
                  <c:v>Eindhoven</c:v>
                </c:pt>
                <c:pt idx="59">
                  <c:v>Constanta</c:v>
                </c:pt>
                <c:pt idx="60">
                  <c:v>Madrid</c:v>
                </c:pt>
                <c:pt idx="61">
                  <c:v>Resita</c:v>
                </c:pt>
                <c:pt idx="62">
                  <c:v>Yokohama</c:v>
                </c:pt>
                <c:pt idx="63">
                  <c:v>Fukuoka</c:v>
                </c:pt>
                <c:pt idx="64">
                  <c:v>Utrecht</c:v>
                </c:pt>
                <c:pt idx="65">
                  <c:v>Valencia</c:v>
                </c:pt>
                <c:pt idx="66">
                  <c:v>Chicago</c:v>
                </c:pt>
                <c:pt idx="67">
                  <c:v>Valparaiso</c:v>
                </c:pt>
                <c:pt idx="68">
                  <c:v>Vina del Mar</c:v>
                </c:pt>
                <c:pt idx="69">
                  <c:v>Buzau</c:v>
                </c:pt>
                <c:pt idx="70">
                  <c:v>Tokyo</c:v>
                </c:pt>
                <c:pt idx="71">
                  <c:v>Lisbon</c:v>
                </c:pt>
                <c:pt idx="72">
                  <c:v>Wroclaw</c:v>
                </c:pt>
                <c:pt idx="73">
                  <c:v>Bucharest</c:v>
                </c:pt>
                <c:pt idx="74">
                  <c:v>Coimbra</c:v>
                </c:pt>
                <c:pt idx="75">
                  <c:v>Braga</c:v>
                </c:pt>
                <c:pt idx="76">
                  <c:v>Serres</c:v>
                </c:pt>
                <c:pt idx="77">
                  <c:v>Pécs</c:v>
                </c:pt>
                <c:pt idx="78">
                  <c:v>Alexandroupolis</c:v>
                </c:pt>
                <c:pt idx="79">
                  <c:v>Trondheim</c:v>
                </c:pt>
                <c:pt idx="80">
                  <c:v>Denver</c:v>
                </c:pt>
                <c:pt idx="81">
                  <c:v>Igoumenitsa</c:v>
                </c:pt>
                <c:pt idx="82">
                  <c:v>Porto</c:v>
                </c:pt>
                <c:pt idx="83">
                  <c:v>Sintra</c:v>
                </c:pt>
                <c:pt idx="84">
                  <c:v>Oslo</c:v>
                </c:pt>
                <c:pt idx="85">
                  <c:v>Loures</c:v>
                </c:pt>
                <c:pt idx="86">
                  <c:v>Antwerp</c:v>
                </c:pt>
                <c:pt idx="87">
                  <c:v>Sapporo</c:v>
                </c:pt>
                <c:pt idx="88">
                  <c:v>Genk</c:v>
                </c:pt>
                <c:pt idx="89">
                  <c:v>Rotterdam</c:v>
                </c:pt>
                <c:pt idx="90">
                  <c:v>Durham</c:v>
                </c:pt>
                <c:pt idx="91">
                  <c:v>Espoo</c:v>
                </c:pt>
                <c:pt idx="92">
                  <c:v>Helsinki</c:v>
                </c:pt>
                <c:pt idx="93">
                  <c:v>Vantaa</c:v>
                </c:pt>
                <c:pt idx="94">
                  <c:v>Bergen</c:v>
                </c:pt>
                <c:pt idx="95">
                  <c:v>Paphos</c:v>
                </c:pt>
                <c:pt idx="96">
                  <c:v>Bydgoszcz</c:v>
                </c:pt>
                <c:pt idx="97">
                  <c:v>Lefkosia</c:v>
                </c:pt>
                <c:pt idx="98">
                  <c:v>Saskatoon</c:v>
                </c:pt>
                <c:pt idx="99">
                  <c:v>Minneapolis</c:v>
                </c:pt>
                <c:pt idx="100">
                  <c:v>Winnipeg</c:v>
                </c:pt>
                <c:pt idx="101">
                  <c:v>Reims</c:v>
                </c:pt>
                <c:pt idx="102">
                  <c:v>Lemesos</c:v>
                </c:pt>
                <c:pt idx="103">
                  <c:v>Oulu</c:v>
                </c:pt>
                <c:pt idx="104">
                  <c:v>Amsterdam</c:v>
                </c:pt>
                <c:pt idx="105">
                  <c:v>Den Haag</c:v>
                </c:pt>
                <c:pt idx="106">
                  <c:v>Larnaca</c:v>
                </c:pt>
                <c:pt idx="107">
                  <c:v>Tampere</c:v>
                </c:pt>
                <c:pt idx="108">
                  <c:v>Sendai</c:v>
                </c:pt>
                <c:pt idx="109">
                  <c:v>Los Angeles</c:v>
                </c:pt>
                <c:pt idx="110">
                  <c:v>Louvain</c:v>
                </c:pt>
                <c:pt idx="111">
                  <c:v>Strassbourg</c:v>
                </c:pt>
                <c:pt idx="112">
                  <c:v>Paris</c:v>
                </c:pt>
                <c:pt idx="113">
                  <c:v>Zürich</c:v>
                </c:pt>
                <c:pt idx="114">
                  <c:v>Radom</c:v>
                </c:pt>
                <c:pt idx="115">
                  <c:v>Kortrijk</c:v>
                </c:pt>
                <c:pt idx="116">
                  <c:v>Washington D.C.</c:v>
                </c:pt>
                <c:pt idx="117">
                  <c:v>Lille</c:v>
                </c:pt>
                <c:pt idx="118">
                  <c:v>Basel</c:v>
                </c:pt>
                <c:pt idx="119">
                  <c:v>Brest</c:v>
                </c:pt>
                <c:pt idx="120">
                  <c:v>Bordeaux</c:v>
                </c:pt>
                <c:pt idx="121">
                  <c:v>Perth</c:v>
                </c:pt>
                <c:pt idx="122">
                  <c:v>Calgary</c:v>
                </c:pt>
                <c:pt idx="123">
                  <c:v>Turku</c:v>
                </c:pt>
                <c:pt idx="124">
                  <c:v>Barcelona</c:v>
                </c:pt>
                <c:pt idx="125">
                  <c:v>Lyon</c:v>
                </c:pt>
                <c:pt idx="126">
                  <c:v>Marseille</c:v>
                </c:pt>
                <c:pt idx="127">
                  <c:v>London</c:v>
                </c:pt>
                <c:pt idx="128">
                  <c:v>Leeds</c:v>
                </c:pt>
                <c:pt idx="129">
                  <c:v>Vancouver</c:v>
                </c:pt>
                <c:pt idx="130">
                  <c:v>Sydney</c:v>
                </c:pt>
                <c:pt idx="131">
                  <c:v>Antofagasta</c:v>
                </c:pt>
                <c:pt idx="132">
                  <c:v>SEDIF</c:v>
                </c:pt>
                <c:pt idx="133">
                  <c:v>Esbjerg</c:v>
                </c:pt>
                <c:pt idx="134">
                  <c:v>Melbourne</c:v>
                </c:pt>
                <c:pt idx="135">
                  <c:v>Brussels</c:v>
                </c:pt>
                <c:pt idx="136">
                  <c:v>Cardiff</c:v>
                </c:pt>
                <c:pt idx="137">
                  <c:v>New York</c:v>
                </c:pt>
                <c:pt idx="138">
                  <c:v>Geneva</c:v>
                </c:pt>
                <c:pt idx="139">
                  <c:v>Aalborg</c:v>
                </c:pt>
                <c:pt idx="140">
                  <c:v>Canberra</c:v>
                </c:pt>
                <c:pt idx="141">
                  <c:v>Nancy</c:v>
                </c:pt>
                <c:pt idx="142">
                  <c:v>Le Havre</c:v>
                </c:pt>
                <c:pt idx="143">
                  <c:v>Birmingham</c:v>
                </c:pt>
                <c:pt idx="144">
                  <c:v>Athens</c:v>
                </c:pt>
                <c:pt idx="145">
                  <c:v>Copenhagen</c:v>
                </c:pt>
                <c:pt idx="146">
                  <c:v>Odense</c:v>
                </c:pt>
                <c:pt idx="147">
                  <c:v>Lausanne</c:v>
                </c:pt>
                <c:pt idx="148">
                  <c:v>Bern</c:v>
                </c:pt>
                <c:pt idx="149">
                  <c:v>Manchester</c:v>
                </c:pt>
                <c:pt idx="150">
                  <c:v>Aarhus</c:v>
                </c:pt>
                <c:pt idx="151">
                  <c:v>Charleroi</c:v>
                </c:pt>
                <c:pt idx="152">
                  <c:v>Liège</c:v>
                </c:pt>
                <c:pt idx="153">
                  <c:v>South East Queensland</c:v>
                </c:pt>
                <c:pt idx="154">
                  <c:v>Malta Average</c:v>
                </c:pt>
                <c:pt idx="155">
                  <c:v>Macao, China Average</c:v>
                </c:pt>
              </c:strCache>
            </c:strRef>
          </c:cat>
          <c:val>
            <c:numRef>
              <c:f>'[1]DWcharges cities 200 m³ graph'!$E$274:$E$429</c:f>
              <c:numCache>
                <c:formatCode>General</c:formatCode>
                <c:ptCount val="156"/>
                <c:pt idx="10">
                  <c:v>66.274095207430534</c:v>
                </c:pt>
              </c:numCache>
            </c:numRef>
          </c:val>
          <c:extLst>
            <c:ext xmlns:c16="http://schemas.microsoft.com/office/drawing/2014/chart" uri="{C3380CC4-5D6E-409C-BE32-E72D297353CC}">
              <c16:uniqueId val="{00000003-F584-46D2-82EF-ED33EB05DC03}"/>
            </c:ext>
          </c:extLst>
        </c:ser>
        <c:dLbls>
          <c:showLegendKey val="0"/>
          <c:showVal val="0"/>
          <c:showCatName val="0"/>
          <c:showSerName val="0"/>
          <c:showPercent val="0"/>
          <c:showBubbleSize val="0"/>
        </c:dLbls>
        <c:gapWidth val="55"/>
        <c:overlap val="100"/>
        <c:axId val="344830296"/>
        <c:axId val="344830688"/>
      </c:barChart>
      <c:catAx>
        <c:axId val="344830296"/>
        <c:scaling>
          <c:orientation val="minMax"/>
        </c:scaling>
        <c:delete val="0"/>
        <c:axPos val="b"/>
        <c:numFmt formatCode="General" sourceLinked="0"/>
        <c:majorTickMark val="none"/>
        <c:minorTickMark val="none"/>
        <c:tickLblPos val="nextTo"/>
        <c:txPr>
          <a:bodyPr rot="-5400000" vert="horz"/>
          <a:lstStyle/>
          <a:p>
            <a:pPr>
              <a:defRPr/>
            </a:pPr>
            <a:endParaRPr lang="en-US"/>
          </a:p>
        </c:txPr>
        <c:crossAx val="344830688"/>
        <c:crosses val="autoZero"/>
        <c:auto val="1"/>
        <c:lblAlgn val="ctr"/>
        <c:lblOffset val="100"/>
        <c:noMultiLvlLbl val="0"/>
      </c:catAx>
      <c:valAx>
        <c:axId val="344830688"/>
        <c:scaling>
          <c:orientation val="minMax"/>
        </c:scaling>
        <c:delete val="0"/>
        <c:axPos val="l"/>
        <c:majorGridlines/>
        <c:numFmt formatCode="General" sourceLinked="1"/>
        <c:majorTickMark val="none"/>
        <c:minorTickMark val="none"/>
        <c:tickLblPos val="nextTo"/>
        <c:crossAx val="344830296"/>
        <c:crosses val="autoZero"/>
        <c:crossBetween val="between"/>
      </c:valAx>
    </c:plotArea>
    <c:legend>
      <c:legendPos val="b"/>
      <c:layout/>
      <c:overlay val="0"/>
    </c:legend>
    <c:plotVisOnly val="1"/>
    <c:dispBlanksAs val="gap"/>
    <c:showDLblsOverMax val="0"/>
  </c:chart>
  <c:printSettings>
    <c:headerFooter/>
    <c:pageMargins b="0.75" l="0.7" r="0.7" t="0.75" header="0.3" footer="0.3"/>
    <c:pageSetup/>
  </c:printSettings>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charges</a:t>
            </a:r>
            <a:r>
              <a:rPr lang="en-US" baseline="0"/>
              <a:t> for the capitals in 2017</a:t>
            </a:r>
          </a:p>
          <a:p>
            <a:pPr>
              <a:defRPr/>
            </a:pPr>
            <a:r>
              <a:rPr lang="en-US" sz="1100" baseline="0"/>
              <a:t>for a consumption of 200 m³ in US$</a:t>
            </a:r>
            <a:endParaRPr lang="en-US" sz="1100"/>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'2017Total ch capitals 200 m³'!$D$499</c:f>
              <c:strCache>
                <c:ptCount val="1"/>
                <c:pt idx="0">
                  <c:v>fixed charge drinking water</c:v>
                </c:pt>
              </c:strCache>
            </c:strRef>
          </c:tx>
          <c:spPr>
            <a:solidFill>
              <a:schemeClr val="accent1"/>
            </a:solidFill>
            <a:ln>
              <a:noFill/>
            </a:ln>
            <a:effectLst/>
          </c:spPr>
          <c:invertIfNegative val="0"/>
          <c:cat>
            <c:strRef>
              <c:f>'2017Total ch capitals 200 m³'!$A$500:$A$534</c:f>
              <c:strCache>
                <c:ptCount val="35"/>
                <c:pt idx="0">
                  <c:v>Yerevan</c:v>
                </c:pt>
                <c:pt idx="1">
                  <c:v>Buenos Aires</c:v>
                </c:pt>
                <c:pt idx="2">
                  <c:v>Seoul</c:v>
                </c:pt>
                <c:pt idx="3">
                  <c:v>Taipei</c:v>
                </c:pt>
                <c:pt idx="4">
                  <c:v>Moscow</c:v>
                </c:pt>
                <c:pt idx="5">
                  <c:v>Hong Kong</c:v>
                </c:pt>
                <c:pt idx="6">
                  <c:v>Mexico City</c:v>
                </c:pt>
                <c:pt idx="7">
                  <c:v>Beijing</c:v>
                </c:pt>
                <c:pt idx="8">
                  <c:v>Brasilia</c:v>
                </c:pt>
                <c:pt idx="9">
                  <c:v>Sofia</c:v>
                </c:pt>
                <c:pt idx="10">
                  <c:v>Bucharest</c:v>
                </c:pt>
                <c:pt idx="11">
                  <c:v>Lisbon</c:v>
                </c:pt>
                <c:pt idx="12">
                  <c:v>Madrid</c:v>
                </c:pt>
                <c:pt idx="13">
                  <c:v>Kampala</c:v>
                </c:pt>
                <c:pt idx="14">
                  <c:v>Ankara</c:v>
                </c:pt>
                <c:pt idx="15">
                  <c:v>Rome</c:v>
                </c:pt>
                <c:pt idx="16">
                  <c:v>Tokyo</c:v>
                </c:pt>
                <c:pt idx="17">
                  <c:v>Stockholm</c:v>
                </c:pt>
                <c:pt idx="18">
                  <c:v>Budapest</c:v>
                </c:pt>
                <c:pt idx="19">
                  <c:v>Nicosia</c:v>
                </c:pt>
                <c:pt idx="20">
                  <c:v>London</c:v>
                </c:pt>
                <c:pt idx="21">
                  <c:v>Warsaw</c:v>
                </c:pt>
                <c:pt idx="22">
                  <c:v>Amsterdam</c:v>
                </c:pt>
                <c:pt idx="23">
                  <c:v>Oslo</c:v>
                </c:pt>
                <c:pt idx="24">
                  <c:v>Prague</c:v>
                </c:pt>
                <c:pt idx="25">
                  <c:v>Ottawa</c:v>
                </c:pt>
                <c:pt idx="26">
                  <c:v>Paris</c:v>
                </c:pt>
                <c:pt idx="27">
                  <c:v>Helsinki</c:v>
                </c:pt>
                <c:pt idx="28">
                  <c:v>Canberra</c:v>
                </c:pt>
                <c:pt idx="29">
                  <c:v>Cardiff</c:v>
                </c:pt>
                <c:pt idx="30">
                  <c:v>Berlin</c:v>
                </c:pt>
                <c:pt idx="31">
                  <c:v>Bern</c:v>
                </c:pt>
                <c:pt idx="32">
                  <c:v>Brussels</c:v>
                </c:pt>
                <c:pt idx="33">
                  <c:v>Copenhagen</c:v>
                </c:pt>
                <c:pt idx="34">
                  <c:v>Washington D.C.</c:v>
                </c:pt>
              </c:strCache>
            </c:strRef>
          </c:cat>
          <c:val>
            <c:numRef>
              <c:f>'2017Total ch capitals 200 m³'!$D$500:$D$534</c:f>
              <c:numCache>
                <c:formatCode>0.00</c:formatCode>
                <c:ptCount val="35"/>
                <c:pt idx="0">
                  <c:v>52.78568919107235</c:v>
                </c:pt>
                <c:pt idx="1">
                  <c:v>0</c:v>
                </c:pt>
                <c:pt idx="2">
                  <c:v>0</c:v>
                </c:pt>
                <c:pt idx="3">
                  <c:v>27.510121600805885</c:v>
                </c:pt>
                <c:pt idx="4">
                  <c:v>0</c:v>
                </c:pt>
                <c:pt idx="5">
                  <c:v>0</c:v>
                </c:pt>
                <c:pt idx="6">
                  <c:v>211.48527737107531</c:v>
                </c:pt>
                <c:pt idx="7">
                  <c:v>125.19686977064671</c:v>
                </c:pt>
                <c:pt idx="8">
                  <c:v>0</c:v>
                </c:pt>
                <c:pt idx="9">
                  <c:v>143.36741582687893</c:v>
                </c:pt>
                <c:pt idx="10">
                  <c:v>0</c:v>
                </c:pt>
                <c:pt idx="11">
                  <c:v>68.426549501206466</c:v>
                </c:pt>
                <c:pt idx="12">
                  <c:v>0</c:v>
                </c:pt>
                <c:pt idx="13">
                  <c:v>4.9608404483911857</c:v>
                </c:pt>
                <c:pt idx="14">
                  <c:v>232.95649194929769</c:v>
                </c:pt>
                <c:pt idx="15">
                  <c:v>22.028547076265593</c:v>
                </c:pt>
                <c:pt idx="16">
                  <c:v>124.62167469162793</c:v>
                </c:pt>
                <c:pt idx="17">
                  <c:v>206.24267029725661</c:v>
                </c:pt>
                <c:pt idx="18">
                  <c:v>6.5670679389832856</c:v>
                </c:pt>
                <c:pt idx="19">
                  <c:v>50.419562790362662</c:v>
                </c:pt>
                <c:pt idx="20">
                  <c:v>42.301870472483515</c:v>
                </c:pt>
                <c:pt idx="21">
                  <c:v>0</c:v>
                </c:pt>
                <c:pt idx="22">
                  <c:v>50.599632657471098</c:v>
                </c:pt>
                <c:pt idx="23">
                  <c:v>37.536576834813467</c:v>
                </c:pt>
                <c:pt idx="24">
                  <c:v>0</c:v>
                </c:pt>
                <c:pt idx="25">
                  <c:v>87.214433957013028</c:v>
                </c:pt>
                <c:pt idx="26">
                  <c:v>24.741599740699389</c:v>
                </c:pt>
                <c:pt idx="27">
                  <c:v>47.44240765416982</c:v>
                </c:pt>
                <c:pt idx="28">
                  <c:v>79.154479154479162</c:v>
                </c:pt>
                <c:pt idx="29">
                  <c:v>46.559087468915564</c:v>
                </c:pt>
                <c:pt idx="30">
                  <c:v>26.290200597831955</c:v>
                </c:pt>
                <c:pt idx="31">
                  <c:v>55.417581740933073</c:v>
                </c:pt>
                <c:pt idx="32">
                  <c:v>28.81117873735009</c:v>
                </c:pt>
                <c:pt idx="33">
                  <c:v>61.898145312343843</c:v>
                </c:pt>
                <c:pt idx="34">
                  <c:v>121.92</c:v>
                </c:pt>
              </c:numCache>
            </c:numRef>
          </c:val>
          <c:extLst>
            <c:ext xmlns:c16="http://schemas.microsoft.com/office/drawing/2014/chart" uri="{C3380CC4-5D6E-409C-BE32-E72D297353CC}">
              <c16:uniqueId val="{00000000-1CB8-44CC-87C1-8ACA6A3ABC85}"/>
            </c:ext>
          </c:extLst>
        </c:ser>
        <c:ser>
          <c:idx val="1"/>
          <c:order val="1"/>
          <c:tx>
            <c:strRef>
              <c:f>'2017Total ch capitals 200 m³'!$E$499</c:f>
              <c:strCache>
                <c:ptCount val="1"/>
                <c:pt idx="0">
                  <c:v>variable charge drinking water</c:v>
                </c:pt>
              </c:strCache>
            </c:strRef>
          </c:tx>
          <c:spPr>
            <a:solidFill>
              <a:schemeClr val="accent2"/>
            </a:solidFill>
            <a:ln>
              <a:noFill/>
            </a:ln>
            <a:effectLst/>
          </c:spPr>
          <c:invertIfNegative val="0"/>
          <c:cat>
            <c:strRef>
              <c:f>'2017Total ch capitals 200 m³'!$A$500:$A$534</c:f>
              <c:strCache>
                <c:ptCount val="35"/>
                <c:pt idx="0">
                  <c:v>Yerevan</c:v>
                </c:pt>
                <c:pt idx="1">
                  <c:v>Buenos Aires</c:v>
                </c:pt>
                <c:pt idx="2">
                  <c:v>Seoul</c:v>
                </c:pt>
                <c:pt idx="3">
                  <c:v>Taipei</c:v>
                </c:pt>
                <c:pt idx="4">
                  <c:v>Moscow</c:v>
                </c:pt>
                <c:pt idx="5">
                  <c:v>Hong Kong</c:v>
                </c:pt>
                <c:pt idx="6">
                  <c:v>Mexico City</c:v>
                </c:pt>
                <c:pt idx="7">
                  <c:v>Beijing</c:v>
                </c:pt>
                <c:pt idx="8">
                  <c:v>Brasilia</c:v>
                </c:pt>
                <c:pt idx="9">
                  <c:v>Sofia</c:v>
                </c:pt>
                <c:pt idx="10">
                  <c:v>Bucharest</c:v>
                </c:pt>
                <c:pt idx="11">
                  <c:v>Lisbon</c:v>
                </c:pt>
                <c:pt idx="12">
                  <c:v>Madrid</c:v>
                </c:pt>
                <c:pt idx="13">
                  <c:v>Kampala</c:v>
                </c:pt>
                <c:pt idx="14">
                  <c:v>Ankara</c:v>
                </c:pt>
                <c:pt idx="15">
                  <c:v>Rome</c:v>
                </c:pt>
                <c:pt idx="16">
                  <c:v>Tokyo</c:v>
                </c:pt>
                <c:pt idx="17">
                  <c:v>Stockholm</c:v>
                </c:pt>
                <c:pt idx="18">
                  <c:v>Budapest</c:v>
                </c:pt>
                <c:pt idx="19">
                  <c:v>Nicosia</c:v>
                </c:pt>
                <c:pt idx="20">
                  <c:v>London</c:v>
                </c:pt>
                <c:pt idx="21">
                  <c:v>Warsaw</c:v>
                </c:pt>
                <c:pt idx="22">
                  <c:v>Amsterdam</c:v>
                </c:pt>
                <c:pt idx="23">
                  <c:v>Oslo</c:v>
                </c:pt>
                <c:pt idx="24">
                  <c:v>Prague</c:v>
                </c:pt>
                <c:pt idx="25">
                  <c:v>Ottawa</c:v>
                </c:pt>
                <c:pt idx="26">
                  <c:v>Paris</c:v>
                </c:pt>
                <c:pt idx="27">
                  <c:v>Helsinki</c:v>
                </c:pt>
                <c:pt idx="28">
                  <c:v>Canberra</c:v>
                </c:pt>
                <c:pt idx="29">
                  <c:v>Cardiff</c:v>
                </c:pt>
                <c:pt idx="30">
                  <c:v>Berlin</c:v>
                </c:pt>
                <c:pt idx="31">
                  <c:v>Bern</c:v>
                </c:pt>
                <c:pt idx="32">
                  <c:v>Brussels</c:v>
                </c:pt>
                <c:pt idx="33">
                  <c:v>Copenhagen</c:v>
                </c:pt>
                <c:pt idx="34">
                  <c:v>Washington D.C.</c:v>
                </c:pt>
              </c:strCache>
            </c:strRef>
          </c:cat>
          <c:val>
            <c:numRef>
              <c:f>'2017Total ch capitals 200 m³'!$E$500:$E$534</c:f>
              <c:numCache>
                <c:formatCode>0.00</c:formatCode>
                <c:ptCount val="35"/>
                <c:pt idx="0">
                  <c:v>0</c:v>
                </c:pt>
                <c:pt idx="1">
                  <c:v>0</c:v>
                </c:pt>
                <c:pt idx="2">
                  <c:v>107.2378189267215</c:v>
                </c:pt>
                <c:pt idx="3">
                  <c:v>52.525452762322999</c:v>
                </c:pt>
                <c:pt idx="4">
                  <c:v>106.71419394245939</c:v>
                </c:pt>
                <c:pt idx="5">
                  <c:v>113.95744452081885</c:v>
                </c:pt>
                <c:pt idx="6">
                  <c:v>0</c:v>
                </c:pt>
                <c:pt idx="7">
                  <c:v>0</c:v>
                </c:pt>
                <c:pt idx="8">
                  <c:v>0</c:v>
                </c:pt>
                <c:pt idx="9">
                  <c:v>0</c:v>
                </c:pt>
                <c:pt idx="10">
                  <c:v>170.31830484403784</c:v>
                </c:pt>
                <c:pt idx="11">
                  <c:v>124.47629680315961</c:v>
                </c:pt>
                <c:pt idx="12">
                  <c:v>199.20529165316142</c:v>
                </c:pt>
                <c:pt idx="13">
                  <c:v>176.33031771559337</c:v>
                </c:pt>
                <c:pt idx="14">
                  <c:v>0</c:v>
                </c:pt>
                <c:pt idx="15">
                  <c:v>126.15694889617171</c:v>
                </c:pt>
                <c:pt idx="16">
                  <c:v>102.60872930450277</c:v>
                </c:pt>
                <c:pt idx="17">
                  <c:v>89.457605060604465</c:v>
                </c:pt>
                <c:pt idx="18">
                  <c:v>133.19558972714333</c:v>
                </c:pt>
                <c:pt idx="19">
                  <c:v>264.10247175904249</c:v>
                </c:pt>
                <c:pt idx="20">
                  <c:v>346.98345767109959</c:v>
                </c:pt>
                <c:pt idx="21">
                  <c:v>241.48339801638639</c:v>
                </c:pt>
                <c:pt idx="22">
                  <c:v>283.30992425060924</c:v>
                </c:pt>
                <c:pt idx="23">
                  <c:v>238.13789329618675</c:v>
                </c:pt>
                <c:pt idx="24">
                  <c:v>379.49790086992158</c:v>
                </c:pt>
                <c:pt idx="25">
                  <c:v>301.62453581851003</c:v>
                </c:pt>
                <c:pt idx="26">
                  <c:v>244.89501926747576</c:v>
                </c:pt>
                <c:pt idx="27">
                  <c:v>271.30526644338005</c:v>
                </c:pt>
                <c:pt idx="28">
                  <c:v>407.1604071604072</c:v>
                </c:pt>
                <c:pt idx="29">
                  <c:v>346.22661909395612</c:v>
                </c:pt>
                <c:pt idx="30">
                  <c:v>406.71780650892543</c:v>
                </c:pt>
                <c:pt idx="31">
                  <c:v>476.18070236653602</c:v>
                </c:pt>
                <c:pt idx="32">
                  <c:v>548.51682452791681</c:v>
                </c:pt>
                <c:pt idx="33">
                  <c:v>268.67663699639252</c:v>
                </c:pt>
                <c:pt idx="34">
                  <c:v>259.12</c:v>
                </c:pt>
              </c:numCache>
            </c:numRef>
          </c:val>
          <c:extLst>
            <c:ext xmlns:c16="http://schemas.microsoft.com/office/drawing/2014/chart" uri="{C3380CC4-5D6E-409C-BE32-E72D297353CC}">
              <c16:uniqueId val="{00000001-1CB8-44CC-87C1-8ACA6A3ABC85}"/>
            </c:ext>
          </c:extLst>
        </c:ser>
        <c:ser>
          <c:idx val="2"/>
          <c:order val="2"/>
          <c:tx>
            <c:strRef>
              <c:f>'2017Total ch capitals 200 m³'!$F$499</c:f>
              <c:strCache>
                <c:ptCount val="1"/>
                <c:pt idx="0">
                  <c:v>other charges drinking water</c:v>
                </c:pt>
              </c:strCache>
            </c:strRef>
          </c:tx>
          <c:spPr>
            <a:solidFill>
              <a:schemeClr val="accent3"/>
            </a:solidFill>
            <a:ln>
              <a:noFill/>
            </a:ln>
            <a:effectLst/>
          </c:spPr>
          <c:invertIfNegative val="0"/>
          <c:cat>
            <c:strRef>
              <c:f>'2017Total ch capitals 200 m³'!$A$500:$A$534</c:f>
              <c:strCache>
                <c:ptCount val="35"/>
                <c:pt idx="0">
                  <c:v>Yerevan</c:v>
                </c:pt>
                <c:pt idx="1">
                  <c:v>Buenos Aires</c:v>
                </c:pt>
                <c:pt idx="2">
                  <c:v>Seoul</c:v>
                </c:pt>
                <c:pt idx="3">
                  <c:v>Taipei</c:v>
                </c:pt>
                <c:pt idx="4">
                  <c:v>Moscow</c:v>
                </c:pt>
                <c:pt idx="5">
                  <c:v>Hong Kong</c:v>
                </c:pt>
                <c:pt idx="6">
                  <c:v>Mexico City</c:v>
                </c:pt>
                <c:pt idx="7">
                  <c:v>Beijing</c:v>
                </c:pt>
                <c:pt idx="8">
                  <c:v>Brasilia</c:v>
                </c:pt>
                <c:pt idx="9">
                  <c:v>Sofia</c:v>
                </c:pt>
                <c:pt idx="10">
                  <c:v>Bucharest</c:v>
                </c:pt>
                <c:pt idx="11">
                  <c:v>Lisbon</c:v>
                </c:pt>
                <c:pt idx="12">
                  <c:v>Madrid</c:v>
                </c:pt>
                <c:pt idx="13">
                  <c:v>Kampala</c:v>
                </c:pt>
                <c:pt idx="14">
                  <c:v>Ankara</c:v>
                </c:pt>
                <c:pt idx="15">
                  <c:v>Rome</c:v>
                </c:pt>
                <c:pt idx="16">
                  <c:v>Tokyo</c:v>
                </c:pt>
                <c:pt idx="17">
                  <c:v>Stockholm</c:v>
                </c:pt>
                <c:pt idx="18">
                  <c:v>Budapest</c:v>
                </c:pt>
                <c:pt idx="19">
                  <c:v>Nicosia</c:v>
                </c:pt>
                <c:pt idx="20">
                  <c:v>London</c:v>
                </c:pt>
                <c:pt idx="21">
                  <c:v>Warsaw</c:v>
                </c:pt>
                <c:pt idx="22">
                  <c:v>Amsterdam</c:v>
                </c:pt>
                <c:pt idx="23">
                  <c:v>Oslo</c:v>
                </c:pt>
                <c:pt idx="24">
                  <c:v>Prague</c:v>
                </c:pt>
                <c:pt idx="25">
                  <c:v>Ottawa</c:v>
                </c:pt>
                <c:pt idx="26">
                  <c:v>Paris</c:v>
                </c:pt>
                <c:pt idx="27">
                  <c:v>Helsinki</c:v>
                </c:pt>
                <c:pt idx="28">
                  <c:v>Canberra</c:v>
                </c:pt>
                <c:pt idx="29">
                  <c:v>Cardiff</c:v>
                </c:pt>
                <c:pt idx="30">
                  <c:v>Berlin</c:v>
                </c:pt>
                <c:pt idx="31">
                  <c:v>Bern</c:v>
                </c:pt>
                <c:pt idx="32">
                  <c:v>Brussels</c:v>
                </c:pt>
                <c:pt idx="33">
                  <c:v>Copenhagen</c:v>
                </c:pt>
                <c:pt idx="34">
                  <c:v>Washington D.C.</c:v>
                </c:pt>
              </c:strCache>
            </c:strRef>
          </c:cat>
          <c:val>
            <c:numRef>
              <c:f>'2017Total ch capitals 200 m³'!$F$500:$F$534</c:f>
              <c:numCache>
                <c:formatCode>0.00</c:formatCode>
                <c:ptCount val="35"/>
                <c:pt idx="0">
                  <c:v>0</c:v>
                </c:pt>
                <c:pt idx="1">
                  <c:v>0</c:v>
                </c:pt>
                <c:pt idx="2">
                  <c:v>0</c:v>
                </c:pt>
                <c:pt idx="3">
                  <c:v>3.3713384314713095</c:v>
                </c:pt>
                <c:pt idx="4">
                  <c:v>0</c:v>
                </c:pt>
                <c:pt idx="5">
                  <c:v>0</c:v>
                </c:pt>
                <c:pt idx="6">
                  <c:v>0</c:v>
                </c:pt>
                <c:pt idx="7">
                  <c:v>0</c:v>
                </c:pt>
                <c:pt idx="8">
                  <c:v>0</c:v>
                </c:pt>
                <c:pt idx="9">
                  <c:v>0</c:v>
                </c:pt>
                <c:pt idx="10">
                  <c:v>0</c:v>
                </c:pt>
                <c:pt idx="11">
                  <c:v>5.4261053288675996</c:v>
                </c:pt>
                <c:pt idx="12">
                  <c:v>0</c:v>
                </c:pt>
                <c:pt idx="13">
                  <c:v>0</c:v>
                </c:pt>
                <c:pt idx="14">
                  <c:v>0</c:v>
                </c:pt>
                <c:pt idx="15">
                  <c:v>0.96037262457833639</c:v>
                </c:pt>
                <c:pt idx="16">
                  <c:v>0</c:v>
                </c:pt>
                <c:pt idx="17">
                  <c:v>0</c:v>
                </c:pt>
                <c:pt idx="18">
                  <c:v>0</c:v>
                </c:pt>
                <c:pt idx="19">
                  <c:v>0</c:v>
                </c:pt>
                <c:pt idx="20">
                  <c:v>0</c:v>
                </c:pt>
                <c:pt idx="21">
                  <c:v>0</c:v>
                </c:pt>
                <c:pt idx="22">
                  <c:v>0</c:v>
                </c:pt>
                <c:pt idx="23">
                  <c:v>0</c:v>
                </c:pt>
                <c:pt idx="24">
                  <c:v>0</c:v>
                </c:pt>
                <c:pt idx="25">
                  <c:v>0</c:v>
                </c:pt>
                <c:pt idx="26">
                  <c:v>115.24471494940036</c:v>
                </c:pt>
                <c:pt idx="27">
                  <c:v>0</c:v>
                </c:pt>
                <c:pt idx="28">
                  <c:v>0</c:v>
                </c:pt>
                <c:pt idx="29">
                  <c:v>0</c:v>
                </c:pt>
                <c:pt idx="30">
                  <c:v>0</c:v>
                </c:pt>
                <c:pt idx="31">
                  <c:v>0</c:v>
                </c:pt>
                <c:pt idx="32">
                  <c:v>0</c:v>
                </c:pt>
                <c:pt idx="33">
                  <c:v>201.4913584386193</c:v>
                </c:pt>
                <c:pt idx="34">
                  <c:v>47.32</c:v>
                </c:pt>
              </c:numCache>
            </c:numRef>
          </c:val>
          <c:extLst>
            <c:ext xmlns:c16="http://schemas.microsoft.com/office/drawing/2014/chart" uri="{C3380CC4-5D6E-409C-BE32-E72D297353CC}">
              <c16:uniqueId val="{00000002-1CB8-44CC-87C1-8ACA6A3ABC85}"/>
            </c:ext>
          </c:extLst>
        </c:ser>
        <c:ser>
          <c:idx val="3"/>
          <c:order val="3"/>
          <c:tx>
            <c:strRef>
              <c:f>'2017Total ch capitals 200 m³'!$G$499</c:f>
              <c:strCache>
                <c:ptCount val="1"/>
                <c:pt idx="0">
                  <c:v>VAT drinking water</c:v>
                </c:pt>
              </c:strCache>
            </c:strRef>
          </c:tx>
          <c:spPr>
            <a:solidFill>
              <a:schemeClr val="accent4"/>
            </a:solidFill>
            <a:ln>
              <a:noFill/>
            </a:ln>
            <a:effectLst/>
          </c:spPr>
          <c:invertIfNegative val="0"/>
          <c:cat>
            <c:strRef>
              <c:f>'2017Total ch capitals 200 m³'!$A$500:$A$534</c:f>
              <c:strCache>
                <c:ptCount val="35"/>
                <c:pt idx="0">
                  <c:v>Yerevan</c:v>
                </c:pt>
                <c:pt idx="1">
                  <c:v>Buenos Aires</c:v>
                </c:pt>
                <c:pt idx="2">
                  <c:v>Seoul</c:v>
                </c:pt>
                <c:pt idx="3">
                  <c:v>Taipei</c:v>
                </c:pt>
                <c:pt idx="4">
                  <c:v>Moscow</c:v>
                </c:pt>
                <c:pt idx="5">
                  <c:v>Hong Kong</c:v>
                </c:pt>
                <c:pt idx="6">
                  <c:v>Mexico City</c:v>
                </c:pt>
                <c:pt idx="7">
                  <c:v>Beijing</c:v>
                </c:pt>
                <c:pt idx="8">
                  <c:v>Brasilia</c:v>
                </c:pt>
                <c:pt idx="9">
                  <c:v>Sofia</c:v>
                </c:pt>
                <c:pt idx="10">
                  <c:v>Bucharest</c:v>
                </c:pt>
                <c:pt idx="11">
                  <c:v>Lisbon</c:v>
                </c:pt>
                <c:pt idx="12">
                  <c:v>Madrid</c:v>
                </c:pt>
                <c:pt idx="13">
                  <c:v>Kampala</c:v>
                </c:pt>
                <c:pt idx="14">
                  <c:v>Ankara</c:v>
                </c:pt>
                <c:pt idx="15">
                  <c:v>Rome</c:v>
                </c:pt>
                <c:pt idx="16">
                  <c:v>Tokyo</c:v>
                </c:pt>
                <c:pt idx="17">
                  <c:v>Stockholm</c:v>
                </c:pt>
                <c:pt idx="18">
                  <c:v>Budapest</c:v>
                </c:pt>
                <c:pt idx="19">
                  <c:v>Nicosia</c:v>
                </c:pt>
                <c:pt idx="20">
                  <c:v>London</c:v>
                </c:pt>
                <c:pt idx="21">
                  <c:v>Warsaw</c:v>
                </c:pt>
                <c:pt idx="22">
                  <c:v>Amsterdam</c:v>
                </c:pt>
                <c:pt idx="23">
                  <c:v>Oslo</c:v>
                </c:pt>
                <c:pt idx="24">
                  <c:v>Prague</c:v>
                </c:pt>
                <c:pt idx="25">
                  <c:v>Ottawa</c:v>
                </c:pt>
                <c:pt idx="26">
                  <c:v>Paris</c:v>
                </c:pt>
                <c:pt idx="27">
                  <c:v>Helsinki</c:v>
                </c:pt>
                <c:pt idx="28">
                  <c:v>Canberra</c:v>
                </c:pt>
                <c:pt idx="29">
                  <c:v>Cardiff</c:v>
                </c:pt>
                <c:pt idx="30">
                  <c:v>Berlin</c:v>
                </c:pt>
                <c:pt idx="31">
                  <c:v>Bern</c:v>
                </c:pt>
                <c:pt idx="32">
                  <c:v>Brussels</c:v>
                </c:pt>
                <c:pt idx="33">
                  <c:v>Copenhagen</c:v>
                </c:pt>
                <c:pt idx="34">
                  <c:v>Washington D.C.</c:v>
                </c:pt>
              </c:strCache>
            </c:strRef>
          </c:cat>
          <c:val>
            <c:numRef>
              <c:f>'2017Total ch capitals 200 m³'!$G$500:$G$534</c:f>
              <c:numCache>
                <c:formatCode>0.00</c:formatCode>
                <c:ptCount val="35"/>
                <c:pt idx="0">
                  <c:v>10.557137838214471</c:v>
                </c:pt>
                <c:pt idx="1">
                  <c:v>0</c:v>
                </c:pt>
                <c:pt idx="2">
                  <c:v>0</c:v>
                </c:pt>
                <c:pt idx="3">
                  <c:v>0</c:v>
                </c:pt>
                <c:pt idx="4">
                  <c:v>0</c:v>
                </c:pt>
                <c:pt idx="5">
                  <c:v>0</c:v>
                </c:pt>
                <c:pt idx="6">
                  <c:v>0</c:v>
                </c:pt>
                <c:pt idx="7">
                  <c:v>0</c:v>
                </c:pt>
                <c:pt idx="8">
                  <c:v>0</c:v>
                </c:pt>
                <c:pt idx="9">
                  <c:v>28.673483165375785</c:v>
                </c:pt>
                <c:pt idx="10">
                  <c:v>15.328647435963404</c:v>
                </c:pt>
                <c:pt idx="11">
                  <c:v>11.896615886964142</c:v>
                </c:pt>
                <c:pt idx="12">
                  <c:v>19.91572730219325</c:v>
                </c:pt>
                <c:pt idx="13">
                  <c:v>31.739457188806806</c:v>
                </c:pt>
                <c:pt idx="14">
                  <c:v>18.636519355943815</c:v>
                </c:pt>
                <c:pt idx="15">
                  <c:v>14.909784996578672</c:v>
                </c:pt>
                <c:pt idx="16">
                  <c:v>18.15180375672216</c:v>
                </c:pt>
                <c:pt idx="17">
                  <c:v>73.925068839465268</c:v>
                </c:pt>
                <c:pt idx="18">
                  <c:v>37.735917569854188</c:v>
                </c:pt>
                <c:pt idx="19">
                  <c:v>15.726101727470258</c:v>
                </c:pt>
                <c:pt idx="20">
                  <c:v>0</c:v>
                </c:pt>
                <c:pt idx="21">
                  <c:v>19.318671841310913</c:v>
                </c:pt>
                <c:pt idx="22">
                  <c:v>20.035773880265545</c:v>
                </c:pt>
                <c:pt idx="23">
                  <c:v>64.226545428398367</c:v>
                </c:pt>
                <c:pt idx="24">
                  <c:v>56.966987348816566</c:v>
                </c:pt>
                <c:pt idx="25">
                  <c:v>0</c:v>
                </c:pt>
                <c:pt idx="26">
                  <c:v>21.248244318795692</c:v>
                </c:pt>
                <c:pt idx="27">
                  <c:v>76.493679547664485</c:v>
                </c:pt>
                <c:pt idx="28">
                  <c:v>0</c:v>
                </c:pt>
                <c:pt idx="29">
                  <c:v>0</c:v>
                </c:pt>
                <c:pt idx="30">
                  <c:v>30.311760963253743</c:v>
                </c:pt>
                <c:pt idx="31">
                  <c:v>42.527862728597526</c:v>
                </c:pt>
                <c:pt idx="32">
                  <c:v>34.645442431663483</c:v>
                </c:pt>
                <c:pt idx="33">
                  <c:v>133.01653518683892</c:v>
                </c:pt>
                <c:pt idx="34">
                  <c:v>0</c:v>
                </c:pt>
              </c:numCache>
            </c:numRef>
          </c:val>
          <c:extLst>
            <c:ext xmlns:c16="http://schemas.microsoft.com/office/drawing/2014/chart" uri="{C3380CC4-5D6E-409C-BE32-E72D297353CC}">
              <c16:uniqueId val="{00000003-1CB8-44CC-87C1-8ACA6A3ABC85}"/>
            </c:ext>
          </c:extLst>
        </c:ser>
        <c:ser>
          <c:idx val="5"/>
          <c:order val="5"/>
          <c:tx>
            <c:strRef>
              <c:f>'2017Total ch capitals 200 m³'!$I$499</c:f>
              <c:strCache>
                <c:ptCount val="1"/>
                <c:pt idx="0">
                  <c:v>environmental charges</c:v>
                </c:pt>
              </c:strCache>
            </c:strRef>
          </c:tx>
          <c:spPr>
            <a:solidFill>
              <a:schemeClr val="accent6"/>
            </a:solidFill>
            <a:ln>
              <a:noFill/>
            </a:ln>
            <a:effectLst/>
          </c:spPr>
          <c:invertIfNegative val="0"/>
          <c:cat>
            <c:strRef>
              <c:f>'2017Total ch capitals 200 m³'!$A$500:$A$534</c:f>
              <c:strCache>
                <c:ptCount val="35"/>
                <c:pt idx="0">
                  <c:v>Yerevan</c:v>
                </c:pt>
                <c:pt idx="1">
                  <c:v>Buenos Aires</c:v>
                </c:pt>
                <c:pt idx="2">
                  <c:v>Seoul</c:v>
                </c:pt>
                <c:pt idx="3">
                  <c:v>Taipei</c:v>
                </c:pt>
                <c:pt idx="4">
                  <c:v>Moscow</c:v>
                </c:pt>
                <c:pt idx="5">
                  <c:v>Hong Kong</c:v>
                </c:pt>
                <c:pt idx="6">
                  <c:v>Mexico City</c:v>
                </c:pt>
                <c:pt idx="7">
                  <c:v>Beijing</c:v>
                </c:pt>
                <c:pt idx="8">
                  <c:v>Brasilia</c:v>
                </c:pt>
                <c:pt idx="9">
                  <c:v>Sofia</c:v>
                </c:pt>
                <c:pt idx="10">
                  <c:v>Bucharest</c:v>
                </c:pt>
                <c:pt idx="11">
                  <c:v>Lisbon</c:v>
                </c:pt>
                <c:pt idx="12">
                  <c:v>Madrid</c:v>
                </c:pt>
                <c:pt idx="13">
                  <c:v>Kampala</c:v>
                </c:pt>
                <c:pt idx="14">
                  <c:v>Ankara</c:v>
                </c:pt>
                <c:pt idx="15">
                  <c:v>Rome</c:v>
                </c:pt>
                <c:pt idx="16">
                  <c:v>Tokyo</c:v>
                </c:pt>
                <c:pt idx="17">
                  <c:v>Stockholm</c:v>
                </c:pt>
                <c:pt idx="18">
                  <c:v>Budapest</c:v>
                </c:pt>
                <c:pt idx="19">
                  <c:v>Nicosia</c:v>
                </c:pt>
                <c:pt idx="20">
                  <c:v>London</c:v>
                </c:pt>
                <c:pt idx="21">
                  <c:v>Warsaw</c:v>
                </c:pt>
                <c:pt idx="22">
                  <c:v>Amsterdam</c:v>
                </c:pt>
                <c:pt idx="23">
                  <c:v>Oslo</c:v>
                </c:pt>
                <c:pt idx="24">
                  <c:v>Prague</c:v>
                </c:pt>
                <c:pt idx="25">
                  <c:v>Ottawa</c:v>
                </c:pt>
                <c:pt idx="26">
                  <c:v>Paris</c:v>
                </c:pt>
                <c:pt idx="27">
                  <c:v>Helsinki</c:v>
                </c:pt>
                <c:pt idx="28">
                  <c:v>Canberra</c:v>
                </c:pt>
                <c:pt idx="29">
                  <c:v>Cardiff</c:v>
                </c:pt>
                <c:pt idx="30">
                  <c:v>Berlin</c:v>
                </c:pt>
                <c:pt idx="31">
                  <c:v>Bern</c:v>
                </c:pt>
                <c:pt idx="32">
                  <c:v>Brussels</c:v>
                </c:pt>
                <c:pt idx="33">
                  <c:v>Copenhagen</c:v>
                </c:pt>
                <c:pt idx="34">
                  <c:v>Washington D.C.</c:v>
                </c:pt>
              </c:strCache>
            </c:strRef>
          </c:cat>
          <c:val>
            <c:numRef>
              <c:f>'2017Total ch capitals 200 m³'!$I$500:$I$534</c:f>
              <c:numCache>
                <c:formatCode>0.00</c:formatCode>
                <c:ptCount val="35"/>
                <c:pt idx="0">
                  <c:v>9.3151216219539439</c:v>
                </c:pt>
                <c:pt idx="1">
                  <c:v>0</c:v>
                </c:pt>
                <c:pt idx="2">
                  <c:v>0</c:v>
                </c:pt>
                <c:pt idx="3">
                  <c:v>33.713384314713096</c:v>
                </c:pt>
                <c:pt idx="4">
                  <c:v>76.512063581385974</c:v>
                </c:pt>
                <c:pt idx="5">
                  <c:v>74.75305252297953</c:v>
                </c:pt>
                <c:pt idx="6">
                  <c:v>0</c:v>
                </c:pt>
                <c:pt idx="7">
                  <c:v>41.834826262427406</c:v>
                </c:pt>
                <c:pt idx="8">
                  <c:v>0</c:v>
                </c:pt>
                <c:pt idx="9">
                  <c:v>77.452773447569015</c:v>
                </c:pt>
                <c:pt idx="10">
                  <c:v>89.532885325868833</c:v>
                </c:pt>
                <c:pt idx="11">
                  <c:v>127.9216335938344</c:v>
                </c:pt>
                <c:pt idx="12">
                  <c:v>134.64424196588274</c:v>
                </c:pt>
                <c:pt idx="13">
                  <c:v>132.24773828669504</c:v>
                </c:pt>
                <c:pt idx="14">
                  <c:v>116.47824597464884</c:v>
                </c:pt>
                <c:pt idx="15">
                  <c:v>214.12708130754731</c:v>
                </c:pt>
                <c:pt idx="16">
                  <c:v>161.1915678347552</c:v>
                </c:pt>
                <c:pt idx="17">
                  <c:v>79.654031903277954</c:v>
                </c:pt>
                <c:pt idx="18">
                  <c:v>231.9565655671708</c:v>
                </c:pt>
                <c:pt idx="19">
                  <c:v>263.50223886868105</c:v>
                </c:pt>
                <c:pt idx="20">
                  <c:v>264.71780733052219</c:v>
                </c:pt>
                <c:pt idx="21">
                  <c:v>369.12462268219059</c:v>
                </c:pt>
                <c:pt idx="22">
                  <c:v>343.2731899977191</c:v>
                </c:pt>
                <c:pt idx="23">
                  <c:v>357.32871194699055</c:v>
                </c:pt>
                <c:pt idx="24">
                  <c:v>318.77071633636467</c:v>
                </c:pt>
                <c:pt idx="25">
                  <c:v>429.39272735947327</c:v>
                </c:pt>
                <c:pt idx="26">
                  <c:v>324.12576079518851</c:v>
                </c:pt>
                <c:pt idx="27">
                  <c:v>333.72948704097189</c:v>
                </c:pt>
                <c:pt idx="28">
                  <c:v>412.62041262041265</c:v>
                </c:pt>
                <c:pt idx="29">
                  <c:v>555.80333008973946</c:v>
                </c:pt>
                <c:pt idx="30">
                  <c:v>530.60587507953085</c:v>
                </c:pt>
                <c:pt idx="31">
                  <c:v>447.2711972250159</c:v>
                </c:pt>
                <c:pt idx="32">
                  <c:v>397.83435973157583</c:v>
                </c:pt>
                <c:pt idx="33">
                  <c:v>501.12190388378622</c:v>
                </c:pt>
                <c:pt idx="34">
                  <c:v>588.34</c:v>
                </c:pt>
              </c:numCache>
            </c:numRef>
          </c:val>
          <c:extLst>
            <c:ext xmlns:c16="http://schemas.microsoft.com/office/drawing/2014/chart" uri="{C3380CC4-5D6E-409C-BE32-E72D297353CC}">
              <c16:uniqueId val="{00000004-1CB8-44CC-87C1-8ACA6A3ABC85}"/>
            </c:ext>
          </c:extLst>
        </c:ser>
        <c:ser>
          <c:idx val="6"/>
          <c:order val="6"/>
          <c:tx>
            <c:strRef>
              <c:f>'2017Total ch capitals 200 m³'!$J$499</c:f>
              <c:strCache>
                <c:ptCount val="1"/>
                <c:pt idx="0">
                  <c:v>VAT environmental charges</c:v>
                </c:pt>
              </c:strCache>
            </c:strRef>
          </c:tx>
          <c:spPr>
            <a:solidFill>
              <a:schemeClr val="accent1">
                <a:lumMod val="60000"/>
              </a:schemeClr>
            </a:solidFill>
            <a:ln>
              <a:noFill/>
            </a:ln>
            <a:effectLst/>
          </c:spPr>
          <c:invertIfNegative val="0"/>
          <c:cat>
            <c:strRef>
              <c:f>'2017Total ch capitals 200 m³'!$A$500:$A$534</c:f>
              <c:strCache>
                <c:ptCount val="35"/>
                <c:pt idx="0">
                  <c:v>Yerevan</c:v>
                </c:pt>
                <c:pt idx="1">
                  <c:v>Buenos Aires</c:v>
                </c:pt>
                <c:pt idx="2">
                  <c:v>Seoul</c:v>
                </c:pt>
                <c:pt idx="3">
                  <c:v>Taipei</c:v>
                </c:pt>
                <c:pt idx="4">
                  <c:v>Moscow</c:v>
                </c:pt>
                <c:pt idx="5">
                  <c:v>Hong Kong</c:v>
                </c:pt>
                <c:pt idx="6">
                  <c:v>Mexico City</c:v>
                </c:pt>
                <c:pt idx="7">
                  <c:v>Beijing</c:v>
                </c:pt>
                <c:pt idx="8">
                  <c:v>Brasilia</c:v>
                </c:pt>
                <c:pt idx="9">
                  <c:v>Sofia</c:v>
                </c:pt>
                <c:pt idx="10">
                  <c:v>Bucharest</c:v>
                </c:pt>
                <c:pt idx="11">
                  <c:v>Lisbon</c:v>
                </c:pt>
                <c:pt idx="12">
                  <c:v>Madrid</c:v>
                </c:pt>
                <c:pt idx="13">
                  <c:v>Kampala</c:v>
                </c:pt>
                <c:pt idx="14">
                  <c:v>Ankara</c:v>
                </c:pt>
                <c:pt idx="15">
                  <c:v>Rome</c:v>
                </c:pt>
                <c:pt idx="16">
                  <c:v>Tokyo</c:v>
                </c:pt>
                <c:pt idx="17">
                  <c:v>Stockholm</c:v>
                </c:pt>
                <c:pt idx="18">
                  <c:v>Budapest</c:v>
                </c:pt>
                <c:pt idx="19">
                  <c:v>Nicosia</c:v>
                </c:pt>
                <c:pt idx="20">
                  <c:v>London</c:v>
                </c:pt>
                <c:pt idx="21">
                  <c:v>Warsaw</c:v>
                </c:pt>
                <c:pt idx="22">
                  <c:v>Amsterdam</c:v>
                </c:pt>
                <c:pt idx="23">
                  <c:v>Oslo</c:v>
                </c:pt>
                <c:pt idx="24">
                  <c:v>Prague</c:v>
                </c:pt>
                <c:pt idx="25">
                  <c:v>Ottawa</c:v>
                </c:pt>
                <c:pt idx="26">
                  <c:v>Paris</c:v>
                </c:pt>
                <c:pt idx="27">
                  <c:v>Helsinki</c:v>
                </c:pt>
                <c:pt idx="28">
                  <c:v>Canberra</c:v>
                </c:pt>
                <c:pt idx="29">
                  <c:v>Cardiff</c:v>
                </c:pt>
                <c:pt idx="30">
                  <c:v>Berlin</c:v>
                </c:pt>
                <c:pt idx="31">
                  <c:v>Bern</c:v>
                </c:pt>
                <c:pt idx="32">
                  <c:v>Brussels</c:v>
                </c:pt>
                <c:pt idx="33">
                  <c:v>Copenhagen</c:v>
                </c:pt>
                <c:pt idx="34">
                  <c:v>Washington D.C.</c:v>
                </c:pt>
              </c:strCache>
            </c:strRef>
          </c:cat>
          <c:val>
            <c:numRef>
              <c:f>'2017Total ch capitals 200 m³'!$J$500:$J$534</c:f>
              <c:numCache>
                <c:formatCode>0.00</c:formatCode>
                <c:ptCount val="35"/>
                <c:pt idx="0">
                  <c:v>1.8630243243907889</c:v>
                </c:pt>
                <c:pt idx="1">
                  <c:v>0</c:v>
                </c:pt>
                <c:pt idx="2">
                  <c:v>0</c:v>
                </c:pt>
                <c:pt idx="3">
                  <c:v>0</c:v>
                </c:pt>
                <c:pt idx="4">
                  <c:v>0</c:v>
                </c:pt>
                <c:pt idx="5">
                  <c:v>0</c:v>
                </c:pt>
                <c:pt idx="6">
                  <c:v>0</c:v>
                </c:pt>
                <c:pt idx="7">
                  <c:v>0</c:v>
                </c:pt>
                <c:pt idx="8">
                  <c:v>0</c:v>
                </c:pt>
                <c:pt idx="9">
                  <c:v>15.490554689513804</c:v>
                </c:pt>
                <c:pt idx="10">
                  <c:v>17.011248211915078</c:v>
                </c:pt>
                <c:pt idx="11">
                  <c:v>0</c:v>
                </c:pt>
                <c:pt idx="12">
                  <c:v>13.457221401903938</c:v>
                </c:pt>
                <c:pt idx="13">
                  <c:v>23.804592891605107</c:v>
                </c:pt>
                <c:pt idx="14">
                  <c:v>9.3182596779719074</c:v>
                </c:pt>
                <c:pt idx="15">
                  <c:v>21.404304870289671</c:v>
                </c:pt>
                <c:pt idx="16">
                  <c:v>12.87934828899944</c:v>
                </c:pt>
                <c:pt idx="17">
                  <c:v>19.913507975819488</c:v>
                </c:pt>
                <c:pt idx="18">
                  <c:v>62.628272703136119</c:v>
                </c:pt>
                <c:pt idx="19">
                  <c:v>0</c:v>
                </c:pt>
                <c:pt idx="20">
                  <c:v>0</c:v>
                </c:pt>
                <c:pt idx="21">
                  <c:v>29.529969814575249</c:v>
                </c:pt>
                <c:pt idx="22">
                  <c:v>0</c:v>
                </c:pt>
                <c:pt idx="23">
                  <c:v>94.024250091099319</c:v>
                </c:pt>
                <c:pt idx="24">
                  <c:v>47.754504246202664</c:v>
                </c:pt>
                <c:pt idx="25">
                  <c:v>0</c:v>
                </c:pt>
                <c:pt idx="26">
                  <c:v>39.687398710699753</c:v>
                </c:pt>
                <c:pt idx="27">
                  <c:v>80.095076889833251</c:v>
                </c:pt>
                <c:pt idx="28">
                  <c:v>0</c:v>
                </c:pt>
                <c:pt idx="29">
                  <c:v>0</c:v>
                </c:pt>
                <c:pt idx="30">
                  <c:v>0</c:v>
                </c:pt>
                <c:pt idx="31">
                  <c:v>11.186141499558714</c:v>
                </c:pt>
                <c:pt idx="32">
                  <c:v>23.865259720771661</c:v>
                </c:pt>
                <c:pt idx="33">
                  <c:v>125.28087895366345</c:v>
                </c:pt>
                <c:pt idx="34">
                  <c:v>0</c:v>
                </c:pt>
              </c:numCache>
            </c:numRef>
          </c:val>
          <c:extLst>
            <c:ext xmlns:c16="http://schemas.microsoft.com/office/drawing/2014/chart" uri="{C3380CC4-5D6E-409C-BE32-E72D297353CC}">
              <c16:uniqueId val="{00000005-1CB8-44CC-87C1-8ACA6A3ABC85}"/>
            </c:ext>
          </c:extLst>
        </c:ser>
        <c:ser>
          <c:idx val="7"/>
          <c:order val="7"/>
          <c:tx>
            <c:strRef>
              <c:f>'2017Total ch capitals 200 m³'!$K$499</c:f>
              <c:strCache>
                <c:ptCount val="1"/>
                <c:pt idx="0">
                  <c:v>other taxes</c:v>
                </c:pt>
              </c:strCache>
            </c:strRef>
          </c:tx>
          <c:spPr>
            <a:solidFill>
              <a:schemeClr val="accent2">
                <a:lumMod val="60000"/>
              </a:schemeClr>
            </a:solidFill>
            <a:ln>
              <a:noFill/>
            </a:ln>
            <a:effectLst/>
          </c:spPr>
          <c:invertIfNegative val="0"/>
          <c:cat>
            <c:strRef>
              <c:f>'2017Total ch capitals 200 m³'!$A$500:$A$534</c:f>
              <c:strCache>
                <c:ptCount val="35"/>
                <c:pt idx="0">
                  <c:v>Yerevan</c:v>
                </c:pt>
                <c:pt idx="1">
                  <c:v>Buenos Aires</c:v>
                </c:pt>
                <c:pt idx="2">
                  <c:v>Seoul</c:v>
                </c:pt>
                <c:pt idx="3">
                  <c:v>Taipei</c:v>
                </c:pt>
                <c:pt idx="4">
                  <c:v>Moscow</c:v>
                </c:pt>
                <c:pt idx="5">
                  <c:v>Hong Kong</c:v>
                </c:pt>
                <c:pt idx="6">
                  <c:v>Mexico City</c:v>
                </c:pt>
                <c:pt idx="7">
                  <c:v>Beijing</c:v>
                </c:pt>
                <c:pt idx="8">
                  <c:v>Brasilia</c:v>
                </c:pt>
                <c:pt idx="9">
                  <c:v>Sofia</c:v>
                </c:pt>
                <c:pt idx="10">
                  <c:v>Bucharest</c:v>
                </c:pt>
                <c:pt idx="11">
                  <c:v>Lisbon</c:v>
                </c:pt>
                <c:pt idx="12">
                  <c:v>Madrid</c:v>
                </c:pt>
                <c:pt idx="13">
                  <c:v>Kampala</c:v>
                </c:pt>
                <c:pt idx="14">
                  <c:v>Ankara</c:v>
                </c:pt>
                <c:pt idx="15">
                  <c:v>Rome</c:v>
                </c:pt>
                <c:pt idx="16">
                  <c:v>Tokyo</c:v>
                </c:pt>
                <c:pt idx="17">
                  <c:v>Stockholm</c:v>
                </c:pt>
                <c:pt idx="18">
                  <c:v>Budapest</c:v>
                </c:pt>
                <c:pt idx="19">
                  <c:v>Nicosia</c:v>
                </c:pt>
                <c:pt idx="20">
                  <c:v>London</c:v>
                </c:pt>
                <c:pt idx="21">
                  <c:v>Warsaw</c:v>
                </c:pt>
                <c:pt idx="22">
                  <c:v>Amsterdam</c:v>
                </c:pt>
                <c:pt idx="23">
                  <c:v>Oslo</c:v>
                </c:pt>
                <c:pt idx="24">
                  <c:v>Prague</c:v>
                </c:pt>
                <c:pt idx="25">
                  <c:v>Ottawa</c:v>
                </c:pt>
                <c:pt idx="26">
                  <c:v>Paris</c:v>
                </c:pt>
                <c:pt idx="27">
                  <c:v>Helsinki</c:v>
                </c:pt>
                <c:pt idx="28">
                  <c:v>Canberra</c:v>
                </c:pt>
                <c:pt idx="29">
                  <c:v>Cardiff</c:v>
                </c:pt>
                <c:pt idx="30">
                  <c:v>Berlin</c:v>
                </c:pt>
                <c:pt idx="31">
                  <c:v>Bern</c:v>
                </c:pt>
                <c:pt idx="32">
                  <c:v>Brussels</c:v>
                </c:pt>
                <c:pt idx="33">
                  <c:v>Copenhagen</c:v>
                </c:pt>
                <c:pt idx="34">
                  <c:v>Washington D.C.</c:v>
                </c:pt>
              </c:strCache>
            </c:strRef>
          </c:cat>
          <c:val>
            <c:numRef>
              <c:f>'2017Total ch capitals 200 m³'!$K$500:$K$534</c:f>
              <c:numCache>
                <c:formatCode>0.00</c:formatCode>
                <c:ptCount val="35"/>
                <c:pt idx="0">
                  <c:v>0</c:v>
                </c:pt>
                <c:pt idx="1">
                  <c:v>0</c:v>
                </c:pt>
                <c:pt idx="2">
                  <c:v>0</c:v>
                </c:pt>
                <c:pt idx="3">
                  <c:v>0</c:v>
                </c:pt>
                <c:pt idx="4">
                  <c:v>0</c:v>
                </c:pt>
                <c:pt idx="5">
                  <c:v>0</c:v>
                </c:pt>
                <c:pt idx="6">
                  <c:v>0</c:v>
                </c:pt>
                <c:pt idx="7">
                  <c:v>48.294615611772812</c:v>
                </c:pt>
                <c:pt idx="8">
                  <c:v>0</c:v>
                </c:pt>
                <c:pt idx="9">
                  <c:v>0</c:v>
                </c:pt>
                <c:pt idx="10">
                  <c:v>0</c:v>
                </c:pt>
                <c:pt idx="11">
                  <c:v>17.442767793904032</c:v>
                </c:pt>
                <c:pt idx="12">
                  <c:v>0</c:v>
                </c:pt>
                <c:pt idx="13">
                  <c:v>0</c:v>
                </c:pt>
                <c:pt idx="14">
                  <c:v>12.649221282314807</c:v>
                </c:pt>
                <c:pt idx="15">
                  <c:v>1.9207452491566728</c:v>
                </c:pt>
                <c:pt idx="16">
                  <c:v>0</c:v>
                </c:pt>
                <c:pt idx="17">
                  <c:v>0</c:v>
                </c:pt>
                <c:pt idx="18">
                  <c:v>0</c:v>
                </c:pt>
                <c:pt idx="19">
                  <c:v>0</c:v>
                </c:pt>
                <c:pt idx="20">
                  <c:v>0</c:v>
                </c:pt>
                <c:pt idx="21">
                  <c:v>0</c:v>
                </c:pt>
                <c:pt idx="22">
                  <c:v>80.671300464580256</c:v>
                </c:pt>
                <c:pt idx="23">
                  <c:v>0</c:v>
                </c:pt>
                <c:pt idx="24">
                  <c:v>0</c:v>
                </c:pt>
                <c:pt idx="25">
                  <c:v>0</c:v>
                </c:pt>
                <c:pt idx="26">
                  <c:v>72.027946843375233</c:v>
                </c:pt>
                <c:pt idx="27">
                  <c:v>47.44240765416982</c:v>
                </c:pt>
                <c:pt idx="28">
                  <c:v>0</c:v>
                </c:pt>
                <c:pt idx="29">
                  <c:v>0</c:v>
                </c:pt>
                <c:pt idx="30">
                  <c:v>0</c:v>
                </c:pt>
                <c:pt idx="31">
                  <c:v>0</c:v>
                </c:pt>
                <c:pt idx="32">
                  <c:v>0</c:v>
                </c:pt>
                <c:pt idx="33">
                  <c:v>22.433241883122115</c:v>
                </c:pt>
                <c:pt idx="34">
                  <c:v>334.2</c:v>
                </c:pt>
              </c:numCache>
            </c:numRef>
          </c:val>
          <c:extLst>
            <c:ext xmlns:c16="http://schemas.microsoft.com/office/drawing/2014/chart" uri="{C3380CC4-5D6E-409C-BE32-E72D297353CC}">
              <c16:uniqueId val="{00000006-1CB8-44CC-87C1-8ACA6A3ABC85}"/>
            </c:ext>
          </c:extLst>
        </c:ser>
        <c:ser>
          <c:idx val="8"/>
          <c:order val="8"/>
          <c:tx>
            <c:strRef>
              <c:f>'2017Total ch capitals 200 m³'!$L$499</c:f>
              <c:strCache>
                <c:ptCount val="1"/>
                <c:pt idx="0">
                  <c:v>VAT other taxes</c:v>
                </c:pt>
              </c:strCache>
            </c:strRef>
          </c:tx>
          <c:spPr>
            <a:solidFill>
              <a:schemeClr val="accent3">
                <a:lumMod val="60000"/>
              </a:schemeClr>
            </a:solidFill>
            <a:ln>
              <a:noFill/>
            </a:ln>
            <a:effectLst/>
          </c:spPr>
          <c:invertIfNegative val="0"/>
          <c:cat>
            <c:strRef>
              <c:f>'2017Total ch capitals 200 m³'!$A$500:$A$534</c:f>
              <c:strCache>
                <c:ptCount val="35"/>
                <c:pt idx="0">
                  <c:v>Yerevan</c:v>
                </c:pt>
                <c:pt idx="1">
                  <c:v>Buenos Aires</c:v>
                </c:pt>
                <c:pt idx="2">
                  <c:v>Seoul</c:v>
                </c:pt>
                <c:pt idx="3">
                  <c:v>Taipei</c:v>
                </c:pt>
                <c:pt idx="4">
                  <c:v>Moscow</c:v>
                </c:pt>
                <c:pt idx="5">
                  <c:v>Hong Kong</c:v>
                </c:pt>
                <c:pt idx="6">
                  <c:v>Mexico City</c:v>
                </c:pt>
                <c:pt idx="7">
                  <c:v>Beijing</c:v>
                </c:pt>
                <c:pt idx="8">
                  <c:v>Brasilia</c:v>
                </c:pt>
                <c:pt idx="9">
                  <c:v>Sofia</c:v>
                </c:pt>
                <c:pt idx="10">
                  <c:v>Bucharest</c:v>
                </c:pt>
                <c:pt idx="11">
                  <c:v>Lisbon</c:v>
                </c:pt>
                <c:pt idx="12">
                  <c:v>Madrid</c:v>
                </c:pt>
                <c:pt idx="13">
                  <c:v>Kampala</c:v>
                </c:pt>
                <c:pt idx="14">
                  <c:v>Ankara</c:v>
                </c:pt>
                <c:pt idx="15">
                  <c:v>Rome</c:v>
                </c:pt>
                <c:pt idx="16">
                  <c:v>Tokyo</c:v>
                </c:pt>
                <c:pt idx="17">
                  <c:v>Stockholm</c:v>
                </c:pt>
                <c:pt idx="18">
                  <c:v>Budapest</c:v>
                </c:pt>
                <c:pt idx="19">
                  <c:v>Nicosia</c:v>
                </c:pt>
                <c:pt idx="20">
                  <c:v>London</c:v>
                </c:pt>
                <c:pt idx="21">
                  <c:v>Warsaw</c:v>
                </c:pt>
                <c:pt idx="22">
                  <c:v>Amsterdam</c:v>
                </c:pt>
                <c:pt idx="23">
                  <c:v>Oslo</c:v>
                </c:pt>
                <c:pt idx="24">
                  <c:v>Prague</c:v>
                </c:pt>
                <c:pt idx="25">
                  <c:v>Ottawa</c:v>
                </c:pt>
                <c:pt idx="26">
                  <c:v>Paris</c:v>
                </c:pt>
                <c:pt idx="27">
                  <c:v>Helsinki</c:v>
                </c:pt>
                <c:pt idx="28">
                  <c:v>Canberra</c:v>
                </c:pt>
                <c:pt idx="29">
                  <c:v>Cardiff</c:v>
                </c:pt>
                <c:pt idx="30">
                  <c:v>Berlin</c:v>
                </c:pt>
                <c:pt idx="31">
                  <c:v>Bern</c:v>
                </c:pt>
                <c:pt idx="32">
                  <c:v>Brussels</c:v>
                </c:pt>
                <c:pt idx="33">
                  <c:v>Copenhagen</c:v>
                </c:pt>
                <c:pt idx="34">
                  <c:v>Washington D.C.</c:v>
                </c:pt>
              </c:strCache>
            </c:strRef>
          </c:cat>
          <c:val>
            <c:numRef>
              <c:f>'2017Total ch capitals 200 m³'!$L$500:$L$534</c:f>
              <c:numCache>
                <c:formatCode>0.00</c:formatCode>
                <c:ptCount val="35"/>
                <c:pt idx="0">
                  <c:v>0</c:v>
                </c:pt>
                <c:pt idx="1">
                  <c:v>0</c:v>
                </c:pt>
                <c:pt idx="2">
                  <c:v>0</c:v>
                </c:pt>
                <c:pt idx="3">
                  <c:v>3.9950360412935018</c:v>
                </c:pt>
                <c:pt idx="4">
                  <c:v>0</c:v>
                </c:pt>
                <c:pt idx="5">
                  <c:v>0</c:v>
                </c:pt>
                <c:pt idx="6">
                  <c:v>0</c:v>
                </c:pt>
                <c:pt idx="7">
                  <c:v>0</c:v>
                </c:pt>
                <c:pt idx="8">
                  <c:v>0</c:v>
                </c:pt>
                <c:pt idx="9">
                  <c:v>0</c:v>
                </c:pt>
                <c:pt idx="10">
                  <c:v>0</c:v>
                </c:pt>
                <c:pt idx="11">
                  <c:v>0</c:v>
                </c:pt>
                <c:pt idx="12">
                  <c:v>0</c:v>
                </c:pt>
                <c:pt idx="13">
                  <c:v>0</c:v>
                </c:pt>
                <c:pt idx="14">
                  <c:v>0</c:v>
                </c:pt>
                <c:pt idx="15">
                  <c:v>0.19207452491566729</c:v>
                </c:pt>
                <c:pt idx="16">
                  <c:v>0</c:v>
                </c:pt>
                <c:pt idx="17">
                  <c:v>0</c:v>
                </c:pt>
                <c:pt idx="18">
                  <c:v>0</c:v>
                </c:pt>
                <c:pt idx="19">
                  <c:v>0</c:v>
                </c:pt>
                <c:pt idx="20">
                  <c:v>0</c:v>
                </c:pt>
                <c:pt idx="21">
                  <c:v>0</c:v>
                </c:pt>
                <c:pt idx="22">
                  <c:v>4.8378770963133695</c:v>
                </c:pt>
                <c:pt idx="23">
                  <c:v>0</c:v>
                </c:pt>
                <c:pt idx="24">
                  <c:v>0</c:v>
                </c:pt>
                <c:pt idx="25">
                  <c:v>0</c:v>
                </c:pt>
                <c:pt idx="26">
                  <c:v>0</c:v>
                </c:pt>
                <c:pt idx="27">
                  <c:v>11.380415601253286</c:v>
                </c:pt>
                <c:pt idx="28">
                  <c:v>0</c:v>
                </c:pt>
                <c:pt idx="29">
                  <c:v>0</c:v>
                </c:pt>
                <c:pt idx="30">
                  <c:v>0</c:v>
                </c:pt>
                <c:pt idx="31">
                  <c:v>0</c:v>
                </c:pt>
                <c:pt idx="32">
                  <c:v>0</c:v>
                </c:pt>
                <c:pt idx="33">
                  <c:v>5.6079074880636517</c:v>
                </c:pt>
                <c:pt idx="34">
                  <c:v>0</c:v>
                </c:pt>
              </c:numCache>
            </c:numRef>
          </c:val>
          <c:extLst>
            <c:ext xmlns:c16="http://schemas.microsoft.com/office/drawing/2014/chart" uri="{C3380CC4-5D6E-409C-BE32-E72D297353CC}">
              <c16:uniqueId val="{00000007-1CB8-44CC-87C1-8ACA6A3ABC85}"/>
            </c:ext>
          </c:extLst>
        </c:ser>
        <c:ser>
          <c:idx val="9"/>
          <c:order val="9"/>
          <c:tx>
            <c:strRef>
              <c:f>'2017Total ch capitals 200 m³'!$M$499</c:f>
              <c:strCache>
                <c:ptCount val="1"/>
                <c:pt idx="0">
                  <c:v>total annual charges 200 m³</c:v>
                </c:pt>
              </c:strCache>
            </c:strRef>
          </c:tx>
          <c:spPr>
            <a:solidFill>
              <a:schemeClr val="accent4">
                <a:lumMod val="60000"/>
              </a:schemeClr>
            </a:solidFill>
            <a:ln>
              <a:noFill/>
            </a:ln>
            <a:effectLst/>
          </c:spPr>
          <c:invertIfNegative val="0"/>
          <c:cat>
            <c:strRef>
              <c:f>'2017Total ch capitals 200 m³'!$A$500:$A$534</c:f>
              <c:strCache>
                <c:ptCount val="35"/>
                <c:pt idx="0">
                  <c:v>Yerevan</c:v>
                </c:pt>
                <c:pt idx="1">
                  <c:v>Buenos Aires</c:v>
                </c:pt>
                <c:pt idx="2">
                  <c:v>Seoul</c:v>
                </c:pt>
                <c:pt idx="3">
                  <c:v>Taipei</c:v>
                </c:pt>
                <c:pt idx="4">
                  <c:v>Moscow</c:v>
                </c:pt>
                <c:pt idx="5">
                  <c:v>Hong Kong</c:v>
                </c:pt>
                <c:pt idx="6">
                  <c:v>Mexico City</c:v>
                </c:pt>
                <c:pt idx="7">
                  <c:v>Beijing</c:v>
                </c:pt>
                <c:pt idx="8">
                  <c:v>Brasilia</c:v>
                </c:pt>
                <c:pt idx="9">
                  <c:v>Sofia</c:v>
                </c:pt>
                <c:pt idx="10">
                  <c:v>Bucharest</c:v>
                </c:pt>
                <c:pt idx="11">
                  <c:v>Lisbon</c:v>
                </c:pt>
                <c:pt idx="12">
                  <c:v>Madrid</c:v>
                </c:pt>
                <c:pt idx="13">
                  <c:v>Kampala</c:v>
                </c:pt>
                <c:pt idx="14">
                  <c:v>Ankara</c:v>
                </c:pt>
                <c:pt idx="15">
                  <c:v>Rome</c:v>
                </c:pt>
                <c:pt idx="16">
                  <c:v>Tokyo</c:v>
                </c:pt>
                <c:pt idx="17">
                  <c:v>Stockholm</c:v>
                </c:pt>
                <c:pt idx="18">
                  <c:v>Budapest</c:v>
                </c:pt>
                <c:pt idx="19">
                  <c:v>Nicosia</c:v>
                </c:pt>
                <c:pt idx="20">
                  <c:v>London</c:v>
                </c:pt>
                <c:pt idx="21">
                  <c:v>Warsaw</c:v>
                </c:pt>
                <c:pt idx="22">
                  <c:v>Amsterdam</c:v>
                </c:pt>
                <c:pt idx="23">
                  <c:v>Oslo</c:v>
                </c:pt>
                <c:pt idx="24">
                  <c:v>Prague</c:v>
                </c:pt>
                <c:pt idx="25">
                  <c:v>Ottawa</c:v>
                </c:pt>
                <c:pt idx="26">
                  <c:v>Paris</c:v>
                </c:pt>
                <c:pt idx="27">
                  <c:v>Helsinki</c:v>
                </c:pt>
                <c:pt idx="28">
                  <c:v>Canberra</c:v>
                </c:pt>
                <c:pt idx="29">
                  <c:v>Cardiff</c:v>
                </c:pt>
                <c:pt idx="30">
                  <c:v>Berlin</c:v>
                </c:pt>
                <c:pt idx="31">
                  <c:v>Bern</c:v>
                </c:pt>
                <c:pt idx="32">
                  <c:v>Brussels</c:v>
                </c:pt>
                <c:pt idx="33">
                  <c:v>Copenhagen</c:v>
                </c:pt>
                <c:pt idx="34">
                  <c:v>Washington D.C.</c:v>
                </c:pt>
              </c:strCache>
            </c:strRef>
          </c:cat>
          <c:val>
            <c:numRef>
              <c:f>'2017Total ch capitals 200 m³'!$M$500:$M$534</c:f>
              <c:numCache>
                <c:formatCode>_ * #,##0.00_ ;_ * \-#,##0.00_ ;_ * "-"??_ ;_ @_ </c:formatCode>
                <c:ptCount val="35"/>
                <c:pt idx="1">
                  <c:v>79.756820995801675</c:v>
                </c:pt>
                <c:pt idx="8">
                  <c:v>263.91040332394249</c:v>
                </c:pt>
              </c:numCache>
            </c:numRef>
          </c:val>
          <c:extLst>
            <c:ext xmlns:c16="http://schemas.microsoft.com/office/drawing/2014/chart" uri="{C3380CC4-5D6E-409C-BE32-E72D297353CC}">
              <c16:uniqueId val="{00000008-1CB8-44CC-87C1-8ACA6A3ABC85}"/>
            </c:ext>
          </c:extLst>
        </c:ser>
        <c:dLbls>
          <c:showLegendKey val="0"/>
          <c:showVal val="0"/>
          <c:showCatName val="0"/>
          <c:showSerName val="0"/>
          <c:showPercent val="0"/>
          <c:showBubbleSize val="0"/>
        </c:dLbls>
        <c:gapWidth val="150"/>
        <c:overlap val="100"/>
        <c:axId val="344831472"/>
        <c:axId val="344831864"/>
        <c:extLst>
          <c:ext xmlns:c15="http://schemas.microsoft.com/office/drawing/2012/chart" uri="{02D57815-91ED-43cb-92C2-25804820EDAC}">
            <c15:filteredBarSeries>
              <c15:ser>
                <c:idx val="4"/>
                <c:order val="4"/>
                <c:tx>
                  <c:strRef>
                    <c:extLst>
                      <c:ext uri="{02D57815-91ED-43cb-92C2-25804820EDAC}">
                        <c15:formulaRef>
                          <c15:sqref>'2017Total ch capitals 200 m³'!$H$499</c15:sqref>
                        </c15:formulaRef>
                      </c:ext>
                    </c:extLst>
                    <c:strCache>
                      <c:ptCount val="1"/>
                      <c:pt idx="0">
                        <c:v>Total charge drinking water</c:v>
                      </c:pt>
                    </c:strCache>
                  </c:strRef>
                </c:tx>
                <c:spPr>
                  <a:solidFill>
                    <a:schemeClr val="accent5"/>
                  </a:solidFill>
                  <a:ln>
                    <a:noFill/>
                  </a:ln>
                  <a:effectLst/>
                </c:spPr>
                <c:invertIfNegative val="0"/>
                <c:cat>
                  <c:strRef>
                    <c:extLst>
                      <c:ext uri="{02D57815-91ED-43cb-92C2-25804820EDAC}">
                        <c15:formulaRef>
                          <c15:sqref>'2017Total ch capitals 200 m³'!$A$500:$A$534</c15:sqref>
                        </c15:formulaRef>
                      </c:ext>
                    </c:extLst>
                    <c:strCache>
                      <c:ptCount val="35"/>
                      <c:pt idx="0">
                        <c:v>Yerevan</c:v>
                      </c:pt>
                      <c:pt idx="1">
                        <c:v>Buenos Aires</c:v>
                      </c:pt>
                      <c:pt idx="2">
                        <c:v>Seoul</c:v>
                      </c:pt>
                      <c:pt idx="3">
                        <c:v>Taipei</c:v>
                      </c:pt>
                      <c:pt idx="4">
                        <c:v>Moscow</c:v>
                      </c:pt>
                      <c:pt idx="5">
                        <c:v>Hong Kong</c:v>
                      </c:pt>
                      <c:pt idx="6">
                        <c:v>Mexico City</c:v>
                      </c:pt>
                      <c:pt idx="7">
                        <c:v>Beijing</c:v>
                      </c:pt>
                      <c:pt idx="8">
                        <c:v>Brasilia</c:v>
                      </c:pt>
                      <c:pt idx="9">
                        <c:v>Sofia</c:v>
                      </c:pt>
                      <c:pt idx="10">
                        <c:v>Bucharest</c:v>
                      </c:pt>
                      <c:pt idx="11">
                        <c:v>Lisbon</c:v>
                      </c:pt>
                      <c:pt idx="12">
                        <c:v>Madrid</c:v>
                      </c:pt>
                      <c:pt idx="13">
                        <c:v>Kampala</c:v>
                      </c:pt>
                      <c:pt idx="14">
                        <c:v>Ankara</c:v>
                      </c:pt>
                      <c:pt idx="15">
                        <c:v>Rome</c:v>
                      </c:pt>
                      <c:pt idx="16">
                        <c:v>Tokyo</c:v>
                      </c:pt>
                      <c:pt idx="17">
                        <c:v>Stockholm</c:v>
                      </c:pt>
                      <c:pt idx="18">
                        <c:v>Budapest</c:v>
                      </c:pt>
                      <c:pt idx="19">
                        <c:v>Nicosia</c:v>
                      </c:pt>
                      <c:pt idx="20">
                        <c:v>London</c:v>
                      </c:pt>
                      <c:pt idx="21">
                        <c:v>Warsaw</c:v>
                      </c:pt>
                      <c:pt idx="22">
                        <c:v>Amsterdam</c:v>
                      </c:pt>
                      <c:pt idx="23">
                        <c:v>Oslo</c:v>
                      </c:pt>
                      <c:pt idx="24">
                        <c:v>Prague</c:v>
                      </c:pt>
                      <c:pt idx="25">
                        <c:v>Ottawa</c:v>
                      </c:pt>
                      <c:pt idx="26">
                        <c:v>Paris</c:v>
                      </c:pt>
                      <c:pt idx="27">
                        <c:v>Helsinki</c:v>
                      </c:pt>
                      <c:pt idx="28">
                        <c:v>Canberra</c:v>
                      </c:pt>
                      <c:pt idx="29">
                        <c:v>Cardiff</c:v>
                      </c:pt>
                      <c:pt idx="30">
                        <c:v>Berlin</c:v>
                      </c:pt>
                      <c:pt idx="31">
                        <c:v>Bern</c:v>
                      </c:pt>
                      <c:pt idx="32">
                        <c:v>Brussels</c:v>
                      </c:pt>
                      <c:pt idx="33">
                        <c:v>Copenhagen</c:v>
                      </c:pt>
                      <c:pt idx="34">
                        <c:v>Washington D.C.</c:v>
                      </c:pt>
                    </c:strCache>
                  </c:strRef>
                </c:cat>
                <c:val>
                  <c:numRef>
                    <c:extLst>
                      <c:ext uri="{02D57815-91ED-43cb-92C2-25804820EDAC}">
                        <c15:formulaRef>
                          <c15:sqref>'2017Total ch capitals 200 m³'!$H$500:$H$534</c15:sqref>
                        </c15:formulaRef>
                      </c:ext>
                    </c:extLst>
                    <c:numCache>
                      <c:formatCode>_ * #,##0.00_ ;_ * \-#,##0.00_ ;_ * "-"??_ ;_ @_ </c:formatCode>
                      <c:ptCount val="35"/>
                      <c:pt idx="0">
                        <c:v>63.342827029286823</c:v>
                      </c:pt>
                      <c:pt idx="1">
                        <c:v>0</c:v>
                      </c:pt>
                      <c:pt idx="2">
                        <c:v>107.2378189267215</c:v>
                      </c:pt>
                      <c:pt idx="3">
                        <c:v>83.406912794600203</c:v>
                      </c:pt>
                      <c:pt idx="4">
                        <c:v>106.71419394245939</c:v>
                      </c:pt>
                      <c:pt idx="5">
                        <c:v>113.95744452081885</c:v>
                      </c:pt>
                      <c:pt idx="6">
                        <c:v>211.48527737107531</c:v>
                      </c:pt>
                      <c:pt idx="7">
                        <c:v>125.19686977064671</c:v>
                      </c:pt>
                      <c:pt idx="8">
                        <c:v>0</c:v>
                      </c:pt>
                      <c:pt idx="9">
                        <c:v>172.04089899225471</c:v>
                      </c:pt>
                      <c:pt idx="10">
                        <c:v>185.64695228000124</c:v>
                      </c:pt>
                      <c:pt idx="11">
                        <c:v>210.22556752019784</c:v>
                      </c:pt>
                      <c:pt idx="12">
                        <c:v>219.12101895535469</c:v>
                      </c:pt>
                      <c:pt idx="13">
                        <c:v>213.03061535279136</c:v>
                      </c:pt>
                      <c:pt idx="14">
                        <c:v>251.5930113052415</c:v>
                      </c:pt>
                      <c:pt idx="15">
                        <c:v>164.05565359359431</c:v>
                      </c:pt>
                      <c:pt idx="16">
                        <c:v>245.38220775285285</c:v>
                      </c:pt>
                      <c:pt idx="17">
                        <c:v>369.62534419732634</c:v>
                      </c:pt>
                      <c:pt idx="18">
                        <c:v>177.49857523598081</c:v>
                      </c:pt>
                      <c:pt idx="19">
                        <c:v>330.24813627687541</c:v>
                      </c:pt>
                      <c:pt idx="20">
                        <c:v>389.28532814358311</c:v>
                      </c:pt>
                      <c:pt idx="21">
                        <c:v>260.80206985769729</c:v>
                      </c:pt>
                      <c:pt idx="22">
                        <c:v>353.94533078834587</c:v>
                      </c:pt>
                      <c:pt idx="23">
                        <c:v>339.90101555939856</c:v>
                      </c:pt>
                      <c:pt idx="24">
                        <c:v>436.46488821873817</c:v>
                      </c:pt>
                      <c:pt idx="25">
                        <c:v>388.83896977552308</c:v>
                      </c:pt>
                      <c:pt idx="26">
                        <c:v>406.12957827637121</c:v>
                      </c:pt>
                      <c:pt idx="27">
                        <c:v>395.24135364521436</c:v>
                      </c:pt>
                      <c:pt idx="28">
                        <c:v>486.31488631488639</c:v>
                      </c:pt>
                      <c:pt idx="29">
                        <c:v>392.78570656287167</c:v>
                      </c:pt>
                      <c:pt idx="30">
                        <c:v>463.31976807001115</c:v>
                      </c:pt>
                      <c:pt idx="31">
                        <c:v>574.1261468360666</c:v>
                      </c:pt>
                      <c:pt idx="32">
                        <c:v>611.97344569693041</c:v>
                      </c:pt>
                      <c:pt idx="33">
                        <c:v>665.08267593419464</c:v>
                      </c:pt>
                      <c:pt idx="34">
                        <c:v>428.36</c:v>
                      </c:pt>
                    </c:numCache>
                  </c:numRef>
                </c:val>
                <c:extLst>
                  <c:ext xmlns:c16="http://schemas.microsoft.com/office/drawing/2014/chart" uri="{C3380CC4-5D6E-409C-BE32-E72D297353CC}">
                    <c16:uniqueId val="{00000009-1CB8-44CC-87C1-8ACA6A3ABC85}"/>
                  </c:ext>
                </c:extLst>
              </c15:ser>
            </c15:filteredBarSeries>
          </c:ext>
        </c:extLst>
      </c:barChart>
      <c:catAx>
        <c:axId val="344831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831864"/>
        <c:crosses val="autoZero"/>
        <c:auto val="1"/>
        <c:lblAlgn val="ctr"/>
        <c:lblOffset val="100"/>
        <c:noMultiLvlLbl val="0"/>
      </c:catAx>
      <c:valAx>
        <c:axId val="3448318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83147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r">
              <a:defRPr/>
            </a:pPr>
            <a:r>
              <a:rPr lang="en-US"/>
              <a:t>Total charges for the capitals in 2015</a:t>
            </a:r>
          </a:p>
          <a:p>
            <a:pPr algn="r">
              <a:defRPr/>
            </a:pPr>
            <a:r>
              <a:rPr lang="en-US" sz="1400"/>
              <a:t>for a consumption of 200 m³ in US$</a:t>
            </a:r>
          </a:p>
        </c:rich>
      </c:tx>
      <c:layout>
        <c:manualLayout>
          <c:xMode val="edge"/>
          <c:yMode val="edge"/>
          <c:x val="0.54565114332486431"/>
          <c:y val="2.7781354787515776E-2"/>
        </c:manualLayout>
      </c:layout>
      <c:overlay val="0"/>
    </c:title>
    <c:autoTitleDeleted val="0"/>
    <c:plotArea>
      <c:layout/>
      <c:barChart>
        <c:barDir val="col"/>
        <c:grouping val="stacked"/>
        <c:varyColors val="0"/>
        <c:ser>
          <c:idx val="0"/>
          <c:order val="0"/>
          <c:tx>
            <c:strRef>
              <c:f>'[1]total charges capitals 200 m³'!$B$436</c:f>
              <c:strCache>
                <c:ptCount val="1"/>
                <c:pt idx="0">
                  <c:v>FIXED CHARGE</c:v>
                </c:pt>
              </c:strCache>
            </c:strRef>
          </c:tx>
          <c:invertIfNegative val="0"/>
          <c:cat>
            <c:strRef>
              <c:f>'[1]total charges capitals 200 m³'!$A$437:$A$459</c:f>
              <c:strCache>
                <c:ptCount val="23"/>
                <c:pt idx="0">
                  <c:v>Taipei</c:v>
                </c:pt>
                <c:pt idx="1">
                  <c:v>Lusaka</c:v>
                </c:pt>
                <c:pt idx="2">
                  <c:v>Kampala</c:v>
                </c:pt>
                <c:pt idx="3">
                  <c:v>Hong Kong</c:v>
                </c:pt>
                <c:pt idx="4">
                  <c:v>Seoul</c:v>
                </c:pt>
                <c:pt idx="5">
                  <c:v>Brasilia Federal District</c:v>
                </c:pt>
                <c:pt idx="6">
                  <c:v>Lisbon</c:v>
                </c:pt>
                <c:pt idx="7">
                  <c:v>Madrid</c:v>
                </c:pt>
                <c:pt idx="8">
                  <c:v>Bucharest</c:v>
                </c:pt>
                <c:pt idx="9">
                  <c:v>Tokyo</c:v>
                </c:pt>
                <c:pt idx="10">
                  <c:v>Budapest</c:v>
                </c:pt>
                <c:pt idx="11">
                  <c:v>Paris</c:v>
                </c:pt>
                <c:pt idx="12">
                  <c:v>London</c:v>
                </c:pt>
                <c:pt idx="13">
                  <c:v>Oslo</c:v>
                </c:pt>
                <c:pt idx="14">
                  <c:v>Amsterdam</c:v>
                </c:pt>
                <c:pt idx="15">
                  <c:v>Helsinki</c:v>
                </c:pt>
                <c:pt idx="16">
                  <c:v>Brussels</c:v>
                </c:pt>
                <c:pt idx="17">
                  <c:v>Canberra</c:v>
                </c:pt>
                <c:pt idx="18">
                  <c:v>Washington D.C.</c:v>
                </c:pt>
                <c:pt idx="19">
                  <c:v>Athens</c:v>
                </c:pt>
                <c:pt idx="20">
                  <c:v>Cardiff</c:v>
                </c:pt>
                <c:pt idx="21">
                  <c:v>Bern</c:v>
                </c:pt>
                <c:pt idx="22">
                  <c:v>Copenhagen</c:v>
                </c:pt>
              </c:strCache>
            </c:strRef>
          </c:cat>
          <c:val>
            <c:numRef>
              <c:f>'[1]total charges capitals 200 m³'!$B$437:$B$459</c:f>
              <c:numCache>
                <c:formatCode>General</c:formatCode>
                <c:ptCount val="23"/>
                <c:pt idx="0">
                  <c:v>23.588728700587662</c:v>
                </c:pt>
                <c:pt idx="1">
                  <c:v>0.90411580638540834</c:v>
                </c:pt>
                <c:pt idx="2">
                  <c:v>6.2107469240751092</c:v>
                </c:pt>
                <c:pt idx="3">
                  <c:v>0</c:v>
                </c:pt>
                <c:pt idx="4">
                  <c:v>0</c:v>
                </c:pt>
                <c:pt idx="5">
                  <c:v>0</c:v>
                </c:pt>
                <c:pt idx="6">
                  <c:v>55.899407127500162</c:v>
                </c:pt>
                <c:pt idx="7">
                  <c:v>66.486416053163069</c:v>
                </c:pt>
                <c:pt idx="8">
                  <c:v>0</c:v>
                </c:pt>
                <c:pt idx="9">
                  <c:v>116.70246706022994</c:v>
                </c:pt>
                <c:pt idx="10">
                  <c:v>5.8529268955314864</c:v>
                </c:pt>
                <c:pt idx="11">
                  <c:v>22.824505396659934</c:v>
                </c:pt>
                <c:pt idx="12">
                  <c:v>31.31677842458183</c:v>
                </c:pt>
                <c:pt idx="13">
                  <c:v>35.438980621423653</c:v>
                </c:pt>
                <c:pt idx="14">
                  <c:v>45.76845397094273</c:v>
                </c:pt>
                <c:pt idx="15">
                  <c:v>41.902838404239155</c:v>
                </c:pt>
                <c:pt idx="16">
                  <c:v>25.84316024931049</c:v>
                </c:pt>
                <c:pt idx="17">
                  <c:v>75.276439935978487</c:v>
                </c:pt>
                <c:pt idx="18">
                  <c:v>46.32</c:v>
                </c:pt>
                <c:pt idx="19">
                  <c:v>13.03016483158512</c:v>
                </c:pt>
                <c:pt idx="20">
                  <c:v>50.696337779087763</c:v>
                </c:pt>
                <c:pt idx="21">
                  <c:v>4.8227658512231653</c:v>
                </c:pt>
                <c:pt idx="22">
                  <c:v>55.872831108362739</c:v>
                </c:pt>
              </c:numCache>
            </c:numRef>
          </c:val>
          <c:extLst>
            <c:ext xmlns:c16="http://schemas.microsoft.com/office/drawing/2014/chart" uri="{C3380CC4-5D6E-409C-BE32-E72D297353CC}">
              <c16:uniqueId val="{00000000-30CA-4115-AAB1-77AC6E9F8391}"/>
            </c:ext>
          </c:extLst>
        </c:ser>
        <c:ser>
          <c:idx val="1"/>
          <c:order val="1"/>
          <c:tx>
            <c:strRef>
              <c:f>'[1]total charges capitals 200 m³'!$C$436</c:f>
              <c:strCache>
                <c:ptCount val="1"/>
                <c:pt idx="0">
                  <c:v>VARIABLE CHARGE</c:v>
                </c:pt>
              </c:strCache>
            </c:strRef>
          </c:tx>
          <c:invertIfNegative val="0"/>
          <c:cat>
            <c:strRef>
              <c:f>'[1]total charges capitals 200 m³'!$A$437:$A$459</c:f>
              <c:strCache>
                <c:ptCount val="23"/>
                <c:pt idx="0">
                  <c:v>Taipei</c:v>
                </c:pt>
                <c:pt idx="1">
                  <c:v>Lusaka</c:v>
                </c:pt>
                <c:pt idx="2">
                  <c:v>Kampala</c:v>
                </c:pt>
                <c:pt idx="3">
                  <c:v>Hong Kong</c:v>
                </c:pt>
                <c:pt idx="4">
                  <c:v>Seoul</c:v>
                </c:pt>
                <c:pt idx="5">
                  <c:v>Brasilia Federal District</c:v>
                </c:pt>
                <c:pt idx="6">
                  <c:v>Lisbon</c:v>
                </c:pt>
                <c:pt idx="7">
                  <c:v>Madrid</c:v>
                </c:pt>
                <c:pt idx="8">
                  <c:v>Bucharest</c:v>
                </c:pt>
                <c:pt idx="9">
                  <c:v>Tokyo</c:v>
                </c:pt>
                <c:pt idx="10">
                  <c:v>Budapest</c:v>
                </c:pt>
                <c:pt idx="11">
                  <c:v>Paris</c:v>
                </c:pt>
                <c:pt idx="12">
                  <c:v>London</c:v>
                </c:pt>
                <c:pt idx="13">
                  <c:v>Oslo</c:v>
                </c:pt>
                <c:pt idx="14">
                  <c:v>Amsterdam</c:v>
                </c:pt>
                <c:pt idx="15">
                  <c:v>Helsinki</c:v>
                </c:pt>
                <c:pt idx="16">
                  <c:v>Brussels</c:v>
                </c:pt>
                <c:pt idx="17">
                  <c:v>Canberra</c:v>
                </c:pt>
                <c:pt idx="18">
                  <c:v>Washington D.C.</c:v>
                </c:pt>
                <c:pt idx="19">
                  <c:v>Athens</c:v>
                </c:pt>
                <c:pt idx="20">
                  <c:v>Cardiff</c:v>
                </c:pt>
                <c:pt idx="21">
                  <c:v>Bern</c:v>
                </c:pt>
                <c:pt idx="22">
                  <c:v>Copenhagen</c:v>
                </c:pt>
              </c:strCache>
            </c:strRef>
          </c:cat>
          <c:val>
            <c:numRef>
              <c:f>'[1]total charges capitals 200 m³'!$C$437:$C$459</c:f>
              <c:numCache>
                <c:formatCode>General</c:formatCode>
                <c:ptCount val="23"/>
                <c:pt idx="0">
                  <c:v>28.911313638156159</c:v>
                </c:pt>
                <c:pt idx="1">
                  <c:v>82.182318568820847</c:v>
                </c:pt>
                <c:pt idx="2">
                  <c:v>134.41830842819701</c:v>
                </c:pt>
                <c:pt idx="3">
                  <c:v>114.49633598349713</c:v>
                </c:pt>
                <c:pt idx="4">
                  <c:v>97.313579210559041</c:v>
                </c:pt>
                <c:pt idx="5">
                  <c:v>0</c:v>
                </c:pt>
                <c:pt idx="6">
                  <c:v>134.22155623601972</c:v>
                </c:pt>
                <c:pt idx="7">
                  <c:v>113.72076356765913</c:v>
                </c:pt>
                <c:pt idx="8">
                  <c:v>219.88287284877663</c:v>
                </c:pt>
                <c:pt idx="9">
                  <c:v>96.088356069534058</c:v>
                </c:pt>
                <c:pt idx="10">
                  <c:v>118.71112903407392</c:v>
                </c:pt>
                <c:pt idx="11">
                  <c:v>214.99771972115448</c:v>
                </c:pt>
                <c:pt idx="12">
                  <c:v>372.23491268145312</c:v>
                </c:pt>
                <c:pt idx="13">
                  <c:v>225.04881324560114</c:v>
                </c:pt>
                <c:pt idx="14">
                  <c:v>269.29007318609246</c:v>
                </c:pt>
                <c:pt idx="15">
                  <c:v>234.54296696853217</c:v>
                </c:pt>
                <c:pt idx="16">
                  <c:v>406.19367168328012</c:v>
                </c:pt>
                <c:pt idx="17">
                  <c:v>385.88310957472464</c:v>
                </c:pt>
                <c:pt idx="18">
                  <c:v>236.58</c:v>
                </c:pt>
                <c:pt idx="19">
                  <c:v>475.514148587313</c:v>
                </c:pt>
                <c:pt idx="20">
                  <c:v>385.49848942598186</c:v>
                </c:pt>
                <c:pt idx="21">
                  <c:v>519.2211682476285</c:v>
                </c:pt>
                <c:pt idx="22">
                  <c:v>252.3007529737005</c:v>
                </c:pt>
              </c:numCache>
            </c:numRef>
          </c:val>
          <c:extLst>
            <c:ext xmlns:c16="http://schemas.microsoft.com/office/drawing/2014/chart" uri="{C3380CC4-5D6E-409C-BE32-E72D297353CC}">
              <c16:uniqueId val="{00000001-30CA-4115-AAB1-77AC6E9F8391}"/>
            </c:ext>
          </c:extLst>
        </c:ser>
        <c:ser>
          <c:idx val="2"/>
          <c:order val="2"/>
          <c:tx>
            <c:strRef>
              <c:f>'[1]total charges capitals 200 m³'!$D$436</c:f>
              <c:strCache>
                <c:ptCount val="1"/>
                <c:pt idx="0">
                  <c:v>OTHER CHARGES DRINKING WATER</c:v>
                </c:pt>
              </c:strCache>
            </c:strRef>
          </c:tx>
          <c:invertIfNegative val="0"/>
          <c:cat>
            <c:strRef>
              <c:f>'[1]total charges capitals 200 m³'!$A$437:$A$459</c:f>
              <c:strCache>
                <c:ptCount val="23"/>
                <c:pt idx="0">
                  <c:v>Taipei</c:v>
                </c:pt>
                <c:pt idx="1">
                  <c:v>Lusaka</c:v>
                </c:pt>
                <c:pt idx="2">
                  <c:v>Kampala</c:v>
                </c:pt>
                <c:pt idx="3">
                  <c:v>Hong Kong</c:v>
                </c:pt>
                <c:pt idx="4">
                  <c:v>Seoul</c:v>
                </c:pt>
                <c:pt idx="5">
                  <c:v>Brasilia Federal District</c:v>
                </c:pt>
                <c:pt idx="6">
                  <c:v>Lisbon</c:v>
                </c:pt>
                <c:pt idx="7">
                  <c:v>Madrid</c:v>
                </c:pt>
                <c:pt idx="8">
                  <c:v>Bucharest</c:v>
                </c:pt>
                <c:pt idx="9">
                  <c:v>Tokyo</c:v>
                </c:pt>
                <c:pt idx="10">
                  <c:v>Budapest</c:v>
                </c:pt>
                <c:pt idx="11">
                  <c:v>Paris</c:v>
                </c:pt>
                <c:pt idx="12">
                  <c:v>London</c:v>
                </c:pt>
                <c:pt idx="13">
                  <c:v>Oslo</c:v>
                </c:pt>
                <c:pt idx="14">
                  <c:v>Amsterdam</c:v>
                </c:pt>
                <c:pt idx="15">
                  <c:v>Helsinki</c:v>
                </c:pt>
                <c:pt idx="16">
                  <c:v>Brussels</c:v>
                </c:pt>
                <c:pt idx="17">
                  <c:v>Canberra</c:v>
                </c:pt>
                <c:pt idx="18">
                  <c:v>Washington D.C.</c:v>
                </c:pt>
                <c:pt idx="19">
                  <c:v>Athens</c:v>
                </c:pt>
                <c:pt idx="20">
                  <c:v>Cardiff</c:v>
                </c:pt>
                <c:pt idx="21">
                  <c:v>Bern</c:v>
                </c:pt>
                <c:pt idx="22">
                  <c:v>Copenhagen</c:v>
                </c:pt>
              </c:strCache>
            </c:strRef>
          </c:cat>
          <c:val>
            <c:numRef>
              <c:f>'[1]total charges capitals 200 m³'!$D$437:$D$459</c:f>
              <c:numCache>
                <c:formatCode>General</c:formatCode>
                <c:ptCount val="23"/>
                <c:pt idx="0">
                  <c:v>0</c:v>
                </c:pt>
                <c:pt idx="1">
                  <c:v>0</c:v>
                </c:pt>
                <c:pt idx="2">
                  <c:v>0</c:v>
                </c:pt>
                <c:pt idx="3">
                  <c:v>0</c:v>
                </c:pt>
                <c:pt idx="4">
                  <c:v>0</c:v>
                </c:pt>
                <c:pt idx="5">
                  <c:v>0</c:v>
                </c:pt>
                <c:pt idx="6">
                  <c:v>24.14923882120442</c:v>
                </c:pt>
                <c:pt idx="7">
                  <c:v>0</c:v>
                </c:pt>
                <c:pt idx="8">
                  <c:v>0</c:v>
                </c:pt>
                <c:pt idx="9">
                  <c:v>0</c:v>
                </c:pt>
                <c:pt idx="10">
                  <c:v>0</c:v>
                </c:pt>
                <c:pt idx="11">
                  <c:v>106.41301279127848</c:v>
                </c:pt>
                <c:pt idx="12">
                  <c:v>0</c:v>
                </c:pt>
                <c:pt idx="13">
                  <c:v>0</c:v>
                </c:pt>
                <c:pt idx="14">
                  <c:v>0</c:v>
                </c:pt>
                <c:pt idx="15">
                  <c:v>0</c:v>
                </c:pt>
                <c:pt idx="16">
                  <c:v>0</c:v>
                </c:pt>
                <c:pt idx="17">
                  <c:v>0</c:v>
                </c:pt>
                <c:pt idx="18">
                  <c:v>75.599999999999994</c:v>
                </c:pt>
                <c:pt idx="19">
                  <c:v>0</c:v>
                </c:pt>
                <c:pt idx="20">
                  <c:v>0</c:v>
                </c:pt>
                <c:pt idx="21">
                  <c:v>0</c:v>
                </c:pt>
                <c:pt idx="22">
                  <c:v>190.02582663417118</c:v>
                </c:pt>
              </c:numCache>
            </c:numRef>
          </c:val>
          <c:extLst>
            <c:ext xmlns:c16="http://schemas.microsoft.com/office/drawing/2014/chart" uri="{C3380CC4-5D6E-409C-BE32-E72D297353CC}">
              <c16:uniqueId val="{00000002-30CA-4115-AAB1-77AC6E9F8391}"/>
            </c:ext>
          </c:extLst>
        </c:ser>
        <c:ser>
          <c:idx val="3"/>
          <c:order val="3"/>
          <c:tx>
            <c:strRef>
              <c:f>'[1]total charges capitals 200 m³'!$E$436</c:f>
              <c:strCache>
                <c:ptCount val="1"/>
                <c:pt idx="0">
                  <c:v>TOTAL CHARGE DRINKING WATER</c:v>
                </c:pt>
              </c:strCache>
            </c:strRef>
          </c:tx>
          <c:invertIfNegative val="0"/>
          <c:cat>
            <c:strRef>
              <c:f>'[1]total charges capitals 200 m³'!$A$437:$A$459</c:f>
              <c:strCache>
                <c:ptCount val="23"/>
                <c:pt idx="0">
                  <c:v>Taipei</c:v>
                </c:pt>
                <c:pt idx="1">
                  <c:v>Lusaka</c:v>
                </c:pt>
                <c:pt idx="2">
                  <c:v>Kampala</c:v>
                </c:pt>
                <c:pt idx="3">
                  <c:v>Hong Kong</c:v>
                </c:pt>
                <c:pt idx="4">
                  <c:v>Seoul</c:v>
                </c:pt>
                <c:pt idx="5">
                  <c:v>Brasilia Federal District</c:v>
                </c:pt>
                <c:pt idx="6">
                  <c:v>Lisbon</c:v>
                </c:pt>
                <c:pt idx="7">
                  <c:v>Madrid</c:v>
                </c:pt>
                <c:pt idx="8">
                  <c:v>Bucharest</c:v>
                </c:pt>
                <c:pt idx="9">
                  <c:v>Tokyo</c:v>
                </c:pt>
                <c:pt idx="10">
                  <c:v>Budapest</c:v>
                </c:pt>
                <c:pt idx="11">
                  <c:v>Paris</c:v>
                </c:pt>
                <c:pt idx="12">
                  <c:v>London</c:v>
                </c:pt>
                <c:pt idx="13">
                  <c:v>Oslo</c:v>
                </c:pt>
                <c:pt idx="14">
                  <c:v>Amsterdam</c:v>
                </c:pt>
                <c:pt idx="15">
                  <c:v>Helsinki</c:v>
                </c:pt>
                <c:pt idx="16">
                  <c:v>Brussels</c:v>
                </c:pt>
                <c:pt idx="17">
                  <c:v>Canberra</c:v>
                </c:pt>
                <c:pt idx="18">
                  <c:v>Washington D.C.</c:v>
                </c:pt>
                <c:pt idx="19">
                  <c:v>Athens</c:v>
                </c:pt>
                <c:pt idx="20">
                  <c:v>Cardiff</c:v>
                </c:pt>
                <c:pt idx="21">
                  <c:v>Bern</c:v>
                </c:pt>
                <c:pt idx="22">
                  <c:v>Copenhagen</c:v>
                </c:pt>
              </c:strCache>
            </c:strRef>
          </c:cat>
          <c:val>
            <c:numRef>
              <c:f>'[1]total charges capitals 200 m³'!$E$437:$E$459</c:f>
              <c:numCache>
                <c:formatCode>General</c:formatCode>
                <c:ptCount val="23"/>
              </c:numCache>
            </c:numRef>
          </c:val>
          <c:extLst>
            <c:ext xmlns:c16="http://schemas.microsoft.com/office/drawing/2014/chart" uri="{C3380CC4-5D6E-409C-BE32-E72D297353CC}">
              <c16:uniqueId val="{00000003-30CA-4115-AAB1-77AC6E9F8391}"/>
            </c:ext>
          </c:extLst>
        </c:ser>
        <c:ser>
          <c:idx val="4"/>
          <c:order val="4"/>
          <c:tx>
            <c:strRef>
              <c:f>'[1]total charges capitals 200 m³'!$F$436</c:f>
              <c:strCache>
                <c:ptCount val="1"/>
                <c:pt idx="0">
                  <c:v>ENVIRONMENTAL CHARGES</c:v>
                </c:pt>
              </c:strCache>
            </c:strRef>
          </c:tx>
          <c:invertIfNegative val="0"/>
          <c:cat>
            <c:strRef>
              <c:f>'[1]total charges capitals 200 m³'!$A$437:$A$459</c:f>
              <c:strCache>
                <c:ptCount val="23"/>
                <c:pt idx="0">
                  <c:v>Taipei</c:v>
                </c:pt>
                <c:pt idx="1">
                  <c:v>Lusaka</c:v>
                </c:pt>
                <c:pt idx="2">
                  <c:v>Kampala</c:v>
                </c:pt>
                <c:pt idx="3">
                  <c:v>Hong Kong</c:v>
                </c:pt>
                <c:pt idx="4">
                  <c:v>Seoul</c:v>
                </c:pt>
                <c:pt idx="5">
                  <c:v>Brasilia Federal District</c:v>
                </c:pt>
                <c:pt idx="6">
                  <c:v>Lisbon</c:v>
                </c:pt>
                <c:pt idx="7">
                  <c:v>Madrid</c:v>
                </c:pt>
                <c:pt idx="8">
                  <c:v>Bucharest</c:v>
                </c:pt>
                <c:pt idx="9">
                  <c:v>Tokyo</c:v>
                </c:pt>
                <c:pt idx="10">
                  <c:v>Budapest</c:v>
                </c:pt>
                <c:pt idx="11">
                  <c:v>Paris</c:v>
                </c:pt>
                <c:pt idx="12">
                  <c:v>London</c:v>
                </c:pt>
                <c:pt idx="13">
                  <c:v>Oslo</c:v>
                </c:pt>
                <c:pt idx="14">
                  <c:v>Amsterdam</c:v>
                </c:pt>
                <c:pt idx="15">
                  <c:v>Helsinki</c:v>
                </c:pt>
                <c:pt idx="16">
                  <c:v>Brussels</c:v>
                </c:pt>
                <c:pt idx="17">
                  <c:v>Canberra</c:v>
                </c:pt>
                <c:pt idx="18">
                  <c:v>Washington D.C.</c:v>
                </c:pt>
                <c:pt idx="19">
                  <c:v>Athens</c:v>
                </c:pt>
                <c:pt idx="20">
                  <c:v>Cardiff</c:v>
                </c:pt>
                <c:pt idx="21">
                  <c:v>Bern</c:v>
                </c:pt>
                <c:pt idx="22">
                  <c:v>Copenhagen</c:v>
                </c:pt>
              </c:strCache>
            </c:strRef>
          </c:cat>
          <c:val>
            <c:numRef>
              <c:f>'[1]total charges capitals 200 m³'!$F$437:$F$459</c:f>
              <c:numCache>
                <c:formatCode>General</c:formatCode>
                <c:ptCount val="23"/>
                <c:pt idx="0">
                  <c:v>31.451638267450218</c:v>
                </c:pt>
                <c:pt idx="1">
                  <c:v>26.706676804818574</c:v>
                </c:pt>
                <c:pt idx="2">
                  <c:v>29.415057002521024</c:v>
                </c:pt>
                <c:pt idx="3">
                  <c:v>55.815484810214492</c:v>
                </c:pt>
                <c:pt idx="4">
                  <c:v>75.544484939094673</c:v>
                </c:pt>
                <c:pt idx="5">
                  <c:v>0</c:v>
                </c:pt>
                <c:pt idx="6">
                  <c:v>71.01439833213891</c:v>
                </c:pt>
                <c:pt idx="7">
                  <c:v>121.81032423393489</c:v>
                </c:pt>
                <c:pt idx="8">
                  <c:v>48.862860633061473</c:v>
                </c:pt>
                <c:pt idx="9">
                  <c:v>150.94849015767633</c:v>
                </c:pt>
                <c:pt idx="10">
                  <c:v>206.73226374651981</c:v>
                </c:pt>
                <c:pt idx="11">
                  <c:v>338.78428562121314</c:v>
                </c:pt>
                <c:pt idx="12">
                  <c:v>334.55161741949746</c:v>
                </c:pt>
                <c:pt idx="13">
                  <c:v>337.68608286401138</c:v>
                </c:pt>
                <c:pt idx="14">
                  <c:v>413.273394575108</c:v>
                </c:pt>
                <c:pt idx="15">
                  <c:v>353.86670141377294</c:v>
                </c:pt>
                <c:pt idx="16">
                  <c:v>315.16711186396509</c:v>
                </c:pt>
                <c:pt idx="17">
                  <c:v>369.07380745309837</c:v>
                </c:pt>
                <c:pt idx="18">
                  <c:v>629.46</c:v>
                </c:pt>
                <c:pt idx="19">
                  <c:v>356.63561144048475</c:v>
                </c:pt>
                <c:pt idx="20">
                  <c:v>611.83405791761845</c:v>
                </c:pt>
                <c:pt idx="21">
                  <c:v>557.49375936095862</c:v>
                </c:pt>
                <c:pt idx="22">
                  <c:v>430.4536029973446</c:v>
                </c:pt>
              </c:numCache>
            </c:numRef>
          </c:val>
          <c:extLst>
            <c:ext xmlns:c16="http://schemas.microsoft.com/office/drawing/2014/chart" uri="{C3380CC4-5D6E-409C-BE32-E72D297353CC}">
              <c16:uniqueId val="{00000004-30CA-4115-AAB1-77AC6E9F8391}"/>
            </c:ext>
          </c:extLst>
        </c:ser>
        <c:ser>
          <c:idx val="5"/>
          <c:order val="5"/>
          <c:tx>
            <c:strRef>
              <c:f>'[1]total charges capitals 200 m³'!$G$436</c:f>
              <c:strCache>
                <c:ptCount val="1"/>
                <c:pt idx="0">
                  <c:v>VAT &amp; OTHER TAXES</c:v>
                </c:pt>
              </c:strCache>
            </c:strRef>
          </c:tx>
          <c:invertIfNegative val="0"/>
          <c:cat>
            <c:strRef>
              <c:f>'[1]total charges capitals 200 m³'!$A$437:$A$459</c:f>
              <c:strCache>
                <c:ptCount val="23"/>
                <c:pt idx="0">
                  <c:v>Taipei</c:v>
                </c:pt>
                <c:pt idx="1">
                  <c:v>Lusaka</c:v>
                </c:pt>
                <c:pt idx="2">
                  <c:v>Kampala</c:v>
                </c:pt>
                <c:pt idx="3">
                  <c:v>Hong Kong</c:v>
                </c:pt>
                <c:pt idx="4">
                  <c:v>Seoul</c:v>
                </c:pt>
                <c:pt idx="5">
                  <c:v>Brasilia Federal District</c:v>
                </c:pt>
                <c:pt idx="6">
                  <c:v>Lisbon</c:v>
                </c:pt>
                <c:pt idx="7">
                  <c:v>Madrid</c:v>
                </c:pt>
                <c:pt idx="8">
                  <c:v>Bucharest</c:v>
                </c:pt>
                <c:pt idx="9">
                  <c:v>Tokyo</c:v>
                </c:pt>
                <c:pt idx="10">
                  <c:v>Budapest</c:v>
                </c:pt>
                <c:pt idx="11">
                  <c:v>Paris</c:v>
                </c:pt>
                <c:pt idx="12">
                  <c:v>London</c:v>
                </c:pt>
                <c:pt idx="13">
                  <c:v>Oslo</c:v>
                </c:pt>
                <c:pt idx="14">
                  <c:v>Amsterdam</c:v>
                </c:pt>
                <c:pt idx="15">
                  <c:v>Helsinki</c:v>
                </c:pt>
                <c:pt idx="16">
                  <c:v>Brussels</c:v>
                </c:pt>
                <c:pt idx="17">
                  <c:v>Canberra</c:v>
                </c:pt>
                <c:pt idx="18">
                  <c:v>Washington D.C.</c:v>
                </c:pt>
                <c:pt idx="19">
                  <c:v>Athens</c:v>
                </c:pt>
                <c:pt idx="20">
                  <c:v>Cardiff</c:v>
                </c:pt>
                <c:pt idx="21">
                  <c:v>Bern</c:v>
                </c:pt>
                <c:pt idx="22">
                  <c:v>Copenhagen</c:v>
                </c:pt>
              </c:strCache>
            </c:strRef>
          </c:cat>
          <c:val>
            <c:numRef>
              <c:f>'[1]total charges capitals 200 m³'!$G$437:$G$459</c:f>
              <c:numCache>
                <c:formatCode>General</c:formatCode>
                <c:ptCount val="23"/>
                <c:pt idx="0">
                  <c:v>2.6310505089117009</c:v>
                </c:pt>
                <c:pt idx="1">
                  <c:v>0</c:v>
                </c:pt>
                <c:pt idx="2">
                  <c:v>0</c:v>
                </c:pt>
                <c:pt idx="3">
                  <c:v>0</c:v>
                </c:pt>
                <c:pt idx="4">
                  <c:v>0</c:v>
                </c:pt>
                <c:pt idx="5">
                  <c:v>0</c:v>
                </c:pt>
                <c:pt idx="6">
                  <c:v>11.792299172584533</c:v>
                </c:pt>
                <c:pt idx="7">
                  <c:v>30.197406997198513</c:v>
                </c:pt>
                <c:pt idx="8">
                  <c:v>64.498976035641135</c:v>
                </c:pt>
                <c:pt idx="9">
                  <c:v>29.059246783658395</c:v>
                </c:pt>
                <c:pt idx="10">
                  <c:v>91.030227716383834</c:v>
                </c:pt>
                <c:pt idx="11">
                  <c:v>52.64186591960388</c:v>
                </c:pt>
                <c:pt idx="12">
                  <c:v>0</c:v>
                </c:pt>
                <c:pt idx="13">
                  <c:v>149.54346918275905</c:v>
                </c:pt>
                <c:pt idx="14">
                  <c:v>23.24798575368645</c:v>
                </c:pt>
                <c:pt idx="15">
                  <c:v>151.28021369470324</c:v>
                </c:pt>
                <c:pt idx="16">
                  <c:v>44.834625491345797</c:v>
                </c:pt>
                <c:pt idx="17">
                  <c:v>0</c:v>
                </c:pt>
                <c:pt idx="18">
                  <c:v>0</c:v>
                </c:pt>
                <c:pt idx="19">
                  <c:v>146.83909918127131</c:v>
                </c:pt>
                <c:pt idx="20">
                  <c:v>0</c:v>
                </c:pt>
                <c:pt idx="21">
                  <c:v>57.703444832750868</c:v>
                </c:pt>
                <c:pt idx="22">
                  <c:v>232.16325342839474</c:v>
                </c:pt>
              </c:numCache>
            </c:numRef>
          </c:val>
          <c:extLst>
            <c:ext xmlns:c16="http://schemas.microsoft.com/office/drawing/2014/chart" uri="{C3380CC4-5D6E-409C-BE32-E72D297353CC}">
              <c16:uniqueId val="{00000005-30CA-4115-AAB1-77AC6E9F8391}"/>
            </c:ext>
          </c:extLst>
        </c:ser>
        <c:ser>
          <c:idx val="6"/>
          <c:order val="6"/>
          <c:tx>
            <c:strRef>
              <c:f>'[1]total charges capitals 200 m³'!$H$436</c:f>
              <c:strCache>
                <c:ptCount val="1"/>
                <c:pt idx="0">
                  <c:v>TOTAL ANNUAL CHARGES 100 m³</c:v>
                </c:pt>
              </c:strCache>
            </c:strRef>
          </c:tx>
          <c:invertIfNegative val="0"/>
          <c:cat>
            <c:strRef>
              <c:f>'[1]total charges capitals 200 m³'!$A$437:$A$459</c:f>
              <c:strCache>
                <c:ptCount val="23"/>
                <c:pt idx="0">
                  <c:v>Taipei</c:v>
                </c:pt>
                <c:pt idx="1">
                  <c:v>Lusaka</c:v>
                </c:pt>
                <c:pt idx="2">
                  <c:v>Kampala</c:v>
                </c:pt>
                <c:pt idx="3">
                  <c:v>Hong Kong</c:v>
                </c:pt>
                <c:pt idx="4">
                  <c:v>Seoul</c:v>
                </c:pt>
                <c:pt idx="5">
                  <c:v>Brasilia Federal District</c:v>
                </c:pt>
                <c:pt idx="6">
                  <c:v>Lisbon</c:v>
                </c:pt>
                <c:pt idx="7">
                  <c:v>Madrid</c:v>
                </c:pt>
                <c:pt idx="8">
                  <c:v>Bucharest</c:v>
                </c:pt>
                <c:pt idx="9">
                  <c:v>Tokyo</c:v>
                </c:pt>
                <c:pt idx="10">
                  <c:v>Budapest</c:v>
                </c:pt>
                <c:pt idx="11">
                  <c:v>Paris</c:v>
                </c:pt>
                <c:pt idx="12">
                  <c:v>London</c:v>
                </c:pt>
                <c:pt idx="13">
                  <c:v>Oslo</c:v>
                </c:pt>
                <c:pt idx="14">
                  <c:v>Amsterdam</c:v>
                </c:pt>
                <c:pt idx="15">
                  <c:v>Helsinki</c:v>
                </c:pt>
                <c:pt idx="16">
                  <c:v>Brussels</c:v>
                </c:pt>
                <c:pt idx="17">
                  <c:v>Canberra</c:v>
                </c:pt>
                <c:pt idx="18">
                  <c:v>Washington D.C.</c:v>
                </c:pt>
                <c:pt idx="19">
                  <c:v>Athens</c:v>
                </c:pt>
                <c:pt idx="20">
                  <c:v>Cardiff</c:v>
                </c:pt>
                <c:pt idx="21">
                  <c:v>Bern</c:v>
                </c:pt>
                <c:pt idx="22">
                  <c:v>Copenhagen</c:v>
                </c:pt>
              </c:strCache>
            </c:strRef>
          </c:cat>
          <c:val>
            <c:numRef>
              <c:f>'[1]total charges capitals 200 m³'!$H$437:$H$459</c:f>
              <c:numCache>
                <c:formatCode>General</c:formatCode>
                <c:ptCount val="23"/>
                <c:pt idx="5">
                  <c:v>212.5800962417253</c:v>
                </c:pt>
              </c:numCache>
            </c:numRef>
          </c:val>
          <c:extLst>
            <c:ext xmlns:c16="http://schemas.microsoft.com/office/drawing/2014/chart" uri="{C3380CC4-5D6E-409C-BE32-E72D297353CC}">
              <c16:uniqueId val="{00000006-30CA-4115-AAB1-77AC6E9F8391}"/>
            </c:ext>
          </c:extLst>
        </c:ser>
        <c:dLbls>
          <c:showLegendKey val="0"/>
          <c:showVal val="0"/>
          <c:showCatName val="0"/>
          <c:showSerName val="0"/>
          <c:showPercent val="0"/>
          <c:showBubbleSize val="0"/>
        </c:dLbls>
        <c:gapWidth val="55"/>
        <c:overlap val="100"/>
        <c:axId val="344832648"/>
        <c:axId val="401229552"/>
      </c:barChart>
      <c:catAx>
        <c:axId val="344832648"/>
        <c:scaling>
          <c:orientation val="minMax"/>
        </c:scaling>
        <c:delete val="0"/>
        <c:axPos val="b"/>
        <c:numFmt formatCode="General" sourceLinked="0"/>
        <c:majorTickMark val="none"/>
        <c:minorTickMark val="none"/>
        <c:tickLblPos val="nextTo"/>
        <c:crossAx val="401229552"/>
        <c:crosses val="autoZero"/>
        <c:auto val="1"/>
        <c:lblAlgn val="ctr"/>
        <c:lblOffset val="100"/>
        <c:noMultiLvlLbl val="0"/>
      </c:catAx>
      <c:valAx>
        <c:axId val="401229552"/>
        <c:scaling>
          <c:orientation val="minMax"/>
        </c:scaling>
        <c:delete val="0"/>
        <c:axPos val="l"/>
        <c:majorGridlines/>
        <c:numFmt formatCode="General" sourceLinked="1"/>
        <c:majorTickMark val="none"/>
        <c:minorTickMark val="none"/>
        <c:tickLblPos val="nextTo"/>
        <c:crossAx val="344832648"/>
        <c:crosses val="autoZero"/>
        <c:crossBetween val="between"/>
      </c:valAx>
    </c:plotArea>
    <c:legend>
      <c:legendPos val="b"/>
      <c:layout/>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charges for 198 cities in 2017</a:t>
            </a:r>
          </a:p>
          <a:p>
            <a:pPr>
              <a:defRPr/>
            </a:pPr>
            <a:r>
              <a:rPr lang="en-US" sz="1100"/>
              <a:t>for a consumption of 100 m³ in US$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'2017Total charges cities 100 m³'!$C$498</c:f>
              <c:strCache>
                <c:ptCount val="1"/>
                <c:pt idx="0">
                  <c:v>fixed charge drinking water</c:v>
                </c:pt>
              </c:strCache>
            </c:strRef>
          </c:tx>
          <c:spPr>
            <a:solidFill>
              <a:schemeClr val="accent1"/>
            </a:solidFill>
            <a:ln>
              <a:noFill/>
            </a:ln>
            <a:effectLst/>
          </c:spPr>
          <c:invertIfNegative val="0"/>
          <c:cat>
            <c:strRef>
              <c:f>'2017Total charges cities 100 m³'!$A$499:$A$696</c:f>
              <c:strCache>
                <c:ptCount val="7"/>
                <c:pt idx="0">
                  <c:v>Provincia de Salta</c:v>
                </c:pt>
                <c:pt idx="1">
                  <c:v>La Rioja</c:v>
                </c:pt>
                <c:pt idx="2">
                  <c:v>Mar del Plata</c:v>
                </c:pt>
                <c:pt idx="3">
                  <c:v>Buenos Aires</c:v>
                </c:pt>
                <c:pt idx="4">
                  <c:v>Jujuy</c:v>
                </c:pt>
                <c:pt idx="5">
                  <c:v>Santiago del Estero</c:v>
                </c:pt>
                <c:pt idx="6">
                  <c:v>Provincia Buenos Aires</c:v>
                </c:pt>
              </c:strCache>
            </c:strRef>
          </c:cat>
          <c:val>
            <c:numRef>
              <c:f>'2017Total charges cities 100 m³'!$C$499:$C$696</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3F85-48CB-9740-747E8156FA3F}"/>
            </c:ext>
          </c:extLst>
        </c:ser>
        <c:ser>
          <c:idx val="1"/>
          <c:order val="1"/>
          <c:tx>
            <c:strRef>
              <c:f>'2017Total charges cities 100 m³'!$D$498</c:f>
              <c:strCache>
                <c:ptCount val="1"/>
                <c:pt idx="0">
                  <c:v>variable charge drinking water</c:v>
                </c:pt>
              </c:strCache>
            </c:strRef>
          </c:tx>
          <c:spPr>
            <a:solidFill>
              <a:schemeClr val="accent2"/>
            </a:solidFill>
            <a:ln>
              <a:noFill/>
            </a:ln>
            <a:effectLst/>
          </c:spPr>
          <c:invertIfNegative val="0"/>
          <c:cat>
            <c:strRef>
              <c:f>'2017Total charges cities 100 m³'!$A$499:$A$696</c:f>
              <c:strCache>
                <c:ptCount val="7"/>
                <c:pt idx="0">
                  <c:v>Provincia de Salta</c:v>
                </c:pt>
                <c:pt idx="1">
                  <c:v>La Rioja</c:v>
                </c:pt>
                <c:pt idx="2">
                  <c:v>Mar del Plata</c:v>
                </c:pt>
                <c:pt idx="3">
                  <c:v>Buenos Aires</c:v>
                </c:pt>
                <c:pt idx="4">
                  <c:v>Jujuy</c:v>
                </c:pt>
                <c:pt idx="5">
                  <c:v>Santiago del Estero</c:v>
                </c:pt>
                <c:pt idx="6">
                  <c:v>Provincia Buenos Aires</c:v>
                </c:pt>
              </c:strCache>
            </c:strRef>
          </c:cat>
          <c:val>
            <c:numRef>
              <c:f>'2017Total charges cities 100 m³'!$D$499:$D$696</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3F85-48CB-9740-747E8156FA3F}"/>
            </c:ext>
          </c:extLst>
        </c:ser>
        <c:ser>
          <c:idx val="2"/>
          <c:order val="2"/>
          <c:tx>
            <c:strRef>
              <c:f>'2017Total charges cities 100 m³'!$E$498</c:f>
              <c:strCache>
                <c:ptCount val="1"/>
                <c:pt idx="0">
                  <c:v>other charges drinking water</c:v>
                </c:pt>
              </c:strCache>
            </c:strRef>
          </c:tx>
          <c:spPr>
            <a:solidFill>
              <a:schemeClr val="accent3"/>
            </a:solidFill>
            <a:ln>
              <a:noFill/>
            </a:ln>
            <a:effectLst/>
          </c:spPr>
          <c:invertIfNegative val="0"/>
          <c:cat>
            <c:strRef>
              <c:f>'2017Total charges cities 100 m³'!$A$499:$A$696</c:f>
              <c:strCache>
                <c:ptCount val="7"/>
                <c:pt idx="0">
                  <c:v>Provincia de Salta</c:v>
                </c:pt>
                <c:pt idx="1">
                  <c:v>La Rioja</c:v>
                </c:pt>
                <c:pt idx="2">
                  <c:v>Mar del Plata</c:v>
                </c:pt>
                <c:pt idx="3">
                  <c:v>Buenos Aires</c:v>
                </c:pt>
                <c:pt idx="4">
                  <c:v>Jujuy</c:v>
                </c:pt>
                <c:pt idx="5">
                  <c:v>Santiago del Estero</c:v>
                </c:pt>
                <c:pt idx="6">
                  <c:v>Provincia Buenos Aires</c:v>
                </c:pt>
              </c:strCache>
            </c:strRef>
          </c:cat>
          <c:val>
            <c:numRef>
              <c:f>'2017Total charges cities 100 m³'!$E$499:$E$696</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3F85-48CB-9740-747E8156FA3F}"/>
            </c:ext>
          </c:extLst>
        </c:ser>
        <c:ser>
          <c:idx val="3"/>
          <c:order val="3"/>
          <c:tx>
            <c:strRef>
              <c:f>'2017Total charges cities 100 m³'!$F$498</c:f>
              <c:strCache>
                <c:ptCount val="1"/>
                <c:pt idx="0">
                  <c:v>VAT drinking water</c:v>
                </c:pt>
              </c:strCache>
            </c:strRef>
          </c:tx>
          <c:spPr>
            <a:solidFill>
              <a:schemeClr val="accent4"/>
            </a:solidFill>
            <a:ln>
              <a:noFill/>
            </a:ln>
            <a:effectLst/>
          </c:spPr>
          <c:invertIfNegative val="0"/>
          <c:cat>
            <c:strRef>
              <c:f>'2017Total charges cities 100 m³'!$A$499:$A$696</c:f>
              <c:strCache>
                <c:ptCount val="7"/>
                <c:pt idx="0">
                  <c:v>Provincia de Salta</c:v>
                </c:pt>
                <c:pt idx="1">
                  <c:v>La Rioja</c:v>
                </c:pt>
                <c:pt idx="2">
                  <c:v>Mar del Plata</c:v>
                </c:pt>
                <c:pt idx="3">
                  <c:v>Buenos Aires</c:v>
                </c:pt>
                <c:pt idx="4">
                  <c:v>Jujuy</c:v>
                </c:pt>
                <c:pt idx="5">
                  <c:v>Santiago del Estero</c:v>
                </c:pt>
                <c:pt idx="6">
                  <c:v>Provincia Buenos Aires</c:v>
                </c:pt>
              </c:strCache>
            </c:strRef>
          </c:cat>
          <c:val>
            <c:numRef>
              <c:f>'2017Total charges cities 100 m³'!$F$499:$F$696</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3-3F85-48CB-9740-747E8156FA3F}"/>
            </c:ext>
          </c:extLst>
        </c:ser>
        <c:ser>
          <c:idx val="5"/>
          <c:order val="5"/>
          <c:tx>
            <c:strRef>
              <c:f>'2017Total charges cities 100 m³'!$H$498</c:f>
              <c:strCache>
                <c:ptCount val="1"/>
                <c:pt idx="0">
                  <c:v>environmental charges</c:v>
                </c:pt>
              </c:strCache>
            </c:strRef>
          </c:tx>
          <c:spPr>
            <a:solidFill>
              <a:schemeClr val="accent6"/>
            </a:solidFill>
            <a:ln>
              <a:noFill/>
            </a:ln>
            <a:effectLst/>
          </c:spPr>
          <c:invertIfNegative val="0"/>
          <c:cat>
            <c:strRef>
              <c:f>'2017Total charges cities 100 m³'!$A$499:$A$696</c:f>
              <c:strCache>
                <c:ptCount val="7"/>
                <c:pt idx="0">
                  <c:v>Provincia de Salta</c:v>
                </c:pt>
                <c:pt idx="1">
                  <c:v>La Rioja</c:v>
                </c:pt>
                <c:pt idx="2">
                  <c:v>Mar del Plata</c:v>
                </c:pt>
                <c:pt idx="3">
                  <c:v>Buenos Aires</c:v>
                </c:pt>
                <c:pt idx="4">
                  <c:v>Jujuy</c:v>
                </c:pt>
                <c:pt idx="5">
                  <c:v>Santiago del Estero</c:v>
                </c:pt>
                <c:pt idx="6">
                  <c:v>Provincia Buenos Aires</c:v>
                </c:pt>
              </c:strCache>
            </c:strRef>
          </c:cat>
          <c:val>
            <c:numRef>
              <c:f>'2017Total charges cities 100 m³'!$H$499:$H$696</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4-3F85-48CB-9740-747E8156FA3F}"/>
            </c:ext>
          </c:extLst>
        </c:ser>
        <c:ser>
          <c:idx val="6"/>
          <c:order val="6"/>
          <c:tx>
            <c:strRef>
              <c:f>'2017Total charges cities 100 m³'!$I$498</c:f>
              <c:strCache>
                <c:ptCount val="1"/>
                <c:pt idx="0">
                  <c:v>VAT environmental charges</c:v>
                </c:pt>
              </c:strCache>
            </c:strRef>
          </c:tx>
          <c:spPr>
            <a:solidFill>
              <a:schemeClr val="accent1">
                <a:lumMod val="60000"/>
              </a:schemeClr>
            </a:solidFill>
            <a:ln>
              <a:noFill/>
            </a:ln>
            <a:effectLst/>
          </c:spPr>
          <c:invertIfNegative val="0"/>
          <c:cat>
            <c:strRef>
              <c:f>'2017Total charges cities 100 m³'!$A$499:$A$696</c:f>
              <c:strCache>
                <c:ptCount val="7"/>
                <c:pt idx="0">
                  <c:v>Provincia de Salta</c:v>
                </c:pt>
                <c:pt idx="1">
                  <c:v>La Rioja</c:v>
                </c:pt>
                <c:pt idx="2">
                  <c:v>Mar del Plata</c:v>
                </c:pt>
                <c:pt idx="3">
                  <c:v>Buenos Aires</c:v>
                </c:pt>
                <c:pt idx="4">
                  <c:v>Jujuy</c:v>
                </c:pt>
                <c:pt idx="5">
                  <c:v>Santiago del Estero</c:v>
                </c:pt>
                <c:pt idx="6">
                  <c:v>Provincia Buenos Aires</c:v>
                </c:pt>
              </c:strCache>
            </c:strRef>
          </c:cat>
          <c:val>
            <c:numRef>
              <c:f>'2017Total charges cities 100 m³'!$I$499:$I$696</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5-3F85-48CB-9740-747E8156FA3F}"/>
            </c:ext>
          </c:extLst>
        </c:ser>
        <c:ser>
          <c:idx val="7"/>
          <c:order val="7"/>
          <c:tx>
            <c:strRef>
              <c:f>'2017Total charges cities 100 m³'!$J$498</c:f>
              <c:strCache>
                <c:ptCount val="1"/>
                <c:pt idx="0">
                  <c:v>other taxes</c:v>
                </c:pt>
              </c:strCache>
            </c:strRef>
          </c:tx>
          <c:spPr>
            <a:solidFill>
              <a:schemeClr val="accent2">
                <a:lumMod val="60000"/>
              </a:schemeClr>
            </a:solidFill>
            <a:ln>
              <a:noFill/>
            </a:ln>
            <a:effectLst/>
          </c:spPr>
          <c:invertIfNegative val="0"/>
          <c:cat>
            <c:strRef>
              <c:f>'2017Total charges cities 100 m³'!$A$499:$A$696</c:f>
              <c:strCache>
                <c:ptCount val="7"/>
                <c:pt idx="0">
                  <c:v>Provincia de Salta</c:v>
                </c:pt>
                <c:pt idx="1">
                  <c:v>La Rioja</c:v>
                </c:pt>
                <c:pt idx="2">
                  <c:v>Mar del Plata</c:v>
                </c:pt>
                <c:pt idx="3">
                  <c:v>Buenos Aires</c:v>
                </c:pt>
                <c:pt idx="4">
                  <c:v>Jujuy</c:v>
                </c:pt>
                <c:pt idx="5">
                  <c:v>Santiago del Estero</c:v>
                </c:pt>
                <c:pt idx="6">
                  <c:v>Provincia Buenos Aires</c:v>
                </c:pt>
              </c:strCache>
            </c:strRef>
          </c:cat>
          <c:val>
            <c:numRef>
              <c:f>'2017Total charges cities 100 m³'!$J$499:$J$696</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6-3F85-48CB-9740-747E8156FA3F}"/>
            </c:ext>
          </c:extLst>
        </c:ser>
        <c:ser>
          <c:idx val="8"/>
          <c:order val="8"/>
          <c:tx>
            <c:strRef>
              <c:f>'2017Total charges cities 100 m³'!$K$498</c:f>
              <c:strCache>
                <c:ptCount val="1"/>
                <c:pt idx="0">
                  <c:v>VAT other taxes</c:v>
                </c:pt>
              </c:strCache>
            </c:strRef>
          </c:tx>
          <c:spPr>
            <a:solidFill>
              <a:schemeClr val="accent3">
                <a:lumMod val="60000"/>
              </a:schemeClr>
            </a:solidFill>
            <a:ln>
              <a:noFill/>
            </a:ln>
            <a:effectLst/>
          </c:spPr>
          <c:invertIfNegative val="0"/>
          <c:cat>
            <c:strRef>
              <c:f>'2017Total charges cities 100 m³'!$A$499:$A$696</c:f>
              <c:strCache>
                <c:ptCount val="7"/>
                <c:pt idx="0">
                  <c:v>Provincia de Salta</c:v>
                </c:pt>
                <c:pt idx="1">
                  <c:v>La Rioja</c:v>
                </c:pt>
                <c:pt idx="2">
                  <c:v>Mar del Plata</c:v>
                </c:pt>
                <c:pt idx="3">
                  <c:v>Buenos Aires</c:v>
                </c:pt>
                <c:pt idx="4">
                  <c:v>Jujuy</c:v>
                </c:pt>
                <c:pt idx="5">
                  <c:v>Santiago del Estero</c:v>
                </c:pt>
                <c:pt idx="6">
                  <c:v>Provincia Buenos Aires</c:v>
                </c:pt>
              </c:strCache>
            </c:strRef>
          </c:cat>
          <c:val>
            <c:numRef>
              <c:f>'2017Total charges cities 100 m³'!$K$499:$K$696</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7-3F85-48CB-9740-747E8156FA3F}"/>
            </c:ext>
          </c:extLst>
        </c:ser>
        <c:ser>
          <c:idx val="9"/>
          <c:order val="9"/>
          <c:tx>
            <c:strRef>
              <c:f>'2017Total charges cities 100 m³'!$L$498</c:f>
              <c:strCache>
                <c:ptCount val="1"/>
                <c:pt idx="0">
                  <c:v>total annual charges 100 m³</c:v>
                </c:pt>
              </c:strCache>
            </c:strRef>
          </c:tx>
          <c:spPr>
            <a:solidFill>
              <a:schemeClr val="accent4">
                <a:lumMod val="60000"/>
              </a:schemeClr>
            </a:solidFill>
            <a:ln>
              <a:noFill/>
            </a:ln>
            <a:effectLst/>
          </c:spPr>
          <c:invertIfNegative val="0"/>
          <c:cat>
            <c:strRef>
              <c:f>'2017Total charges cities 100 m³'!$A$499:$A$696</c:f>
              <c:strCache>
                <c:ptCount val="7"/>
                <c:pt idx="0">
                  <c:v>Provincia de Salta</c:v>
                </c:pt>
                <c:pt idx="1">
                  <c:v>La Rioja</c:v>
                </c:pt>
                <c:pt idx="2">
                  <c:v>Mar del Plata</c:v>
                </c:pt>
                <c:pt idx="3">
                  <c:v>Buenos Aires</c:v>
                </c:pt>
                <c:pt idx="4">
                  <c:v>Jujuy</c:v>
                </c:pt>
                <c:pt idx="5">
                  <c:v>Santiago del Estero</c:v>
                </c:pt>
                <c:pt idx="6">
                  <c:v>Provincia Buenos Aires</c:v>
                </c:pt>
              </c:strCache>
            </c:strRef>
          </c:cat>
          <c:val>
            <c:numRef>
              <c:f>'2017Total charges cities 100 m³'!$L$499:$L$696</c:f>
              <c:numCache>
                <c:formatCode>_ * #,##0.00_ ;_ * \-#,##0.00_ ;_ * "-"??_ ;_ @_ </c:formatCode>
                <c:ptCount val="7"/>
                <c:pt idx="0">
                  <c:v>16.652428537404525</c:v>
                </c:pt>
                <c:pt idx="1">
                  <c:v>21.048058928113484</c:v>
                </c:pt>
                <c:pt idx="2">
                  <c:v>31.054892154907261</c:v>
                </c:pt>
                <c:pt idx="3">
                  <c:v>39.878410497900838</c:v>
                </c:pt>
                <c:pt idx="4">
                  <c:v>52.186283117091179</c:v>
                </c:pt>
                <c:pt idx="5">
                  <c:v>52.199723767747699</c:v>
                </c:pt>
                <c:pt idx="6">
                  <c:v>53.017452953690501</c:v>
                </c:pt>
              </c:numCache>
            </c:numRef>
          </c:val>
          <c:extLst>
            <c:ext xmlns:c16="http://schemas.microsoft.com/office/drawing/2014/chart" uri="{C3380CC4-5D6E-409C-BE32-E72D297353CC}">
              <c16:uniqueId val="{00000008-3F85-48CB-9740-747E8156FA3F}"/>
            </c:ext>
          </c:extLst>
        </c:ser>
        <c:dLbls>
          <c:showLegendKey val="0"/>
          <c:showVal val="0"/>
          <c:showCatName val="0"/>
          <c:showSerName val="0"/>
          <c:showPercent val="0"/>
          <c:showBubbleSize val="0"/>
        </c:dLbls>
        <c:gapWidth val="150"/>
        <c:overlap val="100"/>
        <c:axId val="401230336"/>
        <c:axId val="401230728"/>
        <c:extLst>
          <c:ext xmlns:c15="http://schemas.microsoft.com/office/drawing/2012/chart" uri="{02D57815-91ED-43cb-92C2-25804820EDAC}">
            <c15:filteredBarSeries>
              <c15:ser>
                <c:idx val="4"/>
                <c:order val="4"/>
                <c:tx>
                  <c:strRef>
                    <c:extLst>
                      <c:ext uri="{02D57815-91ED-43cb-92C2-25804820EDAC}">
                        <c15:formulaRef>
                          <c15:sqref>'2017Total charges cities 100 m³'!$G$498</c15:sqref>
                        </c15:formulaRef>
                      </c:ext>
                    </c:extLst>
                    <c:strCache>
                      <c:ptCount val="1"/>
                      <c:pt idx="0">
                        <c:v>Total charge drinking water</c:v>
                      </c:pt>
                    </c:strCache>
                  </c:strRef>
                </c:tx>
                <c:spPr>
                  <a:solidFill>
                    <a:schemeClr val="accent5"/>
                  </a:solidFill>
                  <a:ln>
                    <a:noFill/>
                  </a:ln>
                  <a:effectLst/>
                </c:spPr>
                <c:invertIfNegative val="0"/>
                <c:cat>
                  <c:strRef>
                    <c:extLst>
                      <c:ext uri="{02D57815-91ED-43cb-92C2-25804820EDAC}">
                        <c15:formulaRef>
                          <c15:sqref>'2017Total charges cities 100 m³'!$A$499:$A$696</c15:sqref>
                        </c15:formulaRef>
                      </c:ext>
                    </c:extLst>
                    <c:strCache>
                      <c:ptCount val="7"/>
                      <c:pt idx="0">
                        <c:v>Provincia de Salta</c:v>
                      </c:pt>
                      <c:pt idx="1">
                        <c:v>La Rioja</c:v>
                      </c:pt>
                      <c:pt idx="2">
                        <c:v>Mar del Plata</c:v>
                      </c:pt>
                      <c:pt idx="3">
                        <c:v>Buenos Aires</c:v>
                      </c:pt>
                      <c:pt idx="4">
                        <c:v>Jujuy</c:v>
                      </c:pt>
                      <c:pt idx="5">
                        <c:v>Santiago del Estero</c:v>
                      </c:pt>
                      <c:pt idx="6">
                        <c:v>Provincia Buenos Aires</c:v>
                      </c:pt>
                    </c:strCache>
                  </c:strRef>
                </c:cat>
                <c:val>
                  <c:numRef>
                    <c:extLst>
                      <c:ext uri="{02D57815-91ED-43cb-92C2-25804820EDAC}">
                        <c15:formulaRef>
                          <c15:sqref>'2017Total charges cities 100 m³'!$G$499:$G$696</c15:sqref>
                        </c15:formulaRef>
                      </c:ext>
                    </c:extLst>
                    <c:numCache>
                      <c:formatCode>_ * #,##0.00_ ;_ * \-#,##0.00_ ;_ * "-"??_ ;_ @_ </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9-3F85-48CB-9740-747E8156FA3F}"/>
                  </c:ext>
                </c:extLst>
              </c15:ser>
            </c15:filteredBarSeries>
          </c:ext>
        </c:extLst>
      </c:barChart>
      <c:catAx>
        <c:axId val="401230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230728"/>
        <c:crosses val="autoZero"/>
        <c:auto val="1"/>
        <c:lblAlgn val="ctr"/>
        <c:lblOffset val="100"/>
        <c:noMultiLvlLbl val="0"/>
      </c:catAx>
      <c:valAx>
        <c:axId val="4012307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230336"/>
        <c:crosses val="autoZero"/>
        <c:crossBetween val="midCat"/>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r">
              <a:defRPr/>
            </a:pPr>
            <a:r>
              <a:rPr lang="en-US"/>
              <a:t>Total charges for 170 cities in 2015</a:t>
            </a:r>
          </a:p>
          <a:p>
            <a:pPr algn="r">
              <a:defRPr/>
            </a:pPr>
            <a:r>
              <a:rPr lang="en-US" sz="1400"/>
              <a:t>for a consumption of 100 m³ in US$</a:t>
            </a:r>
          </a:p>
        </c:rich>
      </c:tx>
      <c:layout>
        <c:manualLayout>
          <c:xMode val="edge"/>
          <c:yMode val="edge"/>
          <c:x val="0.87666270224524023"/>
          <c:y val="1.6267574769205581E-2"/>
        </c:manualLayout>
      </c:layout>
      <c:overlay val="0"/>
    </c:title>
    <c:autoTitleDeleted val="0"/>
    <c:plotArea>
      <c:layout>
        <c:manualLayout>
          <c:layoutTarget val="inner"/>
          <c:xMode val="edge"/>
          <c:yMode val="edge"/>
          <c:x val="3.1499890082407042E-2"/>
          <c:y val="9.806560970145245E-2"/>
          <c:w val="0.96228331326335992"/>
          <c:h val="0.75620883426651619"/>
        </c:manualLayout>
      </c:layout>
      <c:barChart>
        <c:barDir val="col"/>
        <c:grouping val="stacked"/>
        <c:varyColors val="0"/>
        <c:ser>
          <c:idx val="0"/>
          <c:order val="0"/>
          <c:tx>
            <c:strRef>
              <c:f>'[1]total charges cities 100 m³ G'!$B$438</c:f>
              <c:strCache>
                <c:ptCount val="1"/>
                <c:pt idx="0">
                  <c:v>FIXED CHARGE</c:v>
                </c:pt>
              </c:strCache>
            </c:strRef>
          </c:tx>
          <c:invertIfNegative val="0"/>
          <c:cat>
            <c:strRef>
              <c:f>'[1]total charges cities 100 m³ G'!$A$439:$A$605</c:f>
              <c:strCache>
                <c:ptCount val="167"/>
                <c:pt idx="0">
                  <c:v>Guadalajara</c:v>
                </c:pt>
                <c:pt idx="1">
                  <c:v>San Luis Potosi</c:v>
                </c:pt>
                <c:pt idx="2">
                  <c:v>Monterrey</c:v>
                </c:pt>
                <c:pt idx="3">
                  <c:v>Puebla</c:v>
                </c:pt>
                <c:pt idx="4">
                  <c:v>León, Guanajuato</c:v>
                </c:pt>
                <c:pt idx="5">
                  <c:v>Mauritius</c:v>
                </c:pt>
                <c:pt idx="6">
                  <c:v>Thailand Average</c:v>
                </c:pt>
                <c:pt idx="7">
                  <c:v>Mulonga</c:v>
                </c:pt>
                <c:pt idx="8">
                  <c:v>Kafubu</c:v>
                </c:pt>
                <c:pt idx="9">
                  <c:v>Kenya Average</c:v>
                </c:pt>
                <c:pt idx="10">
                  <c:v>Guangzhou</c:v>
                </c:pt>
                <c:pt idx="11">
                  <c:v>Lusaka</c:v>
                </c:pt>
                <c:pt idx="12">
                  <c:v>Shenzhen</c:v>
                </c:pt>
                <c:pt idx="13">
                  <c:v>Sao Paulo (SABESP)</c:v>
                </c:pt>
                <c:pt idx="14">
                  <c:v>Shanghai</c:v>
                </c:pt>
                <c:pt idx="15">
                  <c:v>Taipei</c:v>
                </c:pt>
                <c:pt idx="16">
                  <c:v>Hong Kong</c:v>
                </c:pt>
                <c:pt idx="17">
                  <c:v>Kaohsiung</c:v>
                </c:pt>
                <c:pt idx="18">
                  <c:v>Brazil Average</c:v>
                </c:pt>
                <c:pt idx="19">
                  <c:v>Russia Average</c:v>
                </c:pt>
                <c:pt idx="20">
                  <c:v>Gwangju</c:v>
                </c:pt>
                <c:pt idx="21">
                  <c:v>Tianjin</c:v>
                </c:pt>
                <c:pt idx="22">
                  <c:v>Daejeon</c:v>
                </c:pt>
                <c:pt idx="23">
                  <c:v>Beijing</c:v>
                </c:pt>
                <c:pt idx="24">
                  <c:v>Gyeounggi</c:v>
                </c:pt>
                <c:pt idx="25">
                  <c:v>NWWSC of Zambia</c:v>
                </c:pt>
                <c:pt idx="26">
                  <c:v>Entebbe</c:v>
                </c:pt>
                <c:pt idx="27">
                  <c:v>Daegu</c:v>
                </c:pt>
                <c:pt idx="28">
                  <c:v>Macao, China Average</c:v>
                </c:pt>
                <c:pt idx="29">
                  <c:v>Mbarara</c:v>
                </c:pt>
                <c:pt idx="30">
                  <c:v>Kampala</c:v>
                </c:pt>
                <c:pt idx="31">
                  <c:v>Seoul</c:v>
                </c:pt>
                <c:pt idx="32">
                  <c:v>Incheon</c:v>
                </c:pt>
                <c:pt idx="33">
                  <c:v>Jinja</c:v>
                </c:pt>
                <c:pt idx="34">
                  <c:v>Busan</c:v>
                </c:pt>
                <c:pt idx="35">
                  <c:v>Brasilia Federal District</c:v>
                </c:pt>
                <c:pt idx="36">
                  <c:v>Ulsan</c:v>
                </c:pt>
                <c:pt idx="37">
                  <c:v>Gran Santiago</c:v>
                </c:pt>
                <c:pt idx="38">
                  <c:v>Severin</c:v>
                </c:pt>
                <c:pt idx="39">
                  <c:v>Apaserv SA Valea Jiului</c:v>
                </c:pt>
                <c:pt idx="40">
                  <c:v>Nagoya</c:v>
                </c:pt>
                <c:pt idx="41">
                  <c:v>Deva</c:v>
                </c:pt>
                <c:pt idx="42">
                  <c:v>Sibiu</c:v>
                </c:pt>
                <c:pt idx="43">
                  <c:v>Miami</c:v>
                </c:pt>
                <c:pt idx="44">
                  <c:v>Concepcion</c:v>
                </c:pt>
                <c:pt idx="45">
                  <c:v>Baia Mare</c:v>
                </c:pt>
                <c:pt idx="46">
                  <c:v>Craiova</c:v>
                </c:pt>
                <c:pt idx="47">
                  <c:v>Yokohama</c:v>
                </c:pt>
                <c:pt idx="48">
                  <c:v>Giurgiu</c:v>
                </c:pt>
                <c:pt idx="49">
                  <c:v>Kaposvár</c:v>
                </c:pt>
                <c:pt idx="50">
                  <c:v>Calarasi</c:v>
                </c:pt>
                <c:pt idx="51">
                  <c:v>Osaka</c:v>
                </c:pt>
                <c:pt idx="52">
                  <c:v>Lisbon</c:v>
                </c:pt>
                <c:pt idx="53">
                  <c:v>Iasi</c:v>
                </c:pt>
                <c:pt idx="54">
                  <c:v>Resita</c:v>
                </c:pt>
                <c:pt idx="55">
                  <c:v>Bucharest</c:v>
                </c:pt>
                <c:pt idx="56">
                  <c:v>Hiroshima</c:v>
                </c:pt>
                <c:pt idx="57">
                  <c:v>Miercurea Ciuc</c:v>
                </c:pt>
                <c:pt idx="58">
                  <c:v>Thessaloniki</c:v>
                </c:pt>
                <c:pt idx="59">
                  <c:v>Bialystok</c:v>
                </c:pt>
                <c:pt idx="60">
                  <c:v>Temuco</c:v>
                </c:pt>
                <c:pt idx="61">
                  <c:v>Brasov</c:v>
                </c:pt>
                <c:pt idx="62">
                  <c:v>Suceava</c:v>
                </c:pt>
                <c:pt idx="63">
                  <c:v>Valparaiso</c:v>
                </c:pt>
                <c:pt idx="64">
                  <c:v>Vina del Mar</c:v>
                </c:pt>
                <c:pt idx="65">
                  <c:v>Medias</c:v>
                </c:pt>
                <c:pt idx="66">
                  <c:v>Porto</c:v>
                </c:pt>
                <c:pt idx="67">
                  <c:v>Miskolc</c:v>
                </c:pt>
                <c:pt idx="68">
                  <c:v>Bilbao</c:v>
                </c:pt>
                <c:pt idx="69">
                  <c:v>Tokyo</c:v>
                </c:pt>
                <c:pt idx="70">
                  <c:v>Fukuoka</c:v>
                </c:pt>
                <c:pt idx="71">
                  <c:v>Chicago</c:v>
                </c:pt>
                <c:pt idx="72">
                  <c:v>Serres</c:v>
                </c:pt>
                <c:pt idx="73">
                  <c:v>Debrecen</c:v>
                </c:pt>
                <c:pt idx="74">
                  <c:v>Madrid</c:v>
                </c:pt>
                <c:pt idx="75">
                  <c:v>Buzau</c:v>
                </c:pt>
                <c:pt idx="76">
                  <c:v>Sapporo</c:v>
                </c:pt>
                <c:pt idx="77">
                  <c:v>Constanta</c:v>
                </c:pt>
                <c:pt idx="78">
                  <c:v>Faro</c:v>
                </c:pt>
                <c:pt idx="79">
                  <c:v>Budapest</c:v>
                </c:pt>
                <c:pt idx="80">
                  <c:v>Malta Average</c:v>
                </c:pt>
                <c:pt idx="81">
                  <c:v>Igoumenitsa</c:v>
                </c:pt>
                <c:pt idx="82">
                  <c:v>Coimbra</c:v>
                </c:pt>
                <c:pt idx="83">
                  <c:v>Wroclaw</c:v>
                </c:pt>
                <c:pt idx="84">
                  <c:v>Sevilla</c:v>
                </c:pt>
                <c:pt idx="85">
                  <c:v>Loures</c:v>
                </c:pt>
                <c:pt idx="86">
                  <c:v>Braga</c:v>
                </c:pt>
                <c:pt idx="87">
                  <c:v>Alexandroupolis</c:v>
                </c:pt>
                <c:pt idx="88">
                  <c:v>Pécs</c:v>
                </c:pt>
                <c:pt idx="89">
                  <c:v>Antofagasta</c:v>
                </c:pt>
                <c:pt idx="90">
                  <c:v>Sintra</c:v>
                </c:pt>
                <c:pt idx="91">
                  <c:v>Barcelona</c:v>
                </c:pt>
                <c:pt idx="92">
                  <c:v>Bydgoszcz</c:v>
                </c:pt>
                <c:pt idx="93">
                  <c:v>Tarnow</c:v>
                </c:pt>
                <c:pt idx="94">
                  <c:v>Sendai</c:v>
                </c:pt>
                <c:pt idx="95">
                  <c:v>Athens</c:v>
                </c:pt>
                <c:pt idx="96">
                  <c:v>Valencia</c:v>
                </c:pt>
                <c:pt idx="97">
                  <c:v>Los Angeles</c:v>
                </c:pt>
                <c:pt idx="98">
                  <c:v>Saskatoon</c:v>
                </c:pt>
                <c:pt idx="99">
                  <c:v>Reims</c:v>
                </c:pt>
                <c:pt idx="100">
                  <c:v>Minneapolis</c:v>
                </c:pt>
                <c:pt idx="101">
                  <c:v>Radom</c:v>
                </c:pt>
                <c:pt idx="102">
                  <c:v>Strassbourg</c:v>
                </c:pt>
                <c:pt idx="103">
                  <c:v>Winnipeg</c:v>
                </c:pt>
                <c:pt idx="104">
                  <c:v>Durham</c:v>
                </c:pt>
                <c:pt idx="105">
                  <c:v>Paphos</c:v>
                </c:pt>
                <c:pt idx="106">
                  <c:v>Paris</c:v>
                </c:pt>
                <c:pt idx="107">
                  <c:v>Marseille</c:v>
                </c:pt>
                <c:pt idx="108">
                  <c:v>Lyon</c:v>
                </c:pt>
                <c:pt idx="109">
                  <c:v>Bordeaux</c:v>
                </c:pt>
                <c:pt idx="110">
                  <c:v>Oslo</c:v>
                </c:pt>
                <c:pt idx="111">
                  <c:v>Denver</c:v>
                </c:pt>
                <c:pt idx="112">
                  <c:v>Bergen</c:v>
                </c:pt>
                <c:pt idx="113">
                  <c:v>Trondheim</c:v>
                </c:pt>
                <c:pt idx="114">
                  <c:v>Scotland: Band A</c:v>
                </c:pt>
                <c:pt idx="115">
                  <c:v>Lille</c:v>
                </c:pt>
                <c:pt idx="116">
                  <c:v>Brussels</c:v>
                </c:pt>
                <c:pt idx="117">
                  <c:v>Nancy</c:v>
                </c:pt>
                <c:pt idx="118">
                  <c:v>London</c:v>
                </c:pt>
                <c:pt idx="119">
                  <c:v>Antwerp</c:v>
                </c:pt>
                <c:pt idx="120">
                  <c:v>Lemesos</c:v>
                </c:pt>
                <c:pt idx="121">
                  <c:v>Larnaca</c:v>
                </c:pt>
                <c:pt idx="122">
                  <c:v>Espoo</c:v>
                </c:pt>
                <c:pt idx="123">
                  <c:v>Helsinki</c:v>
                </c:pt>
                <c:pt idx="124">
                  <c:v>Vantaa</c:v>
                </c:pt>
                <c:pt idx="125">
                  <c:v>Lefkosia</c:v>
                </c:pt>
                <c:pt idx="126">
                  <c:v>Lausanne</c:v>
                </c:pt>
                <c:pt idx="127">
                  <c:v>Brest</c:v>
                </c:pt>
                <c:pt idx="128">
                  <c:v>Scotland: Band B</c:v>
                </c:pt>
                <c:pt idx="129">
                  <c:v>Eindhoven</c:v>
                </c:pt>
                <c:pt idx="130">
                  <c:v>Basel</c:v>
                </c:pt>
                <c:pt idx="131">
                  <c:v>SEDIF</c:v>
                </c:pt>
                <c:pt idx="132">
                  <c:v>Oulu</c:v>
                </c:pt>
                <c:pt idx="133">
                  <c:v>Genk</c:v>
                </c:pt>
                <c:pt idx="134">
                  <c:v>Birmingham</c:v>
                </c:pt>
                <c:pt idx="135">
                  <c:v>Geneva</c:v>
                </c:pt>
                <c:pt idx="136">
                  <c:v>Leeds</c:v>
                </c:pt>
                <c:pt idx="137">
                  <c:v>Calgary</c:v>
                </c:pt>
                <c:pt idx="138">
                  <c:v>New York</c:v>
                </c:pt>
                <c:pt idx="139">
                  <c:v>Scotland: Band C</c:v>
                </c:pt>
                <c:pt idx="140">
                  <c:v>Louvain</c:v>
                </c:pt>
                <c:pt idx="141">
                  <c:v>Le Havre</c:v>
                </c:pt>
                <c:pt idx="142">
                  <c:v>Zürich</c:v>
                </c:pt>
                <c:pt idx="143">
                  <c:v>Kortrijk</c:v>
                </c:pt>
                <c:pt idx="144">
                  <c:v>Tampere</c:v>
                </c:pt>
                <c:pt idx="145">
                  <c:v>Amsterdam</c:v>
                </c:pt>
                <c:pt idx="146">
                  <c:v>Charleroi</c:v>
                </c:pt>
                <c:pt idx="147">
                  <c:v>Liège</c:v>
                </c:pt>
                <c:pt idx="148">
                  <c:v>Utrecht</c:v>
                </c:pt>
                <c:pt idx="149">
                  <c:v>Scotland: Band D</c:v>
                </c:pt>
                <c:pt idx="150">
                  <c:v>Cardiff</c:v>
                </c:pt>
                <c:pt idx="151">
                  <c:v>Turku</c:v>
                </c:pt>
                <c:pt idx="152">
                  <c:v>Copenhagen</c:v>
                </c:pt>
                <c:pt idx="153">
                  <c:v>Manchester</c:v>
                </c:pt>
                <c:pt idx="154">
                  <c:v>Vancouver</c:v>
                </c:pt>
                <c:pt idx="155">
                  <c:v>Washington D.C.</c:v>
                </c:pt>
                <c:pt idx="156">
                  <c:v>Den Haag</c:v>
                </c:pt>
                <c:pt idx="157">
                  <c:v>Bern</c:v>
                </c:pt>
                <c:pt idx="158">
                  <c:v>Scotland: Band E</c:v>
                </c:pt>
                <c:pt idx="159">
                  <c:v>Rotterdam</c:v>
                </c:pt>
                <c:pt idx="160">
                  <c:v>Aalborg</c:v>
                </c:pt>
                <c:pt idx="161">
                  <c:v>Esbjerg</c:v>
                </c:pt>
                <c:pt idx="162">
                  <c:v>Scotland: Band F</c:v>
                </c:pt>
                <c:pt idx="163">
                  <c:v>Aarhus</c:v>
                </c:pt>
                <c:pt idx="164">
                  <c:v>Odense</c:v>
                </c:pt>
                <c:pt idx="165">
                  <c:v>Scotland: Band G</c:v>
                </c:pt>
                <c:pt idx="166">
                  <c:v>Scotland: Band H</c:v>
                </c:pt>
              </c:strCache>
            </c:strRef>
          </c:cat>
          <c:val>
            <c:numRef>
              <c:f>'[1]total charges cities 100 m³ G'!$B$439:$B$605</c:f>
              <c:numCache>
                <c:formatCode>General</c:formatCode>
                <c:ptCount val="167"/>
                <c:pt idx="0">
                  <c:v>0</c:v>
                </c:pt>
                <c:pt idx="1">
                  <c:v>6.3682357034555784E-2</c:v>
                </c:pt>
                <c:pt idx="2">
                  <c:v>0.1099967985142327</c:v>
                </c:pt>
                <c:pt idx="3">
                  <c:v>0.13894332443903079</c:v>
                </c:pt>
                <c:pt idx="4">
                  <c:v>0.18525776591870774</c:v>
                </c:pt>
                <c:pt idx="5">
                  <c:v>18.410098329450939</c:v>
                </c:pt>
                <c:pt idx="7">
                  <c:v>0.45205790319270417</c:v>
                </c:pt>
                <c:pt idx="8">
                  <c:v>0.45205790319270417</c:v>
                </c:pt>
                <c:pt idx="9">
                  <c:v>5.8330000421920332</c:v>
                </c:pt>
                <c:pt idx="10">
                  <c:v>30.396956619858422</c:v>
                </c:pt>
                <c:pt idx="11">
                  <c:v>0.72329264510832658</c:v>
                </c:pt>
                <c:pt idx="12">
                  <c:v>35.309596073572912</c:v>
                </c:pt>
                <c:pt idx="13">
                  <c:v>0</c:v>
                </c:pt>
                <c:pt idx="14">
                  <c:v>29.475836722286957</c:v>
                </c:pt>
                <c:pt idx="15">
                  <c:v>23.588728700587662</c:v>
                </c:pt>
                <c:pt idx="16">
                  <c:v>0</c:v>
                </c:pt>
                <c:pt idx="17">
                  <c:v>14.274205059842791</c:v>
                </c:pt>
                <c:pt idx="18">
                  <c:v>0</c:v>
                </c:pt>
                <c:pt idx="19">
                  <c:v>0</c:v>
                </c:pt>
                <c:pt idx="20">
                  <c:v>0</c:v>
                </c:pt>
                <c:pt idx="21">
                  <c:v>40.068715544358831</c:v>
                </c:pt>
                <c:pt idx="22">
                  <c:v>0</c:v>
                </c:pt>
                <c:pt idx="23">
                  <c:v>31.77863646621562</c:v>
                </c:pt>
                <c:pt idx="24">
                  <c:v>0</c:v>
                </c:pt>
                <c:pt idx="25">
                  <c:v>0.58767527415051535</c:v>
                </c:pt>
                <c:pt idx="26">
                  <c:v>3.4002413577512409</c:v>
                </c:pt>
                <c:pt idx="27">
                  <c:v>0</c:v>
                </c:pt>
                <c:pt idx="28">
                  <c:v>0</c:v>
                </c:pt>
                <c:pt idx="29">
                  <c:v>3.0433424291406577</c:v>
                </c:pt>
                <c:pt idx="30">
                  <c:v>3.1053734620375546</c:v>
                </c:pt>
                <c:pt idx="31">
                  <c:v>0</c:v>
                </c:pt>
                <c:pt idx="32">
                  <c:v>0</c:v>
                </c:pt>
                <c:pt idx="33">
                  <c:v>2.8490177241887666</c:v>
                </c:pt>
                <c:pt idx="34">
                  <c:v>0</c:v>
                </c:pt>
                <c:pt idx="35">
                  <c:v>0</c:v>
                </c:pt>
                <c:pt idx="36">
                  <c:v>0</c:v>
                </c:pt>
                <c:pt idx="37">
                  <c:v>10.266807607901336</c:v>
                </c:pt>
                <c:pt idx="38">
                  <c:v>0</c:v>
                </c:pt>
                <c:pt idx="39">
                  <c:v>0</c:v>
                </c:pt>
                <c:pt idx="40">
                  <c:v>62.341061463798042</c:v>
                </c:pt>
                <c:pt idx="41">
                  <c:v>0</c:v>
                </c:pt>
                <c:pt idx="42">
                  <c:v>0</c:v>
                </c:pt>
                <c:pt idx="43">
                  <c:v>38.4</c:v>
                </c:pt>
                <c:pt idx="44">
                  <c:v>10.80827622831805</c:v>
                </c:pt>
                <c:pt idx="45">
                  <c:v>0</c:v>
                </c:pt>
                <c:pt idx="46">
                  <c:v>0</c:v>
                </c:pt>
                <c:pt idx="47">
                  <c:v>78.799101690240732</c:v>
                </c:pt>
                <c:pt idx="48">
                  <c:v>0</c:v>
                </c:pt>
                <c:pt idx="49">
                  <c:v>0</c:v>
                </c:pt>
                <c:pt idx="50">
                  <c:v>0</c:v>
                </c:pt>
                <c:pt idx="51">
                  <c:v>84.783843590765343</c:v>
                </c:pt>
                <c:pt idx="52">
                  <c:v>55.899407127500162</c:v>
                </c:pt>
                <c:pt idx="53">
                  <c:v>0</c:v>
                </c:pt>
                <c:pt idx="54">
                  <c:v>0</c:v>
                </c:pt>
                <c:pt idx="55">
                  <c:v>0</c:v>
                </c:pt>
                <c:pt idx="56">
                  <c:v>80.794015657082269</c:v>
                </c:pt>
                <c:pt idx="57">
                  <c:v>0</c:v>
                </c:pt>
                <c:pt idx="58">
                  <c:v>26.06032966317024</c:v>
                </c:pt>
                <c:pt idx="59">
                  <c:v>0</c:v>
                </c:pt>
                <c:pt idx="60">
                  <c:v>18.17506228998753</c:v>
                </c:pt>
                <c:pt idx="61">
                  <c:v>0</c:v>
                </c:pt>
                <c:pt idx="62">
                  <c:v>0</c:v>
                </c:pt>
                <c:pt idx="63">
                  <c:v>17.885341417764561</c:v>
                </c:pt>
                <c:pt idx="64">
                  <c:v>17.885341417764561</c:v>
                </c:pt>
                <c:pt idx="65">
                  <c:v>0</c:v>
                </c:pt>
                <c:pt idx="66">
                  <c:v>44.639173018872022</c:v>
                </c:pt>
                <c:pt idx="67">
                  <c:v>0</c:v>
                </c:pt>
                <c:pt idx="68">
                  <c:v>35.756943992008168</c:v>
                </c:pt>
                <c:pt idx="69">
                  <c:v>116.70246706022994</c:v>
                </c:pt>
                <c:pt idx="70">
                  <c:v>84.783843590765343</c:v>
                </c:pt>
                <c:pt idx="71">
                  <c:v>0</c:v>
                </c:pt>
                <c:pt idx="72">
                  <c:v>86.324842009251412</c:v>
                </c:pt>
                <c:pt idx="73">
                  <c:v>4.2382076519995646</c:v>
                </c:pt>
                <c:pt idx="74">
                  <c:v>66.486416053163069</c:v>
                </c:pt>
                <c:pt idx="75">
                  <c:v>0</c:v>
                </c:pt>
                <c:pt idx="76">
                  <c:v>131.66432181154147</c:v>
                </c:pt>
                <c:pt idx="77">
                  <c:v>0</c:v>
                </c:pt>
                <c:pt idx="78">
                  <c:v>35.561491519534393</c:v>
                </c:pt>
                <c:pt idx="79">
                  <c:v>5.8529268955314864</c:v>
                </c:pt>
                <c:pt idx="80">
                  <c:v>64.064977088626833</c:v>
                </c:pt>
                <c:pt idx="81">
                  <c:v>52.989336981779488</c:v>
                </c:pt>
                <c:pt idx="82">
                  <c:v>50.752492019024046</c:v>
                </c:pt>
                <c:pt idx="83">
                  <c:v>0</c:v>
                </c:pt>
                <c:pt idx="84">
                  <c:v>50.339870132690514</c:v>
                </c:pt>
                <c:pt idx="85">
                  <c:v>40.328360153755945</c:v>
                </c:pt>
                <c:pt idx="86">
                  <c:v>61.111473060134216</c:v>
                </c:pt>
                <c:pt idx="87">
                  <c:v>55.378200534236761</c:v>
                </c:pt>
                <c:pt idx="88">
                  <c:v>0</c:v>
                </c:pt>
                <c:pt idx="89">
                  <c:v>15.456467891895299</c:v>
                </c:pt>
                <c:pt idx="90">
                  <c:v>53.032770864551445</c:v>
                </c:pt>
                <c:pt idx="91">
                  <c:v>90.429343931200734</c:v>
                </c:pt>
                <c:pt idx="92">
                  <c:v>0</c:v>
                </c:pt>
                <c:pt idx="93">
                  <c:v>22.894794774278274</c:v>
                </c:pt>
                <c:pt idx="94">
                  <c:v>124.68212292759608</c:v>
                </c:pt>
                <c:pt idx="95">
                  <c:v>13.03016483158512</c:v>
                </c:pt>
                <c:pt idx="96">
                  <c:v>77.008274154668058</c:v>
                </c:pt>
                <c:pt idx="97">
                  <c:v>0</c:v>
                </c:pt>
                <c:pt idx="98">
                  <c:v>75.965211386149292</c:v>
                </c:pt>
                <c:pt idx="99">
                  <c:v>11.890025408821421</c:v>
                </c:pt>
                <c:pt idx="100">
                  <c:v>42</c:v>
                </c:pt>
                <c:pt idx="101">
                  <c:v>10.840108401084009</c:v>
                </c:pt>
                <c:pt idx="102">
                  <c:v>30.794622885312833</c:v>
                </c:pt>
                <c:pt idx="103">
                  <c:v>93.661652674968167</c:v>
                </c:pt>
                <c:pt idx="104">
                  <c:v>136.91002870276452</c:v>
                </c:pt>
                <c:pt idx="105">
                  <c:v>52.12065932634048</c:v>
                </c:pt>
                <c:pt idx="106">
                  <c:v>22.824505396659934</c:v>
                </c:pt>
                <c:pt idx="107">
                  <c:v>10.315547158338219</c:v>
                </c:pt>
                <c:pt idx="108">
                  <c:v>66.193237344452413</c:v>
                </c:pt>
                <c:pt idx="109">
                  <c:v>59.623862575194906</c:v>
                </c:pt>
                <c:pt idx="110">
                  <c:v>35.438980621423653</c:v>
                </c:pt>
                <c:pt idx="111">
                  <c:v>105.48</c:v>
                </c:pt>
                <c:pt idx="112">
                  <c:v>138.70862160423462</c:v>
                </c:pt>
                <c:pt idx="113">
                  <c:v>33.858898682888842</c:v>
                </c:pt>
                <c:pt idx="114">
                  <c:v>0</c:v>
                </c:pt>
                <c:pt idx="115">
                  <c:v>19.990444545790172</c:v>
                </c:pt>
                <c:pt idx="116">
                  <c:v>25.84316024931049</c:v>
                </c:pt>
                <c:pt idx="117">
                  <c:v>45.76845397094273</c:v>
                </c:pt>
                <c:pt idx="118">
                  <c:v>31.31677842458183</c:v>
                </c:pt>
                <c:pt idx="119">
                  <c:v>73.663865181227877</c:v>
                </c:pt>
                <c:pt idx="120">
                  <c:v>71.665906573718161</c:v>
                </c:pt>
                <c:pt idx="121">
                  <c:v>71.665906573718161</c:v>
                </c:pt>
                <c:pt idx="122">
                  <c:v>41.902838404239155</c:v>
                </c:pt>
                <c:pt idx="123">
                  <c:v>41.902838404239155</c:v>
                </c:pt>
                <c:pt idx="124">
                  <c:v>41.902838404239155</c:v>
                </c:pt>
                <c:pt idx="125">
                  <c:v>45.605576910547917</c:v>
                </c:pt>
                <c:pt idx="126">
                  <c:v>135.79630554168747</c:v>
                </c:pt>
                <c:pt idx="127">
                  <c:v>6.667101005494386</c:v>
                </c:pt>
                <c:pt idx="128">
                  <c:v>0</c:v>
                </c:pt>
                <c:pt idx="129">
                  <c:v>76.487067561404658</c:v>
                </c:pt>
                <c:pt idx="130">
                  <c:v>69.895157264103844</c:v>
                </c:pt>
                <c:pt idx="131">
                  <c:v>0</c:v>
                </c:pt>
                <c:pt idx="132">
                  <c:v>45.540426086389992</c:v>
                </c:pt>
                <c:pt idx="133">
                  <c:v>57.75620561600104</c:v>
                </c:pt>
                <c:pt idx="134">
                  <c:v>43.504531722054381</c:v>
                </c:pt>
                <c:pt idx="135">
                  <c:v>197.70344483275088</c:v>
                </c:pt>
                <c:pt idx="136">
                  <c:v>32.996831478888808</c:v>
                </c:pt>
                <c:pt idx="137">
                  <c:v>136.39208407967715</c:v>
                </c:pt>
                <c:pt idx="138">
                  <c:v>178.85</c:v>
                </c:pt>
                <c:pt idx="139">
                  <c:v>0</c:v>
                </c:pt>
                <c:pt idx="140">
                  <c:v>57.75620561600104</c:v>
                </c:pt>
                <c:pt idx="141">
                  <c:v>32.977175494603344</c:v>
                </c:pt>
                <c:pt idx="142">
                  <c:v>107.83824263604592</c:v>
                </c:pt>
                <c:pt idx="143">
                  <c:v>57.75620561600104</c:v>
                </c:pt>
                <c:pt idx="144">
                  <c:v>83.523356570460621</c:v>
                </c:pt>
                <c:pt idx="145">
                  <c:v>45.76845397094273</c:v>
                </c:pt>
                <c:pt idx="146">
                  <c:v>113.74248050904511</c:v>
                </c:pt>
                <c:pt idx="147">
                  <c:v>114.1008100419137</c:v>
                </c:pt>
                <c:pt idx="148">
                  <c:v>48.863118118444199</c:v>
                </c:pt>
                <c:pt idx="149">
                  <c:v>0</c:v>
                </c:pt>
                <c:pt idx="150">
                  <c:v>50.696337779087763</c:v>
                </c:pt>
                <c:pt idx="151">
                  <c:v>117.27148348426608</c:v>
                </c:pt>
                <c:pt idx="152">
                  <c:v>55.872831108362739</c:v>
                </c:pt>
                <c:pt idx="153">
                  <c:v>51.271092771350673</c:v>
                </c:pt>
                <c:pt idx="154">
                  <c:v>408.60075821337881</c:v>
                </c:pt>
                <c:pt idx="155">
                  <c:v>46.32</c:v>
                </c:pt>
                <c:pt idx="156">
                  <c:v>66.432123699698138</c:v>
                </c:pt>
                <c:pt idx="157">
                  <c:v>4.8227658512231653</c:v>
                </c:pt>
                <c:pt idx="158">
                  <c:v>0</c:v>
                </c:pt>
                <c:pt idx="159">
                  <c:v>64.890220861293898</c:v>
                </c:pt>
                <c:pt idx="160">
                  <c:v>141.87043032265103</c:v>
                </c:pt>
                <c:pt idx="161">
                  <c:v>96.32243279618784</c:v>
                </c:pt>
                <c:pt idx="162">
                  <c:v>0</c:v>
                </c:pt>
                <c:pt idx="163">
                  <c:v>80.026190389582041</c:v>
                </c:pt>
                <c:pt idx="164">
                  <c:v>69.841038885453429</c:v>
                </c:pt>
                <c:pt idx="165">
                  <c:v>0</c:v>
                </c:pt>
                <c:pt idx="166">
                  <c:v>0</c:v>
                </c:pt>
              </c:numCache>
            </c:numRef>
          </c:val>
          <c:extLst>
            <c:ext xmlns:c16="http://schemas.microsoft.com/office/drawing/2014/chart" uri="{C3380CC4-5D6E-409C-BE32-E72D297353CC}">
              <c16:uniqueId val="{00000000-5E94-4221-8666-791223B4F2F3}"/>
            </c:ext>
          </c:extLst>
        </c:ser>
        <c:ser>
          <c:idx val="1"/>
          <c:order val="1"/>
          <c:tx>
            <c:strRef>
              <c:f>'[1]total charges cities 100 m³ G'!$C$438</c:f>
              <c:strCache>
                <c:ptCount val="1"/>
                <c:pt idx="0">
                  <c:v>VARIABLE CHARGE</c:v>
                </c:pt>
              </c:strCache>
            </c:strRef>
          </c:tx>
          <c:invertIfNegative val="0"/>
          <c:cat>
            <c:strRef>
              <c:f>'[1]total charges cities 100 m³ G'!$A$439:$A$605</c:f>
              <c:strCache>
                <c:ptCount val="167"/>
                <c:pt idx="0">
                  <c:v>Guadalajara</c:v>
                </c:pt>
                <c:pt idx="1">
                  <c:v>San Luis Potosi</c:v>
                </c:pt>
                <c:pt idx="2">
                  <c:v>Monterrey</c:v>
                </c:pt>
                <c:pt idx="3">
                  <c:v>Puebla</c:v>
                </c:pt>
                <c:pt idx="4">
                  <c:v>León, Guanajuato</c:v>
                </c:pt>
                <c:pt idx="5">
                  <c:v>Mauritius</c:v>
                </c:pt>
                <c:pt idx="6">
                  <c:v>Thailand Average</c:v>
                </c:pt>
                <c:pt idx="7">
                  <c:v>Mulonga</c:v>
                </c:pt>
                <c:pt idx="8">
                  <c:v>Kafubu</c:v>
                </c:pt>
                <c:pt idx="9">
                  <c:v>Kenya Average</c:v>
                </c:pt>
                <c:pt idx="10">
                  <c:v>Guangzhou</c:v>
                </c:pt>
                <c:pt idx="11">
                  <c:v>Lusaka</c:v>
                </c:pt>
                <c:pt idx="12">
                  <c:v>Shenzhen</c:v>
                </c:pt>
                <c:pt idx="13">
                  <c:v>Sao Paulo (SABESP)</c:v>
                </c:pt>
                <c:pt idx="14">
                  <c:v>Shanghai</c:v>
                </c:pt>
                <c:pt idx="15">
                  <c:v>Taipei</c:v>
                </c:pt>
                <c:pt idx="16">
                  <c:v>Hong Kong</c:v>
                </c:pt>
                <c:pt idx="17">
                  <c:v>Kaohsiung</c:v>
                </c:pt>
                <c:pt idx="18">
                  <c:v>Brazil Average</c:v>
                </c:pt>
                <c:pt idx="19">
                  <c:v>Russia Average</c:v>
                </c:pt>
                <c:pt idx="20">
                  <c:v>Gwangju</c:v>
                </c:pt>
                <c:pt idx="21">
                  <c:v>Tianjin</c:v>
                </c:pt>
                <c:pt idx="22">
                  <c:v>Daejeon</c:v>
                </c:pt>
                <c:pt idx="23">
                  <c:v>Beijing</c:v>
                </c:pt>
                <c:pt idx="24">
                  <c:v>Gyeounggi</c:v>
                </c:pt>
                <c:pt idx="25">
                  <c:v>NWWSC of Zambia</c:v>
                </c:pt>
                <c:pt idx="26">
                  <c:v>Entebbe</c:v>
                </c:pt>
                <c:pt idx="27">
                  <c:v>Daegu</c:v>
                </c:pt>
                <c:pt idx="28">
                  <c:v>Macao, China Average</c:v>
                </c:pt>
                <c:pt idx="29">
                  <c:v>Mbarara</c:v>
                </c:pt>
                <c:pt idx="30">
                  <c:v>Kampala</c:v>
                </c:pt>
                <c:pt idx="31">
                  <c:v>Seoul</c:v>
                </c:pt>
                <c:pt idx="32">
                  <c:v>Incheon</c:v>
                </c:pt>
                <c:pt idx="33">
                  <c:v>Jinja</c:v>
                </c:pt>
                <c:pt idx="34">
                  <c:v>Busan</c:v>
                </c:pt>
                <c:pt idx="35">
                  <c:v>Brasilia Federal District</c:v>
                </c:pt>
                <c:pt idx="36">
                  <c:v>Ulsan</c:v>
                </c:pt>
                <c:pt idx="37">
                  <c:v>Gran Santiago</c:v>
                </c:pt>
                <c:pt idx="38">
                  <c:v>Severin</c:v>
                </c:pt>
                <c:pt idx="39">
                  <c:v>Apaserv SA Valea Jiului</c:v>
                </c:pt>
                <c:pt idx="40">
                  <c:v>Nagoya</c:v>
                </c:pt>
                <c:pt idx="41">
                  <c:v>Deva</c:v>
                </c:pt>
                <c:pt idx="42">
                  <c:v>Sibiu</c:v>
                </c:pt>
                <c:pt idx="43">
                  <c:v>Miami</c:v>
                </c:pt>
                <c:pt idx="44">
                  <c:v>Concepcion</c:v>
                </c:pt>
                <c:pt idx="45">
                  <c:v>Baia Mare</c:v>
                </c:pt>
                <c:pt idx="46">
                  <c:v>Craiova</c:v>
                </c:pt>
                <c:pt idx="47">
                  <c:v>Yokohama</c:v>
                </c:pt>
                <c:pt idx="48">
                  <c:v>Giurgiu</c:v>
                </c:pt>
                <c:pt idx="49">
                  <c:v>Kaposvár</c:v>
                </c:pt>
                <c:pt idx="50">
                  <c:v>Calarasi</c:v>
                </c:pt>
                <c:pt idx="51">
                  <c:v>Osaka</c:v>
                </c:pt>
                <c:pt idx="52">
                  <c:v>Lisbon</c:v>
                </c:pt>
                <c:pt idx="53">
                  <c:v>Iasi</c:v>
                </c:pt>
                <c:pt idx="54">
                  <c:v>Resita</c:v>
                </c:pt>
                <c:pt idx="55">
                  <c:v>Bucharest</c:v>
                </c:pt>
                <c:pt idx="56">
                  <c:v>Hiroshima</c:v>
                </c:pt>
                <c:pt idx="57">
                  <c:v>Miercurea Ciuc</c:v>
                </c:pt>
                <c:pt idx="58">
                  <c:v>Thessaloniki</c:v>
                </c:pt>
                <c:pt idx="59">
                  <c:v>Bialystok</c:v>
                </c:pt>
                <c:pt idx="60">
                  <c:v>Temuco</c:v>
                </c:pt>
                <c:pt idx="61">
                  <c:v>Brasov</c:v>
                </c:pt>
                <c:pt idx="62">
                  <c:v>Suceava</c:v>
                </c:pt>
                <c:pt idx="63">
                  <c:v>Valparaiso</c:v>
                </c:pt>
                <c:pt idx="64">
                  <c:v>Vina del Mar</c:v>
                </c:pt>
                <c:pt idx="65">
                  <c:v>Medias</c:v>
                </c:pt>
                <c:pt idx="66">
                  <c:v>Porto</c:v>
                </c:pt>
                <c:pt idx="67">
                  <c:v>Miskolc</c:v>
                </c:pt>
                <c:pt idx="68">
                  <c:v>Bilbao</c:v>
                </c:pt>
                <c:pt idx="69">
                  <c:v>Tokyo</c:v>
                </c:pt>
                <c:pt idx="70">
                  <c:v>Fukuoka</c:v>
                </c:pt>
                <c:pt idx="71">
                  <c:v>Chicago</c:v>
                </c:pt>
                <c:pt idx="72">
                  <c:v>Serres</c:v>
                </c:pt>
                <c:pt idx="73">
                  <c:v>Debrecen</c:v>
                </c:pt>
                <c:pt idx="74">
                  <c:v>Madrid</c:v>
                </c:pt>
                <c:pt idx="75">
                  <c:v>Buzau</c:v>
                </c:pt>
                <c:pt idx="76">
                  <c:v>Sapporo</c:v>
                </c:pt>
                <c:pt idx="77">
                  <c:v>Constanta</c:v>
                </c:pt>
                <c:pt idx="78">
                  <c:v>Faro</c:v>
                </c:pt>
                <c:pt idx="79">
                  <c:v>Budapest</c:v>
                </c:pt>
                <c:pt idx="80">
                  <c:v>Malta Average</c:v>
                </c:pt>
                <c:pt idx="81">
                  <c:v>Igoumenitsa</c:v>
                </c:pt>
                <c:pt idx="82">
                  <c:v>Coimbra</c:v>
                </c:pt>
                <c:pt idx="83">
                  <c:v>Wroclaw</c:v>
                </c:pt>
                <c:pt idx="84">
                  <c:v>Sevilla</c:v>
                </c:pt>
                <c:pt idx="85">
                  <c:v>Loures</c:v>
                </c:pt>
                <c:pt idx="86">
                  <c:v>Braga</c:v>
                </c:pt>
                <c:pt idx="87">
                  <c:v>Alexandroupolis</c:v>
                </c:pt>
                <c:pt idx="88">
                  <c:v>Pécs</c:v>
                </c:pt>
                <c:pt idx="89">
                  <c:v>Antofagasta</c:v>
                </c:pt>
                <c:pt idx="90">
                  <c:v>Sintra</c:v>
                </c:pt>
                <c:pt idx="91">
                  <c:v>Barcelona</c:v>
                </c:pt>
                <c:pt idx="92">
                  <c:v>Bydgoszcz</c:v>
                </c:pt>
                <c:pt idx="93">
                  <c:v>Tarnow</c:v>
                </c:pt>
                <c:pt idx="94">
                  <c:v>Sendai</c:v>
                </c:pt>
                <c:pt idx="95">
                  <c:v>Athens</c:v>
                </c:pt>
                <c:pt idx="96">
                  <c:v>Valencia</c:v>
                </c:pt>
                <c:pt idx="97">
                  <c:v>Los Angeles</c:v>
                </c:pt>
                <c:pt idx="98">
                  <c:v>Saskatoon</c:v>
                </c:pt>
                <c:pt idx="99">
                  <c:v>Reims</c:v>
                </c:pt>
                <c:pt idx="100">
                  <c:v>Minneapolis</c:v>
                </c:pt>
                <c:pt idx="101">
                  <c:v>Radom</c:v>
                </c:pt>
                <c:pt idx="102">
                  <c:v>Strassbourg</c:v>
                </c:pt>
                <c:pt idx="103">
                  <c:v>Winnipeg</c:v>
                </c:pt>
                <c:pt idx="104">
                  <c:v>Durham</c:v>
                </c:pt>
                <c:pt idx="105">
                  <c:v>Paphos</c:v>
                </c:pt>
                <c:pt idx="106">
                  <c:v>Paris</c:v>
                </c:pt>
                <c:pt idx="107">
                  <c:v>Marseille</c:v>
                </c:pt>
                <c:pt idx="108">
                  <c:v>Lyon</c:v>
                </c:pt>
                <c:pt idx="109">
                  <c:v>Bordeaux</c:v>
                </c:pt>
                <c:pt idx="110">
                  <c:v>Oslo</c:v>
                </c:pt>
                <c:pt idx="111">
                  <c:v>Denver</c:v>
                </c:pt>
                <c:pt idx="112">
                  <c:v>Bergen</c:v>
                </c:pt>
                <c:pt idx="113">
                  <c:v>Trondheim</c:v>
                </c:pt>
                <c:pt idx="114">
                  <c:v>Scotland: Band A</c:v>
                </c:pt>
                <c:pt idx="115">
                  <c:v>Lille</c:v>
                </c:pt>
                <c:pt idx="116">
                  <c:v>Brussels</c:v>
                </c:pt>
                <c:pt idx="117">
                  <c:v>Nancy</c:v>
                </c:pt>
                <c:pt idx="118">
                  <c:v>London</c:v>
                </c:pt>
                <c:pt idx="119">
                  <c:v>Antwerp</c:v>
                </c:pt>
                <c:pt idx="120">
                  <c:v>Lemesos</c:v>
                </c:pt>
                <c:pt idx="121">
                  <c:v>Larnaca</c:v>
                </c:pt>
                <c:pt idx="122">
                  <c:v>Espoo</c:v>
                </c:pt>
                <c:pt idx="123">
                  <c:v>Helsinki</c:v>
                </c:pt>
                <c:pt idx="124">
                  <c:v>Vantaa</c:v>
                </c:pt>
                <c:pt idx="125">
                  <c:v>Lefkosia</c:v>
                </c:pt>
                <c:pt idx="126">
                  <c:v>Lausanne</c:v>
                </c:pt>
                <c:pt idx="127">
                  <c:v>Brest</c:v>
                </c:pt>
                <c:pt idx="128">
                  <c:v>Scotland: Band B</c:v>
                </c:pt>
                <c:pt idx="129">
                  <c:v>Eindhoven</c:v>
                </c:pt>
                <c:pt idx="130">
                  <c:v>Basel</c:v>
                </c:pt>
                <c:pt idx="131">
                  <c:v>SEDIF</c:v>
                </c:pt>
                <c:pt idx="132">
                  <c:v>Oulu</c:v>
                </c:pt>
                <c:pt idx="133">
                  <c:v>Genk</c:v>
                </c:pt>
                <c:pt idx="134">
                  <c:v>Birmingham</c:v>
                </c:pt>
                <c:pt idx="135">
                  <c:v>Geneva</c:v>
                </c:pt>
                <c:pt idx="136">
                  <c:v>Leeds</c:v>
                </c:pt>
                <c:pt idx="137">
                  <c:v>Calgary</c:v>
                </c:pt>
                <c:pt idx="138">
                  <c:v>New York</c:v>
                </c:pt>
                <c:pt idx="139">
                  <c:v>Scotland: Band C</c:v>
                </c:pt>
                <c:pt idx="140">
                  <c:v>Louvain</c:v>
                </c:pt>
                <c:pt idx="141">
                  <c:v>Le Havre</c:v>
                </c:pt>
                <c:pt idx="142">
                  <c:v>Zürich</c:v>
                </c:pt>
                <c:pt idx="143">
                  <c:v>Kortrijk</c:v>
                </c:pt>
                <c:pt idx="144">
                  <c:v>Tampere</c:v>
                </c:pt>
                <c:pt idx="145">
                  <c:v>Amsterdam</c:v>
                </c:pt>
                <c:pt idx="146">
                  <c:v>Charleroi</c:v>
                </c:pt>
                <c:pt idx="147">
                  <c:v>Liège</c:v>
                </c:pt>
                <c:pt idx="148">
                  <c:v>Utrecht</c:v>
                </c:pt>
                <c:pt idx="149">
                  <c:v>Scotland: Band D</c:v>
                </c:pt>
                <c:pt idx="150">
                  <c:v>Cardiff</c:v>
                </c:pt>
                <c:pt idx="151">
                  <c:v>Turku</c:v>
                </c:pt>
                <c:pt idx="152">
                  <c:v>Copenhagen</c:v>
                </c:pt>
                <c:pt idx="153">
                  <c:v>Manchester</c:v>
                </c:pt>
                <c:pt idx="154">
                  <c:v>Vancouver</c:v>
                </c:pt>
                <c:pt idx="155">
                  <c:v>Washington D.C.</c:v>
                </c:pt>
                <c:pt idx="156">
                  <c:v>Den Haag</c:v>
                </c:pt>
                <c:pt idx="157">
                  <c:v>Bern</c:v>
                </c:pt>
                <c:pt idx="158">
                  <c:v>Scotland: Band E</c:v>
                </c:pt>
                <c:pt idx="159">
                  <c:v>Rotterdam</c:v>
                </c:pt>
                <c:pt idx="160">
                  <c:v>Aalborg</c:v>
                </c:pt>
                <c:pt idx="161">
                  <c:v>Esbjerg</c:v>
                </c:pt>
                <c:pt idx="162">
                  <c:v>Scotland: Band F</c:v>
                </c:pt>
                <c:pt idx="163">
                  <c:v>Aarhus</c:v>
                </c:pt>
                <c:pt idx="164">
                  <c:v>Odense</c:v>
                </c:pt>
                <c:pt idx="165">
                  <c:v>Scotland: Band G</c:v>
                </c:pt>
                <c:pt idx="166">
                  <c:v>Scotland: Band H</c:v>
                </c:pt>
              </c:strCache>
            </c:strRef>
          </c:cat>
          <c:val>
            <c:numRef>
              <c:f>'[1]total charges cities 100 m³ G'!$C$439:$C$605</c:f>
              <c:numCache>
                <c:formatCode>General</c:formatCode>
                <c:ptCount val="167"/>
                <c:pt idx="0">
                  <c:v>0.49788024590652696</c:v>
                </c:pt>
                <c:pt idx="1">
                  <c:v>0.48630163553660777</c:v>
                </c:pt>
                <c:pt idx="2">
                  <c:v>0.51524816146140584</c:v>
                </c:pt>
                <c:pt idx="3">
                  <c:v>0.63103426516059813</c:v>
                </c:pt>
                <c:pt idx="4">
                  <c:v>1.0594428488476098</c:v>
                </c:pt>
                <c:pt idx="5">
                  <c:v>0</c:v>
                </c:pt>
                <c:pt idx="7">
                  <c:v>31.316763301577772</c:v>
                </c:pt>
                <c:pt idx="8">
                  <c:v>29.282502737210603</c:v>
                </c:pt>
                <c:pt idx="9">
                  <c:v>21.827086157882587</c:v>
                </c:pt>
                <c:pt idx="10">
                  <c:v>0</c:v>
                </c:pt>
                <c:pt idx="11">
                  <c:v>35.531751190946544</c:v>
                </c:pt>
                <c:pt idx="12">
                  <c:v>0</c:v>
                </c:pt>
                <c:pt idx="13">
                  <c:v>0</c:v>
                </c:pt>
                <c:pt idx="14">
                  <c:v>0</c:v>
                </c:pt>
                <c:pt idx="15">
                  <c:v>14.455656819078079</c:v>
                </c:pt>
                <c:pt idx="16">
                  <c:v>33.705350827329525</c:v>
                </c:pt>
                <c:pt idx="17">
                  <c:v>21.169371910783799</c:v>
                </c:pt>
                <c:pt idx="18">
                  <c:v>0</c:v>
                </c:pt>
                <c:pt idx="19">
                  <c:v>34.686537541053276</c:v>
                </c:pt>
                <c:pt idx="20">
                  <c:v>45.021828744911225</c:v>
                </c:pt>
                <c:pt idx="21">
                  <c:v>0</c:v>
                </c:pt>
                <c:pt idx="22">
                  <c:v>43.16113549331012</c:v>
                </c:pt>
                <c:pt idx="23">
                  <c:v>0</c:v>
                </c:pt>
                <c:pt idx="24">
                  <c:v>53.749971360914437</c:v>
                </c:pt>
                <c:pt idx="25">
                  <c:v>56.722417461007744</c:v>
                </c:pt>
                <c:pt idx="26">
                  <c:v>68.494019755690388</c:v>
                </c:pt>
                <c:pt idx="27">
                  <c:v>49.055872720718554</c:v>
                </c:pt>
                <c:pt idx="28">
                  <c:v>83.444215433048953</c:v>
                </c:pt>
                <c:pt idx="29">
                  <c:v>70.573088308519104</c:v>
                </c:pt>
                <c:pt idx="30">
                  <c:v>67.209007221129553</c:v>
                </c:pt>
                <c:pt idx="31">
                  <c:v>48.656789605279521</c:v>
                </c:pt>
                <c:pt idx="32">
                  <c:v>56.235979557725756</c:v>
                </c:pt>
                <c:pt idx="33">
                  <c:v>69.340699256842356</c:v>
                </c:pt>
                <c:pt idx="34">
                  <c:v>60.589459487929091</c:v>
                </c:pt>
                <c:pt idx="35">
                  <c:v>0</c:v>
                </c:pt>
                <c:pt idx="36">
                  <c:v>73.882062279877289</c:v>
                </c:pt>
                <c:pt idx="37">
                  <c:v>47.259662472371041</c:v>
                </c:pt>
                <c:pt idx="38">
                  <c:v>74.491910082755481</c:v>
                </c:pt>
                <c:pt idx="39">
                  <c:v>71.378100336530977</c:v>
                </c:pt>
                <c:pt idx="40">
                  <c:v>1.9949139668415374</c:v>
                </c:pt>
                <c:pt idx="41">
                  <c:v>73.054767122959561</c:v>
                </c:pt>
                <c:pt idx="42">
                  <c:v>66.587623803877889</c:v>
                </c:pt>
                <c:pt idx="43">
                  <c:v>13.07</c:v>
                </c:pt>
                <c:pt idx="44">
                  <c:v>57.595384268325411</c:v>
                </c:pt>
                <c:pt idx="45">
                  <c:v>72.575719469694249</c:v>
                </c:pt>
                <c:pt idx="46">
                  <c:v>73.294290949592209</c:v>
                </c:pt>
                <c:pt idx="47">
                  <c:v>1.4296883429031018</c:v>
                </c:pt>
                <c:pt idx="48">
                  <c:v>64.671433190816657</c:v>
                </c:pt>
                <c:pt idx="49">
                  <c:v>74.986322226279867</c:v>
                </c:pt>
                <c:pt idx="50">
                  <c:v>72.3361956430616</c:v>
                </c:pt>
                <c:pt idx="51">
                  <c:v>8.3121415285064053</c:v>
                </c:pt>
                <c:pt idx="52">
                  <c:v>44.389428192933309</c:v>
                </c:pt>
                <c:pt idx="53">
                  <c:v>76.647624522449377</c:v>
                </c:pt>
                <c:pt idx="54">
                  <c:v>92.216673253571898</c:v>
                </c:pt>
                <c:pt idx="55">
                  <c:v>109.94143642438831</c:v>
                </c:pt>
                <c:pt idx="56">
                  <c:v>4.1560707642532027</c:v>
                </c:pt>
                <c:pt idx="57">
                  <c:v>74.01286242949017</c:v>
                </c:pt>
                <c:pt idx="58">
                  <c:v>61.024605294590316</c:v>
                </c:pt>
                <c:pt idx="59">
                  <c:v>86.538680512855549</c:v>
                </c:pt>
                <c:pt idx="60">
                  <c:v>60.105829690257451</c:v>
                </c:pt>
                <c:pt idx="61">
                  <c:v>84.312386974694306</c:v>
                </c:pt>
                <c:pt idx="62">
                  <c:v>84.072863148061657</c:v>
                </c:pt>
                <c:pt idx="63">
                  <c:v>95.022820441129568</c:v>
                </c:pt>
                <c:pt idx="64">
                  <c:v>95.022820441129568</c:v>
                </c:pt>
                <c:pt idx="65">
                  <c:v>76.408100695816714</c:v>
                </c:pt>
                <c:pt idx="66">
                  <c:v>80.928182074836585</c:v>
                </c:pt>
                <c:pt idx="67">
                  <c:v>85.769479306753169</c:v>
                </c:pt>
                <c:pt idx="68">
                  <c:v>56.431472191456557</c:v>
                </c:pt>
                <c:pt idx="69">
                  <c:v>7.3146845450856368</c:v>
                </c:pt>
                <c:pt idx="70">
                  <c:v>13.565414974522454</c:v>
                </c:pt>
                <c:pt idx="71">
                  <c:v>100.65</c:v>
                </c:pt>
                <c:pt idx="72">
                  <c:v>24.61615306100289</c:v>
                </c:pt>
                <c:pt idx="73">
                  <c:v>84.316576277391832</c:v>
                </c:pt>
                <c:pt idx="74">
                  <c:v>46.691423979846682</c:v>
                </c:pt>
                <c:pt idx="75">
                  <c:v>105.39048371836789</c:v>
                </c:pt>
                <c:pt idx="76">
                  <c:v>0</c:v>
                </c:pt>
                <c:pt idx="77">
                  <c:v>88.384292027449433</c:v>
                </c:pt>
                <c:pt idx="78">
                  <c:v>57.441309965904402</c:v>
                </c:pt>
                <c:pt idx="79">
                  <c:v>59.35556451703696</c:v>
                </c:pt>
                <c:pt idx="80">
                  <c:v>155.69961126674917</c:v>
                </c:pt>
                <c:pt idx="81">
                  <c:v>43.433882771950401</c:v>
                </c:pt>
                <c:pt idx="82">
                  <c:v>70.93838903728799</c:v>
                </c:pt>
                <c:pt idx="83">
                  <c:v>108.5529062573539</c:v>
                </c:pt>
                <c:pt idx="84">
                  <c:v>44.411145134319284</c:v>
                </c:pt>
                <c:pt idx="85">
                  <c:v>85.467022824505392</c:v>
                </c:pt>
                <c:pt idx="86">
                  <c:v>59.721588811431801</c:v>
                </c:pt>
                <c:pt idx="87">
                  <c:v>92.2970008903946</c:v>
                </c:pt>
                <c:pt idx="88">
                  <c:v>117.05853791062974</c:v>
                </c:pt>
                <c:pt idx="89">
                  <c:v>199.94678136987906</c:v>
                </c:pt>
                <c:pt idx="90">
                  <c:v>77.084283449518963</c:v>
                </c:pt>
                <c:pt idx="91">
                  <c:v>88.127348144287353</c:v>
                </c:pt>
                <c:pt idx="92">
                  <c:v>139.42342971515617</c:v>
                </c:pt>
                <c:pt idx="93">
                  <c:v>79.70667941973538</c:v>
                </c:pt>
                <c:pt idx="94">
                  <c:v>66.231143699139039</c:v>
                </c:pt>
                <c:pt idx="95">
                  <c:v>131.51779703346583</c:v>
                </c:pt>
                <c:pt idx="96">
                  <c:v>60.709709644493664</c:v>
                </c:pt>
                <c:pt idx="97">
                  <c:v>164.38</c:v>
                </c:pt>
                <c:pt idx="98">
                  <c:v>104.30829214954213</c:v>
                </c:pt>
                <c:pt idx="99">
                  <c:v>100.98377744478468</c:v>
                </c:pt>
                <c:pt idx="100">
                  <c:v>121.85</c:v>
                </c:pt>
                <c:pt idx="101">
                  <c:v>163.46195207983826</c:v>
                </c:pt>
                <c:pt idx="102">
                  <c:v>108.58470692987599</c:v>
                </c:pt>
                <c:pt idx="103">
                  <c:v>104.30829214954213</c:v>
                </c:pt>
                <c:pt idx="104">
                  <c:v>67.908295027012258</c:v>
                </c:pt>
                <c:pt idx="105">
                  <c:v>91.862662062675085</c:v>
                </c:pt>
                <c:pt idx="106">
                  <c:v>107.49885986057724</c:v>
                </c:pt>
                <c:pt idx="107">
                  <c:v>154.19028384042392</c:v>
                </c:pt>
                <c:pt idx="108">
                  <c:v>128.12995417725367</c:v>
                </c:pt>
                <c:pt idx="109">
                  <c:v>116.18563641496732</c:v>
                </c:pt>
                <c:pt idx="110">
                  <c:v>112.52440662280057</c:v>
                </c:pt>
                <c:pt idx="111">
                  <c:v>68.680000000000007</c:v>
                </c:pt>
                <c:pt idx="112">
                  <c:v>0</c:v>
                </c:pt>
                <c:pt idx="113">
                  <c:v>93.224834373553932</c:v>
                </c:pt>
                <c:pt idx="114">
                  <c:v>0</c:v>
                </c:pt>
                <c:pt idx="115">
                  <c:v>121.61487176146113</c:v>
                </c:pt>
                <c:pt idx="116">
                  <c:v>203.36829760896475</c:v>
                </c:pt>
                <c:pt idx="117">
                  <c:v>160.70536625621648</c:v>
                </c:pt>
                <c:pt idx="118">
                  <c:v>186.11745634072656</c:v>
                </c:pt>
                <c:pt idx="119">
                  <c:v>97.650226942037492</c:v>
                </c:pt>
                <c:pt idx="120">
                  <c:v>97.726236236888397</c:v>
                </c:pt>
                <c:pt idx="121">
                  <c:v>102.06962451408344</c:v>
                </c:pt>
                <c:pt idx="122">
                  <c:v>117.27148348426608</c:v>
                </c:pt>
                <c:pt idx="123">
                  <c:v>117.27148348426608</c:v>
                </c:pt>
                <c:pt idx="124">
                  <c:v>117.27148348426608</c:v>
                </c:pt>
                <c:pt idx="125">
                  <c:v>104.24131865268096</c:v>
                </c:pt>
                <c:pt idx="126">
                  <c:v>191.71243135297053</c:v>
                </c:pt>
                <c:pt idx="127">
                  <c:v>143.33181314743632</c:v>
                </c:pt>
                <c:pt idx="128">
                  <c:v>0</c:v>
                </c:pt>
                <c:pt idx="129">
                  <c:v>50.111842248137769</c:v>
                </c:pt>
                <c:pt idx="130">
                  <c:v>145.78132800798801</c:v>
                </c:pt>
                <c:pt idx="131">
                  <c:v>160.70536625621648</c:v>
                </c:pt>
                <c:pt idx="132">
                  <c:v>133.55918952374748</c:v>
                </c:pt>
                <c:pt idx="133">
                  <c:v>107.22739809325255</c:v>
                </c:pt>
                <c:pt idx="134">
                  <c:v>218.68690590229164</c:v>
                </c:pt>
                <c:pt idx="135">
                  <c:v>128.80678981527709</c:v>
                </c:pt>
                <c:pt idx="136">
                  <c:v>186.57431287303808</c:v>
                </c:pt>
                <c:pt idx="137">
                  <c:v>127.31366582500665</c:v>
                </c:pt>
                <c:pt idx="138">
                  <c:v>134.55000000000001</c:v>
                </c:pt>
                <c:pt idx="139">
                  <c:v>0</c:v>
                </c:pt>
                <c:pt idx="140">
                  <c:v>138.4455013355919</c:v>
                </c:pt>
                <c:pt idx="141">
                  <c:v>163.96290746411276</c:v>
                </c:pt>
                <c:pt idx="142">
                  <c:v>119.82026959560659</c:v>
                </c:pt>
                <c:pt idx="143">
                  <c:v>145.91612917236736</c:v>
                </c:pt>
                <c:pt idx="144">
                  <c:v>118.35733055356484</c:v>
                </c:pt>
                <c:pt idx="145">
                  <c:v>134.64503659304623</c:v>
                </c:pt>
                <c:pt idx="146">
                  <c:v>241.81814233283384</c:v>
                </c:pt>
                <c:pt idx="147">
                  <c:v>243.34918670054512</c:v>
                </c:pt>
                <c:pt idx="148">
                  <c:v>73.837600712315677</c:v>
                </c:pt>
                <c:pt idx="149">
                  <c:v>0</c:v>
                </c:pt>
                <c:pt idx="150">
                  <c:v>192.74924471299093</c:v>
                </c:pt>
                <c:pt idx="151">
                  <c:v>137.90257780094251</c:v>
                </c:pt>
                <c:pt idx="152">
                  <c:v>126.15037648685025</c:v>
                </c:pt>
                <c:pt idx="153">
                  <c:v>257.90288114361505</c:v>
                </c:pt>
                <c:pt idx="154">
                  <c:v>0</c:v>
                </c:pt>
                <c:pt idx="155">
                  <c:v>108.79</c:v>
                </c:pt>
                <c:pt idx="156">
                  <c:v>115.09978934566855</c:v>
                </c:pt>
                <c:pt idx="157">
                  <c:v>259.61058412381425</c:v>
                </c:pt>
                <c:pt idx="158">
                  <c:v>0</c:v>
                </c:pt>
                <c:pt idx="159">
                  <c:v>99.246422133906663</c:v>
                </c:pt>
                <c:pt idx="160">
                  <c:v>63.991851878796702</c:v>
                </c:pt>
                <c:pt idx="161">
                  <c:v>70.626750572914773</c:v>
                </c:pt>
                <c:pt idx="162">
                  <c:v>0</c:v>
                </c:pt>
                <c:pt idx="163">
                  <c:v>155.83281801316795</c:v>
                </c:pt>
                <c:pt idx="164">
                  <c:v>127.31439380160781</c:v>
                </c:pt>
                <c:pt idx="165">
                  <c:v>0</c:v>
                </c:pt>
                <c:pt idx="166">
                  <c:v>0</c:v>
                </c:pt>
              </c:numCache>
            </c:numRef>
          </c:val>
          <c:extLst>
            <c:ext xmlns:c16="http://schemas.microsoft.com/office/drawing/2014/chart" uri="{C3380CC4-5D6E-409C-BE32-E72D297353CC}">
              <c16:uniqueId val="{00000001-5E94-4221-8666-791223B4F2F3}"/>
            </c:ext>
          </c:extLst>
        </c:ser>
        <c:ser>
          <c:idx val="2"/>
          <c:order val="2"/>
          <c:tx>
            <c:strRef>
              <c:f>'[1]total charges cities 100 m³ G'!$D$438</c:f>
              <c:strCache>
                <c:ptCount val="1"/>
                <c:pt idx="0">
                  <c:v>OTHER CHARGES DRINKING WATER</c:v>
                </c:pt>
              </c:strCache>
            </c:strRef>
          </c:tx>
          <c:invertIfNegative val="0"/>
          <c:cat>
            <c:strRef>
              <c:f>'[1]total charges cities 100 m³ G'!$A$439:$A$605</c:f>
              <c:strCache>
                <c:ptCount val="167"/>
                <c:pt idx="0">
                  <c:v>Guadalajara</c:v>
                </c:pt>
                <c:pt idx="1">
                  <c:v>San Luis Potosi</c:v>
                </c:pt>
                <c:pt idx="2">
                  <c:v>Monterrey</c:v>
                </c:pt>
                <c:pt idx="3">
                  <c:v>Puebla</c:v>
                </c:pt>
                <c:pt idx="4">
                  <c:v>León, Guanajuato</c:v>
                </c:pt>
                <c:pt idx="5">
                  <c:v>Mauritius</c:v>
                </c:pt>
                <c:pt idx="6">
                  <c:v>Thailand Average</c:v>
                </c:pt>
                <c:pt idx="7">
                  <c:v>Mulonga</c:v>
                </c:pt>
                <c:pt idx="8">
                  <c:v>Kafubu</c:v>
                </c:pt>
                <c:pt idx="9">
                  <c:v>Kenya Average</c:v>
                </c:pt>
                <c:pt idx="10">
                  <c:v>Guangzhou</c:v>
                </c:pt>
                <c:pt idx="11">
                  <c:v>Lusaka</c:v>
                </c:pt>
                <c:pt idx="12">
                  <c:v>Shenzhen</c:v>
                </c:pt>
                <c:pt idx="13">
                  <c:v>Sao Paulo (SABESP)</c:v>
                </c:pt>
                <c:pt idx="14">
                  <c:v>Shanghai</c:v>
                </c:pt>
                <c:pt idx="15">
                  <c:v>Taipei</c:v>
                </c:pt>
                <c:pt idx="16">
                  <c:v>Hong Kong</c:v>
                </c:pt>
                <c:pt idx="17">
                  <c:v>Kaohsiung</c:v>
                </c:pt>
                <c:pt idx="18">
                  <c:v>Brazil Average</c:v>
                </c:pt>
                <c:pt idx="19">
                  <c:v>Russia Average</c:v>
                </c:pt>
                <c:pt idx="20">
                  <c:v>Gwangju</c:v>
                </c:pt>
                <c:pt idx="21">
                  <c:v>Tianjin</c:v>
                </c:pt>
                <c:pt idx="22">
                  <c:v>Daejeon</c:v>
                </c:pt>
                <c:pt idx="23">
                  <c:v>Beijing</c:v>
                </c:pt>
                <c:pt idx="24">
                  <c:v>Gyeounggi</c:v>
                </c:pt>
                <c:pt idx="25">
                  <c:v>NWWSC of Zambia</c:v>
                </c:pt>
                <c:pt idx="26">
                  <c:v>Entebbe</c:v>
                </c:pt>
                <c:pt idx="27">
                  <c:v>Daegu</c:v>
                </c:pt>
                <c:pt idx="28">
                  <c:v>Macao, China Average</c:v>
                </c:pt>
                <c:pt idx="29">
                  <c:v>Mbarara</c:v>
                </c:pt>
                <c:pt idx="30">
                  <c:v>Kampala</c:v>
                </c:pt>
                <c:pt idx="31">
                  <c:v>Seoul</c:v>
                </c:pt>
                <c:pt idx="32">
                  <c:v>Incheon</c:v>
                </c:pt>
                <c:pt idx="33">
                  <c:v>Jinja</c:v>
                </c:pt>
                <c:pt idx="34">
                  <c:v>Busan</c:v>
                </c:pt>
                <c:pt idx="35">
                  <c:v>Brasilia Federal District</c:v>
                </c:pt>
                <c:pt idx="36">
                  <c:v>Ulsan</c:v>
                </c:pt>
                <c:pt idx="37">
                  <c:v>Gran Santiago</c:v>
                </c:pt>
                <c:pt idx="38">
                  <c:v>Severin</c:v>
                </c:pt>
                <c:pt idx="39">
                  <c:v>Apaserv SA Valea Jiului</c:v>
                </c:pt>
                <c:pt idx="40">
                  <c:v>Nagoya</c:v>
                </c:pt>
                <c:pt idx="41">
                  <c:v>Deva</c:v>
                </c:pt>
                <c:pt idx="42">
                  <c:v>Sibiu</c:v>
                </c:pt>
                <c:pt idx="43">
                  <c:v>Miami</c:v>
                </c:pt>
                <c:pt idx="44">
                  <c:v>Concepcion</c:v>
                </c:pt>
                <c:pt idx="45">
                  <c:v>Baia Mare</c:v>
                </c:pt>
                <c:pt idx="46">
                  <c:v>Craiova</c:v>
                </c:pt>
                <c:pt idx="47">
                  <c:v>Yokohama</c:v>
                </c:pt>
                <c:pt idx="48">
                  <c:v>Giurgiu</c:v>
                </c:pt>
                <c:pt idx="49">
                  <c:v>Kaposvár</c:v>
                </c:pt>
                <c:pt idx="50">
                  <c:v>Calarasi</c:v>
                </c:pt>
                <c:pt idx="51">
                  <c:v>Osaka</c:v>
                </c:pt>
                <c:pt idx="52">
                  <c:v>Lisbon</c:v>
                </c:pt>
                <c:pt idx="53">
                  <c:v>Iasi</c:v>
                </c:pt>
                <c:pt idx="54">
                  <c:v>Resita</c:v>
                </c:pt>
                <c:pt idx="55">
                  <c:v>Bucharest</c:v>
                </c:pt>
                <c:pt idx="56">
                  <c:v>Hiroshima</c:v>
                </c:pt>
                <c:pt idx="57">
                  <c:v>Miercurea Ciuc</c:v>
                </c:pt>
                <c:pt idx="58">
                  <c:v>Thessaloniki</c:v>
                </c:pt>
                <c:pt idx="59">
                  <c:v>Bialystok</c:v>
                </c:pt>
                <c:pt idx="60">
                  <c:v>Temuco</c:v>
                </c:pt>
                <c:pt idx="61">
                  <c:v>Brasov</c:v>
                </c:pt>
                <c:pt idx="62">
                  <c:v>Suceava</c:v>
                </c:pt>
                <c:pt idx="63">
                  <c:v>Valparaiso</c:v>
                </c:pt>
                <c:pt idx="64">
                  <c:v>Vina del Mar</c:v>
                </c:pt>
                <c:pt idx="65">
                  <c:v>Medias</c:v>
                </c:pt>
                <c:pt idx="66">
                  <c:v>Porto</c:v>
                </c:pt>
                <c:pt idx="67">
                  <c:v>Miskolc</c:v>
                </c:pt>
                <c:pt idx="68">
                  <c:v>Bilbao</c:v>
                </c:pt>
                <c:pt idx="69">
                  <c:v>Tokyo</c:v>
                </c:pt>
                <c:pt idx="70">
                  <c:v>Fukuoka</c:v>
                </c:pt>
                <c:pt idx="71">
                  <c:v>Chicago</c:v>
                </c:pt>
                <c:pt idx="72">
                  <c:v>Serres</c:v>
                </c:pt>
                <c:pt idx="73">
                  <c:v>Debrecen</c:v>
                </c:pt>
                <c:pt idx="74">
                  <c:v>Madrid</c:v>
                </c:pt>
                <c:pt idx="75">
                  <c:v>Buzau</c:v>
                </c:pt>
                <c:pt idx="76">
                  <c:v>Sapporo</c:v>
                </c:pt>
                <c:pt idx="77">
                  <c:v>Constanta</c:v>
                </c:pt>
                <c:pt idx="78">
                  <c:v>Faro</c:v>
                </c:pt>
                <c:pt idx="79">
                  <c:v>Budapest</c:v>
                </c:pt>
                <c:pt idx="80">
                  <c:v>Malta Average</c:v>
                </c:pt>
                <c:pt idx="81">
                  <c:v>Igoumenitsa</c:v>
                </c:pt>
                <c:pt idx="82">
                  <c:v>Coimbra</c:v>
                </c:pt>
                <c:pt idx="83">
                  <c:v>Wroclaw</c:v>
                </c:pt>
                <c:pt idx="84">
                  <c:v>Sevilla</c:v>
                </c:pt>
                <c:pt idx="85">
                  <c:v>Loures</c:v>
                </c:pt>
                <c:pt idx="86">
                  <c:v>Braga</c:v>
                </c:pt>
                <c:pt idx="87">
                  <c:v>Alexandroupolis</c:v>
                </c:pt>
                <c:pt idx="88">
                  <c:v>Pécs</c:v>
                </c:pt>
                <c:pt idx="89">
                  <c:v>Antofagasta</c:v>
                </c:pt>
                <c:pt idx="90">
                  <c:v>Sintra</c:v>
                </c:pt>
                <c:pt idx="91">
                  <c:v>Barcelona</c:v>
                </c:pt>
                <c:pt idx="92">
                  <c:v>Bydgoszcz</c:v>
                </c:pt>
                <c:pt idx="93">
                  <c:v>Tarnow</c:v>
                </c:pt>
                <c:pt idx="94">
                  <c:v>Sendai</c:v>
                </c:pt>
                <c:pt idx="95">
                  <c:v>Athens</c:v>
                </c:pt>
                <c:pt idx="96">
                  <c:v>Valencia</c:v>
                </c:pt>
                <c:pt idx="97">
                  <c:v>Los Angeles</c:v>
                </c:pt>
                <c:pt idx="98">
                  <c:v>Saskatoon</c:v>
                </c:pt>
                <c:pt idx="99">
                  <c:v>Reims</c:v>
                </c:pt>
                <c:pt idx="100">
                  <c:v>Minneapolis</c:v>
                </c:pt>
                <c:pt idx="101">
                  <c:v>Radom</c:v>
                </c:pt>
                <c:pt idx="102">
                  <c:v>Strassbourg</c:v>
                </c:pt>
                <c:pt idx="103">
                  <c:v>Winnipeg</c:v>
                </c:pt>
                <c:pt idx="104">
                  <c:v>Durham</c:v>
                </c:pt>
                <c:pt idx="105">
                  <c:v>Paphos</c:v>
                </c:pt>
                <c:pt idx="106">
                  <c:v>Paris</c:v>
                </c:pt>
                <c:pt idx="107">
                  <c:v>Marseille</c:v>
                </c:pt>
                <c:pt idx="108">
                  <c:v>Lyon</c:v>
                </c:pt>
                <c:pt idx="109">
                  <c:v>Bordeaux</c:v>
                </c:pt>
                <c:pt idx="110">
                  <c:v>Oslo</c:v>
                </c:pt>
                <c:pt idx="111">
                  <c:v>Denver</c:v>
                </c:pt>
                <c:pt idx="112">
                  <c:v>Bergen</c:v>
                </c:pt>
                <c:pt idx="113">
                  <c:v>Trondheim</c:v>
                </c:pt>
                <c:pt idx="114">
                  <c:v>Scotland: Band A</c:v>
                </c:pt>
                <c:pt idx="115">
                  <c:v>Lille</c:v>
                </c:pt>
                <c:pt idx="116">
                  <c:v>Brussels</c:v>
                </c:pt>
                <c:pt idx="117">
                  <c:v>Nancy</c:v>
                </c:pt>
                <c:pt idx="118">
                  <c:v>London</c:v>
                </c:pt>
                <c:pt idx="119">
                  <c:v>Antwerp</c:v>
                </c:pt>
                <c:pt idx="120">
                  <c:v>Lemesos</c:v>
                </c:pt>
                <c:pt idx="121">
                  <c:v>Larnaca</c:v>
                </c:pt>
                <c:pt idx="122">
                  <c:v>Espoo</c:v>
                </c:pt>
                <c:pt idx="123">
                  <c:v>Helsinki</c:v>
                </c:pt>
                <c:pt idx="124">
                  <c:v>Vantaa</c:v>
                </c:pt>
                <c:pt idx="125">
                  <c:v>Lefkosia</c:v>
                </c:pt>
                <c:pt idx="126">
                  <c:v>Lausanne</c:v>
                </c:pt>
                <c:pt idx="127">
                  <c:v>Brest</c:v>
                </c:pt>
                <c:pt idx="128">
                  <c:v>Scotland: Band B</c:v>
                </c:pt>
                <c:pt idx="129">
                  <c:v>Eindhoven</c:v>
                </c:pt>
                <c:pt idx="130">
                  <c:v>Basel</c:v>
                </c:pt>
                <c:pt idx="131">
                  <c:v>SEDIF</c:v>
                </c:pt>
                <c:pt idx="132">
                  <c:v>Oulu</c:v>
                </c:pt>
                <c:pt idx="133">
                  <c:v>Genk</c:v>
                </c:pt>
                <c:pt idx="134">
                  <c:v>Birmingham</c:v>
                </c:pt>
                <c:pt idx="135">
                  <c:v>Geneva</c:v>
                </c:pt>
                <c:pt idx="136">
                  <c:v>Leeds</c:v>
                </c:pt>
                <c:pt idx="137">
                  <c:v>Calgary</c:v>
                </c:pt>
                <c:pt idx="138">
                  <c:v>New York</c:v>
                </c:pt>
                <c:pt idx="139">
                  <c:v>Scotland: Band C</c:v>
                </c:pt>
                <c:pt idx="140">
                  <c:v>Louvain</c:v>
                </c:pt>
                <c:pt idx="141">
                  <c:v>Le Havre</c:v>
                </c:pt>
                <c:pt idx="142">
                  <c:v>Zürich</c:v>
                </c:pt>
                <c:pt idx="143">
                  <c:v>Kortrijk</c:v>
                </c:pt>
                <c:pt idx="144">
                  <c:v>Tampere</c:v>
                </c:pt>
                <c:pt idx="145">
                  <c:v>Amsterdam</c:v>
                </c:pt>
                <c:pt idx="146">
                  <c:v>Charleroi</c:v>
                </c:pt>
                <c:pt idx="147">
                  <c:v>Liège</c:v>
                </c:pt>
                <c:pt idx="148">
                  <c:v>Utrecht</c:v>
                </c:pt>
                <c:pt idx="149">
                  <c:v>Scotland: Band D</c:v>
                </c:pt>
                <c:pt idx="150">
                  <c:v>Cardiff</c:v>
                </c:pt>
                <c:pt idx="151">
                  <c:v>Turku</c:v>
                </c:pt>
                <c:pt idx="152">
                  <c:v>Copenhagen</c:v>
                </c:pt>
                <c:pt idx="153">
                  <c:v>Manchester</c:v>
                </c:pt>
                <c:pt idx="154">
                  <c:v>Vancouver</c:v>
                </c:pt>
                <c:pt idx="155">
                  <c:v>Washington D.C.</c:v>
                </c:pt>
                <c:pt idx="156">
                  <c:v>Den Haag</c:v>
                </c:pt>
                <c:pt idx="157">
                  <c:v>Bern</c:v>
                </c:pt>
                <c:pt idx="158">
                  <c:v>Scotland: Band E</c:v>
                </c:pt>
                <c:pt idx="159">
                  <c:v>Rotterdam</c:v>
                </c:pt>
                <c:pt idx="160">
                  <c:v>Aalborg</c:v>
                </c:pt>
                <c:pt idx="161">
                  <c:v>Esbjerg</c:v>
                </c:pt>
                <c:pt idx="162">
                  <c:v>Scotland: Band F</c:v>
                </c:pt>
                <c:pt idx="163">
                  <c:v>Aarhus</c:v>
                </c:pt>
                <c:pt idx="164">
                  <c:v>Odense</c:v>
                </c:pt>
                <c:pt idx="165">
                  <c:v>Scotland: Band G</c:v>
                </c:pt>
                <c:pt idx="166">
                  <c:v>Scotland: Band H</c:v>
                </c:pt>
              </c:strCache>
            </c:strRef>
          </c:cat>
          <c:val>
            <c:numRef>
              <c:f>'[1]total charges cities 100 m³ G'!$D$439:$D$605</c:f>
              <c:numCache>
                <c:formatCode>General</c:formatCode>
                <c:ptCount val="167"/>
                <c:pt idx="0">
                  <c:v>0</c:v>
                </c:pt>
                <c:pt idx="1">
                  <c:v>0</c:v>
                </c:pt>
                <c:pt idx="2">
                  <c:v>0</c:v>
                </c:pt>
                <c:pt idx="3">
                  <c:v>0</c:v>
                </c:pt>
                <c:pt idx="4">
                  <c:v>0</c:v>
                </c:pt>
                <c:pt idx="5">
                  <c:v>0</c:v>
                </c:pt>
                <c:pt idx="7">
                  <c:v>0</c:v>
                </c:pt>
                <c:pt idx="8">
                  <c:v>0</c:v>
                </c:pt>
                <c:pt idx="9">
                  <c:v>0</c:v>
                </c:pt>
                <c:pt idx="10">
                  <c:v>0</c:v>
                </c:pt>
                <c:pt idx="11">
                  <c:v>0</c:v>
                </c:pt>
                <c:pt idx="12">
                  <c:v>0</c:v>
                </c:pt>
                <c:pt idx="13">
                  <c:v>0</c:v>
                </c:pt>
                <c:pt idx="14">
                  <c:v>0</c:v>
                </c:pt>
                <c:pt idx="15">
                  <c:v>0</c:v>
                </c:pt>
                <c:pt idx="16">
                  <c:v>0</c:v>
                </c:pt>
                <c:pt idx="17">
                  <c:v>1.0584685955391899</c:v>
                </c:pt>
                <c:pt idx="18">
                  <c:v>0</c:v>
                </c:pt>
                <c:pt idx="19">
                  <c:v>3.1097330259949025</c:v>
                </c:pt>
                <c:pt idx="20">
                  <c:v>0</c:v>
                </c:pt>
                <c:pt idx="21">
                  <c:v>21.339277627072327</c:v>
                </c:pt>
                <c:pt idx="22">
                  <c:v>0</c:v>
                </c:pt>
                <c:pt idx="23">
                  <c:v>24.10263731978673</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12.07461941060221</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19.686407366386518</c:v>
                </c:pt>
                <c:pt idx="73">
                  <c:v>0</c:v>
                </c:pt>
                <c:pt idx="74">
                  <c:v>0</c:v>
                </c:pt>
                <c:pt idx="75">
                  <c:v>0</c:v>
                </c:pt>
                <c:pt idx="76">
                  <c:v>0</c:v>
                </c:pt>
                <c:pt idx="77">
                  <c:v>0</c:v>
                </c:pt>
                <c:pt idx="78">
                  <c:v>0</c:v>
                </c:pt>
                <c:pt idx="79">
                  <c:v>0</c:v>
                </c:pt>
                <c:pt idx="80">
                  <c:v>0</c:v>
                </c:pt>
                <c:pt idx="81">
                  <c:v>34.747106217560322</c:v>
                </c:pt>
                <c:pt idx="82">
                  <c:v>0</c:v>
                </c:pt>
                <c:pt idx="83">
                  <c:v>0</c:v>
                </c:pt>
                <c:pt idx="84">
                  <c:v>0</c:v>
                </c:pt>
                <c:pt idx="85">
                  <c:v>0</c:v>
                </c:pt>
                <c:pt idx="86">
                  <c:v>0</c:v>
                </c:pt>
                <c:pt idx="87">
                  <c:v>0</c:v>
                </c:pt>
                <c:pt idx="88">
                  <c:v>0</c:v>
                </c:pt>
                <c:pt idx="89">
                  <c:v>0</c:v>
                </c:pt>
                <c:pt idx="90">
                  <c:v>0</c:v>
                </c:pt>
                <c:pt idx="91">
                  <c:v>0</c:v>
                </c:pt>
                <c:pt idx="92">
                  <c:v>0</c:v>
                </c:pt>
                <c:pt idx="93">
                  <c:v>7.014187788936713</c:v>
                </c:pt>
                <c:pt idx="94">
                  <c:v>0</c:v>
                </c:pt>
                <c:pt idx="95">
                  <c:v>0</c:v>
                </c:pt>
                <c:pt idx="96">
                  <c:v>0</c:v>
                </c:pt>
                <c:pt idx="97">
                  <c:v>0</c:v>
                </c:pt>
                <c:pt idx="98">
                  <c:v>0</c:v>
                </c:pt>
                <c:pt idx="99">
                  <c:v>47.77727104914544</c:v>
                </c:pt>
                <c:pt idx="100">
                  <c:v>0</c:v>
                </c:pt>
                <c:pt idx="101">
                  <c:v>0</c:v>
                </c:pt>
                <c:pt idx="102">
                  <c:v>43.433882771950401</c:v>
                </c:pt>
                <c:pt idx="103">
                  <c:v>0</c:v>
                </c:pt>
                <c:pt idx="104">
                  <c:v>0</c:v>
                </c:pt>
                <c:pt idx="105">
                  <c:v>0</c:v>
                </c:pt>
                <c:pt idx="106">
                  <c:v>53.206506395639238</c:v>
                </c:pt>
                <c:pt idx="107">
                  <c:v>36.918800356157838</c:v>
                </c:pt>
                <c:pt idx="108">
                  <c:v>38.004647425456596</c:v>
                </c:pt>
                <c:pt idx="109">
                  <c:v>43.433882771950401</c:v>
                </c:pt>
                <c:pt idx="110">
                  <c:v>0</c:v>
                </c:pt>
                <c:pt idx="111">
                  <c:v>0</c:v>
                </c:pt>
                <c:pt idx="112">
                  <c:v>0</c:v>
                </c:pt>
                <c:pt idx="113">
                  <c:v>20.8345089895376</c:v>
                </c:pt>
                <c:pt idx="114">
                  <c:v>186.83958440792867</c:v>
                </c:pt>
                <c:pt idx="115">
                  <c:v>48.863118118444199</c:v>
                </c:pt>
                <c:pt idx="116">
                  <c:v>0</c:v>
                </c:pt>
                <c:pt idx="117">
                  <c:v>49.948965187742957</c:v>
                </c:pt>
                <c:pt idx="118">
                  <c:v>0</c:v>
                </c:pt>
                <c:pt idx="119">
                  <c:v>0</c:v>
                </c:pt>
                <c:pt idx="120">
                  <c:v>0</c:v>
                </c:pt>
                <c:pt idx="121">
                  <c:v>0</c:v>
                </c:pt>
                <c:pt idx="122">
                  <c:v>0</c:v>
                </c:pt>
                <c:pt idx="123">
                  <c:v>0</c:v>
                </c:pt>
                <c:pt idx="124">
                  <c:v>0</c:v>
                </c:pt>
                <c:pt idx="125">
                  <c:v>0</c:v>
                </c:pt>
                <c:pt idx="126">
                  <c:v>0</c:v>
                </c:pt>
                <c:pt idx="127">
                  <c:v>41.262188633352878</c:v>
                </c:pt>
                <c:pt idx="128">
                  <c:v>217.97951514258344</c:v>
                </c:pt>
                <c:pt idx="129">
                  <c:v>0</c:v>
                </c:pt>
                <c:pt idx="130">
                  <c:v>0</c:v>
                </c:pt>
                <c:pt idx="131">
                  <c:v>52.12065932634048</c:v>
                </c:pt>
                <c:pt idx="132">
                  <c:v>0</c:v>
                </c:pt>
                <c:pt idx="133">
                  <c:v>0</c:v>
                </c:pt>
                <c:pt idx="134">
                  <c:v>0</c:v>
                </c:pt>
                <c:pt idx="135">
                  <c:v>0</c:v>
                </c:pt>
                <c:pt idx="136">
                  <c:v>0</c:v>
                </c:pt>
                <c:pt idx="137">
                  <c:v>0</c:v>
                </c:pt>
                <c:pt idx="138">
                  <c:v>0</c:v>
                </c:pt>
                <c:pt idx="139">
                  <c:v>249.11944587723823</c:v>
                </c:pt>
                <c:pt idx="140">
                  <c:v>0</c:v>
                </c:pt>
                <c:pt idx="141">
                  <c:v>56.464047603535519</c:v>
                </c:pt>
                <c:pt idx="142">
                  <c:v>0</c:v>
                </c:pt>
                <c:pt idx="143">
                  <c:v>0</c:v>
                </c:pt>
                <c:pt idx="144">
                  <c:v>0</c:v>
                </c:pt>
                <c:pt idx="145">
                  <c:v>0</c:v>
                </c:pt>
                <c:pt idx="146">
                  <c:v>0</c:v>
                </c:pt>
                <c:pt idx="147">
                  <c:v>0</c:v>
                </c:pt>
                <c:pt idx="148">
                  <c:v>0</c:v>
                </c:pt>
                <c:pt idx="149">
                  <c:v>280.259376611893</c:v>
                </c:pt>
                <c:pt idx="150">
                  <c:v>0</c:v>
                </c:pt>
                <c:pt idx="151">
                  <c:v>0</c:v>
                </c:pt>
                <c:pt idx="152">
                  <c:v>95.012913317085591</c:v>
                </c:pt>
                <c:pt idx="153">
                  <c:v>0</c:v>
                </c:pt>
                <c:pt idx="154">
                  <c:v>0</c:v>
                </c:pt>
                <c:pt idx="155">
                  <c:v>75.599999999999994</c:v>
                </c:pt>
                <c:pt idx="156">
                  <c:v>20.30534019588681</c:v>
                </c:pt>
                <c:pt idx="157">
                  <c:v>0</c:v>
                </c:pt>
                <c:pt idx="158">
                  <c:v>342.5392380812026</c:v>
                </c:pt>
                <c:pt idx="159">
                  <c:v>9.1754077355745203</c:v>
                </c:pt>
                <c:pt idx="160">
                  <c:v>95.012913317085591</c:v>
                </c:pt>
                <c:pt idx="161">
                  <c:v>95.012913317085591</c:v>
                </c:pt>
                <c:pt idx="162">
                  <c:v>404.81909955051214</c:v>
                </c:pt>
                <c:pt idx="163">
                  <c:v>95.012913317085591</c:v>
                </c:pt>
                <c:pt idx="164">
                  <c:v>95.012913317085591</c:v>
                </c:pt>
                <c:pt idx="165">
                  <c:v>467.09896101982167</c:v>
                </c:pt>
                <c:pt idx="166">
                  <c:v>560.51875322378601</c:v>
                </c:pt>
              </c:numCache>
            </c:numRef>
          </c:val>
          <c:extLst>
            <c:ext xmlns:c16="http://schemas.microsoft.com/office/drawing/2014/chart" uri="{C3380CC4-5D6E-409C-BE32-E72D297353CC}">
              <c16:uniqueId val="{00000002-5E94-4221-8666-791223B4F2F3}"/>
            </c:ext>
          </c:extLst>
        </c:ser>
        <c:ser>
          <c:idx val="3"/>
          <c:order val="3"/>
          <c:tx>
            <c:strRef>
              <c:f>'[1]total charges cities 100 m³ G'!$E$438</c:f>
              <c:strCache>
                <c:ptCount val="1"/>
                <c:pt idx="0">
                  <c:v>TOTAL CHARGE DRINKING WATER</c:v>
                </c:pt>
              </c:strCache>
            </c:strRef>
          </c:tx>
          <c:invertIfNegative val="0"/>
          <c:cat>
            <c:strRef>
              <c:f>'[1]total charges cities 100 m³ G'!$A$439:$A$605</c:f>
              <c:strCache>
                <c:ptCount val="167"/>
                <c:pt idx="0">
                  <c:v>Guadalajara</c:v>
                </c:pt>
                <c:pt idx="1">
                  <c:v>San Luis Potosi</c:v>
                </c:pt>
                <c:pt idx="2">
                  <c:v>Monterrey</c:v>
                </c:pt>
                <c:pt idx="3">
                  <c:v>Puebla</c:v>
                </c:pt>
                <c:pt idx="4">
                  <c:v>León, Guanajuato</c:v>
                </c:pt>
                <c:pt idx="5">
                  <c:v>Mauritius</c:v>
                </c:pt>
                <c:pt idx="6">
                  <c:v>Thailand Average</c:v>
                </c:pt>
                <c:pt idx="7">
                  <c:v>Mulonga</c:v>
                </c:pt>
                <c:pt idx="8">
                  <c:v>Kafubu</c:v>
                </c:pt>
                <c:pt idx="9">
                  <c:v>Kenya Average</c:v>
                </c:pt>
                <c:pt idx="10">
                  <c:v>Guangzhou</c:v>
                </c:pt>
                <c:pt idx="11">
                  <c:v>Lusaka</c:v>
                </c:pt>
                <c:pt idx="12">
                  <c:v>Shenzhen</c:v>
                </c:pt>
                <c:pt idx="13">
                  <c:v>Sao Paulo (SABESP)</c:v>
                </c:pt>
                <c:pt idx="14">
                  <c:v>Shanghai</c:v>
                </c:pt>
                <c:pt idx="15">
                  <c:v>Taipei</c:v>
                </c:pt>
                <c:pt idx="16">
                  <c:v>Hong Kong</c:v>
                </c:pt>
                <c:pt idx="17">
                  <c:v>Kaohsiung</c:v>
                </c:pt>
                <c:pt idx="18">
                  <c:v>Brazil Average</c:v>
                </c:pt>
                <c:pt idx="19">
                  <c:v>Russia Average</c:v>
                </c:pt>
                <c:pt idx="20">
                  <c:v>Gwangju</c:v>
                </c:pt>
                <c:pt idx="21">
                  <c:v>Tianjin</c:v>
                </c:pt>
                <c:pt idx="22">
                  <c:v>Daejeon</c:v>
                </c:pt>
                <c:pt idx="23">
                  <c:v>Beijing</c:v>
                </c:pt>
                <c:pt idx="24">
                  <c:v>Gyeounggi</c:v>
                </c:pt>
                <c:pt idx="25">
                  <c:v>NWWSC of Zambia</c:v>
                </c:pt>
                <c:pt idx="26">
                  <c:v>Entebbe</c:v>
                </c:pt>
                <c:pt idx="27">
                  <c:v>Daegu</c:v>
                </c:pt>
                <c:pt idx="28">
                  <c:v>Macao, China Average</c:v>
                </c:pt>
                <c:pt idx="29">
                  <c:v>Mbarara</c:v>
                </c:pt>
                <c:pt idx="30">
                  <c:v>Kampala</c:v>
                </c:pt>
                <c:pt idx="31">
                  <c:v>Seoul</c:v>
                </c:pt>
                <c:pt idx="32">
                  <c:v>Incheon</c:v>
                </c:pt>
                <c:pt idx="33">
                  <c:v>Jinja</c:v>
                </c:pt>
                <c:pt idx="34">
                  <c:v>Busan</c:v>
                </c:pt>
                <c:pt idx="35">
                  <c:v>Brasilia Federal District</c:v>
                </c:pt>
                <c:pt idx="36">
                  <c:v>Ulsan</c:v>
                </c:pt>
                <c:pt idx="37">
                  <c:v>Gran Santiago</c:v>
                </c:pt>
                <c:pt idx="38">
                  <c:v>Severin</c:v>
                </c:pt>
                <c:pt idx="39">
                  <c:v>Apaserv SA Valea Jiului</c:v>
                </c:pt>
                <c:pt idx="40">
                  <c:v>Nagoya</c:v>
                </c:pt>
                <c:pt idx="41">
                  <c:v>Deva</c:v>
                </c:pt>
                <c:pt idx="42">
                  <c:v>Sibiu</c:v>
                </c:pt>
                <c:pt idx="43">
                  <c:v>Miami</c:v>
                </c:pt>
                <c:pt idx="44">
                  <c:v>Concepcion</c:v>
                </c:pt>
                <c:pt idx="45">
                  <c:v>Baia Mare</c:v>
                </c:pt>
                <c:pt idx="46">
                  <c:v>Craiova</c:v>
                </c:pt>
                <c:pt idx="47">
                  <c:v>Yokohama</c:v>
                </c:pt>
                <c:pt idx="48">
                  <c:v>Giurgiu</c:v>
                </c:pt>
                <c:pt idx="49">
                  <c:v>Kaposvár</c:v>
                </c:pt>
                <c:pt idx="50">
                  <c:v>Calarasi</c:v>
                </c:pt>
                <c:pt idx="51">
                  <c:v>Osaka</c:v>
                </c:pt>
                <c:pt idx="52">
                  <c:v>Lisbon</c:v>
                </c:pt>
                <c:pt idx="53">
                  <c:v>Iasi</c:v>
                </c:pt>
                <c:pt idx="54">
                  <c:v>Resita</c:v>
                </c:pt>
                <c:pt idx="55">
                  <c:v>Bucharest</c:v>
                </c:pt>
                <c:pt idx="56">
                  <c:v>Hiroshima</c:v>
                </c:pt>
                <c:pt idx="57">
                  <c:v>Miercurea Ciuc</c:v>
                </c:pt>
                <c:pt idx="58">
                  <c:v>Thessaloniki</c:v>
                </c:pt>
                <c:pt idx="59">
                  <c:v>Bialystok</c:v>
                </c:pt>
                <c:pt idx="60">
                  <c:v>Temuco</c:v>
                </c:pt>
                <c:pt idx="61">
                  <c:v>Brasov</c:v>
                </c:pt>
                <c:pt idx="62">
                  <c:v>Suceava</c:v>
                </c:pt>
                <c:pt idx="63">
                  <c:v>Valparaiso</c:v>
                </c:pt>
                <c:pt idx="64">
                  <c:v>Vina del Mar</c:v>
                </c:pt>
                <c:pt idx="65">
                  <c:v>Medias</c:v>
                </c:pt>
                <c:pt idx="66">
                  <c:v>Porto</c:v>
                </c:pt>
                <c:pt idx="67">
                  <c:v>Miskolc</c:v>
                </c:pt>
                <c:pt idx="68">
                  <c:v>Bilbao</c:v>
                </c:pt>
                <c:pt idx="69">
                  <c:v>Tokyo</c:v>
                </c:pt>
                <c:pt idx="70">
                  <c:v>Fukuoka</c:v>
                </c:pt>
                <c:pt idx="71">
                  <c:v>Chicago</c:v>
                </c:pt>
                <c:pt idx="72">
                  <c:v>Serres</c:v>
                </c:pt>
                <c:pt idx="73">
                  <c:v>Debrecen</c:v>
                </c:pt>
                <c:pt idx="74">
                  <c:v>Madrid</c:v>
                </c:pt>
                <c:pt idx="75">
                  <c:v>Buzau</c:v>
                </c:pt>
                <c:pt idx="76">
                  <c:v>Sapporo</c:v>
                </c:pt>
                <c:pt idx="77">
                  <c:v>Constanta</c:v>
                </c:pt>
                <c:pt idx="78">
                  <c:v>Faro</c:v>
                </c:pt>
                <c:pt idx="79">
                  <c:v>Budapest</c:v>
                </c:pt>
                <c:pt idx="80">
                  <c:v>Malta Average</c:v>
                </c:pt>
                <c:pt idx="81">
                  <c:v>Igoumenitsa</c:v>
                </c:pt>
                <c:pt idx="82">
                  <c:v>Coimbra</c:v>
                </c:pt>
                <c:pt idx="83">
                  <c:v>Wroclaw</c:v>
                </c:pt>
                <c:pt idx="84">
                  <c:v>Sevilla</c:v>
                </c:pt>
                <c:pt idx="85">
                  <c:v>Loures</c:v>
                </c:pt>
                <c:pt idx="86">
                  <c:v>Braga</c:v>
                </c:pt>
                <c:pt idx="87">
                  <c:v>Alexandroupolis</c:v>
                </c:pt>
                <c:pt idx="88">
                  <c:v>Pécs</c:v>
                </c:pt>
                <c:pt idx="89">
                  <c:v>Antofagasta</c:v>
                </c:pt>
                <c:pt idx="90">
                  <c:v>Sintra</c:v>
                </c:pt>
                <c:pt idx="91">
                  <c:v>Barcelona</c:v>
                </c:pt>
                <c:pt idx="92">
                  <c:v>Bydgoszcz</c:v>
                </c:pt>
                <c:pt idx="93">
                  <c:v>Tarnow</c:v>
                </c:pt>
                <c:pt idx="94">
                  <c:v>Sendai</c:v>
                </c:pt>
                <c:pt idx="95">
                  <c:v>Athens</c:v>
                </c:pt>
                <c:pt idx="96">
                  <c:v>Valencia</c:v>
                </c:pt>
                <c:pt idx="97">
                  <c:v>Los Angeles</c:v>
                </c:pt>
                <c:pt idx="98">
                  <c:v>Saskatoon</c:v>
                </c:pt>
                <c:pt idx="99">
                  <c:v>Reims</c:v>
                </c:pt>
                <c:pt idx="100">
                  <c:v>Minneapolis</c:v>
                </c:pt>
                <c:pt idx="101">
                  <c:v>Radom</c:v>
                </c:pt>
                <c:pt idx="102">
                  <c:v>Strassbourg</c:v>
                </c:pt>
                <c:pt idx="103">
                  <c:v>Winnipeg</c:v>
                </c:pt>
                <c:pt idx="104">
                  <c:v>Durham</c:v>
                </c:pt>
                <c:pt idx="105">
                  <c:v>Paphos</c:v>
                </c:pt>
                <c:pt idx="106">
                  <c:v>Paris</c:v>
                </c:pt>
                <c:pt idx="107">
                  <c:v>Marseille</c:v>
                </c:pt>
                <c:pt idx="108">
                  <c:v>Lyon</c:v>
                </c:pt>
                <c:pt idx="109">
                  <c:v>Bordeaux</c:v>
                </c:pt>
                <c:pt idx="110">
                  <c:v>Oslo</c:v>
                </c:pt>
                <c:pt idx="111">
                  <c:v>Denver</c:v>
                </c:pt>
                <c:pt idx="112">
                  <c:v>Bergen</c:v>
                </c:pt>
                <c:pt idx="113">
                  <c:v>Trondheim</c:v>
                </c:pt>
                <c:pt idx="114">
                  <c:v>Scotland: Band A</c:v>
                </c:pt>
                <c:pt idx="115">
                  <c:v>Lille</c:v>
                </c:pt>
                <c:pt idx="116">
                  <c:v>Brussels</c:v>
                </c:pt>
                <c:pt idx="117">
                  <c:v>Nancy</c:v>
                </c:pt>
                <c:pt idx="118">
                  <c:v>London</c:v>
                </c:pt>
                <c:pt idx="119">
                  <c:v>Antwerp</c:v>
                </c:pt>
                <c:pt idx="120">
                  <c:v>Lemesos</c:v>
                </c:pt>
                <c:pt idx="121">
                  <c:v>Larnaca</c:v>
                </c:pt>
                <c:pt idx="122">
                  <c:v>Espoo</c:v>
                </c:pt>
                <c:pt idx="123">
                  <c:v>Helsinki</c:v>
                </c:pt>
                <c:pt idx="124">
                  <c:v>Vantaa</c:v>
                </c:pt>
                <c:pt idx="125">
                  <c:v>Lefkosia</c:v>
                </c:pt>
                <c:pt idx="126">
                  <c:v>Lausanne</c:v>
                </c:pt>
                <c:pt idx="127">
                  <c:v>Brest</c:v>
                </c:pt>
                <c:pt idx="128">
                  <c:v>Scotland: Band B</c:v>
                </c:pt>
                <c:pt idx="129">
                  <c:v>Eindhoven</c:v>
                </c:pt>
                <c:pt idx="130">
                  <c:v>Basel</c:v>
                </c:pt>
                <c:pt idx="131">
                  <c:v>SEDIF</c:v>
                </c:pt>
                <c:pt idx="132">
                  <c:v>Oulu</c:v>
                </c:pt>
                <c:pt idx="133">
                  <c:v>Genk</c:v>
                </c:pt>
                <c:pt idx="134">
                  <c:v>Birmingham</c:v>
                </c:pt>
                <c:pt idx="135">
                  <c:v>Geneva</c:v>
                </c:pt>
                <c:pt idx="136">
                  <c:v>Leeds</c:v>
                </c:pt>
                <c:pt idx="137">
                  <c:v>Calgary</c:v>
                </c:pt>
                <c:pt idx="138">
                  <c:v>New York</c:v>
                </c:pt>
                <c:pt idx="139">
                  <c:v>Scotland: Band C</c:v>
                </c:pt>
                <c:pt idx="140">
                  <c:v>Louvain</c:v>
                </c:pt>
                <c:pt idx="141">
                  <c:v>Le Havre</c:v>
                </c:pt>
                <c:pt idx="142">
                  <c:v>Zürich</c:v>
                </c:pt>
                <c:pt idx="143">
                  <c:v>Kortrijk</c:v>
                </c:pt>
                <c:pt idx="144">
                  <c:v>Tampere</c:v>
                </c:pt>
                <c:pt idx="145">
                  <c:v>Amsterdam</c:v>
                </c:pt>
                <c:pt idx="146">
                  <c:v>Charleroi</c:v>
                </c:pt>
                <c:pt idx="147">
                  <c:v>Liège</c:v>
                </c:pt>
                <c:pt idx="148">
                  <c:v>Utrecht</c:v>
                </c:pt>
                <c:pt idx="149">
                  <c:v>Scotland: Band D</c:v>
                </c:pt>
                <c:pt idx="150">
                  <c:v>Cardiff</c:v>
                </c:pt>
                <c:pt idx="151">
                  <c:v>Turku</c:v>
                </c:pt>
                <c:pt idx="152">
                  <c:v>Copenhagen</c:v>
                </c:pt>
                <c:pt idx="153">
                  <c:v>Manchester</c:v>
                </c:pt>
                <c:pt idx="154">
                  <c:v>Vancouver</c:v>
                </c:pt>
                <c:pt idx="155">
                  <c:v>Washington D.C.</c:v>
                </c:pt>
                <c:pt idx="156">
                  <c:v>Den Haag</c:v>
                </c:pt>
                <c:pt idx="157">
                  <c:v>Bern</c:v>
                </c:pt>
                <c:pt idx="158">
                  <c:v>Scotland: Band E</c:v>
                </c:pt>
                <c:pt idx="159">
                  <c:v>Rotterdam</c:v>
                </c:pt>
                <c:pt idx="160">
                  <c:v>Aalborg</c:v>
                </c:pt>
                <c:pt idx="161">
                  <c:v>Esbjerg</c:v>
                </c:pt>
                <c:pt idx="162">
                  <c:v>Scotland: Band F</c:v>
                </c:pt>
                <c:pt idx="163">
                  <c:v>Aarhus</c:v>
                </c:pt>
                <c:pt idx="164">
                  <c:v>Odense</c:v>
                </c:pt>
                <c:pt idx="165">
                  <c:v>Scotland: Band G</c:v>
                </c:pt>
                <c:pt idx="166">
                  <c:v>Scotland: Band H</c:v>
                </c:pt>
              </c:strCache>
            </c:strRef>
          </c:cat>
          <c:val>
            <c:numRef>
              <c:f>'[1]total charges cities 100 m³ G'!$E$439:$E$605</c:f>
              <c:numCache>
                <c:formatCode>General</c:formatCode>
                <c:ptCount val="167"/>
                <c:pt idx="6">
                  <c:v>28.826008854986998</c:v>
                </c:pt>
              </c:numCache>
            </c:numRef>
          </c:val>
          <c:extLst>
            <c:ext xmlns:c16="http://schemas.microsoft.com/office/drawing/2014/chart" uri="{C3380CC4-5D6E-409C-BE32-E72D297353CC}">
              <c16:uniqueId val="{00000003-5E94-4221-8666-791223B4F2F3}"/>
            </c:ext>
          </c:extLst>
        </c:ser>
        <c:ser>
          <c:idx val="4"/>
          <c:order val="4"/>
          <c:tx>
            <c:strRef>
              <c:f>'[1]total charges cities 100 m³ G'!$F$438</c:f>
              <c:strCache>
                <c:ptCount val="1"/>
                <c:pt idx="0">
                  <c:v>ENVIRONMENTAL CHARGES</c:v>
                </c:pt>
              </c:strCache>
            </c:strRef>
          </c:tx>
          <c:invertIfNegative val="0"/>
          <c:cat>
            <c:strRef>
              <c:f>'[1]total charges cities 100 m³ G'!$A$439:$A$605</c:f>
              <c:strCache>
                <c:ptCount val="167"/>
                <c:pt idx="0">
                  <c:v>Guadalajara</c:v>
                </c:pt>
                <c:pt idx="1">
                  <c:v>San Luis Potosi</c:v>
                </c:pt>
                <c:pt idx="2">
                  <c:v>Monterrey</c:v>
                </c:pt>
                <c:pt idx="3">
                  <c:v>Puebla</c:v>
                </c:pt>
                <c:pt idx="4">
                  <c:v>León, Guanajuato</c:v>
                </c:pt>
                <c:pt idx="5">
                  <c:v>Mauritius</c:v>
                </c:pt>
                <c:pt idx="6">
                  <c:v>Thailand Average</c:v>
                </c:pt>
                <c:pt idx="7">
                  <c:v>Mulonga</c:v>
                </c:pt>
                <c:pt idx="8">
                  <c:v>Kafubu</c:v>
                </c:pt>
                <c:pt idx="9">
                  <c:v>Kenya Average</c:v>
                </c:pt>
                <c:pt idx="10">
                  <c:v>Guangzhou</c:v>
                </c:pt>
                <c:pt idx="11">
                  <c:v>Lusaka</c:v>
                </c:pt>
                <c:pt idx="12">
                  <c:v>Shenzhen</c:v>
                </c:pt>
                <c:pt idx="13">
                  <c:v>Sao Paulo (SABESP)</c:v>
                </c:pt>
                <c:pt idx="14">
                  <c:v>Shanghai</c:v>
                </c:pt>
                <c:pt idx="15">
                  <c:v>Taipei</c:v>
                </c:pt>
                <c:pt idx="16">
                  <c:v>Hong Kong</c:v>
                </c:pt>
                <c:pt idx="17">
                  <c:v>Kaohsiung</c:v>
                </c:pt>
                <c:pt idx="18">
                  <c:v>Brazil Average</c:v>
                </c:pt>
                <c:pt idx="19">
                  <c:v>Russia Average</c:v>
                </c:pt>
                <c:pt idx="20">
                  <c:v>Gwangju</c:v>
                </c:pt>
                <c:pt idx="21">
                  <c:v>Tianjin</c:v>
                </c:pt>
                <c:pt idx="22">
                  <c:v>Daejeon</c:v>
                </c:pt>
                <c:pt idx="23">
                  <c:v>Beijing</c:v>
                </c:pt>
                <c:pt idx="24">
                  <c:v>Gyeounggi</c:v>
                </c:pt>
                <c:pt idx="25">
                  <c:v>NWWSC of Zambia</c:v>
                </c:pt>
                <c:pt idx="26">
                  <c:v>Entebbe</c:v>
                </c:pt>
                <c:pt idx="27">
                  <c:v>Daegu</c:v>
                </c:pt>
                <c:pt idx="28">
                  <c:v>Macao, China Average</c:v>
                </c:pt>
                <c:pt idx="29">
                  <c:v>Mbarara</c:v>
                </c:pt>
                <c:pt idx="30">
                  <c:v>Kampala</c:v>
                </c:pt>
                <c:pt idx="31">
                  <c:v>Seoul</c:v>
                </c:pt>
                <c:pt idx="32">
                  <c:v>Incheon</c:v>
                </c:pt>
                <c:pt idx="33">
                  <c:v>Jinja</c:v>
                </c:pt>
                <c:pt idx="34">
                  <c:v>Busan</c:v>
                </c:pt>
                <c:pt idx="35">
                  <c:v>Brasilia Federal District</c:v>
                </c:pt>
                <c:pt idx="36">
                  <c:v>Ulsan</c:v>
                </c:pt>
                <c:pt idx="37">
                  <c:v>Gran Santiago</c:v>
                </c:pt>
                <c:pt idx="38">
                  <c:v>Severin</c:v>
                </c:pt>
                <c:pt idx="39">
                  <c:v>Apaserv SA Valea Jiului</c:v>
                </c:pt>
                <c:pt idx="40">
                  <c:v>Nagoya</c:v>
                </c:pt>
                <c:pt idx="41">
                  <c:v>Deva</c:v>
                </c:pt>
                <c:pt idx="42">
                  <c:v>Sibiu</c:v>
                </c:pt>
                <c:pt idx="43">
                  <c:v>Miami</c:v>
                </c:pt>
                <c:pt idx="44">
                  <c:v>Concepcion</c:v>
                </c:pt>
                <c:pt idx="45">
                  <c:v>Baia Mare</c:v>
                </c:pt>
                <c:pt idx="46">
                  <c:v>Craiova</c:v>
                </c:pt>
                <c:pt idx="47">
                  <c:v>Yokohama</c:v>
                </c:pt>
                <c:pt idx="48">
                  <c:v>Giurgiu</c:v>
                </c:pt>
                <c:pt idx="49">
                  <c:v>Kaposvár</c:v>
                </c:pt>
                <c:pt idx="50">
                  <c:v>Calarasi</c:v>
                </c:pt>
                <c:pt idx="51">
                  <c:v>Osaka</c:v>
                </c:pt>
                <c:pt idx="52">
                  <c:v>Lisbon</c:v>
                </c:pt>
                <c:pt idx="53">
                  <c:v>Iasi</c:v>
                </c:pt>
                <c:pt idx="54">
                  <c:v>Resita</c:v>
                </c:pt>
                <c:pt idx="55">
                  <c:v>Bucharest</c:v>
                </c:pt>
                <c:pt idx="56">
                  <c:v>Hiroshima</c:v>
                </c:pt>
                <c:pt idx="57">
                  <c:v>Miercurea Ciuc</c:v>
                </c:pt>
                <c:pt idx="58">
                  <c:v>Thessaloniki</c:v>
                </c:pt>
                <c:pt idx="59">
                  <c:v>Bialystok</c:v>
                </c:pt>
                <c:pt idx="60">
                  <c:v>Temuco</c:v>
                </c:pt>
                <c:pt idx="61">
                  <c:v>Brasov</c:v>
                </c:pt>
                <c:pt idx="62">
                  <c:v>Suceava</c:v>
                </c:pt>
                <c:pt idx="63">
                  <c:v>Valparaiso</c:v>
                </c:pt>
                <c:pt idx="64">
                  <c:v>Vina del Mar</c:v>
                </c:pt>
                <c:pt idx="65">
                  <c:v>Medias</c:v>
                </c:pt>
                <c:pt idx="66">
                  <c:v>Porto</c:v>
                </c:pt>
                <c:pt idx="67">
                  <c:v>Miskolc</c:v>
                </c:pt>
                <c:pt idx="68">
                  <c:v>Bilbao</c:v>
                </c:pt>
                <c:pt idx="69">
                  <c:v>Tokyo</c:v>
                </c:pt>
                <c:pt idx="70">
                  <c:v>Fukuoka</c:v>
                </c:pt>
                <c:pt idx="71">
                  <c:v>Chicago</c:v>
                </c:pt>
                <c:pt idx="72">
                  <c:v>Serres</c:v>
                </c:pt>
                <c:pt idx="73">
                  <c:v>Debrecen</c:v>
                </c:pt>
                <c:pt idx="74">
                  <c:v>Madrid</c:v>
                </c:pt>
                <c:pt idx="75">
                  <c:v>Buzau</c:v>
                </c:pt>
                <c:pt idx="76">
                  <c:v>Sapporo</c:v>
                </c:pt>
                <c:pt idx="77">
                  <c:v>Constanta</c:v>
                </c:pt>
                <c:pt idx="78">
                  <c:v>Faro</c:v>
                </c:pt>
                <c:pt idx="79">
                  <c:v>Budapest</c:v>
                </c:pt>
                <c:pt idx="80">
                  <c:v>Malta Average</c:v>
                </c:pt>
                <c:pt idx="81">
                  <c:v>Igoumenitsa</c:v>
                </c:pt>
                <c:pt idx="82">
                  <c:v>Coimbra</c:v>
                </c:pt>
                <c:pt idx="83">
                  <c:v>Wroclaw</c:v>
                </c:pt>
                <c:pt idx="84">
                  <c:v>Sevilla</c:v>
                </c:pt>
                <c:pt idx="85">
                  <c:v>Loures</c:v>
                </c:pt>
                <c:pt idx="86">
                  <c:v>Braga</c:v>
                </c:pt>
                <c:pt idx="87">
                  <c:v>Alexandroupolis</c:v>
                </c:pt>
                <c:pt idx="88">
                  <c:v>Pécs</c:v>
                </c:pt>
                <c:pt idx="89">
                  <c:v>Antofagasta</c:v>
                </c:pt>
                <c:pt idx="90">
                  <c:v>Sintra</c:v>
                </c:pt>
                <c:pt idx="91">
                  <c:v>Barcelona</c:v>
                </c:pt>
                <c:pt idx="92">
                  <c:v>Bydgoszcz</c:v>
                </c:pt>
                <c:pt idx="93">
                  <c:v>Tarnow</c:v>
                </c:pt>
                <c:pt idx="94">
                  <c:v>Sendai</c:v>
                </c:pt>
                <c:pt idx="95">
                  <c:v>Athens</c:v>
                </c:pt>
                <c:pt idx="96">
                  <c:v>Valencia</c:v>
                </c:pt>
                <c:pt idx="97">
                  <c:v>Los Angeles</c:v>
                </c:pt>
                <c:pt idx="98">
                  <c:v>Saskatoon</c:v>
                </c:pt>
                <c:pt idx="99">
                  <c:v>Reims</c:v>
                </c:pt>
                <c:pt idx="100">
                  <c:v>Minneapolis</c:v>
                </c:pt>
                <c:pt idx="101">
                  <c:v>Radom</c:v>
                </c:pt>
                <c:pt idx="102">
                  <c:v>Strassbourg</c:v>
                </c:pt>
                <c:pt idx="103">
                  <c:v>Winnipeg</c:v>
                </c:pt>
                <c:pt idx="104">
                  <c:v>Durham</c:v>
                </c:pt>
                <c:pt idx="105">
                  <c:v>Paphos</c:v>
                </c:pt>
                <c:pt idx="106">
                  <c:v>Paris</c:v>
                </c:pt>
                <c:pt idx="107">
                  <c:v>Marseille</c:v>
                </c:pt>
                <c:pt idx="108">
                  <c:v>Lyon</c:v>
                </c:pt>
                <c:pt idx="109">
                  <c:v>Bordeaux</c:v>
                </c:pt>
                <c:pt idx="110">
                  <c:v>Oslo</c:v>
                </c:pt>
                <c:pt idx="111">
                  <c:v>Denver</c:v>
                </c:pt>
                <c:pt idx="112">
                  <c:v>Bergen</c:v>
                </c:pt>
                <c:pt idx="113">
                  <c:v>Trondheim</c:v>
                </c:pt>
                <c:pt idx="114">
                  <c:v>Scotland: Band A</c:v>
                </c:pt>
                <c:pt idx="115">
                  <c:v>Lille</c:v>
                </c:pt>
                <c:pt idx="116">
                  <c:v>Brussels</c:v>
                </c:pt>
                <c:pt idx="117">
                  <c:v>Nancy</c:v>
                </c:pt>
                <c:pt idx="118">
                  <c:v>London</c:v>
                </c:pt>
                <c:pt idx="119">
                  <c:v>Antwerp</c:v>
                </c:pt>
                <c:pt idx="120">
                  <c:v>Lemesos</c:v>
                </c:pt>
                <c:pt idx="121">
                  <c:v>Larnaca</c:v>
                </c:pt>
                <c:pt idx="122">
                  <c:v>Espoo</c:v>
                </c:pt>
                <c:pt idx="123">
                  <c:v>Helsinki</c:v>
                </c:pt>
                <c:pt idx="124">
                  <c:v>Vantaa</c:v>
                </c:pt>
                <c:pt idx="125">
                  <c:v>Lefkosia</c:v>
                </c:pt>
                <c:pt idx="126">
                  <c:v>Lausanne</c:v>
                </c:pt>
                <c:pt idx="127">
                  <c:v>Brest</c:v>
                </c:pt>
                <c:pt idx="128">
                  <c:v>Scotland: Band B</c:v>
                </c:pt>
                <c:pt idx="129">
                  <c:v>Eindhoven</c:v>
                </c:pt>
                <c:pt idx="130">
                  <c:v>Basel</c:v>
                </c:pt>
                <c:pt idx="131">
                  <c:v>SEDIF</c:v>
                </c:pt>
                <c:pt idx="132">
                  <c:v>Oulu</c:v>
                </c:pt>
                <c:pt idx="133">
                  <c:v>Genk</c:v>
                </c:pt>
                <c:pt idx="134">
                  <c:v>Birmingham</c:v>
                </c:pt>
                <c:pt idx="135">
                  <c:v>Geneva</c:v>
                </c:pt>
                <c:pt idx="136">
                  <c:v>Leeds</c:v>
                </c:pt>
                <c:pt idx="137">
                  <c:v>Calgary</c:v>
                </c:pt>
                <c:pt idx="138">
                  <c:v>New York</c:v>
                </c:pt>
                <c:pt idx="139">
                  <c:v>Scotland: Band C</c:v>
                </c:pt>
                <c:pt idx="140">
                  <c:v>Louvain</c:v>
                </c:pt>
                <c:pt idx="141">
                  <c:v>Le Havre</c:v>
                </c:pt>
                <c:pt idx="142">
                  <c:v>Zürich</c:v>
                </c:pt>
                <c:pt idx="143">
                  <c:v>Kortrijk</c:v>
                </c:pt>
                <c:pt idx="144">
                  <c:v>Tampere</c:v>
                </c:pt>
                <c:pt idx="145">
                  <c:v>Amsterdam</c:v>
                </c:pt>
                <c:pt idx="146">
                  <c:v>Charleroi</c:v>
                </c:pt>
                <c:pt idx="147">
                  <c:v>Liège</c:v>
                </c:pt>
                <c:pt idx="148">
                  <c:v>Utrecht</c:v>
                </c:pt>
                <c:pt idx="149">
                  <c:v>Scotland: Band D</c:v>
                </c:pt>
                <c:pt idx="150">
                  <c:v>Cardiff</c:v>
                </c:pt>
                <c:pt idx="151">
                  <c:v>Turku</c:v>
                </c:pt>
                <c:pt idx="152">
                  <c:v>Copenhagen</c:v>
                </c:pt>
                <c:pt idx="153">
                  <c:v>Manchester</c:v>
                </c:pt>
                <c:pt idx="154">
                  <c:v>Vancouver</c:v>
                </c:pt>
                <c:pt idx="155">
                  <c:v>Washington D.C.</c:v>
                </c:pt>
                <c:pt idx="156">
                  <c:v>Den Haag</c:v>
                </c:pt>
                <c:pt idx="157">
                  <c:v>Bern</c:v>
                </c:pt>
                <c:pt idx="158">
                  <c:v>Scotland: Band E</c:v>
                </c:pt>
                <c:pt idx="159">
                  <c:v>Rotterdam</c:v>
                </c:pt>
                <c:pt idx="160">
                  <c:v>Aalborg</c:v>
                </c:pt>
                <c:pt idx="161">
                  <c:v>Esbjerg</c:v>
                </c:pt>
                <c:pt idx="162">
                  <c:v>Scotland: Band F</c:v>
                </c:pt>
                <c:pt idx="163">
                  <c:v>Aarhus</c:v>
                </c:pt>
                <c:pt idx="164">
                  <c:v>Odense</c:v>
                </c:pt>
                <c:pt idx="165">
                  <c:v>Scotland: Band G</c:v>
                </c:pt>
                <c:pt idx="166">
                  <c:v>Scotland: Band H</c:v>
                </c:pt>
              </c:strCache>
            </c:strRef>
          </c:cat>
          <c:val>
            <c:numRef>
              <c:f>'[1]total charges cities 100 m³ G'!$F$439:$F$605</c:f>
              <c:numCache>
                <c:formatCode>General</c:formatCode>
                <c:ptCount val="167"/>
                <c:pt idx="0">
                  <c:v>2.3157220739838467E-2</c:v>
                </c:pt>
                <c:pt idx="1">
                  <c:v>0.17367915554878849</c:v>
                </c:pt>
                <c:pt idx="2">
                  <c:v>0.13315401925407117</c:v>
                </c:pt>
                <c:pt idx="3">
                  <c:v>0.19683637628862694</c:v>
                </c:pt>
                <c:pt idx="4">
                  <c:v>0.13894332443903079</c:v>
                </c:pt>
                <c:pt idx="5">
                  <c:v>18.494199005910477</c:v>
                </c:pt>
                <c:pt idx="6">
                  <c:v>9.2887187155787689</c:v>
                </c:pt>
                <c:pt idx="7">
                  <c:v>7.0448703633551011</c:v>
                </c:pt>
                <c:pt idx="8">
                  <c:v>9.5167229780128064</c:v>
                </c:pt>
                <c:pt idx="9">
                  <c:v>16.370314618411943</c:v>
                </c:pt>
                <c:pt idx="10">
                  <c:v>13.81679846357201</c:v>
                </c:pt>
                <c:pt idx="11">
                  <c:v>11.465996656579748</c:v>
                </c:pt>
                <c:pt idx="12">
                  <c:v>13.81679846357201</c:v>
                </c:pt>
                <c:pt idx="13">
                  <c:v>0</c:v>
                </c:pt>
                <c:pt idx="14">
                  <c:v>26.098397097858243</c:v>
                </c:pt>
                <c:pt idx="15">
                  <c:v>15.725819133725109</c:v>
                </c:pt>
                <c:pt idx="16">
                  <c:v>27.907742405107246</c:v>
                </c:pt>
                <c:pt idx="17">
                  <c:v>27.217763885293458</c:v>
                </c:pt>
                <c:pt idx="18">
                  <c:v>0</c:v>
                </c:pt>
                <c:pt idx="19">
                  <c:v>35.220808853889402</c:v>
                </c:pt>
                <c:pt idx="20">
                  <c:v>29.769397405170061</c:v>
                </c:pt>
                <c:pt idx="21">
                  <c:v>13.81679846357201</c:v>
                </c:pt>
                <c:pt idx="22">
                  <c:v>32.613817826675039</c:v>
                </c:pt>
                <c:pt idx="23">
                  <c:v>20.878717678286595</c:v>
                </c:pt>
                <c:pt idx="24">
                  <c:v>26.225098738755008</c:v>
                </c:pt>
                <c:pt idx="25">
                  <c:v>22.693306740273748</c:v>
                </c:pt>
                <c:pt idx="26">
                  <c:v>8.5802735835489994</c:v>
                </c:pt>
                <c:pt idx="27">
                  <c:v>32.696854228613518</c:v>
                </c:pt>
                <c:pt idx="28">
                  <c:v>0</c:v>
                </c:pt>
                <c:pt idx="29">
                  <c:v>9.9170276431802353</c:v>
                </c:pt>
                <c:pt idx="30">
                  <c:v>14.707528501260512</c:v>
                </c:pt>
                <c:pt idx="31">
                  <c:v>37.772242469547336</c:v>
                </c:pt>
                <c:pt idx="32">
                  <c:v>35.32521054303367</c:v>
                </c:pt>
                <c:pt idx="33">
                  <c:v>24.318810769024761</c:v>
                </c:pt>
                <c:pt idx="34">
                  <c:v>41.586833097374388</c:v>
                </c:pt>
                <c:pt idx="35">
                  <c:v>0</c:v>
                </c:pt>
                <c:pt idx="36">
                  <c:v>33.896645505602216</c:v>
                </c:pt>
                <c:pt idx="37">
                  <c:v>63.637330224975294</c:v>
                </c:pt>
                <c:pt idx="38">
                  <c:v>29.700954502449132</c:v>
                </c:pt>
                <c:pt idx="39">
                  <c:v>33.054288075306289</c:v>
                </c:pt>
                <c:pt idx="40">
                  <c:v>55.85759107156305</c:v>
                </c:pt>
                <c:pt idx="41">
                  <c:v>35.210002515000177</c:v>
                </c:pt>
                <c:pt idx="42">
                  <c:v>44.072384100408392</c:v>
                </c:pt>
                <c:pt idx="43">
                  <c:v>87.74</c:v>
                </c:pt>
                <c:pt idx="44">
                  <c:v>73.158739472302969</c:v>
                </c:pt>
                <c:pt idx="45">
                  <c:v>46.467622366734929</c:v>
                </c:pt>
                <c:pt idx="46">
                  <c:v>49.341908286326785</c:v>
                </c:pt>
                <c:pt idx="47">
                  <c:v>63.504761277788937</c:v>
                </c:pt>
                <c:pt idx="48">
                  <c:v>60.839051964694185</c:v>
                </c:pt>
                <c:pt idx="49">
                  <c:v>47.718568689450827</c:v>
                </c:pt>
                <c:pt idx="50">
                  <c:v>54.850956298877833</c:v>
                </c:pt>
                <c:pt idx="51">
                  <c:v>54.860134088142281</c:v>
                </c:pt>
                <c:pt idx="52">
                  <c:v>43.911655482441851</c:v>
                </c:pt>
                <c:pt idx="53">
                  <c:v>55.809051605408449</c:v>
                </c:pt>
                <c:pt idx="54">
                  <c:v>41.437622007449193</c:v>
                </c:pt>
                <c:pt idx="55">
                  <c:v>24.431430316530736</c:v>
                </c:pt>
                <c:pt idx="56">
                  <c:v>70.486960161734316</c:v>
                </c:pt>
                <c:pt idx="57">
                  <c:v>61.557623444592153</c:v>
                </c:pt>
                <c:pt idx="58">
                  <c:v>56.420613720763569</c:v>
                </c:pt>
                <c:pt idx="59">
                  <c:v>85.2734951252407</c:v>
                </c:pt>
                <c:pt idx="60">
                  <c:v>98.408054127734843</c:v>
                </c:pt>
                <c:pt idx="61">
                  <c:v>58.204289871734993</c:v>
                </c:pt>
                <c:pt idx="62">
                  <c:v>60.599528138061537</c:v>
                </c:pt>
                <c:pt idx="63">
                  <c:v>69.940868813826498</c:v>
                </c:pt>
                <c:pt idx="64">
                  <c:v>69.940868813826498</c:v>
                </c:pt>
                <c:pt idx="65">
                  <c:v>73.533814776224872</c:v>
                </c:pt>
                <c:pt idx="66">
                  <c:v>52.348687210893218</c:v>
                </c:pt>
                <c:pt idx="67">
                  <c:v>65.96937190898754</c:v>
                </c:pt>
                <c:pt idx="68">
                  <c:v>85.054400938171867</c:v>
                </c:pt>
                <c:pt idx="69">
                  <c:v>59.514933344105863</c:v>
                </c:pt>
                <c:pt idx="70">
                  <c:v>86.180283367554409</c:v>
                </c:pt>
                <c:pt idx="71">
                  <c:v>100.65</c:v>
                </c:pt>
                <c:pt idx="72">
                  <c:v>36.538753881903268</c:v>
                </c:pt>
                <c:pt idx="73">
                  <c:v>72.741552616934854</c:v>
                </c:pt>
                <c:pt idx="74">
                  <c:v>73.186092470736412</c:v>
                </c:pt>
                <c:pt idx="75">
                  <c:v>60.120480484796225</c:v>
                </c:pt>
                <c:pt idx="76">
                  <c:v>59.847419005246124</c:v>
                </c:pt>
                <c:pt idx="77">
                  <c:v>79.521910442041218</c:v>
                </c:pt>
                <c:pt idx="78">
                  <c:v>103.66581970595261</c:v>
                </c:pt>
                <c:pt idx="79">
                  <c:v>103.3661318732599</c:v>
                </c:pt>
                <c:pt idx="80">
                  <c:v>0</c:v>
                </c:pt>
                <c:pt idx="81">
                  <c:v>57.549894672834277</c:v>
                </c:pt>
                <c:pt idx="82">
                  <c:v>93.990922318500665</c:v>
                </c:pt>
                <c:pt idx="83">
                  <c:v>126.7715758390077</c:v>
                </c:pt>
                <c:pt idx="84">
                  <c:v>123.80828284144461</c:v>
                </c:pt>
                <c:pt idx="85">
                  <c:v>106.81477620691902</c:v>
                </c:pt>
                <c:pt idx="86">
                  <c:v>106.825634677612</c:v>
                </c:pt>
                <c:pt idx="87">
                  <c:v>63.793515321302145</c:v>
                </c:pt>
                <c:pt idx="88">
                  <c:v>86.76103398081969</c:v>
                </c:pt>
                <c:pt idx="89">
                  <c:v>45.539620595047296</c:v>
                </c:pt>
                <c:pt idx="90">
                  <c:v>126.11027862835799</c:v>
                </c:pt>
                <c:pt idx="91">
                  <c:v>69.407344669576744</c:v>
                </c:pt>
                <c:pt idx="92">
                  <c:v>138.91735556011022</c:v>
                </c:pt>
                <c:pt idx="93">
                  <c:v>170.66844804769244</c:v>
                </c:pt>
                <c:pt idx="94">
                  <c:v>70.121225934480037</c:v>
                </c:pt>
                <c:pt idx="95">
                  <c:v>98.638347775099362</c:v>
                </c:pt>
                <c:pt idx="96">
                  <c:v>129.45468760179816</c:v>
                </c:pt>
                <c:pt idx="97">
                  <c:v>149.4</c:v>
                </c:pt>
                <c:pt idx="98">
                  <c:v>140.70828927207199</c:v>
                </c:pt>
                <c:pt idx="99">
                  <c:v>158.53367211761895</c:v>
                </c:pt>
                <c:pt idx="100">
                  <c:v>171.33</c:v>
                </c:pt>
                <c:pt idx="101">
                  <c:v>174.30206048092225</c:v>
                </c:pt>
                <c:pt idx="102">
                  <c:v>147.67520142463135</c:v>
                </c:pt>
                <c:pt idx="103">
                  <c:v>164.01579731100418</c:v>
                </c:pt>
                <c:pt idx="104">
                  <c:v>169.52615260662824</c:v>
                </c:pt>
                <c:pt idx="105">
                  <c:v>225.85619041414208</c:v>
                </c:pt>
                <c:pt idx="106">
                  <c:v>169.39214281060657</c:v>
                </c:pt>
                <c:pt idx="107">
                  <c:v>152.56151323647578</c:v>
                </c:pt>
                <c:pt idx="108">
                  <c:v>123.39566095511108</c:v>
                </c:pt>
                <c:pt idx="109">
                  <c:v>144.96058375138449</c:v>
                </c:pt>
                <c:pt idx="110">
                  <c:v>168.84304143200569</c:v>
                </c:pt>
                <c:pt idx="111">
                  <c:v>223.82</c:v>
                </c:pt>
                <c:pt idx="112">
                  <c:v>180.4679299797975</c:v>
                </c:pt>
                <c:pt idx="113">
                  <c:v>174.50876381160907</c:v>
                </c:pt>
                <c:pt idx="114">
                  <c:v>216.81526785056371</c:v>
                </c:pt>
                <c:pt idx="115">
                  <c:v>186.9394314504745</c:v>
                </c:pt>
                <c:pt idx="116">
                  <c:v>157.58898516732904</c:v>
                </c:pt>
                <c:pt idx="117">
                  <c:v>140.7909310052772</c:v>
                </c:pt>
                <c:pt idx="118">
                  <c:v>217.49318399528408</c:v>
                </c:pt>
                <c:pt idx="119">
                  <c:v>249.00644993159165</c:v>
                </c:pt>
                <c:pt idx="120">
                  <c:v>274.77360088605121</c:v>
                </c:pt>
                <c:pt idx="121">
                  <c:v>271.46176732469002</c:v>
                </c:pt>
                <c:pt idx="122">
                  <c:v>208.36319412773906</c:v>
                </c:pt>
                <c:pt idx="123">
                  <c:v>208.36319412773906</c:v>
                </c:pt>
                <c:pt idx="124">
                  <c:v>208.36319412773906</c:v>
                </c:pt>
                <c:pt idx="125">
                  <c:v>304.16748105196865</c:v>
                </c:pt>
                <c:pt idx="126">
                  <c:v>119.82026959560659</c:v>
                </c:pt>
                <c:pt idx="127">
                  <c:v>244.20700588529112</c:v>
                </c:pt>
                <c:pt idx="128">
                  <c:v>252.95114582565765</c:v>
                </c:pt>
                <c:pt idx="129">
                  <c:v>339.11003974200275</c:v>
                </c:pt>
                <c:pt idx="130">
                  <c:v>239.64053919121318</c:v>
                </c:pt>
                <c:pt idx="131">
                  <c:v>245.40143766151974</c:v>
                </c:pt>
                <c:pt idx="132">
                  <c:v>227.96273372858167</c:v>
                </c:pt>
                <c:pt idx="133">
                  <c:v>315.01509327426322</c:v>
                </c:pt>
                <c:pt idx="134">
                  <c:v>247.33623167047384</c:v>
                </c:pt>
                <c:pt idx="135">
                  <c:v>165.50174737893158</c:v>
                </c:pt>
                <c:pt idx="136">
                  <c:v>298.94628251418465</c:v>
                </c:pt>
                <c:pt idx="137">
                  <c:v>257.1738927135263</c:v>
                </c:pt>
                <c:pt idx="138">
                  <c:v>213.93</c:v>
                </c:pt>
                <c:pt idx="139">
                  <c:v>289.08702380075158</c:v>
                </c:pt>
                <c:pt idx="140">
                  <c:v>315.01509327426322</c:v>
                </c:pt>
                <c:pt idx="141">
                  <c:v>250.83067300801355</c:v>
                </c:pt>
                <c:pt idx="142">
                  <c:v>291.18322516225658</c:v>
                </c:pt>
                <c:pt idx="143">
                  <c:v>315.01509327426322</c:v>
                </c:pt>
                <c:pt idx="144">
                  <c:v>257.25888765826221</c:v>
                </c:pt>
                <c:pt idx="145">
                  <c:v>377.11468716745929</c:v>
                </c:pt>
                <c:pt idx="146">
                  <c:v>190.83762242925707</c:v>
                </c:pt>
                <c:pt idx="147">
                  <c:v>190.83762242925707</c:v>
                </c:pt>
                <c:pt idx="148">
                  <c:v>466.15414684995761</c:v>
                </c:pt>
                <c:pt idx="149">
                  <c:v>325.22290177584557</c:v>
                </c:pt>
                <c:pt idx="150">
                  <c:v>364.79257239702309</c:v>
                </c:pt>
                <c:pt idx="151">
                  <c:v>236.71466110712967</c:v>
                </c:pt>
                <c:pt idx="152">
                  <c:v>215.2268014986723</c:v>
                </c:pt>
                <c:pt idx="153">
                  <c:v>318.9742833984231</c:v>
                </c:pt>
                <c:pt idx="154">
                  <c:v>225.88140506866364</c:v>
                </c:pt>
                <c:pt idx="155">
                  <c:v>435.74</c:v>
                </c:pt>
                <c:pt idx="156">
                  <c:v>457.4673702955676</c:v>
                </c:pt>
                <c:pt idx="157">
                  <c:v>377.76335496754865</c:v>
                </c:pt>
                <c:pt idx="158">
                  <c:v>397.49465772603349</c:v>
                </c:pt>
                <c:pt idx="159">
                  <c:v>623.60197189827795</c:v>
                </c:pt>
                <c:pt idx="160">
                  <c:v>380.63366192572119</c:v>
                </c:pt>
                <c:pt idx="161">
                  <c:v>425.5996507948056</c:v>
                </c:pt>
                <c:pt idx="162">
                  <c:v>469.76641367622136</c:v>
                </c:pt>
                <c:pt idx="163">
                  <c:v>434.64406533047179</c:v>
                </c:pt>
                <c:pt idx="164">
                  <c:v>500.58564621148741</c:v>
                </c:pt>
                <c:pt idx="165">
                  <c:v>542.03816962640929</c:v>
                </c:pt>
                <c:pt idx="166">
                  <c:v>650.44580355169114</c:v>
                </c:pt>
              </c:numCache>
            </c:numRef>
          </c:val>
          <c:extLst>
            <c:ext xmlns:c16="http://schemas.microsoft.com/office/drawing/2014/chart" uri="{C3380CC4-5D6E-409C-BE32-E72D297353CC}">
              <c16:uniqueId val="{00000004-5E94-4221-8666-791223B4F2F3}"/>
            </c:ext>
          </c:extLst>
        </c:ser>
        <c:ser>
          <c:idx val="5"/>
          <c:order val="5"/>
          <c:tx>
            <c:strRef>
              <c:f>'[1]total charges cities 100 m³ G'!$G$438</c:f>
              <c:strCache>
                <c:ptCount val="1"/>
                <c:pt idx="0">
                  <c:v>VAT &amp; OTHER TAXES</c:v>
                </c:pt>
              </c:strCache>
            </c:strRef>
          </c:tx>
          <c:invertIfNegative val="0"/>
          <c:cat>
            <c:strRef>
              <c:f>'[1]total charges cities 100 m³ G'!$A$439:$A$605</c:f>
              <c:strCache>
                <c:ptCount val="167"/>
                <c:pt idx="0">
                  <c:v>Guadalajara</c:v>
                </c:pt>
                <c:pt idx="1">
                  <c:v>San Luis Potosi</c:v>
                </c:pt>
                <c:pt idx="2">
                  <c:v>Monterrey</c:v>
                </c:pt>
                <c:pt idx="3">
                  <c:v>Puebla</c:v>
                </c:pt>
                <c:pt idx="4">
                  <c:v>León, Guanajuato</c:v>
                </c:pt>
                <c:pt idx="5">
                  <c:v>Mauritius</c:v>
                </c:pt>
                <c:pt idx="6">
                  <c:v>Thailand Average</c:v>
                </c:pt>
                <c:pt idx="7">
                  <c:v>Mulonga</c:v>
                </c:pt>
                <c:pt idx="8">
                  <c:v>Kafubu</c:v>
                </c:pt>
                <c:pt idx="9">
                  <c:v>Kenya Average</c:v>
                </c:pt>
                <c:pt idx="10">
                  <c:v>Guangzhou</c:v>
                </c:pt>
                <c:pt idx="11">
                  <c:v>Lusaka</c:v>
                </c:pt>
                <c:pt idx="12">
                  <c:v>Shenzhen</c:v>
                </c:pt>
                <c:pt idx="13">
                  <c:v>Sao Paulo (SABESP)</c:v>
                </c:pt>
                <c:pt idx="14">
                  <c:v>Shanghai</c:v>
                </c:pt>
                <c:pt idx="15">
                  <c:v>Taipei</c:v>
                </c:pt>
                <c:pt idx="16">
                  <c:v>Hong Kong</c:v>
                </c:pt>
                <c:pt idx="17">
                  <c:v>Kaohsiung</c:v>
                </c:pt>
                <c:pt idx="18">
                  <c:v>Brazil Average</c:v>
                </c:pt>
                <c:pt idx="19">
                  <c:v>Russia Average</c:v>
                </c:pt>
                <c:pt idx="20">
                  <c:v>Gwangju</c:v>
                </c:pt>
                <c:pt idx="21">
                  <c:v>Tianjin</c:v>
                </c:pt>
                <c:pt idx="22">
                  <c:v>Daejeon</c:v>
                </c:pt>
                <c:pt idx="23">
                  <c:v>Beijing</c:v>
                </c:pt>
                <c:pt idx="24">
                  <c:v>Gyeounggi</c:v>
                </c:pt>
                <c:pt idx="25">
                  <c:v>NWWSC of Zambia</c:v>
                </c:pt>
                <c:pt idx="26">
                  <c:v>Entebbe</c:v>
                </c:pt>
                <c:pt idx="27">
                  <c:v>Daegu</c:v>
                </c:pt>
                <c:pt idx="28">
                  <c:v>Macao, China Average</c:v>
                </c:pt>
                <c:pt idx="29">
                  <c:v>Mbarara</c:v>
                </c:pt>
                <c:pt idx="30">
                  <c:v>Kampala</c:v>
                </c:pt>
                <c:pt idx="31">
                  <c:v>Seoul</c:v>
                </c:pt>
                <c:pt idx="32">
                  <c:v>Incheon</c:v>
                </c:pt>
                <c:pt idx="33">
                  <c:v>Jinja</c:v>
                </c:pt>
                <c:pt idx="34">
                  <c:v>Busan</c:v>
                </c:pt>
                <c:pt idx="35">
                  <c:v>Brasilia Federal District</c:v>
                </c:pt>
                <c:pt idx="36">
                  <c:v>Ulsan</c:v>
                </c:pt>
                <c:pt idx="37">
                  <c:v>Gran Santiago</c:v>
                </c:pt>
                <c:pt idx="38">
                  <c:v>Severin</c:v>
                </c:pt>
                <c:pt idx="39">
                  <c:v>Apaserv SA Valea Jiului</c:v>
                </c:pt>
                <c:pt idx="40">
                  <c:v>Nagoya</c:v>
                </c:pt>
                <c:pt idx="41">
                  <c:v>Deva</c:v>
                </c:pt>
                <c:pt idx="42">
                  <c:v>Sibiu</c:v>
                </c:pt>
                <c:pt idx="43">
                  <c:v>Miami</c:v>
                </c:pt>
                <c:pt idx="44">
                  <c:v>Concepcion</c:v>
                </c:pt>
                <c:pt idx="45">
                  <c:v>Baia Mare</c:v>
                </c:pt>
                <c:pt idx="46">
                  <c:v>Craiova</c:v>
                </c:pt>
                <c:pt idx="47">
                  <c:v>Yokohama</c:v>
                </c:pt>
                <c:pt idx="48">
                  <c:v>Giurgiu</c:v>
                </c:pt>
                <c:pt idx="49">
                  <c:v>Kaposvár</c:v>
                </c:pt>
                <c:pt idx="50">
                  <c:v>Calarasi</c:v>
                </c:pt>
                <c:pt idx="51">
                  <c:v>Osaka</c:v>
                </c:pt>
                <c:pt idx="52">
                  <c:v>Lisbon</c:v>
                </c:pt>
                <c:pt idx="53">
                  <c:v>Iasi</c:v>
                </c:pt>
                <c:pt idx="54">
                  <c:v>Resita</c:v>
                </c:pt>
                <c:pt idx="55">
                  <c:v>Bucharest</c:v>
                </c:pt>
                <c:pt idx="56">
                  <c:v>Hiroshima</c:v>
                </c:pt>
                <c:pt idx="57">
                  <c:v>Miercurea Ciuc</c:v>
                </c:pt>
                <c:pt idx="58">
                  <c:v>Thessaloniki</c:v>
                </c:pt>
                <c:pt idx="59">
                  <c:v>Bialystok</c:v>
                </c:pt>
                <c:pt idx="60">
                  <c:v>Temuco</c:v>
                </c:pt>
                <c:pt idx="61">
                  <c:v>Brasov</c:v>
                </c:pt>
                <c:pt idx="62">
                  <c:v>Suceava</c:v>
                </c:pt>
                <c:pt idx="63">
                  <c:v>Valparaiso</c:v>
                </c:pt>
                <c:pt idx="64">
                  <c:v>Vina del Mar</c:v>
                </c:pt>
                <c:pt idx="65">
                  <c:v>Medias</c:v>
                </c:pt>
                <c:pt idx="66">
                  <c:v>Porto</c:v>
                </c:pt>
                <c:pt idx="67">
                  <c:v>Miskolc</c:v>
                </c:pt>
                <c:pt idx="68">
                  <c:v>Bilbao</c:v>
                </c:pt>
                <c:pt idx="69">
                  <c:v>Tokyo</c:v>
                </c:pt>
                <c:pt idx="70">
                  <c:v>Fukuoka</c:v>
                </c:pt>
                <c:pt idx="71">
                  <c:v>Chicago</c:v>
                </c:pt>
                <c:pt idx="72">
                  <c:v>Serres</c:v>
                </c:pt>
                <c:pt idx="73">
                  <c:v>Debrecen</c:v>
                </c:pt>
                <c:pt idx="74">
                  <c:v>Madrid</c:v>
                </c:pt>
                <c:pt idx="75">
                  <c:v>Buzau</c:v>
                </c:pt>
                <c:pt idx="76">
                  <c:v>Sapporo</c:v>
                </c:pt>
                <c:pt idx="77">
                  <c:v>Constanta</c:v>
                </c:pt>
                <c:pt idx="78">
                  <c:v>Faro</c:v>
                </c:pt>
                <c:pt idx="79">
                  <c:v>Budapest</c:v>
                </c:pt>
                <c:pt idx="80">
                  <c:v>Malta Average</c:v>
                </c:pt>
                <c:pt idx="81">
                  <c:v>Igoumenitsa</c:v>
                </c:pt>
                <c:pt idx="82">
                  <c:v>Coimbra</c:v>
                </c:pt>
                <c:pt idx="83">
                  <c:v>Wroclaw</c:v>
                </c:pt>
                <c:pt idx="84">
                  <c:v>Sevilla</c:v>
                </c:pt>
                <c:pt idx="85">
                  <c:v>Loures</c:v>
                </c:pt>
                <c:pt idx="86">
                  <c:v>Braga</c:v>
                </c:pt>
                <c:pt idx="87">
                  <c:v>Alexandroupolis</c:v>
                </c:pt>
                <c:pt idx="88">
                  <c:v>Pécs</c:v>
                </c:pt>
                <c:pt idx="89">
                  <c:v>Antofagasta</c:v>
                </c:pt>
                <c:pt idx="90">
                  <c:v>Sintra</c:v>
                </c:pt>
                <c:pt idx="91">
                  <c:v>Barcelona</c:v>
                </c:pt>
                <c:pt idx="92">
                  <c:v>Bydgoszcz</c:v>
                </c:pt>
                <c:pt idx="93">
                  <c:v>Tarnow</c:v>
                </c:pt>
                <c:pt idx="94">
                  <c:v>Sendai</c:v>
                </c:pt>
                <c:pt idx="95">
                  <c:v>Athens</c:v>
                </c:pt>
                <c:pt idx="96">
                  <c:v>Valencia</c:v>
                </c:pt>
                <c:pt idx="97">
                  <c:v>Los Angeles</c:v>
                </c:pt>
                <c:pt idx="98">
                  <c:v>Saskatoon</c:v>
                </c:pt>
                <c:pt idx="99">
                  <c:v>Reims</c:v>
                </c:pt>
                <c:pt idx="100">
                  <c:v>Minneapolis</c:v>
                </c:pt>
                <c:pt idx="101">
                  <c:v>Radom</c:v>
                </c:pt>
                <c:pt idx="102">
                  <c:v>Strassbourg</c:v>
                </c:pt>
                <c:pt idx="103">
                  <c:v>Winnipeg</c:v>
                </c:pt>
                <c:pt idx="104">
                  <c:v>Durham</c:v>
                </c:pt>
                <c:pt idx="105">
                  <c:v>Paphos</c:v>
                </c:pt>
                <c:pt idx="106">
                  <c:v>Paris</c:v>
                </c:pt>
                <c:pt idx="107">
                  <c:v>Marseille</c:v>
                </c:pt>
                <c:pt idx="108">
                  <c:v>Lyon</c:v>
                </c:pt>
                <c:pt idx="109">
                  <c:v>Bordeaux</c:v>
                </c:pt>
                <c:pt idx="110">
                  <c:v>Oslo</c:v>
                </c:pt>
                <c:pt idx="111">
                  <c:v>Denver</c:v>
                </c:pt>
                <c:pt idx="112">
                  <c:v>Bergen</c:v>
                </c:pt>
                <c:pt idx="113">
                  <c:v>Trondheim</c:v>
                </c:pt>
                <c:pt idx="114">
                  <c:v>Scotland: Band A</c:v>
                </c:pt>
                <c:pt idx="115">
                  <c:v>Lille</c:v>
                </c:pt>
                <c:pt idx="116">
                  <c:v>Brussels</c:v>
                </c:pt>
                <c:pt idx="117">
                  <c:v>Nancy</c:v>
                </c:pt>
                <c:pt idx="118">
                  <c:v>London</c:v>
                </c:pt>
                <c:pt idx="119">
                  <c:v>Antwerp</c:v>
                </c:pt>
                <c:pt idx="120">
                  <c:v>Lemesos</c:v>
                </c:pt>
                <c:pt idx="121">
                  <c:v>Larnaca</c:v>
                </c:pt>
                <c:pt idx="122">
                  <c:v>Espoo</c:v>
                </c:pt>
                <c:pt idx="123">
                  <c:v>Helsinki</c:v>
                </c:pt>
                <c:pt idx="124">
                  <c:v>Vantaa</c:v>
                </c:pt>
                <c:pt idx="125">
                  <c:v>Lefkosia</c:v>
                </c:pt>
                <c:pt idx="126">
                  <c:v>Lausanne</c:v>
                </c:pt>
                <c:pt idx="127">
                  <c:v>Brest</c:v>
                </c:pt>
                <c:pt idx="128">
                  <c:v>Scotland: Band B</c:v>
                </c:pt>
                <c:pt idx="129">
                  <c:v>Eindhoven</c:v>
                </c:pt>
                <c:pt idx="130">
                  <c:v>Basel</c:v>
                </c:pt>
                <c:pt idx="131">
                  <c:v>SEDIF</c:v>
                </c:pt>
                <c:pt idx="132">
                  <c:v>Oulu</c:v>
                </c:pt>
                <c:pt idx="133">
                  <c:v>Genk</c:v>
                </c:pt>
                <c:pt idx="134">
                  <c:v>Birmingham</c:v>
                </c:pt>
                <c:pt idx="135">
                  <c:v>Geneva</c:v>
                </c:pt>
                <c:pt idx="136">
                  <c:v>Leeds</c:v>
                </c:pt>
                <c:pt idx="137">
                  <c:v>Calgary</c:v>
                </c:pt>
                <c:pt idx="138">
                  <c:v>New York</c:v>
                </c:pt>
                <c:pt idx="139">
                  <c:v>Scotland: Band C</c:v>
                </c:pt>
                <c:pt idx="140">
                  <c:v>Louvain</c:v>
                </c:pt>
                <c:pt idx="141">
                  <c:v>Le Havre</c:v>
                </c:pt>
                <c:pt idx="142">
                  <c:v>Zürich</c:v>
                </c:pt>
                <c:pt idx="143">
                  <c:v>Kortrijk</c:v>
                </c:pt>
                <c:pt idx="144">
                  <c:v>Tampere</c:v>
                </c:pt>
                <c:pt idx="145">
                  <c:v>Amsterdam</c:v>
                </c:pt>
                <c:pt idx="146">
                  <c:v>Charleroi</c:v>
                </c:pt>
                <c:pt idx="147">
                  <c:v>Liège</c:v>
                </c:pt>
                <c:pt idx="148">
                  <c:v>Utrecht</c:v>
                </c:pt>
                <c:pt idx="149">
                  <c:v>Scotland: Band D</c:v>
                </c:pt>
                <c:pt idx="150">
                  <c:v>Cardiff</c:v>
                </c:pt>
                <c:pt idx="151">
                  <c:v>Turku</c:v>
                </c:pt>
                <c:pt idx="152">
                  <c:v>Copenhagen</c:v>
                </c:pt>
                <c:pt idx="153">
                  <c:v>Manchester</c:v>
                </c:pt>
                <c:pt idx="154">
                  <c:v>Vancouver</c:v>
                </c:pt>
                <c:pt idx="155">
                  <c:v>Washington D.C.</c:v>
                </c:pt>
                <c:pt idx="156">
                  <c:v>Den Haag</c:v>
                </c:pt>
                <c:pt idx="157">
                  <c:v>Bern</c:v>
                </c:pt>
                <c:pt idx="158">
                  <c:v>Scotland: Band E</c:v>
                </c:pt>
                <c:pt idx="159">
                  <c:v>Rotterdam</c:v>
                </c:pt>
                <c:pt idx="160">
                  <c:v>Aalborg</c:v>
                </c:pt>
                <c:pt idx="161">
                  <c:v>Esbjerg</c:v>
                </c:pt>
                <c:pt idx="162">
                  <c:v>Scotland: Band F</c:v>
                </c:pt>
                <c:pt idx="163">
                  <c:v>Aarhus</c:v>
                </c:pt>
                <c:pt idx="164">
                  <c:v>Odense</c:v>
                </c:pt>
                <c:pt idx="165">
                  <c:v>Scotland: Band G</c:v>
                </c:pt>
                <c:pt idx="166">
                  <c:v>Scotland: Band H</c:v>
                </c:pt>
              </c:strCache>
            </c:strRef>
          </c:cat>
          <c:val>
            <c:numRef>
              <c:f>'[1]total charges cities 100 m³ G'!$G$439:$G$605</c:f>
              <c:numCache>
                <c:formatCode>General</c:formatCode>
                <c:ptCount val="167"/>
                <c:pt idx="0">
                  <c:v>9.2628882959353859E-3</c:v>
                </c:pt>
                <c:pt idx="1">
                  <c:v>9.2628882959353859E-3</c:v>
                </c:pt>
                <c:pt idx="2">
                  <c:v>9.2628882959353859E-3</c:v>
                </c:pt>
                <c:pt idx="3">
                  <c:v>9.2628882959353859E-3</c:v>
                </c:pt>
                <c:pt idx="4">
                  <c:v>9.2628882959353859E-3</c:v>
                </c:pt>
                <c:pt idx="5">
                  <c:v>0</c:v>
                </c:pt>
                <c:pt idx="7">
                  <c:v>0</c:v>
                </c:pt>
                <c:pt idx="8">
                  <c:v>0</c:v>
                </c:pt>
                <c:pt idx="9">
                  <c:v>0</c:v>
                </c:pt>
                <c:pt idx="10">
                  <c:v>0</c:v>
                </c:pt>
                <c:pt idx="11">
                  <c:v>0</c:v>
                </c:pt>
                <c:pt idx="12">
                  <c:v>0</c:v>
                </c:pt>
                <c:pt idx="13">
                  <c:v>0</c:v>
                </c:pt>
                <c:pt idx="14">
                  <c:v>0</c:v>
                </c:pt>
                <c:pt idx="15">
                  <c:v>1.905243471970542</c:v>
                </c:pt>
                <c:pt idx="16">
                  <c:v>0</c:v>
                </c:pt>
                <c:pt idx="17">
                  <c:v>1.6633077929901556</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25.006287500449108</c:v>
                </c:pt>
                <c:pt idx="39">
                  <c:v>25.063773218840943</c:v>
                </c:pt>
                <c:pt idx="40">
                  <c:v>9.5755870408393786</c:v>
                </c:pt>
                <c:pt idx="41">
                  <c:v>25.983544713110337</c:v>
                </c:pt>
                <c:pt idx="42">
                  <c:v>26.558401897028705</c:v>
                </c:pt>
                <c:pt idx="43">
                  <c:v>0</c:v>
                </c:pt>
                <c:pt idx="44">
                  <c:v>0</c:v>
                </c:pt>
                <c:pt idx="45">
                  <c:v>28.570402040743005</c:v>
                </c:pt>
                <c:pt idx="46">
                  <c:v>29.432687816620557</c:v>
                </c:pt>
                <c:pt idx="47">
                  <c:v>11.437506743224814</c:v>
                </c:pt>
                <c:pt idx="48">
                  <c:v>30.122516437322606</c:v>
                </c:pt>
                <c:pt idx="49">
                  <c:v>33.131009126882056</c:v>
                </c:pt>
                <c:pt idx="50">
                  <c:v>30.524916466065463</c:v>
                </c:pt>
                <c:pt idx="51">
                  <c:v>11.803240970479097</c:v>
                </c:pt>
                <c:pt idx="52">
                  <c:v>6.211045236388907</c:v>
                </c:pt>
                <c:pt idx="53">
                  <c:v>31.789602270685876</c:v>
                </c:pt>
                <c:pt idx="54">
                  <c:v>32.07703086264506</c:v>
                </c:pt>
                <c:pt idx="55">
                  <c:v>32.249488017820568</c:v>
                </c:pt>
                <c:pt idx="56">
                  <c:v>12.401715160531557</c:v>
                </c:pt>
                <c:pt idx="57">
                  <c:v>32.536916609779759</c:v>
                </c:pt>
                <c:pt idx="58">
                  <c:v>26.14719742871414</c:v>
                </c:pt>
                <c:pt idx="59">
                  <c:v>0</c:v>
                </c:pt>
                <c:pt idx="60">
                  <c:v>0</c:v>
                </c:pt>
                <c:pt idx="61">
                  <c:v>34.204002443143033</c:v>
                </c:pt>
                <c:pt idx="62">
                  <c:v>34.72137390866957</c:v>
                </c:pt>
                <c:pt idx="63">
                  <c:v>0</c:v>
                </c:pt>
                <c:pt idx="64">
                  <c:v>0</c:v>
                </c:pt>
                <c:pt idx="65">
                  <c:v>35.986059713289983</c:v>
                </c:pt>
                <c:pt idx="66">
                  <c:v>10.673876691206811</c:v>
                </c:pt>
                <c:pt idx="67">
                  <c:v>40.970488268720409</c:v>
                </c:pt>
                <c:pt idx="68">
                  <c:v>17.721024170955765</c:v>
                </c:pt>
                <c:pt idx="69">
                  <c:v>14.529623391829197</c:v>
                </c:pt>
                <c:pt idx="70">
                  <c:v>14.662617656285299</c:v>
                </c:pt>
                <c:pt idx="71">
                  <c:v>0</c:v>
                </c:pt>
                <c:pt idx="72">
                  <c:v>35.995830347253893</c:v>
                </c:pt>
                <c:pt idx="73">
                  <c:v>43.549219000928105</c:v>
                </c:pt>
                <c:pt idx="74">
                  <c:v>18.633135709166723</c:v>
                </c:pt>
                <c:pt idx="75">
                  <c:v>39.722631408759391</c:v>
                </c:pt>
                <c:pt idx="76">
                  <c:v>15.261091846337761</c:v>
                </c:pt>
                <c:pt idx="77">
                  <c:v>40.297488592677759</c:v>
                </c:pt>
                <c:pt idx="78">
                  <c:v>11.803157643277521</c:v>
                </c:pt>
                <c:pt idx="79">
                  <c:v>45.515113858191917</c:v>
                </c:pt>
                <c:pt idx="80">
                  <c:v>0</c:v>
                </c:pt>
                <c:pt idx="81">
                  <c:v>39.057919082676392</c:v>
                </c:pt>
                <c:pt idx="82">
                  <c:v>12.943297066041218</c:v>
                </c:pt>
                <c:pt idx="83">
                  <c:v>0</c:v>
                </c:pt>
                <c:pt idx="84">
                  <c:v>21.858101504984038</c:v>
                </c:pt>
                <c:pt idx="85">
                  <c:v>7.8506743110300352</c:v>
                </c:pt>
                <c:pt idx="86">
                  <c:v>13.659956131778401</c:v>
                </c:pt>
                <c:pt idx="87">
                  <c:v>39.405390144851999</c:v>
                </c:pt>
                <c:pt idx="88">
                  <c:v>55.031284410691342</c:v>
                </c:pt>
                <c:pt idx="89">
                  <c:v>0</c:v>
                </c:pt>
                <c:pt idx="90">
                  <c:v>8.4696071405303268</c:v>
                </c:pt>
                <c:pt idx="91">
                  <c:v>24.800747062783678</c:v>
                </c:pt>
                <c:pt idx="92">
                  <c:v>0</c:v>
                </c:pt>
                <c:pt idx="93">
                  <c:v>0</c:v>
                </c:pt>
                <c:pt idx="94">
                  <c:v>20.846850953494066</c:v>
                </c:pt>
                <c:pt idx="95">
                  <c:v>42.782374530371143</c:v>
                </c:pt>
                <c:pt idx="96">
                  <c:v>26.722696375442482</c:v>
                </c:pt>
                <c:pt idx="97">
                  <c:v>0</c:v>
                </c:pt>
                <c:pt idx="98">
                  <c:v>0</c:v>
                </c:pt>
                <c:pt idx="99">
                  <c:v>24.681303885160816</c:v>
                </c:pt>
                <c:pt idx="100">
                  <c:v>12.7</c:v>
                </c:pt>
                <c:pt idx="101">
                  <c:v>0</c:v>
                </c:pt>
                <c:pt idx="102">
                  <c:v>24.779030121397703</c:v>
                </c:pt>
                <c:pt idx="103">
                  <c:v>0</c:v>
                </c:pt>
                <c:pt idx="104">
                  <c:v>0</c:v>
                </c:pt>
                <c:pt idx="105">
                  <c:v>7.1991660694507784</c:v>
                </c:pt>
                <c:pt idx="106">
                  <c:v>26.950724259995223</c:v>
                </c:pt>
                <c:pt idx="107">
                  <c:v>26.32093295980194</c:v>
                </c:pt>
                <c:pt idx="108">
                  <c:v>25.148218124959282</c:v>
                </c:pt>
                <c:pt idx="109">
                  <c:v>26.472951549503772</c:v>
                </c:pt>
                <c:pt idx="110">
                  <c:v>79.201607169057482</c:v>
                </c:pt>
                <c:pt idx="111">
                  <c:v>0</c:v>
                </c:pt>
                <c:pt idx="112">
                  <c:v>79.794137896008024</c:v>
                </c:pt>
                <c:pt idx="113">
                  <c:v>80.606751464397362</c:v>
                </c:pt>
                <c:pt idx="114">
                  <c:v>0</c:v>
                </c:pt>
                <c:pt idx="115">
                  <c:v>29.209286164136643</c:v>
                </c:pt>
                <c:pt idx="116">
                  <c:v>23.204551870914504</c:v>
                </c:pt>
                <c:pt idx="117">
                  <c:v>28.101722153451909</c:v>
                </c:pt>
                <c:pt idx="118">
                  <c:v>0</c:v>
                </c:pt>
                <c:pt idx="119">
                  <c:v>25.224227419810195</c:v>
                </c:pt>
                <c:pt idx="120">
                  <c:v>8.4696071405303268</c:v>
                </c:pt>
                <c:pt idx="121">
                  <c:v>8.6867765543900806</c:v>
                </c:pt>
                <c:pt idx="122">
                  <c:v>88.214215909831253</c:v>
                </c:pt>
                <c:pt idx="123">
                  <c:v>88.214215909831253</c:v>
                </c:pt>
                <c:pt idx="124">
                  <c:v>88.214215909831253</c:v>
                </c:pt>
                <c:pt idx="125">
                  <c:v>7.4923447781614438</c:v>
                </c:pt>
                <c:pt idx="126">
                  <c:v>17.773339990014978</c:v>
                </c:pt>
                <c:pt idx="127">
                  <c:v>34.88826633656916</c:v>
                </c:pt>
                <c:pt idx="128">
                  <c:v>0</c:v>
                </c:pt>
                <c:pt idx="129">
                  <c:v>9.7617651529958529</c:v>
                </c:pt>
                <c:pt idx="130">
                  <c:v>24.563155267099351</c:v>
                </c:pt>
                <c:pt idx="131">
                  <c:v>36.180424349034681</c:v>
                </c:pt>
                <c:pt idx="132">
                  <c:v>97.693660824809442</c:v>
                </c:pt>
                <c:pt idx="133">
                  <c:v>28.796664277803114</c:v>
                </c:pt>
                <c:pt idx="134">
                  <c:v>0</c:v>
                </c:pt>
                <c:pt idx="135">
                  <c:v>21.407888167748379</c:v>
                </c:pt>
                <c:pt idx="136">
                  <c:v>0</c:v>
                </c:pt>
                <c:pt idx="137">
                  <c:v>0</c:v>
                </c:pt>
                <c:pt idx="138">
                  <c:v>0</c:v>
                </c:pt>
                <c:pt idx="139">
                  <c:v>0</c:v>
                </c:pt>
                <c:pt idx="140">
                  <c:v>30.675179707689971</c:v>
                </c:pt>
                <c:pt idx="141">
                  <c:v>39.047060611983412</c:v>
                </c:pt>
                <c:pt idx="142">
                  <c:v>28.986520219670492</c:v>
                </c:pt>
                <c:pt idx="143">
                  <c:v>31.120377006102462</c:v>
                </c:pt>
                <c:pt idx="144">
                  <c:v>110.19176059243817</c:v>
                </c:pt>
                <c:pt idx="145">
                  <c:v>12.997589419506157</c:v>
                </c:pt>
                <c:pt idx="146">
                  <c:v>32.781723022129569</c:v>
                </c:pt>
                <c:pt idx="147">
                  <c:v>32.901166199752431</c:v>
                </c:pt>
                <c:pt idx="148">
                  <c:v>9.5337372684431116</c:v>
                </c:pt>
                <c:pt idx="149">
                  <c:v>0</c:v>
                </c:pt>
                <c:pt idx="150">
                  <c:v>0</c:v>
                </c:pt>
                <c:pt idx="151">
                  <c:v>118.05329337416119</c:v>
                </c:pt>
                <c:pt idx="152">
                  <c:v>123.0657306027427</c:v>
                </c:pt>
                <c:pt idx="153">
                  <c:v>0</c:v>
                </c:pt>
                <c:pt idx="154">
                  <c:v>0</c:v>
                </c:pt>
                <c:pt idx="155">
                  <c:v>0</c:v>
                </c:pt>
                <c:pt idx="156">
                  <c:v>13.062740243664082</c:v>
                </c:pt>
                <c:pt idx="157">
                  <c:v>36.834747878182725</c:v>
                </c:pt>
                <c:pt idx="158">
                  <c:v>0</c:v>
                </c:pt>
                <c:pt idx="159">
                  <c:v>12.020327057137273</c:v>
                </c:pt>
                <c:pt idx="160">
                  <c:v>170.37721436106364</c:v>
                </c:pt>
                <c:pt idx="161">
                  <c:v>171.89043687024844</c:v>
                </c:pt>
                <c:pt idx="162">
                  <c:v>0</c:v>
                </c:pt>
                <c:pt idx="163">
                  <c:v>191.37899676257683</c:v>
                </c:pt>
                <c:pt idx="164">
                  <c:v>198.18849805390855</c:v>
                </c:pt>
                <c:pt idx="165">
                  <c:v>0</c:v>
                </c:pt>
                <c:pt idx="166">
                  <c:v>0</c:v>
                </c:pt>
              </c:numCache>
            </c:numRef>
          </c:val>
          <c:extLst>
            <c:ext xmlns:c16="http://schemas.microsoft.com/office/drawing/2014/chart" uri="{C3380CC4-5D6E-409C-BE32-E72D297353CC}">
              <c16:uniqueId val="{00000005-5E94-4221-8666-791223B4F2F3}"/>
            </c:ext>
          </c:extLst>
        </c:ser>
        <c:ser>
          <c:idx val="6"/>
          <c:order val="6"/>
          <c:tx>
            <c:strRef>
              <c:f>'[1]total charges cities 100 m³ G'!$H$438</c:f>
              <c:strCache>
                <c:ptCount val="1"/>
                <c:pt idx="0">
                  <c:v>TOTAL ANNUAL CHARGES 100 m³</c:v>
                </c:pt>
              </c:strCache>
            </c:strRef>
          </c:tx>
          <c:invertIfNegative val="0"/>
          <c:cat>
            <c:strRef>
              <c:f>'[1]total charges cities 100 m³ G'!$A$439:$A$605</c:f>
              <c:strCache>
                <c:ptCount val="167"/>
                <c:pt idx="0">
                  <c:v>Guadalajara</c:v>
                </c:pt>
                <c:pt idx="1">
                  <c:v>San Luis Potosi</c:v>
                </c:pt>
                <c:pt idx="2">
                  <c:v>Monterrey</c:v>
                </c:pt>
                <c:pt idx="3">
                  <c:v>Puebla</c:v>
                </c:pt>
                <c:pt idx="4">
                  <c:v>León, Guanajuato</c:v>
                </c:pt>
                <c:pt idx="5">
                  <c:v>Mauritius</c:v>
                </c:pt>
                <c:pt idx="6">
                  <c:v>Thailand Average</c:v>
                </c:pt>
                <c:pt idx="7">
                  <c:v>Mulonga</c:v>
                </c:pt>
                <c:pt idx="8">
                  <c:v>Kafubu</c:v>
                </c:pt>
                <c:pt idx="9">
                  <c:v>Kenya Average</c:v>
                </c:pt>
                <c:pt idx="10">
                  <c:v>Guangzhou</c:v>
                </c:pt>
                <c:pt idx="11">
                  <c:v>Lusaka</c:v>
                </c:pt>
                <c:pt idx="12">
                  <c:v>Shenzhen</c:v>
                </c:pt>
                <c:pt idx="13">
                  <c:v>Sao Paulo (SABESP)</c:v>
                </c:pt>
                <c:pt idx="14">
                  <c:v>Shanghai</c:v>
                </c:pt>
                <c:pt idx="15">
                  <c:v>Taipei</c:v>
                </c:pt>
                <c:pt idx="16">
                  <c:v>Hong Kong</c:v>
                </c:pt>
                <c:pt idx="17">
                  <c:v>Kaohsiung</c:v>
                </c:pt>
                <c:pt idx="18">
                  <c:v>Brazil Average</c:v>
                </c:pt>
                <c:pt idx="19">
                  <c:v>Russia Average</c:v>
                </c:pt>
                <c:pt idx="20">
                  <c:v>Gwangju</c:v>
                </c:pt>
                <c:pt idx="21">
                  <c:v>Tianjin</c:v>
                </c:pt>
                <c:pt idx="22">
                  <c:v>Daejeon</c:v>
                </c:pt>
                <c:pt idx="23">
                  <c:v>Beijing</c:v>
                </c:pt>
                <c:pt idx="24">
                  <c:v>Gyeounggi</c:v>
                </c:pt>
                <c:pt idx="25">
                  <c:v>NWWSC of Zambia</c:v>
                </c:pt>
                <c:pt idx="26">
                  <c:v>Entebbe</c:v>
                </c:pt>
                <c:pt idx="27">
                  <c:v>Daegu</c:v>
                </c:pt>
                <c:pt idx="28">
                  <c:v>Macao, China Average</c:v>
                </c:pt>
                <c:pt idx="29">
                  <c:v>Mbarara</c:v>
                </c:pt>
                <c:pt idx="30">
                  <c:v>Kampala</c:v>
                </c:pt>
                <c:pt idx="31">
                  <c:v>Seoul</c:v>
                </c:pt>
                <c:pt idx="32">
                  <c:v>Incheon</c:v>
                </c:pt>
                <c:pt idx="33">
                  <c:v>Jinja</c:v>
                </c:pt>
                <c:pt idx="34">
                  <c:v>Busan</c:v>
                </c:pt>
                <c:pt idx="35">
                  <c:v>Brasilia Federal District</c:v>
                </c:pt>
                <c:pt idx="36">
                  <c:v>Ulsan</c:v>
                </c:pt>
                <c:pt idx="37">
                  <c:v>Gran Santiago</c:v>
                </c:pt>
                <c:pt idx="38">
                  <c:v>Severin</c:v>
                </c:pt>
                <c:pt idx="39">
                  <c:v>Apaserv SA Valea Jiului</c:v>
                </c:pt>
                <c:pt idx="40">
                  <c:v>Nagoya</c:v>
                </c:pt>
                <c:pt idx="41">
                  <c:v>Deva</c:v>
                </c:pt>
                <c:pt idx="42">
                  <c:v>Sibiu</c:v>
                </c:pt>
                <c:pt idx="43">
                  <c:v>Miami</c:v>
                </c:pt>
                <c:pt idx="44">
                  <c:v>Concepcion</c:v>
                </c:pt>
                <c:pt idx="45">
                  <c:v>Baia Mare</c:v>
                </c:pt>
                <c:pt idx="46">
                  <c:v>Craiova</c:v>
                </c:pt>
                <c:pt idx="47">
                  <c:v>Yokohama</c:v>
                </c:pt>
                <c:pt idx="48">
                  <c:v>Giurgiu</c:v>
                </c:pt>
                <c:pt idx="49">
                  <c:v>Kaposvár</c:v>
                </c:pt>
                <c:pt idx="50">
                  <c:v>Calarasi</c:v>
                </c:pt>
                <c:pt idx="51">
                  <c:v>Osaka</c:v>
                </c:pt>
                <c:pt idx="52">
                  <c:v>Lisbon</c:v>
                </c:pt>
                <c:pt idx="53">
                  <c:v>Iasi</c:v>
                </c:pt>
                <c:pt idx="54">
                  <c:v>Resita</c:v>
                </c:pt>
                <c:pt idx="55">
                  <c:v>Bucharest</c:v>
                </c:pt>
                <c:pt idx="56">
                  <c:v>Hiroshima</c:v>
                </c:pt>
                <c:pt idx="57">
                  <c:v>Miercurea Ciuc</c:v>
                </c:pt>
                <c:pt idx="58">
                  <c:v>Thessaloniki</c:v>
                </c:pt>
                <c:pt idx="59">
                  <c:v>Bialystok</c:v>
                </c:pt>
                <c:pt idx="60">
                  <c:v>Temuco</c:v>
                </c:pt>
                <c:pt idx="61">
                  <c:v>Brasov</c:v>
                </c:pt>
                <c:pt idx="62">
                  <c:v>Suceava</c:v>
                </c:pt>
                <c:pt idx="63">
                  <c:v>Valparaiso</c:v>
                </c:pt>
                <c:pt idx="64">
                  <c:v>Vina del Mar</c:v>
                </c:pt>
                <c:pt idx="65">
                  <c:v>Medias</c:v>
                </c:pt>
                <c:pt idx="66">
                  <c:v>Porto</c:v>
                </c:pt>
                <c:pt idx="67">
                  <c:v>Miskolc</c:v>
                </c:pt>
                <c:pt idx="68">
                  <c:v>Bilbao</c:v>
                </c:pt>
                <c:pt idx="69">
                  <c:v>Tokyo</c:v>
                </c:pt>
                <c:pt idx="70">
                  <c:v>Fukuoka</c:v>
                </c:pt>
                <c:pt idx="71">
                  <c:v>Chicago</c:v>
                </c:pt>
                <c:pt idx="72">
                  <c:v>Serres</c:v>
                </c:pt>
                <c:pt idx="73">
                  <c:v>Debrecen</c:v>
                </c:pt>
                <c:pt idx="74">
                  <c:v>Madrid</c:v>
                </c:pt>
                <c:pt idx="75">
                  <c:v>Buzau</c:v>
                </c:pt>
                <c:pt idx="76">
                  <c:v>Sapporo</c:v>
                </c:pt>
                <c:pt idx="77">
                  <c:v>Constanta</c:v>
                </c:pt>
                <c:pt idx="78">
                  <c:v>Faro</c:v>
                </c:pt>
                <c:pt idx="79">
                  <c:v>Budapest</c:v>
                </c:pt>
                <c:pt idx="80">
                  <c:v>Malta Average</c:v>
                </c:pt>
                <c:pt idx="81">
                  <c:v>Igoumenitsa</c:v>
                </c:pt>
                <c:pt idx="82">
                  <c:v>Coimbra</c:v>
                </c:pt>
                <c:pt idx="83">
                  <c:v>Wroclaw</c:v>
                </c:pt>
                <c:pt idx="84">
                  <c:v>Sevilla</c:v>
                </c:pt>
                <c:pt idx="85">
                  <c:v>Loures</c:v>
                </c:pt>
                <c:pt idx="86">
                  <c:v>Braga</c:v>
                </c:pt>
                <c:pt idx="87">
                  <c:v>Alexandroupolis</c:v>
                </c:pt>
                <c:pt idx="88">
                  <c:v>Pécs</c:v>
                </c:pt>
                <c:pt idx="89">
                  <c:v>Antofagasta</c:v>
                </c:pt>
                <c:pt idx="90">
                  <c:v>Sintra</c:v>
                </c:pt>
                <c:pt idx="91">
                  <c:v>Barcelona</c:v>
                </c:pt>
                <c:pt idx="92">
                  <c:v>Bydgoszcz</c:v>
                </c:pt>
                <c:pt idx="93">
                  <c:v>Tarnow</c:v>
                </c:pt>
                <c:pt idx="94">
                  <c:v>Sendai</c:v>
                </c:pt>
                <c:pt idx="95">
                  <c:v>Athens</c:v>
                </c:pt>
                <c:pt idx="96">
                  <c:v>Valencia</c:v>
                </c:pt>
                <c:pt idx="97">
                  <c:v>Los Angeles</c:v>
                </c:pt>
                <c:pt idx="98">
                  <c:v>Saskatoon</c:v>
                </c:pt>
                <c:pt idx="99">
                  <c:v>Reims</c:v>
                </c:pt>
                <c:pt idx="100">
                  <c:v>Minneapolis</c:v>
                </c:pt>
                <c:pt idx="101">
                  <c:v>Radom</c:v>
                </c:pt>
                <c:pt idx="102">
                  <c:v>Strassbourg</c:v>
                </c:pt>
                <c:pt idx="103">
                  <c:v>Winnipeg</c:v>
                </c:pt>
                <c:pt idx="104">
                  <c:v>Durham</c:v>
                </c:pt>
                <c:pt idx="105">
                  <c:v>Paphos</c:v>
                </c:pt>
                <c:pt idx="106">
                  <c:v>Paris</c:v>
                </c:pt>
                <c:pt idx="107">
                  <c:v>Marseille</c:v>
                </c:pt>
                <c:pt idx="108">
                  <c:v>Lyon</c:v>
                </c:pt>
                <c:pt idx="109">
                  <c:v>Bordeaux</c:v>
                </c:pt>
                <c:pt idx="110">
                  <c:v>Oslo</c:v>
                </c:pt>
                <c:pt idx="111">
                  <c:v>Denver</c:v>
                </c:pt>
                <c:pt idx="112">
                  <c:v>Bergen</c:v>
                </c:pt>
                <c:pt idx="113">
                  <c:v>Trondheim</c:v>
                </c:pt>
                <c:pt idx="114">
                  <c:v>Scotland: Band A</c:v>
                </c:pt>
                <c:pt idx="115">
                  <c:v>Lille</c:v>
                </c:pt>
                <c:pt idx="116">
                  <c:v>Brussels</c:v>
                </c:pt>
                <c:pt idx="117">
                  <c:v>Nancy</c:v>
                </c:pt>
                <c:pt idx="118">
                  <c:v>London</c:v>
                </c:pt>
                <c:pt idx="119">
                  <c:v>Antwerp</c:v>
                </c:pt>
                <c:pt idx="120">
                  <c:v>Lemesos</c:v>
                </c:pt>
                <c:pt idx="121">
                  <c:v>Larnaca</c:v>
                </c:pt>
                <c:pt idx="122">
                  <c:v>Espoo</c:v>
                </c:pt>
                <c:pt idx="123">
                  <c:v>Helsinki</c:v>
                </c:pt>
                <c:pt idx="124">
                  <c:v>Vantaa</c:v>
                </c:pt>
                <c:pt idx="125">
                  <c:v>Lefkosia</c:v>
                </c:pt>
                <c:pt idx="126">
                  <c:v>Lausanne</c:v>
                </c:pt>
                <c:pt idx="127">
                  <c:v>Brest</c:v>
                </c:pt>
                <c:pt idx="128">
                  <c:v>Scotland: Band B</c:v>
                </c:pt>
                <c:pt idx="129">
                  <c:v>Eindhoven</c:v>
                </c:pt>
                <c:pt idx="130">
                  <c:v>Basel</c:v>
                </c:pt>
                <c:pt idx="131">
                  <c:v>SEDIF</c:v>
                </c:pt>
                <c:pt idx="132">
                  <c:v>Oulu</c:v>
                </c:pt>
                <c:pt idx="133">
                  <c:v>Genk</c:v>
                </c:pt>
                <c:pt idx="134">
                  <c:v>Birmingham</c:v>
                </c:pt>
                <c:pt idx="135">
                  <c:v>Geneva</c:v>
                </c:pt>
                <c:pt idx="136">
                  <c:v>Leeds</c:v>
                </c:pt>
                <c:pt idx="137">
                  <c:v>Calgary</c:v>
                </c:pt>
                <c:pt idx="138">
                  <c:v>New York</c:v>
                </c:pt>
                <c:pt idx="139">
                  <c:v>Scotland: Band C</c:v>
                </c:pt>
                <c:pt idx="140">
                  <c:v>Louvain</c:v>
                </c:pt>
                <c:pt idx="141">
                  <c:v>Le Havre</c:v>
                </c:pt>
                <c:pt idx="142">
                  <c:v>Zürich</c:v>
                </c:pt>
                <c:pt idx="143">
                  <c:v>Kortrijk</c:v>
                </c:pt>
                <c:pt idx="144">
                  <c:v>Tampere</c:v>
                </c:pt>
                <c:pt idx="145">
                  <c:v>Amsterdam</c:v>
                </c:pt>
                <c:pt idx="146">
                  <c:v>Charleroi</c:v>
                </c:pt>
                <c:pt idx="147">
                  <c:v>Liège</c:v>
                </c:pt>
                <c:pt idx="148">
                  <c:v>Utrecht</c:v>
                </c:pt>
                <c:pt idx="149">
                  <c:v>Scotland: Band D</c:v>
                </c:pt>
                <c:pt idx="150">
                  <c:v>Cardiff</c:v>
                </c:pt>
                <c:pt idx="151">
                  <c:v>Turku</c:v>
                </c:pt>
                <c:pt idx="152">
                  <c:v>Copenhagen</c:v>
                </c:pt>
                <c:pt idx="153">
                  <c:v>Manchester</c:v>
                </c:pt>
                <c:pt idx="154">
                  <c:v>Vancouver</c:v>
                </c:pt>
                <c:pt idx="155">
                  <c:v>Washington D.C.</c:v>
                </c:pt>
                <c:pt idx="156">
                  <c:v>Den Haag</c:v>
                </c:pt>
                <c:pt idx="157">
                  <c:v>Bern</c:v>
                </c:pt>
                <c:pt idx="158">
                  <c:v>Scotland: Band E</c:v>
                </c:pt>
                <c:pt idx="159">
                  <c:v>Rotterdam</c:v>
                </c:pt>
                <c:pt idx="160">
                  <c:v>Aalborg</c:v>
                </c:pt>
                <c:pt idx="161">
                  <c:v>Esbjerg</c:v>
                </c:pt>
                <c:pt idx="162">
                  <c:v>Scotland: Band F</c:v>
                </c:pt>
                <c:pt idx="163">
                  <c:v>Aarhus</c:v>
                </c:pt>
                <c:pt idx="164">
                  <c:v>Odense</c:v>
                </c:pt>
                <c:pt idx="165">
                  <c:v>Scotland: Band G</c:v>
                </c:pt>
                <c:pt idx="166">
                  <c:v>Scotland: Band H</c:v>
                </c:pt>
              </c:strCache>
            </c:strRef>
          </c:cat>
          <c:val>
            <c:numRef>
              <c:f>'[1]total charges cities 100 m³ G'!$H$439:$H$605</c:f>
              <c:numCache>
                <c:formatCode>General</c:formatCode>
                <c:ptCount val="167"/>
                <c:pt idx="13">
                  <c:v>55.038552233605834</c:v>
                </c:pt>
                <c:pt idx="18">
                  <c:v>67.66</c:v>
                </c:pt>
                <c:pt idx="35">
                  <c:v>106.29004812086265</c:v>
                </c:pt>
              </c:numCache>
            </c:numRef>
          </c:val>
          <c:extLst>
            <c:ext xmlns:c16="http://schemas.microsoft.com/office/drawing/2014/chart" uri="{C3380CC4-5D6E-409C-BE32-E72D297353CC}">
              <c16:uniqueId val="{00000006-5E94-4221-8666-791223B4F2F3}"/>
            </c:ext>
          </c:extLst>
        </c:ser>
        <c:dLbls>
          <c:showLegendKey val="0"/>
          <c:showVal val="0"/>
          <c:showCatName val="0"/>
          <c:showSerName val="0"/>
          <c:showPercent val="0"/>
          <c:showBubbleSize val="0"/>
        </c:dLbls>
        <c:gapWidth val="55"/>
        <c:overlap val="100"/>
        <c:axId val="401231512"/>
        <c:axId val="401231904"/>
      </c:barChart>
      <c:catAx>
        <c:axId val="401231512"/>
        <c:scaling>
          <c:orientation val="minMax"/>
        </c:scaling>
        <c:delete val="0"/>
        <c:axPos val="b"/>
        <c:numFmt formatCode="General" sourceLinked="0"/>
        <c:majorTickMark val="none"/>
        <c:minorTickMark val="none"/>
        <c:tickLblPos val="nextTo"/>
        <c:txPr>
          <a:bodyPr/>
          <a:lstStyle/>
          <a:p>
            <a:pPr>
              <a:defRPr sz="1000"/>
            </a:pPr>
            <a:endParaRPr lang="en-US"/>
          </a:p>
        </c:txPr>
        <c:crossAx val="401231904"/>
        <c:crosses val="autoZero"/>
        <c:auto val="1"/>
        <c:lblAlgn val="ctr"/>
        <c:lblOffset val="100"/>
        <c:noMultiLvlLbl val="0"/>
      </c:catAx>
      <c:valAx>
        <c:axId val="401231904"/>
        <c:scaling>
          <c:orientation val="minMax"/>
        </c:scaling>
        <c:delete val="0"/>
        <c:axPos val="l"/>
        <c:majorGridlines/>
        <c:numFmt formatCode="General" sourceLinked="1"/>
        <c:majorTickMark val="none"/>
        <c:minorTickMark val="none"/>
        <c:tickLblPos val="nextTo"/>
        <c:crossAx val="401231512"/>
        <c:crosses val="autoZero"/>
        <c:crossBetween val="between"/>
      </c:valAx>
    </c:plotArea>
    <c:legend>
      <c:legendPos val="b"/>
      <c:layout/>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drinking water charges for 188 cities in 2017</a:t>
            </a:r>
          </a:p>
          <a:p>
            <a:pPr>
              <a:defRPr/>
            </a:pPr>
            <a:r>
              <a:rPr lang="en-US" sz="1100" baseline="0"/>
              <a:t>for a consumption of 100 m³ in 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'2017Total DW ch cities 100 m³'!$C$499</c:f>
              <c:strCache>
                <c:ptCount val="1"/>
                <c:pt idx="0">
                  <c:v>fixed charge drinking water</c:v>
                </c:pt>
              </c:strCache>
            </c:strRef>
          </c:tx>
          <c:spPr>
            <a:solidFill>
              <a:schemeClr val="accent1"/>
            </a:solidFill>
            <a:ln>
              <a:noFill/>
            </a:ln>
            <a:effectLst/>
          </c:spPr>
          <c:invertIfNegative val="0"/>
          <c:cat>
            <c:strRef>
              <c:extLst>
                <c:ext xmlns:c15="http://schemas.microsoft.com/office/drawing/2012/chart" uri="{02D57815-91ED-43cb-92C2-25804820EDAC}">
                  <c15:fullRef>
                    <c15:sqref>'2017Total DW ch cities 100 m³'!$A$500:$B$687</c15:sqref>
                  </c15:fullRef>
                  <c15:levelRef>
                    <c15:sqref>'2017Total DW ch cities 100 m³'!$A$500:$A$687</c15:sqref>
                  </c15:levelRef>
                </c:ext>
              </c:extLst>
              <c:f>'2017Total DW ch cities 100 m³'!$A$500:$A$687</c:f>
              <c:strCache>
                <c:ptCount val="188"/>
                <c:pt idx="0">
                  <c:v>Milan</c:v>
                </c:pt>
                <c:pt idx="1">
                  <c:v>Shanghai</c:v>
                </c:pt>
                <c:pt idx="2">
                  <c:v>Guangzhou</c:v>
                </c:pt>
                <c:pt idx="3">
                  <c:v>Yerevan</c:v>
                </c:pt>
                <c:pt idx="4">
                  <c:v>Beijing</c:v>
                </c:pt>
                <c:pt idx="5">
                  <c:v>Hong Kong</c:v>
                </c:pt>
                <c:pt idx="6">
                  <c:v>Shenzhen</c:v>
                </c:pt>
                <c:pt idx="7">
                  <c:v>Daejeon</c:v>
                </c:pt>
                <c:pt idx="8">
                  <c:v>Russia average</c:v>
                </c:pt>
                <c:pt idx="9">
                  <c:v>Miami</c:v>
                </c:pt>
                <c:pt idx="10">
                  <c:v>Taipei</c:v>
                </c:pt>
                <c:pt idx="11">
                  <c:v>Kaohsiung</c:v>
                </c:pt>
                <c:pt idx="12">
                  <c:v>Moscow</c:v>
                </c:pt>
                <c:pt idx="13">
                  <c:v>Seoul</c:v>
                </c:pt>
                <c:pt idx="14">
                  <c:v>Guadalajara</c:v>
                </c:pt>
                <c:pt idx="15">
                  <c:v>Gwangju</c:v>
                </c:pt>
                <c:pt idx="16">
                  <c:v>Rome</c:v>
                </c:pt>
                <c:pt idx="17">
                  <c:v>Monterrey</c:v>
                </c:pt>
                <c:pt idx="18">
                  <c:v>Tianjin</c:v>
                </c:pt>
                <c:pt idx="19">
                  <c:v>Incheon</c:v>
                </c:pt>
                <c:pt idx="20">
                  <c:v>Gyeounggi</c:v>
                </c:pt>
                <c:pt idx="21">
                  <c:v>Daegu</c:v>
                </c:pt>
                <c:pt idx="22">
                  <c:v>Izmir</c:v>
                </c:pt>
                <c:pt idx="23">
                  <c:v>San Luis Potosi</c:v>
                </c:pt>
                <c:pt idx="24">
                  <c:v>Turin</c:v>
                </c:pt>
                <c:pt idx="25">
                  <c:v>Busan</c:v>
                </c:pt>
                <c:pt idx="26">
                  <c:v>Cluj Napoca</c:v>
                </c:pt>
                <c:pt idx="27">
                  <c:v>Nagoya</c:v>
                </c:pt>
                <c:pt idx="28">
                  <c:v>Timisoara</c:v>
                </c:pt>
                <c:pt idx="29">
                  <c:v>Ulsan</c:v>
                </c:pt>
                <c:pt idx="30">
                  <c:v>Macao, China average</c:v>
                </c:pt>
                <c:pt idx="31">
                  <c:v>Sofia</c:v>
                </c:pt>
                <c:pt idx="32">
                  <c:v>Sibiu</c:v>
                </c:pt>
                <c:pt idx="33">
                  <c:v>Turda</c:v>
                </c:pt>
                <c:pt idx="34">
                  <c:v>Bologna</c:v>
                </c:pt>
                <c:pt idx="35">
                  <c:v>Medias</c:v>
                </c:pt>
                <c:pt idx="36">
                  <c:v>Oradea</c:v>
                </c:pt>
                <c:pt idx="37">
                  <c:v>Arad</c:v>
                </c:pt>
                <c:pt idx="38">
                  <c:v>Alexandria</c:v>
                </c:pt>
                <c:pt idx="39">
                  <c:v>Tarnow</c:v>
                </c:pt>
                <c:pt idx="40">
                  <c:v>Yokohama</c:v>
                </c:pt>
                <c:pt idx="41">
                  <c:v>Bucharest</c:v>
                </c:pt>
                <c:pt idx="42">
                  <c:v>Budapest</c:v>
                </c:pt>
                <c:pt idx="43">
                  <c:v>Burgas</c:v>
                </c:pt>
                <c:pt idx="44">
                  <c:v>Naples</c:v>
                </c:pt>
                <c:pt idx="45">
                  <c:v>Satu Mare</c:v>
                </c:pt>
                <c:pt idx="46">
                  <c:v>Bacau</c:v>
                </c:pt>
                <c:pt idx="47">
                  <c:v>Baia Mare</c:v>
                </c:pt>
                <c:pt idx="48">
                  <c:v>Hiroshima</c:v>
                </c:pt>
                <c:pt idx="49">
                  <c:v>Targu-Mures</c:v>
                </c:pt>
                <c:pt idx="50">
                  <c:v>Botosani</c:v>
                </c:pt>
                <c:pt idx="51">
                  <c:v>Piatra Neamt</c:v>
                </c:pt>
                <c:pt idx="52">
                  <c:v>Craiova</c:v>
                </c:pt>
                <c:pt idx="53">
                  <c:v>Chicago</c:v>
                </c:pt>
                <c:pt idx="54">
                  <c:v>Pitesti</c:v>
                </c:pt>
                <c:pt idx="55">
                  <c:v>Voluntari</c:v>
                </c:pt>
                <c:pt idx="56">
                  <c:v>Radom</c:v>
                </c:pt>
                <c:pt idx="57">
                  <c:v>Bistrita</c:v>
                </c:pt>
                <c:pt idx="58">
                  <c:v>Puebla</c:v>
                </c:pt>
                <c:pt idx="59">
                  <c:v>Brasov</c:v>
                </c:pt>
                <c:pt idx="60">
                  <c:v>Bialystok</c:v>
                </c:pt>
                <c:pt idx="61">
                  <c:v>Mexico City</c:v>
                </c:pt>
                <c:pt idx="62">
                  <c:v>Targoviste</c:v>
                </c:pt>
                <c:pt idx="63">
                  <c:v>Kaposvár</c:v>
                </c:pt>
                <c:pt idx="64">
                  <c:v>Drobeta Turnu-Severin</c:v>
                </c:pt>
                <c:pt idx="65">
                  <c:v>Osaka</c:v>
                </c:pt>
                <c:pt idx="66">
                  <c:v>Kampala</c:v>
                </c:pt>
                <c:pt idx="67">
                  <c:v>Jinja</c:v>
                </c:pt>
                <c:pt idx="68">
                  <c:v>Entebbe</c:v>
                </c:pt>
                <c:pt idx="69">
                  <c:v>Mbarara</c:v>
                </c:pt>
                <c:pt idx="70">
                  <c:v>Ramnicu Valcea</c:v>
                </c:pt>
                <c:pt idx="71">
                  <c:v>Pleven</c:v>
                </c:pt>
                <c:pt idx="72">
                  <c:v>Braila</c:v>
                </c:pt>
                <c:pt idx="73">
                  <c:v>Galati</c:v>
                </c:pt>
                <c:pt idx="74">
                  <c:v>Fukuoka</c:v>
                </c:pt>
                <c:pt idx="75">
                  <c:v>Vaslui</c:v>
                </c:pt>
                <c:pt idx="76">
                  <c:v>Constanta</c:v>
                </c:pt>
                <c:pt idx="77">
                  <c:v>Suceava</c:v>
                </c:pt>
                <c:pt idx="78">
                  <c:v>Sevilla</c:v>
                </c:pt>
                <c:pt idx="79">
                  <c:v>Bilbao</c:v>
                </c:pt>
                <c:pt idx="80">
                  <c:v>Prahova</c:v>
                </c:pt>
                <c:pt idx="81">
                  <c:v>León, Guanajuato</c:v>
                </c:pt>
                <c:pt idx="82">
                  <c:v>Faro</c:v>
                </c:pt>
                <c:pt idx="83">
                  <c:v>Petrosani</c:v>
                </c:pt>
                <c:pt idx="84">
                  <c:v>Miskolc</c:v>
                </c:pt>
                <c:pt idx="85">
                  <c:v>Ankara</c:v>
                </c:pt>
                <c:pt idx="86">
                  <c:v>Debrecen</c:v>
                </c:pt>
                <c:pt idx="87">
                  <c:v>Buzau</c:v>
                </c:pt>
                <c:pt idx="88">
                  <c:v>Warsaw</c:v>
                </c:pt>
                <c:pt idx="89">
                  <c:v>Stara Zagora</c:v>
                </c:pt>
                <c:pt idx="90">
                  <c:v>Utrecht</c:v>
                </c:pt>
                <c:pt idx="91">
                  <c:v>Madrid</c:v>
                </c:pt>
                <c:pt idx="92">
                  <c:v>Wroclaw</c:v>
                </c:pt>
                <c:pt idx="93">
                  <c:v>Istanbul</c:v>
                </c:pt>
                <c:pt idx="94">
                  <c:v>Lisbon</c:v>
                </c:pt>
                <c:pt idx="95">
                  <c:v>Tokyo</c:v>
                </c:pt>
                <c:pt idx="96">
                  <c:v>Braga</c:v>
                </c:pt>
                <c:pt idx="97">
                  <c:v>Bydgoszcz</c:v>
                </c:pt>
                <c:pt idx="98">
                  <c:v>Eindhoven</c:v>
                </c:pt>
                <c:pt idx="99">
                  <c:v>Coimbra</c:v>
                </c:pt>
                <c:pt idx="100">
                  <c:v>Sapporo</c:v>
                </c:pt>
                <c:pt idx="101">
                  <c:v>Razgrad</c:v>
                </c:pt>
                <c:pt idx="102">
                  <c:v>Porto</c:v>
                </c:pt>
                <c:pt idx="103">
                  <c:v>Sintra</c:v>
                </c:pt>
                <c:pt idx="104">
                  <c:v>Loures</c:v>
                </c:pt>
                <c:pt idx="105">
                  <c:v>Pécs</c:v>
                </c:pt>
                <c:pt idx="106">
                  <c:v>Paphos</c:v>
                </c:pt>
                <c:pt idx="107">
                  <c:v>Valencia</c:v>
                </c:pt>
                <c:pt idx="108">
                  <c:v>Minneapolis</c:v>
                </c:pt>
                <c:pt idx="109">
                  <c:v>Nicosia</c:v>
                </c:pt>
                <c:pt idx="110">
                  <c:v>Brno</c:v>
                </c:pt>
                <c:pt idx="111">
                  <c:v>Ostrava</c:v>
                </c:pt>
                <c:pt idx="112">
                  <c:v>New York</c:v>
                </c:pt>
                <c:pt idx="113">
                  <c:v>Bergen</c:v>
                </c:pt>
                <c:pt idx="114">
                  <c:v>Reims</c:v>
                </c:pt>
                <c:pt idx="115">
                  <c:v>Uppsala</c:v>
                </c:pt>
                <c:pt idx="116">
                  <c:v>Oslo</c:v>
                </c:pt>
                <c:pt idx="117">
                  <c:v>Trondheim</c:v>
                </c:pt>
                <c:pt idx="118">
                  <c:v>Limassol</c:v>
                </c:pt>
                <c:pt idx="119">
                  <c:v>Rotterdam</c:v>
                </c:pt>
                <c:pt idx="120">
                  <c:v>Larnaca</c:v>
                </c:pt>
                <c:pt idx="121">
                  <c:v>Amsterdam</c:v>
                </c:pt>
                <c:pt idx="122">
                  <c:v>Los Angeles</c:v>
                </c:pt>
                <c:pt idx="123">
                  <c:v>Strassbourg</c:v>
                </c:pt>
                <c:pt idx="124">
                  <c:v>Denver</c:v>
                </c:pt>
                <c:pt idx="125">
                  <c:v>Barcelona</c:v>
                </c:pt>
                <c:pt idx="126">
                  <c:v>Antwerp</c:v>
                </c:pt>
                <c:pt idx="127">
                  <c:v>Leeds</c:v>
                </c:pt>
                <c:pt idx="128">
                  <c:v>London</c:v>
                </c:pt>
                <c:pt idx="129">
                  <c:v>Paris</c:v>
                </c:pt>
                <c:pt idx="130">
                  <c:v>Prague</c:v>
                </c:pt>
                <c:pt idx="131">
                  <c:v>Cardiff</c:v>
                </c:pt>
                <c:pt idx="132">
                  <c:v>Sendai</c:v>
                </c:pt>
                <c:pt idx="133">
                  <c:v>Sydney</c:v>
                </c:pt>
                <c:pt idx="134">
                  <c:v>Lyon</c:v>
                </c:pt>
                <c:pt idx="135">
                  <c:v>Espoo</c:v>
                </c:pt>
                <c:pt idx="136">
                  <c:v>Helsinki</c:v>
                </c:pt>
                <c:pt idx="137">
                  <c:v>Vantaa</c:v>
                </c:pt>
                <c:pt idx="138">
                  <c:v>Den Haag</c:v>
                </c:pt>
                <c:pt idx="139">
                  <c:v>Usti nad Labem</c:v>
                </c:pt>
                <c:pt idx="140">
                  <c:v>Ottawa</c:v>
                </c:pt>
                <c:pt idx="141">
                  <c:v>Marseille</c:v>
                </c:pt>
                <c:pt idx="142">
                  <c:v>Berlin</c:v>
                </c:pt>
                <c:pt idx="143">
                  <c:v>Lausanne</c:v>
                </c:pt>
                <c:pt idx="144">
                  <c:v>Birmingham</c:v>
                </c:pt>
                <c:pt idx="145">
                  <c:v>SEDIF</c:v>
                </c:pt>
                <c:pt idx="146">
                  <c:v>Malta average</c:v>
                </c:pt>
                <c:pt idx="147">
                  <c:v>Plzeñ</c:v>
                </c:pt>
                <c:pt idx="148">
                  <c:v>Geneva</c:v>
                </c:pt>
                <c:pt idx="149">
                  <c:v>Louvain</c:v>
                </c:pt>
                <c:pt idx="150">
                  <c:v>Kortrijk</c:v>
                </c:pt>
                <c:pt idx="151">
                  <c:v>Genk</c:v>
                </c:pt>
                <c:pt idx="152">
                  <c:v>Austria average</c:v>
                </c:pt>
                <c:pt idx="153">
                  <c:v>Oulu</c:v>
                </c:pt>
                <c:pt idx="154">
                  <c:v>Lille</c:v>
                </c:pt>
                <c:pt idx="155">
                  <c:v>Durham</c:v>
                </c:pt>
                <c:pt idx="156">
                  <c:v>Bordeaux</c:v>
                </c:pt>
                <c:pt idx="157">
                  <c:v>Basel</c:v>
                </c:pt>
                <c:pt idx="158">
                  <c:v>Washington D.C.</c:v>
                </c:pt>
                <c:pt idx="159">
                  <c:v>Brest</c:v>
                </c:pt>
                <c:pt idx="160">
                  <c:v>Manchester</c:v>
                </c:pt>
                <c:pt idx="161">
                  <c:v>Canberra</c:v>
                </c:pt>
                <c:pt idx="162">
                  <c:v>Winnipeg</c:v>
                </c:pt>
                <c:pt idx="163">
                  <c:v>Nancy</c:v>
                </c:pt>
                <c:pt idx="164">
                  <c:v>Calgary</c:v>
                </c:pt>
                <c:pt idx="165">
                  <c:v>Brussels</c:v>
                </c:pt>
                <c:pt idx="166">
                  <c:v>Tampere</c:v>
                </c:pt>
                <c:pt idx="167">
                  <c:v>Le Havre</c:v>
                </c:pt>
                <c:pt idx="168">
                  <c:v>Ghent</c:v>
                </c:pt>
                <c:pt idx="169">
                  <c:v>Melbourne</c:v>
                </c:pt>
                <c:pt idx="170">
                  <c:v>Stockholm</c:v>
                </c:pt>
                <c:pt idx="171">
                  <c:v>Bern</c:v>
                </c:pt>
                <c:pt idx="172">
                  <c:v>Perth</c:v>
                </c:pt>
                <c:pt idx="173">
                  <c:v>Malmö</c:v>
                </c:pt>
                <c:pt idx="174">
                  <c:v>Charleroi</c:v>
                </c:pt>
                <c:pt idx="175">
                  <c:v>Liège</c:v>
                </c:pt>
                <c:pt idx="176">
                  <c:v>Esbjerg</c:v>
                </c:pt>
                <c:pt idx="177">
                  <c:v>Zürich</c:v>
                </c:pt>
                <c:pt idx="178">
                  <c:v>Turku</c:v>
                </c:pt>
                <c:pt idx="179">
                  <c:v>Copenhagen</c:v>
                </c:pt>
                <c:pt idx="180">
                  <c:v>Aarhus</c:v>
                </c:pt>
                <c:pt idx="181">
                  <c:v>Odense</c:v>
                </c:pt>
                <c:pt idx="182">
                  <c:v>Brisbane</c:v>
                </c:pt>
                <c:pt idx="183">
                  <c:v>Aalborg</c:v>
                </c:pt>
                <c:pt idx="184">
                  <c:v>Linköping</c:v>
                </c:pt>
                <c:pt idx="185">
                  <c:v>Saskatoon</c:v>
                </c:pt>
                <c:pt idx="186">
                  <c:v>Göteborg</c:v>
                </c:pt>
                <c:pt idx="187">
                  <c:v>Vancouver</c:v>
                </c:pt>
              </c:strCache>
            </c:strRef>
          </c:cat>
          <c:val>
            <c:numRef>
              <c:f>'2017Total DW ch cities 100 m³'!$C$500:$C$687</c:f>
              <c:numCache>
                <c:formatCode>0.00</c:formatCode>
                <c:ptCount val="188"/>
                <c:pt idx="0">
                  <c:v>0.36013973421687612</c:v>
                </c:pt>
                <c:pt idx="1">
                  <c:v>29.530465597007581</c:v>
                </c:pt>
                <c:pt idx="2">
                  <c:v>30.453292646914065</c:v>
                </c:pt>
                <c:pt idx="3">
                  <c:v>26.392844595536175</c:v>
                </c:pt>
                <c:pt idx="4">
                  <c:v>31.837533221773793</c:v>
                </c:pt>
                <c:pt idx="5">
                  <c:v>0</c:v>
                </c:pt>
                <c:pt idx="6">
                  <c:v>41.065803720838666</c:v>
                </c:pt>
                <c:pt idx="7">
                  <c:v>0</c:v>
                </c:pt>
                <c:pt idx="8">
                  <c:v>0</c:v>
                </c:pt>
                <c:pt idx="9">
                  <c:v>38.4</c:v>
                </c:pt>
                <c:pt idx="10">
                  <c:v>27.510121600805885</c:v>
                </c:pt>
                <c:pt idx="11">
                  <c:v>14.442813840423089</c:v>
                </c:pt>
                <c:pt idx="12">
                  <c:v>0</c:v>
                </c:pt>
                <c:pt idx="13">
                  <c:v>0</c:v>
                </c:pt>
                <c:pt idx="14">
                  <c:v>57.446721978200749</c:v>
                </c:pt>
                <c:pt idx="15">
                  <c:v>0</c:v>
                </c:pt>
                <c:pt idx="16">
                  <c:v>22.028547076265593</c:v>
                </c:pt>
                <c:pt idx="17">
                  <c:v>61.005368472425573</c:v>
                </c:pt>
                <c:pt idx="18">
                  <c:v>40.142976670932178</c:v>
                </c:pt>
                <c:pt idx="19">
                  <c:v>0</c:v>
                </c:pt>
                <c:pt idx="20">
                  <c:v>0</c:v>
                </c:pt>
                <c:pt idx="21">
                  <c:v>0</c:v>
                </c:pt>
                <c:pt idx="22">
                  <c:v>60.34732653437689</c:v>
                </c:pt>
                <c:pt idx="23">
                  <c:v>70.664551813892956</c:v>
                </c:pt>
                <c:pt idx="24">
                  <c:v>10.372024345446034</c:v>
                </c:pt>
                <c:pt idx="25">
                  <c:v>0</c:v>
                </c:pt>
                <c:pt idx="26">
                  <c:v>0</c:v>
                </c:pt>
                <c:pt idx="27">
                  <c:v>66.571407420741423</c:v>
                </c:pt>
                <c:pt idx="28">
                  <c:v>0</c:v>
                </c:pt>
                <c:pt idx="29">
                  <c:v>0</c:v>
                </c:pt>
                <c:pt idx="30">
                  <c:v>0</c:v>
                </c:pt>
                <c:pt idx="31">
                  <c:v>71.806453988633706</c:v>
                </c:pt>
                <c:pt idx="32">
                  <c:v>0</c:v>
                </c:pt>
                <c:pt idx="33">
                  <c:v>0</c:v>
                </c:pt>
                <c:pt idx="34">
                  <c:v>30.419802883518805</c:v>
                </c:pt>
                <c:pt idx="35">
                  <c:v>0</c:v>
                </c:pt>
                <c:pt idx="36">
                  <c:v>0</c:v>
                </c:pt>
                <c:pt idx="37">
                  <c:v>0</c:v>
                </c:pt>
                <c:pt idx="38">
                  <c:v>0</c:v>
                </c:pt>
                <c:pt idx="39">
                  <c:v>0</c:v>
                </c:pt>
                <c:pt idx="40">
                  <c:v>84.146258979817148</c:v>
                </c:pt>
                <c:pt idx="41">
                  <c:v>0</c:v>
                </c:pt>
                <c:pt idx="42">
                  <c:v>6.5670679389832856</c:v>
                </c:pt>
                <c:pt idx="43">
                  <c:v>79.171218500288447</c:v>
                </c:pt>
                <c:pt idx="44">
                  <c:v>13.013049063036458</c:v>
                </c:pt>
                <c:pt idx="45">
                  <c:v>0</c:v>
                </c:pt>
                <c:pt idx="46">
                  <c:v>0</c:v>
                </c:pt>
                <c:pt idx="47">
                  <c:v>0</c:v>
                </c:pt>
                <c:pt idx="48">
                  <c:v>86.27654401728087</c:v>
                </c:pt>
                <c:pt idx="49">
                  <c:v>0</c:v>
                </c:pt>
                <c:pt idx="50">
                  <c:v>0</c:v>
                </c:pt>
                <c:pt idx="51">
                  <c:v>0</c:v>
                </c:pt>
                <c:pt idx="52">
                  <c:v>0</c:v>
                </c:pt>
                <c:pt idx="53">
                  <c:v>0</c:v>
                </c:pt>
                <c:pt idx="54">
                  <c:v>0</c:v>
                </c:pt>
                <c:pt idx="55">
                  <c:v>0</c:v>
                </c:pt>
                <c:pt idx="56">
                  <c:v>0</c:v>
                </c:pt>
                <c:pt idx="57">
                  <c:v>0</c:v>
                </c:pt>
                <c:pt idx="58">
                  <c:v>104.21750447372702</c:v>
                </c:pt>
                <c:pt idx="59">
                  <c:v>0</c:v>
                </c:pt>
                <c:pt idx="60">
                  <c:v>0</c:v>
                </c:pt>
                <c:pt idx="61">
                  <c:v>105.74263868553766</c:v>
                </c:pt>
                <c:pt idx="62">
                  <c:v>0</c:v>
                </c:pt>
                <c:pt idx="63">
                  <c:v>0</c:v>
                </c:pt>
                <c:pt idx="64">
                  <c:v>0</c:v>
                </c:pt>
                <c:pt idx="65">
                  <c:v>90.537114092208327</c:v>
                </c:pt>
                <c:pt idx="66">
                  <c:v>4.9608404483911857</c:v>
                </c:pt>
                <c:pt idx="67">
                  <c:v>4.9608404483911857</c:v>
                </c:pt>
                <c:pt idx="68">
                  <c:v>4.9608404483911857</c:v>
                </c:pt>
                <c:pt idx="69">
                  <c:v>4.9608404483911857</c:v>
                </c:pt>
                <c:pt idx="70">
                  <c:v>0</c:v>
                </c:pt>
                <c:pt idx="71">
                  <c:v>90.832095643741795</c:v>
                </c:pt>
                <c:pt idx="72">
                  <c:v>0</c:v>
                </c:pt>
                <c:pt idx="73">
                  <c:v>0</c:v>
                </c:pt>
                <c:pt idx="74">
                  <c:v>90.537114092208327</c:v>
                </c:pt>
                <c:pt idx="75">
                  <c:v>0</c:v>
                </c:pt>
                <c:pt idx="76">
                  <c:v>0</c:v>
                </c:pt>
                <c:pt idx="77">
                  <c:v>0</c:v>
                </c:pt>
                <c:pt idx="78">
                  <c:v>0</c:v>
                </c:pt>
                <c:pt idx="79">
                  <c:v>0</c:v>
                </c:pt>
                <c:pt idx="80">
                  <c:v>0</c:v>
                </c:pt>
                <c:pt idx="81">
                  <c:v>116.92695623881568</c:v>
                </c:pt>
                <c:pt idx="82">
                  <c:v>40.743808597735921</c:v>
                </c:pt>
                <c:pt idx="83">
                  <c:v>0</c:v>
                </c:pt>
                <c:pt idx="84">
                  <c:v>0</c:v>
                </c:pt>
                <c:pt idx="85">
                  <c:v>116.47824597464884</c:v>
                </c:pt>
                <c:pt idx="86">
                  <c:v>4.7553297840520141</c:v>
                </c:pt>
                <c:pt idx="87">
                  <c:v>0</c:v>
                </c:pt>
                <c:pt idx="88">
                  <c:v>0</c:v>
                </c:pt>
                <c:pt idx="89">
                  <c:v>111.08519805079233</c:v>
                </c:pt>
                <c:pt idx="90">
                  <c:v>54.020960132531421</c:v>
                </c:pt>
                <c:pt idx="91">
                  <c:v>0</c:v>
                </c:pt>
                <c:pt idx="92">
                  <c:v>0</c:v>
                </c:pt>
                <c:pt idx="93">
                  <c:v>117.26882230479352</c:v>
                </c:pt>
                <c:pt idx="94">
                  <c:v>68.426549501206466</c:v>
                </c:pt>
                <c:pt idx="95">
                  <c:v>124.62167469162793</c:v>
                </c:pt>
                <c:pt idx="96">
                  <c:v>67.190069747061855</c:v>
                </c:pt>
                <c:pt idx="97">
                  <c:v>0</c:v>
                </c:pt>
                <c:pt idx="98">
                  <c:v>84.560809594122517</c:v>
                </c:pt>
                <c:pt idx="99">
                  <c:v>56.181798537832677</c:v>
                </c:pt>
                <c:pt idx="100">
                  <c:v>140.59881247260589</c:v>
                </c:pt>
                <c:pt idx="101">
                  <c:v>128.88337895395793</c:v>
                </c:pt>
                <c:pt idx="102">
                  <c:v>49.963385793687948</c:v>
                </c:pt>
                <c:pt idx="103">
                  <c:v>58.630748730507442</c:v>
                </c:pt>
                <c:pt idx="104">
                  <c:v>45.749750903350495</c:v>
                </c:pt>
                <c:pt idx="105">
                  <c:v>0</c:v>
                </c:pt>
                <c:pt idx="106">
                  <c:v>57.622357474700181</c:v>
                </c:pt>
                <c:pt idx="107">
                  <c:v>0</c:v>
                </c:pt>
                <c:pt idx="108">
                  <c:v>48</c:v>
                </c:pt>
                <c:pt idx="109">
                  <c:v>50.419562790362662</c:v>
                </c:pt>
                <c:pt idx="110">
                  <c:v>0</c:v>
                </c:pt>
                <c:pt idx="111">
                  <c:v>0</c:v>
                </c:pt>
                <c:pt idx="112">
                  <c:v>0</c:v>
                </c:pt>
                <c:pt idx="113">
                  <c:v>149.78069133112257</c:v>
                </c:pt>
                <c:pt idx="114">
                  <c:v>13.145100298915978</c:v>
                </c:pt>
                <c:pt idx="115">
                  <c:v>0</c:v>
                </c:pt>
                <c:pt idx="116">
                  <c:v>37.536576834813467</c:v>
                </c:pt>
                <c:pt idx="117">
                  <c:v>38.609050458665287</c:v>
                </c:pt>
                <c:pt idx="118">
                  <c:v>79.230741527712752</c:v>
                </c:pt>
                <c:pt idx="119">
                  <c:v>70.827481062652311</c:v>
                </c:pt>
                <c:pt idx="120">
                  <c:v>79.230741527712752</c:v>
                </c:pt>
                <c:pt idx="121">
                  <c:v>50.599632657471098</c:v>
                </c:pt>
                <c:pt idx="122">
                  <c:v>0</c:v>
                </c:pt>
                <c:pt idx="123">
                  <c:v>32.040431687494745</c:v>
                </c:pt>
                <c:pt idx="124">
                  <c:v>142.32</c:v>
                </c:pt>
                <c:pt idx="125">
                  <c:v>0</c:v>
                </c:pt>
                <c:pt idx="126">
                  <c:v>31.212110298795931</c:v>
                </c:pt>
                <c:pt idx="127">
                  <c:v>32.530543842577572</c:v>
                </c:pt>
                <c:pt idx="128">
                  <c:v>42.301870472483515</c:v>
                </c:pt>
                <c:pt idx="129">
                  <c:v>24.741599740699389</c:v>
                </c:pt>
                <c:pt idx="130">
                  <c:v>0</c:v>
                </c:pt>
                <c:pt idx="131">
                  <c:v>46.559087468915564</c:v>
                </c:pt>
                <c:pt idx="132">
                  <c:v>133.14281484148285</c:v>
                </c:pt>
                <c:pt idx="133">
                  <c:v>70.200070200070201</c:v>
                </c:pt>
                <c:pt idx="134">
                  <c:v>49.447185507977089</c:v>
                </c:pt>
                <c:pt idx="135">
                  <c:v>47.44240765416982</c:v>
                </c:pt>
                <c:pt idx="136">
                  <c:v>47.44240765416982</c:v>
                </c:pt>
                <c:pt idx="137">
                  <c:v>47.44240765416982</c:v>
                </c:pt>
                <c:pt idx="138">
                  <c:v>73.444496464628273</c:v>
                </c:pt>
                <c:pt idx="139">
                  <c:v>0</c:v>
                </c:pt>
                <c:pt idx="140">
                  <c:v>87.214433957013028</c:v>
                </c:pt>
                <c:pt idx="141">
                  <c:v>11.356406285638828</c:v>
                </c:pt>
                <c:pt idx="142">
                  <c:v>19.723652777277582</c:v>
                </c:pt>
                <c:pt idx="143">
                  <c:v>71.837605960468792</c:v>
                </c:pt>
                <c:pt idx="144">
                  <c:v>35.247053735538977</c:v>
                </c:pt>
                <c:pt idx="145">
                  <c:v>27.178545275566918</c:v>
                </c:pt>
                <c:pt idx="146">
                  <c:v>70.827481062652311</c:v>
                </c:pt>
                <c:pt idx="147">
                  <c:v>0</c:v>
                </c:pt>
                <c:pt idx="148">
                  <c:v>114.94016953675008</c:v>
                </c:pt>
                <c:pt idx="149">
                  <c:v>24.009315614458409</c:v>
                </c:pt>
                <c:pt idx="150">
                  <c:v>24.009315614458409</c:v>
                </c:pt>
                <c:pt idx="151">
                  <c:v>24.009315614458409</c:v>
                </c:pt>
                <c:pt idx="152">
                  <c:v>44.417233886748058</c:v>
                </c:pt>
                <c:pt idx="153">
                  <c:v>50.347534843519284</c:v>
                </c:pt>
                <c:pt idx="154">
                  <c:v>44.801382936579394</c:v>
                </c:pt>
                <c:pt idx="155">
                  <c:v>167.65400488235434</c:v>
                </c:pt>
                <c:pt idx="156">
                  <c:v>66.409766989591958</c:v>
                </c:pt>
                <c:pt idx="157">
                  <c:v>28.735042384187519</c:v>
                </c:pt>
                <c:pt idx="158">
                  <c:v>121.92</c:v>
                </c:pt>
                <c:pt idx="159">
                  <c:v>14.837757049735297</c:v>
                </c:pt>
                <c:pt idx="160">
                  <c:v>43.031679100443291</c:v>
                </c:pt>
                <c:pt idx="161">
                  <c:v>79.154479154479162</c:v>
                </c:pt>
                <c:pt idx="162">
                  <c:v>142.60609578638508</c:v>
                </c:pt>
                <c:pt idx="163">
                  <c:v>49.147069062796362</c:v>
                </c:pt>
                <c:pt idx="164">
                  <c:v>148.76072487853753</c:v>
                </c:pt>
                <c:pt idx="165">
                  <c:v>28.81117873735009</c:v>
                </c:pt>
                <c:pt idx="166">
                  <c:v>96.817565215303546</c:v>
                </c:pt>
                <c:pt idx="167">
                  <c:v>36.458145760555098</c:v>
                </c:pt>
                <c:pt idx="168">
                  <c:v>31.212110298795931</c:v>
                </c:pt>
                <c:pt idx="169">
                  <c:v>129.72192972192974</c:v>
                </c:pt>
                <c:pt idx="170">
                  <c:v>206.24267029725661</c:v>
                </c:pt>
                <c:pt idx="171">
                  <c:v>55.417581740933073</c:v>
                </c:pt>
                <c:pt idx="172">
                  <c:v>184.32978432978433</c:v>
                </c:pt>
                <c:pt idx="173">
                  <c:v>202.56633036325914</c:v>
                </c:pt>
                <c:pt idx="174">
                  <c:v>62.904406909881033</c:v>
                </c:pt>
                <c:pt idx="175">
                  <c:v>67.430162903206437</c:v>
                </c:pt>
                <c:pt idx="176">
                  <c:v>106.77430066379313</c:v>
                </c:pt>
                <c:pt idx="177">
                  <c:v>139.57020586605367</c:v>
                </c:pt>
                <c:pt idx="178">
                  <c:v>129.72233226491878</c:v>
                </c:pt>
                <c:pt idx="179">
                  <c:v>61.898145312343843</c:v>
                </c:pt>
                <c:pt idx="180">
                  <c:v>88.720674947692842</c:v>
                </c:pt>
                <c:pt idx="181">
                  <c:v>77.372681640429803</c:v>
                </c:pt>
                <c:pt idx="182">
                  <c:v>149.97854997854998</c:v>
                </c:pt>
                <c:pt idx="183">
                  <c:v>161.19308675089545</c:v>
                </c:pt>
                <c:pt idx="184">
                  <c:v>285.5290682071348</c:v>
                </c:pt>
                <c:pt idx="185">
                  <c:v>190.84121215976592</c:v>
                </c:pt>
                <c:pt idx="186">
                  <c:v>299.37661529185851</c:v>
                </c:pt>
                <c:pt idx="187">
                  <c:v>489.8257778767325</c:v>
                </c:pt>
              </c:numCache>
            </c:numRef>
          </c:val>
          <c:extLst>
            <c:ext xmlns:c16="http://schemas.microsoft.com/office/drawing/2014/chart" uri="{C3380CC4-5D6E-409C-BE32-E72D297353CC}">
              <c16:uniqueId val="{00000000-C556-47B3-9B5A-E10A74A4E58B}"/>
            </c:ext>
          </c:extLst>
        </c:ser>
        <c:ser>
          <c:idx val="1"/>
          <c:order val="1"/>
          <c:tx>
            <c:strRef>
              <c:f>'2017Total DW ch cities 100 m³'!$D$499</c:f>
              <c:strCache>
                <c:ptCount val="1"/>
                <c:pt idx="0">
                  <c:v>variable charge drinking water</c:v>
                </c:pt>
              </c:strCache>
            </c:strRef>
          </c:tx>
          <c:spPr>
            <a:solidFill>
              <a:schemeClr val="accent2"/>
            </a:solidFill>
            <a:ln>
              <a:noFill/>
            </a:ln>
            <a:effectLst/>
          </c:spPr>
          <c:invertIfNegative val="0"/>
          <c:cat>
            <c:strRef>
              <c:extLst>
                <c:ext xmlns:c15="http://schemas.microsoft.com/office/drawing/2012/chart" uri="{02D57815-91ED-43cb-92C2-25804820EDAC}">
                  <c15:fullRef>
                    <c15:sqref>'2017Total DW ch cities 100 m³'!$A$500:$B$687</c15:sqref>
                  </c15:fullRef>
                  <c15:levelRef>
                    <c15:sqref>'2017Total DW ch cities 100 m³'!$A$500:$A$687</c15:sqref>
                  </c15:levelRef>
                </c:ext>
              </c:extLst>
              <c:f>'2017Total DW ch cities 100 m³'!$A$500:$A$687</c:f>
              <c:strCache>
                <c:ptCount val="188"/>
                <c:pt idx="0">
                  <c:v>Milan</c:v>
                </c:pt>
                <c:pt idx="1">
                  <c:v>Shanghai</c:v>
                </c:pt>
                <c:pt idx="2">
                  <c:v>Guangzhou</c:v>
                </c:pt>
                <c:pt idx="3">
                  <c:v>Yerevan</c:v>
                </c:pt>
                <c:pt idx="4">
                  <c:v>Beijing</c:v>
                </c:pt>
                <c:pt idx="5">
                  <c:v>Hong Kong</c:v>
                </c:pt>
                <c:pt idx="6">
                  <c:v>Shenzhen</c:v>
                </c:pt>
                <c:pt idx="7">
                  <c:v>Daejeon</c:v>
                </c:pt>
                <c:pt idx="8">
                  <c:v>Russia average</c:v>
                </c:pt>
                <c:pt idx="9">
                  <c:v>Miami</c:v>
                </c:pt>
                <c:pt idx="10">
                  <c:v>Taipei</c:v>
                </c:pt>
                <c:pt idx="11">
                  <c:v>Kaohsiung</c:v>
                </c:pt>
                <c:pt idx="12">
                  <c:v>Moscow</c:v>
                </c:pt>
                <c:pt idx="13">
                  <c:v>Seoul</c:v>
                </c:pt>
                <c:pt idx="14">
                  <c:v>Guadalajara</c:v>
                </c:pt>
                <c:pt idx="15">
                  <c:v>Gwangju</c:v>
                </c:pt>
                <c:pt idx="16">
                  <c:v>Rome</c:v>
                </c:pt>
                <c:pt idx="17">
                  <c:v>Monterrey</c:v>
                </c:pt>
                <c:pt idx="18">
                  <c:v>Tianjin</c:v>
                </c:pt>
                <c:pt idx="19">
                  <c:v>Incheon</c:v>
                </c:pt>
                <c:pt idx="20">
                  <c:v>Gyeounggi</c:v>
                </c:pt>
                <c:pt idx="21">
                  <c:v>Daegu</c:v>
                </c:pt>
                <c:pt idx="22">
                  <c:v>Izmir</c:v>
                </c:pt>
                <c:pt idx="23">
                  <c:v>San Luis Potosi</c:v>
                </c:pt>
                <c:pt idx="24">
                  <c:v>Turin</c:v>
                </c:pt>
                <c:pt idx="25">
                  <c:v>Busan</c:v>
                </c:pt>
                <c:pt idx="26">
                  <c:v>Cluj Napoca</c:v>
                </c:pt>
                <c:pt idx="27">
                  <c:v>Nagoya</c:v>
                </c:pt>
                <c:pt idx="28">
                  <c:v>Timisoara</c:v>
                </c:pt>
                <c:pt idx="29">
                  <c:v>Ulsan</c:v>
                </c:pt>
                <c:pt idx="30">
                  <c:v>Macao, China average</c:v>
                </c:pt>
                <c:pt idx="31">
                  <c:v>Sofia</c:v>
                </c:pt>
                <c:pt idx="32">
                  <c:v>Sibiu</c:v>
                </c:pt>
                <c:pt idx="33">
                  <c:v>Turda</c:v>
                </c:pt>
                <c:pt idx="34">
                  <c:v>Bologna</c:v>
                </c:pt>
                <c:pt idx="35">
                  <c:v>Medias</c:v>
                </c:pt>
                <c:pt idx="36">
                  <c:v>Oradea</c:v>
                </c:pt>
                <c:pt idx="37">
                  <c:v>Arad</c:v>
                </c:pt>
                <c:pt idx="38">
                  <c:v>Alexandria</c:v>
                </c:pt>
                <c:pt idx="39">
                  <c:v>Tarnow</c:v>
                </c:pt>
                <c:pt idx="40">
                  <c:v>Yokohama</c:v>
                </c:pt>
                <c:pt idx="41">
                  <c:v>Bucharest</c:v>
                </c:pt>
                <c:pt idx="42">
                  <c:v>Budapest</c:v>
                </c:pt>
                <c:pt idx="43">
                  <c:v>Burgas</c:v>
                </c:pt>
                <c:pt idx="44">
                  <c:v>Naples</c:v>
                </c:pt>
                <c:pt idx="45">
                  <c:v>Satu Mare</c:v>
                </c:pt>
                <c:pt idx="46">
                  <c:v>Bacau</c:v>
                </c:pt>
                <c:pt idx="47">
                  <c:v>Baia Mare</c:v>
                </c:pt>
                <c:pt idx="48">
                  <c:v>Hiroshima</c:v>
                </c:pt>
                <c:pt idx="49">
                  <c:v>Targu-Mures</c:v>
                </c:pt>
                <c:pt idx="50">
                  <c:v>Botosani</c:v>
                </c:pt>
                <c:pt idx="51">
                  <c:v>Piatra Neamt</c:v>
                </c:pt>
                <c:pt idx="52">
                  <c:v>Craiova</c:v>
                </c:pt>
                <c:pt idx="53">
                  <c:v>Chicago</c:v>
                </c:pt>
                <c:pt idx="54">
                  <c:v>Pitesti</c:v>
                </c:pt>
                <c:pt idx="55">
                  <c:v>Voluntari</c:v>
                </c:pt>
                <c:pt idx="56">
                  <c:v>Radom</c:v>
                </c:pt>
                <c:pt idx="57">
                  <c:v>Bistrita</c:v>
                </c:pt>
                <c:pt idx="58">
                  <c:v>Puebla</c:v>
                </c:pt>
                <c:pt idx="59">
                  <c:v>Brasov</c:v>
                </c:pt>
                <c:pt idx="60">
                  <c:v>Bialystok</c:v>
                </c:pt>
                <c:pt idx="61">
                  <c:v>Mexico City</c:v>
                </c:pt>
                <c:pt idx="62">
                  <c:v>Targoviste</c:v>
                </c:pt>
                <c:pt idx="63">
                  <c:v>Kaposvár</c:v>
                </c:pt>
                <c:pt idx="64">
                  <c:v>Drobeta Turnu-Severin</c:v>
                </c:pt>
                <c:pt idx="65">
                  <c:v>Osaka</c:v>
                </c:pt>
                <c:pt idx="66">
                  <c:v>Kampala</c:v>
                </c:pt>
                <c:pt idx="67">
                  <c:v>Jinja</c:v>
                </c:pt>
                <c:pt idx="68">
                  <c:v>Entebbe</c:v>
                </c:pt>
                <c:pt idx="69">
                  <c:v>Mbarara</c:v>
                </c:pt>
                <c:pt idx="70">
                  <c:v>Ramnicu Valcea</c:v>
                </c:pt>
                <c:pt idx="71">
                  <c:v>Pleven</c:v>
                </c:pt>
                <c:pt idx="72">
                  <c:v>Braila</c:v>
                </c:pt>
                <c:pt idx="73">
                  <c:v>Galati</c:v>
                </c:pt>
                <c:pt idx="74">
                  <c:v>Fukuoka</c:v>
                </c:pt>
                <c:pt idx="75">
                  <c:v>Vaslui</c:v>
                </c:pt>
                <c:pt idx="76">
                  <c:v>Constanta</c:v>
                </c:pt>
                <c:pt idx="77">
                  <c:v>Suceava</c:v>
                </c:pt>
                <c:pt idx="78">
                  <c:v>Sevilla</c:v>
                </c:pt>
                <c:pt idx="79">
                  <c:v>Bilbao</c:v>
                </c:pt>
                <c:pt idx="80">
                  <c:v>Prahova</c:v>
                </c:pt>
                <c:pt idx="81">
                  <c:v>León, Guanajuato</c:v>
                </c:pt>
                <c:pt idx="82">
                  <c:v>Faro</c:v>
                </c:pt>
                <c:pt idx="83">
                  <c:v>Petrosani</c:v>
                </c:pt>
                <c:pt idx="84">
                  <c:v>Miskolc</c:v>
                </c:pt>
                <c:pt idx="85">
                  <c:v>Ankara</c:v>
                </c:pt>
                <c:pt idx="86">
                  <c:v>Debrecen</c:v>
                </c:pt>
                <c:pt idx="87">
                  <c:v>Buzau</c:v>
                </c:pt>
                <c:pt idx="88">
                  <c:v>Warsaw</c:v>
                </c:pt>
                <c:pt idx="89">
                  <c:v>Stara Zagora</c:v>
                </c:pt>
                <c:pt idx="90">
                  <c:v>Utrecht</c:v>
                </c:pt>
                <c:pt idx="91">
                  <c:v>Madrid</c:v>
                </c:pt>
                <c:pt idx="92">
                  <c:v>Wroclaw</c:v>
                </c:pt>
                <c:pt idx="93">
                  <c:v>Istanbul</c:v>
                </c:pt>
                <c:pt idx="94">
                  <c:v>Lisbon</c:v>
                </c:pt>
                <c:pt idx="95">
                  <c:v>Tokyo</c:v>
                </c:pt>
                <c:pt idx="96">
                  <c:v>Braga</c:v>
                </c:pt>
                <c:pt idx="97">
                  <c:v>Bydgoszcz</c:v>
                </c:pt>
                <c:pt idx="98">
                  <c:v>Eindhoven</c:v>
                </c:pt>
                <c:pt idx="99">
                  <c:v>Coimbra</c:v>
                </c:pt>
                <c:pt idx="100">
                  <c:v>Sapporo</c:v>
                </c:pt>
                <c:pt idx="101">
                  <c:v>Razgrad</c:v>
                </c:pt>
                <c:pt idx="102">
                  <c:v>Porto</c:v>
                </c:pt>
                <c:pt idx="103">
                  <c:v>Sintra</c:v>
                </c:pt>
                <c:pt idx="104">
                  <c:v>Loures</c:v>
                </c:pt>
                <c:pt idx="105">
                  <c:v>Pécs</c:v>
                </c:pt>
                <c:pt idx="106">
                  <c:v>Paphos</c:v>
                </c:pt>
                <c:pt idx="107">
                  <c:v>Valencia</c:v>
                </c:pt>
                <c:pt idx="108">
                  <c:v>Minneapolis</c:v>
                </c:pt>
                <c:pt idx="109">
                  <c:v>Nicosia</c:v>
                </c:pt>
                <c:pt idx="110">
                  <c:v>Brno</c:v>
                </c:pt>
                <c:pt idx="111">
                  <c:v>Ostrava</c:v>
                </c:pt>
                <c:pt idx="112">
                  <c:v>New York</c:v>
                </c:pt>
                <c:pt idx="113">
                  <c:v>Bergen</c:v>
                </c:pt>
                <c:pt idx="114">
                  <c:v>Reims</c:v>
                </c:pt>
                <c:pt idx="115">
                  <c:v>Uppsala</c:v>
                </c:pt>
                <c:pt idx="116">
                  <c:v>Oslo</c:v>
                </c:pt>
                <c:pt idx="117">
                  <c:v>Trondheim</c:v>
                </c:pt>
                <c:pt idx="118">
                  <c:v>Limassol</c:v>
                </c:pt>
                <c:pt idx="119">
                  <c:v>Rotterdam</c:v>
                </c:pt>
                <c:pt idx="120">
                  <c:v>Larnaca</c:v>
                </c:pt>
                <c:pt idx="121">
                  <c:v>Amsterdam</c:v>
                </c:pt>
                <c:pt idx="122">
                  <c:v>Los Angeles</c:v>
                </c:pt>
                <c:pt idx="123">
                  <c:v>Strassbourg</c:v>
                </c:pt>
                <c:pt idx="124">
                  <c:v>Denver</c:v>
                </c:pt>
                <c:pt idx="125">
                  <c:v>Barcelona</c:v>
                </c:pt>
                <c:pt idx="126">
                  <c:v>Antwerp</c:v>
                </c:pt>
                <c:pt idx="127">
                  <c:v>Leeds</c:v>
                </c:pt>
                <c:pt idx="128">
                  <c:v>London</c:v>
                </c:pt>
                <c:pt idx="129">
                  <c:v>Paris</c:v>
                </c:pt>
                <c:pt idx="130">
                  <c:v>Prague</c:v>
                </c:pt>
                <c:pt idx="131">
                  <c:v>Cardiff</c:v>
                </c:pt>
                <c:pt idx="132">
                  <c:v>Sendai</c:v>
                </c:pt>
                <c:pt idx="133">
                  <c:v>Sydney</c:v>
                </c:pt>
                <c:pt idx="134">
                  <c:v>Lyon</c:v>
                </c:pt>
                <c:pt idx="135">
                  <c:v>Espoo</c:v>
                </c:pt>
                <c:pt idx="136">
                  <c:v>Helsinki</c:v>
                </c:pt>
                <c:pt idx="137">
                  <c:v>Vantaa</c:v>
                </c:pt>
                <c:pt idx="138">
                  <c:v>Den Haag</c:v>
                </c:pt>
                <c:pt idx="139">
                  <c:v>Usti nad Labem</c:v>
                </c:pt>
                <c:pt idx="140">
                  <c:v>Ottawa</c:v>
                </c:pt>
                <c:pt idx="141">
                  <c:v>Marseille</c:v>
                </c:pt>
                <c:pt idx="142">
                  <c:v>Berlin</c:v>
                </c:pt>
                <c:pt idx="143">
                  <c:v>Lausanne</c:v>
                </c:pt>
                <c:pt idx="144">
                  <c:v>Birmingham</c:v>
                </c:pt>
                <c:pt idx="145">
                  <c:v>SEDIF</c:v>
                </c:pt>
                <c:pt idx="146">
                  <c:v>Malta average</c:v>
                </c:pt>
                <c:pt idx="147">
                  <c:v>Plzeñ</c:v>
                </c:pt>
                <c:pt idx="148">
                  <c:v>Geneva</c:v>
                </c:pt>
                <c:pt idx="149">
                  <c:v>Louvain</c:v>
                </c:pt>
                <c:pt idx="150">
                  <c:v>Kortrijk</c:v>
                </c:pt>
                <c:pt idx="151">
                  <c:v>Genk</c:v>
                </c:pt>
                <c:pt idx="152">
                  <c:v>Austria average</c:v>
                </c:pt>
                <c:pt idx="153">
                  <c:v>Oulu</c:v>
                </c:pt>
                <c:pt idx="154">
                  <c:v>Lille</c:v>
                </c:pt>
                <c:pt idx="155">
                  <c:v>Durham</c:v>
                </c:pt>
                <c:pt idx="156">
                  <c:v>Bordeaux</c:v>
                </c:pt>
                <c:pt idx="157">
                  <c:v>Basel</c:v>
                </c:pt>
                <c:pt idx="158">
                  <c:v>Washington D.C.</c:v>
                </c:pt>
                <c:pt idx="159">
                  <c:v>Brest</c:v>
                </c:pt>
                <c:pt idx="160">
                  <c:v>Manchester</c:v>
                </c:pt>
                <c:pt idx="161">
                  <c:v>Canberra</c:v>
                </c:pt>
                <c:pt idx="162">
                  <c:v>Winnipeg</c:v>
                </c:pt>
                <c:pt idx="163">
                  <c:v>Nancy</c:v>
                </c:pt>
                <c:pt idx="164">
                  <c:v>Calgary</c:v>
                </c:pt>
                <c:pt idx="165">
                  <c:v>Brussels</c:v>
                </c:pt>
                <c:pt idx="166">
                  <c:v>Tampere</c:v>
                </c:pt>
                <c:pt idx="167">
                  <c:v>Le Havre</c:v>
                </c:pt>
                <c:pt idx="168">
                  <c:v>Ghent</c:v>
                </c:pt>
                <c:pt idx="169">
                  <c:v>Melbourne</c:v>
                </c:pt>
                <c:pt idx="170">
                  <c:v>Stockholm</c:v>
                </c:pt>
                <c:pt idx="171">
                  <c:v>Bern</c:v>
                </c:pt>
                <c:pt idx="172">
                  <c:v>Perth</c:v>
                </c:pt>
                <c:pt idx="173">
                  <c:v>Malmö</c:v>
                </c:pt>
                <c:pt idx="174">
                  <c:v>Charleroi</c:v>
                </c:pt>
                <c:pt idx="175">
                  <c:v>Liège</c:v>
                </c:pt>
                <c:pt idx="176">
                  <c:v>Esbjerg</c:v>
                </c:pt>
                <c:pt idx="177">
                  <c:v>Zürich</c:v>
                </c:pt>
                <c:pt idx="178">
                  <c:v>Turku</c:v>
                </c:pt>
                <c:pt idx="179">
                  <c:v>Copenhagen</c:v>
                </c:pt>
                <c:pt idx="180">
                  <c:v>Aarhus</c:v>
                </c:pt>
                <c:pt idx="181">
                  <c:v>Odense</c:v>
                </c:pt>
                <c:pt idx="182">
                  <c:v>Brisbane</c:v>
                </c:pt>
                <c:pt idx="183">
                  <c:v>Aalborg</c:v>
                </c:pt>
                <c:pt idx="184">
                  <c:v>Linköping</c:v>
                </c:pt>
                <c:pt idx="185">
                  <c:v>Saskatoon</c:v>
                </c:pt>
                <c:pt idx="186">
                  <c:v>Göteborg</c:v>
                </c:pt>
                <c:pt idx="187">
                  <c:v>Vancouver</c:v>
                </c:pt>
              </c:strCache>
            </c:strRef>
          </c:cat>
          <c:val>
            <c:numRef>
              <c:f>'2017Total DW ch cities 100 m³'!$D$500:$D$687</c:f>
              <c:numCache>
                <c:formatCode>0.00</c:formatCode>
                <c:ptCount val="188"/>
                <c:pt idx="0">
                  <c:v>17.022604770651011</c:v>
                </c:pt>
                <c:pt idx="1">
                  <c:v>0</c:v>
                </c:pt>
                <c:pt idx="2">
                  <c:v>0</c:v>
                </c:pt>
                <c:pt idx="3">
                  <c:v>0</c:v>
                </c:pt>
                <c:pt idx="4">
                  <c:v>0</c:v>
                </c:pt>
                <c:pt idx="5">
                  <c:v>33.546712337709714</c:v>
                </c:pt>
                <c:pt idx="6">
                  <c:v>0</c:v>
                </c:pt>
                <c:pt idx="7">
                  <c:v>49.663800252813957</c:v>
                </c:pt>
                <c:pt idx="8">
                  <c:v>48.288693485348411</c:v>
                </c:pt>
                <c:pt idx="9">
                  <c:v>13.07</c:v>
                </c:pt>
                <c:pt idx="10">
                  <c:v>23.869076094816872</c:v>
                </c:pt>
                <c:pt idx="11">
                  <c:v>36.986953931671735</c:v>
                </c:pt>
                <c:pt idx="12">
                  <c:v>53.357096971229694</c:v>
                </c:pt>
                <c:pt idx="13">
                  <c:v>53.618909463360751</c:v>
                </c:pt>
                <c:pt idx="14">
                  <c:v>0</c:v>
                </c:pt>
                <c:pt idx="15">
                  <c:v>58.333174707211562</c:v>
                </c:pt>
                <c:pt idx="16">
                  <c:v>30.97201714265135</c:v>
                </c:pt>
                <c:pt idx="17">
                  <c:v>0</c:v>
                </c:pt>
                <c:pt idx="18">
                  <c:v>0</c:v>
                </c:pt>
                <c:pt idx="19">
                  <c:v>62.934972390572881</c:v>
                </c:pt>
                <c:pt idx="20">
                  <c:v>64.462656753888353</c:v>
                </c:pt>
                <c:pt idx="21">
                  <c:v>64.603241204500208</c:v>
                </c:pt>
                <c:pt idx="22">
                  <c:v>0</c:v>
                </c:pt>
                <c:pt idx="23">
                  <c:v>0</c:v>
                </c:pt>
                <c:pt idx="24">
                  <c:v>54.249048630868771</c:v>
                </c:pt>
                <c:pt idx="25">
                  <c:v>72.194801537540272</c:v>
                </c:pt>
                <c:pt idx="26">
                  <c:v>67.664220806619255</c:v>
                </c:pt>
                <c:pt idx="27">
                  <c:v>2.1302850374637252</c:v>
                </c:pt>
                <c:pt idx="28">
                  <c:v>73.324345741013275</c:v>
                </c:pt>
                <c:pt idx="29">
                  <c:v>81.107855706331748</c:v>
                </c:pt>
                <c:pt idx="30">
                  <c:v>84.287296553798782</c:v>
                </c:pt>
                <c:pt idx="31">
                  <c:v>0</c:v>
                </c:pt>
                <c:pt idx="32">
                  <c:v>79.24174908151609</c:v>
                </c:pt>
                <c:pt idx="33">
                  <c:v>81.299976330386642</c:v>
                </c:pt>
                <c:pt idx="34">
                  <c:v>50.203478949832537</c:v>
                </c:pt>
                <c:pt idx="35">
                  <c:v>82.0718115487131</c:v>
                </c:pt>
                <c:pt idx="36">
                  <c:v>82.32908995482191</c:v>
                </c:pt>
                <c:pt idx="37">
                  <c:v>82.32908995482191</c:v>
                </c:pt>
                <c:pt idx="38">
                  <c:v>82.586368360930734</c:v>
                </c:pt>
                <c:pt idx="39">
                  <c:v>84.80666954146902</c:v>
                </c:pt>
                <c:pt idx="40">
                  <c:v>1.5267042768490031</c:v>
                </c:pt>
                <c:pt idx="41">
                  <c:v>85.15915242201892</c:v>
                </c:pt>
                <c:pt idx="42">
                  <c:v>66.597794863571664</c:v>
                </c:pt>
                <c:pt idx="43">
                  <c:v>0</c:v>
                </c:pt>
                <c:pt idx="44">
                  <c:v>73.900673461302986</c:v>
                </c:pt>
                <c:pt idx="45">
                  <c:v>88.503771701433564</c:v>
                </c:pt>
                <c:pt idx="46">
                  <c:v>89.275606919760008</c:v>
                </c:pt>
                <c:pt idx="47">
                  <c:v>89.532885325868833</c:v>
                </c:pt>
                <c:pt idx="48">
                  <c:v>4.4380938280494275</c:v>
                </c:pt>
                <c:pt idx="49">
                  <c:v>90.047442138086467</c:v>
                </c:pt>
                <c:pt idx="50">
                  <c:v>91.591112574739384</c:v>
                </c:pt>
                <c:pt idx="51">
                  <c:v>91.591112574739384</c:v>
                </c:pt>
                <c:pt idx="52">
                  <c:v>91.848390980848194</c:v>
                </c:pt>
                <c:pt idx="53">
                  <c:v>102.55</c:v>
                </c:pt>
                <c:pt idx="54">
                  <c:v>94.42117504193638</c:v>
                </c:pt>
                <c:pt idx="55">
                  <c:v>94.935731854154014</c:v>
                </c:pt>
                <c:pt idx="56">
                  <c:v>96.018398735086961</c:v>
                </c:pt>
                <c:pt idx="57">
                  <c:v>95.450288666371662</c:v>
                </c:pt>
                <c:pt idx="58">
                  <c:v>0</c:v>
                </c:pt>
                <c:pt idx="59">
                  <c:v>95.707567072480472</c:v>
                </c:pt>
                <c:pt idx="60">
                  <c:v>97.168319678022144</c:v>
                </c:pt>
                <c:pt idx="61">
                  <c:v>0</c:v>
                </c:pt>
                <c:pt idx="62">
                  <c:v>98.023072727459848</c:v>
                </c:pt>
                <c:pt idx="63">
                  <c:v>84.13572924179762</c:v>
                </c:pt>
                <c:pt idx="64">
                  <c:v>98.280351133568658</c:v>
                </c:pt>
                <c:pt idx="65">
                  <c:v>8.8761876560988551</c:v>
                </c:pt>
                <c:pt idx="66">
                  <c:v>88.165158857796683</c:v>
                </c:pt>
                <c:pt idx="67">
                  <c:v>88.165158857796683</c:v>
                </c:pt>
                <c:pt idx="68">
                  <c:v>88.165158857796683</c:v>
                </c:pt>
                <c:pt idx="69">
                  <c:v>88.165158857796683</c:v>
                </c:pt>
                <c:pt idx="70">
                  <c:v>100.08129997633038</c:v>
                </c:pt>
                <c:pt idx="71">
                  <c:v>0</c:v>
                </c:pt>
                <c:pt idx="72">
                  <c:v>103.42591925574503</c:v>
                </c:pt>
                <c:pt idx="73">
                  <c:v>103.68319766185385</c:v>
                </c:pt>
                <c:pt idx="74">
                  <c:v>14.485938254753332</c:v>
                </c:pt>
                <c:pt idx="75">
                  <c:v>104.71231128628912</c:v>
                </c:pt>
                <c:pt idx="76">
                  <c:v>105.22686809850676</c:v>
                </c:pt>
                <c:pt idx="77">
                  <c:v>105.48414650461558</c:v>
                </c:pt>
                <c:pt idx="78">
                  <c:v>104.74063936807481</c:v>
                </c:pt>
                <c:pt idx="79">
                  <c:v>105.28084896940013</c:v>
                </c:pt>
                <c:pt idx="80">
                  <c:v>106.25598172294204</c:v>
                </c:pt>
                <c:pt idx="81">
                  <c:v>0</c:v>
                </c:pt>
                <c:pt idx="82">
                  <c:v>66.733892750387156</c:v>
                </c:pt>
                <c:pt idx="83">
                  <c:v>108.5714873779214</c:v>
                </c:pt>
                <c:pt idx="84">
                  <c:v>96.234586174089173</c:v>
                </c:pt>
                <c:pt idx="85">
                  <c:v>0</c:v>
                </c:pt>
                <c:pt idx="86">
                  <c:v>94.604408132765101</c:v>
                </c:pt>
                <c:pt idx="87">
                  <c:v>119.37718043449178</c:v>
                </c:pt>
                <c:pt idx="88">
                  <c:v>120.74169900819319</c:v>
                </c:pt>
                <c:pt idx="89">
                  <c:v>0</c:v>
                </c:pt>
                <c:pt idx="90">
                  <c:v>75.629344185543985</c:v>
                </c:pt>
                <c:pt idx="91">
                  <c:v>125.11254366694277</c:v>
                </c:pt>
                <c:pt idx="92">
                  <c:v>128.79114560873941</c:v>
                </c:pt>
                <c:pt idx="93">
                  <c:v>0</c:v>
                </c:pt>
                <c:pt idx="94">
                  <c:v>62.244150730483426</c:v>
                </c:pt>
                <c:pt idx="95">
                  <c:v>7.8110451373669925</c:v>
                </c:pt>
                <c:pt idx="96">
                  <c:v>67.454172218820901</c:v>
                </c:pt>
                <c:pt idx="97">
                  <c:v>137.1280724450194</c:v>
                </c:pt>
                <c:pt idx="98">
                  <c:v>55.401495780362779</c:v>
                </c:pt>
                <c:pt idx="99">
                  <c:v>81.631673089158596</c:v>
                </c:pt>
                <c:pt idx="100">
                  <c:v>0</c:v>
                </c:pt>
                <c:pt idx="101">
                  <c:v>0</c:v>
                </c:pt>
                <c:pt idx="102">
                  <c:v>94.704745441231196</c:v>
                </c:pt>
                <c:pt idx="103">
                  <c:v>90.431087261857598</c:v>
                </c:pt>
                <c:pt idx="104">
                  <c:v>105.42490486308687</c:v>
                </c:pt>
                <c:pt idx="105">
                  <c:v>131.34135877966571</c:v>
                </c:pt>
                <c:pt idx="106">
                  <c:v>101.55940504915907</c:v>
                </c:pt>
                <c:pt idx="107">
                  <c:v>153.34749882954586</c:v>
                </c:pt>
                <c:pt idx="108">
                  <c:v>124.66</c:v>
                </c:pt>
                <c:pt idx="109">
                  <c:v>115.24471494940036</c:v>
                </c:pt>
                <c:pt idx="110">
                  <c:v>151.53594654503681</c:v>
                </c:pt>
                <c:pt idx="111">
                  <c:v>152.52299830603116</c:v>
                </c:pt>
                <c:pt idx="112">
                  <c:v>178.85</c:v>
                </c:pt>
                <c:pt idx="113">
                  <c:v>0</c:v>
                </c:pt>
                <c:pt idx="114">
                  <c:v>111.64331760723161</c:v>
                </c:pt>
                <c:pt idx="115">
                  <c:v>151.3426606162281</c:v>
                </c:pt>
                <c:pt idx="116">
                  <c:v>119.06894664809337</c:v>
                </c:pt>
                <c:pt idx="117">
                  <c:v>106.51613036891874</c:v>
                </c:pt>
                <c:pt idx="118">
                  <c:v>108.04192026506284</c:v>
                </c:pt>
                <c:pt idx="119">
                  <c:v>108.04192026506284</c:v>
                </c:pt>
                <c:pt idx="120">
                  <c:v>112.84378338795452</c:v>
                </c:pt>
                <c:pt idx="121">
                  <c:v>141.65496212530462</c:v>
                </c:pt>
                <c:pt idx="122">
                  <c:v>204.17</c:v>
                </c:pt>
                <c:pt idx="123">
                  <c:v>120.04657807229205</c:v>
                </c:pt>
                <c:pt idx="124">
                  <c:v>67.36</c:v>
                </c:pt>
                <c:pt idx="125">
                  <c:v>192.62673917479984</c:v>
                </c:pt>
                <c:pt idx="126">
                  <c:v>170.98234114836558</c:v>
                </c:pt>
                <c:pt idx="127">
                  <c:v>182.18185749810792</c:v>
                </c:pt>
                <c:pt idx="128">
                  <c:v>173.49172883554979</c:v>
                </c:pt>
                <c:pt idx="129">
                  <c:v>122.44750963373788</c:v>
                </c:pt>
                <c:pt idx="130">
                  <c:v>189.74895043496079</c:v>
                </c:pt>
                <c:pt idx="131">
                  <c:v>173.11330954697806</c:v>
                </c:pt>
                <c:pt idx="132">
                  <c:v>70.725463243795687</c:v>
                </c:pt>
                <c:pt idx="133">
                  <c:v>156.00015600015601</c:v>
                </c:pt>
                <c:pt idx="134">
                  <c:v>123.6479754144608</c:v>
                </c:pt>
                <c:pt idx="135">
                  <c:v>135.65263322169002</c:v>
                </c:pt>
                <c:pt idx="136">
                  <c:v>135.65263322169002</c:v>
                </c:pt>
                <c:pt idx="137">
                  <c:v>135.65263322169002</c:v>
                </c:pt>
                <c:pt idx="138">
                  <c:v>122.44750963373788</c:v>
                </c:pt>
                <c:pt idx="139">
                  <c:v>204.27271206102046</c:v>
                </c:pt>
                <c:pt idx="140">
                  <c:v>149.74673780802965</c:v>
                </c:pt>
                <c:pt idx="141">
                  <c:v>169.26567508193179</c:v>
                </c:pt>
                <c:pt idx="142">
                  <c:v>203.35890325446272</c:v>
                </c:pt>
                <c:pt idx="143">
                  <c:v>149.83272100326349</c:v>
                </c:pt>
                <c:pt idx="144">
                  <c:v>205.33300897394312</c:v>
                </c:pt>
                <c:pt idx="145">
                  <c:v>141.65496212530462</c:v>
                </c:pt>
                <c:pt idx="146">
                  <c:v>172.13478829785956</c:v>
                </c:pt>
                <c:pt idx="147">
                  <c:v>211.79310643050121</c:v>
                </c:pt>
                <c:pt idx="148">
                  <c:v>110.83516348186615</c:v>
                </c:pt>
                <c:pt idx="149">
                  <c:v>207.12836580593267</c:v>
                </c:pt>
                <c:pt idx="150">
                  <c:v>207.12836580593267</c:v>
                </c:pt>
                <c:pt idx="151">
                  <c:v>207.12836580593267</c:v>
                </c:pt>
                <c:pt idx="152">
                  <c:v>178.86940132771514</c:v>
                </c:pt>
                <c:pt idx="153">
                  <c:v>147.65729102891922</c:v>
                </c:pt>
                <c:pt idx="154">
                  <c:v>136.8530990024129</c:v>
                </c:pt>
                <c:pt idx="155">
                  <c:v>82.825086077338398</c:v>
                </c:pt>
                <c:pt idx="156">
                  <c:v>129.6503043180754</c:v>
                </c:pt>
                <c:pt idx="157">
                  <c:v>210.38156031280147</c:v>
                </c:pt>
                <c:pt idx="158">
                  <c:v>119.72</c:v>
                </c:pt>
                <c:pt idx="159">
                  <c:v>194.47545647711311</c:v>
                </c:pt>
                <c:pt idx="160">
                  <c:v>238.13385230835763</c:v>
                </c:pt>
                <c:pt idx="161">
                  <c:v>203.5802035802036</c:v>
                </c:pt>
                <c:pt idx="162">
                  <c:v>141.27020730126671</c:v>
                </c:pt>
                <c:pt idx="163">
                  <c:v>171.66660664337763</c:v>
                </c:pt>
                <c:pt idx="164">
                  <c:v>138.29626507844367</c:v>
                </c:pt>
                <c:pt idx="165">
                  <c:v>243.33441375253597</c:v>
                </c:pt>
                <c:pt idx="166">
                  <c:v>138.05356478313584</c:v>
                </c:pt>
                <c:pt idx="167">
                  <c:v>181.27033288916098</c:v>
                </c:pt>
                <c:pt idx="168">
                  <c:v>249.60084512790959</c:v>
                </c:pt>
                <c:pt idx="169">
                  <c:v>168.08236808236811</c:v>
                </c:pt>
                <c:pt idx="170">
                  <c:v>44.728802530302232</c:v>
                </c:pt>
                <c:pt idx="171">
                  <c:v>238.09035118326801</c:v>
                </c:pt>
                <c:pt idx="172">
                  <c:v>133.61413361413364</c:v>
                </c:pt>
                <c:pt idx="173">
                  <c:v>59.311617601825425</c:v>
                </c:pt>
                <c:pt idx="174">
                  <c:v>267.34372936699435</c:v>
                </c:pt>
                <c:pt idx="175">
                  <c:v>286.5871958319828</c:v>
                </c:pt>
                <c:pt idx="176">
                  <c:v>78.243124308884646</c:v>
                </c:pt>
                <c:pt idx="177">
                  <c:v>197.04029063442869</c:v>
                </c:pt>
                <c:pt idx="178">
                  <c:v>169.42173563342575</c:v>
                </c:pt>
                <c:pt idx="179">
                  <c:v>134.33831849819626</c:v>
                </c:pt>
                <c:pt idx="180">
                  <c:v>136.53054447800844</c:v>
                </c:pt>
                <c:pt idx="181">
                  <c:v>153.16567103070085</c:v>
                </c:pt>
                <c:pt idx="182">
                  <c:v>274.37307437307436</c:v>
                </c:pt>
                <c:pt idx="183">
                  <c:v>82.240712860306843</c:v>
                </c:pt>
                <c:pt idx="184">
                  <c:v>77.815861936279234</c:v>
                </c:pt>
                <c:pt idx="185">
                  <c:v>284.67147480498414</c:v>
                </c:pt>
                <c:pt idx="186">
                  <c:v>88.109613751472068</c:v>
                </c:pt>
                <c:pt idx="187">
                  <c:v>0</c:v>
                </c:pt>
              </c:numCache>
            </c:numRef>
          </c:val>
          <c:extLst>
            <c:ext xmlns:c16="http://schemas.microsoft.com/office/drawing/2014/chart" uri="{C3380CC4-5D6E-409C-BE32-E72D297353CC}">
              <c16:uniqueId val="{00000001-C556-47B3-9B5A-E10A74A4E58B}"/>
            </c:ext>
          </c:extLst>
        </c:ser>
        <c:ser>
          <c:idx val="2"/>
          <c:order val="2"/>
          <c:tx>
            <c:strRef>
              <c:f>'2017Total DW ch cities 100 m³'!$E$499</c:f>
              <c:strCache>
                <c:ptCount val="1"/>
                <c:pt idx="0">
                  <c:v>other charges drinking water</c:v>
                </c:pt>
              </c:strCache>
            </c:strRef>
          </c:tx>
          <c:spPr>
            <a:solidFill>
              <a:schemeClr val="accent3"/>
            </a:solidFill>
            <a:ln>
              <a:noFill/>
            </a:ln>
            <a:effectLst/>
          </c:spPr>
          <c:invertIfNegative val="0"/>
          <c:cat>
            <c:strRef>
              <c:extLst>
                <c:ext xmlns:c15="http://schemas.microsoft.com/office/drawing/2012/chart" uri="{02D57815-91ED-43cb-92C2-25804820EDAC}">
                  <c15:fullRef>
                    <c15:sqref>'2017Total DW ch cities 100 m³'!$A$500:$B$687</c15:sqref>
                  </c15:fullRef>
                  <c15:levelRef>
                    <c15:sqref>'2017Total DW ch cities 100 m³'!$A$500:$A$687</c15:sqref>
                  </c15:levelRef>
                </c:ext>
              </c:extLst>
              <c:f>'2017Total DW ch cities 100 m³'!$A$500:$A$687</c:f>
              <c:strCache>
                <c:ptCount val="188"/>
                <c:pt idx="0">
                  <c:v>Milan</c:v>
                </c:pt>
                <c:pt idx="1">
                  <c:v>Shanghai</c:v>
                </c:pt>
                <c:pt idx="2">
                  <c:v>Guangzhou</c:v>
                </c:pt>
                <c:pt idx="3">
                  <c:v>Yerevan</c:v>
                </c:pt>
                <c:pt idx="4">
                  <c:v>Beijing</c:v>
                </c:pt>
                <c:pt idx="5">
                  <c:v>Hong Kong</c:v>
                </c:pt>
                <c:pt idx="6">
                  <c:v>Shenzhen</c:v>
                </c:pt>
                <c:pt idx="7">
                  <c:v>Daejeon</c:v>
                </c:pt>
                <c:pt idx="8">
                  <c:v>Russia average</c:v>
                </c:pt>
                <c:pt idx="9">
                  <c:v>Miami</c:v>
                </c:pt>
                <c:pt idx="10">
                  <c:v>Taipei</c:v>
                </c:pt>
                <c:pt idx="11">
                  <c:v>Kaohsiung</c:v>
                </c:pt>
                <c:pt idx="12">
                  <c:v>Moscow</c:v>
                </c:pt>
                <c:pt idx="13">
                  <c:v>Seoul</c:v>
                </c:pt>
                <c:pt idx="14">
                  <c:v>Guadalajara</c:v>
                </c:pt>
                <c:pt idx="15">
                  <c:v>Gwangju</c:v>
                </c:pt>
                <c:pt idx="16">
                  <c:v>Rome</c:v>
                </c:pt>
                <c:pt idx="17">
                  <c:v>Monterrey</c:v>
                </c:pt>
                <c:pt idx="18">
                  <c:v>Tianjin</c:v>
                </c:pt>
                <c:pt idx="19">
                  <c:v>Incheon</c:v>
                </c:pt>
                <c:pt idx="20">
                  <c:v>Gyeounggi</c:v>
                </c:pt>
                <c:pt idx="21">
                  <c:v>Daegu</c:v>
                </c:pt>
                <c:pt idx="22">
                  <c:v>Izmir</c:v>
                </c:pt>
                <c:pt idx="23">
                  <c:v>San Luis Potosi</c:v>
                </c:pt>
                <c:pt idx="24">
                  <c:v>Turin</c:v>
                </c:pt>
                <c:pt idx="25">
                  <c:v>Busan</c:v>
                </c:pt>
                <c:pt idx="26">
                  <c:v>Cluj Napoca</c:v>
                </c:pt>
                <c:pt idx="27">
                  <c:v>Nagoya</c:v>
                </c:pt>
                <c:pt idx="28">
                  <c:v>Timisoara</c:v>
                </c:pt>
                <c:pt idx="29">
                  <c:v>Ulsan</c:v>
                </c:pt>
                <c:pt idx="30">
                  <c:v>Macao, China average</c:v>
                </c:pt>
                <c:pt idx="31">
                  <c:v>Sofia</c:v>
                </c:pt>
                <c:pt idx="32">
                  <c:v>Sibiu</c:v>
                </c:pt>
                <c:pt idx="33">
                  <c:v>Turda</c:v>
                </c:pt>
                <c:pt idx="34">
                  <c:v>Bologna</c:v>
                </c:pt>
                <c:pt idx="35">
                  <c:v>Medias</c:v>
                </c:pt>
                <c:pt idx="36">
                  <c:v>Oradea</c:v>
                </c:pt>
                <c:pt idx="37">
                  <c:v>Arad</c:v>
                </c:pt>
                <c:pt idx="38">
                  <c:v>Alexandria</c:v>
                </c:pt>
                <c:pt idx="39">
                  <c:v>Tarnow</c:v>
                </c:pt>
                <c:pt idx="40">
                  <c:v>Yokohama</c:v>
                </c:pt>
                <c:pt idx="41">
                  <c:v>Bucharest</c:v>
                </c:pt>
                <c:pt idx="42">
                  <c:v>Budapest</c:v>
                </c:pt>
                <c:pt idx="43">
                  <c:v>Burgas</c:v>
                </c:pt>
                <c:pt idx="44">
                  <c:v>Naples</c:v>
                </c:pt>
                <c:pt idx="45">
                  <c:v>Satu Mare</c:v>
                </c:pt>
                <c:pt idx="46">
                  <c:v>Bacau</c:v>
                </c:pt>
                <c:pt idx="47">
                  <c:v>Baia Mare</c:v>
                </c:pt>
                <c:pt idx="48">
                  <c:v>Hiroshima</c:v>
                </c:pt>
                <c:pt idx="49">
                  <c:v>Targu-Mures</c:v>
                </c:pt>
                <c:pt idx="50">
                  <c:v>Botosani</c:v>
                </c:pt>
                <c:pt idx="51">
                  <c:v>Piatra Neamt</c:v>
                </c:pt>
                <c:pt idx="52">
                  <c:v>Craiova</c:v>
                </c:pt>
                <c:pt idx="53">
                  <c:v>Chicago</c:v>
                </c:pt>
                <c:pt idx="54">
                  <c:v>Pitesti</c:v>
                </c:pt>
                <c:pt idx="55">
                  <c:v>Voluntari</c:v>
                </c:pt>
                <c:pt idx="56">
                  <c:v>Radom</c:v>
                </c:pt>
                <c:pt idx="57">
                  <c:v>Bistrita</c:v>
                </c:pt>
                <c:pt idx="58">
                  <c:v>Puebla</c:v>
                </c:pt>
                <c:pt idx="59">
                  <c:v>Brasov</c:v>
                </c:pt>
                <c:pt idx="60">
                  <c:v>Bialystok</c:v>
                </c:pt>
                <c:pt idx="61">
                  <c:v>Mexico City</c:v>
                </c:pt>
                <c:pt idx="62">
                  <c:v>Targoviste</c:v>
                </c:pt>
                <c:pt idx="63">
                  <c:v>Kaposvár</c:v>
                </c:pt>
                <c:pt idx="64">
                  <c:v>Drobeta Turnu-Severin</c:v>
                </c:pt>
                <c:pt idx="65">
                  <c:v>Osaka</c:v>
                </c:pt>
                <c:pt idx="66">
                  <c:v>Kampala</c:v>
                </c:pt>
                <c:pt idx="67">
                  <c:v>Jinja</c:v>
                </c:pt>
                <c:pt idx="68">
                  <c:v>Entebbe</c:v>
                </c:pt>
                <c:pt idx="69">
                  <c:v>Mbarara</c:v>
                </c:pt>
                <c:pt idx="70">
                  <c:v>Ramnicu Valcea</c:v>
                </c:pt>
                <c:pt idx="71">
                  <c:v>Pleven</c:v>
                </c:pt>
                <c:pt idx="72">
                  <c:v>Braila</c:v>
                </c:pt>
                <c:pt idx="73">
                  <c:v>Galati</c:v>
                </c:pt>
                <c:pt idx="74">
                  <c:v>Fukuoka</c:v>
                </c:pt>
                <c:pt idx="75">
                  <c:v>Vaslui</c:v>
                </c:pt>
                <c:pt idx="76">
                  <c:v>Constanta</c:v>
                </c:pt>
                <c:pt idx="77">
                  <c:v>Suceava</c:v>
                </c:pt>
                <c:pt idx="78">
                  <c:v>Sevilla</c:v>
                </c:pt>
                <c:pt idx="79">
                  <c:v>Bilbao</c:v>
                </c:pt>
                <c:pt idx="80">
                  <c:v>Prahova</c:v>
                </c:pt>
                <c:pt idx="81">
                  <c:v>León, Guanajuato</c:v>
                </c:pt>
                <c:pt idx="82">
                  <c:v>Faro</c:v>
                </c:pt>
                <c:pt idx="83">
                  <c:v>Petrosani</c:v>
                </c:pt>
                <c:pt idx="84">
                  <c:v>Miskolc</c:v>
                </c:pt>
                <c:pt idx="85">
                  <c:v>Ankara</c:v>
                </c:pt>
                <c:pt idx="86">
                  <c:v>Debrecen</c:v>
                </c:pt>
                <c:pt idx="87">
                  <c:v>Buzau</c:v>
                </c:pt>
                <c:pt idx="88">
                  <c:v>Warsaw</c:v>
                </c:pt>
                <c:pt idx="89">
                  <c:v>Stara Zagora</c:v>
                </c:pt>
                <c:pt idx="90">
                  <c:v>Utrecht</c:v>
                </c:pt>
                <c:pt idx="91">
                  <c:v>Madrid</c:v>
                </c:pt>
                <c:pt idx="92">
                  <c:v>Wroclaw</c:v>
                </c:pt>
                <c:pt idx="93">
                  <c:v>Istanbul</c:v>
                </c:pt>
                <c:pt idx="94">
                  <c:v>Lisbon</c:v>
                </c:pt>
                <c:pt idx="95">
                  <c:v>Tokyo</c:v>
                </c:pt>
                <c:pt idx="96">
                  <c:v>Braga</c:v>
                </c:pt>
                <c:pt idx="97">
                  <c:v>Bydgoszcz</c:v>
                </c:pt>
                <c:pt idx="98">
                  <c:v>Eindhoven</c:v>
                </c:pt>
                <c:pt idx="99">
                  <c:v>Coimbra</c:v>
                </c:pt>
                <c:pt idx="100">
                  <c:v>Sapporo</c:v>
                </c:pt>
                <c:pt idx="101">
                  <c:v>Razgrad</c:v>
                </c:pt>
                <c:pt idx="102">
                  <c:v>Porto</c:v>
                </c:pt>
                <c:pt idx="103">
                  <c:v>Sintra</c:v>
                </c:pt>
                <c:pt idx="104">
                  <c:v>Loures</c:v>
                </c:pt>
                <c:pt idx="105">
                  <c:v>Pécs</c:v>
                </c:pt>
                <c:pt idx="106">
                  <c:v>Paphos</c:v>
                </c:pt>
                <c:pt idx="107">
                  <c:v>Valencia</c:v>
                </c:pt>
                <c:pt idx="108">
                  <c:v>Minneapolis</c:v>
                </c:pt>
                <c:pt idx="109">
                  <c:v>Nicosia</c:v>
                </c:pt>
                <c:pt idx="110">
                  <c:v>Brno</c:v>
                </c:pt>
                <c:pt idx="111">
                  <c:v>Ostrava</c:v>
                </c:pt>
                <c:pt idx="112">
                  <c:v>New York</c:v>
                </c:pt>
                <c:pt idx="113">
                  <c:v>Bergen</c:v>
                </c:pt>
                <c:pt idx="114">
                  <c:v>Reims</c:v>
                </c:pt>
                <c:pt idx="115">
                  <c:v>Uppsala</c:v>
                </c:pt>
                <c:pt idx="116">
                  <c:v>Oslo</c:v>
                </c:pt>
                <c:pt idx="117">
                  <c:v>Trondheim</c:v>
                </c:pt>
                <c:pt idx="118">
                  <c:v>Limassol</c:v>
                </c:pt>
                <c:pt idx="119">
                  <c:v>Rotterdam</c:v>
                </c:pt>
                <c:pt idx="120">
                  <c:v>Larnaca</c:v>
                </c:pt>
                <c:pt idx="121">
                  <c:v>Amsterdam</c:v>
                </c:pt>
                <c:pt idx="122">
                  <c:v>Los Angeles</c:v>
                </c:pt>
                <c:pt idx="123">
                  <c:v>Strassbourg</c:v>
                </c:pt>
                <c:pt idx="124">
                  <c:v>Denver</c:v>
                </c:pt>
                <c:pt idx="125">
                  <c:v>Barcelona</c:v>
                </c:pt>
                <c:pt idx="126">
                  <c:v>Antwerp</c:v>
                </c:pt>
                <c:pt idx="127">
                  <c:v>Leeds</c:v>
                </c:pt>
                <c:pt idx="128">
                  <c:v>London</c:v>
                </c:pt>
                <c:pt idx="129">
                  <c:v>Paris</c:v>
                </c:pt>
                <c:pt idx="130">
                  <c:v>Prague</c:v>
                </c:pt>
                <c:pt idx="131">
                  <c:v>Cardiff</c:v>
                </c:pt>
                <c:pt idx="132">
                  <c:v>Sendai</c:v>
                </c:pt>
                <c:pt idx="133">
                  <c:v>Sydney</c:v>
                </c:pt>
                <c:pt idx="134">
                  <c:v>Lyon</c:v>
                </c:pt>
                <c:pt idx="135">
                  <c:v>Espoo</c:v>
                </c:pt>
                <c:pt idx="136">
                  <c:v>Helsinki</c:v>
                </c:pt>
                <c:pt idx="137">
                  <c:v>Vantaa</c:v>
                </c:pt>
                <c:pt idx="138">
                  <c:v>Den Haag</c:v>
                </c:pt>
                <c:pt idx="139">
                  <c:v>Usti nad Labem</c:v>
                </c:pt>
                <c:pt idx="140">
                  <c:v>Ottawa</c:v>
                </c:pt>
                <c:pt idx="141">
                  <c:v>Marseille</c:v>
                </c:pt>
                <c:pt idx="142">
                  <c:v>Berlin</c:v>
                </c:pt>
                <c:pt idx="143">
                  <c:v>Lausanne</c:v>
                </c:pt>
                <c:pt idx="144">
                  <c:v>Birmingham</c:v>
                </c:pt>
                <c:pt idx="145">
                  <c:v>SEDIF</c:v>
                </c:pt>
                <c:pt idx="146">
                  <c:v>Malta average</c:v>
                </c:pt>
                <c:pt idx="147">
                  <c:v>Plzeñ</c:v>
                </c:pt>
                <c:pt idx="148">
                  <c:v>Geneva</c:v>
                </c:pt>
                <c:pt idx="149">
                  <c:v>Louvain</c:v>
                </c:pt>
                <c:pt idx="150">
                  <c:v>Kortrijk</c:v>
                </c:pt>
                <c:pt idx="151">
                  <c:v>Genk</c:v>
                </c:pt>
                <c:pt idx="152">
                  <c:v>Austria average</c:v>
                </c:pt>
                <c:pt idx="153">
                  <c:v>Oulu</c:v>
                </c:pt>
                <c:pt idx="154">
                  <c:v>Lille</c:v>
                </c:pt>
                <c:pt idx="155">
                  <c:v>Durham</c:v>
                </c:pt>
                <c:pt idx="156">
                  <c:v>Bordeaux</c:v>
                </c:pt>
                <c:pt idx="157">
                  <c:v>Basel</c:v>
                </c:pt>
                <c:pt idx="158">
                  <c:v>Washington D.C.</c:v>
                </c:pt>
                <c:pt idx="159">
                  <c:v>Brest</c:v>
                </c:pt>
                <c:pt idx="160">
                  <c:v>Manchester</c:v>
                </c:pt>
                <c:pt idx="161">
                  <c:v>Canberra</c:v>
                </c:pt>
                <c:pt idx="162">
                  <c:v>Winnipeg</c:v>
                </c:pt>
                <c:pt idx="163">
                  <c:v>Nancy</c:v>
                </c:pt>
                <c:pt idx="164">
                  <c:v>Calgary</c:v>
                </c:pt>
                <c:pt idx="165">
                  <c:v>Brussels</c:v>
                </c:pt>
                <c:pt idx="166">
                  <c:v>Tampere</c:v>
                </c:pt>
                <c:pt idx="167">
                  <c:v>Le Havre</c:v>
                </c:pt>
                <c:pt idx="168">
                  <c:v>Ghent</c:v>
                </c:pt>
                <c:pt idx="169">
                  <c:v>Melbourne</c:v>
                </c:pt>
                <c:pt idx="170">
                  <c:v>Stockholm</c:v>
                </c:pt>
                <c:pt idx="171">
                  <c:v>Bern</c:v>
                </c:pt>
                <c:pt idx="172">
                  <c:v>Perth</c:v>
                </c:pt>
                <c:pt idx="173">
                  <c:v>Malmö</c:v>
                </c:pt>
                <c:pt idx="174">
                  <c:v>Charleroi</c:v>
                </c:pt>
                <c:pt idx="175">
                  <c:v>Liège</c:v>
                </c:pt>
                <c:pt idx="176">
                  <c:v>Esbjerg</c:v>
                </c:pt>
                <c:pt idx="177">
                  <c:v>Zürich</c:v>
                </c:pt>
                <c:pt idx="178">
                  <c:v>Turku</c:v>
                </c:pt>
                <c:pt idx="179">
                  <c:v>Copenhagen</c:v>
                </c:pt>
                <c:pt idx="180">
                  <c:v>Aarhus</c:v>
                </c:pt>
                <c:pt idx="181">
                  <c:v>Odense</c:v>
                </c:pt>
                <c:pt idx="182">
                  <c:v>Brisbane</c:v>
                </c:pt>
                <c:pt idx="183">
                  <c:v>Aalborg</c:v>
                </c:pt>
                <c:pt idx="184">
                  <c:v>Linköping</c:v>
                </c:pt>
                <c:pt idx="185">
                  <c:v>Saskatoon</c:v>
                </c:pt>
                <c:pt idx="186">
                  <c:v>Göteborg</c:v>
                </c:pt>
                <c:pt idx="187">
                  <c:v>Vancouver</c:v>
                </c:pt>
              </c:strCache>
            </c:strRef>
          </c:cat>
          <c:val>
            <c:numRef>
              <c:f>'2017Total DW ch cities 100 m³'!$E$500:$E$687</c:f>
              <c:numCache>
                <c:formatCode>0.00</c:formatCode>
                <c:ptCount val="188"/>
                <c:pt idx="0">
                  <c:v>0.48018631228916819</c:v>
                </c:pt>
                <c:pt idx="1">
                  <c:v>0</c:v>
                </c:pt>
                <c:pt idx="2">
                  <c:v>0</c:v>
                </c:pt>
                <c:pt idx="3">
                  <c:v>0</c:v>
                </c:pt>
                <c:pt idx="4">
                  <c:v>0</c:v>
                </c:pt>
                <c:pt idx="5">
                  <c:v>0</c:v>
                </c:pt>
                <c:pt idx="6">
                  <c:v>0</c:v>
                </c:pt>
                <c:pt idx="7">
                  <c:v>0</c:v>
                </c:pt>
                <c:pt idx="8">
                  <c:v>2.0134753574048943</c:v>
                </c:pt>
                <c:pt idx="9">
                  <c:v>0</c:v>
                </c:pt>
                <c:pt idx="10">
                  <c:v>1.6890405541671261</c:v>
                </c:pt>
                <c:pt idx="11">
                  <c:v>1.6890405541671261</c:v>
                </c:pt>
                <c:pt idx="12">
                  <c:v>0</c:v>
                </c:pt>
                <c:pt idx="13">
                  <c:v>0</c:v>
                </c:pt>
                <c:pt idx="14">
                  <c:v>0</c:v>
                </c:pt>
                <c:pt idx="15">
                  <c:v>0</c:v>
                </c:pt>
                <c:pt idx="16">
                  <c:v>0.48018631228916819</c:v>
                </c:pt>
                <c:pt idx="17">
                  <c:v>0</c:v>
                </c:pt>
                <c:pt idx="18">
                  <c:v>21.378826656166947</c:v>
                </c:pt>
                <c:pt idx="19">
                  <c:v>0</c:v>
                </c:pt>
                <c:pt idx="20">
                  <c:v>0</c:v>
                </c:pt>
                <c:pt idx="21">
                  <c:v>0</c:v>
                </c:pt>
                <c:pt idx="22">
                  <c:v>0</c:v>
                </c:pt>
                <c:pt idx="23">
                  <c:v>0</c:v>
                </c:pt>
                <c:pt idx="24">
                  <c:v>0.48018631228916819</c:v>
                </c:pt>
                <c:pt idx="25">
                  <c:v>0</c:v>
                </c:pt>
                <c:pt idx="26">
                  <c:v>0</c:v>
                </c:pt>
                <c:pt idx="27">
                  <c:v>0</c:v>
                </c:pt>
                <c:pt idx="28">
                  <c:v>0</c:v>
                </c:pt>
                <c:pt idx="29">
                  <c:v>0</c:v>
                </c:pt>
                <c:pt idx="30">
                  <c:v>0</c:v>
                </c:pt>
                <c:pt idx="31">
                  <c:v>0</c:v>
                </c:pt>
                <c:pt idx="32">
                  <c:v>0</c:v>
                </c:pt>
                <c:pt idx="33">
                  <c:v>0</c:v>
                </c:pt>
                <c:pt idx="34">
                  <c:v>0.48018631228916819</c:v>
                </c:pt>
                <c:pt idx="35">
                  <c:v>0</c:v>
                </c:pt>
                <c:pt idx="36">
                  <c:v>0</c:v>
                </c:pt>
                <c:pt idx="37">
                  <c:v>0</c:v>
                </c:pt>
                <c:pt idx="38">
                  <c:v>0</c:v>
                </c:pt>
                <c:pt idx="39">
                  <c:v>0</c:v>
                </c:pt>
                <c:pt idx="40">
                  <c:v>0</c:v>
                </c:pt>
                <c:pt idx="41">
                  <c:v>0</c:v>
                </c:pt>
                <c:pt idx="42">
                  <c:v>0</c:v>
                </c:pt>
                <c:pt idx="43">
                  <c:v>0</c:v>
                </c:pt>
                <c:pt idx="44">
                  <c:v>0.48018631228916819</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3.2172482923374268</c:v>
                </c:pt>
                <c:pt idx="83">
                  <c:v>0</c:v>
                </c:pt>
                <c:pt idx="84">
                  <c:v>0</c:v>
                </c:pt>
                <c:pt idx="85">
                  <c:v>0</c:v>
                </c:pt>
                <c:pt idx="86">
                  <c:v>0</c:v>
                </c:pt>
                <c:pt idx="87">
                  <c:v>0</c:v>
                </c:pt>
                <c:pt idx="88">
                  <c:v>0</c:v>
                </c:pt>
                <c:pt idx="89">
                  <c:v>0</c:v>
                </c:pt>
                <c:pt idx="90">
                  <c:v>0</c:v>
                </c:pt>
                <c:pt idx="91">
                  <c:v>0</c:v>
                </c:pt>
                <c:pt idx="92">
                  <c:v>0</c:v>
                </c:pt>
                <c:pt idx="93">
                  <c:v>14.135504782986796</c:v>
                </c:pt>
                <c:pt idx="94">
                  <c:v>2.7130526644337998</c:v>
                </c:pt>
                <c:pt idx="95">
                  <c:v>0</c:v>
                </c:pt>
                <c:pt idx="96">
                  <c:v>2.0527964850361937</c:v>
                </c:pt>
                <c:pt idx="97">
                  <c:v>0</c:v>
                </c:pt>
                <c:pt idx="98">
                  <c:v>0</c:v>
                </c:pt>
                <c:pt idx="99">
                  <c:v>2.9171318471566967</c:v>
                </c:pt>
                <c:pt idx="100">
                  <c:v>0</c:v>
                </c:pt>
                <c:pt idx="101">
                  <c:v>0</c:v>
                </c:pt>
                <c:pt idx="102">
                  <c:v>2.4489501926747579</c:v>
                </c:pt>
                <c:pt idx="103">
                  <c:v>2.7250573222410295</c:v>
                </c:pt>
                <c:pt idx="104">
                  <c:v>3.0011644518073011</c:v>
                </c:pt>
                <c:pt idx="105">
                  <c:v>0</c:v>
                </c:pt>
                <c:pt idx="106">
                  <c:v>0</c:v>
                </c:pt>
                <c:pt idx="107">
                  <c:v>0</c:v>
                </c:pt>
                <c:pt idx="108">
                  <c:v>0</c:v>
                </c:pt>
                <c:pt idx="109">
                  <c:v>0</c:v>
                </c:pt>
                <c:pt idx="110">
                  <c:v>0</c:v>
                </c:pt>
                <c:pt idx="111">
                  <c:v>0</c:v>
                </c:pt>
                <c:pt idx="112">
                  <c:v>0</c:v>
                </c:pt>
                <c:pt idx="113">
                  <c:v>0</c:v>
                </c:pt>
                <c:pt idx="114">
                  <c:v>52.820494351808499</c:v>
                </c:pt>
                <c:pt idx="115">
                  <c:v>0</c:v>
                </c:pt>
                <c:pt idx="116">
                  <c:v>0</c:v>
                </c:pt>
                <c:pt idx="117">
                  <c:v>11.894707464538293</c:v>
                </c:pt>
                <c:pt idx="118">
                  <c:v>0</c:v>
                </c:pt>
                <c:pt idx="119">
                  <c:v>9.4116517208676953</c:v>
                </c:pt>
                <c:pt idx="120">
                  <c:v>0</c:v>
                </c:pt>
                <c:pt idx="121">
                  <c:v>0</c:v>
                </c:pt>
                <c:pt idx="122">
                  <c:v>0</c:v>
                </c:pt>
                <c:pt idx="123">
                  <c:v>42.016302325302213</c:v>
                </c:pt>
                <c:pt idx="124">
                  <c:v>0</c:v>
                </c:pt>
                <c:pt idx="125">
                  <c:v>0</c:v>
                </c:pt>
                <c:pt idx="126">
                  <c:v>0</c:v>
                </c:pt>
                <c:pt idx="127">
                  <c:v>0</c:v>
                </c:pt>
                <c:pt idx="128">
                  <c:v>0</c:v>
                </c:pt>
                <c:pt idx="129">
                  <c:v>57.622357474700181</c:v>
                </c:pt>
                <c:pt idx="130">
                  <c:v>0</c:v>
                </c:pt>
                <c:pt idx="131">
                  <c:v>0</c:v>
                </c:pt>
                <c:pt idx="132">
                  <c:v>0</c:v>
                </c:pt>
                <c:pt idx="133">
                  <c:v>0</c:v>
                </c:pt>
                <c:pt idx="134">
                  <c:v>42.016302325302213</c:v>
                </c:pt>
                <c:pt idx="135">
                  <c:v>0</c:v>
                </c:pt>
                <c:pt idx="136">
                  <c:v>0</c:v>
                </c:pt>
                <c:pt idx="137">
                  <c:v>0</c:v>
                </c:pt>
                <c:pt idx="138">
                  <c:v>22.088570365301734</c:v>
                </c:pt>
                <c:pt idx="139">
                  <c:v>0</c:v>
                </c:pt>
                <c:pt idx="140">
                  <c:v>0</c:v>
                </c:pt>
                <c:pt idx="141">
                  <c:v>44.417233886748058</c:v>
                </c:pt>
                <c:pt idx="142">
                  <c:v>0</c:v>
                </c:pt>
                <c:pt idx="143">
                  <c:v>0</c:v>
                </c:pt>
                <c:pt idx="144">
                  <c:v>0</c:v>
                </c:pt>
                <c:pt idx="145">
                  <c:v>60.023289036146025</c:v>
                </c:pt>
                <c:pt idx="146">
                  <c:v>0</c:v>
                </c:pt>
                <c:pt idx="147">
                  <c:v>0</c:v>
                </c:pt>
                <c:pt idx="148">
                  <c:v>0</c:v>
                </c:pt>
                <c:pt idx="149">
                  <c:v>0</c:v>
                </c:pt>
                <c:pt idx="150">
                  <c:v>0</c:v>
                </c:pt>
                <c:pt idx="151">
                  <c:v>0</c:v>
                </c:pt>
                <c:pt idx="152">
                  <c:v>0</c:v>
                </c:pt>
                <c:pt idx="153">
                  <c:v>0</c:v>
                </c:pt>
                <c:pt idx="154">
                  <c:v>55.221425913254343</c:v>
                </c:pt>
                <c:pt idx="155">
                  <c:v>0</c:v>
                </c:pt>
                <c:pt idx="156">
                  <c:v>46.818165448193895</c:v>
                </c:pt>
                <c:pt idx="157">
                  <c:v>0</c:v>
                </c:pt>
                <c:pt idx="158">
                  <c:v>23.66</c:v>
                </c:pt>
                <c:pt idx="159">
                  <c:v>45.61769966747098</c:v>
                </c:pt>
                <c:pt idx="160">
                  <c:v>0</c:v>
                </c:pt>
                <c:pt idx="161">
                  <c:v>0</c:v>
                </c:pt>
                <c:pt idx="162">
                  <c:v>0</c:v>
                </c:pt>
                <c:pt idx="163">
                  <c:v>49.219097009639739</c:v>
                </c:pt>
                <c:pt idx="164">
                  <c:v>0</c:v>
                </c:pt>
                <c:pt idx="165">
                  <c:v>0</c:v>
                </c:pt>
                <c:pt idx="166">
                  <c:v>0</c:v>
                </c:pt>
                <c:pt idx="167">
                  <c:v>62.424220597591862</c:v>
                </c:pt>
                <c:pt idx="168">
                  <c:v>0</c:v>
                </c:pt>
                <c:pt idx="169">
                  <c:v>0</c:v>
                </c:pt>
                <c:pt idx="170">
                  <c:v>0</c:v>
                </c:pt>
                <c:pt idx="171">
                  <c:v>0</c:v>
                </c:pt>
                <c:pt idx="172">
                  <c:v>0</c:v>
                </c:pt>
                <c:pt idx="173">
                  <c:v>0</c:v>
                </c:pt>
                <c:pt idx="174">
                  <c:v>3.1092063720723639</c:v>
                </c:pt>
                <c:pt idx="175">
                  <c:v>3.1092063720723639</c:v>
                </c:pt>
                <c:pt idx="176">
                  <c:v>100.74567921930965</c:v>
                </c:pt>
                <c:pt idx="177">
                  <c:v>0</c:v>
                </c:pt>
                <c:pt idx="178">
                  <c:v>0</c:v>
                </c:pt>
                <c:pt idx="179">
                  <c:v>100.74567921930965</c:v>
                </c:pt>
                <c:pt idx="180">
                  <c:v>100.74567921930965</c:v>
                </c:pt>
                <c:pt idx="181">
                  <c:v>100.74567921930965</c:v>
                </c:pt>
                <c:pt idx="182">
                  <c:v>0</c:v>
                </c:pt>
                <c:pt idx="183">
                  <c:v>100.74567921930965</c:v>
                </c:pt>
                <c:pt idx="184">
                  <c:v>0</c:v>
                </c:pt>
                <c:pt idx="185">
                  <c:v>0</c:v>
                </c:pt>
                <c:pt idx="186">
                  <c:v>0</c:v>
                </c:pt>
                <c:pt idx="187">
                  <c:v>0</c:v>
                </c:pt>
              </c:numCache>
            </c:numRef>
          </c:val>
          <c:extLst>
            <c:ext xmlns:c16="http://schemas.microsoft.com/office/drawing/2014/chart" uri="{C3380CC4-5D6E-409C-BE32-E72D297353CC}">
              <c16:uniqueId val="{00000002-C556-47B3-9B5A-E10A74A4E58B}"/>
            </c:ext>
          </c:extLst>
        </c:ser>
        <c:ser>
          <c:idx val="3"/>
          <c:order val="3"/>
          <c:tx>
            <c:strRef>
              <c:f>'2017Total DW ch cities 100 m³'!$F$499</c:f>
              <c:strCache>
                <c:ptCount val="1"/>
                <c:pt idx="0">
                  <c:v>VAT drinking water</c:v>
                </c:pt>
              </c:strCache>
            </c:strRef>
          </c:tx>
          <c:spPr>
            <a:solidFill>
              <a:schemeClr val="accent4"/>
            </a:solidFill>
            <a:ln>
              <a:noFill/>
            </a:ln>
            <a:effectLst/>
          </c:spPr>
          <c:invertIfNegative val="0"/>
          <c:cat>
            <c:strRef>
              <c:extLst>
                <c:ext xmlns:c15="http://schemas.microsoft.com/office/drawing/2012/chart" uri="{02D57815-91ED-43cb-92C2-25804820EDAC}">
                  <c15:fullRef>
                    <c15:sqref>'2017Total DW ch cities 100 m³'!$A$500:$B$687</c15:sqref>
                  </c15:fullRef>
                  <c15:levelRef>
                    <c15:sqref>'2017Total DW ch cities 100 m³'!$A$500:$A$687</c15:sqref>
                  </c15:levelRef>
                </c:ext>
              </c:extLst>
              <c:f>'2017Total DW ch cities 100 m³'!$A$500:$A$687</c:f>
              <c:strCache>
                <c:ptCount val="188"/>
                <c:pt idx="0">
                  <c:v>Milan</c:v>
                </c:pt>
                <c:pt idx="1">
                  <c:v>Shanghai</c:v>
                </c:pt>
                <c:pt idx="2">
                  <c:v>Guangzhou</c:v>
                </c:pt>
                <c:pt idx="3">
                  <c:v>Yerevan</c:v>
                </c:pt>
                <c:pt idx="4">
                  <c:v>Beijing</c:v>
                </c:pt>
                <c:pt idx="5">
                  <c:v>Hong Kong</c:v>
                </c:pt>
                <c:pt idx="6">
                  <c:v>Shenzhen</c:v>
                </c:pt>
                <c:pt idx="7">
                  <c:v>Daejeon</c:v>
                </c:pt>
                <c:pt idx="8">
                  <c:v>Russia average</c:v>
                </c:pt>
                <c:pt idx="9">
                  <c:v>Miami</c:v>
                </c:pt>
                <c:pt idx="10">
                  <c:v>Taipei</c:v>
                </c:pt>
                <c:pt idx="11">
                  <c:v>Kaohsiung</c:v>
                </c:pt>
                <c:pt idx="12">
                  <c:v>Moscow</c:v>
                </c:pt>
                <c:pt idx="13">
                  <c:v>Seoul</c:v>
                </c:pt>
                <c:pt idx="14">
                  <c:v>Guadalajara</c:v>
                </c:pt>
                <c:pt idx="15">
                  <c:v>Gwangju</c:v>
                </c:pt>
                <c:pt idx="16">
                  <c:v>Rome</c:v>
                </c:pt>
                <c:pt idx="17">
                  <c:v>Monterrey</c:v>
                </c:pt>
                <c:pt idx="18">
                  <c:v>Tianjin</c:v>
                </c:pt>
                <c:pt idx="19">
                  <c:v>Incheon</c:v>
                </c:pt>
                <c:pt idx="20">
                  <c:v>Gyeounggi</c:v>
                </c:pt>
                <c:pt idx="21">
                  <c:v>Daegu</c:v>
                </c:pt>
                <c:pt idx="22">
                  <c:v>Izmir</c:v>
                </c:pt>
                <c:pt idx="23">
                  <c:v>San Luis Potosi</c:v>
                </c:pt>
                <c:pt idx="24">
                  <c:v>Turin</c:v>
                </c:pt>
                <c:pt idx="25">
                  <c:v>Busan</c:v>
                </c:pt>
                <c:pt idx="26">
                  <c:v>Cluj Napoca</c:v>
                </c:pt>
                <c:pt idx="27">
                  <c:v>Nagoya</c:v>
                </c:pt>
                <c:pt idx="28">
                  <c:v>Timisoara</c:v>
                </c:pt>
                <c:pt idx="29">
                  <c:v>Ulsan</c:v>
                </c:pt>
                <c:pt idx="30">
                  <c:v>Macao, China average</c:v>
                </c:pt>
                <c:pt idx="31">
                  <c:v>Sofia</c:v>
                </c:pt>
                <c:pt idx="32">
                  <c:v>Sibiu</c:v>
                </c:pt>
                <c:pt idx="33">
                  <c:v>Turda</c:v>
                </c:pt>
                <c:pt idx="34">
                  <c:v>Bologna</c:v>
                </c:pt>
                <c:pt idx="35">
                  <c:v>Medias</c:v>
                </c:pt>
                <c:pt idx="36">
                  <c:v>Oradea</c:v>
                </c:pt>
                <c:pt idx="37">
                  <c:v>Arad</c:v>
                </c:pt>
                <c:pt idx="38">
                  <c:v>Alexandria</c:v>
                </c:pt>
                <c:pt idx="39">
                  <c:v>Tarnow</c:v>
                </c:pt>
                <c:pt idx="40">
                  <c:v>Yokohama</c:v>
                </c:pt>
                <c:pt idx="41">
                  <c:v>Bucharest</c:v>
                </c:pt>
                <c:pt idx="42">
                  <c:v>Budapest</c:v>
                </c:pt>
                <c:pt idx="43">
                  <c:v>Burgas</c:v>
                </c:pt>
                <c:pt idx="44">
                  <c:v>Naples</c:v>
                </c:pt>
                <c:pt idx="45">
                  <c:v>Satu Mare</c:v>
                </c:pt>
                <c:pt idx="46">
                  <c:v>Bacau</c:v>
                </c:pt>
                <c:pt idx="47">
                  <c:v>Baia Mare</c:v>
                </c:pt>
                <c:pt idx="48">
                  <c:v>Hiroshima</c:v>
                </c:pt>
                <c:pt idx="49">
                  <c:v>Targu-Mures</c:v>
                </c:pt>
                <c:pt idx="50">
                  <c:v>Botosani</c:v>
                </c:pt>
                <c:pt idx="51">
                  <c:v>Piatra Neamt</c:v>
                </c:pt>
                <c:pt idx="52">
                  <c:v>Craiova</c:v>
                </c:pt>
                <c:pt idx="53">
                  <c:v>Chicago</c:v>
                </c:pt>
                <c:pt idx="54">
                  <c:v>Pitesti</c:v>
                </c:pt>
                <c:pt idx="55">
                  <c:v>Voluntari</c:v>
                </c:pt>
                <c:pt idx="56">
                  <c:v>Radom</c:v>
                </c:pt>
                <c:pt idx="57">
                  <c:v>Bistrita</c:v>
                </c:pt>
                <c:pt idx="58">
                  <c:v>Puebla</c:v>
                </c:pt>
                <c:pt idx="59">
                  <c:v>Brasov</c:v>
                </c:pt>
                <c:pt idx="60">
                  <c:v>Bialystok</c:v>
                </c:pt>
                <c:pt idx="61">
                  <c:v>Mexico City</c:v>
                </c:pt>
                <c:pt idx="62">
                  <c:v>Targoviste</c:v>
                </c:pt>
                <c:pt idx="63">
                  <c:v>Kaposvár</c:v>
                </c:pt>
                <c:pt idx="64">
                  <c:v>Drobeta Turnu-Severin</c:v>
                </c:pt>
                <c:pt idx="65">
                  <c:v>Osaka</c:v>
                </c:pt>
                <c:pt idx="66">
                  <c:v>Kampala</c:v>
                </c:pt>
                <c:pt idx="67">
                  <c:v>Jinja</c:v>
                </c:pt>
                <c:pt idx="68">
                  <c:v>Entebbe</c:v>
                </c:pt>
                <c:pt idx="69">
                  <c:v>Mbarara</c:v>
                </c:pt>
                <c:pt idx="70">
                  <c:v>Ramnicu Valcea</c:v>
                </c:pt>
                <c:pt idx="71">
                  <c:v>Pleven</c:v>
                </c:pt>
                <c:pt idx="72">
                  <c:v>Braila</c:v>
                </c:pt>
                <c:pt idx="73">
                  <c:v>Galati</c:v>
                </c:pt>
                <c:pt idx="74">
                  <c:v>Fukuoka</c:v>
                </c:pt>
                <c:pt idx="75">
                  <c:v>Vaslui</c:v>
                </c:pt>
                <c:pt idx="76">
                  <c:v>Constanta</c:v>
                </c:pt>
                <c:pt idx="77">
                  <c:v>Suceava</c:v>
                </c:pt>
                <c:pt idx="78">
                  <c:v>Sevilla</c:v>
                </c:pt>
                <c:pt idx="79">
                  <c:v>Bilbao</c:v>
                </c:pt>
                <c:pt idx="80">
                  <c:v>Prahova</c:v>
                </c:pt>
                <c:pt idx="81">
                  <c:v>León, Guanajuato</c:v>
                </c:pt>
                <c:pt idx="82">
                  <c:v>Faro</c:v>
                </c:pt>
                <c:pt idx="83">
                  <c:v>Petrosani</c:v>
                </c:pt>
                <c:pt idx="84">
                  <c:v>Miskolc</c:v>
                </c:pt>
                <c:pt idx="85">
                  <c:v>Ankara</c:v>
                </c:pt>
                <c:pt idx="86">
                  <c:v>Debrecen</c:v>
                </c:pt>
                <c:pt idx="87">
                  <c:v>Buzau</c:v>
                </c:pt>
                <c:pt idx="88">
                  <c:v>Warsaw</c:v>
                </c:pt>
                <c:pt idx="89">
                  <c:v>Stara Zagora</c:v>
                </c:pt>
                <c:pt idx="90">
                  <c:v>Utrecht</c:v>
                </c:pt>
                <c:pt idx="91">
                  <c:v>Madrid</c:v>
                </c:pt>
                <c:pt idx="92">
                  <c:v>Wroclaw</c:v>
                </c:pt>
                <c:pt idx="93">
                  <c:v>Istanbul</c:v>
                </c:pt>
                <c:pt idx="94">
                  <c:v>Lisbon</c:v>
                </c:pt>
                <c:pt idx="95">
                  <c:v>Tokyo</c:v>
                </c:pt>
                <c:pt idx="96">
                  <c:v>Braga</c:v>
                </c:pt>
                <c:pt idx="97">
                  <c:v>Bydgoszcz</c:v>
                </c:pt>
                <c:pt idx="98">
                  <c:v>Eindhoven</c:v>
                </c:pt>
                <c:pt idx="99">
                  <c:v>Coimbra</c:v>
                </c:pt>
                <c:pt idx="100">
                  <c:v>Sapporo</c:v>
                </c:pt>
                <c:pt idx="101">
                  <c:v>Razgrad</c:v>
                </c:pt>
                <c:pt idx="102">
                  <c:v>Porto</c:v>
                </c:pt>
                <c:pt idx="103">
                  <c:v>Sintra</c:v>
                </c:pt>
                <c:pt idx="104">
                  <c:v>Loures</c:v>
                </c:pt>
                <c:pt idx="105">
                  <c:v>Pécs</c:v>
                </c:pt>
                <c:pt idx="106">
                  <c:v>Paphos</c:v>
                </c:pt>
                <c:pt idx="107">
                  <c:v>Valencia</c:v>
                </c:pt>
                <c:pt idx="108">
                  <c:v>Minneapolis</c:v>
                </c:pt>
                <c:pt idx="109">
                  <c:v>Nicosia</c:v>
                </c:pt>
                <c:pt idx="110">
                  <c:v>Brno</c:v>
                </c:pt>
                <c:pt idx="111">
                  <c:v>Ostrava</c:v>
                </c:pt>
                <c:pt idx="112">
                  <c:v>New York</c:v>
                </c:pt>
                <c:pt idx="113">
                  <c:v>Bergen</c:v>
                </c:pt>
                <c:pt idx="114">
                  <c:v>Reims</c:v>
                </c:pt>
                <c:pt idx="115">
                  <c:v>Uppsala</c:v>
                </c:pt>
                <c:pt idx="116">
                  <c:v>Oslo</c:v>
                </c:pt>
                <c:pt idx="117">
                  <c:v>Trondheim</c:v>
                </c:pt>
                <c:pt idx="118">
                  <c:v>Limassol</c:v>
                </c:pt>
                <c:pt idx="119">
                  <c:v>Rotterdam</c:v>
                </c:pt>
                <c:pt idx="120">
                  <c:v>Larnaca</c:v>
                </c:pt>
                <c:pt idx="121">
                  <c:v>Amsterdam</c:v>
                </c:pt>
                <c:pt idx="122">
                  <c:v>Los Angeles</c:v>
                </c:pt>
                <c:pt idx="123">
                  <c:v>Strassbourg</c:v>
                </c:pt>
                <c:pt idx="124">
                  <c:v>Denver</c:v>
                </c:pt>
                <c:pt idx="125">
                  <c:v>Barcelona</c:v>
                </c:pt>
                <c:pt idx="126">
                  <c:v>Antwerp</c:v>
                </c:pt>
                <c:pt idx="127">
                  <c:v>Leeds</c:v>
                </c:pt>
                <c:pt idx="128">
                  <c:v>London</c:v>
                </c:pt>
                <c:pt idx="129">
                  <c:v>Paris</c:v>
                </c:pt>
                <c:pt idx="130">
                  <c:v>Prague</c:v>
                </c:pt>
                <c:pt idx="131">
                  <c:v>Cardiff</c:v>
                </c:pt>
                <c:pt idx="132">
                  <c:v>Sendai</c:v>
                </c:pt>
                <c:pt idx="133">
                  <c:v>Sydney</c:v>
                </c:pt>
                <c:pt idx="134">
                  <c:v>Lyon</c:v>
                </c:pt>
                <c:pt idx="135">
                  <c:v>Espoo</c:v>
                </c:pt>
                <c:pt idx="136">
                  <c:v>Helsinki</c:v>
                </c:pt>
                <c:pt idx="137">
                  <c:v>Vantaa</c:v>
                </c:pt>
                <c:pt idx="138">
                  <c:v>Den Haag</c:v>
                </c:pt>
                <c:pt idx="139">
                  <c:v>Usti nad Labem</c:v>
                </c:pt>
                <c:pt idx="140">
                  <c:v>Ottawa</c:v>
                </c:pt>
                <c:pt idx="141">
                  <c:v>Marseille</c:v>
                </c:pt>
                <c:pt idx="142">
                  <c:v>Berlin</c:v>
                </c:pt>
                <c:pt idx="143">
                  <c:v>Lausanne</c:v>
                </c:pt>
                <c:pt idx="144">
                  <c:v>Birmingham</c:v>
                </c:pt>
                <c:pt idx="145">
                  <c:v>SEDIF</c:v>
                </c:pt>
                <c:pt idx="146">
                  <c:v>Malta average</c:v>
                </c:pt>
                <c:pt idx="147">
                  <c:v>Plzeñ</c:v>
                </c:pt>
                <c:pt idx="148">
                  <c:v>Geneva</c:v>
                </c:pt>
                <c:pt idx="149">
                  <c:v>Louvain</c:v>
                </c:pt>
                <c:pt idx="150">
                  <c:v>Kortrijk</c:v>
                </c:pt>
                <c:pt idx="151">
                  <c:v>Genk</c:v>
                </c:pt>
                <c:pt idx="152">
                  <c:v>Austria average</c:v>
                </c:pt>
                <c:pt idx="153">
                  <c:v>Oulu</c:v>
                </c:pt>
                <c:pt idx="154">
                  <c:v>Lille</c:v>
                </c:pt>
                <c:pt idx="155">
                  <c:v>Durham</c:v>
                </c:pt>
                <c:pt idx="156">
                  <c:v>Bordeaux</c:v>
                </c:pt>
                <c:pt idx="157">
                  <c:v>Basel</c:v>
                </c:pt>
                <c:pt idx="158">
                  <c:v>Washington D.C.</c:v>
                </c:pt>
                <c:pt idx="159">
                  <c:v>Brest</c:v>
                </c:pt>
                <c:pt idx="160">
                  <c:v>Manchester</c:v>
                </c:pt>
                <c:pt idx="161">
                  <c:v>Canberra</c:v>
                </c:pt>
                <c:pt idx="162">
                  <c:v>Winnipeg</c:v>
                </c:pt>
                <c:pt idx="163">
                  <c:v>Nancy</c:v>
                </c:pt>
                <c:pt idx="164">
                  <c:v>Calgary</c:v>
                </c:pt>
                <c:pt idx="165">
                  <c:v>Brussels</c:v>
                </c:pt>
                <c:pt idx="166">
                  <c:v>Tampere</c:v>
                </c:pt>
                <c:pt idx="167">
                  <c:v>Le Havre</c:v>
                </c:pt>
                <c:pt idx="168">
                  <c:v>Ghent</c:v>
                </c:pt>
                <c:pt idx="169">
                  <c:v>Melbourne</c:v>
                </c:pt>
                <c:pt idx="170">
                  <c:v>Stockholm</c:v>
                </c:pt>
                <c:pt idx="171">
                  <c:v>Bern</c:v>
                </c:pt>
                <c:pt idx="172">
                  <c:v>Perth</c:v>
                </c:pt>
                <c:pt idx="173">
                  <c:v>Malmö</c:v>
                </c:pt>
                <c:pt idx="174">
                  <c:v>Charleroi</c:v>
                </c:pt>
                <c:pt idx="175">
                  <c:v>Liège</c:v>
                </c:pt>
                <c:pt idx="176">
                  <c:v>Esbjerg</c:v>
                </c:pt>
                <c:pt idx="177">
                  <c:v>Zürich</c:v>
                </c:pt>
                <c:pt idx="178">
                  <c:v>Turku</c:v>
                </c:pt>
                <c:pt idx="179">
                  <c:v>Copenhagen</c:v>
                </c:pt>
                <c:pt idx="180">
                  <c:v>Aarhus</c:v>
                </c:pt>
                <c:pt idx="181">
                  <c:v>Odense</c:v>
                </c:pt>
                <c:pt idx="182">
                  <c:v>Brisbane</c:v>
                </c:pt>
                <c:pt idx="183">
                  <c:v>Aalborg</c:v>
                </c:pt>
                <c:pt idx="184">
                  <c:v>Linköping</c:v>
                </c:pt>
                <c:pt idx="185">
                  <c:v>Saskatoon</c:v>
                </c:pt>
                <c:pt idx="186">
                  <c:v>Göteborg</c:v>
                </c:pt>
                <c:pt idx="187">
                  <c:v>Vancouver</c:v>
                </c:pt>
              </c:strCache>
            </c:strRef>
          </c:cat>
          <c:val>
            <c:numRef>
              <c:f>'2017Total DW ch cities 100 m³'!$F$500:$F$687</c:f>
              <c:numCache>
                <c:formatCode>0.00</c:formatCode>
                <c:ptCount val="188"/>
                <c:pt idx="0">
                  <c:v>1.7886940132771514</c:v>
                </c:pt>
                <c:pt idx="1">
                  <c:v>0</c:v>
                </c:pt>
                <c:pt idx="2">
                  <c:v>0</c:v>
                </c:pt>
                <c:pt idx="3">
                  <c:v>5.2785689191072356</c:v>
                </c:pt>
                <c:pt idx="4">
                  <c:v>0</c:v>
                </c:pt>
                <c:pt idx="5">
                  <c:v>0</c:v>
                </c:pt>
                <c:pt idx="6">
                  <c:v>0</c:v>
                </c:pt>
                <c:pt idx="7">
                  <c:v>0</c:v>
                </c:pt>
                <c:pt idx="8">
                  <c:v>0</c:v>
                </c:pt>
                <c:pt idx="9">
                  <c:v>0</c:v>
                </c:pt>
                <c:pt idx="10">
                  <c:v>0</c:v>
                </c:pt>
                <c:pt idx="11">
                  <c:v>0</c:v>
                </c:pt>
                <c:pt idx="12">
                  <c:v>0</c:v>
                </c:pt>
                <c:pt idx="13">
                  <c:v>0</c:v>
                </c:pt>
                <c:pt idx="14">
                  <c:v>0</c:v>
                </c:pt>
                <c:pt idx="15">
                  <c:v>0</c:v>
                </c:pt>
                <c:pt idx="16">
                  <c:v>5.3420727242169965</c:v>
                </c:pt>
                <c:pt idx="17">
                  <c:v>0</c:v>
                </c:pt>
                <c:pt idx="18">
                  <c:v>0</c:v>
                </c:pt>
                <c:pt idx="19">
                  <c:v>0</c:v>
                </c:pt>
                <c:pt idx="20">
                  <c:v>0</c:v>
                </c:pt>
                <c:pt idx="21">
                  <c:v>0</c:v>
                </c:pt>
                <c:pt idx="22">
                  <c:v>4.8277861227501511</c:v>
                </c:pt>
                <c:pt idx="23">
                  <c:v>0</c:v>
                </c:pt>
                <c:pt idx="24">
                  <c:v>6.5065245315182292</c:v>
                </c:pt>
                <c:pt idx="25">
                  <c:v>0</c:v>
                </c:pt>
                <c:pt idx="26">
                  <c:v>6.0897798725957344</c:v>
                </c:pt>
                <c:pt idx="27">
                  <c:v>5.414474470220302</c:v>
                </c:pt>
                <c:pt idx="28">
                  <c:v>6.5991911166911938</c:v>
                </c:pt>
                <c:pt idx="29">
                  <c:v>0</c:v>
                </c:pt>
                <c:pt idx="30">
                  <c:v>0</c:v>
                </c:pt>
                <c:pt idx="31">
                  <c:v>14.11579864733825</c:v>
                </c:pt>
                <c:pt idx="32">
                  <c:v>7.1317574173364484</c:v>
                </c:pt>
                <c:pt idx="33">
                  <c:v>7.3169978697347977</c:v>
                </c:pt>
                <c:pt idx="34">
                  <c:v>8.1151486776869426</c:v>
                </c:pt>
                <c:pt idx="35">
                  <c:v>7.3864630393841786</c:v>
                </c:pt>
                <c:pt idx="36">
                  <c:v>7.4096180959339728</c:v>
                </c:pt>
                <c:pt idx="37">
                  <c:v>7.4096180959339728</c:v>
                </c:pt>
                <c:pt idx="38">
                  <c:v>7.4327731524837661</c:v>
                </c:pt>
                <c:pt idx="39">
                  <c:v>6.7845335633175221</c:v>
                </c:pt>
                <c:pt idx="40">
                  <c:v>6.8169121198839209</c:v>
                </c:pt>
                <c:pt idx="41">
                  <c:v>7.6643237179817021</c:v>
                </c:pt>
                <c:pt idx="42">
                  <c:v>19.75451295668984</c:v>
                </c:pt>
                <c:pt idx="43">
                  <c:v>15.956989775251936</c:v>
                </c:pt>
                <c:pt idx="44">
                  <c:v>8.7393908836628604</c:v>
                </c:pt>
                <c:pt idx="45">
                  <c:v>7.9653394531290207</c:v>
                </c:pt>
                <c:pt idx="46">
                  <c:v>8.0348046227784007</c:v>
                </c:pt>
                <c:pt idx="47">
                  <c:v>8.0579596793281958</c:v>
                </c:pt>
                <c:pt idx="48">
                  <c:v>7.2340929397205675</c:v>
                </c:pt>
                <c:pt idx="49">
                  <c:v>8.1042697924277824</c:v>
                </c:pt>
                <c:pt idx="50">
                  <c:v>8.2432001317265442</c:v>
                </c:pt>
                <c:pt idx="51">
                  <c:v>8.2432001317265442</c:v>
                </c:pt>
                <c:pt idx="52">
                  <c:v>8.2663551882763393</c:v>
                </c:pt>
                <c:pt idx="53">
                  <c:v>0</c:v>
                </c:pt>
                <c:pt idx="54">
                  <c:v>8.4979057537742744</c:v>
                </c:pt>
                <c:pt idx="55">
                  <c:v>8.5442158668738628</c:v>
                </c:pt>
                <c:pt idx="56">
                  <c:v>7.681471898806957</c:v>
                </c:pt>
                <c:pt idx="57">
                  <c:v>8.5905259799734495</c:v>
                </c:pt>
                <c:pt idx="58">
                  <c:v>0</c:v>
                </c:pt>
                <c:pt idx="59">
                  <c:v>8.6136810365232428</c:v>
                </c:pt>
                <c:pt idx="60">
                  <c:v>7.7734655742417704</c:v>
                </c:pt>
                <c:pt idx="61">
                  <c:v>0</c:v>
                </c:pt>
                <c:pt idx="62">
                  <c:v>8.8220765454713863</c:v>
                </c:pt>
                <c:pt idx="63">
                  <c:v>22.71432910660101</c:v>
                </c:pt>
                <c:pt idx="64">
                  <c:v>8.8452316020211796</c:v>
                </c:pt>
                <c:pt idx="65">
                  <c:v>7.926435576896278</c:v>
                </c:pt>
                <c:pt idx="66">
                  <c:v>15.869728594403403</c:v>
                </c:pt>
                <c:pt idx="67">
                  <c:v>15.869728594403403</c:v>
                </c:pt>
                <c:pt idx="68">
                  <c:v>15.869728594403403</c:v>
                </c:pt>
                <c:pt idx="69">
                  <c:v>15.869728594403403</c:v>
                </c:pt>
                <c:pt idx="70">
                  <c:v>9.0073169978697347</c:v>
                </c:pt>
                <c:pt idx="71">
                  <c:v>18.411911279136849</c:v>
                </c:pt>
                <c:pt idx="72">
                  <c:v>9.3083327330170533</c:v>
                </c:pt>
                <c:pt idx="73">
                  <c:v>9.3314877895668467</c:v>
                </c:pt>
                <c:pt idx="74">
                  <c:v>8.3436163967329247</c:v>
                </c:pt>
                <c:pt idx="75">
                  <c:v>9.4241080157660218</c:v>
                </c:pt>
                <c:pt idx="76">
                  <c:v>9.4704181288656084</c:v>
                </c:pt>
                <c:pt idx="77">
                  <c:v>9.4935731854154017</c:v>
                </c:pt>
                <c:pt idx="78">
                  <c:v>10.480066265711097</c:v>
                </c:pt>
                <c:pt idx="79">
                  <c:v>10.528084896940012</c:v>
                </c:pt>
                <c:pt idx="80">
                  <c:v>9.5630383550647835</c:v>
                </c:pt>
                <c:pt idx="81">
                  <c:v>0</c:v>
                </c:pt>
                <c:pt idx="82">
                  <c:v>6.6385757673977501</c:v>
                </c:pt>
                <c:pt idx="83">
                  <c:v>9.7714338640129252</c:v>
                </c:pt>
                <c:pt idx="84">
                  <c:v>25.983338267004079</c:v>
                </c:pt>
                <c:pt idx="85">
                  <c:v>9.3182596779719074</c:v>
                </c:pt>
                <c:pt idx="86">
                  <c:v>26.827129237540621</c:v>
                </c:pt>
                <c:pt idx="87">
                  <c:v>10.743946239104259</c:v>
                </c:pt>
                <c:pt idx="88">
                  <c:v>9.6593359206554563</c:v>
                </c:pt>
                <c:pt idx="89">
                  <c:v>22.094293534964219</c:v>
                </c:pt>
                <c:pt idx="90">
                  <c:v>7.7790182590845252</c:v>
                </c:pt>
                <c:pt idx="91">
                  <c:v>12.508853435132831</c:v>
                </c:pt>
                <c:pt idx="92">
                  <c:v>10.303291648699153</c:v>
                </c:pt>
                <c:pt idx="93">
                  <c:v>9.3815057843834815</c:v>
                </c:pt>
                <c:pt idx="94">
                  <c:v>8.0071067574218802</c:v>
                </c:pt>
                <c:pt idx="95">
                  <c:v>10.482777621852748</c:v>
                </c:pt>
                <c:pt idx="96">
                  <c:v>8.1991812823375465</c:v>
                </c:pt>
                <c:pt idx="97">
                  <c:v>10.970245795601551</c:v>
                </c:pt>
                <c:pt idx="98">
                  <c:v>8.403260465060443</c:v>
                </c:pt>
                <c:pt idx="99">
                  <c:v>8.4392744384821317</c:v>
                </c:pt>
                <c:pt idx="100">
                  <c:v>11.201748821996755</c:v>
                </c:pt>
                <c:pt idx="101">
                  <c:v>25.77667579079159</c:v>
                </c:pt>
                <c:pt idx="102">
                  <c:v>8.8234234883134643</c:v>
                </c:pt>
                <c:pt idx="103">
                  <c:v>9.1115352756869665</c:v>
                </c:pt>
                <c:pt idx="104">
                  <c:v>9.2555911693737158</c:v>
                </c:pt>
                <c:pt idx="105">
                  <c:v>35.462166870509741</c:v>
                </c:pt>
                <c:pt idx="106">
                  <c:v>7.9590881261929622</c:v>
                </c:pt>
                <c:pt idx="107">
                  <c:v>15.329948019831694</c:v>
                </c:pt>
                <c:pt idx="108">
                  <c:v>0</c:v>
                </c:pt>
                <c:pt idx="109">
                  <c:v>8.2832138869881522</c:v>
                </c:pt>
                <c:pt idx="110">
                  <c:v>22.749192967679225</c:v>
                </c:pt>
                <c:pt idx="111">
                  <c:v>22.890200362106988</c:v>
                </c:pt>
                <c:pt idx="112">
                  <c:v>0</c:v>
                </c:pt>
                <c:pt idx="113">
                  <c:v>37.445172832780642</c:v>
                </c:pt>
                <c:pt idx="114">
                  <c:v>9.7597867972773447</c:v>
                </c:pt>
                <c:pt idx="115">
                  <c:v>37.835665154057025</c:v>
                </c:pt>
                <c:pt idx="116">
                  <c:v>34.459308766375024</c:v>
                </c:pt>
                <c:pt idx="117">
                  <c:v>39.254972073030579</c:v>
                </c:pt>
                <c:pt idx="118">
                  <c:v>9.36363308963878</c:v>
                </c:pt>
                <c:pt idx="119">
                  <c:v>11.296382996602681</c:v>
                </c:pt>
                <c:pt idx="120">
                  <c:v>9.6037262457833634</c:v>
                </c:pt>
                <c:pt idx="121">
                  <c:v>11.536476152747264</c:v>
                </c:pt>
                <c:pt idx="122">
                  <c:v>0</c:v>
                </c:pt>
                <c:pt idx="123">
                  <c:v>10.672140790626763</c:v>
                </c:pt>
                <c:pt idx="124">
                  <c:v>0</c:v>
                </c:pt>
                <c:pt idx="125">
                  <c:v>19.267475780602876</c:v>
                </c:pt>
                <c:pt idx="126">
                  <c:v>12.136709043108725</c:v>
                </c:pt>
                <c:pt idx="127">
                  <c:v>0</c:v>
                </c:pt>
                <c:pt idx="128">
                  <c:v>0</c:v>
                </c:pt>
                <c:pt idx="129">
                  <c:v>11.308387654409911</c:v>
                </c:pt>
                <c:pt idx="130">
                  <c:v>28.483493674408283</c:v>
                </c:pt>
                <c:pt idx="131">
                  <c:v>0</c:v>
                </c:pt>
                <c:pt idx="132">
                  <c:v>16.2789281612853</c:v>
                </c:pt>
                <c:pt idx="133">
                  <c:v>0</c:v>
                </c:pt>
                <c:pt idx="134">
                  <c:v>11.800578624506308</c:v>
                </c:pt>
                <c:pt idx="135">
                  <c:v>43.937047574458887</c:v>
                </c:pt>
                <c:pt idx="136">
                  <c:v>43.937047574458887</c:v>
                </c:pt>
                <c:pt idx="137">
                  <c:v>43.937047574458887</c:v>
                </c:pt>
                <c:pt idx="138">
                  <c:v>13.073072352072604</c:v>
                </c:pt>
                <c:pt idx="139">
                  <c:v>30.645607055633995</c:v>
                </c:pt>
                <c:pt idx="140">
                  <c:v>0</c:v>
                </c:pt>
                <c:pt idx="141">
                  <c:v>12.364797541446082</c:v>
                </c:pt>
                <c:pt idx="142">
                  <c:v>15.606055149397966</c:v>
                </c:pt>
                <c:pt idx="143">
                  <c:v>17.733626157098584</c:v>
                </c:pt>
                <c:pt idx="144">
                  <c:v>0</c:v>
                </c:pt>
                <c:pt idx="145">
                  <c:v>12.604890697590665</c:v>
                </c:pt>
                <c:pt idx="146">
                  <c:v>0</c:v>
                </c:pt>
                <c:pt idx="147">
                  <c:v>31.773666211056106</c:v>
                </c:pt>
                <c:pt idx="148">
                  <c:v>18.0620266414893</c:v>
                </c:pt>
                <c:pt idx="149">
                  <c:v>13.865379767349731</c:v>
                </c:pt>
                <c:pt idx="150">
                  <c:v>13.865379767349731</c:v>
                </c:pt>
                <c:pt idx="151">
                  <c:v>13.865379767349731</c:v>
                </c:pt>
                <c:pt idx="152">
                  <c:v>22.244630916795717</c:v>
                </c:pt>
                <c:pt idx="153">
                  <c:v>47.526440258820422</c:v>
                </c:pt>
                <c:pt idx="154">
                  <c:v>13.013049063036458</c:v>
                </c:pt>
                <c:pt idx="155">
                  <c:v>0</c:v>
                </c:pt>
                <c:pt idx="156">
                  <c:v>13.313165508217187</c:v>
                </c:pt>
                <c:pt idx="157">
                  <c:v>19.12932821575912</c:v>
                </c:pt>
                <c:pt idx="158">
                  <c:v>0</c:v>
                </c:pt>
                <c:pt idx="159">
                  <c:v>14.021440318843711</c:v>
                </c:pt>
                <c:pt idx="160">
                  <c:v>0</c:v>
                </c:pt>
                <c:pt idx="161">
                  <c:v>0</c:v>
                </c:pt>
                <c:pt idx="162">
                  <c:v>0</c:v>
                </c:pt>
                <c:pt idx="163">
                  <c:v>14.873771023156985</c:v>
                </c:pt>
                <c:pt idx="164">
                  <c:v>0</c:v>
                </c:pt>
                <c:pt idx="165">
                  <c:v>16.326334617831719</c:v>
                </c:pt>
                <c:pt idx="166">
                  <c:v>56.373873062748345</c:v>
                </c:pt>
                <c:pt idx="167">
                  <c:v>15.401975966675069</c:v>
                </c:pt>
                <c:pt idx="168">
                  <c:v>16.842534903542575</c:v>
                </c:pt>
                <c:pt idx="169">
                  <c:v>0</c:v>
                </c:pt>
                <c:pt idx="170">
                  <c:v>62.74286820688971</c:v>
                </c:pt>
                <c:pt idx="171">
                  <c:v>23.480634633936084</c:v>
                </c:pt>
                <c:pt idx="172">
                  <c:v>0</c:v>
                </c:pt>
                <c:pt idx="173">
                  <c:v>65.46948699127114</c:v>
                </c:pt>
                <c:pt idx="174">
                  <c:v>0</c:v>
                </c:pt>
                <c:pt idx="175">
                  <c:v>0</c:v>
                </c:pt>
                <c:pt idx="176">
                  <c:v>71.440776047996849</c:v>
                </c:pt>
                <c:pt idx="177">
                  <c:v>26.928839720038585</c:v>
                </c:pt>
                <c:pt idx="178">
                  <c:v>71.799858345037876</c:v>
                </c:pt>
                <c:pt idx="179">
                  <c:v>74.245535757462434</c:v>
                </c:pt>
                <c:pt idx="180">
                  <c:v>81.49922466125274</c:v>
                </c:pt>
                <c:pt idx="181">
                  <c:v>82.821007972610062</c:v>
                </c:pt>
                <c:pt idx="182">
                  <c:v>0</c:v>
                </c:pt>
                <c:pt idx="183">
                  <c:v>86.044869707627981</c:v>
                </c:pt>
                <c:pt idx="184">
                  <c:v>90.836232535853512</c:v>
                </c:pt>
                <c:pt idx="185">
                  <c:v>0</c:v>
                </c:pt>
                <c:pt idx="186">
                  <c:v>96.871557260832645</c:v>
                </c:pt>
                <c:pt idx="187">
                  <c:v>0</c:v>
                </c:pt>
              </c:numCache>
            </c:numRef>
          </c:val>
          <c:extLst>
            <c:ext xmlns:c16="http://schemas.microsoft.com/office/drawing/2014/chart" uri="{C3380CC4-5D6E-409C-BE32-E72D297353CC}">
              <c16:uniqueId val="{00000003-C556-47B3-9B5A-E10A74A4E58B}"/>
            </c:ext>
          </c:extLst>
        </c:ser>
        <c:ser>
          <c:idx val="4"/>
          <c:order val="4"/>
          <c:tx>
            <c:strRef>
              <c:f>'2017Total DW ch cities 100 m³'!$G$499</c:f>
              <c:strCache>
                <c:ptCount val="1"/>
                <c:pt idx="0">
                  <c:v>Total charge drinking water</c:v>
                </c:pt>
              </c:strCache>
            </c:strRef>
          </c:tx>
          <c:spPr>
            <a:solidFill>
              <a:schemeClr val="accent5"/>
            </a:solidFill>
            <a:ln>
              <a:noFill/>
            </a:ln>
            <a:effectLst/>
          </c:spPr>
          <c:invertIfNegative val="0"/>
          <c:cat>
            <c:strRef>
              <c:extLst>
                <c:ext xmlns:c15="http://schemas.microsoft.com/office/drawing/2012/chart" uri="{02D57815-91ED-43cb-92C2-25804820EDAC}">
                  <c15:fullRef>
                    <c15:sqref>'2017Total DW ch cities 100 m³'!$A$500:$B$687</c15:sqref>
                  </c15:fullRef>
                  <c15:levelRef>
                    <c15:sqref>'2017Total DW ch cities 100 m³'!$A$500:$A$687</c15:sqref>
                  </c15:levelRef>
                </c:ext>
              </c:extLst>
              <c:f>'2017Total DW ch cities 100 m³'!$A$500:$A$687</c:f>
              <c:strCache>
                <c:ptCount val="188"/>
                <c:pt idx="0">
                  <c:v>Milan</c:v>
                </c:pt>
                <c:pt idx="1">
                  <c:v>Shanghai</c:v>
                </c:pt>
                <c:pt idx="2">
                  <c:v>Guangzhou</c:v>
                </c:pt>
                <c:pt idx="3">
                  <c:v>Yerevan</c:v>
                </c:pt>
                <c:pt idx="4">
                  <c:v>Beijing</c:v>
                </c:pt>
                <c:pt idx="5">
                  <c:v>Hong Kong</c:v>
                </c:pt>
                <c:pt idx="6">
                  <c:v>Shenzhen</c:v>
                </c:pt>
                <c:pt idx="7">
                  <c:v>Daejeon</c:v>
                </c:pt>
                <c:pt idx="8">
                  <c:v>Russia average</c:v>
                </c:pt>
                <c:pt idx="9">
                  <c:v>Miami</c:v>
                </c:pt>
                <c:pt idx="10">
                  <c:v>Taipei</c:v>
                </c:pt>
                <c:pt idx="11">
                  <c:v>Kaohsiung</c:v>
                </c:pt>
                <c:pt idx="12">
                  <c:v>Moscow</c:v>
                </c:pt>
                <c:pt idx="13">
                  <c:v>Seoul</c:v>
                </c:pt>
                <c:pt idx="14">
                  <c:v>Guadalajara</c:v>
                </c:pt>
                <c:pt idx="15">
                  <c:v>Gwangju</c:v>
                </c:pt>
                <c:pt idx="16">
                  <c:v>Rome</c:v>
                </c:pt>
                <c:pt idx="17">
                  <c:v>Monterrey</c:v>
                </c:pt>
                <c:pt idx="18">
                  <c:v>Tianjin</c:v>
                </c:pt>
                <c:pt idx="19">
                  <c:v>Incheon</c:v>
                </c:pt>
                <c:pt idx="20">
                  <c:v>Gyeounggi</c:v>
                </c:pt>
                <c:pt idx="21">
                  <c:v>Daegu</c:v>
                </c:pt>
                <c:pt idx="22">
                  <c:v>Izmir</c:v>
                </c:pt>
                <c:pt idx="23">
                  <c:v>San Luis Potosi</c:v>
                </c:pt>
                <c:pt idx="24">
                  <c:v>Turin</c:v>
                </c:pt>
                <c:pt idx="25">
                  <c:v>Busan</c:v>
                </c:pt>
                <c:pt idx="26">
                  <c:v>Cluj Napoca</c:v>
                </c:pt>
                <c:pt idx="27">
                  <c:v>Nagoya</c:v>
                </c:pt>
                <c:pt idx="28">
                  <c:v>Timisoara</c:v>
                </c:pt>
                <c:pt idx="29">
                  <c:v>Ulsan</c:v>
                </c:pt>
                <c:pt idx="30">
                  <c:v>Macao, China average</c:v>
                </c:pt>
                <c:pt idx="31">
                  <c:v>Sofia</c:v>
                </c:pt>
                <c:pt idx="32">
                  <c:v>Sibiu</c:v>
                </c:pt>
                <c:pt idx="33">
                  <c:v>Turda</c:v>
                </c:pt>
                <c:pt idx="34">
                  <c:v>Bologna</c:v>
                </c:pt>
                <c:pt idx="35">
                  <c:v>Medias</c:v>
                </c:pt>
                <c:pt idx="36">
                  <c:v>Oradea</c:v>
                </c:pt>
                <c:pt idx="37">
                  <c:v>Arad</c:v>
                </c:pt>
                <c:pt idx="38">
                  <c:v>Alexandria</c:v>
                </c:pt>
                <c:pt idx="39">
                  <c:v>Tarnow</c:v>
                </c:pt>
                <c:pt idx="40">
                  <c:v>Yokohama</c:v>
                </c:pt>
                <c:pt idx="41">
                  <c:v>Bucharest</c:v>
                </c:pt>
                <c:pt idx="42">
                  <c:v>Budapest</c:v>
                </c:pt>
                <c:pt idx="43">
                  <c:v>Burgas</c:v>
                </c:pt>
                <c:pt idx="44">
                  <c:v>Naples</c:v>
                </c:pt>
                <c:pt idx="45">
                  <c:v>Satu Mare</c:v>
                </c:pt>
                <c:pt idx="46">
                  <c:v>Bacau</c:v>
                </c:pt>
                <c:pt idx="47">
                  <c:v>Baia Mare</c:v>
                </c:pt>
                <c:pt idx="48">
                  <c:v>Hiroshima</c:v>
                </c:pt>
                <c:pt idx="49">
                  <c:v>Targu-Mures</c:v>
                </c:pt>
                <c:pt idx="50">
                  <c:v>Botosani</c:v>
                </c:pt>
                <c:pt idx="51">
                  <c:v>Piatra Neamt</c:v>
                </c:pt>
                <c:pt idx="52">
                  <c:v>Craiova</c:v>
                </c:pt>
                <c:pt idx="53">
                  <c:v>Chicago</c:v>
                </c:pt>
                <c:pt idx="54">
                  <c:v>Pitesti</c:v>
                </c:pt>
                <c:pt idx="55">
                  <c:v>Voluntari</c:v>
                </c:pt>
                <c:pt idx="56">
                  <c:v>Radom</c:v>
                </c:pt>
                <c:pt idx="57">
                  <c:v>Bistrita</c:v>
                </c:pt>
                <c:pt idx="58">
                  <c:v>Puebla</c:v>
                </c:pt>
                <c:pt idx="59">
                  <c:v>Brasov</c:v>
                </c:pt>
                <c:pt idx="60">
                  <c:v>Bialystok</c:v>
                </c:pt>
                <c:pt idx="61">
                  <c:v>Mexico City</c:v>
                </c:pt>
                <c:pt idx="62">
                  <c:v>Targoviste</c:v>
                </c:pt>
                <c:pt idx="63">
                  <c:v>Kaposvár</c:v>
                </c:pt>
                <c:pt idx="64">
                  <c:v>Drobeta Turnu-Severin</c:v>
                </c:pt>
                <c:pt idx="65">
                  <c:v>Osaka</c:v>
                </c:pt>
                <c:pt idx="66">
                  <c:v>Kampala</c:v>
                </c:pt>
                <c:pt idx="67">
                  <c:v>Jinja</c:v>
                </c:pt>
                <c:pt idx="68">
                  <c:v>Entebbe</c:v>
                </c:pt>
                <c:pt idx="69">
                  <c:v>Mbarara</c:v>
                </c:pt>
                <c:pt idx="70">
                  <c:v>Ramnicu Valcea</c:v>
                </c:pt>
                <c:pt idx="71">
                  <c:v>Pleven</c:v>
                </c:pt>
                <c:pt idx="72">
                  <c:v>Braila</c:v>
                </c:pt>
                <c:pt idx="73">
                  <c:v>Galati</c:v>
                </c:pt>
                <c:pt idx="74">
                  <c:v>Fukuoka</c:v>
                </c:pt>
                <c:pt idx="75">
                  <c:v>Vaslui</c:v>
                </c:pt>
                <c:pt idx="76">
                  <c:v>Constanta</c:v>
                </c:pt>
                <c:pt idx="77">
                  <c:v>Suceava</c:v>
                </c:pt>
                <c:pt idx="78">
                  <c:v>Sevilla</c:v>
                </c:pt>
                <c:pt idx="79">
                  <c:v>Bilbao</c:v>
                </c:pt>
                <c:pt idx="80">
                  <c:v>Prahova</c:v>
                </c:pt>
                <c:pt idx="81">
                  <c:v>León, Guanajuato</c:v>
                </c:pt>
                <c:pt idx="82">
                  <c:v>Faro</c:v>
                </c:pt>
                <c:pt idx="83">
                  <c:v>Petrosani</c:v>
                </c:pt>
                <c:pt idx="84">
                  <c:v>Miskolc</c:v>
                </c:pt>
                <c:pt idx="85">
                  <c:v>Ankara</c:v>
                </c:pt>
                <c:pt idx="86">
                  <c:v>Debrecen</c:v>
                </c:pt>
                <c:pt idx="87">
                  <c:v>Buzau</c:v>
                </c:pt>
                <c:pt idx="88">
                  <c:v>Warsaw</c:v>
                </c:pt>
                <c:pt idx="89">
                  <c:v>Stara Zagora</c:v>
                </c:pt>
                <c:pt idx="90">
                  <c:v>Utrecht</c:v>
                </c:pt>
                <c:pt idx="91">
                  <c:v>Madrid</c:v>
                </c:pt>
                <c:pt idx="92">
                  <c:v>Wroclaw</c:v>
                </c:pt>
                <c:pt idx="93">
                  <c:v>Istanbul</c:v>
                </c:pt>
                <c:pt idx="94">
                  <c:v>Lisbon</c:v>
                </c:pt>
                <c:pt idx="95">
                  <c:v>Tokyo</c:v>
                </c:pt>
                <c:pt idx="96">
                  <c:v>Braga</c:v>
                </c:pt>
                <c:pt idx="97">
                  <c:v>Bydgoszcz</c:v>
                </c:pt>
                <c:pt idx="98">
                  <c:v>Eindhoven</c:v>
                </c:pt>
                <c:pt idx="99">
                  <c:v>Coimbra</c:v>
                </c:pt>
                <c:pt idx="100">
                  <c:v>Sapporo</c:v>
                </c:pt>
                <c:pt idx="101">
                  <c:v>Razgrad</c:v>
                </c:pt>
                <c:pt idx="102">
                  <c:v>Porto</c:v>
                </c:pt>
                <c:pt idx="103">
                  <c:v>Sintra</c:v>
                </c:pt>
                <c:pt idx="104">
                  <c:v>Loures</c:v>
                </c:pt>
                <c:pt idx="105">
                  <c:v>Pécs</c:v>
                </c:pt>
                <c:pt idx="106">
                  <c:v>Paphos</c:v>
                </c:pt>
                <c:pt idx="107">
                  <c:v>Valencia</c:v>
                </c:pt>
                <c:pt idx="108">
                  <c:v>Minneapolis</c:v>
                </c:pt>
                <c:pt idx="109">
                  <c:v>Nicosia</c:v>
                </c:pt>
                <c:pt idx="110">
                  <c:v>Brno</c:v>
                </c:pt>
                <c:pt idx="111">
                  <c:v>Ostrava</c:v>
                </c:pt>
                <c:pt idx="112">
                  <c:v>New York</c:v>
                </c:pt>
                <c:pt idx="113">
                  <c:v>Bergen</c:v>
                </c:pt>
                <c:pt idx="114">
                  <c:v>Reims</c:v>
                </c:pt>
                <c:pt idx="115">
                  <c:v>Uppsala</c:v>
                </c:pt>
                <c:pt idx="116">
                  <c:v>Oslo</c:v>
                </c:pt>
                <c:pt idx="117">
                  <c:v>Trondheim</c:v>
                </c:pt>
                <c:pt idx="118">
                  <c:v>Limassol</c:v>
                </c:pt>
                <c:pt idx="119">
                  <c:v>Rotterdam</c:v>
                </c:pt>
                <c:pt idx="120">
                  <c:v>Larnaca</c:v>
                </c:pt>
                <c:pt idx="121">
                  <c:v>Amsterdam</c:v>
                </c:pt>
                <c:pt idx="122">
                  <c:v>Los Angeles</c:v>
                </c:pt>
                <c:pt idx="123">
                  <c:v>Strassbourg</c:v>
                </c:pt>
                <c:pt idx="124">
                  <c:v>Denver</c:v>
                </c:pt>
                <c:pt idx="125">
                  <c:v>Barcelona</c:v>
                </c:pt>
                <c:pt idx="126">
                  <c:v>Antwerp</c:v>
                </c:pt>
                <c:pt idx="127">
                  <c:v>Leeds</c:v>
                </c:pt>
                <c:pt idx="128">
                  <c:v>London</c:v>
                </c:pt>
                <c:pt idx="129">
                  <c:v>Paris</c:v>
                </c:pt>
                <c:pt idx="130">
                  <c:v>Prague</c:v>
                </c:pt>
                <c:pt idx="131">
                  <c:v>Cardiff</c:v>
                </c:pt>
                <c:pt idx="132">
                  <c:v>Sendai</c:v>
                </c:pt>
                <c:pt idx="133">
                  <c:v>Sydney</c:v>
                </c:pt>
                <c:pt idx="134">
                  <c:v>Lyon</c:v>
                </c:pt>
                <c:pt idx="135">
                  <c:v>Espoo</c:v>
                </c:pt>
                <c:pt idx="136">
                  <c:v>Helsinki</c:v>
                </c:pt>
                <c:pt idx="137">
                  <c:v>Vantaa</c:v>
                </c:pt>
                <c:pt idx="138">
                  <c:v>Den Haag</c:v>
                </c:pt>
                <c:pt idx="139">
                  <c:v>Usti nad Labem</c:v>
                </c:pt>
                <c:pt idx="140">
                  <c:v>Ottawa</c:v>
                </c:pt>
                <c:pt idx="141">
                  <c:v>Marseille</c:v>
                </c:pt>
                <c:pt idx="142">
                  <c:v>Berlin</c:v>
                </c:pt>
                <c:pt idx="143">
                  <c:v>Lausanne</c:v>
                </c:pt>
                <c:pt idx="144">
                  <c:v>Birmingham</c:v>
                </c:pt>
                <c:pt idx="145">
                  <c:v>SEDIF</c:v>
                </c:pt>
                <c:pt idx="146">
                  <c:v>Malta average</c:v>
                </c:pt>
                <c:pt idx="147">
                  <c:v>Plzeñ</c:v>
                </c:pt>
                <c:pt idx="148">
                  <c:v>Geneva</c:v>
                </c:pt>
                <c:pt idx="149">
                  <c:v>Louvain</c:v>
                </c:pt>
                <c:pt idx="150">
                  <c:v>Kortrijk</c:v>
                </c:pt>
                <c:pt idx="151">
                  <c:v>Genk</c:v>
                </c:pt>
                <c:pt idx="152">
                  <c:v>Austria average</c:v>
                </c:pt>
                <c:pt idx="153">
                  <c:v>Oulu</c:v>
                </c:pt>
                <c:pt idx="154">
                  <c:v>Lille</c:v>
                </c:pt>
                <c:pt idx="155">
                  <c:v>Durham</c:v>
                </c:pt>
                <c:pt idx="156">
                  <c:v>Bordeaux</c:v>
                </c:pt>
                <c:pt idx="157">
                  <c:v>Basel</c:v>
                </c:pt>
                <c:pt idx="158">
                  <c:v>Washington D.C.</c:v>
                </c:pt>
                <c:pt idx="159">
                  <c:v>Brest</c:v>
                </c:pt>
                <c:pt idx="160">
                  <c:v>Manchester</c:v>
                </c:pt>
                <c:pt idx="161">
                  <c:v>Canberra</c:v>
                </c:pt>
                <c:pt idx="162">
                  <c:v>Winnipeg</c:v>
                </c:pt>
                <c:pt idx="163">
                  <c:v>Nancy</c:v>
                </c:pt>
                <c:pt idx="164">
                  <c:v>Calgary</c:v>
                </c:pt>
                <c:pt idx="165">
                  <c:v>Brussels</c:v>
                </c:pt>
                <c:pt idx="166">
                  <c:v>Tampere</c:v>
                </c:pt>
                <c:pt idx="167">
                  <c:v>Le Havre</c:v>
                </c:pt>
                <c:pt idx="168">
                  <c:v>Ghent</c:v>
                </c:pt>
                <c:pt idx="169">
                  <c:v>Melbourne</c:v>
                </c:pt>
                <c:pt idx="170">
                  <c:v>Stockholm</c:v>
                </c:pt>
                <c:pt idx="171">
                  <c:v>Bern</c:v>
                </c:pt>
                <c:pt idx="172">
                  <c:v>Perth</c:v>
                </c:pt>
                <c:pt idx="173">
                  <c:v>Malmö</c:v>
                </c:pt>
                <c:pt idx="174">
                  <c:v>Charleroi</c:v>
                </c:pt>
                <c:pt idx="175">
                  <c:v>Liège</c:v>
                </c:pt>
                <c:pt idx="176">
                  <c:v>Esbjerg</c:v>
                </c:pt>
                <c:pt idx="177">
                  <c:v>Zürich</c:v>
                </c:pt>
                <c:pt idx="178">
                  <c:v>Turku</c:v>
                </c:pt>
                <c:pt idx="179">
                  <c:v>Copenhagen</c:v>
                </c:pt>
                <c:pt idx="180">
                  <c:v>Aarhus</c:v>
                </c:pt>
                <c:pt idx="181">
                  <c:v>Odense</c:v>
                </c:pt>
                <c:pt idx="182">
                  <c:v>Brisbane</c:v>
                </c:pt>
                <c:pt idx="183">
                  <c:v>Aalborg</c:v>
                </c:pt>
                <c:pt idx="184">
                  <c:v>Linköping</c:v>
                </c:pt>
                <c:pt idx="185">
                  <c:v>Saskatoon</c:v>
                </c:pt>
                <c:pt idx="186">
                  <c:v>Göteborg</c:v>
                </c:pt>
                <c:pt idx="187">
                  <c:v>Vancouver</c:v>
                </c:pt>
              </c:strCache>
            </c:strRef>
          </c:cat>
          <c:val>
            <c:numRef>
              <c:f>'2017Total DW ch cities 100 m³'!$G$500:$G$687</c:f>
              <c:numCache>
                <c:formatCode>_ * #,##0.00_ ;_ * \-#,##0.00_ ;_ * "-"??_ ;_ @_ </c:formatCode>
                <c:ptCount val="188"/>
                <c:pt idx="0">
                  <c:v>19.651624830434205</c:v>
                </c:pt>
                <c:pt idx="1">
                  <c:v>29.530465597007581</c:v>
                </c:pt>
                <c:pt idx="2">
                  <c:v>30.453292646914065</c:v>
                </c:pt>
                <c:pt idx="3">
                  <c:v>31.671413514643412</c:v>
                </c:pt>
                <c:pt idx="4">
                  <c:v>31.837533221773793</c:v>
                </c:pt>
                <c:pt idx="5">
                  <c:v>33.546712337709714</c:v>
                </c:pt>
                <c:pt idx="6">
                  <c:v>41.065803720838666</c:v>
                </c:pt>
                <c:pt idx="7">
                  <c:v>49.663800252813957</c:v>
                </c:pt>
                <c:pt idx="8">
                  <c:v>50.302168842753304</c:v>
                </c:pt>
                <c:pt idx="9">
                  <c:v>51.47</c:v>
                </c:pt>
                <c:pt idx="10">
                  <c:v>53.068238249789886</c:v>
                </c:pt>
                <c:pt idx="11">
                  <c:v>53.118808326261949</c:v>
                </c:pt>
                <c:pt idx="12">
                  <c:v>53.357096971229694</c:v>
                </c:pt>
                <c:pt idx="13">
                  <c:v>53.618909463360751</c:v>
                </c:pt>
                <c:pt idx="14">
                  <c:v>57.446721978200749</c:v>
                </c:pt>
                <c:pt idx="15">
                  <c:v>58.333174707211562</c:v>
                </c:pt>
                <c:pt idx="16">
                  <c:v>58.82282325542311</c:v>
                </c:pt>
                <c:pt idx="17">
                  <c:v>61.005368472425573</c:v>
                </c:pt>
                <c:pt idx="18">
                  <c:v>61.521803327099121</c:v>
                </c:pt>
                <c:pt idx="19">
                  <c:v>62.934972390572881</c:v>
                </c:pt>
                <c:pt idx="20">
                  <c:v>64.462656753888353</c:v>
                </c:pt>
                <c:pt idx="21">
                  <c:v>64.603241204500208</c:v>
                </c:pt>
                <c:pt idx="22">
                  <c:v>65.175112657127045</c:v>
                </c:pt>
                <c:pt idx="23">
                  <c:v>70.664551813892956</c:v>
                </c:pt>
                <c:pt idx="24">
                  <c:v>71.607783820122194</c:v>
                </c:pt>
                <c:pt idx="25">
                  <c:v>72.194801537540272</c:v>
                </c:pt>
                <c:pt idx="26">
                  <c:v>73.754000679214982</c:v>
                </c:pt>
                <c:pt idx="27">
                  <c:v>74.116166928425443</c:v>
                </c:pt>
                <c:pt idx="28">
                  <c:v>79.923536857704462</c:v>
                </c:pt>
                <c:pt idx="29">
                  <c:v>81.107855706331748</c:v>
                </c:pt>
                <c:pt idx="30">
                  <c:v>84.287296553798782</c:v>
                </c:pt>
                <c:pt idx="31">
                  <c:v>85.922252635971958</c:v>
                </c:pt>
                <c:pt idx="32">
                  <c:v>86.373506498852535</c:v>
                </c:pt>
                <c:pt idx="33">
                  <c:v>88.616974200121433</c:v>
                </c:pt>
                <c:pt idx="34">
                  <c:v>89.218616823327451</c:v>
                </c:pt>
                <c:pt idx="35">
                  <c:v>89.458274588097282</c:v>
                </c:pt>
                <c:pt idx="36">
                  <c:v>89.738708050755889</c:v>
                </c:pt>
                <c:pt idx="37">
                  <c:v>89.738708050755889</c:v>
                </c:pt>
                <c:pt idx="38">
                  <c:v>90.019141513414496</c:v>
                </c:pt>
                <c:pt idx="39">
                  <c:v>91.591203104786544</c:v>
                </c:pt>
                <c:pt idx="40">
                  <c:v>92.489875376550074</c:v>
                </c:pt>
                <c:pt idx="41">
                  <c:v>92.823476140000622</c:v>
                </c:pt>
                <c:pt idx="42">
                  <c:v>92.919375759244787</c:v>
                </c:pt>
                <c:pt idx="43">
                  <c:v>95.128208275540388</c:v>
                </c:pt>
                <c:pt idx="44">
                  <c:v>96.133299720291475</c:v>
                </c:pt>
                <c:pt idx="45">
                  <c:v>96.469111154562583</c:v>
                </c:pt>
                <c:pt idx="46">
                  <c:v>97.310411542538404</c:v>
                </c:pt>
                <c:pt idx="47">
                  <c:v>97.590845005197025</c:v>
                </c:pt>
                <c:pt idx="48">
                  <c:v>97.94873078505087</c:v>
                </c:pt>
                <c:pt idx="49">
                  <c:v>98.151711930514253</c:v>
                </c:pt>
                <c:pt idx="50">
                  <c:v>99.834312706465923</c:v>
                </c:pt>
                <c:pt idx="51">
                  <c:v>99.834312706465923</c:v>
                </c:pt>
                <c:pt idx="52">
                  <c:v>100.11474616912453</c:v>
                </c:pt>
                <c:pt idx="53">
                  <c:v>102.55</c:v>
                </c:pt>
                <c:pt idx="54">
                  <c:v>102.91908079571066</c:v>
                </c:pt>
                <c:pt idx="55">
                  <c:v>103.47994772102788</c:v>
                </c:pt>
                <c:pt idx="56">
                  <c:v>103.69987063389392</c:v>
                </c:pt>
                <c:pt idx="57">
                  <c:v>104.04081464634511</c:v>
                </c:pt>
                <c:pt idx="58">
                  <c:v>104.21750447372702</c:v>
                </c:pt>
                <c:pt idx="59">
                  <c:v>104.32124810900372</c:v>
                </c:pt>
                <c:pt idx="60">
                  <c:v>104.94178525226391</c:v>
                </c:pt>
                <c:pt idx="61">
                  <c:v>105.74263868553766</c:v>
                </c:pt>
                <c:pt idx="62">
                  <c:v>106.84514927293124</c:v>
                </c:pt>
                <c:pt idx="63">
                  <c:v>106.85005834839863</c:v>
                </c:pt>
                <c:pt idx="64">
                  <c:v>107.12558273558983</c:v>
                </c:pt>
                <c:pt idx="65">
                  <c:v>107.33973732520346</c:v>
                </c:pt>
                <c:pt idx="66">
                  <c:v>108.99572790059126</c:v>
                </c:pt>
                <c:pt idx="67">
                  <c:v>108.99572790059126</c:v>
                </c:pt>
                <c:pt idx="68">
                  <c:v>108.99572790059126</c:v>
                </c:pt>
                <c:pt idx="69">
                  <c:v>108.99572790059126</c:v>
                </c:pt>
                <c:pt idx="70">
                  <c:v>109.08861697420012</c:v>
                </c:pt>
                <c:pt idx="71">
                  <c:v>109.24400692287864</c:v>
                </c:pt>
                <c:pt idx="72">
                  <c:v>112.73425198876208</c:v>
                </c:pt>
                <c:pt idx="73">
                  <c:v>113.0146854514207</c:v>
                </c:pt>
                <c:pt idx="74">
                  <c:v>113.36666874369459</c:v>
                </c:pt>
                <c:pt idx="75">
                  <c:v>114.13641930205515</c:v>
                </c:pt>
                <c:pt idx="76">
                  <c:v>114.69728622737236</c:v>
                </c:pt>
                <c:pt idx="77">
                  <c:v>114.97771969003098</c:v>
                </c:pt>
                <c:pt idx="78">
                  <c:v>115.22070563378591</c:v>
                </c:pt>
                <c:pt idx="79">
                  <c:v>115.80893386634014</c:v>
                </c:pt>
                <c:pt idx="80">
                  <c:v>115.81902007800682</c:v>
                </c:pt>
                <c:pt idx="81">
                  <c:v>116.92695623881568</c:v>
                </c:pt>
                <c:pt idx="82">
                  <c:v>117.33352540785826</c:v>
                </c:pt>
                <c:pt idx="83">
                  <c:v>118.34292124193432</c:v>
                </c:pt>
                <c:pt idx="84">
                  <c:v>122.21792444109326</c:v>
                </c:pt>
                <c:pt idx="85">
                  <c:v>125.79650565262075</c:v>
                </c:pt>
                <c:pt idx="86">
                  <c:v>126.18686715435773</c:v>
                </c:pt>
                <c:pt idx="87">
                  <c:v>130.12112667359602</c:v>
                </c:pt>
                <c:pt idx="88">
                  <c:v>130.40103492884865</c:v>
                </c:pt>
                <c:pt idx="89">
                  <c:v>133.17949158575655</c:v>
                </c:pt>
                <c:pt idx="90">
                  <c:v>137.42932257715992</c:v>
                </c:pt>
                <c:pt idx="91">
                  <c:v>137.6213971020756</c:v>
                </c:pt>
                <c:pt idx="92">
                  <c:v>139.09443725743856</c:v>
                </c:pt>
                <c:pt idx="93">
                  <c:v>140.78583287216378</c:v>
                </c:pt>
                <c:pt idx="94">
                  <c:v>141.39085965354559</c:v>
                </c:pt>
                <c:pt idx="95">
                  <c:v>142.91549745084768</c:v>
                </c:pt>
                <c:pt idx="96">
                  <c:v>144.89621973325652</c:v>
                </c:pt>
                <c:pt idx="97">
                  <c:v>148.09831824062096</c:v>
                </c:pt>
                <c:pt idx="98">
                  <c:v>148.36556583954575</c:v>
                </c:pt>
                <c:pt idx="99">
                  <c:v>149.16987791263008</c:v>
                </c:pt>
                <c:pt idx="100">
                  <c:v>151.80056129460263</c:v>
                </c:pt>
                <c:pt idx="101">
                  <c:v>154.66005474474952</c:v>
                </c:pt>
                <c:pt idx="102">
                  <c:v>155.94050491590738</c:v>
                </c:pt>
                <c:pt idx="103">
                  <c:v>160.89842859029307</c:v>
                </c:pt>
                <c:pt idx="104">
                  <c:v>163.43141138761837</c:v>
                </c:pt>
                <c:pt idx="105">
                  <c:v>166.80352565017546</c:v>
                </c:pt>
                <c:pt idx="106">
                  <c:v>167.14085065005222</c:v>
                </c:pt>
                <c:pt idx="107">
                  <c:v>168.67744684937756</c:v>
                </c:pt>
                <c:pt idx="108">
                  <c:v>172.66</c:v>
                </c:pt>
                <c:pt idx="109">
                  <c:v>173.94749162675117</c:v>
                </c:pt>
                <c:pt idx="110">
                  <c:v>174.28513951271603</c:v>
                </c:pt>
                <c:pt idx="111">
                  <c:v>175.41319866813814</c:v>
                </c:pt>
                <c:pt idx="112">
                  <c:v>178.85</c:v>
                </c:pt>
                <c:pt idx="113">
                  <c:v>187.22586416390322</c:v>
                </c:pt>
                <c:pt idx="114">
                  <c:v>187.36869905523344</c:v>
                </c:pt>
                <c:pt idx="115">
                  <c:v>189.17832577028514</c:v>
                </c:pt>
                <c:pt idx="116">
                  <c:v>191.06483224928186</c:v>
                </c:pt>
                <c:pt idx="117">
                  <c:v>196.2748603651529</c:v>
                </c:pt>
                <c:pt idx="118">
                  <c:v>196.63629488241435</c:v>
                </c:pt>
                <c:pt idx="119">
                  <c:v>199.57743604518552</c:v>
                </c:pt>
                <c:pt idx="120">
                  <c:v>201.67825116145065</c:v>
                </c:pt>
                <c:pt idx="121">
                  <c:v>203.79107093552298</c:v>
                </c:pt>
                <c:pt idx="122">
                  <c:v>204.17</c:v>
                </c:pt>
                <c:pt idx="123">
                  <c:v>204.77545287571576</c:v>
                </c:pt>
                <c:pt idx="124">
                  <c:v>209.68</c:v>
                </c:pt>
                <c:pt idx="125">
                  <c:v>211.8942149554027</c:v>
                </c:pt>
                <c:pt idx="126">
                  <c:v>214.33116049027024</c:v>
                </c:pt>
                <c:pt idx="127">
                  <c:v>214.71240134068549</c:v>
                </c:pt>
                <c:pt idx="128">
                  <c:v>215.79359930803332</c:v>
                </c:pt>
                <c:pt idx="129">
                  <c:v>216.11985450354734</c:v>
                </c:pt>
                <c:pt idx="130">
                  <c:v>218.23244410936908</c:v>
                </c:pt>
                <c:pt idx="131">
                  <c:v>219.67239701589364</c:v>
                </c:pt>
                <c:pt idx="132">
                  <c:v>220.14720624656383</c:v>
                </c:pt>
                <c:pt idx="133">
                  <c:v>226.20022620022621</c:v>
                </c:pt>
                <c:pt idx="134">
                  <c:v>226.91204187224639</c:v>
                </c:pt>
                <c:pt idx="135">
                  <c:v>227.03208845031872</c:v>
                </c:pt>
                <c:pt idx="136">
                  <c:v>227.03208845031872</c:v>
                </c:pt>
                <c:pt idx="137">
                  <c:v>227.03208845031872</c:v>
                </c:pt>
                <c:pt idx="138">
                  <c:v>231.0536488157405</c:v>
                </c:pt>
                <c:pt idx="139">
                  <c:v>234.91831911665446</c:v>
                </c:pt>
                <c:pt idx="140">
                  <c:v>236.96117176504268</c:v>
                </c:pt>
                <c:pt idx="141">
                  <c:v>237.40411279576475</c:v>
                </c:pt>
                <c:pt idx="142">
                  <c:v>238.68861118113827</c:v>
                </c:pt>
                <c:pt idx="143">
                  <c:v>239.40395312083086</c:v>
                </c:pt>
                <c:pt idx="144">
                  <c:v>240.58006270948209</c:v>
                </c:pt>
                <c:pt idx="145">
                  <c:v>241.46168713460824</c:v>
                </c:pt>
                <c:pt idx="146">
                  <c:v>242.96226936051187</c:v>
                </c:pt>
                <c:pt idx="147">
                  <c:v>243.56677264155732</c:v>
                </c:pt>
                <c:pt idx="148">
                  <c:v>243.83735966010551</c:v>
                </c:pt>
                <c:pt idx="149">
                  <c:v>245.00306118774083</c:v>
                </c:pt>
                <c:pt idx="150">
                  <c:v>245.00306118774083</c:v>
                </c:pt>
                <c:pt idx="151">
                  <c:v>245.00306118774083</c:v>
                </c:pt>
                <c:pt idx="152">
                  <c:v>245.53126613125892</c:v>
                </c:pt>
                <c:pt idx="153">
                  <c:v>245.53126613125895</c:v>
                </c:pt>
                <c:pt idx="154">
                  <c:v>249.88895691528307</c:v>
                </c:pt>
                <c:pt idx="155">
                  <c:v>250.47909095969274</c:v>
                </c:pt>
                <c:pt idx="156">
                  <c:v>256.19140226407842</c:v>
                </c:pt>
                <c:pt idx="157">
                  <c:v>258.24593091274812</c:v>
                </c:pt>
                <c:pt idx="158">
                  <c:v>265.3</c:v>
                </c:pt>
                <c:pt idx="159">
                  <c:v>268.95235351316313</c:v>
                </c:pt>
                <c:pt idx="160">
                  <c:v>281.16553140880092</c:v>
                </c:pt>
                <c:pt idx="161">
                  <c:v>282.73468273468279</c:v>
                </c:pt>
                <c:pt idx="162">
                  <c:v>283.87630308765176</c:v>
                </c:pt>
                <c:pt idx="163">
                  <c:v>284.9065437389707</c:v>
                </c:pt>
                <c:pt idx="164">
                  <c:v>287.05698995698117</c:v>
                </c:pt>
                <c:pt idx="165">
                  <c:v>288.47192710771776</c:v>
                </c:pt>
                <c:pt idx="166">
                  <c:v>291.24500306118773</c:v>
                </c:pt>
                <c:pt idx="167">
                  <c:v>295.55467521398299</c:v>
                </c:pt>
                <c:pt idx="168">
                  <c:v>297.65549033024809</c:v>
                </c:pt>
                <c:pt idx="169">
                  <c:v>297.80429780429785</c:v>
                </c:pt>
                <c:pt idx="170">
                  <c:v>313.71434103444858</c:v>
                </c:pt>
                <c:pt idx="171">
                  <c:v>316.98856755813716</c:v>
                </c:pt>
                <c:pt idx="172">
                  <c:v>317.943917943918</c:v>
                </c:pt>
                <c:pt idx="173">
                  <c:v>327.3474349563557</c:v>
                </c:pt>
                <c:pt idx="174">
                  <c:v>333.35734264894774</c:v>
                </c:pt>
                <c:pt idx="175">
                  <c:v>357.12656510726163</c:v>
                </c:pt>
                <c:pt idx="176">
                  <c:v>357.20388023998424</c:v>
                </c:pt>
                <c:pt idx="177">
                  <c:v>363.53933622052091</c:v>
                </c:pt>
                <c:pt idx="178">
                  <c:v>370.94392624338241</c:v>
                </c:pt>
                <c:pt idx="179">
                  <c:v>371.22767878731219</c:v>
                </c:pt>
                <c:pt idx="180">
                  <c:v>407.49612330626366</c:v>
                </c:pt>
                <c:pt idx="181">
                  <c:v>414.10503986305037</c:v>
                </c:pt>
                <c:pt idx="182">
                  <c:v>424.35162435162431</c:v>
                </c:pt>
                <c:pt idx="183">
                  <c:v>430.22434853813991</c:v>
                </c:pt>
                <c:pt idx="184">
                  <c:v>454.18116267926757</c:v>
                </c:pt>
                <c:pt idx="185">
                  <c:v>475.51268696475006</c:v>
                </c:pt>
                <c:pt idx="186">
                  <c:v>484.35778630416326</c:v>
                </c:pt>
                <c:pt idx="187">
                  <c:v>489.8257778767325</c:v>
                </c:pt>
              </c:numCache>
            </c:numRef>
          </c:val>
          <c:extLst>
            <c:ext xmlns:c16="http://schemas.microsoft.com/office/drawing/2014/chart" uri="{C3380CC4-5D6E-409C-BE32-E72D297353CC}">
              <c16:uniqueId val="{00000004-C556-47B3-9B5A-E10A74A4E58B}"/>
            </c:ext>
          </c:extLst>
        </c:ser>
        <c:dLbls>
          <c:showLegendKey val="0"/>
          <c:showVal val="0"/>
          <c:showCatName val="0"/>
          <c:showSerName val="0"/>
          <c:showPercent val="0"/>
          <c:showBubbleSize val="0"/>
        </c:dLbls>
        <c:gapWidth val="150"/>
        <c:overlap val="100"/>
        <c:axId val="401233472"/>
        <c:axId val="401233864"/>
      </c:barChart>
      <c:catAx>
        <c:axId val="401233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233864"/>
        <c:crosses val="autoZero"/>
        <c:auto val="1"/>
        <c:lblAlgn val="ctr"/>
        <c:lblOffset val="100"/>
        <c:noMultiLvlLbl val="0"/>
      </c:catAx>
      <c:valAx>
        <c:axId val="4012338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2334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r">
              <a:defRPr/>
            </a:pPr>
            <a:r>
              <a:rPr lang="en-US"/>
              <a:t>Total charge drinking water for 165</a:t>
            </a:r>
            <a:r>
              <a:rPr lang="en-US" baseline="0"/>
              <a:t> cities in 2015</a:t>
            </a:r>
          </a:p>
          <a:p>
            <a:pPr algn="r">
              <a:defRPr/>
            </a:pPr>
            <a:r>
              <a:rPr lang="en-US" sz="1400" baseline="0"/>
              <a:t>for a consumption of 100 m³ in US$</a:t>
            </a:r>
            <a:endParaRPr lang="en-US" sz="1400"/>
          </a:p>
        </c:rich>
      </c:tx>
      <c:layout>
        <c:manualLayout>
          <c:xMode val="edge"/>
          <c:yMode val="edge"/>
          <c:x val="0.81750492266311026"/>
          <c:y val="1.8552913133589213E-2"/>
        </c:manualLayout>
      </c:layout>
      <c:overlay val="0"/>
    </c:title>
    <c:autoTitleDeleted val="0"/>
    <c:plotArea>
      <c:layout/>
      <c:barChart>
        <c:barDir val="col"/>
        <c:grouping val="stacked"/>
        <c:varyColors val="0"/>
        <c:ser>
          <c:idx val="0"/>
          <c:order val="0"/>
          <c:tx>
            <c:strRef>
              <c:f>'[1]DWcharges cities 100 m³ graph'!$B$265</c:f>
              <c:strCache>
                <c:ptCount val="1"/>
                <c:pt idx="0">
                  <c:v>FIXED CHARGE</c:v>
                </c:pt>
              </c:strCache>
            </c:strRef>
          </c:tx>
          <c:invertIfNegative val="0"/>
          <c:cat>
            <c:strRef>
              <c:f>'[1]DWcharges cities 100 m³ graph'!$A$266:$A$429</c:f>
              <c:strCache>
                <c:ptCount val="164"/>
                <c:pt idx="0">
                  <c:v>Guadalajara</c:v>
                </c:pt>
                <c:pt idx="1">
                  <c:v>San Luis Potosi</c:v>
                </c:pt>
                <c:pt idx="2">
                  <c:v>Monterrey</c:v>
                </c:pt>
                <c:pt idx="3">
                  <c:v>Puebla</c:v>
                </c:pt>
                <c:pt idx="4">
                  <c:v>León, Guanajuato</c:v>
                </c:pt>
                <c:pt idx="5">
                  <c:v>Mauritius</c:v>
                </c:pt>
                <c:pt idx="6">
                  <c:v>Kenya Average</c:v>
                </c:pt>
                <c:pt idx="7">
                  <c:v>Thailand Average</c:v>
                </c:pt>
                <c:pt idx="8">
                  <c:v>Shanghai</c:v>
                </c:pt>
                <c:pt idx="9">
                  <c:v>Kafubu</c:v>
                </c:pt>
                <c:pt idx="10">
                  <c:v>Guangzhou</c:v>
                </c:pt>
                <c:pt idx="11">
                  <c:v>Mulonga</c:v>
                </c:pt>
                <c:pt idx="12">
                  <c:v>Hong Kong</c:v>
                </c:pt>
                <c:pt idx="13">
                  <c:v>Shenzhen</c:v>
                </c:pt>
                <c:pt idx="14">
                  <c:v>Lusaka</c:v>
                </c:pt>
                <c:pt idx="15">
                  <c:v>Kaohsiung</c:v>
                </c:pt>
                <c:pt idx="16">
                  <c:v>Russia Average</c:v>
                </c:pt>
                <c:pt idx="17">
                  <c:v>Taipei</c:v>
                </c:pt>
                <c:pt idx="18">
                  <c:v>Daejeon</c:v>
                </c:pt>
                <c:pt idx="19">
                  <c:v>Gwangju</c:v>
                </c:pt>
                <c:pt idx="20">
                  <c:v>Seoul</c:v>
                </c:pt>
                <c:pt idx="21">
                  <c:v>Daegu</c:v>
                </c:pt>
                <c:pt idx="22">
                  <c:v>Miami</c:v>
                </c:pt>
                <c:pt idx="23">
                  <c:v>Gyeounggi</c:v>
                </c:pt>
                <c:pt idx="24">
                  <c:v>Beijing</c:v>
                </c:pt>
                <c:pt idx="25">
                  <c:v>Incheon</c:v>
                </c:pt>
                <c:pt idx="26">
                  <c:v>NWWSC of Zambia</c:v>
                </c:pt>
                <c:pt idx="27">
                  <c:v>Gran Santiago</c:v>
                </c:pt>
                <c:pt idx="28">
                  <c:v>Busan</c:v>
                </c:pt>
                <c:pt idx="29">
                  <c:v>Tianjin</c:v>
                </c:pt>
                <c:pt idx="30">
                  <c:v>Nagoya</c:v>
                </c:pt>
                <c:pt idx="31">
                  <c:v>Giurgiu</c:v>
                </c:pt>
                <c:pt idx="32">
                  <c:v>Budapest</c:v>
                </c:pt>
                <c:pt idx="33">
                  <c:v>Sibiu</c:v>
                </c:pt>
                <c:pt idx="34">
                  <c:v>Concepcion</c:v>
                </c:pt>
                <c:pt idx="35">
                  <c:v>Kampala</c:v>
                </c:pt>
                <c:pt idx="36">
                  <c:v>Apaserv SA Valea Jiului</c:v>
                </c:pt>
                <c:pt idx="37">
                  <c:v>Entebbe</c:v>
                </c:pt>
                <c:pt idx="38">
                  <c:v>Jinja</c:v>
                </c:pt>
                <c:pt idx="39">
                  <c:v>Calarasi</c:v>
                </c:pt>
                <c:pt idx="40">
                  <c:v>Baia Mare</c:v>
                </c:pt>
                <c:pt idx="41">
                  <c:v>Deva</c:v>
                </c:pt>
                <c:pt idx="42">
                  <c:v>Craiova</c:v>
                </c:pt>
                <c:pt idx="43">
                  <c:v>Mbarara</c:v>
                </c:pt>
                <c:pt idx="44">
                  <c:v>Ulsan</c:v>
                </c:pt>
                <c:pt idx="45">
                  <c:v>Miercurea Ciuc</c:v>
                </c:pt>
                <c:pt idx="46">
                  <c:v>Severin</c:v>
                </c:pt>
                <c:pt idx="47">
                  <c:v>Kaposvár</c:v>
                </c:pt>
                <c:pt idx="48">
                  <c:v>Medias</c:v>
                </c:pt>
                <c:pt idx="49">
                  <c:v>Iasi</c:v>
                </c:pt>
                <c:pt idx="50">
                  <c:v>Temuco</c:v>
                </c:pt>
                <c:pt idx="51">
                  <c:v>Yokohama</c:v>
                </c:pt>
                <c:pt idx="52">
                  <c:v>Macao, China Average</c:v>
                </c:pt>
                <c:pt idx="53">
                  <c:v>Suceava</c:v>
                </c:pt>
                <c:pt idx="54">
                  <c:v>Brasov</c:v>
                </c:pt>
                <c:pt idx="55">
                  <c:v>Hiroshima</c:v>
                </c:pt>
                <c:pt idx="56">
                  <c:v>Miskolc</c:v>
                </c:pt>
                <c:pt idx="57">
                  <c:v>Bialystok</c:v>
                </c:pt>
                <c:pt idx="58">
                  <c:v>Thessaloniki</c:v>
                </c:pt>
                <c:pt idx="59">
                  <c:v>Constanta</c:v>
                </c:pt>
                <c:pt idx="60">
                  <c:v>Debrecen</c:v>
                </c:pt>
                <c:pt idx="61">
                  <c:v>Bilbao</c:v>
                </c:pt>
                <c:pt idx="62">
                  <c:v>Resita</c:v>
                </c:pt>
                <c:pt idx="63">
                  <c:v>Faro</c:v>
                </c:pt>
                <c:pt idx="64">
                  <c:v>Osaka</c:v>
                </c:pt>
                <c:pt idx="65">
                  <c:v>Sevilla</c:v>
                </c:pt>
                <c:pt idx="66">
                  <c:v>Fukuoka</c:v>
                </c:pt>
                <c:pt idx="67">
                  <c:v>Chicago</c:v>
                </c:pt>
                <c:pt idx="68">
                  <c:v>Buzau</c:v>
                </c:pt>
                <c:pt idx="69">
                  <c:v>Wroclaw</c:v>
                </c:pt>
                <c:pt idx="70">
                  <c:v>Tarnow</c:v>
                </c:pt>
                <c:pt idx="71">
                  <c:v>Bucharest</c:v>
                </c:pt>
                <c:pt idx="72">
                  <c:v>Lisbon</c:v>
                </c:pt>
                <c:pt idx="73">
                  <c:v>Valparaiso</c:v>
                </c:pt>
                <c:pt idx="74">
                  <c:v>Vina del Mar</c:v>
                </c:pt>
                <c:pt idx="75">
                  <c:v>Madrid</c:v>
                </c:pt>
                <c:pt idx="76">
                  <c:v>Pécs</c:v>
                </c:pt>
                <c:pt idx="77">
                  <c:v>Braga</c:v>
                </c:pt>
                <c:pt idx="78">
                  <c:v>Coimbra</c:v>
                </c:pt>
                <c:pt idx="79">
                  <c:v>Utrecht</c:v>
                </c:pt>
                <c:pt idx="80">
                  <c:v>Tokyo</c:v>
                </c:pt>
                <c:pt idx="81">
                  <c:v>Porto</c:v>
                </c:pt>
                <c:pt idx="82">
                  <c:v>Loures</c:v>
                </c:pt>
                <c:pt idx="83">
                  <c:v>Eindhoven</c:v>
                </c:pt>
                <c:pt idx="84">
                  <c:v>Sintra</c:v>
                </c:pt>
                <c:pt idx="85">
                  <c:v>Serres</c:v>
                </c:pt>
                <c:pt idx="86">
                  <c:v>Igoumenitsa</c:v>
                </c:pt>
                <c:pt idx="87">
                  <c:v>Sapporo</c:v>
                </c:pt>
                <c:pt idx="88">
                  <c:v>Valencia</c:v>
                </c:pt>
                <c:pt idx="89">
                  <c:v>Bergen</c:v>
                </c:pt>
                <c:pt idx="90">
                  <c:v>Bydgoszcz</c:v>
                </c:pt>
                <c:pt idx="91">
                  <c:v>Paphos</c:v>
                </c:pt>
                <c:pt idx="92">
                  <c:v>Athens</c:v>
                </c:pt>
                <c:pt idx="93">
                  <c:v>Alexandroupolis</c:v>
                </c:pt>
                <c:pt idx="94">
                  <c:v>Trondheim</c:v>
                </c:pt>
                <c:pt idx="95">
                  <c:v>Oslo</c:v>
                </c:pt>
                <c:pt idx="96">
                  <c:v>Lefkosia</c:v>
                </c:pt>
                <c:pt idx="97">
                  <c:v>Espoo</c:v>
                </c:pt>
                <c:pt idx="98">
                  <c:v>Helsinki</c:v>
                </c:pt>
                <c:pt idx="99">
                  <c:v>Vantaa</c:v>
                </c:pt>
                <c:pt idx="100">
                  <c:v>Reims</c:v>
                </c:pt>
                <c:pt idx="101">
                  <c:v>Minneapolis</c:v>
                </c:pt>
                <c:pt idx="102">
                  <c:v>Los Angeles</c:v>
                </c:pt>
                <c:pt idx="103">
                  <c:v>Genk</c:v>
                </c:pt>
                <c:pt idx="104">
                  <c:v>Lemesos</c:v>
                </c:pt>
                <c:pt idx="105">
                  <c:v>Antwerp</c:v>
                </c:pt>
                <c:pt idx="106">
                  <c:v>Rotterdam</c:v>
                </c:pt>
                <c:pt idx="107">
                  <c:v>Larnaca</c:v>
                </c:pt>
                <c:pt idx="108">
                  <c:v>Denver</c:v>
                </c:pt>
                <c:pt idx="109">
                  <c:v>Radom</c:v>
                </c:pt>
                <c:pt idx="110">
                  <c:v>Barcelona</c:v>
                </c:pt>
                <c:pt idx="111">
                  <c:v>Oulu</c:v>
                </c:pt>
                <c:pt idx="112">
                  <c:v>Saskatoon</c:v>
                </c:pt>
                <c:pt idx="113">
                  <c:v>Amsterdam</c:v>
                </c:pt>
                <c:pt idx="114">
                  <c:v>Strassbourg</c:v>
                </c:pt>
                <c:pt idx="115">
                  <c:v>Paris</c:v>
                </c:pt>
                <c:pt idx="116">
                  <c:v>Scotland: Band A</c:v>
                </c:pt>
                <c:pt idx="117">
                  <c:v>Lille</c:v>
                </c:pt>
                <c:pt idx="118">
                  <c:v>Sendai</c:v>
                </c:pt>
                <c:pt idx="119">
                  <c:v>Brest</c:v>
                </c:pt>
                <c:pt idx="120">
                  <c:v>Louvain</c:v>
                </c:pt>
                <c:pt idx="121">
                  <c:v>Winnipeg</c:v>
                </c:pt>
                <c:pt idx="122">
                  <c:v>Marseille</c:v>
                </c:pt>
                <c:pt idx="123">
                  <c:v>Den Haag</c:v>
                </c:pt>
                <c:pt idx="124">
                  <c:v>Tampere</c:v>
                </c:pt>
                <c:pt idx="125">
                  <c:v>Kortrijk</c:v>
                </c:pt>
                <c:pt idx="126">
                  <c:v>Durham</c:v>
                </c:pt>
                <c:pt idx="127">
                  <c:v>SEDIF</c:v>
                </c:pt>
                <c:pt idx="128">
                  <c:v>Antofagasta</c:v>
                </c:pt>
                <c:pt idx="129">
                  <c:v>Basel</c:v>
                </c:pt>
                <c:pt idx="130">
                  <c:v>London</c:v>
                </c:pt>
                <c:pt idx="131">
                  <c:v>Scotland: Band B</c:v>
                </c:pt>
                <c:pt idx="132">
                  <c:v>Bordeaux</c:v>
                </c:pt>
                <c:pt idx="133">
                  <c:v>Leeds</c:v>
                </c:pt>
                <c:pt idx="134">
                  <c:v>Malta Average</c:v>
                </c:pt>
                <c:pt idx="135">
                  <c:v>Zürich</c:v>
                </c:pt>
                <c:pt idx="136">
                  <c:v>Brussels</c:v>
                </c:pt>
                <c:pt idx="137">
                  <c:v>Washington D.C.</c:v>
                </c:pt>
                <c:pt idx="138">
                  <c:v>Lyon</c:v>
                </c:pt>
                <c:pt idx="139">
                  <c:v>Cardiff</c:v>
                </c:pt>
                <c:pt idx="140">
                  <c:v>Scotland: Band C</c:v>
                </c:pt>
                <c:pt idx="141">
                  <c:v>Le Havre</c:v>
                </c:pt>
                <c:pt idx="142">
                  <c:v>Turku</c:v>
                </c:pt>
                <c:pt idx="143">
                  <c:v>Nancy</c:v>
                </c:pt>
                <c:pt idx="144">
                  <c:v>Esbjerg</c:v>
                </c:pt>
                <c:pt idx="145">
                  <c:v>Birmingham</c:v>
                </c:pt>
                <c:pt idx="146">
                  <c:v>Calgary</c:v>
                </c:pt>
                <c:pt idx="147">
                  <c:v>Bern</c:v>
                </c:pt>
                <c:pt idx="148">
                  <c:v>Copenhagen</c:v>
                </c:pt>
                <c:pt idx="149">
                  <c:v>Scotland: Band D</c:v>
                </c:pt>
                <c:pt idx="150">
                  <c:v>Odense</c:v>
                </c:pt>
                <c:pt idx="151">
                  <c:v>Aalborg</c:v>
                </c:pt>
                <c:pt idx="152">
                  <c:v>Manchester</c:v>
                </c:pt>
                <c:pt idx="153">
                  <c:v>New York</c:v>
                </c:pt>
                <c:pt idx="154">
                  <c:v>Geneva</c:v>
                </c:pt>
                <c:pt idx="155">
                  <c:v>Lausanne</c:v>
                </c:pt>
                <c:pt idx="156">
                  <c:v>Aarhus</c:v>
                </c:pt>
                <c:pt idx="157">
                  <c:v>Scotland: Band E</c:v>
                </c:pt>
                <c:pt idx="158">
                  <c:v>Charleroi</c:v>
                </c:pt>
                <c:pt idx="159">
                  <c:v>Liège</c:v>
                </c:pt>
                <c:pt idx="160">
                  <c:v>Scotland: Band F</c:v>
                </c:pt>
                <c:pt idx="161">
                  <c:v>Vancouver</c:v>
                </c:pt>
                <c:pt idx="162">
                  <c:v>Scotland: Band G</c:v>
                </c:pt>
                <c:pt idx="163">
                  <c:v>Scotland: Band H</c:v>
                </c:pt>
              </c:strCache>
            </c:strRef>
          </c:cat>
          <c:val>
            <c:numRef>
              <c:f>'[1]DWcharges cities 100 m³ graph'!$B$266:$B$429</c:f>
              <c:numCache>
                <c:formatCode>General</c:formatCode>
                <c:ptCount val="164"/>
                <c:pt idx="0">
                  <c:v>0</c:v>
                </c:pt>
                <c:pt idx="1">
                  <c:v>6.3682357034555784E-2</c:v>
                </c:pt>
                <c:pt idx="2">
                  <c:v>0.1099967985142327</c:v>
                </c:pt>
                <c:pt idx="3">
                  <c:v>0.13894332443903079</c:v>
                </c:pt>
                <c:pt idx="4">
                  <c:v>0.18525776591870774</c:v>
                </c:pt>
                <c:pt idx="5">
                  <c:v>18.410098329450939</c:v>
                </c:pt>
                <c:pt idx="6">
                  <c:v>5.8330000421920332</c:v>
                </c:pt>
                <c:pt idx="8">
                  <c:v>29.475836722286957</c:v>
                </c:pt>
                <c:pt idx="9">
                  <c:v>0.45205790319270417</c:v>
                </c:pt>
                <c:pt idx="10">
                  <c:v>30.396956619858422</c:v>
                </c:pt>
                <c:pt idx="11">
                  <c:v>0.45205790319270417</c:v>
                </c:pt>
                <c:pt idx="12">
                  <c:v>0</c:v>
                </c:pt>
                <c:pt idx="13">
                  <c:v>35.309596073572912</c:v>
                </c:pt>
                <c:pt idx="14">
                  <c:v>0.72329264510832658</c:v>
                </c:pt>
                <c:pt idx="15">
                  <c:v>14.274205059842791</c:v>
                </c:pt>
                <c:pt idx="16">
                  <c:v>0</c:v>
                </c:pt>
                <c:pt idx="17">
                  <c:v>23.588728700587662</c:v>
                </c:pt>
                <c:pt idx="18">
                  <c:v>0</c:v>
                </c:pt>
                <c:pt idx="19">
                  <c:v>0</c:v>
                </c:pt>
                <c:pt idx="20">
                  <c:v>0</c:v>
                </c:pt>
                <c:pt idx="21">
                  <c:v>0</c:v>
                </c:pt>
                <c:pt idx="22">
                  <c:v>38.4</c:v>
                </c:pt>
                <c:pt idx="23">
                  <c:v>0</c:v>
                </c:pt>
                <c:pt idx="24">
                  <c:v>31.77863646621562</c:v>
                </c:pt>
                <c:pt idx="25">
                  <c:v>0</c:v>
                </c:pt>
                <c:pt idx="26">
                  <c:v>0.58767527415051535</c:v>
                </c:pt>
                <c:pt idx="27">
                  <c:v>10.266807607901336</c:v>
                </c:pt>
                <c:pt idx="28">
                  <c:v>0</c:v>
                </c:pt>
                <c:pt idx="29">
                  <c:v>40.068715544358831</c:v>
                </c:pt>
                <c:pt idx="30">
                  <c:v>62.341061463798042</c:v>
                </c:pt>
                <c:pt idx="31">
                  <c:v>0</c:v>
                </c:pt>
                <c:pt idx="32">
                  <c:v>5.8529268955314864</c:v>
                </c:pt>
                <c:pt idx="33">
                  <c:v>0</c:v>
                </c:pt>
                <c:pt idx="34">
                  <c:v>10.80827622831805</c:v>
                </c:pt>
                <c:pt idx="35">
                  <c:v>3.1053734620375546</c:v>
                </c:pt>
                <c:pt idx="36">
                  <c:v>0</c:v>
                </c:pt>
                <c:pt idx="37">
                  <c:v>3.4002413577512409</c:v>
                </c:pt>
                <c:pt idx="38">
                  <c:v>2.8490177241887666</c:v>
                </c:pt>
                <c:pt idx="39">
                  <c:v>0</c:v>
                </c:pt>
                <c:pt idx="40">
                  <c:v>0</c:v>
                </c:pt>
                <c:pt idx="41">
                  <c:v>0</c:v>
                </c:pt>
                <c:pt idx="42">
                  <c:v>0</c:v>
                </c:pt>
                <c:pt idx="43">
                  <c:v>3.0433424291406577</c:v>
                </c:pt>
                <c:pt idx="44">
                  <c:v>0</c:v>
                </c:pt>
                <c:pt idx="45">
                  <c:v>0</c:v>
                </c:pt>
                <c:pt idx="46">
                  <c:v>0</c:v>
                </c:pt>
                <c:pt idx="47">
                  <c:v>0</c:v>
                </c:pt>
                <c:pt idx="48">
                  <c:v>0</c:v>
                </c:pt>
                <c:pt idx="49">
                  <c:v>0</c:v>
                </c:pt>
                <c:pt idx="50">
                  <c:v>18.17506228998753</c:v>
                </c:pt>
                <c:pt idx="51">
                  <c:v>78.799101690240732</c:v>
                </c:pt>
                <c:pt idx="52">
                  <c:v>0</c:v>
                </c:pt>
                <c:pt idx="53">
                  <c:v>0</c:v>
                </c:pt>
                <c:pt idx="54">
                  <c:v>0</c:v>
                </c:pt>
                <c:pt idx="55">
                  <c:v>80.794015657082269</c:v>
                </c:pt>
                <c:pt idx="56">
                  <c:v>0</c:v>
                </c:pt>
                <c:pt idx="57">
                  <c:v>0</c:v>
                </c:pt>
                <c:pt idx="58">
                  <c:v>26.06032966317024</c:v>
                </c:pt>
                <c:pt idx="59">
                  <c:v>0</c:v>
                </c:pt>
                <c:pt idx="60">
                  <c:v>4.2382076519995646</c:v>
                </c:pt>
                <c:pt idx="61">
                  <c:v>35.756943992008168</c:v>
                </c:pt>
                <c:pt idx="62">
                  <c:v>0</c:v>
                </c:pt>
                <c:pt idx="63">
                  <c:v>35.561491519534393</c:v>
                </c:pt>
                <c:pt idx="64">
                  <c:v>84.783843590765343</c:v>
                </c:pt>
                <c:pt idx="65">
                  <c:v>50.339870132690514</c:v>
                </c:pt>
                <c:pt idx="66">
                  <c:v>84.783843590765343</c:v>
                </c:pt>
                <c:pt idx="67">
                  <c:v>0</c:v>
                </c:pt>
                <c:pt idx="68">
                  <c:v>0</c:v>
                </c:pt>
                <c:pt idx="69">
                  <c:v>0</c:v>
                </c:pt>
                <c:pt idx="70">
                  <c:v>22.894794774278274</c:v>
                </c:pt>
                <c:pt idx="71">
                  <c:v>0</c:v>
                </c:pt>
                <c:pt idx="72">
                  <c:v>55.899407127500162</c:v>
                </c:pt>
                <c:pt idx="73">
                  <c:v>17.885341417764561</c:v>
                </c:pt>
                <c:pt idx="74">
                  <c:v>17.885341417764561</c:v>
                </c:pt>
                <c:pt idx="75">
                  <c:v>66.486416053163069</c:v>
                </c:pt>
                <c:pt idx="76">
                  <c:v>0</c:v>
                </c:pt>
                <c:pt idx="77">
                  <c:v>61.111473060134216</c:v>
                </c:pt>
                <c:pt idx="78">
                  <c:v>50.752492019024046</c:v>
                </c:pt>
                <c:pt idx="79">
                  <c:v>48.863118118444199</c:v>
                </c:pt>
                <c:pt idx="80">
                  <c:v>116.70246706022994</c:v>
                </c:pt>
                <c:pt idx="81">
                  <c:v>44.639173018872022</c:v>
                </c:pt>
                <c:pt idx="82">
                  <c:v>40.328360153755945</c:v>
                </c:pt>
                <c:pt idx="83">
                  <c:v>76.487067561404658</c:v>
                </c:pt>
                <c:pt idx="84">
                  <c:v>53.032770864551445</c:v>
                </c:pt>
                <c:pt idx="85">
                  <c:v>86.324842009251412</c:v>
                </c:pt>
                <c:pt idx="86">
                  <c:v>52.989336981779488</c:v>
                </c:pt>
                <c:pt idx="87">
                  <c:v>131.66432181154147</c:v>
                </c:pt>
                <c:pt idx="88">
                  <c:v>77.008274154668058</c:v>
                </c:pt>
                <c:pt idx="89">
                  <c:v>138.70862160423462</c:v>
                </c:pt>
                <c:pt idx="90">
                  <c:v>0</c:v>
                </c:pt>
                <c:pt idx="91">
                  <c:v>52.12065932634048</c:v>
                </c:pt>
                <c:pt idx="92">
                  <c:v>13.03016483158512</c:v>
                </c:pt>
                <c:pt idx="93">
                  <c:v>55.378200534236761</c:v>
                </c:pt>
                <c:pt idx="94">
                  <c:v>33.858898682888842</c:v>
                </c:pt>
                <c:pt idx="95">
                  <c:v>35.438980621423653</c:v>
                </c:pt>
                <c:pt idx="96">
                  <c:v>45.605576910547917</c:v>
                </c:pt>
                <c:pt idx="97">
                  <c:v>41.902838404239155</c:v>
                </c:pt>
                <c:pt idx="98">
                  <c:v>41.902838404239155</c:v>
                </c:pt>
                <c:pt idx="99">
                  <c:v>41.902838404239155</c:v>
                </c:pt>
                <c:pt idx="100">
                  <c:v>11.890025408821421</c:v>
                </c:pt>
                <c:pt idx="101">
                  <c:v>42</c:v>
                </c:pt>
                <c:pt idx="102">
                  <c:v>0</c:v>
                </c:pt>
                <c:pt idx="103">
                  <c:v>57.75620561600104</c:v>
                </c:pt>
                <c:pt idx="104">
                  <c:v>71.665906573718161</c:v>
                </c:pt>
                <c:pt idx="105">
                  <c:v>73.663865181227877</c:v>
                </c:pt>
                <c:pt idx="106">
                  <c:v>64.890220861293898</c:v>
                </c:pt>
                <c:pt idx="107">
                  <c:v>71.665906573718161</c:v>
                </c:pt>
                <c:pt idx="108">
                  <c:v>105.48</c:v>
                </c:pt>
                <c:pt idx="109">
                  <c:v>10.840108401084009</c:v>
                </c:pt>
                <c:pt idx="110">
                  <c:v>90.429343931200734</c:v>
                </c:pt>
                <c:pt idx="111">
                  <c:v>45.540426086389992</c:v>
                </c:pt>
                <c:pt idx="112">
                  <c:v>75.965211386149292</c:v>
                </c:pt>
                <c:pt idx="113">
                  <c:v>45.76845397094273</c:v>
                </c:pt>
                <c:pt idx="114">
                  <c:v>30.794622885312833</c:v>
                </c:pt>
                <c:pt idx="115">
                  <c:v>22.824505396659934</c:v>
                </c:pt>
                <c:pt idx="116">
                  <c:v>0</c:v>
                </c:pt>
                <c:pt idx="117">
                  <c:v>19.990444545790172</c:v>
                </c:pt>
                <c:pt idx="118">
                  <c:v>124.68212292759608</c:v>
                </c:pt>
                <c:pt idx="119">
                  <c:v>6.667101005494386</c:v>
                </c:pt>
                <c:pt idx="120">
                  <c:v>57.75620561600104</c:v>
                </c:pt>
                <c:pt idx="121">
                  <c:v>93.661652674968167</c:v>
                </c:pt>
                <c:pt idx="122">
                  <c:v>10.315547158338219</c:v>
                </c:pt>
                <c:pt idx="123">
                  <c:v>66.432123699698138</c:v>
                </c:pt>
                <c:pt idx="124">
                  <c:v>83.523356570460621</c:v>
                </c:pt>
                <c:pt idx="125">
                  <c:v>57.75620561600104</c:v>
                </c:pt>
                <c:pt idx="126">
                  <c:v>136.91002870276452</c:v>
                </c:pt>
                <c:pt idx="127">
                  <c:v>0</c:v>
                </c:pt>
                <c:pt idx="128">
                  <c:v>15.456467891895299</c:v>
                </c:pt>
                <c:pt idx="129">
                  <c:v>69.895157264103844</c:v>
                </c:pt>
                <c:pt idx="130">
                  <c:v>31.31677842458183</c:v>
                </c:pt>
                <c:pt idx="131">
                  <c:v>0</c:v>
                </c:pt>
                <c:pt idx="132">
                  <c:v>59.623862575194906</c:v>
                </c:pt>
                <c:pt idx="133">
                  <c:v>32.996831478888808</c:v>
                </c:pt>
                <c:pt idx="134">
                  <c:v>64.064977088626833</c:v>
                </c:pt>
                <c:pt idx="135">
                  <c:v>107.83824263604592</c:v>
                </c:pt>
                <c:pt idx="136">
                  <c:v>25.84316024931049</c:v>
                </c:pt>
                <c:pt idx="137">
                  <c:v>46.32</c:v>
                </c:pt>
                <c:pt idx="138">
                  <c:v>66.193237344452413</c:v>
                </c:pt>
                <c:pt idx="139">
                  <c:v>50.696337779087763</c:v>
                </c:pt>
                <c:pt idx="140">
                  <c:v>0</c:v>
                </c:pt>
                <c:pt idx="141">
                  <c:v>32.977175494603344</c:v>
                </c:pt>
                <c:pt idx="142">
                  <c:v>117.27148348426608</c:v>
                </c:pt>
                <c:pt idx="143">
                  <c:v>45.76845397094273</c:v>
                </c:pt>
                <c:pt idx="144">
                  <c:v>96.32243279618784</c:v>
                </c:pt>
                <c:pt idx="145">
                  <c:v>43.504531722054381</c:v>
                </c:pt>
                <c:pt idx="146">
                  <c:v>136.39208407967715</c:v>
                </c:pt>
                <c:pt idx="147">
                  <c:v>4.8227658512231653</c:v>
                </c:pt>
                <c:pt idx="148">
                  <c:v>55.872831108362739</c:v>
                </c:pt>
                <c:pt idx="149">
                  <c:v>0</c:v>
                </c:pt>
                <c:pt idx="150">
                  <c:v>69.841038885453429</c:v>
                </c:pt>
                <c:pt idx="151">
                  <c:v>141.87043032265103</c:v>
                </c:pt>
                <c:pt idx="152">
                  <c:v>51.271092771350673</c:v>
                </c:pt>
                <c:pt idx="153">
                  <c:v>178.85</c:v>
                </c:pt>
                <c:pt idx="154">
                  <c:v>197.70344483275088</c:v>
                </c:pt>
                <c:pt idx="155">
                  <c:v>135.79630554168747</c:v>
                </c:pt>
                <c:pt idx="156">
                  <c:v>80.026190389582041</c:v>
                </c:pt>
                <c:pt idx="157">
                  <c:v>0</c:v>
                </c:pt>
                <c:pt idx="158">
                  <c:v>113.74248050904511</c:v>
                </c:pt>
                <c:pt idx="159">
                  <c:v>114.1008100419137</c:v>
                </c:pt>
                <c:pt idx="160">
                  <c:v>0</c:v>
                </c:pt>
                <c:pt idx="161">
                  <c:v>408.60075821337881</c:v>
                </c:pt>
                <c:pt idx="162">
                  <c:v>0</c:v>
                </c:pt>
                <c:pt idx="163">
                  <c:v>0</c:v>
                </c:pt>
              </c:numCache>
            </c:numRef>
          </c:val>
          <c:extLst>
            <c:ext xmlns:c16="http://schemas.microsoft.com/office/drawing/2014/chart" uri="{C3380CC4-5D6E-409C-BE32-E72D297353CC}">
              <c16:uniqueId val="{00000000-A0B3-4094-8BA8-F3B853624BD4}"/>
            </c:ext>
          </c:extLst>
        </c:ser>
        <c:ser>
          <c:idx val="1"/>
          <c:order val="1"/>
          <c:tx>
            <c:strRef>
              <c:f>'[1]DWcharges cities 100 m³ graph'!$C$265</c:f>
              <c:strCache>
                <c:ptCount val="1"/>
                <c:pt idx="0">
                  <c:v>VARIABLE CHARGE</c:v>
                </c:pt>
              </c:strCache>
            </c:strRef>
          </c:tx>
          <c:invertIfNegative val="0"/>
          <c:cat>
            <c:strRef>
              <c:f>'[1]DWcharges cities 100 m³ graph'!$A$266:$A$429</c:f>
              <c:strCache>
                <c:ptCount val="164"/>
                <c:pt idx="0">
                  <c:v>Guadalajara</c:v>
                </c:pt>
                <c:pt idx="1">
                  <c:v>San Luis Potosi</c:v>
                </c:pt>
                <c:pt idx="2">
                  <c:v>Monterrey</c:v>
                </c:pt>
                <c:pt idx="3">
                  <c:v>Puebla</c:v>
                </c:pt>
                <c:pt idx="4">
                  <c:v>León, Guanajuato</c:v>
                </c:pt>
                <c:pt idx="5">
                  <c:v>Mauritius</c:v>
                </c:pt>
                <c:pt idx="6">
                  <c:v>Kenya Average</c:v>
                </c:pt>
                <c:pt idx="7">
                  <c:v>Thailand Average</c:v>
                </c:pt>
                <c:pt idx="8">
                  <c:v>Shanghai</c:v>
                </c:pt>
                <c:pt idx="9">
                  <c:v>Kafubu</c:v>
                </c:pt>
                <c:pt idx="10">
                  <c:v>Guangzhou</c:v>
                </c:pt>
                <c:pt idx="11">
                  <c:v>Mulonga</c:v>
                </c:pt>
                <c:pt idx="12">
                  <c:v>Hong Kong</c:v>
                </c:pt>
                <c:pt idx="13">
                  <c:v>Shenzhen</c:v>
                </c:pt>
                <c:pt idx="14">
                  <c:v>Lusaka</c:v>
                </c:pt>
                <c:pt idx="15">
                  <c:v>Kaohsiung</c:v>
                </c:pt>
                <c:pt idx="16">
                  <c:v>Russia Average</c:v>
                </c:pt>
                <c:pt idx="17">
                  <c:v>Taipei</c:v>
                </c:pt>
                <c:pt idx="18">
                  <c:v>Daejeon</c:v>
                </c:pt>
                <c:pt idx="19">
                  <c:v>Gwangju</c:v>
                </c:pt>
                <c:pt idx="20">
                  <c:v>Seoul</c:v>
                </c:pt>
                <c:pt idx="21">
                  <c:v>Daegu</c:v>
                </c:pt>
                <c:pt idx="22">
                  <c:v>Miami</c:v>
                </c:pt>
                <c:pt idx="23">
                  <c:v>Gyeounggi</c:v>
                </c:pt>
                <c:pt idx="24">
                  <c:v>Beijing</c:v>
                </c:pt>
                <c:pt idx="25">
                  <c:v>Incheon</c:v>
                </c:pt>
                <c:pt idx="26">
                  <c:v>NWWSC of Zambia</c:v>
                </c:pt>
                <c:pt idx="27">
                  <c:v>Gran Santiago</c:v>
                </c:pt>
                <c:pt idx="28">
                  <c:v>Busan</c:v>
                </c:pt>
                <c:pt idx="29">
                  <c:v>Tianjin</c:v>
                </c:pt>
                <c:pt idx="30">
                  <c:v>Nagoya</c:v>
                </c:pt>
                <c:pt idx="31">
                  <c:v>Giurgiu</c:v>
                </c:pt>
                <c:pt idx="32">
                  <c:v>Budapest</c:v>
                </c:pt>
                <c:pt idx="33">
                  <c:v>Sibiu</c:v>
                </c:pt>
                <c:pt idx="34">
                  <c:v>Concepcion</c:v>
                </c:pt>
                <c:pt idx="35">
                  <c:v>Kampala</c:v>
                </c:pt>
                <c:pt idx="36">
                  <c:v>Apaserv SA Valea Jiului</c:v>
                </c:pt>
                <c:pt idx="37">
                  <c:v>Entebbe</c:v>
                </c:pt>
                <c:pt idx="38">
                  <c:v>Jinja</c:v>
                </c:pt>
                <c:pt idx="39">
                  <c:v>Calarasi</c:v>
                </c:pt>
                <c:pt idx="40">
                  <c:v>Baia Mare</c:v>
                </c:pt>
                <c:pt idx="41">
                  <c:v>Deva</c:v>
                </c:pt>
                <c:pt idx="42">
                  <c:v>Craiova</c:v>
                </c:pt>
                <c:pt idx="43">
                  <c:v>Mbarara</c:v>
                </c:pt>
                <c:pt idx="44">
                  <c:v>Ulsan</c:v>
                </c:pt>
                <c:pt idx="45">
                  <c:v>Miercurea Ciuc</c:v>
                </c:pt>
                <c:pt idx="46">
                  <c:v>Severin</c:v>
                </c:pt>
                <c:pt idx="47">
                  <c:v>Kaposvár</c:v>
                </c:pt>
                <c:pt idx="48">
                  <c:v>Medias</c:v>
                </c:pt>
                <c:pt idx="49">
                  <c:v>Iasi</c:v>
                </c:pt>
                <c:pt idx="50">
                  <c:v>Temuco</c:v>
                </c:pt>
                <c:pt idx="51">
                  <c:v>Yokohama</c:v>
                </c:pt>
                <c:pt idx="52">
                  <c:v>Macao, China Average</c:v>
                </c:pt>
                <c:pt idx="53">
                  <c:v>Suceava</c:v>
                </c:pt>
                <c:pt idx="54">
                  <c:v>Brasov</c:v>
                </c:pt>
                <c:pt idx="55">
                  <c:v>Hiroshima</c:v>
                </c:pt>
                <c:pt idx="56">
                  <c:v>Miskolc</c:v>
                </c:pt>
                <c:pt idx="57">
                  <c:v>Bialystok</c:v>
                </c:pt>
                <c:pt idx="58">
                  <c:v>Thessaloniki</c:v>
                </c:pt>
                <c:pt idx="59">
                  <c:v>Constanta</c:v>
                </c:pt>
                <c:pt idx="60">
                  <c:v>Debrecen</c:v>
                </c:pt>
                <c:pt idx="61">
                  <c:v>Bilbao</c:v>
                </c:pt>
                <c:pt idx="62">
                  <c:v>Resita</c:v>
                </c:pt>
                <c:pt idx="63">
                  <c:v>Faro</c:v>
                </c:pt>
                <c:pt idx="64">
                  <c:v>Osaka</c:v>
                </c:pt>
                <c:pt idx="65">
                  <c:v>Sevilla</c:v>
                </c:pt>
                <c:pt idx="66">
                  <c:v>Fukuoka</c:v>
                </c:pt>
                <c:pt idx="67">
                  <c:v>Chicago</c:v>
                </c:pt>
                <c:pt idx="68">
                  <c:v>Buzau</c:v>
                </c:pt>
                <c:pt idx="69">
                  <c:v>Wroclaw</c:v>
                </c:pt>
                <c:pt idx="70">
                  <c:v>Tarnow</c:v>
                </c:pt>
                <c:pt idx="71">
                  <c:v>Bucharest</c:v>
                </c:pt>
                <c:pt idx="72">
                  <c:v>Lisbon</c:v>
                </c:pt>
                <c:pt idx="73">
                  <c:v>Valparaiso</c:v>
                </c:pt>
                <c:pt idx="74">
                  <c:v>Vina del Mar</c:v>
                </c:pt>
                <c:pt idx="75">
                  <c:v>Madrid</c:v>
                </c:pt>
                <c:pt idx="76">
                  <c:v>Pécs</c:v>
                </c:pt>
                <c:pt idx="77">
                  <c:v>Braga</c:v>
                </c:pt>
                <c:pt idx="78">
                  <c:v>Coimbra</c:v>
                </c:pt>
                <c:pt idx="79">
                  <c:v>Utrecht</c:v>
                </c:pt>
                <c:pt idx="80">
                  <c:v>Tokyo</c:v>
                </c:pt>
                <c:pt idx="81">
                  <c:v>Porto</c:v>
                </c:pt>
                <c:pt idx="82">
                  <c:v>Loures</c:v>
                </c:pt>
                <c:pt idx="83">
                  <c:v>Eindhoven</c:v>
                </c:pt>
                <c:pt idx="84">
                  <c:v>Sintra</c:v>
                </c:pt>
                <c:pt idx="85">
                  <c:v>Serres</c:v>
                </c:pt>
                <c:pt idx="86">
                  <c:v>Igoumenitsa</c:v>
                </c:pt>
                <c:pt idx="87">
                  <c:v>Sapporo</c:v>
                </c:pt>
                <c:pt idx="88">
                  <c:v>Valencia</c:v>
                </c:pt>
                <c:pt idx="89">
                  <c:v>Bergen</c:v>
                </c:pt>
                <c:pt idx="90">
                  <c:v>Bydgoszcz</c:v>
                </c:pt>
                <c:pt idx="91">
                  <c:v>Paphos</c:v>
                </c:pt>
                <c:pt idx="92">
                  <c:v>Athens</c:v>
                </c:pt>
                <c:pt idx="93">
                  <c:v>Alexandroupolis</c:v>
                </c:pt>
                <c:pt idx="94">
                  <c:v>Trondheim</c:v>
                </c:pt>
                <c:pt idx="95">
                  <c:v>Oslo</c:v>
                </c:pt>
                <c:pt idx="96">
                  <c:v>Lefkosia</c:v>
                </c:pt>
                <c:pt idx="97">
                  <c:v>Espoo</c:v>
                </c:pt>
                <c:pt idx="98">
                  <c:v>Helsinki</c:v>
                </c:pt>
                <c:pt idx="99">
                  <c:v>Vantaa</c:v>
                </c:pt>
                <c:pt idx="100">
                  <c:v>Reims</c:v>
                </c:pt>
                <c:pt idx="101">
                  <c:v>Minneapolis</c:v>
                </c:pt>
                <c:pt idx="102">
                  <c:v>Los Angeles</c:v>
                </c:pt>
                <c:pt idx="103">
                  <c:v>Genk</c:v>
                </c:pt>
                <c:pt idx="104">
                  <c:v>Lemesos</c:v>
                </c:pt>
                <c:pt idx="105">
                  <c:v>Antwerp</c:v>
                </c:pt>
                <c:pt idx="106">
                  <c:v>Rotterdam</c:v>
                </c:pt>
                <c:pt idx="107">
                  <c:v>Larnaca</c:v>
                </c:pt>
                <c:pt idx="108">
                  <c:v>Denver</c:v>
                </c:pt>
                <c:pt idx="109">
                  <c:v>Radom</c:v>
                </c:pt>
                <c:pt idx="110">
                  <c:v>Barcelona</c:v>
                </c:pt>
                <c:pt idx="111">
                  <c:v>Oulu</c:v>
                </c:pt>
                <c:pt idx="112">
                  <c:v>Saskatoon</c:v>
                </c:pt>
                <c:pt idx="113">
                  <c:v>Amsterdam</c:v>
                </c:pt>
                <c:pt idx="114">
                  <c:v>Strassbourg</c:v>
                </c:pt>
                <c:pt idx="115">
                  <c:v>Paris</c:v>
                </c:pt>
                <c:pt idx="116">
                  <c:v>Scotland: Band A</c:v>
                </c:pt>
                <c:pt idx="117">
                  <c:v>Lille</c:v>
                </c:pt>
                <c:pt idx="118">
                  <c:v>Sendai</c:v>
                </c:pt>
                <c:pt idx="119">
                  <c:v>Brest</c:v>
                </c:pt>
                <c:pt idx="120">
                  <c:v>Louvain</c:v>
                </c:pt>
                <c:pt idx="121">
                  <c:v>Winnipeg</c:v>
                </c:pt>
                <c:pt idx="122">
                  <c:v>Marseille</c:v>
                </c:pt>
                <c:pt idx="123">
                  <c:v>Den Haag</c:v>
                </c:pt>
                <c:pt idx="124">
                  <c:v>Tampere</c:v>
                </c:pt>
                <c:pt idx="125">
                  <c:v>Kortrijk</c:v>
                </c:pt>
                <c:pt idx="126">
                  <c:v>Durham</c:v>
                </c:pt>
                <c:pt idx="127">
                  <c:v>SEDIF</c:v>
                </c:pt>
                <c:pt idx="128">
                  <c:v>Antofagasta</c:v>
                </c:pt>
                <c:pt idx="129">
                  <c:v>Basel</c:v>
                </c:pt>
                <c:pt idx="130">
                  <c:v>London</c:v>
                </c:pt>
                <c:pt idx="131">
                  <c:v>Scotland: Band B</c:v>
                </c:pt>
                <c:pt idx="132">
                  <c:v>Bordeaux</c:v>
                </c:pt>
                <c:pt idx="133">
                  <c:v>Leeds</c:v>
                </c:pt>
                <c:pt idx="134">
                  <c:v>Malta Average</c:v>
                </c:pt>
                <c:pt idx="135">
                  <c:v>Zürich</c:v>
                </c:pt>
                <c:pt idx="136">
                  <c:v>Brussels</c:v>
                </c:pt>
                <c:pt idx="137">
                  <c:v>Washington D.C.</c:v>
                </c:pt>
                <c:pt idx="138">
                  <c:v>Lyon</c:v>
                </c:pt>
                <c:pt idx="139">
                  <c:v>Cardiff</c:v>
                </c:pt>
                <c:pt idx="140">
                  <c:v>Scotland: Band C</c:v>
                </c:pt>
                <c:pt idx="141">
                  <c:v>Le Havre</c:v>
                </c:pt>
                <c:pt idx="142">
                  <c:v>Turku</c:v>
                </c:pt>
                <c:pt idx="143">
                  <c:v>Nancy</c:v>
                </c:pt>
                <c:pt idx="144">
                  <c:v>Esbjerg</c:v>
                </c:pt>
                <c:pt idx="145">
                  <c:v>Birmingham</c:v>
                </c:pt>
                <c:pt idx="146">
                  <c:v>Calgary</c:v>
                </c:pt>
                <c:pt idx="147">
                  <c:v>Bern</c:v>
                </c:pt>
                <c:pt idx="148">
                  <c:v>Copenhagen</c:v>
                </c:pt>
                <c:pt idx="149">
                  <c:v>Scotland: Band D</c:v>
                </c:pt>
                <c:pt idx="150">
                  <c:v>Odense</c:v>
                </c:pt>
                <c:pt idx="151">
                  <c:v>Aalborg</c:v>
                </c:pt>
                <c:pt idx="152">
                  <c:v>Manchester</c:v>
                </c:pt>
                <c:pt idx="153">
                  <c:v>New York</c:v>
                </c:pt>
                <c:pt idx="154">
                  <c:v>Geneva</c:v>
                </c:pt>
                <c:pt idx="155">
                  <c:v>Lausanne</c:v>
                </c:pt>
                <c:pt idx="156">
                  <c:v>Aarhus</c:v>
                </c:pt>
                <c:pt idx="157">
                  <c:v>Scotland: Band E</c:v>
                </c:pt>
                <c:pt idx="158">
                  <c:v>Charleroi</c:v>
                </c:pt>
                <c:pt idx="159">
                  <c:v>Liège</c:v>
                </c:pt>
                <c:pt idx="160">
                  <c:v>Scotland: Band F</c:v>
                </c:pt>
                <c:pt idx="161">
                  <c:v>Vancouver</c:v>
                </c:pt>
                <c:pt idx="162">
                  <c:v>Scotland: Band G</c:v>
                </c:pt>
                <c:pt idx="163">
                  <c:v>Scotland: Band H</c:v>
                </c:pt>
              </c:strCache>
            </c:strRef>
          </c:cat>
          <c:val>
            <c:numRef>
              <c:f>'[1]DWcharges cities 100 m³ graph'!$C$266:$C$429</c:f>
              <c:numCache>
                <c:formatCode>General</c:formatCode>
                <c:ptCount val="164"/>
                <c:pt idx="0">
                  <c:v>0.49788024590652696</c:v>
                </c:pt>
                <c:pt idx="1">
                  <c:v>0.48630163553660777</c:v>
                </c:pt>
                <c:pt idx="2">
                  <c:v>0.51524816146140584</c:v>
                </c:pt>
                <c:pt idx="3">
                  <c:v>0.63103426516059813</c:v>
                </c:pt>
                <c:pt idx="4">
                  <c:v>1.0594428488476098</c:v>
                </c:pt>
                <c:pt idx="5">
                  <c:v>0</c:v>
                </c:pt>
                <c:pt idx="6">
                  <c:v>21.827086157882587</c:v>
                </c:pt>
                <c:pt idx="8">
                  <c:v>0</c:v>
                </c:pt>
                <c:pt idx="9">
                  <c:v>29.282502737210603</c:v>
                </c:pt>
                <c:pt idx="10">
                  <c:v>0</c:v>
                </c:pt>
                <c:pt idx="11">
                  <c:v>31.316763301577772</c:v>
                </c:pt>
                <c:pt idx="12">
                  <c:v>33.705350827329525</c:v>
                </c:pt>
                <c:pt idx="13">
                  <c:v>0</c:v>
                </c:pt>
                <c:pt idx="14">
                  <c:v>35.531751190946544</c:v>
                </c:pt>
                <c:pt idx="15">
                  <c:v>21.169371910783799</c:v>
                </c:pt>
                <c:pt idx="16">
                  <c:v>34.686537541053276</c:v>
                </c:pt>
                <c:pt idx="17">
                  <c:v>14.455656819078079</c:v>
                </c:pt>
                <c:pt idx="18">
                  <c:v>43.16113549331012</c:v>
                </c:pt>
                <c:pt idx="19">
                  <c:v>45.021828744911225</c:v>
                </c:pt>
                <c:pt idx="20">
                  <c:v>48.656789605279521</c:v>
                </c:pt>
                <c:pt idx="21">
                  <c:v>49.055872720718554</c:v>
                </c:pt>
                <c:pt idx="22">
                  <c:v>13.07</c:v>
                </c:pt>
                <c:pt idx="23">
                  <c:v>53.749971360914437</c:v>
                </c:pt>
                <c:pt idx="24">
                  <c:v>0</c:v>
                </c:pt>
                <c:pt idx="25">
                  <c:v>56.235979557725756</c:v>
                </c:pt>
                <c:pt idx="26">
                  <c:v>56.722417461007744</c:v>
                </c:pt>
                <c:pt idx="27">
                  <c:v>47.259662472371041</c:v>
                </c:pt>
                <c:pt idx="28">
                  <c:v>60.589459487929091</c:v>
                </c:pt>
                <c:pt idx="29">
                  <c:v>0</c:v>
                </c:pt>
                <c:pt idx="30">
                  <c:v>1.9949139668415374</c:v>
                </c:pt>
                <c:pt idx="31">
                  <c:v>64.671433190816657</c:v>
                </c:pt>
                <c:pt idx="32">
                  <c:v>59.35556451703696</c:v>
                </c:pt>
                <c:pt idx="33">
                  <c:v>66.587623803877889</c:v>
                </c:pt>
                <c:pt idx="34">
                  <c:v>57.595384268325411</c:v>
                </c:pt>
                <c:pt idx="35">
                  <c:v>67.209007221129553</c:v>
                </c:pt>
                <c:pt idx="36">
                  <c:v>71.378100336530977</c:v>
                </c:pt>
                <c:pt idx="37">
                  <c:v>68.494019755690388</c:v>
                </c:pt>
                <c:pt idx="38">
                  <c:v>69.340699256842356</c:v>
                </c:pt>
                <c:pt idx="39">
                  <c:v>72.3361956430616</c:v>
                </c:pt>
                <c:pt idx="40">
                  <c:v>72.575719469694249</c:v>
                </c:pt>
                <c:pt idx="41">
                  <c:v>73.054767122959561</c:v>
                </c:pt>
                <c:pt idx="42">
                  <c:v>73.294290949592209</c:v>
                </c:pt>
                <c:pt idx="43">
                  <c:v>70.573088308519104</c:v>
                </c:pt>
                <c:pt idx="44">
                  <c:v>73.882062279877289</c:v>
                </c:pt>
                <c:pt idx="45">
                  <c:v>74.01286242949017</c:v>
                </c:pt>
                <c:pt idx="46">
                  <c:v>74.491910082755481</c:v>
                </c:pt>
                <c:pt idx="47">
                  <c:v>74.986322226279867</c:v>
                </c:pt>
                <c:pt idx="48">
                  <c:v>76.408100695816714</c:v>
                </c:pt>
                <c:pt idx="49">
                  <c:v>76.647624522449377</c:v>
                </c:pt>
                <c:pt idx="50">
                  <c:v>60.105829690257451</c:v>
                </c:pt>
                <c:pt idx="51">
                  <c:v>1.4296883429031018</c:v>
                </c:pt>
                <c:pt idx="52">
                  <c:v>83.444215433048953</c:v>
                </c:pt>
                <c:pt idx="53">
                  <c:v>84.072863148061657</c:v>
                </c:pt>
                <c:pt idx="54">
                  <c:v>84.312386974694306</c:v>
                </c:pt>
                <c:pt idx="55">
                  <c:v>4.1560707642532027</c:v>
                </c:pt>
                <c:pt idx="56">
                  <c:v>85.769479306753169</c:v>
                </c:pt>
                <c:pt idx="57">
                  <c:v>86.538680512855549</c:v>
                </c:pt>
                <c:pt idx="58">
                  <c:v>61.024605294590316</c:v>
                </c:pt>
                <c:pt idx="59">
                  <c:v>88.384292027449433</c:v>
                </c:pt>
                <c:pt idx="60">
                  <c:v>84.316576277391832</c:v>
                </c:pt>
                <c:pt idx="61">
                  <c:v>56.431472191456557</c:v>
                </c:pt>
                <c:pt idx="62">
                  <c:v>92.216673253571898</c:v>
                </c:pt>
                <c:pt idx="63">
                  <c:v>57.441309965904402</c:v>
                </c:pt>
                <c:pt idx="64">
                  <c:v>8.3121415285064053</c:v>
                </c:pt>
                <c:pt idx="65">
                  <c:v>44.411145134319284</c:v>
                </c:pt>
                <c:pt idx="66">
                  <c:v>13.565414974522454</c:v>
                </c:pt>
                <c:pt idx="67">
                  <c:v>100.65</c:v>
                </c:pt>
                <c:pt idx="68">
                  <c:v>105.39048371836789</c:v>
                </c:pt>
                <c:pt idx="69">
                  <c:v>108.5529062573539</c:v>
                </c:pt>
                <c:pt idx="70">
                  <c:v>79.70667941973538</c:v>
                </c:pt>
                <c:pt idx="71">
                  <c:v>109.94143642438831</c:v>
                </c:pt>
                <c:pt idx="72">
                  <c:v>44.389428192933309</c:v>
                </c:pt>
                <c:pt idx="73">
                  <c:v>95.022820441129568</c:v>
                </c:pt>
                <c:pt idx="74">
                  <c:v>95.022820441129568</c:v>
                </c:pt>
                <c:pt idx="75">
                  <c:v>46.691423979846682</c:v>
                </c:pt>
                <c:pt idx="76">
                  <c:v>117.05853791062974</c:v>
                </c:pt>
                <c:pt idx="77">
                  <c:v>59.721588811431801</c:v>
                </c:pt>
                <c:pt idx="78">
                  <c:v>70.93838903728799</c:v>
                </c:pt>
                <c:pt idx="79">
                  <c:v>73.837600712315677</c:v>
                </c:pt>
                <c:pt idx="80">
                  <c:v>7.3146845450856368</c:v>
                </c:pt>
                <c:pt idx="81">
                  <c:v>80.928182074836585</c:v>
                </c:pt>
                <c:pt idx="82">
                  <c:v>85.467022824505392</c:v>
                </c:pt>
                <c:pt idx="83">
                  <c:v>50.111842248137769</c:v>
                </c:pt>
                <c:pt idx="84">
                  <c:v>77.084283449518963</c:v>
                </c:pt>
                <c:pt idx="85">
                  <c:v>24.61615306100289</c:v>
                </c:pt>
                <c:pt idx="86">
                  <c:v>43.433882771950401</c:v>
                </c:pt>
                <c:pt idx="87">
                  <c:v>0</c:v>
                </c:pt>
                <c:pt idx="88">
                  <c:v>60.709709644493664</c:v>
                </c:pt>
                <c:pt idx="89">
                  <c:v>0</c:v>
                </c:pt>
                <c:pt idx="90">
                  <c:v>139.42342971515617</c:v>
                </c:pt>
                <c:pt idx="91">
                  <c:v>91.862662062675085</c:v>
                </c:pt>
                <c:pt idx="92">
                  <c:v>131.51779703346583</c:v>
                </c:pt>
                <c:pt idx="93">
                  <c:v>92.2970008903946</c:v>
                </c:pt>
                <c:pt idx="94">
                  <c:v>93.224834373553932</c:v>
                </c:pt>
                <c:pt idx="95">
                  <c:v>112.52440662280057</c:v>
                </c:pt>
                <c:pt idx="96">
                  <c:v>104.24131865268096</c:v>
                </c:pt>
                <c:pt idx="97">
                  <c:v>117.27148348426608</c:v>
                </c:pt>
                <c:pt idx="98">
                  <c:v>117.27148348426608</c:v>
                </c:pt>
                <c:pt idx="99">
                  <c:v>117.27148348426608</c:v>
                </c:pt>
                <c:pt idx="100">
                  <c:v>100.98377744478468</c:v>
                </c:pt>
                <c:pt idx="101">
                  <c:v>121.85</c:v>
                </c:pt>
                <c:pt idx="102">
                  <c:v>164.38</c:v>
                </c:pt>
                <c:pt idx="103">
                  <c:v>107.22739809325255</c:v>
                </c:pt>
                <c:pt idx="104">
                  <c:v>97.726236236888397</c:v>
                </c:pt>
                <c:pt idx="105">
                  <c:v>97.650226942037492</c:v>
                </c:pt>
                <c:pt idx="106">
                  <c:v>99.246422133906663</c:v>
                </c:pt>
                <c:pt idx="107">
                  <c:v>102.06962451408344</c:v>
                </c:pt>
                <c:pt idx="108">
                  <c:v>68.680000000000007</c:v>
                </c:pt>
                <c:pt idx="109">
                  <c:v>163.46195207983826</c:v>
                </c:pt>
                <c:pt idx="110">
                  <c:v>88.127348144287353</c:v>
                </c:pt>
                <c:pt idx="111">
                  <c:v>133.55918952374748</c:v>
                </c:pt>
                <c:pt idx="112">
                  <c:v>104.30829214954213</c:v>
                </c:pt>
                <c:pt idx="113">
                  <c:v>134.64503659304623</c:v>
                </c:pt>
                <c:pt idx="114">
                  <c:v>108.58470692987599</c:v>
                </c:pt>
                <c:pt idx="115">
                  <c:v>107.49885986057724</c:v>
                </c:pt>
                <c:pt idx="116">
                  <c:v>0</c:v>
                </c:pt>
                <c:pt idx="117">
                  <c:v>121.61487176146113</c:v>
                </c:pt>
                <c:pt idx="118">
                  <c:v>66.231143699139039</c:v>
                </c:pt>
                <c:pt idx="119">
                  <c:v>143.33181314743632</c:v>
                </c:pt>
                <c:pt idx="120">
                  <c:v>138.4455013355919</c:v>
                </c:pt>
                <c:pt idx="121">
                  <c:v>104.30829214954213</c:v>
                </c:pt>
                <c:pt idx="122">
                  <c:v>154.19028384042392</c:v>
                </c:pt>
                <c:pt idx="123">
                  <c:v>115.09978934566855</c:v>
                </c:pt>
                <c:pt idx="124">
                  <c:v>118.35733055356484</c:v>
                </c:pt>
                <c:pt idx="125">
                  <c:v>145.91612917236736</c:v>
                </c:pt>
                <c:pt idx="126">
                  <c:v>67.908295027012258</c:v>
                </c:pt>
                <c:pt idx="127">
                  <c:v>160.70536625621648</c:v>
                </c:pt>
                <c:pt idx="128">
                  <c:v>199.94678136987906</c:v>
                </c:pt>
                <c:pt idx="129">
                  <c:v>145.78132800798801</c:v>
                </c:pt>
                <c:pt idx="130">
                  <c:v>186.11745634072656</c:v>
                </c:pt>
                <c:pt idx="131">
                  <c:v>0</c:v>
                </c:pt>
                <c:pt idx="132">
                  <c:v>116.18563641496732</c:v>
                </c:pt>
                <c:pt idx="133">
                  <c:v>186.57431287303808</c:v>
                </c:pt>
                <c:pt idx="134">
                  <c:v>155.69961126674917</c:v>
                </c:pt>
                <c:pt idx="135">
                  <c:v>119.82026959560659</c:v>
                </c:pt>
                <c:pt idx="136">
                  <c:v>203.36829760896475</c:v>
                </c:pt>
                <c:pt idx="137">
                  <c:v>108.79</c:v>
                </c:pt>
                <c:pt idx="138">
                  <c:v>128.12995417725367</c:v>
                </c:pt>
                <c:pt idx="139">
                  <c:v>192.74924471299093</c:v>
                </c:pt>
                <c:pt idx="140">
                  <c:v>0</c:v>
                </c:pt>
                <c:pt idx="141">
                  <c:v>163.96290746411276</c:v>
                </c:pt>
                <c:pt idx="142">
                  <c:v>137.90257780094251</c:v>
                </c:pt>
                <c:pt idx="143">
                  <c:v>160.70536625621648</c:v>
                </c:pt>
                <c:pt idx="144">
                  <c:v>70.626750572914773</c:v>
                </c:pt>
                <c:pt idx="145">
                  <c:v>218.68690590229164</c:v>
                </c:pt>
                <c:pt idx="146">
                  <c:v>127.31366582500665</c:v>
                </c:pt>
                <c:pt idx="147">
                  <c:v>259.61058412381425</c:v>
                </c:pt>
                <c:pt idx="148">
                  <c:v>126.15037648685025</c:v>
                </c:pt>
                <c:pt idx="149">
                  <c:v>0</c:v>
                </c:pt>
                <c:pt idx="150">
                  <c:v>127.31439380160781</c:v>
                </c:pt>
                <c:pt idx="151">
                  <c:v>63.991851878796702</c:v>
                </c:pt>
                <c:pt idx="152">
                  <c:v>257.90288114361505</c:v>
                </c:pt>
                <c:pt idx="153">
                  <c:v>134.55000000000001</c:v>
                </c:pt>
                <c:pt idx="154">
                  <c:v>128.80678981527709</c:v>
                </c:pt>
                <c:pt idx="155">
                  <c:v>191.71243135297053</c:v>
                </c:pt>
                <c:pt idx="156">
                  <c:v>155.83281801316795</c:v>
                </c:pt>
                <c:pt idx="157">
                  <c:v>0</c:v>
                </c:pt>
                <c:pt idx="158">
                  <c:v>241.81814233283384</c:v>
                </c:pt>
                <c:pt idx="159">
                  <c:v>243.34918670054512</c:v>
                </c:pt>
                <c:pt idx="160">
                  <c:v>0</c:v>
                </c:pt>
                <c:pt idx="161">
                  <c:v>0</c:v>
                </c:pt>
                <c:pt idx="162">
                  <c:v>0</c:v>
                </c:pt>
                <c:pt idx="163">
                  <c:v>0</c:v>
                </c:pt>
              </c:numCache>
            </c:numRef>
          </c:val>
          <c:extLst>
            <c:ext xmlns:c16="http://schemas.microsoft.com/office/drawing/2014/chart" uri="{C3380CC4-5D6E-409C-BE32-E72D297353CC}">
              <c16:uniqueId val="{00000001-A0B3-4094-8BA8-F3B853624BD4}"/>
            </c:ext>
          </c:extLst>
        </c:ser>
        <c:ser>
          <c:idx val="2"/>
          <c:order val="2"/>
          <c:tx>
            <c:strRef>
              <c:f>'[1]DWcharges cities 100 m³ graph'!$D$265</c:f>
              <c:strCache>
                <c:ptCount val="1"/>
                <c:pt idx="0">
                  <c:v>OTHER CHARGES DRINKING WATER</c:v>
                </c:pt>
              </c:strCache>
            </c:strRef>
          </c:tx>
          <c:invertIfNegative val="0"/>
          <c:cat>
            <c:strRef>
              <c:f>'[1]DWcharges cities 100 m³ graph'!$A$266:$A$429</c:f>
              <c:strCache>
                <c:ptCount val="164"/>
                <c:pt idx="0">
                  <c:v>Guadalajara</c:v>
                </c:pt>
                <c:pt idx="1">
                  <c:v>San Luis Potosi</c:v>
                </c:pt>
                <c:pt idx="2">
                  <c:v>Monterrey</c:v>
                </c:pt>
                <c:pt idx="3">
                  <c:v>Puebla</c:v>
                </c:pt>
                <c:pt idx="4">
                  <c:v>León, Guanajuato</c:v>
                </c:pt>
                <c:pt idx="5">
                  <c:v>Mauritius</c:v>
                </c:pt>
                <c:pt idx="6">
                  <c:v>Kenya Average</c:v>
                </c:pt>
                <c:pt idx="7">
                  <c:v>Thailand Average</c:v>
                </c:pt>
                <c:pt idx="8">
                  <c:v>Shanghai</c:v>
                </c:pt>
                <c:pt idx="9">
                  <c:v>Kafubu</c:v>
                </c:pt>
                <c:pt idx="10">
                  <c:v>Guangzhou</c:v>
                </c:pt>
                <c:pt idx="11">
                  <c:v>Mulonga</c:v>
                </c:pt>
                <c:pt idx="12">
                  <c:v>Hong Kong</c:v>
                </c:pt>
                <c:pt idx="13">
                  <c:v>Shenzhen</c:v>
                </c:pt>
                <c:pt idx="14">
                  <c:v>Lusaka</c:v>
                </c:pt>
                <c:pt idx="15">
                  <c:v>Kaohsiung</c:v>
                </c:pt>
                <c:pt idx="16">
                  <c:v>Russia Average</c:v>
                </c:pt>
                <c:pt idx="17">
                  <c:v>Taipei</c:v>
                </c:pt>
                <c:pt idx="18">
                  <c:v>Daejeon</c:v>
                </c:pt>
                <c:pt idx="19">
                  <c:v>Gwangju</c:v>
                </c:pt>
                <c:pt idx="20">
                  <c:v>Seoul</c:v>
                </c:pt>
                <c:pt idx="21">
                  <c:v>Daegu</c:v>
                </c:pt>
                <c:pt idx="22">
                  <c:v>Miami</c:v>
                </c:pt>
                <c:pt idx="23">
                  <c:v>Gyeounggi</c:v>
                </c:pt>
                <c:pt idx="24">
                  <c:v>Beijing</c:v>
                </c:pt>
                <c:pt idx="25">
                  <c:v>Incheon</c:v>
                </c:pt>
                <c:pt idx="26">
                  <c:v>NWWSC of Zambia</c:v>
                </c:pt>
                <c:pt idx="27">
                  <c:v>Gran Santiago</c:v>
                </c:pt>
                <c:pt idx="28">
                  <c:v>Busan</c:v>
                </c:pt>
                <c:pt idx="29">
                  <c:v>Tianjin</c:v>
                </c:pt>
                <c:pt idx="30">
                  <c:v>Nagoya</c:v>
                </c:pt>
                <c:pt idx="31">
                  <c:v>Giurgiu</c:v>
                </c:pt>
                <c:pt idx="32">
                  <c:v>Budapest</c:v>
                </c:pt>
                <c:pt idx="33">
                  <c:v>Sibiu</c:v>
                </c:pt>
                <c:pt idx="34">
                  <c:v>Concepcion</c:v>
                </c:pt>
                <c:pt idx="35">
                  <c:v>Kampala</c:v>
                </c:pt>
                <c:pt idx="36">
                  <c:v>Apaserv SA Valea Jiului</c:v>
                </c:pt>
                <c:pt idx="37">
                  <c:v>Entebbe</c:v>
                </c:pt>
                <c:pt idx="38">
                  <c:v>Jinja</c:v>
                </c:pt>
                <c:pt idx="39">
                  <c:v>Calarasi</c:v>
                </c:pt>
                <c:pt idx="40">
                  <c:v>Baia Mare</c:v>
                </c:pt>
                <c:pt idx="41">
                  <c:v>Deva</c:v>
                </c:pt>
                <c:pt idx="42">
                  <c:v>Craiova</c:v>
                </c:pt>
                <c:pt idx="43">
                  <c:v>Mbarara</c:v>
                </c:pt>
                <c:pt idx="44">
                  <c:v>Ulsan</c:v>
                </c:pt>
                <c:pt idx="45">
                  <c:v>Miercurea Ciuc</c:v>
                </c:pt>
                <c:pt idx="46">
                  <c:v>Severin</c:v>
                </c:pt>
                <c:pt idx="47">
                  <c:v>Kaposvár</c:v>
                </c:pt>
                <c:pt idx="48">
                  <c:v>Medias</c:v>
                </c:pt>
                <c:pt idx="49">
                  <c:v>Iasi</c:v>
                </c:pt>
                <c:pt idx="50">
                  <c:v>Temuco</c:v>
                </c:pt>
                <c:pt idx="51">
                  <c:v>Yokohama</c:v>
                </c:pt>
                <c:pt idx="52">
                  <c:v>Macao, China Average</c:v>
                </c:pt>
                <c:pt idx="53">
                  <c:v>Suceava</c:v>
                </c:pt>
                <c:pt idx="54">
                  <c:v>Brasov</c:v>
                </c:pt>
                <c:pt idx="55">
                  <c:v>Hiroshima</c:v>
                </c:pt>
                <c:pt idx="56">
                  <c:v>Miskolc</c:v>
                </c:pt>
                <c:pt idx="57">
                  <c:v>Bialystok</c:v>
                </c:pt>
                <c:pt idx="58">
                  <c:v>Thessaloniki</c:v>
                </c:pt>
                <c:pt idx="59">
                  <c:v>Constanta</c:v>
                </c:pt>
                <c:pt idx="60">
                  <c:v>Debrecen</c:v>
                </c:pt>
                <c:pt idx="61">
                  <c:v>Bilbao</c:v>
                </c:pt>
                <c:pt idx="62">
                  <c:v>Resita</c:v>
                </c:pt>
                <c:pt idx="63">
                  <c:v>Faro</c:v>
                </c:pt>
                <c:pt idx="64">
                  <c:v>Osaka</c:v>
                </c:pt>
                <c:pt idx="65">
                  <c:v>Sevilla</c:v>
                </c:pt>
                <c:pt idx="66">
                  <c:v>Fukuoka</c:v>
                </c:pt>
                <c:pt idx="67">
                  <c:v>Chicago</c:v>
                </c:pt>
                <c:pt idx="68">
                  <c:v>Buzau</c:v>
                </c:pt>
                <c:pt idx="69">
                  <c:v>Wroclaw</c:v>
                </c:pt>
                <c:pt idx="70">
                  <c:v>Tarnow</c:v>
                </c:pt>
                <c:pt idx="71">
                  <c:v>Bucharest</c:v>
                </c:pt>
                <c:pt idx="72">
                  <c:v>Lisbon</c:v>
                </c:pt>
                <c:pt idx="73">
                  <c:v>Valparaiso</c:v>
                </c:pt>
                <c:pt idx="74">
                  <c:v>Vina del Mar</c:v>
                </c:pt>
                <c:pt idx="75">
                  <c:v>Madrid</c:v>
                </c:pt>
                <c:pt idx="76">
                  <c:v>Pécs</c:v>
                </c:pt>
                <c:pt idx="77">
                  <c:v>Braga</c:v>
                </c:pt>
                <c:pt idx="78">
                  <c:v>Coimbra</c:v>
                </c:pt>
                <c:pt idx="79">
                  <c:v>Utrecht</c:v>
                </c:pt>
                <c:pt idx="80">
                  <c:v>Tokyo</c:v>
                </c:pt>
                <c:pt idx="81">
                  <c:v>Porto</c:v>
                </c:pt>
                <c:pt idx="82">
                  <c:v>Loures</c:v>
                </c:pt>
                <c:pt idx="83">
                  <c:v>Eindhoven</c:v>
                </c:pt>
                <c:pt idx="84">
                  <c:v>Sintra</c:v>
                </c:pt>
                <c:pt idx="85">
                  <c:v>Serres</c:v>
                </c:pt>
                <c:pt idx="86">
                  <c:v>Igoumenitsa</c:v>
                </c:pt>
                <c:pt idx="87">
                  <c:v>Sapporo</c:v>
                </c:pt>
                <c:pt idx="88">
                  <c:v>Valencia</c:v>
                </c:pt>
                <c:pt idx="89">
                  <c:v>Bergen</c:v>
                </c:pt>
                <c:pt idx="90">
                  <c:v>Bydgoszcz</c:v>
                </c:pt>
                <c:pt idx="91">
                  <c:v>Paphos</c:v>
                </c:pt>
                <c:pt idx="92">
                  <c:v>Athens</c:v>
                </c:pt>
                <c:pt idx="93">
                  <c:v>Alexandroupolis</c:v>
                </c:pt>
                <c:pt idx="94">
                  <c:v>Trondheim</c:v>
                </c:pt>
                <c:pt idx="95">
                  <c:v>Oslo</c:v>
                </c:pt>
                <c:pt idx="96">
                  <c:v>Lefkosia</c:v>
                </c:pt>
                <c:pt idx="97">
                  <c:v>Espoo</c:v>
                </c:pt>
                <c:pt idx="98">
                  <c:v>Helsinki</c:v>
                </c:pt>
                <c:pt idx="99">
                  <c:v>Vantaa</c:v>
                </c:pt>
                <c:pt idx="100">
                  <c:v>Reims</c:v>
                </c:pt>
                <c:pt idx="101">
                  <c:v>Minneapolis</c:v>
                </c:pt>
                <c:pt idx="102">
                  <c:v>Los Angeles</c:v>
                </c:pt>
                <c:pt idx="103">
                  <c:v>Genk</c:v>
                </c:pt>
                <c:pt idx="104">
                  <c:v>Lemesos</c:v>
                </c:pt>
                <c:pt idx="105">
                  <c:v>Antwerp</c:v>
                </c:pt>
                <c:pt idx="106">
                  <c:v>Rotterdam</c:v>
                </c:pt>
                <c:pt idx="107">
                  <c:v>Larnaca</c:v>
                </c:pt>
                <c:pt idx="108">
                  <c:v>Denver</c:v>
                </c:pt>
                <c:pt idx="109">
                  <c:v>Radom</c:v>
                </c:pt>
                <c:pt idx="110">
                  <c:v>Barcelona</c:v>
                </c:pt>
                <c:pt idx="111">
                  <c:v>Oulu</c:v>
                </c:pt>
                <c:pt idx="112">
                  <c:v>Saskatoon</c:v>
                </c:pt>
                <c:pt idx="113">
                  <c:v>Amsterdam</c:v>
                </c:pt>
                <c:pt idx="114">
                  <c:v>Strassbourg</c:v>
                </c:pt>
                <c:pt idx="115">
                  <c:v>Paris</c:v>
                </c:pt>
                <c:pt idx="116">
                  <c:v>Scotland: Band A</c:v>
                </c:pt>
                <c:pt idx="117">
                  <c:v>Lille</c:v>
                </c:pt>
                <c:pt idx="118">
                  <c:v>Sendai</c:v>
                </c:pt>
                <c:pt idx="119">
                  <c:v>Brest</c:v>
                </c:pt>
                <c:pt idx="120">
                  <c:v>Louvain</c:v>
                </c:pt>
                <c:pt idx="121">
                  <c:v>Winnipeg</c:v>
                </c:pt>
                <c:pt idx="122">
                  <c:v>Marseille</c:v>
                </c:pt>
                <c:pt idx="123">
                  <c:v>Den Haag</c:v>
                </c:pt>
                <c:pt idx="124">
                  <c:v>Tampere</c:v>
                </c:pt>
                <c:pt idx="125">
                  <c:v>Kortrijk</c:v>
                </c:pt>
                <c:pt idx="126">
                  <c:v>Durham</c:v>
                </c:pt>
                <c:pt idx="127">
                  <c:v>SEDIF</c:v>
                </c:pt>
                <c:pt idx="128">
                  <c:v>Antofagasta</c:v>
                </c:pt>
                <c:pt idx="129">
                  <c:v>Basel</c:v>
                </c:pt>
                <c:pt idx="130">
                  <c:v>London</c:v>
                </c:pt>
                <c:pt idx="131">
                  <c:v>Scotland: Band B</c:v>
                </c:pt>
                <c:pt idx="132">
                  <c:v>Bordeaux</c:v>
                </c:pt>
                <c:pt idx="133">
                  <c:v>Leeds</c:v>
                </c:pt>
                <c:pt idx="134">
                  <c:v>Malta Average</c:v>
                </c:pt>
                <c:pt idx="135">
                  <c:v>Zürich</c:v>
                </c:pt>
                <c:pt idx="136">
                  <c:v>Brussels</c:v>
                </c:pt>
                <c:pt idx="137">
                  <c:v>Washington D.C.</c:v>
                </c:pt>
                <c:pt idx="138">
                  <c:v>Lyon</c:v>
                </c:pt>
                <c:pt idx="139">
                  <c:v>Cardiff</c:v>
                </c:pt>
                <c:pt idx="140">
                  <c:v>Scotland: Band C</c:v>
                </c:pt>
                <c:pt idx="141">
                  <c:v>Le Havre</c:v>
                </c:pt>
                <c:pt idx="142">
                  <c:v>Turku</c:v>
                </c:pt>
                <c:pt idx="143">
                  <c:v>Nancy</c:v>
                </c:pt>
                <c:pt idx="144">
                  <c:v>Esbjerg</c:v>
                </c:pt>
                <c:pt idx="145">
                  <c:v>Birmingham</c:v>
                </c:pt>
                <c:pt idx="146">
                  <c:v>Calgary</c:v>
                </c:pt>
                <c:pt idx="147">
                  <c:v>Bern</c:v>
                </c:pt>
                <c:pt idx="148">
                  <c:v>Copenhagen</c:v>
                </c:pt>
                <c:pt idx="149">
                  <c:v>Scotland: Band D</c:v>
                </c:pt>
                <c:pt idx="150">
                  <c:v>Odense</c:v>
                </c:pt>
                <c:pt idx="151">
                  <c:v>Aalborg</c:v>
                </c:pt>
                <c:pt idx="152">
                  <c:v>Manchester</c:v>
                </c:pt>
                <c:pt idx="153">
                  <c:v>New York</c:v>
                </c:pt>
                <c:pt idx="154">
                  <c:v>Geneva</c:v>
                </c:pt>
                <c:pt idx="155">
                  <c:v>Lausanne</c:v>
                </c:pt>
                <c:pt idx="156">
                  <c:v>Aarhus</c:v>
                </c:pt>
                <c:pt idx="157">
                  <c:v>Scotland: Band E</c:v>
                </c:pt>
                <c:pt idx="158">
                  <c:v>Charleroi</c:v>
                </c:pt>
                <c:pt idx="159">
                  <c:v>Liège</c:v>
                </c:pt>
                <c:pt idx="160">
                  <c:v>Scotland: Band F</c:v>
                </c:pt>
                <c:pt idx="161">
                  <c:v>Vancouver</c:v>
                </c:pt>
                <c:pt idx="162">
                  <c:v>Scotland: Band G</c:v>
                </c:pt>
                <c:pt idx="163">
                  <c:v>Scotland: Band H</c:v>
                </c:pt>
              </c:strCache>
            </c:strRef>
          </c:cat>
          <c:val>
            <c:numRef>
              <c:f>'[1]DWcharges cities 100 m³ graph'!$D$266:$D$429</c:f>
              <c:numCache>
                <c:formatCode>General</c:formatCode>
                <c:ptCount val="164"/>
                <c:pt idx="0">
                  <c:v>0</c:v>
                </c:pt>
                <c:pt idx="1">
                  <c:v>0</c:v>
                </c:pt>
                <c:pt idx="2">
                  <c:v>0</c:v>
                </c:pt>
                <c:pt idx="3">
                  <c:v>0</c:v>
                </c:pt>
                <c:pt idx="4">
                  <c:v>0</c:v>
                </c:pt>
                <c:pt idx="5">
                  <c:v>0</c:v>
                </c:pt>
                <c:pt idx="6">
                  <c:v>0</c:v>
                </c:pt>
                <c:pt idx="8">
                  <c:v>0</c:v>
                </c:pt>
                <c:pt idx="9">
                  <c:v>0</c:v>
                </c:pt>
                <c:pt idx="10">
                  <c:v>0</c:v>
                </c:pt>
                <c:pt idx="11">
                  <c:v>0</c:v>
                </c:pt>
                <c:pt idx="12">
                  <c:v>0</c:v>
                </c:pt>
                <c:pt idx="13">
                  <c:v>0</c:v>
                </c:pt>
                <c:pt idx="14">
                  <c:v>0</c:v>
                </c:pt>
                <c:pt idx="15">
                  <c:v>1.0584685955391899</c:v>
                </c:pt>
                <c:pt idx="16">
                  <c:v>3.1097330259949025</c:v>
                </c:pt>
                <c:pt idx="17">
                  <c:v>0</c:v>
                </c:pt>
                <c:pt idx="18">
                  <c:v>0</c:v>
                </c:pt>
                <c:pt idx="19">
                  <c:v>0</c:v>
                </c:pt>
                <c:pt idx="20">
                  <c:v>0</c:v>
                </c:pt>
                <c:pt idx="21">
                  <c:v>0</c:v>
                </c:pt>
                <c:pt idx="22">
                  <c:v>0</c:v>
                </c:pt>
                <c:pt idx="23">
                  <c:v>0</c:v>
                </c:pt>
                <c:pt idx="24">
                  <c:v>24.10263731978673</c:v>
                </c:pt>
                <c:pt idx="25">
                  <c:v>0</c:v>
                </c:pt>
                <c:pt idx="26">
                  <c:v>0</c:v>
                </c:pt>
                <c:pt idx="27">
                  <c:v>0</c:v>
                </c:pt>
                <c:pt idx="28">
                  <c:v>0</c:v>
                </c:pt>
                <c:pt idx="29">
                  <c:v>21.339277627072327</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7.014187788936713</c:v>
                </c:pt>
                <c:pt idx="71">
                  <c:v>0</c:v>
                </c:pt>
                <c:pt idx="72">
                  <c:v>12.07461941060221</c:v>
                </c:pt>
                <c:pt idx="73">
                  <c:v>0</c:v>
                </c:pt>
                <c:pt idx="74">
                  <c:v>0</c:v>
                </c:pt>
                <c:pt idx="75">
                  <c:v>0</c:v>
                </c:pt>
                <c:pt idx="76">
                  <c:v>0</c:v>
                </c:pt>
                <c:pt idx="77">
                  <c:v>0</c:v>
                </c:pt>
                <c:pt idx="78">
                  <c:v>0</c:v>
                </c:pt>
                <c:pt idx="79">
                  <c:v>0</c:v>
                </c:pt>
                <c:pt idx="80">
                  <c:v>0</c:v>
                </c:pt>
                <c:pt idx="81">
                  <c:v>0</c:v>
                </c:pt>
                <c:pt idx="82">
                  <c:v>0</c:v>
                </c:pt>
                <c:pt idx="83">
                  <c:v>0</c:v>
                </c:pt>
                <c:pt idx="84">
                  <c:v>0</c:v>
                </c:pt>
                <c:pt idx="85">
                  <c:v>19.686407366386518</c:v>
                </c:pt>
                <c:pt idx="86">
                  <c:v>34.747106217560322</c:v>
                </c:pt>
                <c:pt idx="87">
                  <c:v>0</c:v>
                </c:pt>
                <c:pt idx="88">
                  <c:v>0</c:v>
                </c:pt>
                <c:pt idx="89">
                  <c:v>0</c:v>
                </c:pt>
                <c:pt idx="90">
                  <c:v>0</c:v>
                </c:pt>
                <c:pt idx="91">
                  <c:v>0</c:v>
                </c:pt>
                <c:pt idx="92">
                  <c:v>0</c:v>
                </c:pt>
                <c:pt idx="93">
                  <c:v>0</c:v>
                </c:pt>
                <c:pt idx="94">
                  <c:v>20.8345089895376</c:v>
                </c:pt>
                <c:pt idx="95">
                  <c:v>0</c:v>
                </c:pt>
                <c:pt idx="96">
                  <c:v>0</c:v>
                </c:pt>
                <c:pt idx="97">
                  <c:v>0</c:v>
                </c:pt>
                <c:pt idx="98">
                  <c:v>0</c:v>
                </c:pt>
                <c:pt idx="99">
                  <c:v>0</c:v>
                </c:pt>
                <c:pt idx="100">
                  <c:v>47.77727104914544</c:v>
                </c:pt>
                <c:pt idx="101">
                  <c:v>0</c:v>
                </c:pt>
                <c:pt idx="102">
                  <c:v>0</c:v>
                </c:pt>
                <c:pt idx="103">
                  <c:v>0</c:v>
                </c:pt>
                <c:pt idx="104">
                  <c:v>0</c:v>
                </c:pt>
                <c:pt idx="105">
                  <c:v>0</c:v>
                </c:pt>
                <c:pt idx="106">
                  <c:v>9.1754077355745203</c:v>
                </c:pt>
                <c:pt idx="107">
                  <c:v>0</c:v>
                </c:pt>
                <c:pt idx="108">
                  <c:v>0</c:v>
                </c:pt>
                <c:pt idx="109">
                  <c:v>0</c:v>
                </c:pt>
                <c:pt idx="110">
                  <c:v>0</c:v>
                </c:pt>
                <c:pt idx="111">
                  <c:v>0</c:v>
                </c:pt>
                <c:pt idx="112">
                  <c:v>0</c:v>
                </c:pt>
                <c:pt idx="113">
                  <c:v>0</c:v>
                </c:pt>
                <c:pt idx="114">
                  <c:v>43.433882771950401</c:v>
                </c:pt>
                <c:pt idx="115">
                  <c:v>53.206506395639238</c:v>
                </c:pt>
                <c:pt idx="116">
                  <c:v>186.83958440792867</c:v>
                </c:pt>
                <c:pt idx="117">
                  <c:v>48.863118118444199</c:v>
                </c:pt>
                <c:pt idx="118">
                  <c:v>0</c:v>
                </c:pt>
                <c:pt idx="119">
                  <c:v>41.262188633352878</c:v>
                </c:pt>
                <c:pt idx="120">
                  <c:v>0</c:v>
                </c:pt>
                <c:pt idx="121">
                  <c:v>0</c:v>
                </c:pt>
                <c:pt idx="122">
                  <c:v>36.918800356157838</c:v>
                </c:pt>
                <c:pt idx="123">
                  <c:v>20.30534019588681</c:v>
                </c:pt>
                <c:pt idx="124">
                  <c:v>0</c:v>
                </c:pt>
                <c:pt idx="125">
                  <c:v>0</c:v>
                </c:pt>
                <c:pt idx="126">
                  <c:v>0</c:v>
                </c:pt>
                <c:pt idx="127">
                  <c:v>52.12065932634048</c:v>
                </c:pt>
                <c:pt idx="128">
                  <c:v>0</c:v>
                </c:pt>
                <c:pt idx="129">
                  <c:v>0</c:v>
                </c:pt>
                <c:pt idx="130">
                  <c:v>0</c:v>
                </c:pt>
                <c:pt idx="131">
                  <c:v>217.97951514258344</c:v>
                </c:pt>
                <c:pt idx="132">
                  <c:v>43.433882771950401</c:v>
                </c:pt>
                <c:pt idx="133">
                  <c:v>0</c:v>
                </c:pt>
                <c:pt idx="134">
                  <c:v>0</c:v>
                </c:pt>
                <c:pt idx="135">
                  <c:v>0</c:v>
                </c:pt>
                <c:pt idx="136">
                  <c:v>0</c:v>
                </c:pt>
                <c:pt idx="137">
                  <c:v>75.599999999999994</c:v>
                </c:pt>
                <c:pt idx="138">
                  <c:v>38.004647425456596</c:v>
                </c:pt>
                <c:pt idx="139">
                  <c:v>0</c:v>
                </c:pt>
                <c:pt idx="140">
                  <c:v>249.11944587723823</c:v>
                </c:pt>
                <c:pt idx="141">
                  <c:v>56.464047603535519</c:v>
                </c:pt>
                <c:pt idx="142">
                  <c:v>0</c:v>
                </c:pt>
                <c:pt idx="143">
                  <c:v>49.948965187742957</c:v>
                </c:pt>
                <c:pt idx="144">
                  <c:v>95.012913317085591</c:v>
                </c:pt>
                <c:pt idx="145">
                  <c:v>0</c:v>
                </c:pt>
                <c:pt idx="146">
                  <c:v>0</c:v>
                </c:pt>
                <c:pt idx="147">
                  <c:v>0</c:v>
                </c:pt>
                <c:pt idx="148">
                  <c:v>95.012913317085591</c:v>
                </c:pt>
                <c:pt idx="149">
                  <c:v>280.259376611893</c:v>
                </c:pt>
                <c:pt idx="150">
                  <c:v>95.012913317085591</c:v>
                </c:pt>
                <c:pt idx="151">
                  <c:v>95.012913317085591</c:v>
                </c:pt>
                <c:pt idx="152">
                  <c:v>0</c:v>
                </c:pt>
                <c:pt idx="153">
                  <c:v>0</c:v>
                </c:pt>
                <c:pt idx="154">
                  <c:v>0</c:v>
                </c:pt>
                <c:pt idx="155">
                  <c:v>0</c:v>
                </c:pt>
                <c:pt idx="156">
                  <c:v>95.012913317085591</c:v>
                </c:pt>
                <c:pt idx="157">
                  <c:v>342.5392380812026</c:v>
                </c:pt>
                <c:pt idx="158">
                  <c:v>0</c:v>
                </c:pt>
                <c:pt idx="159">
                  <c:v>0</c:v>
                </c:pt>
                <c:pt idx="160">
                  <c:v>404.81909955051214</c:v>
                </c:pt>
                <c:pt idx="161">
                  <c:v>0</c:v>
                </c:pt>
                <c:pt idx="162">
                  <c:v>467.09896101982167</c:v>
                </c:pt>
                <c:pt idx="163">
                  <c:v>560.51875322378601</c:v>
                </c:pt>
              </c:numCache>
            </c:numRef>
          </c:val>
          <c:extLst>
            <c:ext xmlns:c16="http://schemas.microsoft.com/office/drawing/2014/chart" uri="{C3380CC4-5D6E-409C-BE32-E72D297353CC}">
              <c16:uniqueId val="{00000002-A0B3-4094-8BA8-F3B853624BD4}"/>
            </c:ext>
          </c:extLst>
        </c:ser>
        <c:ser>
          <c:idx val="3"/>
          <c:order val="3"/>
          <c:tx>
            <c:strRef>
              <c:f>'[1]DWcharges cities 100 m³ graph'!$E$265</c:f>
              <c:strCache>
                <c:ptCount val="1"/>
                <c:pt idx="0">
                  <c:v>TOTAL CHARGE DRINKING WATER</c:v>
                </c:pt>
              </c:strCache>
            </c:strRef>
          </c:tx>
          <c:invertIfNegative val="0"/>
          <c:cat>
            <c:strRef>
              <c:f>'[1]DWcharges cities 100 m³ graph'!$A$266:$A$429</c:f>
              <c:strCache>
                <c:ptCount val="164"/>
                <c:pt idx="0">
                  <c:v>Guadalajara</c:v>
                </c:pt>
                <c:pt idx="1">
                  <c:v>San Luis Potosi</c:v>
                </c:pt>
                <c:pt idx="2">
                  <c:v>Monterrey</c:v>
                </c:pt>
                <c:pt idx="3">
                  <c:v>Puebla</c:v>
                </c:pt>
                <c:pt idx="4">
                  <c:v>León, Guanajuato</c:v>
                </c:pt>
                <c:pt idx="5">
                  <c:v>Mauritius</c:v>
                </c:pt>
                <c:pt idx="6">
                  <c:v>Kenya Average</c:v>
                </c:pt>
                <c:pt idx="7">
                  <c:v>Thailand Average</c:v>
                </c:pt>
                <c:pt idx="8">
                  <c:v>Shanghai</c:v>
                </c:pt>
                <c:pt idx="9">
                  <c:v>Kafubu</c:v>
                </c:pt>
                <c:pt idx="10">
                  <c:v>Guangzhou</c:v>
                </c:pt>
                <c:pt idx="11">
                  <c:v>Mulonga</c:v>
                </c:pt>
                <c:pt idx="12">
                  <c:v>Hong Kong</c:v>
                </c:pt>
                <c:pt idx="13">
                  <c:v>Shenzhen</c:v>
                </c:pt>
                <c:pt idx="14">
                  <c:v>Lusaka</c:v>
                </c:pt>
                <c:pt idx="15">
                  <c:v>Kaohsiung</c:v>
                </c:pt>
                <c:pt idx="16">
                  <c:v>Russia Average</c:v>
                </c:pt>
                <c:pt idx="17">
                  <c:v>Taipei</c:v>
                </c:pt>
                <c:pt idx="18">
                  <c:v>Daejeon</c:v>
                </c:pt>
                <c:pt idx="19">
                  <c:v>Gwangju</c:v>
                </c:pt>
                <c:pt idx="20">
                  <c:v>Seoul</c:v>
                </c:pt>
                <c:pt idx="21">
                  <c:v>Daegu</c:v>
                </c:pt>
                <c:pt idx="22">
                  <c:v>Miami</c:v>
                </c:pt>
                <c:pt idx="23">
                  <c:v>Gyeounggi</c:v>
                </c:pt>
                <c:pt idx="24">
                  <c:v>Beijing</c:v>
                </c:pt>
                <c:pt idx="25">
                  <c:v>Incheon</c:v>
                </c:pt>
                <c:pt idx="26">
                  <c:v>NWWSC of Zambia</c:v>
                </c:pt>
                <c:pt idx="27">
                  <c:v>Gran Santiago</c:v>
                </c:pt>
                <c:pt idx="28">
                  <c:v>Busan</c:v>
                </c:pt>
                <c:pt idx="29">
                  <c:v>Tianjin</c:v>
                </c:pt>
                <c:pt idx="30">
                  <c:v>Nagoya</c:v>
                </c:pt>
                <c:pt idx="31">
                  <c:v>Giurgiu</c:v>
                </c:pt>
                <c:pt idx="32">
                  <c:v>Budapest</c:v>
                </c:pt>
                <c:pt idx="33">
                  <c:v>Sibiu</c:v>
                </c:pt>
                <c:pt idx="34">
                  <c:v>Concepcion</c:v>
                </c:pt>
                <c:pt idx="35">
                  <c:v>Kampala</c:v>
                </c:pt>
                <c:pt idx="36">
                  <c:v>Apaserv SA Valea Jiului</c:v>
                </c:pt>
                <c:pt idx="37">
                  <c:v>Entebbe</c:v>
                </c:pt>
                <c:pt idx="38">
                  <c:v>Jinja</c:v>
                </c:pt>
                <c:pt idx="39">
                  <c:v>Calarasi</c:v>
                </c:pt>
                <c:pt idx="40">
                  <c:v>Baia Mare</c:v>
                </c:pt>
                <c:pt idx="41">
                  <c:v>Deva</c:v>
                </c:pt>
                <c:pt idx="42">
                  <c:v>Craiova</c:v>
                </c:pt>
                <c:pt idx="43">
                  <c:v>Mbarara</c:v>
                </c:pt>
                <c:pt idx="44">
                  <c:v>Ulsan</c:v>
                </c:pt>
                <c:pt idx="45">
                  <c:v>Miercurea Ciuc</c:v>
                </c:pt>
                <c:pt idx="46">
                  <c:v>Severin</c:v>
                </c:pt>
                <c:pt idx="47">
                  <c:v>Kaposvár</c:v>
                </c:pt>
                <c:pt idx="48">
                  <c:v>Medias</c:v>
                </c:pt>
                <c:pt idx="49">
                  <c:v>Iasi</c:v>
                </c:pt>
                <c:pt idx="50">
                  <c:v>Temuco</c:v>
                </c:pt>
                <c:pt idx="51">
                  <c:v>Yokohama</c:v>
                </c:pt>
                <c:pt idx="52">
                  <c:v>Macao, China Average</c:v>
                </c:pt>
                <c:pt idx="53">
                  <c:v>Suceava</c:v>
                </c:pt>
                <c:pt idx="54">
                  <c:v>Brasov</c:v>
                </c:pt>
                <c:pt idx="55">
                  <c:v>Hiroshima</c:v>
                </c:pt>
                <c:pt idx="56">
                  <c:v>Miskolc</c:v>
                </c:pt>
                <c:pt idx="57">
                  <c:v>Bialystok</c:v>
                </c:pt>
                <c:pt idx="58">
                  <c:v>Thessaloniki</c:v>
                </c:pt>
                <c:pt idx="59">
                  <c:v>Constanta</c:v>
                </c:pt>
                <c:pt idx="60">
                  <c:v>Debrecen</c:v>
                </c:pt>
                <c:pt idx="61">
                  <c:v>Bilbao</c:v>
                </c:pt>
                <c:pt idx="62">
                  <c:v>Resita</c:v>
                </c:pt>
                <c:pt idx="63">
                  <c:v>Faro</c:v>
                </c:pt>
                <c:pt idx="64">
                  <c:v>Osaka</c:v>
                </c:pt>
                <c:pt idx="65">
                  <c:v>Sevilla</c:v>
                </c:pt>
                <c:pt idx="66">
                  <c:v>Fukuoka</c:v>
                </c:pt>
                <c:pt idx="67">
                  <c:v>Chicago</c:v>
                </c:pt>
                <c:pt idx="68">
                  <c:v>Buzau</c:v>
                </c:pt>
                <c:pt idx="69">
                  <c:v>Wroclaw</c:v>
                </c:pt>
                <c:pt idx="70">
                  <c:v>Tarnow</c:v>
                </c:pt>
                <c:pt idx="71">
                  <c:v>Bucharest</c:v>
                </c:pt>
                <c:pt idx="72">
                  <c:v>Lisbon</c:v>
                </c:pt>
                <c:pt idx="73">
                  <c:v>Valparaiso</c:v>
                </c:pt>
                <c:pt idx="74">
                  <c:v>Vina del Mar</c:v>
                </c:pt>
                <c:pt idx="75">
                  <c:v>Madrid</c:v>
                </c:pt>
                <c:pt idx="76">
                  <c:v>Pécs</c:v>
                </c:pt>
                <c:pt idx="77">
                  <c:v>Braga</c:v>
                </c:pt>
                <c:pt idx="78">
                  <c:v>Coimbra</c:v>
                </c:pt>
                <c:pt idx="79">
                  <c:v>Utrecht</c:v>
                </c:pt>
                <c:pt idx="80">
                  <c:v>Tokyo</c:v>
                </c:pt>
                <c:pt idx="81">
                  <c:v>Porto</c:v>
                </c:pt>
                <c:pt idx="82">
                  <c:v>Loures</c:v>
                </c:pt>
                <c:pt idx="83">
                  <c:v>Eindhoven</c:v>
                </c:pt>
                <c:pt idx="84">
                  <c:v>Sintra</c:v>
                </c:pt>
                <c:pt idx="85">
                  <c:v>Serres</c:v>
                </c:pt>
                <c:pt idx="86">
                  <c:v>Igoumenitsa</c:v>
                </c:pt>
                <c:pt idx="87">
                  <c:v>Sapporo</c:v>
                </c:pt>
                <c:pt idx="88">
                  <c:v>Valencia</c:v>
                </c:pt>
                <c:pt idx="89">
                  <c:v>Bergen</c:v>
                </c:pt>
                <c:pt idx="90">
                  <c:v>Bydgoszcz</c:v>
                </c:pt>
                <c:pt idx="91">
                  <c:v>Paphos</c:v>
                </c:pt>
                <c:pt idx="92">
                  <c:v>Athens</c:v>
                </c:pt>
                <c:pt idx="93">
                  <c:v>Alexandroupolis</c:v>
                </c:pt>
                <c:pt idx="94">
                  <c:v>Trondheim</c:v>
                </c:pt>
                <c:pt idx="95">
                  <c:v>Oslo</c:v>
                </c:pt>
                <c:pt idx="96">
                  <c:v>Lefkosia</c:v>
                </c:pt>
                <c:pt idx="97">
                  <c:v>Espoo</c:v>
                </c:pt>
                <c:pt idx="98">
                  <c:v>Helsinki</c:v>
                </c:pt>
                <c:pt idx="99">
                  <c:v>Vantaa</c:v>
                </c:pt>
                <c:pt idx="100">
                  <c:v>Reims</c:v>
                </c:pt>
                <c:pt idx="101">
                  <c:v>Minneapolis</c:v>
                </c:pt>
                <c:pt idx="102">
                  <c:v>Los Angeles</c:v>
                </c:pt>
                <c:pt idx="103">
                  <c:v>Genk</c:v>
                </c:pt>
                <c:pt idx="104">
                  <c:v>Lemesos</c:v>
                </c:pt>
                <c:pt idx="105">
                  <c:v>Antwerp</c:v>
                </c:pt>
                <c:pt idx="106">
                  <c:v>Rotterdam</c:v>
                </c:pt>
                <c:pt idx="107">
                  <c:v>Larnaca</c:v>
                </c:pt>
                <c:pt idx="108">
                  <c:v>Denver</c:v>
                </c:pt>
                <c:pt idx="109">
                  <c:v>Radom</c:v>
                </c:pt>
                <c:pt idx="110">
                  <c:v>Barcelona</c:v>
                </c:pt>
                <c:pt idx="111">
                  <c:v>Oulu</c:v>
                </c:pt>
                <c:pt idx="112">
                  <c:v>Saskatoon</c:v>
                </c:pt>
                <c:pt idx="113">
                  <c:v>Amsterdam</c:v>
                </c:pt>
                <c:pt idx="114">
                  <c:v>Strassbourg</c:v>
                </c:pt>
                <c:pt idx="115">
                  <c:v>Paris</c:v>
                </c:pt>
                <c:pt idx="116">
                  <c:v>Scotland: Band A</c:v>
                </c:pt>
                <c:pt idx="117">
                  <c:v>Lille</c:v>
                </c:pt>
                <c:pt idx="118">
                  <c:v>Sendai</c:v>
                </c:pt>
                <c:pt idx="119">
                  <c:v>Brest</c:v>
                </c:pt>
                <c:pt idx="120">
                  <c:v>Louvain</c:v>
                </c:pt>
                <c:pt idx="121">
                  <c:v>Winnipeg</c:v>
                </c:pt>
                <c:pt idx="122">
                  <c:v>Marseille</c:v>
                </c:pt>
                <c:pt idx="123">
                  <c:v>Den Haag</c:v>
                </c:pt>
                <c:pt idx="124">
                  <c:v>Tampere</c:v>
                </c:pt>
                <c:pt idx="125">
                  <c:v>Kortrijk</c:v>
                </c:pt>
                <c:pt idx="126">
                  <c:v>Durham</c:v>
                </c:pt>
                <c:pt idx="127">
                  <c:v>SEDIF</c:v>
                </c:pt>
                <c:pt idx="128">
                  <c:v>Antofagasta</c:v>
                </c:pt>
                <c:pt idx="129">
                  <c:v>Basel</c:v>
                </c:pt>
                <c:pt idx="130">
                  <c:v>London</c:v>
                </c:pt>
                <c:pt idx="131">
                  <c:v>Scotland: Band B</c:v>
                </c:pt>
                <c:pt idx="132">
                  <c:v>Bordeaux</c:v>
                </c:pt>
                <c:pt idx="133">
                  <c:v>Leeds</c:v>
                </c:pt>
                <c:pt idx="134">
                  <c:v>Malta Average</c:v>
                </c:pt>
                <c:pt idx="135">
                  <c:v>Zürich</c:v>
                </c:pt>
                <c:pt idx="136">
                  <c:v>Brussels</c:v>
                </c:pt>
                <c:pt idx="137">
                  <c:v>Washington D.C.</c:v>
                </c:pt>
                <c:pt idx="138">
                  <c:v>Lyon</c:v>
                </c:pt>
                <c:pt idx="139">
                  <c:v>Cardiff</c:v>
                </c:pt>
                <c:pt idx="140">
                  <c:v>Scotland: Band C</c:v>
                </c:pt>
                <c:pt idx="141">
                  <c:v>Le Havre</c:v>
                </c:pt>
                <c:pt idx="142">
                  <c:v>Turku</c:v>
                </c:pt>
                <c:pt idx="143">
                  <c:v>Nancy</c:v>
                </c:pt>
                <c:pt idx="144">
                  <c:v>Esbjerg</c:v>
                </c:pt>
                <c:pt idx="145">
                  <c:v>Birmingham</c:v>
                </c:pt>
                <c:pt idx="146">
                  <c:v>Calgary</c:v>
                </c:pt>
                <c:pt idx="147">
                  <c:v>Bern</c:v>
                </c:pt>
                <c:pt idx="148">
                  <c:v>Copenhagen</c:v>
                </c:pt>
                <c:pt idx="149">
                  <c:v>Scotland: Band D</c:v>
                </c:pt>
                <c:pt idx="150">
                  <c:v>Odense</c:v>
                </c:pt>
                <c:pt idx="151">
                  <c:v>Aalborg</c:v>
                </c:pt>
                <c:pt idx="152">
                  <c:v>Manchester</c:v>
                </c:pt>
                <c:pt idx="153">
                  <c:v>New York</c:v>
                </c:pt>
                <c:pt idx="154">
                  <c:v>Geneva</c:v>
                </c:pt>
                <c:pt idx="155">
                  <c:v>Lausanne</c:v>
                </c:pt>
                <c:pt idx="156">
                  <c:v>Aarhus</c:v>
                </c:pt>
                <c:pt idx="157">
                  <c:v>Scotland: Band E</c:v>
                </c:pt>
                <c:pt idx="158">
                  <c:v>Charleroi</c:v>
                </c:pt>
                <c:pt idx="159">
                  <c:v>Liège</c:v>
                </c:pt>
                <c:pt idx="160">
                  <c:v>Scotland: Band F</c:v>
                </c:pt>
                <c:pt idx="161">
                  <c:v>Vancouver</c:v>
                </c:pt>
                <c:pt idx="162">
                  <c:v>Scotland: Band G</c:v>
                </c:pt>
                <c:pt idx="163">
                  <c:v>Scotland: Band H</c:v>
                </c:pt>
              </c:strCache>
            </c:strRef>
          </c:cat>
          <c:val>
            <c:numRef>
              <c:f>'[1]DWcharges cities 100 m³ graph'!$E$266:$E$429</c:f>
              <c:numCache>
                <c:formatCode>General</c:formatCode>
                <c:ptCount val="164"/>
                <c:pt idx="7">
                  <c:v>28.826008854986998</c:v>
                </c:pt>
              </c:numCache>
            </c:numRef>
          </c:val>
          <c:extLst>
            <c:ext xmlns:c16="http://schemas.microsoft.com/office/drawing/2014/chart" uri="{C3380CC4-5D6E-409C-BE32-E72D297353CC}">
              <c16:uniqueId val="{00000003-A0B3-4094-8BA8-F3B853624BD4}"/>
            </c:ext>
          </c:extLst>
        </c:ser>
        <c:dLbls>
          <c:showLegendKey val="0"/>
          <c:showVal val="0"/>
          <c:showCatName val="0"/>
          <c:showSerName val="0"/>
          <c:showPercent val="0"/>
          <c:showBubbleSize val="0"/>
        </c:dLbls>
        <c:gapWidth val="55"/>
        <c:overlap val="100"/>
        <c:axId val="401234648"/>
        <c:axId val="401235040"/>
      </c:barChart>
      <c:catAx>
        <c:axId val="401234648"/>
        <c:scaling>
          <c:orientation val="minMax"/>
        </c:scaling>
        <c:delete val="0"/>
        <c:axPos val="b"/>
        <c:numFmt formatCode="General" sourceLinked="0"/>
        <c:majorTickMark val="none"/>
        <c:minorTickMark val="none"/>
        <c:tickLblPos val="nextTo"/>
        <c:txPr>
          <a:bodyPr/>
          <a:lstStyle/>
          <a:p>
            <a:pPr>
              <a:defRPr sz="1000"/>
            </a:pPr>
            <a:endParaRPr lang="en-US"/>
          </a:p>
        </c:txPr>
        <c:crossAx val="401235040"/>
        <c:crosses val="autoZero"/>
        <c:auto val="1"/>
        <c:lblAlgn val="ctr"/>
        <c:lblOffset val="100"/>
        <c:noMultiLvlLbl val="0"/>
      </c:catAx>
      <c:valAx>
        <c:axId val="401235040"/>
        <c:scaling>
          <c:orientation val="minMax"/>
        </c:scaling>
        <c:delete val="0"/>
        <c:axPos val="l"/>
        <c:majorGridlines/>
        <c:numFmt formatCode="General" sourceLinked="1"/>
        <c:majorTickMark val="none"/>
        <c:minorTickMark val="none"/>
        <c:tickLblPos val="nextTo"/>
        <c:crossAx val="401234648"/>
        <c:crosses val="autoZero"/>
        <c:crossBetween val="between"/>
      </c:valAx>
    </c:plotArea>
    <c:legend>
      <c:legendPos val="b"/>
      <c:layout/>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charges for the capitals in 2017</a:t>
            </a:r>
          </a:p>
          <a:p>
            <a:pPr>
              <a:defRPr/>
            </a:pPr>
            <a:r>
              <a:rPr lang="en-US" sz="1100"/>
              <a:t>for a consumption of 100 m³ in 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'2017Total ch capitals 100 m³'!$D$498</c:f>
              <c:strCache>
                <c:ptCount val="1"/>
                <c:pt idx="0">
                  <c:v>fixed charge drinking water</c:v>
                </c:pt>
              </c:strCache>
            </c:strRef>
          </c:tx>
          <c:spPr>
            <a:solidFill>
              <a:schemeClr val="accent1"/>
            </a:solidFill>
            <a:ln>
              <a:noFill/>
            </a:ln>
            <a:effectLst/>
          </c:spPr>
          <c:invertIfNegative val="0"/>
          <c:cat>
            <c:strRef>
              <c:f>'2017Total ch capitals 100 m³'!$A$499:$A$533</c:f>
              <c:strCache>
                <c:ptCount val="35"/>
                <c:pt idx="0">
                  <c:v>Yerevan</c:v>
                </c:pt>
                <c:pt idx="1">
                  <c:v>Buenos Aires</c:v>
                </c:pt>
                <c:pt idx="2">
                  <c:v>Seoul</c:v>
                </c:pt>
                <c:pt idx="3">
                  <c:v>Hong Kong</c:v>
                </c:pt>
                <c:pt idx="4">
                  <c:v>Taipei</c:v>
                </c:pt>
                <c:pt idx="5">
                  <c:v>Beijing</c:v>
                </c:pt>
                <c:pt idx="6">
                  <c:v>Moscow</c:v>
                </c:pt>
                <c:pt idx="7">
                  <c:v>Mexico City</c:v>
                </c:pt>
                <c:pt idx="8">
                  <c:v>Brasilia</c:v>
                </c:pt>
                <c:pt idx="9">
                  <c:v>Sofia</c:v>
                </c:pt>
                <c:pt idx="10">
                  <c:v>Bucharest</c:v>
                </c:pt>
                <c:pt idx="11">
                  <c:v>Kampala</c:v>
                </c:pt>
                <c:pt idx="12">
                  <c:v>Rome</c:v>
                </c:pt>
                <c:pt idx="13">
                  <c:v>Ankara</c:v>
                </c:pt>
                <c:pt idx="14">
                  <c:v>Tokyo</c:v>
                </c:pt>
                <c:pt idx="15">
                  <c:v>Madrid</c:v>
                </c:pt>
                <c:pt idx="16">
                  <c:v>Budapest</c:v>
                </c:pt>
                <c:pt idx="17">
                  <c:v>Lisbon</c:v>
                </c:pt>
                <c:pt idx="18">
                  <c:v>Warsaw</c:v>
                </c:pt>
                <c:pt idx="19">
                  <c:v>Stockholm</c:v>
                </c:pt>
                <c:pt idx="20">
                  <c:v>Nicosia</c:v>
                </c:pt>
                <c:pt idx="21">
                  <c:v>London</c:v>
                </c:pt>
                <c:pt idx="22">
                  <c:v>Prague</c:v>
                </c:pt>
                <c:pt idx="23">
                  <c:v>Oslo</c:v>
                </c:pt>
                <c:pt idx="24">
                  <c:v>Paris</c:v>
                </c:pt>
                <c:pt idx="25">
                  <c:v>Brussels</c:v>
                </c:pt>
                <c:pt idx="26">
                  <c:v>Ottawa</c:v>
                </c:pt>
                <c:pt idx="27">
                  <c:v>Helsinki</c:v>
                </c:pt>
                <c:pt idx="28">
                  <c:v>Berlin</c:v>
                </c:pt>
                <c:pt idx="29">
                  <c:v>Cardiff</c:v>
                </c:pt>
                <c:pt idx="30">
                  <c:v>Bern</c:v>
                </c:pt>
                <c:pt idx="31">
                  <c:v>Amsterdam</c:v>
                </c:pt>
                <c:pt idx="32">
                  <c:v>Canberra</c:v>
                </c:pt>
                <c:pt idx="33">
                  <c:v>Copenhagen</c:v>
                </c:pt>
                <c:pt idx="34">
                  <c:v>Washington D.C.</c:v>
                </c:pt>
              </c:strCache>
            </c:strRef>
          </c:cat>
          <c:val>
            <c:numRef>
              <c:f>'2017Total ch capitals 100 m³'!$D$499:$D$533</c:f>
              <c:numCache>
                <c:formatCode>0.00</c:formatCode>
                <c:ptCount val="35"/>
                <c:pt idx="0">
                  <c:v>26.392844595536175</c:v>
                </c:pt>
                <c:pt idx="1">
                  <c:v>0</c:v>
                </c:pt>
                <c:pt idx="2">
                  <c:v>0</c:v>
                </c:pt>
                <c:pt idx="3">
                  <c:v>0</c:v>
                </c:pt>
                <c:pt idx="4">
                  <c:v>27.510121600805885</c:v>
                </c:pt>
                <c:pt idx="5">
                  <c:v>31.837533221773793</c:v>
                </c:pt>
                <c:pt idx="6">
                  <c:v>0</c:v>
                </c:pt>
                <c:pt idx="7">
                  <c:v>105.74263868553766</c:v>
                </c:pt>
                <c:pt idx="8">
                  <c:v>0</c:v>
                </c:pt>
                <c:pt idx="9">
                  <c:v>71.806453988633706</c:v>
                </c:pt>
                <c:pt idx="10">
                  <c:v>0</c:v>
                </c:pt>
                <c:pt idx="11">
                  <c:v>4.9608404483911857</c:v>
                </c:pt>
                <c:pt idx="12">
                  <c:v>22.028547076265593</c:v>
                </c:pt>
                <c:pt idx="13">
                  <c:v>116.47824597464884</c:v>
                </c:pt>
                <c:pt idx="14">
                  <c:v>124.62167469162793</c:v>
                </c:pt>
                <c:pt idx="15">
                  <c:v>0</c:v>
                </c:pt>
                <c:pt idx="16">
                  <c:v>6.5670679389832856</c:v>
                </c:pt>
                <c:pt idx="17">
                  <c:v>68.426549501206466</c:v>
                </c:pt>
                <c:pt idx="18">
                  <c:v>0</c:v>
                </c:pt>
                <c:pt idx="19">
                  <c:v>206.24267029725661</c:v>
                </c:pt>
                <c:pt idx="20">
                  <c:v>50.419562790362662</c:v>
                </c:pt>
                <c:pt idx="21">
                  <c:v>42.301870472483515</c:v>
                </c:pt>
                <c:pt idx="22">
                  <c:v>0</c:v>
                </c:pt>
                <c:pt idx="23">
                  <c:v>37.536576834813467</c:v>
                </c:pt>
                <c:pt idx="24">
                  <c:v>24.741599740699389</c:v>
                </c:pt>
                <c:pt idx="25">
                  <c:v>28.81117873735009</c:v>
                </c:pt>
                <c:pt idx="26">
                  <c:v>87.214433957013028</c:v>
                </c:pt>
                <c:pt idx="27">
                  <c:v>47.44240765416982</c:v>
                </c:pt>
                <c:pt idx="28">
                  <c:v>19.723652777277582</c:v>
                </c:pt>
                <c:pt idx="29">
                  <c:v>46.559087468915564</c:v>
                </c:pt>
                <c:pt idx="30">
                  <c:v>55.417581740933073</c:v>
                </c:pt>
                <c:pt idx="31">
                  <c:v>50.599632657471098</c:v>
                </c:pt>
                <c:pt idx="32">
                  <c:v>79.154479154479162</c:v>
                </c:pt>
                <c:pt idx="33">
                  <c:v>61.898145312343843</c:v>
                </c:pt>
                <c:pt idx="34">
                  <c:v>121.92</c:v>
                </c:pt>
              </c:numCache>
            </c:numRef>
          </c:val>
          <c:extLst>
            <c:ext xmlns:c16="http://schemas.microsoft.com/office/drawing/2014/chart" uri="{C3380CC4-5D6E-409C-BE32-E72D297353CC}">
              <c16:uniqueId val="{00000000-AEB2-4848-84C2-C931B1D6B61E}"/>
            </c:ext>
          </c:extLst>
        </c:ser>
        <c:ser>
          <c:idx val="1"/>
          <c:order val="1"/>
          <c:tx>
            <c:strRef>
              <c:f>'2017Total ch capitals 100 m³'!$E$498</c:f>
              <c:strCache>
                <c:ptCount val="1"/>
                <c:pt idx="0">
                  <c:v>variable charge drinking water</c:v>
                </c:pt>
              </c:strCache>
            </c:strRef>
          </c:tx>
          <c:spPr>
            <a:solidFill>
              <a:schemeClr val="accent2"/>
            </a:solidFill>
            <a:ln>
              <a:noFill/>
            </a:ln>
            <a:effectLst/>
          </c:spPr>
          <c:invertIfNegative val="0"/>
          <c:cat>
            <c:strRef>
              <c:f>'2017Total ch capitals 100 m³'!$A$499:$A$533</c:f>
              <c:strCache>
                <c:ptCount val="35"/>
                <c:pt idx="0">
                  <c:v>Yerevan</c:v>
                </c:pt>
                <c:pt idx="1">
                  <c:v>Buenos Aires</c:v>
                </c:pt>
                <c:pt idx="2">
                  <c:v>Seoul</c:v>
                </c:pt>
                <c:pt idx="3">
                  <c:v>Hong Kong</c:v>
                </c:pt>
                <c:pt idx="4">
                  <c:v>Taipei</c:v>
                </c:pt>
                <c:pt idx="5">
                  <c:v>Beijing</c:v>
                </c:pt>
                <c:pt idx="6">
                  <c:v>Moscow</c:v>
                </c:pt>
                <c:pt idx="7">
                  <c:v>Mexico City</c:v>
                </c:pt>
                <c:pt idx="8">
                  <c:v>Brasilia</c:v>
                </c:pt>
                <c:pt idx="9">
                  <c:v>Sofia</c:v>
                </c:pt>
                <c:pt idx="10">
                  <c:v>Bucharest</c:v>
                </c:pt>
                <c:pt idx="11">
                  <c:v>Kampala</c:v>
                </c:pt>
                <c:pt idx="12">
                  <c:v>Rome</c:v>
                </c:pt>
                <c:pt idx="13">
                  <c:v>Ankara</c:v>
                </c:pt>
                <c:pt idx="14">
                  <c:v>Tokyo</c:v>
                </c:pt>
                <c:pt idx="15">
                  <c:v>Madrid</c:v>
                </c:pt>
                <c:pt idx="16">
                  <c:v>Budapest</c:v>
                </c:pt>
                <c:pt idx="17">
                  <c:v>Lisbon</c:v>
                </c:pt>
                <c:pt idx="18">
                  <c:v>Warsaw</c:v>
                </c:pt>
                <c:pt idx="19">
                  <c:v>Stockholm</c:v>
                </c:pt>
                <c:pt idx="20">
                  <c:v>Nicosia</c:v>
                </c:pt>
                <c:pt idx="21">
                  <c:v>London</c:v>
                </c:pt>
                <c:pt idx="22">
                  <c:v>Prague</c:v>
                </c:pt>
                <c:pt idx="23">
                  <c:v>Oslo</c:v>
                </c:pt>
                <c:pt idx="24">
                  <c:v>Paris</c:v>
                </c:pt>
                <c:pt idx="25">
                  <c:v>Brussels</c:v>
                </c:pt>
                <c:pt idx="26">
                  <c:v>Ottawa</c:v>
                </c:pt>
                <c:pt idx="27">
                  <c:v>Helsinki</c:v>
                </c:pt>
                <c:pt idx="28">
                  <c:v>Berlin</c:v>
                </c:pt>
                <c:pt idx="29">
                  <c:v>Cardiff</c:v>
                </c:pt>
                <c:pt idx="30">
                  <c:v>Bern</c:v>
                </c:pt>
                <c:pt idx="31">
                  <c:v>Amsterdam</c:v>
                </c:pt>
                <c:pt idx="32">
                  <c:v>Canberra</c:v>
                </c:pt>
                <c:pt idx="33">
                  <c:v>Copenhagen</c:v>
                </c:pt>
                <c:pt idx="34">
                  <c:v>Washington D.C.</c:v>
                </c:pt>
              </c:strCache>
            </c:strRef>
          </c:cat>
          <c:val>
            <c:numRef>
              <c:f>'2017Total ch capitals 100 m³'!$E$499:$E$533</c:f>
              <c:numCache>
                <c:formatCode>0.00</c:formatCode>
                <c:ptCount val="35"/>
                <c:pt idx="0">
                  <c:v>0</c:v>
                </c:pt>
                <c:pt idx="1">
                  <c:v>0</c:v>
                </c:pt>
                <c:pt idx="2">
                  <c:v>53.618909463360751</c:v>
                </c:pt>
                <c:pt idx="3">
                  <c:v>33.546712337709714</c:v>
                </c:pt>
                <c:pt idx="4">
                  <c:v>23.869076094816872</c:v>
                </c:pt>
                <c:pt idx="5">
                  <c:v>0</c:v>
                </c:pt>
                <c:pt idx="6">
                  <c:v>53.357096971229694</c:v>
                </c:pt>
                <c:pt idx="7">
                  <c:v>0</c:v>
                </c:pt>
                <c:pt idx="8">
                  <c:v>0</c:v>
                </c:pt>
                <c:pt idx="9">
                  <c:v>0</c:v>
                </c:pt>
                <c:pt idx="10">
                  <c:v>85.15915242201892</c:v>
                </c:pt>
                <c:pt idx="11">
                  <c:v>88.165158857796683</c:v>
                </c:pt>
                <c:pt idx="12">
                  <c:v>30.97201714265135</c:v>
                </c:pt>
                <c:pt idx="13">
                  <c:v>0</c:v>
                </c:pt>
                <c:pt idx="14">
                  <c:v>7.8110451373669925</c:v>
                </c:pt>
                <c:pt idx="15">
                  <c:v>125.11254366694277</c:v>
                </c:pt>
                <c:pt idx="16">
                  <c:v>66.597794863571664</c:v>
                </c:pt>
                <c:pt idx="17">
                  <c:v>62.244150730483426</c:v>
                </c:pt>
                <c:pt idx="18">
                  <c:v>120.74169900819319</c:v>
                </c:pt>
                <c:pt idx="19">
                  <c:v>44.728802530302232</c:v>
                </c:pt>
                <c:pt idx="20">
                  <c:v>115.24471494940036</c:v>
                </c:pt>
                <c:pt idx="21">
                  <c:v>173.49172883554979</c:v>
                </c:pt>
                <c:pt idx="22">
                  <c:v>189.74895043496079</c:v>
                </c:pt>
                <c:pt idx="23">
                  <c:v>119.06894664809337</c:v>
                </c:pt>
                <c:pt idx="24">
                  <c:v>122.44750963373788</c:v>
                </c:pt>
                <c:pt idx="25">
                  <c:v>243.33441375253597</c:v>
                </c:pt>
                <c:pt idx="26">
                  <c:v>149.74673780802965</c:v>
                </c:pt>
                <c:pt idx="27">
                  <c:v>135.65263322169002</c:v>
                </c:pt>
                <c:pt idx="28">
                  <c:v>203.35890325446272</c:v>
                </c:pt>
                <c:pt idx="29">
                  <c:v>173.11330954697806</c:v>
                </c:pt>
                <c:pt idx="30">
                  <c:v>238.09035118326801</c:v>
                </c:pt>
                <c:pt idx="31">
                  <c:v>141.65496212530462</c:v>
                </c:pt>
                <c:pt idx="32">
                  <c:v>203.5802035802036</c:v>
                </c:pt>
                <c:pt idx="33">
                  <c:v>134.33831849819626</c:v>
                </c:pt>
                <c:pt idx="34">
                  <c:v>119.72</c:v>
                </c:pt>
              </c:numCache>
            </c:numRef>
          </c:val>
          <c:extLst>
            <c:ext xmlns:c16="http://schemas.microsoft.com/office/drawing/2014/chart" uri="{C3380CC4-5D6E-409C-BE32-E72D297353CC}">
              <c16:uniqueId val="{00000001-AEB2-4848-84C2-C931B1D6B61E}"/>
            </c:ext>
          </c:extLst>
        </c:ser>
        <c:ser>
          <c:idx val="2"/>
          <c:order val="2"/>
          <c:tx>
            <c:strRef>
              <c:f>'2017Total ch capitals 100 m³'!$F$498</c:f>
              <c:strCache>
                <c:ptCount val="1"/>
                <c:pt idx="0">
                  <c:v>other charges drinking water</c:v>
                </c:pt>
              </c:strCache>
            </c:strRef>
          </c:tx>
          <c:spPr>
            <a:solidFill>
              <a:schemeClr val="accent3"/>
            </a:solidFill>
            <a:ln>
              <a:noFill/>
            </a:ln>
            <a:effectLst/>
          </c:spPr>
          <c:invertIfNegative val="0"/>
          <c:cat>
            <c:strRef>
              <c:f>'2017Total ch capitals 100 m³'!$A$499:$A$533</c:f>
              <c:strCache>
                <c:ptCount val="35"/>
                <c:pt idx="0">
                  <c:v>Yerevan</c:v>
                </c:pt>
                <c:pt idx="1">
                  <c:v>Buenos Aires</c:v>
                </c:pt>
                <c:pt idx="2">
                  <c:v>Seoul</c:v>
                </c:pt>
                <c:pt idx="3">
                  <c:v>Hong Kong</c:v>
                </c:pt>
                <c:pt idx="4">
                  <c:v>Taipei</c:v>
                </c:pt>
                <c:pt idx="5">
                  <c:v>Beijing</c:v>
                </c:pt>
                <c:pt idx="6">
                  <c:v>Moscow</c:v>
                </c:pt>
                <c:pt idx="7">
                  <c:v>Mexico City</c:v>
                </c:pt>
                <c:pt idx="8">
                  <c:v>Brasilia</c:v>
                </c:pt>
                <c:pt idx="9">
                  <c:v>Sofia</c:v>
                </c:pt>
                <c:pt idx="10">
                  <c:v>Bucharest</c:v>
                </c:pt>
                <c:pt idx="11">
                  <c:v>Kampala</c:v>
                </c:pt>
                <c:pt idx="12">
                  <c:v>Rome</c:v>
                </c:pt>
                <c:pt idx="13">
                  <c:v>Ankara</c:v>
                </c:pt>
                <c:pt idx="14">
                  <c:v>Tokyo</c:v>
                </c:pt>
                <c:pt idx="15">
                  <c:v>Madrid</c:v>
                </c:pt>
                <c:pt idx="16">
                  <c:v>Budapest</c:v>
                </c:pt>
                <c:pt idx="17">
                  <c:v>Lisbon</c:v>
                </c:pt>
                <c:pt idx="18">
                  <c:v>Warsaw</c:v>
                </c:pt>
                <c:pt idx="19">
                  <c:v>Stockholm</c:v>
                </c:pt>
                <c:pt idx="20">
                  <c:v>Nicosia</c:v>
                </c:pt>
                <c:pt idx="21">
                  <c:v>London</c:v>
                </c:pt>
                <c:pt idx="22">
                  <c:v>Prague</c:v>
                </c:pt>
                <c:pt idx="23">
                  <c:v>Oslo</c:v>
                </c:pt>
                <c:pt idx="24">
                  <c:v>Paris</c:v>
                </c:pt>
                <c:pt idx="25">
                  <c:v>Brussels</c:v>
                </c:pt>
                <c:pt idx="26">
                  <c:v>Ottawa</c:v>
                </c:pt>
                <c:pt idx="27">
                  <c:v>Helsinki</c:v>
                </c:pt>
                <c:pt idx="28">
                  <c:v>Berlin</c:v>
                </c:pt>
                <c:pt idx="29">
                  <c:v>Cardiff</c:v>
                </c:pt>
                <c:pt idx="30">
                  <c:v>Bern</c:v>
                </c:pt>
                <c:pt idx="31">
                  <c:v>Amsterdam</c:v>
                </c:pt>
                <c:pt idx="32">
                  <c:v>Canberra</c:v>
                </c:pt>
                <c:pt idx="33">
                  <c:v>Copenhagen</c:v>
                </c:pt>
                <c:pt idx="34">
                  <c:v>Washington D.C.</c:v>
                </c:pt>
              </c:strCache>
            </c:strRef>
          </c:cat>
          <c:val>
            <c:numRef>
              <c:f>'2017Total ch capitals 100 m³'!$F$499:$F$533</c:f>
              <c:numCache>
                <c:formatCode>0.00</c:formatCode>
                <c:ptCount val="35"/>
                <c:pt idx="0">
                  <c:v>0</c:v>
                </c:pt>
                <c:pt idx="1">
                  <c:v>0</c:v>
                </c:pt>
                <c:pt idx="2">
                  <c:v>0</c:v>
                </c:pt>
                <c:pt idx="3">
                  <c:v>0</c:v>
                </c:pt>
                <c:pt idx="4">
                  <c:v>1.6890405541671261</c:v>
                </c:pt>
                <c:pt idx="5">
                  <c:v>0</c:v>
                </c:pt>
                <c:pt idx="6">
                  <c:v>0</c:v>
                </c:pt>
                <c:pt idx="7">
                  <c:v>0</c:v>
                </c:pt>
                <c:pt idx="8">
                  <c:v>0</c:v>
                </c:pt>
                <c:pt idx="9">
                  <c:v>0</c:v>
                </c:pt>
                <c:pt idx="10">
                  <c:v>0</c:v>
                </c:pt>
                <c:pt idx="11">
                  <c:v>0</c:v>
                </c:pt>
                <c:pt idx="12">
                  <c:v>0.48018631228916819</c:v>
                </c:pt>
                <c:pt idx="13">
                  <c:v>0</c:v>
                </c:pt>
                <c:pt idx="14">
                  <c:v>0</c:v>
                </c:pt>
                <c:pt idx="15">
                  <c:v>0</c:v>
                </c:pt>
                <c:pt idx="16">
                  <c:v>0</c:v>
                </c:pt>
                <c:pt idx="17">
                  <c:v>2.7130526644337998</c:v>
                </c:pt>
                <c:pt idx="18">
                  <c:v>0</c:v>
                </c:pt>
                <c:pt idx="19">
                  <c:v>0</c:v>
                </c:pt>
                <c:pt idx="20">
                  <c:v>0</c:v>
                </c:pt>
                <c:pt idx="21">
                  <c:v>0</c:v>
                </c:pt>
                <c:pt idx="22">
                  <c:v>0</c:v>
                </c:pt>
                <c:pt idx="23">
                  <c:v>0</c:v>
                </c:pt>
                <c:pt idx="24">
                  <c:v>57.622357474700181</c:v>
                </c:pt>
                <c:pt idx="25">
                  <c:v>0</c:v>
                </c:pt>
                <c:pt idx="26">
                  <c:v>0</c:v>
                </c:pt>
                <c:pt idx="27">
                  <c:v>0</c:v>
                </c:pt>
                <c:pt idx="28">
                  <c:v>0</c:v>
                </c:pt>
                <c:pt idx="29">
                  <c:v>0</c:v>
                </c:pt>
                <c:pt idx="30">
                  <c:v>0</c:v>
                </c:pt>
                <c:pt idx="31">
                  <c:v>0</c:v>
                </c:pt>
                <c:pt idx="32">
                  <c:v>0</c:v>
                </c:pt>
                <c:pt idx="33">
                  <c:v>100.74567921930965</c:v>
                </c:pt>
                <c:pt idx="34">
                  <c:v>23.66</c:v>
                </c:pt>
              </c:numCache>
            </c:numRef>
          </c:val>
          <c:extLst>
            <c:ext xmlns:c16="http://schemas.microsoft.com/office/drawing/2014/chart" uri="{C3380CC4-5D6E-409C-BE32-E72D297353CC}">
              <c16:uniqueId val="{00000002-AEB2-4848-84C2-C931B1D6B61E}"/>
            </c:ext>
          </c:extLst>
        </c:ser>
        <c:ser>
          <c:idx val="3"/>
          <c:order val="3"/>
          <c:tx>
            <c:strRef>
              <c:f>'2017Total ch capitals 100 m³'!$G$498</c:f>
              <c:strCache>
                <c:ptCount val="1"/>
                <c:pt idx="0">
                  <c:v>VAT drinking water</c:v>
                </c:pt>
              </c:strCache>
            </c:strRef>
          </c:tx>
          <c:spPr>
            <a:solidFill>
              <a:schemeClr val="accent4"/>
            </a:solidFill>
            <a:ln>
              <a:noFill/>
            </a:ln>
            <a:effectLst/>
          </c:spPr>
          <c:invertIfNegative val="0"/>
          <c:cat>
            <c:strRef>
              <c:f>'2017Total ch capitals 100 m³'!$A$499:$A$533</c:f>
              <c:strCache>
                <c:ptCount val="35"/>
                <c:pt idx="0">
                  <c:v>Yerevan</c:v>
                </c:pt>
                <c:pt idx="1">
                  <c:v>Buenos Aires</c:v>
                </c:pt>
                <c:pt idx="2">
                  <c:v>Seoul</c:v>
                </c:pt>
                <c:pt idx="3">
                  <c:v>Hong Kong</c:v>
                </c:pt>
                <c:pt idx="4">
                  <c:v>Taipei</c:v>
                </c:pt>
                <c:pt idx="5">
                  <c:v>Beijing</c:v>
                </c:pt>
                <c:pt idx="6">
                  <c:v>Moscow</c:v>
                </c:pt>
                <c:pt idx="7">
                  <c:v>Mexico City</c:v>
                </c:pt>
                <c:pt idx="8">
                  <c:v>Brasilia</c:v>
                </c:pt>
                <c:pt idx="9">
                  <c:v>Sofia</c:v>
                </c:pt>
                <c:pt idx="10">
                  <c:v>Bucharest</c:v>
                </c:pt>
                <c:pt idx="11">
                  <c:v>Kampala</c:v>
                </c:pt>
                <c:pt idx="12">
                  <c:v>Rome</c:v>
                </c:pt>
                <c:pt idx="13">
                  <c:v>Ankara</c:v>
                </c:pt>
                <c:pt idx="14">
                  <c:v>Tokyo</c:v>
                </c:pt>
                <c:pt idx="15">
                  <c:v>Madrid</c:v>
                </c:pt>
                <c:pt idx="16">
                  <c:v>Budapest</c:v>
                </c:pt>
                <c:pt idx="17">
                  <c:v>Lisbon</c:v>
                </c:pt>
                <c:pt idx="18">
                  <c:v>Warsaw</c:v>
                </c:pt>
                <c:pt idx="19">
                  <c:v>Stockholm</c:v>
                </c:pt>
                <c:pt idx="20">
                  <c:v>Nicosia</c:v>
                </c:pt>
                <c:pt idx="21">
                  <c:v>London</c:v>
                </c:pt>
                <c:pt idx="22">
                  <c:v>Prague</c:v>
                </c:pt>
                <c:pt idx="23">
                  <c:v>Oslo</c:v>
                </c:pt>
                <c:pt idx="24">
                  <c:v>Paris</c:v>
                </c:pt>
                <c:pt idx="25">
                  <c:v>Brussels</c:v>
                </c:pt>
                <c:pt idx="26">
                  <c:v>Ottawa</c:v>
                </c:pt>
                <c:pt idx="27">
                  <c:v>Helsinki</c:v>
                </c:pt>
                <c:pt idx="28">
                  <c:v>Berlin</c:v>
                </c:pt>
                <c:pt idx="29">
                  <c:v>Cardiff</c:v>
                </c:pt>
                <c:pt idx="30">
                  <c:v>Bern</c:v>
                </c:pt>
                <c:pt idx="31">
                  <c:v>Amsterdam</c:v>
                </c:pt>
                <c:pt idx="32">
                  <c:v>Canberra</c:v>
                </c:pt>
                <c:pt idx="33">
                  <c:v>Copenhagen</c:v>
                </c:pt>
                <c:pt idx="34">
                  <c:v>Washington D.C.</c:v>
                </c:pt>
              </c:strCache>
            </c:strRef>
          </c:cat>
          <c:val>
            <c:numRef>
              <c:f>'2017Total ch capitals 100 m³'!$G$499:$G$533</c:f>
              <c:numCache>
                <c:formatCode>0.00</c:formatCode>
                <c:ptCount val="35"/>
                <c:pt idx="0">
                  <c:v>5.2785689191072356</c:v>
                </c:pt>
                <c:pt idx="1">
                  <c:v>0</c:v>
                </c:pt>
                <c:pt idx="2">
                  <c:v>0</c:v>
                </c:pt>
                <c:pt idx="3">
                  <c:v>0</c:v>
                </c:pt>
                <c:pt idx="4">
                  <c:v>0</c:v>
                </c:pt>
                <c:pt idx="5">
                  <c:v>0</c:v>
                </c:pt>
                <c:pt idx="6">
                  <c:v>0</c:v>
                </c:pt>
                <c:pt idx="7">
                  <c:v>0</c:v>
                </c:pt>
                <c:pt idx="8">
                  <c:v>0</c:v>
                </c:pt>
                <c:pt idx="9">
                  <c:v>14.11579864733825</c:v>
                </c:pt>
                <c:pt idx="10">
                  <c:v>7.6643237179817021</c:v>
                </c:pt>
                <c:pt idx="11">
                  <c:v>15.869728594403403</c:v>
                </c:pt>
                <c:pt idx="12">
                  <c:v>5.3420727242169965</c:v>
                </c:pt>
                <c:pt idx="13">
                  <c:v>9.3182596779719074</c:v>
                </c:pt>
                <c:pt idx="14">
                  <c:v>10.482777621852748</c:v>
                </c:pt>
                <c:pt idx="15">
                  <c:v>12.508853435132831</c:v>
                </c:pt>
                <c:pt idx="16">
                  <c:v>19.75451295668984</c:v>
                </c:pt>
                <c:pt idx="17">
                  <c:v>8.0071067574218802</c:v>
                </c:pt>
                <c:pt idx="18">
                  <c:v>9.6593359206554563</c:v>
                </c:pt>
                <c:pt idx="19">
                  <c:v>62.74286820688971</c:v>
                </c:pt>
                <c:pt idx="20">
                  <c:v>8.2832138869881522</c:v>
                </c:pt>
                <c:pt idx="21">
                  <c:v>0</c:v>
                </c:pt>
                <c:pt idx="22">
                  <c:v>28.483493674408283</c:v>
                </c:pt>
                <c:pt idx="23">
                  <c:v>34.459308766375024</c:v>
                </c:pt>
                <c:pt idx="24">
                  <c:v>11.308387654409911</c:v>
                </c:pt>
                <c:pt idx="25">
                  <c:v>16.326334617831719</c:v>
                </c:pt>
                <c:pt idx="26">
                  <c:v>0</c:v>
                </c:pt>
                <c:pt idx="27">
                  <c:v>43.937047574458887</c:v>
                </c:pt>
                <c:pt idx="28">
                  <c:v>15.606055149397966</c:v>
                </c:pt>
                <c:pt idx="29">
                  <c:v>0</c:v>
                </c:pt>
                <c:pt idx="30">
                  <c:v>23.480634633936084</c:v>
                </c:pt>
                <c:pt idx="31">
                  <c:v>11.536476152747264</c:v>
                </c:pt>
                <c:pt idx="32">
                  <c:v>0</c:v>
                </c:pt>
                <c:pt idx="33">
                  <c:v>74.245535757462434</c:v>
                </c:pt>
                <c:pt idx="34">
                  <c:v>0</c:v>
                </c:pt>
              </c:numCache>
            </c:numRef>
          </c:val>
          <c:extLst>
            <c:ext xmlns:c16="http://schemas.microsoft.com/office/drawing/2014/chart" uri="{C3380CC4-5D6E-409C-BE32-E72D297353CC}">
              <c16:uniqueId val="{00000003-AEB2-4848-84C2-C931B1D6B61E}"/>
            </c:ext>
          </c:extLst>
        </c:ser>
        <c:ser>
          <c:idx val="5"/>
          <c:order val="5"/>
          <c:tx>
            <c:strRef>
              <c:f>'2017Total ch capitals 100 m³'!$I$498</c:f>
              <c:strCache>
                <c:ptCount val="1"/>
                <c:pt idx="0">
                  <c:v>environmental charges</c:v>
                </c:pt>
              </c:strCache>
            </c:strRef>
          </c:tx>
          <c:spPr>
            <a:solidFill>
              <a:schemeClr val="accent6"/>
            </a:solidFill>
            <a:ln>
              <a:noFill/>
            </a:ln>
            <a:effectLst/>
          </c:spPr>
          <c:invertIfNegative val="0"/>
          <c:cat>
            <c:strRef>
              <c:f>'2017Total ch capitals 100 m³'!$A$499:$A$533</c:f>
              <c:strCache>
                <c:ptCount val="35"/>
                <c:pt idx="0">
                  <c:v>Yerevan</c:v>
                </c:pt>
                <c:pt idx="1">
                  <c:v>Buenos Aires</c:v>
                </c:pt>
                <c:pt idx="2">
                  <c:v>Seoul</c:v>
                </c:pt>
                <c:pt idx="3">
                  <c:v>Hong Kong</c:v>
                </c:pt>
                <c:pt idx="4">
                  <c:v>Taipei</c:v>
                </c:pt>
                <c:pt idx="5">
                  <c:v>Beijing</c:v>
                </c:pt>
                <c:pt idx="6">
                  <c:v>Moscow</c:v>
                </c:pt>
                <c:pt idx="7">
                  <c:v>Mexico City</c:v>
                </c:pt>
                <c:pt idx="8">
                  <c:v>Brasilia</c:v>
                </c:pt>
                <c:pt idx="9">
                  <c:v>Sofia</c:v>
                </c:pt>
                <c:pt idx="10">
                  <c:v>Bucharest</c:v>
                </c:pt>
                <c:pt idx="11">
                  <c:v>Kampala</c:v>
                </c:pt>
                <c:pt idx="12">
                  <c:v>Rome</c:v>
                </c:pt>
                <c:pt idx="13">
                  <c:v>Ankara</c:v>
                </c:pt>
                <c:pt idx="14">
                  <c:v>Tokyo</c:v>
                </c:pt>
                <c:pt idx="15">
                  <c:v>Madrid</c:v>
                </c:pt>
                <c:pt idx="16">
                  <c:v>Budapest</c:v>
                </c:pt>
                <c:pt idx="17">
                  <c:v>Lisbon</c:v>
                </c:pt>
                <c:pt idx="18">
                  <c:v>Warsaw</c:v>
                </c:pt>
                <c:pt idx="19">
                  <c:v>Stockholm</c:v>
                </c:pt>
                <c:pt idx="20">
                  <c:v>Nicosia</c:v>
                </c:pt>
                <c:pt idx="21">
                  <c:v>London</c:v>
                </c:pt>
                <c:pt idx="22">
                  <c:v>Prague</c:v>
                </c:pt>
                <c:pt idx="23">
                  <c:v>Oslo</c:v>
                </c:pt>
                <c:pt idx="24">
                  <c:v>Paris</c:v>
                </c:pt>
                <c:pt idx="25">
                  <c:v>Brussels</c:v>
                </c:pt>
                <c:pt idx="26">
                  <c:v>Ottawa</c:v>
                </c:pt>
                <c:pt idx="27">
                  <c:v>Helsinki</c:v>
                </c:pt>
                <c:pt idx="28">
                  <c:v>Berlin</c:v>
                </c:pt>
                <c:pt idx="29">
                  <c:v>Cardiff</c:v>
                </c:pt>
                <c:pt idx="30">
                  <c:v>Bern</c:v>
                </c:pt>
                <c:pt idx="31">
                  <c:v>Amsterdam</c:v>
                </c:pt>
                <c:pt idx="32">
                  <c:v>Canberra</c:v>
                </c:pt>
                <c:pt idx="33">
                  <c:v>Copenhagen</c:v>
                </c:pt>
                <c:pt idx="34">
                  <c:v>Washington D.C.</c:v>
                </c:pt>
              </c:strCache>
            </c:strRef>
          </c:cat>
          <c:val>
            <c:numRef>
              <c:f>'2017Total ch capitals 100 m³'!$I$499:$I$533</c:f>
              <c:numCache>
                <c:formatCode>0.00</c:formatCode>
                <c:ptCount val="35"/>
                <c:pt idx="0">
                  <c:v>4.6575608109769719</c:v>
                </c:pt>
                <c:pt idx="1">
                  <c:v>0</c:v>
                </c:pt>
                <c:pt idx="2">
                  <c:v>0</c:v>
                </c:pt>
                <c:pt idx="3">
                  <c:v>37.376526261489765</c:v>
                </c:pt>
                <c:pt idx="4">
                  <c:v>16.89040554167126</c:v>
                </c:pt>
                <c:pt idx="5">
                  <c:v>20.917413131213703</c:v>
                </c:pt>
                <c:pt idx="6">
                  <c:v>38.256031790692987</c:v>
                </c:pt>
                <c:pt idx="7">
                  <c:v>0</c:v>
                </c:pt>
                <c:pt idx="8">
                  <c:v>0</c:v>
                </c:pt>
                <c:pt idx="9">
                  <c:v>38.665013686187379</c:v>
                </c:pt>
                <c:pt idx="10">
                  <c:v>44.766442662934416</c:v>
                </c:pt>
                <c:pt idx="11">
                  <c:v>66.12386914334752</c:v>
                </c:pt>
                <c:pt idx="12">
                  <c:v>119.31429394605107</c:v>
                </c:pt>
                <c:pt idx="13">
                  <c:v>58.239122987324421</c:v>
                </c:pt>
                <c:pt idx="14">
                  <c:v>63.553503617667808</c:v>
                </c:pt>
                <c:pt idx="15">
                  <c:v>80.827361016074235</c:v>
                </c:pt>
                <c:pt idx="16">
                  <c:v>115.9782827835854</c:v>
                </c:pt>
                <c:pt idx="17">
                  <c:v>85.569200849929771</c:v>
                </c:pt>
                <c:pt idx="18">
                  <c:v>184.5623113410953</c:v>
                </c:pt>
                <c:pt idx="19">
                  <c:v>39.827015951638977</c:v>
                </c:pt>
                <c:pt idx="20">
                  <c:v>197.47662092892043</c:v>
                </c:pt>
                <c:pt idx="21">
                  <c:v>169.55887122932208</c:v>
                </c:pt>
                <c:pt idx="22">
                  <c:v>159.38535816818234</c:v>
                </c:pt>
                <c:pt idx="23">
                  <c:v>178.66435597349528</c:v>
                </c:pt>
                <c:pt idx="24">
                  <c:v>162.06288039759426</c:v>
                </c:pt>
                <c:pt idx="25">
                  <c:v>187.81287139410091</c:v>
                </c:pt>
                <c:pt idx="26">
                  <c:v>252.06943439435747</c:v>
                </c:pt>
                <c:pt idx="27">
                  <c:v>166.86474352048594</c:v>
                </c:pt>
                <c:pt idx="28">
                  <c:v>265.30293753976542</c:v>
                </c:pt>
                <c:pt idx="29">
                  <c:v>332.88733917180235</c:v>
                </c:pt>
                <c:pt idx="30">
                  <c:v>262.54592475523901</c:v>
                </c:pt>
                <c:pt idx="31">
                  <c:v>343.2731899977191</c:v>
                </c:pt>
                <c:pt idx="32">
                  <c:v>412.62041262041265</c:v>
                </c:pt>
                <c:pt idx="33">
                  <c:v>250.56175790732689</c:v>
                </c:pt>
                <c:pt idx="34">
                  <c:v>294.17</c:v>
                </c:pt>
              </c:numCache>
            </c:numRef>
          </c:val>
          <c:extLst>
            <c:ext xmlns:c16="http://schemas.microsoft.com/office/drawing/2014/chart" uri="{C3380CC4-5D6E-409C-BE32-E72D297353CC}">
              <c16:uniqueId val="{00000004-AEB2-4848-84C2-C931B1D6B61E}"/>
            </c:ext>
          </c:extLst>
        </c:ser>
        <c:ser>
          <c:idx val="6"/>
          <c:order val="6"/>
          <c:tx>
            <c:strRef>
              <c:f>'2017Total ch capitals 100 m³'!$J$498</c:f>
              <c:strCache>
                <c:ptCount val="1"/>
                <c:pt idx="0">
                  <c:v>VAT environmental charges</c:v>
                </c:pt>
              </c:strCache>
            </c:strRef>
          </c:tx>
          <c:spPr>
            <a:solidFill>
              <a:schemeClr val="accent1">
                <a:lumMod val="60000"/>
              </a:schemeClr>
            </a:solidFill>
            <a:ln>
              <a:noFill/>
            </a:ln>
            <a:effectLst/>
          </c:spPr>
          <c:invertIfNegative val="0"/>
          <c:cat>
            <c:strRef>
              <c:f>'2017Total ch capitals 100 m³'!$A$499:$A$533</c:f>
              <c:strCache>
                <c:ptCount val="35"/>
                <c:pt idx="0">
                  <c:v>Yerevan</c:v>
                </c:pt>
                <c:pt idx="1">
                  <c:v>Buenos Aires</c:v>
                </c:pt>
                <c:pt idx="2">
                  <c:v>Seoul</c:v>
                </c:pt>
                <c:pt idx="3">
                  <c:v>Hong Kong</c:v>
                </c:pt>
                <c:pt idx="4">
                  <c:v>Taipei</c:v>
                </c:pt>
                <c:pt idx="5">
                  <c:v>Beijing</c:v>
                </c:pt>
                <c:pt idx="6">
                  <c:v>Moscow</c:v>
                </c:pt>
                <c:pt idx="7">
                  <c:v>Mexico City</c:v>
                </c:pt>
                <c:pt idx="8">
                  <c:v>Brasilia</c:v>
                </c:pt>
                <c:pt idx="9">
                  <c:v>Sofia</c:v>
                </c:pt>
                <c:pt idx="10">
                  <c:v>Bucharest</c:v>
                </c:pt>
                <c:pt idx="11">
                  <c:v>Kampala</c:v>
                </c:pt>
                <c:pt idx="12">
                  <c:v>Rome</c:v>
                </c:pt>
                <c:pt idx="13">
                  <c:v>Ankara</c:v>
                </c:pt>
                <c:pt idx="14">
                  <c:v>Tokyo</c:v>
                </c:pt>
                <c:pt idx="15">
                  <c:v>Madrid</c:v>
                </c:pt>
                <c:pt idx="16">
                  <c:v>Budapest</c:v>
                </c:pt>
                <c:pt idx="17">
                  <c:v>Lisbon</c:v>
                </c:pt>
                <c:pt idx="18">
                  <c:v>Warsaw</c:v>
                </c:pt>
                <c:pt idx="19">
                  <c:v>Stockholm</c:v>
                </c:pt>
                <c:pt idx="20">
                  <c:v>Nicosia</c:v>
                </c:pt>
                <c:pt idx="21">
                  <c:v>London</c:v>
                </c:pt>
                <c:pt idx="22">
                  <c:v>Prague</c:v>
                </c:pt>
                <c:pt idx="23">
                  <c:v>Oslo</c:v>
                </c:pt>
                <c:pt idx="24">
                  <c:v>Paris</c:v>
                </c:pt>
                <c:pt idx="25">
                  <c:v>Brussels</c:v>
                </c:pt>
                <c:pt idx="26">
                  <c:v>Ottawa</c:v>
                </c:pt>
                <c:pt idx="27">
                  <c:v>Helsinki</c:v>
                </c:pt>
                <c:pt idx="28">
                  <c:v>Berlin</c:v>
                </c:pt>
                <c:pt idx="29">
                  <c:v>Cardiff</c:v>
                </c:pt>
                <c:pt idx="30">
                  <c:v>Bern</c:v>
                </c:pt>
                <c:pt idx="31">
                  <c:v>Amsterdam</c:v>
                </c:pt>
                <c:pt idx="32">
                  <c:v>Canberra</c:v>
                </c:pt>
                <c:pt idx="33">
                  <c:v>Copenhagen</c:v>
                </c:pt>
                <c:pt idx="34">
                  <c:v>Washington D.C.</c:v>
                </c:pt>
              </c:strCache>
            </c:strRef>
          </c:cat>
          <c:val>
            <c:numRef>
              <c:f>'2017Total ch capitals 100 m³'!$J$499:$J$533</c:f>
              <c:numCache>
                <c:formatCode>0.00</c:formatCode>
                <c:ptCount val="35"/>
                <c:pt idx="0">
                  <c:v>0.93151216219539446</c:v>
                </c:pt>
                <c:pt idx="1">
                  <c:v>0</c:v>
                </c:pt>
                <c:pt idx="2">
                  <c:v>0</c:v>
                </c:pt>
                <c:pt idx="3">
                  <c:v>0</c:v>
                </c:pt>
                <c:pt idx="4">
                  <c:v>0</c:v>
                </c:pt>
                <c:pt idx="5">
                  <c:v>0</c:v>
                </c:pt>
                <c:pt idx="6">
                  <c:v>0</c:v>
                </c:pt>
                <c:pt idx="7">
                  <c:v>0</c:v>
                </c:pt>
                <c:pt idx="8">
                  <c:v>0</c:v>
                </c:pt>
                <c:pt idx="9">
                  <c:v>7.9784948876259687</c:v>
                </c:pt>
                <c:pt idx="10">
                  <c:v>8.5056241059575388</c:v>
                </c:pt>
                <c:pt idx="11">
                  <c:v>11.90243424692612</c:v>
                </c:pt>
                <c:pt idx="12">
                  <c:v>11.932629860385829</c:v>
                </c:pt>
                <c:pt idx="13">
                  <c:v>4.6591298389859537</c:v>
                </c:pt>
                <c:pt idx="14">
                  <c:v>5.0327984010080513</c:v>
                </c:pt>
                <c:pt idx="15">
                  <c:v>8.0911393620724841</c:v>
                </c:pt>
                <c:pt idx="16">
                  <c:v>31.31413635156806</c:v>
                </c:pt>
                <c:pt idx="17">
                  <c:v>0</c:v>
                </c:pt>
                <c:pt idx="18">
                  <c:v>14.764984907287625</c:v>
                </c:pt>
                <c:pt idx="19">
                  <c:v>9.9567539879097442</c:v>
                </c:pt>
                <c:pt idx="20">
                  <c:v>0</c:v>
                </c:pt>
                <c:pt idx="21">
                  <c:v>0</c:v>
                </c:pt>
                <c:pt idx="22">
                  <c:v>23.877252123101332</c:v>
                </c:pt>
                <c:pt idx="23">
                  <c:v>49.3581610977255</c:v>
                </c:pt>
                <c:pt idx="24">
                  <c:v>19.843699355349877</c:v>
                </c:pt>
                <c:pt idx="25">
                  <c:v>11.272373680988222</c:v>
                </c:pt>
                <c:pt idx="26">
                  <c:v>0</c:v>
                </c:pt>
                <c:pt idx="27">
                  <c:v>40.047538444916626</c:v>
                </c:pt>
                <c:pt idx="28">
                  <c:v>0</c:v>
                </c:pt>
                <c:pt idx="29">
                  <c:v>0</c:v>
                </c:pt>
                <c:pt idx="30">
                  <c:v>6.56800968781429</c:v>
                </c:pt>
                <c:pt idx="31">
                  <c:v>0</c:v>
                </c:pt>
                <c:pt idx="32">
                  <c:v>0</c:v>
                </c:pt>
                <c:pt idx="33">
                  <c:v>62.639633511397967</c:v>
                </c:pt>
                <c:pt idx="34">
                  <c:v>0</c:v>
                </c:pt>
              </c:numCache>
            </c:numRef>
          </c:val>
          <c:extLst>
            <c:ext xmlns:c16="http://schemas.microsoft.com/office/drawing/2014/chart" uri="{C3380CC4-5D6E-409C-BE32-E72D297353CC}">
              <c16:uniqueId val="{00000005-AEB2-4848-84C2-C931B1D6B61E}"/>
            </c:ext>
          </c:extLst>
        </c:ser>
        <c:ser>
          <c:idx val="7"/>
          <c:order val="7"/>
          <c:tx>
            <c:strRef>
              <c:f>'2017Total ch capitals 100 m³'!$K$498</c:f>
              <c:strCache>
                <c:ptCount val="1"/>
                <c:pt idx="0">
                  <c:v>other taxes</c:v>
                </c:pt>
              </c:strCache>
            </c:strRef>
          </c:tx>
          <c:spPr>
            <a:solidFill>
              <a:schemeClr val="accent2">
                <a:lumMod val="60000"/>
              </a:schemeClr>
            </a:solidFill>
            <a:ln>
              <a:noFill/>
            </a:ln>
            <a:effectLst/>
          </c:spPr>
          <c:invertIfNegative val="0"/>
          <c:cat>
            <c:strRef>
              <c:f>'2017Total ch capitals 100 m³'!$A$499:$A$533</c:f>
              <c:strCache>
                <c:ptCount val="35"/>
                <c:pt idx="0">
                  <c:v>Yerevan</c:v>
                </c:pt>
                <c:pt idx="1">
                  <c:v>Buenos Aires</c:v>
                </c:pt>
                <c:pt idx="2">
                  <c:v>Seoul</c:v>
                </c:pt>
                <c:pt idx="3">
                  <c:v>Hong Kong</c:v>
                </c:pt>
                <c:pt idx="4">
                  <c:v>Taipei</c:v>
                </c:pt>
                <c:pt idx="5">
                  <c:v>Beijing</c:v>
                </c:pt>
                <c:pt idx="6">
                  <c:v>Moscow</c:v>
                </c:pt>
                <c:pt idx="7">
                  <c:v>Mexico City</c:v>
                </c:pt>
                <c:pt idx="8">
                  <c:v>Brasilia</c:v>
                </c:pt>
                <c:pt idx="9">
                  <c:v>Sofia</c:v>
                </c:pt>
                <c:pt idx="10">
                  <c:v>Bucharest</c:v>
                </c:pt>
                <c:pt idx="11">
                  <c:v>Kampala</c:v>
                </c:pt>
                <c:pt idx="12">
                  <c:v>Rome</c:v>
                </c:pt>
                <c:pt idx="13">
                  <c:v>Ankara</c:v>
                </c:pt>
                <c:pt idx="14">
                  <c:v>Tokyo</c:v>
                </c:pt>
                <c:pt idx="15">
                  <c:v>Madrid</c:v>
                </c:pt>
                <c:pt idx="16">
                  <c:v>Budapest</c:v>
                </c:pt>
                <c:pt idx="17">
                  <c:v>Lisbon</c:v>
                </c:pt>
                <c:pt idx="18">
                  <c:v>Warsaw</c:v>
                </c:pt>
                <c:pt idx="19">
                  <c:v>Stockholm</c:v>
                </c:pt>
                <c:pt idx="20">
                  <c:v>Nicosia</c:v>
                </c:pt>
                <c:pt idx="21">
                  <c:v>London</c:v>
                </c:pt>
                <c:pt idx="22">
                  <c:v>Prague</c:v>
                </c:pt>
                <c:pt idx="23">
                  <c:v>Oslo</c:v>
                </c:pt>
                <c:pt idx="24">
                  <c:v>Paris</c:v>
                </c:pt>
                <c:pt idx="25">
                  <c:v>Brussels</c:v>
                </c:pt>
                <c:pt idx="26">
                  <c:v>Ottawa</c:v>
                </c:pt>
                <c:pt idx="27">
                  <c:v>Helsinki</c:v>
                </c:pt>
                <c:pt idx="28">
                  <c:v>Berlin</c:v>
                </c:pt>
                <c:pt idx="29">
                  <c:v>Cardiff</c:v>
                </c:pt>
                <c:pt idx="30">
                  <c:v>Bern</c:v>
                </c:pt>
                <c:pt idx="31">
                  <c:v>Amsterdam</c:v>
                </c:pt>
                <c:pt idx="32">
                  <c:v>Canberra</c:v>
                </c:pt>
                <c:pt idx="33">
                  <c:v>Copenhagen</c:v>
                </c:pt>
                <c:pt idx="34">
                  <c:v>Washington D.C.</c:v>
                </c:pt>
              </c:strCache>
            </c:strRef>
          </c:cat>
          <c:val>
            <c:numRef>
              <c:f>'2017Total ch capitals 100 m³'!$K$499:$K$533</c:f>
              <c:numCache>
                <c:formatCode>0.00</c:formatCode>
                <c:ptCount val="35"/>
                <c:pt idx="0">
                  <c:v>0</c:v>
                </c:pt>
                <c:pt idx="1">
                  <c:v>0</c:v>
                </c:pt>
                <c:pt idx="2">
                  <c:v>0</c:v>
                </c:pt>
                <c:pt idx="3">
                  <c:v>0</c:v>
                </c:pt>
                <c:pt idx="4">
                  <c:v>0</c:v>
                </c:pt>
                <c:pt idx="5">
                  <c:v>24.147307805886406</c:v>
                </c:pt>
                <c:pt idx="6">
                  <c:v>0</c:v>
                </c:pt>
                <c:pt idx="7">
                  <c:v>0</c:v>
                </c:pt>
                <c:pt idx="8">
                  <c:v>0</c:v>
                </c:pt>
                <c:pt idx="9">
                  <c:v>0</c:v>
                </c:pt>
                <c:pt idx="10">
                  <c:v>0</c:v>
                </c:pt>
                <c:pt idx="11">
                  <c:v>0</c:v>
                </c:pt>
                <c:pt idx="12">
                  <c:v>0.96037262457833639</c:v>
                </c:pt>
                <c:pt idx="13">
                  <c:v>6.3246106411574035</c:v>
                </c:pt>
                <c:pt idx="14">
                  <c:v>0</c:v>
                </c:pt>
                <c:pt idx="15">
                  <c:v>0</c:v>
                </c:pt>
                <c:pt idx="16">
                  <c:v>0</c:v>
                </c:pt>
                <c:pt idx="17">
                  <c:v>17.442767793904032</c:v>
                </c:pt>
                <c:pt idx="18">
                  <c:v>0</c:v>
                </c:pt>
                <c:pt idx="19">
                  <c:v>0</c:v>
                </c:pt>
                <c:pt idx="20">
                  <c:v>0</c:v>
                </c:pt>
                <c:pt idx="21">
                  <c:v>0</c:v>
                </c:pt>
                <c:pt idx="22">
                  <c:v>0</c:v>
                </c:pt>
                <c:pt idx="23">
                  <c:v>0</c:v>
                </c:pt>
                <c:pt idx="24">
                  <c:v>36.013973421687616</c:v>
                </c:pt>
                <c:pt idx="25">
                  <c:v>0</c:v>
                </c:pt>
                <c:pt idx="26">
                  <c:v>0</c:v>
                </c:pt>
                <c:pt idx="27">
                  <c:v>47.44240765416982</c:v>
                </c:pt>
                <c:pt idx="28">
                  <c:v>0</c:v>
                </c:pt>
                <c:pt idx="29">
                  <c:v>0</c:v>
                </c:pt>
                <c:pt idx="30">
                  <c:v>0</c:v>
                </c:pt>
                <c:pt idx="31">
                  <c:v>40.335650232290128</c:v>
                </c:pt>
                <c:pt idx="32">
                  <c:v>0</c:v>
                </c:pt>
                <c:pt idx="33">
                  <c:v>11.215814976127303</c:v>
                </c:pt>
                <c:pt idx="34">
                  <c:v>334.2</c:v>
                </c:pt>
              </c:numCache>
            </c:numRef>
          </c:val>
          <c:extLst>
            <c:ext xmlns:c16="http://schemas.microsoft.com/office/drawing/2014/chart" uri="{C3380CC4-5D6E-409C-BE32-E72D297353CC}">
              <c16:uniqueId val="{00000006-AEB2-4848-84C2-C931B1D6B61E}"/>
            </c:ext>
          </c:extLst>
        </c:ser>
        <c:ser>
          <c:idx val="8"/>
          <c:order val="8"/>
          <c:tx>
            <c:strRef>
              <c:f>'2017Total ch capitals 100 m³'!$L$498</c:f>
              <c:strCache>
                <c:ptCount val="1"/>
                <c:pt idx="0">
                  <c:v>VAT other taxes</c:v>
                </c:pt>
              </c:strCache>
            </c:strRef>
          </c:tx>
          <c:spPr>
            <a:solidFill>
              <a:schemeClr val="accent3">
                <a:lumMod val="60000"/>
              </a:schemeClr>
            </a:solidFill>
            <a:ln>
              <a:noFill/>
            </a:ln>
            <a:effectLst/>
          </c:spPr>
          <c:invertIfNegative val="0"/>
          <c:cat>
            <c:strRef>
              <c:f>'2017Total ch capitals 100 m³'!$A$499:$A$533</c:f>
              <c:strCache>
                <c:ptCount val="35"/>
                <c:pt idx="0">
                  <c:v>Yerevan</c:v>
                </c:pt>
                <c:pt idx="1">
                  <c:v>Buenos Aires</c:v>
                </c:pt>
                <c:pt idx="2">
                  <c:v>Seoul</c:v>
                </c:pt>
                <c:pt idx="3">
                  <c:v>Hong Kong</c:v>
                </c:pt>
                <c:pt idx="4">
                  <c:v>Taipei</c:v>
                </c:pt>
                <c:pt idx="5">
                  <c:v>Beijing</c:v>
                </c:pt>
                <c:pt idx="6">
                  <c:v>Moscow</c:v>
                </c:pt>
                <c:pt idx="7">
                  <c:v>Mexico City</c:v>
                </c:pt>
                <c:pt idx="8">
                  <c:v>Brasilia</c:v>
                </c:pt>
                <c:pt idx="9">
                  <c:v>Sofia</c:v>
                </c:pt>
                <c:pt idx="10">
                  <c:v>Bucharest</c:v>
                </c:pt>
                <c:pt idx="11">
                  <c:v>Kampala</c:v>
                </c:pt>
                <c:pt idx="12">
                  <c:v>Rome</c:v>
                </c:pt>
                <c:pt idx="13">
                  <c:v>Ankara</c:v>
                </c:pt>
                <c:pt idx="14">
                  <c:v>Tokyo</c:v>
                </c:pt>
                <c:pt idx="15">
                  <c:v>Madrid</c:v>
                </c:pt>
                <c:pt idx="16">
                  <c:v>Budapest</c:v>
                </c:pt>
                <c:pt idx="17">
                  <c:v>Lisbon</c:v>
                </c:pt>
                <c:pt idx="18">
                  <c:v>Warsaw</c:v>
                </c:pt>
                <c:pt idx="19">
                  <c:v>Stockholm</c:v>
                </c:pt>
                <c:pt idx="20">
                  <c:v>Nicosia</c:v>
                </c:pt>
                <c:pt idx="21">
                  <c:v>London</c:v>
                </c:pt>
                <c:pt idx="22">
                  <c:v>Prague</c:v>
                </c:pt>
                <c:pt idx="23">
                  <c:v>Oslo</c:v>
                </c:pt>
                <c:pt idx="24">
                  <c:v>Paris</c:v>
                </c:pt>
                <c:pt idx="25">
                  <c:v>Brussels</c:v>
                </c:pt>
                <c:pt idx="26">
                  <c:v>Ottawa</c:v>
                </c:pt>
                <c:pt idx="27">
                  <c:v>Helsinki</c:v>
                </c:pt>
                <c:pt idx="28">
                  <c:v>Berlin</c:v>
                </c:pt>
                <c:pt idx="29">
                  <c:v>Cardiff</c:v>
                </c:pt>
                <c:pt idx="30">
                  <c:v>Bern</c:v>
                </c:pt>
                <c:pt idx="31">
                  <c:v>Amsterdam</c:v>
                </c:pt>
                <c:pt idx="32">
                  <c:v>Canberra</c:v>
                </c:pt>
                <c:pt idx="33">
                  <c:v>Copenhagen</c:v>
                </c:pt>
                <c:pt idx="34">
                  <c:v>Washington D.C.</c:v>
                </c:pt>
              </c:strCache>
            </c:strRef>
          </c:cat>
          <c:val>
            <c:numRef>
              <c:f>'2017Total ch capitals 100 m³'!$L$499:$L$533</c:f>
              <c:numCache>
                <c:formatCode>0.00</c:formatCode>
                <c:ptCount val="35"/>
                <c:pt idx="0">
                  <c:v>0</c:v>
                </c:pt>
                <c:pt idx="1">
                  <c:v>0</c:v>
                </c:pt>
                <c:pt idx="2">
                  <c:v>0</c:v>
                </c:pt>
                <c:pt idx="3">
                  <c:v>0</c:v>
                </c:pt>
                <c:pt idx="4">
                  <c:v>2.5689598847811381</c:v>
                </c:pt>
                <c:pt idx="5">
                  <c:v>0</c:v>
                </c:pt>
                <c:pt idx="6">
                  <c:v>0</c:v>
                </c:pt>
                <c:pt idx="7">
                  <c:v>0</c:v>
                </c:pt>
                <c:pt idx="8">
                  <c:v>0</c:v>
                </c:pt>
                <c:pt idx="9">
                  <c:v>0</c:v>
                </c:pt>
                <c:pt idx="10">
                  <c:v>0</c:v>
                </c:pt>
                <c:pt idx="11">
                  <c:v>0</c:v>
                </c:pt>
                <c:pt idx="12">
                  <c:v>9.6037262457833644E-2</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11.380415601253286</c:v>
                </c:pt>
                <c:pt idx="28">
                  <c:v>0</c:v>
                </c:pt>
                <c:pt idx="29">
                  <c:v>0</c:v>
                </c:pt>
                <c:pt idx="30">
                  <c:v>0</c:v>
                </c:pt>
                <c:pt idx="31">
                  <c:v>2.4249408770602994</c:v>
                </c:pt>
                <c:pt idx="32">
                  <c:v>0</c:v>
                </c:pt>
                <c:pt idx="33">
                  <c:v>2.8047597094655803</c:v>
                </c:pt>
                <c:pt idx="34">
                  <c:v>0</c:v>
                </c:pt>
              </c:numCache>
            </c:numRef>
          </c:val>
          <c:extLst>
            <c:ext xmlns:c16="http://schemas.microsoft.com/office/drawing/2014/chart" uri="{C3380CC4-5D6E-409C-BE32-E72D297353CC}">
              <c16:uniqueId val="{00000007-AEB2-4848-84C2-C931B1D6B61E}"/>
            </c:ext>
          </c:extLst>
        </c:ser>
        <c:ser>
          <c:idx val="9"/>
          <c:order val="9"/>
          <c:tx>
            <c:strRef>
              <c:f>'2017Total ch capitals 100 m³'!$M$498</c:f>
              <c:strCache>
                <c:ptCount val="1"/>
                <c:pt idx="0">
                  <c:v>total annual charges 100 m³</c:v>
                </c:pt>
              </c:strCache>
            </c:strRef>
          </c:tx>
          <c:spPr>
            <a:solidFill>
              <a:schemeClr val="accent4">
                <a:lumMod val="60000"/>
              </a:schemeClr>
            </a:solidFill>
            <a:ln>
              <a:noFill/>
            </a:ln>
            <a:effectLst/>
          </c:spPr>
          <c:invertIfNegative val="0"/>
          <c:cat>
            <c:strRef>
              <c:f>'2017Total ch capitals 100 m³'!$A$499:$A$533</c:f>
              <c:strCache>
                <c:ptCount val="35"/>
                <c:pt idx="0">
                  <c:v>Yerevan</c:v>
                </c:pt>
                <c:pt idx="1">
                  <c:v>Buenos Aires</c:v>
                </c:pt>
                <c:pt idx="2">
                  <c:v>Seoul</c:v>
                </c:pt>
                <c:pt idx="3">
                  <c:v>Hong Kong</c:v>
                </c:pt>
                <c:pt idx="4">
                  <c:v>Taipei</c:v>
                </c:pt>
                <c:pt idx="5">
                  <c:v>Beijing</c:v>
                </c:pt>
                <c:pt idx="6">
                  <c:v>Moscow</c:v>
                </c:pt>
                <c:pt idx="7">
                  <c:v>Mexico City</c:v>
                </c:pt>
                <c:pt idx="8">
                  <c:v>Brasilia</c:v>
                </c:pt>
                <c:pt idx="9">
                  <c:v>Sofia</c:v>
                </c:pt>
                <c:pt idx="10">
                  <c:v>Bucharest</c:v>
                </c:pt>
                <c:pt idx="11">
                  <c:v>Kampala</c:v>
                </c:pt>
                <c:pt idx="12">
                  <c:v>Rome</c:v>
                </c:pt>
                <c:pt idx="13">
                  <c:v>Ankara</c:v>
                </c:pt>
                <c:pt idx="14">
                  <c:v>Tokyo</c:v>
                </c:pt>
                <c:pt idx="15">
                  <c:v>Madrid</c:v>
                </c:pt>
                <c:pt idx="16">
                  <c:v>Budapest</c:v>
                </c:pt>
                <c:pt idx="17">
                  <c:v>Lisbon</c:v>
                </c:pt>
                <c:pt idx="18">
                  <c:v>Warsaw</c:v>
                </c:pt>
                <c:pt idx="19">
                  <c:v>Stockholm</c:v>
                </c:pt>
                <c:pt idx="20">
                  <c:v>Nicosia</c:v>
                </c:pt>
                <c:pt idx="21">
                  <c:v>London</c:v>
                </c:pt>
                <c:pt idx="22">
                  <c:v>Prague</c:v>
                </c:pt>
                <c:pt idx="23">
                  <c:v>Oslo</c:v>
                </c:pt>
                <c:pt idx="24">
                  <c:v>Paris</c:v>
                </c:pt>
                <c:pt idx="25">
                  <c:v>Brussels</c:v>
                </c:pt>
                <c:pt idx="26">
                  <c:v>Ottawa</c:v>
                </c:pt>
                <c:pt idx="27">
                  <c:v>Helsinki</c:v>
                </c:pt>
                <c:pt idx="28">
                  <c:v>Berlin</c:v>
                </c:pt>
                <c:pt idx="29">
                  <c:v>Cardiff</c:v>
                </c:pt>
                <c:pt idx="30">
                  <c:v>Bern</c:v>
                </c:pt>
                <c:pt idx="31">
                  <c:v>Amsterdam</c:v>
                </c:pt>
                <c:pt idx="32">
                  <c:v>Canberra</c:v>
                </c:pt>
                <c:pt idx="33">
                  <c:v>Copenhagen</c:v>
                </c:pt>
                <c:pt idx="34">
                  <c:v>Washington D.C.</c:v>
                </c:pt>
              </c:strCache>
            </c:strRef>
          </c:cat>
          <c:val>
            <c:numRef>
              <c:f>'2017Total ch capitals 100 m³'!$M$499:$M$533</c:f>
              <c:numCache>
                <c:formatCode>_ * #,##0.00_ ;_ * \-#,##0.00_ ;_ * "-"??_ ;_ @_ </c:formatCode>
                <c:ptCount val="35"/>
                <c:pt idx="1">
                  <c:v>39.878410497900838</c:v>
                </c:pt>
                <c:pt idx="8">
                  <c:v>131.95520166197124</c:v>
                </c:pt>
              </c:numCache>
            </c:numRef>
          </c:val>
          <c:extLst>
            <c:ext xmlns:c16="http://schemas.microsoft.com/office/drawing/2014/chart" uri="{C3380CC4-5D6E-409C-BE32-E72D297353CC}">
              <c16:uniqueId val="{00000008-AEB2-4848-84C2-C931B1D6B61E}"/>
            </c:ext>
          </c:extLst>
        </c:ser>
        <c:dLbls>
          <c:showLegendKey val="0"/>
          <c:showVal val="0"/>
          <c:showCatName val="0"/>
          <c:showSerName val="0"/>
          <c:showPercent val="0"/>
          <c:showBubbleSize val="0"/>
        </c:dLbls>
        <c:gapWidth val="150"/>
        <c:overlap val="100"/>
        <c:axId val="401235824"/>
        <c:axId val="401236216"/>
        <c:extLst>
          <c:ext xmlns:c15="http://schemas.microsoft.com/office/drawing/2012/chart" uri="{02D57815-91ED-43cb-92C2-25804820EDAC}">
            <c15:filteredBarSeries>
              <c15:ser>
                <c:idx val="4"/>
                <c:order val="4"/>
                <c:tx>
                  <c:strRef>
                    <c:extLst>
                      <c:ext uri="{02D57815-91ED-43cb-92C2-25804820EDAC}">
                        <c15:formulaRef>
                          <c15:sqref>'2017Total ch capitals 100 m³'!$H$498</c15:sqref>
                        </c15:formulaRef>
                      </c:ext>
                    </c:extLst>
                    <c:strCache>
                      <c:ptCount val="1"/>
                      <c:pt idx="0">
                        <c:v>Total charge drinking water</c:v>
                      </c:pt>
                    </c:strCache>
                  </c:strRef>
                </c:tx>
                <c:spPr>
                  <a:solidFill>
                    <a:schemeClr val="accent5"/>
                  </a:solidFill>
                  <a:ln>
                    <a:noFill/>
                  </a:ln>
                  <a:effectLst/>
                </c:spPr>
                <c:invertIfNegative val="0"/>
                <c:cat>
                  <c:strRef>
                    <c:extLst>
                      <c:ext uri="{02D57815-91ED-43cb-92C2-25804820EDAC}">
                        <c15:formulaRef>
                          <c15:sqref>'2017Total ch capitals 100 m³'!$A$499:$A$533</c15:sqref>
                        </c15:formulaRef>
                      </c:ext>
                    </c:extLst>
                    <c:strCache>
                      <c:ptCount val="35"/>
                      <c:pt idx="0">
                        <c:v>Yerevan</c:v>
                      </c:pt>
                      <c:pt idx="1">
                        <c:v>Buenos Aires</c:v>
                      </c:pt>
                      <c:pt idx="2">
                        <c:v>Seoul</c:v>
                      </c:pt>
                      <c:pt idx="3">
                        <c:v>Hong Kong</c:v>
                      </c:pt>
                      <c:pt idx="4">
                        <c:v>Taipei</c:v>
                      </c:pt>
                      <c:pt idx="5">
                        <c:v>Beijing</c:v>
                      </c:pt>
                      <c:pt idx="6">
                        <c:v>Moscow</c:v>
                      </c:pt>
                      <c:pt idx="7">
                        <c:v>Mexico City</c:v>
                      </c:pt>
                      <c:pt idx="8">
                        <c:v>Brasilia</c:v>
                      </c:pt>
                      <c:pt idx="9">
                        <c:v>Sofia</c:v>
                      </c:pt>
                      <c:pt idx="10">
                        <c:v>Bucharest</c:v>
                      </c:pt>
                      <c:pt idx="11">
                        <c:v>Kampala</c:v>
                      </c:pt>
                      <c:pt idx="12">
                        <c:v>Rome</c:v>
                      </c:pt>
                      <c:pt idx="13">
                        <c:v>Ankara</c:v>
                      </c:pt>
                      <c:pt idx="14">
                        <c:v>Tokyo</c:v>
                      </c:pt>
                      <c:pt idx="15">
                        <c:v>Madrid</c:v>
                      </c:pt>
                      <c:pt idx="16">
                        <c:v>Budapest</c:v>
                      </c:pt>
                      <c:pt idx="17">
                        <c:v>Lisbon</c:v>
                      </c:pt>
                      <c:pt idx="18">
                        <c:v>Warsaw</c:v>
                      </c:pt>
                      <c:pt idx="19">
                        <c:v>Stockholm</c:v>
                      </c:pt>
                      <c:pt idx="20">
                        <c:v>Nicosia</c:v>
                      </c:pt>
                      <c:pt idx="21">
                        <c:v>London</c:v>
                      </c:pt>
                      <c:pt idx="22">
                        <c:v>Prague</c:v>
                      </c:pt>
                      <c:pt idx="23">
                        <c:v>Oslo</c:v>
                      </c:pt>
                      <c:pt idx="24">
                        <c:v>Paris</c:v>
                      </c:pt>
                      <c:pt idx="25">
                        <c:v>Brussels</c:v>
                      </c:pt>
                      <c:pt idx="26">
                        <c:v>Ottawa</c:v>
                      </c:pt>
                      <c:pt idx="27">
                        <c:v>Helsinki</c:v>
                      </c:pt>
                      <c:pt idx="28">
                        <c:v>Berlin</c:v>
                      </c:pt>
                      <c:pt idx="29">
                        <c:v>Cardiff</c:v>
                      </c:pt>
                      <c:pt idx="30">
                        <c:v>Bern</c:v>
                      </c:pt>
                      <c:pt idx="31">
                        <c:v>Amsterdam</c:v>
                      </c:pt>
                      <c:pt idx="32">
                        <c:v>Canberra</c:v>
                      </c:pt>
                      <c:pt idx="33">
                        <c:v>Copenhagen</c:v>
                      </c:pt>
                      <c:pt idx="34">
                        <c:v>Washington D.C.</c:v>
                      </c:pt>
                    </c:strCache>
                  </c:strRef>
                </c:cat>
                <c:val>
                  <c:numRef>
                    <c:extLst>
                      <c:ext uri="{02D57815-91ED-43cb-92C2-25804820EDAC}">
                        <c15:formulaRef>
                          <c15:sqref>'2017Total ch capitals 100 m³'!$H$499:$H$533</c15:sqref>
                        </c15:formulaRef>
                      </c:ext>
                    </c:extLst>
                    <c:numCache>
                      <c:formatCode>_ * #,##0.00_ ;_ * \-#,##0.00_ ;_ * "-"??_ ;_ @_ </c:formatCode>
                      <c:ptCount val="35"/>
                      <c:pt idx="0">
                        <c:v>31.671413514643412</c:v>
                      </c:pt>
                      <c:pt idx="1">
                        <c:v>0</c:v>
                      </c:pt>
                      <c:pt idx="2">
                        <c:v>53.618909463360751</c:v>
                      </c:pt>
                      <c:pt idx="3">
                        <c:v>33.546712337709714</c:v>
                      </c:pt>
                      <c:pt idx="4">
                        <c:v>53.068238249789886</c:v>
                      </c:pt>
                      <c:pt idx="5">
                        <c:v>31.837533221773793</c:v>
                      </c:pt>
                      <c:pt idx="6">
                        <c:v>53.357096971229694</c:v>
                      </c:pt>
                      <c:pt idx="7">
                        <c:v>105.74263868553766</c:v>
                      </c:pt>
                      <c:pt idx="8">
                        <c:v>0</c:v>
                      </c:pt>
                      <c:pt idx="9">
                        <c:v>85.922252635971958</c:v>
                      </c:pt>
                      <c:pt idx="10">
                        <c:v>92.823476140000622</c:v>
                      </c:pt>
                      <c:pt idx="11">
                        <c:v>108.99572790059126</c:v>
                      </c:pt>
                      <c:pt idx="12">
                        <c:v>58.82282325542311</c:v>
                      </c:pt>
                      <c:pt idx="13">
                        <c:v>125.79650565262075</c:v>
                      </c:pt>
                      <c:pt idx="14">
                        <c:v>142.91549745084768</c:v>
                      </c:pt>
                      <c:pt idx="15">
                        <c:v>137.6213971020756</c:v>
                      </c:pt>
                      <c:pt idx="16">
                        <c:v>92.919375759244787</c:v>
                      </c:pt>
                      <c:pt idx="17">
                        <c:v>141.39085965354559</c:v>
                      </c:pt>
                      <c:pt idx="18">
                        <c:v>130.40103492884865</c:v>
                      </c:pt>
                      <c:pt idx="19">
                        <c:v>313.71434103444858</c:v>
                      </c:pt>
                      <c:pt idx="20">
                        <c:v>173.94749162675117</c:v>
                      </c:pt>
                      <c:pt idx="21">
                        <c:v>215.79359930803332</c:v>
                      </c:pt>
                      <c:pt idx="22">
                        <c:v>218.23244410936908</c:v>
                      </c:pt>
                      <c:pt idx="23">
                        <c:v>191.06483224928186</c:v>
                      </c:pt>
                      <c:pt idx="24">
                        <c:v>216.11985450354734</c:v>
                      </c:pt>
                      <c:pt idx="25">
                        <c:v>288.47192710771776</c:v>
                      </c:pt>
                      <c:pt idx="26">
                        <c:v>236.96117176504268</c:v>
                      </c:pt>
                      <c:pt idx="27">
                        <c:v>227.03208845031872</c:v>
                      </c:pt>
                      <c:pt idx="28">
                        <c:v>238.68861118113827</c:v>
                      </c:pt>
                      <c:pt idx="29">
                        <c:v>219.67239701589364</c:v>
                      </c:pt>
                      <c:pt idx="30">
                        <c:v>316.98856755813716</c:v>
                      </c:pt>
                      <c:pt idx="31">
                        <c:v>203.79107093552298</c:v>
                      </c:pt>
                      <c:pt idx="32">
                        <c:v>282.73468273468279</c:v>
                      </c:pt>
                      <c:pt idx="33">
                        <c:v>371.22767878731219</c:v>
                      </c:pt>
                      <c:pt idx="34">
                        <c:v>265.3</c:v>
                      </c:pt>
                    </c:numCache>
                  </c:numRef>
                </c:val>
                <c:extLst>
                  <c:ext xmlns:c16="http://schemas.microsoft.com/office/drawing/2014/chart" uri="{C3380CC4-5D6E-409C-BE32-E72D297353CC}">
                    <c16:uniqueId val="{00000009-AEB2-4848-84C2-C931B1D6B61E}"/>
                  </c:ext>
                </c:extLst>
              </c15:ser>
            </c15:filteredBarSeries>
          </c:ext>
        </c:extLst>
      </c:barChart>
      <c:catAx>
        <c:axId val="401235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236216"/>
        <c:crosses val="autoZero"/>
        <c:auto val="1"/>
        <c:lblAlgn val="ctr"/>
        <c:lblOffset val="100"/>
        <c:noMultiLvlLbl val="0"/>
      </c:catAx>
      <c:valAx>
        <c:axId val="4012362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2358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r">
              <a:defRPr/>
            </a:pPr>
            <a:r>
              <a:rPr lang="en-US" sz="1800" b="1" i="0" baseline="0">
                <a:effectLst/>
              </a:rPr>
              <a:t>Total charges for the capitals in 2015</a:t>
            </a:r>
            <a:endParaRPr lang="en-US">
              <a:effectLst/>
            </a:endParaRPr>
          </a:p>
          <a:p>
            <a:pPr algn="r">
              <a:defRPr/>
            </a:pPr>
            <a:r>
              <a:rPr lang="en-US" sz="1400" b="1" i="0" baseline="0">
                <a:effectLst/>
              </a:rPr>
              <a:t>for a consumption of 100 m³ in US$</a:t>
            </a:r>
            <a:endParaRPr lang="en-US" sz="1400">
              <a:effectLst/>
            </a:endParaRPr>
          </a:p>
        </c:rich>
      </c:tx>
      <c:layout>
        <c:manualLayout>
          <c:xMode val="edge"/>
          <c:yMode val="edge"/>
          <c:x val="0.52432288512012926"/>
          <c:y val="2.3424689622862496E-2"/>
        </c:manualLayout>
      </c:layout>
      <c:overlay val="0"/>
    </c:title>
    <c:autoTitleDeleted val="0"/>
    <c:plotArea>
      <c:layout/>
      <c:barChart>
        <c:barDir val="col"/>
        <c:grouping val="stacked"/>
        <c:varyColors val="0"/>
        <c:ser>
          <c:idx val="0"/>
          <c:order val="0"/>
          <c:tx>
            <c:strRef>
              <c:f>'[1]total charges capitals 100 m³'!$B$438</c:f>
              <c:strCache>
                <c:ptCount val="1"/>
                <c:pt idx="0">
                  <c:v>FIXED CHARGE</c:v>
                </c:pt>
              </c:strCache>
            </c:strRef>
          </c:tx>
          <c:invertIfNegative val="0"/>
          <c:cat>
            <c:strRef>
              <c:f>'[1]total charges capitals 100 m³'!$A$439:$A$460</c:f>
              <c:strCache>
                <c:ptCount val="22"/>
                <c:pt idx="0">
                  <c:v>Lusaka</c:v>
                </c:pt>
                <c:pt idx="1">
                  <c:v>Taipei</c:v>
                </c:pt>
                <c:pt idx="2">
                  <c:v>Hong Kong</c:v>
                </c:pt>
                <c:pt idx="3">
                  <c:v>Beijing</c:v>
                </c:pt>
                <c:pt idx="4">
                  <c:v>Kampala</c:v>
                </c:pt>
                <c:pt idx="5">
                  <c:v>Seoul</c:v>
                </c:pt>
                <c:pt idx="6">
                  <c:v>Lisbon</c:v>
                </c:pt>
                <c:pt idx="7">
                  <c:v>Bucharest</c:v>
                </c:pt>
                <c:pt idx="8">
                  <c:v>Tokyo</c:v>
                </c:pt>
                <c:pt idx="9">
                  <c:v>Madrid</c:v>
                </c:pt>
                <c:pt idx="10">
                  <c:v>Budapest</c:v>
                </c:pt>
                <c:pt idx="11">
                  <c:v>Athens</c:v>
                </c:pt>
                <c:pt idx="12">
                  <c:v>Paris</c:v>
                </c:pt>
                <c:pt idx="13">
                  <c:v>Oslo</c:v>
                </c:pt>
                <c:pt idx="14">
                  <c:v>Brussels</c:v>
                </c:pt>
                <c:pt idx="15">
                  <c:v>London</c:v>
                </c:pt>
                <c:pt idx="16">
                  <c:v>Helsinki</c:v>
                </c:pt>
                <c:pt idx="17">
                  <c:v>Amsterdam</c:v>
                </c:pt>
                <c:pt idx="18">
                  <c:v>Cardiff</c:v>
                </c:pt>
                <c:pt idx="19">
                  <c:v>Copenhagen</c:v>
                </c:pt>
                <c:pt idx="20">
                  <c:v>Washington D.C.</c:v>
                </c:pt>
                <c:pt idx="21">
                  <c:v>Bern</c:v>
                </c:pt>
              </c:strCache>
            </c:strRef>
          </c:cat>
          <c:val>
            <c:numRef>
              <c:f>'[1]total charges capitals 100 m³'!$B$439:$B$460</c:f>
              <c:numCache>
                <c:formatCode>General</c:formatCode>
                <c:ptCount val="22"/>
                <c:pt idx="0">
                  <c:v>0.72329264510832658</c:v>
                </c:pt>
                <c:pt idx="1">
                  <c:v>23.588728700587662</c:v>
                </c:pt>
                <c:pt idx="2">
                  <c:v>0</c:v>
                </c:pt>
                <c:pt idx="3">
                  <c:v>31.77863646621562</c:v>
                </c:pt>
                <c:pt idx="4">
                  <c:v>3.1053734620375546</c:v>
                </c:pt>
                <c:pt idx="5">
                  <c:v>0</c:v>
                </c:pt>
                <c:pt idx="6">
                  <c:v>55.899407127500162</c:v>
                </c:pt>
                <c:pt idx="7">
                  <c:v>0</c:v>
                </c:pt>
                <c:pt idx="8">
                  <c:v>116.70246706022994</c:v>
                </c:pt>
                <c:pt idx="9">
                  <c:v>66.486416053163069</c:v>
                </c:pt>
                <c:pt idx="10">
                  <c:v>5.8529268955314864</c:v>
                </c:pt>
                <c:pt idx="11">
                  <c:v>13.03016483158512</c:v>
                </c:pt>
                <c:pt idx="12">
                  <c:v>22.824505396659934</c:v>
                </c:pt>
                <c:pt idx="13">
                  <c:v>35.438980621423653</c:v>
                </c:pt>
                <c:pt idx="14">
                  <c:v>25.84316024931049</c:v>
                </c:pt>
                <c:pt idx="15">
                  <c:v>31.31677842458183</c:v>
                </c:pt>
                <c:pt idx="16">
                  <c:v>41.902838404239155</c:v>
                </c:pt>
                <c:pt idx="17">
                  <c:v>45.76845397094273</c:v>
                </c:pt>
                <c:pt idx="18">
                  <c:v>50.696337779087763</c:v>
                </c:pt>
                <c:pt idx="19">
                  <c:v>55.872831108362739</c:v>
                </c:pt>
                <c:pt idx="20">
                  <c:v>46.32</c:v>
                </c:pt>
                <c:pt idx="21">
                  <c:v>4.8227658512231653</c:v>
                </c:pt>
              </c:numCache>
            </c:numRef>
          </c:val>
          <c:extLst>
            <c:ext xmlns:c16="http://schemas.microsoft.com/office/drawing/2014/chart" uri="{C3380CC4-5D6E-409C-BE32-E72D297353CC}">
              <c16:uniqueId val="{00000000-45CA-4D58-BA45-02B5758EDA1F}"/>
            </c:ext>
          </c:extLst>
        </c:ser>
        <c:ser>
          <c:idx val="1"/>
          <c:order val="1"/>
          <c:tx>
            <c:strRef>
              <c:f>'[1]total charges capitals 100 m³'!$C$438</c:f>
              <c:strCache>
                <c:ptCount val="1"/>
                <c:pt idx="0">
                  <c:v>VARIABLE CHARGE</c:v>
                </c:pt>
              </c:strCache>
            </c:strRef>
          </c:tx>
          <c:invertIfNegative val="0"/>
          <c:cat>
            <c:strRef>
              <c:f>'[1]total charges capitals 100 m³'!$A$439:$A$460</c:f>
              <c:strCache>
                <c:ptCount val="22"/>
                <c:pt idx="0">
                  <c:v>Lusaka</c:v>
                </c:pt>
                <c:pt idx="1">
                  <c:v>Taipei</c:v>
                </c:pt>
                <c:pt idx="2">
                  <c:v>Hong Kong</c:v>
                </c:pt>
                <c:pt idx="3">
                  <c:v>Beijing</c:v>
                </c:pt>
                <c:pt idx="4">
                  <c:v>Kampala</c:v>
                </c:pt>
                <c:pt idx="5">
                  <c:v>Seoul</c:v>
                </c:pt>
                <c:pt idx="6">
                  <c:v>Lisbon</c:v>
                </c:pt>
                <c:pt idx="7">
                  <c:v>Bucharest</c:v>
                </c:pt>
                <c:pt idx="8">
                  <c:v>Tokyo</c:v>
                </c:pt>
                <c:pt idx="9">
                  <c:v>Madrid</c:v>
                </c:pt>
                <c:pt idx="10">
                  <c:v>Budapest</c:v>
                </c:pt>
                <c:pt idx="11">
                  <c:v>Athens</c:v>
                </c:pt>
                <c:pt idx="12">
                  <c:v>Paris</c:v>
                </c:pt>
                <c:pt idx="13">
                  <c:v>Oslo</c:v>
                </c:pt>
                <c:pt idx="14">
                  <c:v>Brussels</c:v>
                </c:pt>
                <c:pt idx="15">
                  <c:v>London</c:v>
                </c:pt>
                <c:pt idx="16">
                  <c:v>Helsinki</c:v>
                </c:pt>
                <c:pt idx="17">
                  <c:v>Amsterdam</c:v>
                </c:pt>
                <c:pt idx="18">
                  <c:v>Cardiff</c:v>
                </c:pt>
                <c:pt idx="19">
                  <c:v>Copenhagen</c:v>
                </c:pt>
                <c:pt idx="20">
                  <c:v>Washington D.C.</c:v>
                </c:pt>
                <c:pt idx="21">
                  <c:v>Bern</c:v>
                </c:pt>
              </c:strCache>
            </c:strRef>
          </c:cat>
          <c:val>
            <c:numRef>
              <c:f>'[1]total charges capitals 100 m³'!$C$439:$C$460</c:f>
              <c:numCache>
                <c:formatCode>General</c:formatCode>
                <c:ptCount val="22"/>
                <c:pt idx="0">
                  <c:v>35.531751190946544</c:v>
                </c:pt>
                <c:pt idx="1">
                  <c:v>14.455656819078079</c:v>
                </c:pt>
                <c:pt idx="2">
                  <c:v>33.705350827329525</c:v>
                </c:pt>
                <c:pt idx="3">
                  <c:v>0</c:v>
                </c:pt>
                <c:pt idx="4">
                  <c:v>67.209007221129553</c:v>
                </c:pt>
                <c:pt idx="5">
                  <c:v>48.656789605279521</c:v>
                </c:pt>
                <c:pt idx="6">
                  <c:v>44.389428192933309</c:v>
                </c:pt>
                <c:pt idx="7">
                  <c:v>109.94143642438831</c:v>
                </c:pt>
                <c:pt idx="8">
                  <c:v>7.3146845450856368</c:v>
                </c:pt>
                <c:pt idx="9">
                  <c:v>46.691423979846682</c:v>
                </c:pt>
                <c:pt idx="10">
                  <c:v>59.35556451703696</c:v>
                </c:pt>
                <c:pt idx="11">
                  <c:v>131.51779703346583</c:v>
                </c:pt>
                <c:pt idx="12">
                  <c:v>107.49885986057724</c:v>
                </c:pt>
                <c:pt idx="13">
                  <c:v>112.52440662280057</c:v>
                </c:pt>
                <c:pt idx="14">
                  <c:v>203.36829760896475</c:v>
                </c:pt>
                <c:pt idx="15">
                  <c:v>186.11745634072656</c:v>
                </c:pt>
                <c:pt idx="16">
                  <c:v>117.27148348426608</c:v>
                </c:pt>
                <c:pt idx="17">
                  <c:v>134.64503659304623</c:v>
                </c:pt>
                <c:pt idx="18">
                  <c:v>192.74924471299093</c:v>
                </c:pt>
                <c:pt idx="19">
                  <c:v>126.15037648685025</c:v>
                </c:pt>
                <c:pt idx="20">
                  <c:v>108.79</c:v>
                </c:pt>
                <c:pt idx="21">
                  <c:v>259.61058412381425</c:v>
                </c:pt>
              </c:numCache>
            </c:numRef>
          </c:val>
          <c:extLst>
            <c:ext xmlns:c16="http://schemas.microsoft.com/office/drawing/2014/chart" uri="{C3380CC4-5D6E-409C-BE32-E72D297353CC}">
              <c16:uniqueId val="{00000001-45CA-4D58-BA45-02B5758EDA1F}"/>
            </c:ext>
          </c:extLst>
        </c:ser>
        <c:ser>
          <c:idx val="2"/>
          <c:order val="2"/>
          <c:tx>
            <c:strRef>
              <c:f>'[1]total charges capitals 100 m³'!$D$438</c:f>
              <c:strCache>
                <c:ptCount val="1"/>
                <c:pt idx="0">
                  <c:v>OTHER CHARGES DRINKING WATER</c:v>
                </c:pt>
              </c:strCache>
            </c:strRef>
          </c:tx>
          <c:invertIfNegative val="0"/>
          <c:cat>
            <c:strRef>
              <c:f>'[1]total charges capitals 100 m³'!$A$439:$A$460</c:f>
              <c:strCache>
                <c:ptCount val="22"/>
                <c:pt idx="0">
                  <c:v>Lusaka</c:v>
                </c:pt>
                <c:pt idx="1">
                  <c:v>Taipei</c:v>
                </c:pt>
                <c:pt idx="2">
                  <c:v>Hong Kong</c:v>
                </c:pt>
                <c:pt idx="3">
                  <c:v>Beijing</c:v>
                </c:pt>
                <c:pt idx="4">
                  <c:v>Kampala</c:v>
                </c:pt>
                <c:pt idx="5">
                  <c:v>Seoul</c:v>
                </c:pt>
                <c:pt idx="6">
                  <c:v>Lisbon</c:v>
                </c:pt>
                <c:pt idx="7">
                  <c:v>Bucharest</c:v>
                </c:pt>
                <c:pt idx="8">
                  <c:v>Tokyo</c:v>
                </c:pt>
                <c:pt idx="9">
                  <c:v>Madrid</c:v>
                </c:pt>
                <c:pt idx="10">
                  <c:v>Budapest</c:v>
                </c:pt>
                <c:pt idx="11">
                  <c:v>Athens</c:v>
                </c:pt>
                <c:pt idx="12">
                  <c:v>Paris</c:v>
                </c:pt>
                <c:pt idx="13">
                  <c:v>Oslo</c:v>
                </c:pt>
                <c:pt idx="14">
                  <c:v>Brussels</c:v>
                </c:pt>
                <c:pt idx="15">
                  <c:v>London</c:v>
                </c:pt>
                <c:pt idx="16">
                  <c:v>Helsinki</c:v>
                </c:pt>
                <c:pt idx="17">
                  <c:v>Amsterdam</c:v>
                </c:pt>
                <c:pt idx="18">
                  <c:v>Cardiff</c:v>
                </c:pt>
                <c:pt idx="19">
                  <c:v>Copenhagen</c:v>
                </c:pt>
                <c:pt idx="20">
                  <c:v>Washington D.C.</c:v>
                </c:pt>
                <c:pt idx="21">
                  <c:v>Bern</c:v>
                </c:pt>
              </c:strCache>
            </c:strRef>
          </c:cat>
          <c:val>
            <c:numRef>
              <c:f>'[1]total charges capitals 100 m³'!$D$439:$D$460</c:f>
              <c:numCache>
                <c:formatCode>General</c:formatCode>
                <c:ptCount val="22"/>
                <c:pt idx="0">
                  <c:v>0</c:v>
                </c:pt>
                <c:pt idx="1">
                  <c:v>0</c:v>
                </c:pt>
                <c:pt idx="2">
                  <c:v>0</c:v>
                </c:pt>
                <c:pt idx="3">
                  <c:v>24.10263731978673</c:v>
                </c:pt>
                <c:pt idx="4">
                  <c:v>0</c:v>
                </c:pt>
                <c:pt idx="5">
                  <c:v>0</c:v>
                </c:pt>
                <c:pt idx="6">
                  <c:v>12.07461941060221</c:v>
                </c:pt>
                <c:pt idx="7">
                  <c:v>0</c:v>
                </c:pt>
                <c:pt idx="8">
                  <c:v>0</c:v>
                </c:pt>
                <c:pt idx="9">
                  <c:v>0</c:v>
                </c:pt>
                <c:pt idx="10">
                  <c:v>0</c:v>
                </c:pt>
                <c:pt idx="11">
                  <c:v>0</c:v>
                </c:pt>
                <c:pt idx="12">
                  <c:v>53.206506395639238</c:v>
                </c:pt>
                <c:pt idx="13">
                  <c:v>0</c:v>
                </c:pt>
                <c:pt idx="14">
                  <c:v>0</c:v>
                </c:pt>
                <c:pt idx="15">
                  <c:v>0</c:v>
                </c:pt>
                <c:pt idx="16">
                  <c:v>0</c:v>
                </c:pt>
                <c:pt idx="17">
                  <c:v>0</c:v>
                </c:pt>
                <c:pt idx="18">
                  <c:v>0</c:v>
                </c:pt>
                <c:pt idx="19">
                  <c:v>95.012913317085591</c:v>
                </c:pt>
                <c:pt idx="20">
                  <c:v>75.599999999999994</c:v>
                </c:pt>
                <c:pt idx="21">
                  <c:v>0</c:v>
                </c:pt>
              </c:numCache>
            </c:numRef>
          </c:val>
          <c:extLst>
            <c:ext xmlns:c16="http://schemas.microsoft.com/office/drawing/2014/chart" uri="{C3380CC4-5D6E-409C-BE32-E72D297353CC}">
              <c16:uniqueId val="{00000002-45CA-4D58-BA45-02B5758EDA1F}"/>
            </c:ext>
          </c:extLst>
        </c:ser>
        <c:ser>
          <c:idx val="3"/>
          <c:order val="3"/>
          <c:tx>
            <c:strRef>
              <c:f>'[1]total charges capitals 100 m³'!$E$438</c:f>
              <c:strCache>
                <c:ptCount val="1"/>
                <c:pt idx="0">
                  <c:v>TOTAL CHARGE DRINKING WATER</c:v>
                </c:pt>
              </c:strCache>
            </c:strRef>
          </c:tx>
          <c:invertIfNegative val="0"/>
          <c:cat>
            <c:strRef>
              <c:f>'[1]total charges capitals 100 m³'!$A$439:$A$460</c:f>
              <c:strCache>
                <c:ptCount val="22"/>
                <c:pt idx="0">
                  <c:v>Lusaka</c:v>
                </c:pt>
                <c:pt idx="1">
                  <c:v>Taipei</c:v>
                </c:pt>
                <c:pt idx="2">
                  <c:v>Hong Kong</c:v>
                </c:pt>
                <c:pt idx="3">
                  <c:v>Beijing</c:v>
                </c:pt>
                <c:pt idx="4">
                  <c:v>Kampala</c:v>
                </c:pt>
                <c:pt idx="5">
                  <c:v>Seoul</c:v>
                </c:pt>
                <c:pt idx="6">
                  <c:v>Lisbon</c:v>
                </c:pt>
                <c:pt idx="7">
                  <c:v>Bucharest</c:v>
                </c:pt>
                <c:pt idx="8">
                  <c:v>Tokyo</c:v>
                </c:pt>
                <c:pt idx="9">
                  <c:v>Madrid</c:v>
                </c:pt>
                <c:pt idx="10">
                  <c:v>Budapest</c:v>
                </c:pt>
                <c:pt idx="11">
                  <c:v>Athens</c:v>
                </c:pt>
                <c:pt idx="12">
                  <c:v>Paris</c:v>
                </c:pt>
                <c:pt idx="13">
                  <c:v>Oslo</c:v>
                </c:pt>
                <c:pt idx="14">
                  <c:v>Brussels</c:v>
                </c:pt>
                <c:pt idx="15">
                  <c:v>London</c:v>
                </c:pt>
                <c:pt idx="16">
                  <c:v>Helsinki</c:v>
                </c:pt>
                <c:pt idx="17">
                  <c:v>Amsterdam</c:v>
                </c:pt>
                <c:pt idx="18">
                  <c:v>Cardiff</c:v>
                </c:pt>
                <c:pt idx="19">
                  <c:v>Copenhagen</c:v>
                </c:pt>
                <c:pt idx="20">
                  <c:v>Washington D.C.</c:v>
                </c:pt>
                <c:pt idx="21">
                  <c:v>Bern</c:v>
                </c:pt>
              </c:strCache>
            </c:strRef>
          </c:cat>
          <c:val>
            <c:numRef>
              <c:f>'[1]total charges capitals 100 m³'!$E$439:$E$460</c:f>
              <c:numCache>
                <c:formatCode>General</c:formatCode>
                <c:ptCount val="22"/>
              </c:numCache>
            </c:numRef>
          </c:val>
          <c:extLst>
            <c:ext xmlns:c16="http://schemas.microsoft.com/office/drawing/2014/chart" uri="{C3380CC4-5D6E-409C-BE32-E72D297353CC}">
              <c16:uniqueId val="{00000003-45CA-4D58-BA45-02B5758EDA1F}"/>
            </c:ext>
          </c:extLst>
        </c:ser>
        <c:ser>
          <c:idx val="4"/>
          <c:order val="4"/>
          <c:tx>
            <c:strRef>
              <c:f>'[1]total charges capitals 100 m³'!$F$438</c:f>
              <c:strCache>
                <c:ptCount val="1"/>
                <c:pt idx="0">
                  <c:v>ENVIRONMENTAL CHARGES</c:v>
                </c:pt>
              </c:strCache>
            </c:strRef>
          </c:tx>
          <c:invertIfNegative val="0"/>
          <c:cat>
            <c:strRef>
              <c:f>'[1]total charges capitals 100 m³'!$A$439:$A$460</c:f>
              <c:strCache>
                <c:ptCount val="22"/>
                <c:pt idx="0">
                  <c:v>Lusaka</c:v>
                </c:pt>
                <c:pt idx="1">
                  <c:v>Taipei</c:v>
                </c:pt>
                <c:pt idx="2">
                  <c:v>Hong Kong</c:v>
                </c:pt>
                <c:pt idx="3">
                  <c:v>Beijing</c:v>
                </c:pt>
                <c:pt idx="4">
                  <c:v>Kampala</c:v>
                </c:pt>
                <c:pt idx="5">
                  <c:v>Seoul</c:v>
                </c:pt>
                <c:pt idx="6">
                  <c:v>Lisbon</c:v>
                </c:pt>
                <c:pt idx="7">
                  <c:v>Bucharest</c:v>
                </c:pt>
                <c:pt idx="8">
                  <c:v>Tokyo</c:v>
                </c:pt>
                <c:pt idx="9">
                  <c:v>Madrid</c:v>
                </c:pt>
                <c:pt idx="10">
                  <c:v>Budapest</c:v>
                </c:pt>
                <c:pt idx="11">
                  <c:v>Athens</c:v>
                </c:pt>
                <c:pt idx="12">
                  <c:v>Paris</c:v>
                </c:pt>
                <c:pt idx="13">
                  <c:v>Oslo</c:v>
                </c:pt>
                <c:pt idx="14">
                  <c:v>Brussels</c:v>
                </c:pt>
                <c:pt idx="15">
                  <c:v>London</c:v>
                </c:pt>
                <c:pt idx="16">
                  <c:v>Helsinki</c:v>
                </c:pt>
                <c:pt idx="17">
                  <c:v>Amsterdam</c:v>
                </c:pt>
                <c:pt idx="18">
                  <c:v>Cardiff</c:v>
                </c:pt>
                <c:pt idx="19">
                  <c:v>Copenhagen</c:v>
                </c:pt>
                <c:pt idx="20">
                  <c:v>Washington D.C.</c:v>
                </c:pt>
                <c:pt idx="21">
                  <c:v>Bern</c:v>
                </c:pt>
              </c:strCache>
            </c:strRef>
          </c:cat>
          <c:val>
            <c:numRef>
              <c:f>'[1]total charges capitals 100 m³'!$F$439:$F$460</c:f>
              <c:numCache>
                <c:formatCode>General</c:formatCode>
                <c:ptCount val="22"/>
                <c:pt idx="0">
                  <c:v>11.465996656579748</c:v>
                </c:pt>
                <c:pt idx="1">
                  <c:v>15.725819133725109</c:v>
                </c:pt>
                <c:pt idx="2">
                  <c:v>27.907742405107246</c:v>
                </c:pt>
                <c:pt idx="3">
                  <c:v>20.878717678286595</c:v>
                </c:pt>
                <c:pt idx="4">
                  <c:v>14.707528501260512</c:v>
                </c:pt>
                <c:pt idx="5">
                  <c:v>37.772242469547336</c:v>
                </c:pt>
                <c:pt idx="6">
                  <c:v>43.911655482441851</c:v>
                </c:pt>
                <c:pt idx="7">
                  <c:v>24.431430316530736</c:v>
                </c:pt>
                <c:pt idx="8">
                  <c:v>59.514933344105863</c:v>
                </c:pt>
                <c:pt idx="9">
                  <c:v>73.186092470736412</c:v>
                </c:pt>
                <c:pt idx="10">
                  <c:v>103.3661318732599</c:v>
                </c:pt>
                <c:pt idx="11">
                  <c:v>98.638347775099362</c:v>
                </c:pt>
                <c:pt idx="12">
                  <c:v>169.39214281060657</c:v>
                </c:pt>
                <c:pt idx="13">
                  <c:v>168.84304143200569</c:v>
                </c:pt>
                <c:pt idx="14">
                  <c:v>157.58898516732904</c:v>
                </c:pt>
                <c:pt idx="15">
                  <c:v>217.49318399528408</c:v>
                </c:pt>
                <c:pt idx="16">
                  <c:v>208.36319412773906</c:v>
                </c:pt>
                <c:pt idx="17">
                  <c:v>377.11468716745929</c:v>
                </c:pt>
                <c:pt idx="18">
                  <c:v>364.79257239702309</c:v>
                </c:pt>
                <c:pt idx="19">
                  <c:v>215.2268014986723</c:v>
                </c:pt>
                <c:pt idx="20">
                  <c:v>435.74</c:v>
                </c:pt>
                <c:pt idx="21">
                  <c:v>377.76335496754865</c:v>
                </c:pt>
              </c:numCache>
            </c:numRef>
          </c:val>
          <c:extLst>
            <c:ext xmlns:c16="http://schemas.microsoft.com/office/drawing/2014/chart" uri="{C3380CC4-5D6E-409C-BE32-E72D297353CC}">
              <c16:uniqueId val="{00000004-45CA-4D58-BA45-02B5758EDA1F}"/>
            </c:ext>
          </c:extLst>
        </c:ser>
        <c:ser>
          <c:idx val="5"/>
          <c:order val="5"/>
          <c:tx>
            <c:strRef>
              <c:f>'[1]total charges capitals 100 m³'!$G$438</c:f>
              <c:strCache>
                <c:ptCount val="1"/>
                <c:pt idx="0">
                  <c:v>VAT &amp; OTHER TAXES</c:v>
                </c:pt>
              </c:strCache>
            </c:strRef>
          </c:tx>
          <c:invertIfNegative val="0"/>
          <c:cat>
            <c:strRef>
              <c:f>'[1]total charges capitals 100 m³'!$A$439:$A$460</c:f>
              <c:strCache>
                <c:ptCount val="22"/>
                <c:pt idx="0">
                  <c:v>Lusaka</c:v>
                </c:pt>
                <c:pt idx="1">
                  <c:v>Taipei</c:v>
                </c:pt>
                <c:pt idx="2">
                  <c:v>Hong Kong</c:v>
                </c:pt>
                <c:pt idx="3">
                  <c:v>Beijing</c:v>
                </c:pt>
                <c:pt idx="4">
                  <c:v>Kampala</c:v>
                </c:pt>
                <c:pt idx="5">
                  <c:v>Seoul</c:v>
                </c:pt>
                <c:pt idx="6">
                  <c:v>Lisbon</c:v>
                </c:pt>
                <c:pt idx="7">
                  <c:v>Bucharest</c:v>
                </c:pt>
                <c:pt idx="8">
                  <c:v>Tokyo</c:v>
                </c:pt>
                <c:pt idx="9">
                  <c:v>Madrid</c:v>
                </c:pt>
                <c:pt idx="10">
                  <c:v>Budapest</c:v>
                </c:pt>
                <c:pt idx="11">
                  <c:v>Athens</c:v>
                </c:pt>
                <c:pt idx="12">
                  <c:v>Paris</c:v>
                </c:pt>
                <c:pt idx="13">
                  <c:v>Oslo</c:v>
                </c:pt>
                <c:pt idx="14">
                  <c:v>Brussels</c:v>
                </c:pt>
                <c:pt idx="15">
                  <c:v>London</c:v>
                </c:pt>
                <c:pt idx="16">
                  <c:v>Helsinki</c:v>
                </c:pt>
                <c:pt idx="17">
                  <c:v>Amsterdam</c:v>
                </c:pt>
                <c:pt idx="18">
                  <c:v>Cardiff</c:v>
                </c:pt>
                <c:pt idx="19">
                  <c:v>Copenhagen</c:v>
                </c:pt>
                <c:pt idx="20">
                  <c:v>Washington D.C.</c:v>
                </c:pt>
                <c:pt idx="21">
                  <c:v>Bern</c:v>
                </c:pt>
              </c:strCache>
            </c:strRef>
          </c:cat>
          <c:val>
            <c:numRef>
              <c:f>'[1]total charges capitals 100 m³'!$G$439:$G$460</c:f>
              <c:numCache>
                <c:formatCode>General</c:formatCode>
                <c:ptCount val="22"/>
                <c:pt idx="0">
                  <c:v>0</c:v>
                </c:pt>
                <c:pt idx="1">
                  <c:v>1.905243471970542</c:v>
                </c:pt>
                <c:pt idx="2">
                  <c:v>0</c:v>
                </c:pt>
                <c:pt idx="3">
                  <c:v>0</c:v>
                </c:pt>
                <c:pt idx="4">
                  <c:v>0</c:v>
                </c:pt>
                <c:pt idx="5">
                  <c:v>0</c:v>
                </c:pt>
                <c:pt idx="6">
                  <c:v>6.211045236388907</c:v>
                </c:pt>
                <c:pt idx="7">
                  <c:v>32.249488017820568</c:v>
                </c:pt>
                <c:pt idx="8">
                  <c:v>14.529623391829197</c:v>
                </c:pt>
                <c:pt idx="9">
                  <c:v>18.633135709166723</c:v>
                </c:pt>
                <c:pt idx="10">
                  <c:v>45.515113858191917</c:v>
                </c:pt>
                <c:pt idx="11">
                  <c:v>42.782374530371143</c:v>
                </c:pt>
                <c:pt idx="12">
                  <c:v>26.950724259995223</c:v>
                </c:pt>
                <c:pt idx="13">
                  <c:v>79.201607169057482</c:v>
                </c:pt>
                <c:pt idx="14">
                  <c:v>23.204551870914504</c:v>
                </c:pt>
                <c:pt idx="15">
                  <c:v>0</c:v>
                </c:pt>
                <c:pt idx="16">
                  <c:v>88.214215909831253</c:v>
                </c:pt>
                <c:pt idx="17">
                  <c:v>12.997589419506157</c:v>
                </c:pt>
                <c:pt idx="18">
                  <c:v>0</c:v>
                </c:pt>
                <c:pt idx="19">
                  <c:v>123.0657306027427</c:v>
                </c:pt>
                <c:pt idx="20">
                  <c:v>0</c:v>
                </c:pt>
                <c:pt idx="21">
                  <c:v>36.834747878182725</c:v>
                </c:pt>
              </c:numCache>
            </c:numRef>
          </c:val>
          <c:extLst>
            <c:ext xmlns:c16="http://schemas.microsoft.com/office/drawing/2014/chart" uri="{C3380CC4-5D6E-409C-BE32-E72D297353CC}">
              <c16:uniqueId val="{00000005-45CA-4D58-BA45-02B5758EDA1F}"/>
            </c:ext>
          </c:extLst>
        </c:ser>
        <c:dLbls>
          <c:showLegendKey val="0"/>
          <c:showVal val="0"/>
          <c:showCatName val="0"/>
          <c:showSerName val="0"/>
          <c:showPercent val="0"/>
          <c:showBubbleSize val="0"/>
        </c:dLbls>
        <c:gapWidth val="55"/>
        <c:overlap val="100"/>
        <c:axId val="401236608"/>
        <c:axId val="401237000"/>
      </c:barChart>
      <c:catAx>
        <c:axId val="401236608"/>
        <c:scaling>
          <c:orientation val="minMax"/>
        </c:scaling>
        <c:delete val="0"/>
        <c:axPos val="b"/>
        <c:numFmt formatCode="General" sourceLinked="0"/>
        <c:majorTickMark val="none"/>
        <c:minorTickMark val="none"/>
        <c:tickLblPos val="nextTo"/>
        <c:crossAx val="401237000"/>
        <c:crosses val="autoZero"/>
        <c:auto val="1"/>
        <c:lblAlgn val="ctr"/>
        <c:lblOffset val="100"/>
        <c:noMultiLvlLbl val="0"/>
      </c:catAx>
      <c:valAx>
        <c:axId val="401237000"/>
        <c:scaling>
          <c:orientation val="minMax"/>
        </c:scaling>
        <c:delete val="0"/>
        <c:axPos val="l"/>
        <c:majorGridlines/>
        <c:numFmt formatCode="General" sourceLinked="1"/>
        <c:majorTickMark val="none"/>
        <c:minorTickMark val="none"/>
        <c:tickLblPos val="nextTo"/>
        <c:crossAx val="401236608"/>
        <c:crosses val="autoZero"/>
        <c:crossBetween val="between"/>
      </c:valAx>
    </c:plotArea>
    <c:legend>
      <c:legendPos val="b"/>
      <c:layout/>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Specific</a:t>
            </a:r>
            <a:r>
              <a:rPr lang="en-US" baseline="0"/>
              <a:t> water consumption for households in 2014 and 2016</a:t>
            </a:r>
          </a:p>
          <a:p>
            <a:pPr>
              <a:defRPr/>
            </a:pPr>
            <a:r>
              <a:rPr lang="en-US" sz="1100" baseline="0"/>
              <a:t>in liters/capita/day</a:t>
            </a:r>
            <a:endParaRPr lang="en-US" sz="1100"/>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'Consumption HH cities'!$D$299</c:f>
              <c:strCache>
                <c:ptCount val="1"/>
                <c:pt idx="0">
                  <c:v>Households 2014</c:v>
                </c:pt>
              </c:strCache>
            </c:strRef>
          </c:tx>
          <c:spPr>
            <a:solidFill>
              <a:schemeClr val="accent1"/>
            </a:solidFill>
            <a:ln>
              <a:noFill/>
            </a:ln>
            <a:effectLst/>
          </c:spPr>
          <c:invertIfNegative val="0"/>
          <c:cat>
            <c:strRef>
              <c:f>'Consumption HH cities'!$A$300:$A$519</c:f>
              <c:strCache>
                <c:ptCount val="220"/>
                <c:pt idx="0">
                  <c:v>Mbarara</c:v>
                </c:pt>
                <c:pt idx="1">
                  <c:v>Entebbe</c:v>
                </c:pt>
                <c:pt idx="2">
                  <c:v>Jinja</c:v>
                </c:pt>
                <c:pt idx="3">
                  <c:v>Kampala</c:v>
                </c:pt>
                <c:pt idx="4">
                  <c:v>Ramnicu Valcea</c:v>
                </c:pt>
                <c:pt idx="5">
                  <c:v>Charleroi</c:v>
                </c:pt>
                <c:pt idx="6">
                  <c:v>Voluntari</c:v>
                </c:pt>
                <c:pt idx="7">
                  <c:v>Malta average</c:v>
                </c:pt>
                <c:pt idx="8">
                  <c:v>Buzau</c:v>
                </c:pt>
                <c:pt idx="9">
                  <c:v>Kortrijk</c:v>
                </c:pt>
                <c:pt idx="10">
                  <c:v>Miskolc</c:v>
                </c:pt>
                <c:pt idx="11">
                  <c:v>Kaposvár</c:v>
                </c:pt>
                <c:pt idx="12">
                  <c:v>Petrosani</c:v>
                </c:pt>
                <c:pt idx="13">
                  <c:v>Pécs</c:v>
                </c:pt>
                <c:pt idx="14">
                  <c:v>Galati</c:v>
                </c:pt>
                <c:pt idx="15">
                  <c:v>Louvain</c:v>
                </c:pt>
                <c:pt idx="16">
                  <c:v>Ghent</c:v>
                </c:pt>
                <c:pt idx="17">
                  <c:v>Brasov</c:v>
                </c:pt>
                <c:pt idx="18">
                  <c:v>Targu-Mures</c:v>
                </c:pt>
                <c:pt idx="19">
                  <c:v>Radom</c:v>
                </c:pt>
                <c:pt idx="20">
                  <c:v>Genk</c:v>
                </c:pt>
                <c:pt idx="21">
                  <c:v>Prahova</c:v>
                </c:pt>
                <c:pt idx="22">
                  <c:v>Botosani</c:v>
                </c:pt>
                <c:pt idx="23">
                  <c:v>Turda</c:v>
                </c:pt>
                <c:pt idx="24">
                  <c:v>Targoviste</c:v>
                </c:pt>
                <c:pt idx="25">
                  <c:v>Bialystok</c:v>
                </c:pt>
                <c:pt idx="26">
                  <c:v>Bydgoszcz</c:v>
                </c:pt>
                <c:pt idx="27">
                  <c:v>Brussels</c:v>
                </c:pt>
                <c:pt idx="28">
                  <c:v>Medias</c:v>
                </c:pt>
                <c:pt idx="29">
                  <c:v>Izmir</c:v>
                </c:pt>
                <c:pt idx="30">
                  <c:v>Tarnow</c:v>
                </c:pt>
                <c:pt idx="31">
                  <c:v>Liège</c:v>
                </c:pt>
                <c:pt idx="32">
                  <c:v>Arad</c:v>
                </c:pt>
                <c:pt idx="33">
                  <c:v>Ostrava</c:v>
                </c:pt>
                <c:pt idx="34">
                  <c:v>Aarhus</c:v>
                </c:pt>
                <c:pt idx="35">
                  <c:v>Braila</c:v>
                </c:pt>
                <c:pt idx="36">
                  <c:v>Satu Mare</c:v>
                </c:pt>
                <c:pt idx="37">
                  <c:v>Suceava</c:v>
                </c:pt>
                <c:pt idx="38">
                  <c:v>Odense</c:v>
                </c:pt>
                <c:pt idx="39">
                  <c:v>Beijing</c:v>
                </c:pt>
                <c:pt idx="40">
                  <c:v>Drobeta Turnu-Severin</c:v>
                </c:pt>
                <c:pt idx="41">
                  <c:v>Piatra Neamt</c:v>
                </c:pt>
                <c:pt idx="42">
                  <c:v>Aalborg</c:v>
                </c:pt>
                <c:pt idx="43">
                  <c:v>Stara Zagora</c:v>
                </c:pt>
                <c:pt idx="44">
                  <c:v>Copenhagen</c:v>
                </c:pt>
                <c:pt idx="45">
                  <c:v>Constanta</c:v>
                </c:pt>
                <c:pt idx="46">
                  <c:v>Razgrad</c:v>
                </c:pt>
                <c:pt idx="47">
                  <c:v>Tianjin</c:v>
                </c:pt>
                <c:pt idx="48">
                  <c:v>Prague</c:v>
                </c:pt>
                <c:pt idx="49">
                  <c:v>Loures</c:v>
                </c:pt>
                <c:pt idx="50">
                  <c:v>Alexandria</c:v>
                </c:pt>
                <c:pt idx="51">
                  <c:v>Brno</c:v>
                </c:pt>
                <c:pt idx="52">
                  <c:v>Oulu</c:v>
                </c:pt>
                <c:pt idx="53">
                  <c:v>Timisoara</c:v>
                </c:pt>
                <c:pt idx="54">
                  <c:v>Baia Mare</c:v>
                </c:pt>
                <c:pt idx="55">
                  <c:v>Vaslui</c:v>
                </c:pt>
                <c:pt idx="56">
                  <c:v>Berlin</c:v>
                </c:pt>
                <c:pt idx="57">
                  <c:v>Brest</c:v>
                </c:pt>
                <c:pt idx="58">
                  <c:v>Debrecen</c:v>
                </c:pt>
                <c:pt idx="59">
                  <c:v>Sintra</c:v>
                </c:pt>
                <c:pt idx="60">
                  <c:v>Esbjerg</c:v>
                </c:pt>
                <c:pt idx="61">
                  <c:v>Wroclaw</c:v>
                </c:pt>
                <c:pt idx="62">
                  <c:v>Lille</c:v>
                </c:pt>
                <c:pt idx="63">
                  <c:v>Netherlands average</c:v>
                </c:pt>
                <c:pt idx="64">
                  <c:v>Braga</c:v>
                </c:pt>
                <c:pt idx="65">
                  <c:v>Oradea</c:v>
                </c:pt>
                <c:pt idx="66">
                  <c:v>Pitesti</c:v>
                </c:pt>
                <c:pt idx="67">
                  <c:v>Pleven</c:v>
                </c:pt>
                <c:pt idx="68">
                  <c:v>Bistrita</c:v>
                </c:pt>
                <c:pt idx="69">
                  <c:v>Barcelona</c:v>
                </c:pt>
                <c:pt idx="70">
                  <c:v>Bilbao</c:v>
                </c:pt>
                <c:pt idx="71">
                  <c:v>Madrid</c:v>
                </c:pt>
                <c:pt idx="72">
                  <c:v>Sevilla</c:v>
                </c:pt>
                <c:pt idx="73">
                  <c:v>Valencia</c:v>
                </c:pt>
                <c:pt idx="74">
                  <c:v>Warsaw</c:v>
                </c:pt>
                <c:pt idx="75">
                  <c:v>Tampere</c:v>
                </c:pt>
                <c:pt idx="76">
                  <c:v>Budapest</c:v>
                </c:pt>
                <c:pt idx="77">
                  <c:v>Birmingham</c:v>
                </c:pt>
                <c:pt idx="78">
                  <c:v>Manchester</c:v>
                </c:pt>
                <c:pt idx="79">
                  <c:v>Le Havre</c:v>
                </c:pt>
                <c:pt idx="80">
                  <c:v>Turku</c:v>
                </c:pt>
                <c:pt idx="81">
                  <c:v>Leeds</c:v>
                </c:pt>
                <c:pt idx="82">
                  <c:v>Austria average</c:v>
                </c:pt>
                <c:pt idx="83">
                  <c:v>Espoo</c:v>
                </c:pt>
                <c:pt idx="84">
                  <c:v>Helsinki</c:v>
                </c:pt>
                <c:pt idx="85">
                  <c:v>Vantaa</c:v>
                </c:pt>
                <c:pt idx="86">
                  <c:v>Russia average</c:v>
                </c:pt>
                <c:pt idx="87">
                  <c:v>Porto</c:v>
                </c:pt>
                <c:pt idx="88">
                  <c:v>Istanbul</c:v>
                </c:pt>
                <c:pt idx="89">
                  <c:v>Cluj Napoca</c:v>
                </c:pt>
                <c:pt idx="90">
                  <c:v>León, Guanajuato</c:v>
                </c:pt>
                <c:pt idx="91">
                  <c:v>Nicosia</c:v>
                </c:pt>
                <c:pt idx="92">
                  <c:v>Sibiu</c:v>
                </c:pt>
                <c:pt idx="93">
                  <c:v>Uppsala</c:v>
                </c:pt>
                <c:pt idx="94">
                  <c:v>Cardiff</c:v>
                </c:pt>
                <c:pt idx="95">
                  <c:v>Coimbra</c:v>
                </c:pt>
                <c:pt idx="96">
                  <c:v>Craiova</c:v>
                </c:pt>
                <c:pt idx="97">
                  <c:v>Antwerp</c:v>
                </c:pt>
                <c:pt idx="98">
                  <c:v>Trondheim</c:v>
                </c:pt>
                <c:pt idx="99">
                  <c:v>Ankara</c:v>
                </c:pt>
                <c:pt idx="100">
                  <c:v>Reims</c:v>
                </c:pt>
                <c:pt idx="101">
                  <c:v>Paphos</c:v>
                </c:pt>
                <c:pt idx="102">
                  <c:v>Lisbon</c:v>
                </c:pt>
                <c:pt idx="103">
                  <c:v>Bucharest</c:v>
                </c:pt>
                <c:pt idx="104">
                  <c:v>Stockholm</c:v>
                </c:pt>
                <c:pt idx="105">
                  <c:v>Moscow</c:v>
                </c:pt>
                <c:pt idx="106">
                  <c:v>Melbourne</c:v>
                </c:pt>
                <c:pt idx="107">
                  <c:v>Lyon</c:v>
                </c:pt>
                <c:pt idx="108">
                  <c:v>London</c:v>
                </c:pt>
                <c:pt idx="109">
                  <c:v>SEDIF</c:v>
                </c:pt>
                <c:pt idx="110">
                  <c:v>Winnipeg</c:v>
                </c:pt>
                <c:pt idx="111">
                  <c:v>Limassol</c:v>
                </c:pt>
                <c:pt idx="112">
                  <c:v>Faro</c:v>
                </c:pt>
                <c:pt idx="113">
                  <c:v>Bacau</c:v>
                </c:pt>
                <c:pt idx="114">
                  <c:v>Göteborg</c:v>
                </c:pt>
                <c:pt idx="115">
                  <c:v>Brasilia</c:v>
                </c:pt>
                <c:pt idx="116">
                  <c:v>Brisbane</c:v>
                </c:pt>
                <c:pt idx="117">
                  <c:v>Brazil average</c:v>
                </c:pt>
                <c:pt idx="118">
                  <c:v>Nancy</c:v>
                </c:pt>
                <c:pt idx="119">
                  <c:v>Larnaca</c:v>
                </c:pt>
                <c:pt idx="120">
                  <c:v>Saskatoon</c:v>
                </c:pt>
                <c:pt idx="121">
                  <c:v>Bordeaux</c:v>
                </c:pt>
                <c:pt idx="122">
                  <c:v>Sao Paulo State</c:v>
                </c:pt>
                <c:pt idx="123">
                  <c:v>Bergen</c:v>
                </c:pt>
                <c:pt idx="124">
                  <c:v>Oslo</c:v>
                </c:pt>
                <c:pt idx="125">
                  <c:v>Busan</c:v>
                </c:pt>
                <c:pt idx="126">
                  <c:v>Malmö</c:v>
                </c:pt>
                <c:pt idx="127">
                  <c:v>Sofia</c:v>
                </c:pt>
                <c:pt idx="128">
                  <c:v>Calgary</c:v>
                </c:pt>
                <c:pt idx="129">
                  <c:v>Geneva</c:v>
                </c:pt>
                <c:pt idx="130">
                  <c:v>Marseille</c:v>
                </c:pt>
                <c:pt idx="131">
                  <c:v>Basel</c:v>
                </c:pt>
                <c:pt idx="132">
                  <c:v>Ulsan</c:v>
                </c:pt>
                <c:pt idx="133">
                  <c:v>Durham</c:v>
                </c:pt>
                <c:pt idx="134">
                  <c:v>Incheon</c:v>
                </c:pt>
                <c:pt idx="135">
                  <c:v>Daegu</c:v>
                </c:pt>
                <c:pt idx="136">
                  <c:v>Paris</c:v>
                </c:pt>
                <c:pt idx="137">
                  <c:v>Gyeounggi</c:v>
                </c:pt>
                <c:pt idx="138">
                  <c:v>Gwangju</c:v>
                </c:pt>
                <c:pt idx="139">
                  <c:v>Linköping</c:v>
                </c:pt>
                <c:pt idx="140">
                  <c:v>Bern</c:v>
                </c:pt>
                <c:pt idx="141">
                  <c:v>Canberra</c:v>
                </c:pt>
                <c:pt idx="142">
                  <c:v>Daejeon</c:v>
                </c:pt>
                <c:pt idx="143">
                  <c:v>Burgas</c:v>
                </c:pt>
                <c:pt idx="144">
                  <c:v>Seoul</c:v>
                </c:pt>
                <c:pt idx="145">
                  <c:v>Strassbourg</c:v>
                </c:pt>
                <c:pt idx="146">
                  <c:v>Fukuoka</c:v>
                </c:pt>
                <c:pt idx="147">
                  <c:v>Sapporo</c:v>
                </c:pt>
                <c:pt idx="148">
                  <c:v>Jujuy</c:v>
                </c:pt>
                <c:pt idx="149">
                  <c:v>Macao, China average</c:v>
                </c:pt>
                <c:pt idx="150">
                  <c:v>Puebla</c:v>
                </c:pt>
                <c:pt idx="151">
                  <c:v>Sydney</c:v>
                </c:pt>
                <c:pt idx="152">
                  <c:v>Guadalajara</c:v>
                </c:pt>
                <c:pt idx="153">
                  <c:v>Hiroshima</c:v>
                </c:pt>
                <c:pt idx="154">
                  <c:v>Hong Kong</c:v>
                </c:pt>
                <c:pt idx="155">
                  <c:v>Nagoya</c:v>
                </c:pt>
                <c:pt idx="156">
                  <c:v>Sendai</c:v>
                </c:pt>
                <c:pt idx="157">
                  <c:v>Tokyo</c:v>
                </c:pt>
                <c:pt idx="158">
                  <c:v>Yokohama</c:v>
                </c:pt>
                <c:pt idx="159">
                  <c:v>Perth</c:v>
                </c:pt>
                <c:pt idx="160">
                  <c:v>Shanghai</c:v>
                </c:pt>
                <c:pt idx="161">
                  <c:v>Monterrey</c:v>
                </c:pt>
                <c:pt idx="162">
                  <c:v>Osaka</c:v>
                </c:pt>
                <c:pt idx="163">
                  <c:v>San Luis Potosi</c:v>
                </c:pt>
                <c:pt idx="164">
                  <c:v>Guangzhou</c:v>
                </c:pt>
                <c:pt idx="165">
                  <c:v>Kaohsiung</c:v>
                </c:pt>
                <c:pt idx="166">
                  <c:v>Shenzhen</c:v>
                </c:pt>
                <c:pt idx="167">
                  <c:v>Provincia Buenos Aires</c:v>
                </c:pt>
                <c:pt idx="168">
                  <c:v>Mar del Plata</c:v>
                </c:pt>
                <c:pt idx="169">
                  <c:v>Santiago del Estero</c:v>
                </c:pt>
                <c:pt idx="170">
                  <c:v>Mexico City</c:v>
                </c:pt>
                <c:pt idx="171">
                  <c:v>Taipei</c:v>
                </c:pt>
                <c:pt idx="172">
                  <c:v>Provincia de Salta</c:v>
                </c:pt>
                <c:pt idx="173">
                  <c:v>Buenos Aires</c:v>
                </c:pt>
                <c:pt idx="174">
                  <c:v>Vancouver</c:v>
                </c:pt>
                <c:pt idx="175">
                  <c:v>La Rioja</c:v>
                </c:pt>
                <c:pt idx="176">
                  <c:v>Los Angeles</c:v>
                </c:pt>
                <c:pt idx="177">
                  <c:v>New York</c:v>
                </c:pt>
                <c:pt idx="178">
                  <c:v>Denver</c:v>
                </c:pt>
                <c:pt idx="179">
                  <c:v>Yerevan</c:v>
                </c:pt>
                <c:pt idx="180">
                  <c:v>South East Queensland</c:v>
                </c:pt>
                <c:pt idx="181">
                  <c:v>Antofagasta</c:v>
                </c:pt>
                <c:pt idx="182">
                  <c:v>Valparaiso</c:v>
                </c:pt>
                <c:pt idx="183">
                  <c:v>Vina del Mar</c:v>
                </c:pt>
                <c:pt idx="184">
                  <c:v>Concepcion</c:v>
                </c:pt>
                <c:pt idx="185">
                  <c:v>Temuco</c:v>
                </c:pt>
                <c:pt idx="186">
                  <c:v>Gran Santiago</c:v>
                </c:pt>
                <c:pt idx="187">
                  <c:v>Serres</c:v>
                </c:pt>
                <c:pt idx="188">
                  <c:v>Alexandroupolis</c:v>
                </c:pt>
                <c:pt idx="189">
                  <c:v>Igoumenitsa</c:v>
                </c:pt>
                <c:pt idx="190">
                  <c:v>Athens</c:v>
                </c:pt>
                <c:pt idx="191">
                  <c:v>Thessaloniki</c:v>
                </c:pt>
                <c:pt idx="192">
                  <c:v>Kenya average</c:v>
                </c:pt>
                <c:pt idx="193">
                  <c:v>Mauritius</c:v>
                </c:pt>
                <c:pt idx="194">
                  <c:v>Amsterdam</c:v>
                </c:pt>
                <c:pt idx="195">
                  <c:v>Rotterdam</c:v>
                </c:pt>
                <c:pt idx="196">
                  <c:v>Den Haag</c:v>
                </c:pt>
                <c:pt idx="197">
                  <c:v>Utrecht</c:v>
                </c:pt>
                <c:pt idx="198">
                  <c:v>Eindhoven</c:v>
                </c:pt>
                <c:pt idx="199">
                  <c:v>Maastricht</c:v>
                </c:pt>
                <c:pt idx="200">
                  <c:v>Iasi</c:v>
                </c:pt>
                <c:pt idx="201">
                  <c:v>Miercurea Ciuc</c:v>
                </c:pt>
                <c:pt idx="202">
                  <c:v>Calarasi</c:v>
                </c:pt>
                <c:pt idx="203">
                  <c:v>Giurgiu</c:v>
                </c:pt>
                <c:pt idx="204">
                  <c:v>Deva</c:v>
                </c:pt>
                <c:pt idx="205">
                  <c:v>Apaserv SA Valea Jiului</c:v>
                </c:pt>
                <c:pt idx="206">
                  <c:v>Resita</c:v>
                </c:pt>
                <c:pt idx="207">
                  <c:v> Scotland Band A</c:v>
                </c:pt>
                <c:pt idx="208">
                  <c:v> Scotland Band B</c:v>
                </c:pt>
                <c:pt idx="209">
                  <c:v> Scotland Band C</c:v>
                </c:pt>
                <c:pt idx="210">
                  <c:v> Scotland Band D</c:v>
                </c:pt>
                <c:pt idx="211">
                  <c:v> Scotland Band E</c:v>
                </c:pt>
                <c:pt idx="212">
                  <c:v> Scotland Band F</c:v>
                </c:pt>
                <c:pt idx="213">
                  <c:v> Scotland Band G</c:v>
                </c:pt>
                <c:pt idx="214">
                  <c:v> Scotland Band H</c:v>
                </c:pt>
                <c:pt idx="215">
                  <c:v>Thailand average</c:v>
                </c:pt>
                <c:pt idx="216">
                  <c:v>Lusaka</c:v>
                </c:pt>
                <c:pt idx="217">
                  <c:v>Kafubu</c:v>
                </c:pt>
                <c:pt idx="218">
                  <c:v>Mulonga</c:v>
                </c:pt>
                <c:pt idx="219">
                  <c:v>NWWSC of Zambia</c:v>
                </c:pt>
              </c:strCache>
            </c:strRef>
          </c:cat>
          <c:val>
            <c:numRef>
              <c:f>'Consumption HH cities'!$D$300:$D$519</c:f>
              <c:numCache>
                <c:formatCode>General</c:formatCode>
                <c:ptCount val="220"/>
                <c:pt idx="0">
                  <c:v>45</c:v>
                </c:pt>
                <c:pt idx="1">
                  <c:v>38</c:v>
                </c:pt>
                <c:pt idx="2">
                  <c:v>28</c:v>
                </c:pt>
                <c:pt idx="3">
                  <c:v>61</c:v>
                </c:pt>
                <c:pt idx="4">
                  <c:v>0</c:v>
                </c:pt>
                <c:pt idx="5" formatCode="0">
                  <c:v>72</c:v>
                </c:pt>
                <c:pt idx="6">
                  <c:v>0</c:v>
                </c:pt>
                <c:pt idx="7" formatCode="0">
                  <c:v>78.569999999999993</c:v>
                </c:pt>
                <c:pt idx="8">
                  <c:v>79</c:v>
                </c:pt>
                <c:pt idx="9" formatCode="0">
                  <c:v>104</c:v>
                </c:pt>
                <c:pt idx="10">
                  <c:v>79</c:v>
                </c:pt>
                <c:pt idx="11">
                  <c:v>79</c:v>
                </c:pt>
                <c:pt idx="12">
                  <c:v>0</c:v>
                </c:pt>
                <c:pt idx="13">
                  <c:v>82</c:v>
                </c:pt>
                <c:pt idx="14">
                  <c:v>0</c:v>
                </c:pt>
                <c:pt idx="15" formatCode="0">
                  <c:v>120</c:v>
                </c:pt>
                <c:pt idx="16" formatCode="0">
                  <c:v>0</c:v>
                </c:pt>
                <c:pt idx="17">
                  <c:v>96</c:v>
                </c:pt>
                <c:pt idx="18">
                  <c:v>0</c:v>
                </c:pt>
                <c:pt idx="19">
                  <c:v>89</c:v>
                </c:pt>
                <c:pt idx="20" formatCode="0">
                  <c:v>110</c:v>
                </c:pt>
                <c:pt idx="21">
                  <c:v>0</c:v>
                </c:pt>
                <c:pt idx="22">
                  <c:v>0</c:v>
                </c:pt>
                <c:pt idx="23">
                  <c:v>0</c:v>
                </c:pt>
                <c:pt idx="24">
                  <c:v>0</c:v>
                </c:pt>
                <c:pt idx="25">
                  <c:v>89</c:v>
                </c:pt>
                <c:pt idx="26">
                  <c:v>91</c:v>
                </c:pt>
                <c:pt idx="27" formatCode="0">
                  <c:v>92</c:v>
                </c:pt>
                <c:pt idx="28">
                  <c:v>91</c:v>
                </c:pt>
                <c:pt idx="29">
                  <c:v>0</c:v>
                </c:pt>
                <c:pt idx="30">
                  <c:v>94</c:v>
                </c:pt>
                <c:pt idx="31" formatCode="0">
                  <c:v>92</c:v>
                </c:pt>
                <c:pt idx="32">
                  <c:v>0</c:v>
                </c:pt>
                <c:pt idx="33">
                  <c:v>0</c:v>
                </c:pt>
                <c:pt idx="34" formatCode="0">
                  <c:v>108</c:v>
                </c:pt>
                <c:pt idx="35">
                  <c:v>0</c:v>
                </c:pt>
                <c:pt idx="36">
                  <c:v>0</c:v>
                </c:pt>
                <c:pt idx="37">
                  <c:v>101</c:v>
                </c:pt>
                <c:pt idx="38" formatCode="0">
                  <c:v>102</c:v>
                </c:pt>
                <c:pt idx="39">
                  <c:v>100</c:v>
                </c:pt>
                <c:pt idx="40">
                  <c:v>94</c:v>
                </c:pt>
                <c:pt idx="41">
                  <c:v>0</c:v>
                </c:pt>
                <c:pt idx="42" formatCode="0">
                  <c:v>105</c:v>
                </c:pt>
                <c:pt idx="43" formatCode="0">
                  <c:v>0</c:v>
                </c:pt>
                <c:pt idx="44" formatCode="0">
                  <c:v>101</c:v>
                </c:pt>
                <c:pt idx="45">
                  <c:v>104</c:v>
                </c:pt>
                <c:pt idx="46" formatCode="0">
                  <c:v>0</c:v>
                </c:pt>
                <c:pt idx="47">
                  <c:v>129</c:v>
                </c:pt>
                <c:pt idx="48">
                  <c:v>0</c:v>
                </c:pt>
                <c:pt idx="49">
                  <c:v>226</c:v>
                </c:pt>
                <c:pt idx="50">
                  <c:v>0</c:v>
                </c:pt>
                <c:pt idx="51">
                  <c:v>0</c:v>
                </c:pt>
                <c:pt idx="52" formatCode="0">
                  <c:v>110</c:v>
                </c:pt>
                <c:pt idx="53">
                  <c:v>0</c:v>
                </c:pt>
                <c:pt idx="54">
                  <c:v>103</c:v>
                </c:pt>
                <c:pt idx="55">
                  <c:v>0</c:v>
                </c:pt>
                <c:pt idx="56">
                  <c:v>0</c:v>
                </c:pt>
                <c:pt idx="57">
                  <c:v>123</c:v>
                </c:pt>
                <c:pt idx="58">
                  <c:v>85</c:v>
                </c:pt>
                <c:pt idx="59">
                  <c:v>138</c:v>
                </c:pt>
                <c:pt idx="60" formatCode="0">
                  <c:v>134</c:v>
                </c:pt>
                <c:pt idx="61">
                  <c:v>114</c:v>
                </c:pt>
                <c:pt idx="62">
                  <c:v>98</c:v>
                </c:pt>
                <c:pt idx="63" formatCode="0">
                  <c:v>118.9</c:v>
                </c:pt>
                <c:pt idx="64">
                  <c:v>132</c:v>
                </c:pt>
                <c:pt idx="65">
                  <c:v>0</c:v>
                </c:pt>
                <c:pt idx="66">
                  <c:v>0</c:v>
                </c:pt>
                <c:pt idx="67">
                  <c:v>0</c:v>
                </c:pt>
                <c:pt idx="68">
                  <c:v>0</c:v>
                </c:pt>
                <c:pt idx="69">
                  <c:v>107</c:v>
                </c:pt>
                <c:pt idx="70">
                  <c:v>107</c:v>
                </c:pt>
                <c:pt idx="71">
                  <c:v>107</c:v>
                </c:pt>
                <c:pt idx="72">
                  <c:v>107</c:v>
                </c:pt>
                <c:pt idx="73">
                  <c:v>107</c:v>
                </c:pt>
                <c:pt idx="74">
                  <c:v>0</c:v>
                </c:pt>
                <c:pt idx="75" formatCode="0">
                  <c:v>140</c:v>
                </c:pt>
                <c:pt idx="76">
                  <c:v>126</c:v>
                </c:pt>
                <c:pt idx="77">
                  <c:v>121</c:v>
                </c:pt>
                <c:pt idx="78">
                  <c:v>128</c:v>
                </c:pt>
                <c:pt idx="79">
                  <c:v>136</c:v>
                </c:pt>
                <c:pt idx="80" formatCode="0">
                  <c:v>129</c:v>
                </c:pt>
                <c:pt idx="81">
                  <c:v>134</c:v>
                </c:pt>
                <c:pt idx="82">
                  <c:v>0</c:v>
                </c:pt>
                <c:pt idx="83" formatCode="0">
                  <c:v>140</c:v>
                </c:pt>
                <c:pt idx="84" formatCode="0">
                  <c:v>140</c:v>
                </c:pt>
                <c:pt idx="85" formatCode="0">
                  <c:v>140</c:v>
                </c:pt>
                <c:pt idx="86">
                  <c:v>146</c:v>
                </c:pt>
                <c:pt idx="87">
                  <c:v>184</c:v>
                </c:pt>
                <c:pt idx="88">
                  <c:v>0</c:v>
                </c:pt>
                <c:pt idx="89">
                  <c:v>0</c:v>
                </c:pt>
                <c:pt idx="90" formatCode="0">
                  <c:v>125</c:v>
                </c:pt>
                <c:pt idx="91">
                  <c:v>133</c:v>
                </c:pt>
                <c:pt idx="92">
                  <c:v>100</c:v>
                </c:pt>
                <c:pt idx="93">
                  <c:v>0</c:v>
                </c:pt>
                <c:pt idx="94">
                  <c:v>144</c:v>
                </c:pt>
                <c:pt idx="95">
                  <c:v>187</c:v>
                </c:pt>
                <c:pt idx="96">
                  <c:v>110</c:v>
                </c:pt>
                <c:pt idx="97" formatCode="0">
                  <c:v>146</c:v>
                </c:pt>
                <c:pt idx="98">
                  <c:v>155</c:v>
                </c:pt>
                <c:pt idx="99">
                  <c:v>0</c:v>
                </c:pt>
                <c:pt idx="100">
                  <c:v>144</c:v>
                </c:pt>
                <c:pt idx="101">
                  <c:v>147</c:v>
                </c:pt>
                <c:pt idx="102">
                  <c:v>142</c:v>
                </c:pt>
                <c:pt idx="103">
                  <c:v>151</c:v>
                </c:pt>
                <c:pt idx="104">
                  <c:v>0</c:v>
                </c:pt>
                <c:pt idx="105">
                  <c:v>0</c:v>
                </c:pt>
                <c:pt idx="106">
                  <c:v>159</c:v>
                </c:pt>
                <c:pt idx="107">
                  <c:v>152</c:v>
                </c:pt>
                <c:pt idx="108">
                  <c:v>155</c:v>
                </c:pt>
                <c:pt idx="109">
                  <c:v>110</c:v>
                </c:pt>
                <c:pt idx="110" formatCode="0">
                  <c:v>163</c:v>
                </c:pt>
                <c:pt idx="111">
                  <c:v>147</c:v>
                </c:pt>
                <c:pt idx="112">
                  <c:v>189</c:v>
                </c:pt>
                <c:pt idx="113">
                  <c:v>0</c:v>
                </c:pt>
                <c:pt idx="114">
                  <c:v>0</c:v>
                </c:pt>
                <c:pt idx="115">
                  <c:v>181</c:v>
                </c:pt>
                <c:pt idx="116">
                  <c:v>0</c:v>
                </c:pt>
                <c:pt idx="117">
                  <c:v>162</c:v>
                </c:pt>
                <c:pt idx="118">
                  <c:v>142</c:v>
                </c:pt>
                <c:pt idx="119">
                  <c:v>147</c:v>
                </c:pt>
                <c:pt idx="120" formatCode="0">
                  <c:v>0</c:v>
                </c:pt>
                <c:pt idx="121" formatCode="0">
                  <c:v>153</c:v>
                </c:pt>
                <c:pt idx="122">
                  <c:v>179</c:v>
                </c:pt>
                <c:pt idx="123">
                  <c:v>160</c:v>
                </c:pt>
                <c:pt idx="124">
                  <c:v>160</c:v>
                </c:pt>
                <c:pt idx="125">
                  <c:v>258</c:v>
                </c:pt>
                <c:pt idx="126">
                  <c:v>0</c:v>
                </c:pt>
                <c:pt idx="127">
                  <c:v>0</c:v>
                </c:pt>
                <c:pt idx="128" formatCode="0">
                  <c:v>181</c:v>
                </c:pt>
                <c:pt idx="129">
                  <c:v>0</c:v>
                </c:pt>
                <c:pt idx="130">
                  <c:v>188</c:v>
                </c:pt>
                <c:pt idx="131">
                  <c:v>0</c:v>
                </c:pt>
                <c:pt idx="132">
                  <c:v>257</c:v>
                </c:pt>
                <c:pt idx="133" formatCode="0">
                  <c:v>179</c:v>
                </c:pt>
                <c:pt idx="134">
                  <c:v>295</c:v>
                </c:pt>
                <c:pt idx="135">
                  <c:v>277</c:v>
                </c:pt>
                <c:pt idx="136">
                  <c:v>187</c:v>
                </c:pt>
                <c:pt idx="137">
                  <c:v>281</c:v>
                </c:pt>
                <c:pt idx="138">
                  <c:v>270</c:v>
                </c:pt>
                <c:pt idx="139">
                  <c:v>0</c:v>
                </c:pt>
                <c:pt idx="140">
                  <c:v>182</c:v>
                </c:pt>
                <c:pt idx="141">
                  <c:v>189</c:v>
                </c:pt>
                <c:pt idx="142">
                  <c:v>297</c:v>
                </c:pt>
                <c:pt idx="143">
                  <c:v>0</c:v>
                </c:pt>
                <c:pt idx="144">
                  <c:v>284</c:v>
                </c:pt>
                <c:pt idx="145">
                  <c:v>207</c:v>
                </c:pt>
                <c:pt idx="146" formatCode="0">
                  <c:v>198</c:v>
                </c:pt>
                <c:pt idx="147" formatCode="0">
                  <c:v>199</c:v>
                </c:pt>
                <c:pt idx="148">
                  <c:v>0</c:v>
                </c:pt>
                <c:pt idx="149" formatCode="0">
                  <c:v>181.73099999999999</c:v>
                </c:pt>
                <c:pt idx="150" formatCode="0">
                  <c:v>200</c:v>
                </c:pt>
                <c:pt idx="151">
                  <c:v>200</c:v>
                </c:pt>
                <c:pt idx="152" formatCode="0">
                  <c:v>205</c:v>
                </c:pt>
                <c:pt idx="153" formatCode="0">
                  <c:v>215</c:v>
                </c:pt>
                <c:pt idx="154" formatCode="0">
                  <c:v>211</c:v>
                </c:pt>
                <c:pt idx="155" formatCode="0">
                  <c:v>217</c:v>
                </c:pt>
                <c:pt idx="156" formatCode="0">
                  <c:v>216</c:v>
                </c:pt>
                <c:pt idx="157" formatCode="0">
                  <c:v>220</c:v>
                </c:pt>
                <c:pt idx="158" formatCode="0">
                  <c:v>222</c:v>
                </c:pt>
                <c:pt idx="159">
                  <c:v>245</c:v>
                </c:pt>
                <c:pt idx="160">
                  <c:v>200</c:v>
                </c:pt>
                <c:pt idx="161" formatCode="0">
                  <c:v>250</c:v>
                </c:pt>
                <c:pt idx="162" formatCode="0">
                  <c:v>243</c:v>
                </c:pt>
                <c:pt idx="163" formatCode="0">
                  <c:v>240</c:v>
                </c:pt>
                <c:pt idx="164">
                  <c:v>284</c:v>
                </c:pt>
                <c:pt idx="165">
                  <c:v>273</c:v>
                </c:pt>
                <c:pt idx="166">
                  <c:v>313</c:v>
                </c:pt>
                <c:pt idx="167">
                  <c:v>0</c:v>
                </c:pt>
                <c:pt idx="168">
                  <c:v>0</c:v>
                </c:pt>
                <c:pt idx="169">
                  <c:v>0</c:v>
                </c:pt>
                <c:pt idx="170">
                  <c:v>0</c:v>
                </c:pt>
                <c:pt idx="171">
                  <c:v>327</c:v>
                </c:pt>
                <c:pt idx="172">
                  <c:v>0</c:v>
                </c:pt>
                <c:pt idx="173">
                  <c:v>0</c:v>
                </c:pt>
                <c:pt idx="174" formatCode="0">
                  <c:v>352</c:v>
                </c:pt>
                <c:pt idx="175">
                  <c:v>0</c:v>
                </c:pt>
                <c:pt idx="176">
                  <c:v>326</c:v>
                </c:pt>
                <c:pt idx="177">
                  <c:v>476</c:v>
                </c:pt>
                <c:pt idx="178">
                  <c:v>0</c:v>
                </c:pt>
                <c:pt idx="179">
                  <c:v>0</c:v>
                </c:pt>
                <c:pt idx="180">
                  <c:v>170</c:v>
                </c:pt>
                <c:pt idx="181" formatCode="0">
                  <c:v>151.80000000000001</c:v>
                </c:pt>
                <c:pt idx="182" formatCode="0">
                  <c:v>130.5</c:v>
                </c:pt>
                <c:pt idx="183" formatCode="0">
                  <c:v>162.19999999999999</c:v>
                </c:pt>
                <c:pt idx="184" formatCode="0">
                  <c:v>151.5</c:v>
                </c:pt>
                <c:pt idx="185" formatCode="0">
                  <c:v>150.30000000000001</c:v>
                </c:pt>
                <c:pt idx="186" formatCode="0">
                  <c:v>180</c:v>
                </c:pt>
                <c:pt idx="187">
                  <c:v>199</c:v>
                </c:pt>
                <c:pt idx="188">
                  <c:v>193</c:v>
                </c:pt>
                <c:pt idx="189">
                  <c:v>119</c:v>
                </c:pt>
                <c:pt idx="190">
                  <c:v>289</c:v>
                </c:pt>
                <c:pt idx="191">
                  <c:v>184</c:v>
                </c:pt>
                <c:pt idx="192" formatCode="0">
                  <c:v>88</c:v>
                </c:pt>
                <c:pt idx="193">
                  <c:v>183</c:v>
                </c:pt>
                <c:pt idx="194" formatCode="0">
                  <c:v>135.5</c:v>
                </c:pt>
                <c:pt idx="195" formatCode="0">
                  <c:v>135.5</c:v>
                </c:pt>
                <c:pt idx="196" formatCode="0">
                  <c:v>135.5</c:v>
                </c:pt>
                <c:pt idx="197" formatCode="0">
                  <c:v>109.7</c:v>
                </c:pt>
                <c:pt idx="198" formatCode="0">
                  <c:v>116.1</c:v>
                </c:pt>
                <c:pt idx="199" formatCode="0">
                  <c:v>116.1</c:v>
                </c:pt>
                <c:pt idx="200">
                  <c:v>98</c:v>
                </c:pt>
                <c:pt idx="201">
                  <c:v>89</c:v>
                </c:pt>
                <c:pt idx="202">
                  <c:v>91</c:v>
                </c:pt>
                <c:pt idx="203">
                  <c:v>72</c:v>
                </c:pt>
                <c:pt idx="204">
                  <c:v>102</c:v>
                </c:pt>
                <c:pt idx="205">
                  <c:v>91</c:v>
                </c:pt>
                <c:pt idx="206">
                  <c:v>79</c:v>
                </c:pt>
                <c:pt idx="207">
                  <c:v>150</c:v>
                </c:pt>
                <c:pt idx="208">
                  <c:v>150</c:v>
                </c:pt>
                <c:pt idx="209">
                  <c:v>150</c:v>
                </c:pt>
                <c:pt idx="210">
                  <c:v>150</c:v>
                </c:pt>
                <c:pt idx="211">
                  <c:v>150</c:v>
                </c:pt>
                <c:pt idx="212">
                  <c:v>150</c:v>
                </c:pt>
                <c:pt idx="213">
                  <c:v>150</c:v>
                </c:pt>
                <c:pt idx="214">
                  <c:v>150</c:v>
                </c:pt>
                <c:pt idx="215">
                  <c:v>240</c:v>
                </c:pt>
                <c:pt idx="216">
                  <c:v>54</c:v>
                </c:pt>
                <c:pt idx="217">
                  <c:v>70</c:v>
                </c:pt>
                <c:pt idx="218">
                  <c:v>97</c:v>
                </c:pt>
                <c:pt idx="219">
                  <c:v>34</c:v>
                </c:pt>
              </c:numCache>
            </c:numRef>
          </c:val>
          <c:extLst>
            <c:ext xmlns:c16="http://schemas.microsoft.com/office/drawing/2014/chart" uri="{C3380CC4-5D6E-409C-BE32-E72D297353CC}">
              <c16:uniqueId val="{00000000-79EE-4038-A863-5300EE992C6A}"/>
            </c:ext>
          </c:extLst>
        </c:ser>
        <c:ser>
          <c:idx val="1"/>
          <c:order val="1"/>
          <c:tx>
            <c:strRef>
              <c:f>'Consumption HH cities'!$E$299</c:f>
              <c:strCache>
                <c:ptCount val="1"/>
                <c:pt idx="0">
                  <c:v>Households 2016</c:v>
                </c:pt>
              </c:strCache>
            </c:strRef>
          </c:tx>
          <c:spPr>
            <a:solidFill>
              <a:schemeClr val="accent2"/>
            </a:solidFill>
            <a:ln>
              <a:noFill/>
            </a:ln>
            <a:effectLst/>
          </c:spPr>
          <c:invertIfNegative val="0"/>
          <c:cat>
            <c:strRef>
              <c:f>'Consumption HH cities'!$A$300:$A$519</c:f>
              <c:strCache>
                <c:ptCount val="220"/>
                <c:pt idx="0">
                  <c:v>Mbarara</c:v>
                </c:pt>
                <c:pt idx="1">
                  <c:v>Entebbe</c:v>
                </c:pt>
                <c:pt idx="2">
                  <c:v>Jinja</c:v>
                </c:pt>
                <c:pt idx="3">
                  <c:v>Kampala</c:v>
                </c:pt>
                <c:pt idx="4">
                  <c:v>Ramnicu Valcea</c:v>
                </c:pt>
                <c:pt idx="5">
                  <c:v>Charleroi</c:v>
                </c:pt>
                <c:pt idx="6">
                  <c:v>Voluntari</c:v>
                </c:pt>
                <c:pt idx="7">
                  <c:v>Malta average</c:v>
                </c:pt>
                <c:pt idx="8">
                  <c:v>Buzau</c:v>
                </c:pt>
                <c:pt idx="9">
                  <c:v>Kortrijk</c:v>
                </c:pt>
                <c:pt idx="10">
                  <c:v>Miskolc</c:v>
                </c:pt>
                <c:pt idx="11">
                  <c:v>Kaposvár</c:v>
                </c:pt>
                <c:pt idx="12">
                  <c:v>Petrosani</c:v>
                </c:pt>
                <c:pt idx="13">
                  <c:v>Pécs</c:v>
                </c:pt>
                <c:pt idx="14">
                  <c:v>Galati</c:v>
                </c:pt>
                <c:pt idx="15">
                  <c:v>Louvain</c:v>
                </c:pt>
                <c:pt idx="16">
                  <c:v>Ghent</c:v>
                </c:pt>
                <c:pt idx="17">
                  <c:v>Brasov</c:v>
                </c:pt>
                <c:pt idx="18">
                  <c:v>Targu-Mures</c:v>
                </c:pt>
                <c:pt idx="19">
                  <c:v>Radom</c:v>
                </c:pt>
                <c:pt idx="20">
                  <c:v>Genk</c:v>
                </c:pt>
                <c:pt idx="21">
                  <c:v>Prahova</c:v>
                </c:pt>
                <c:pt idx="22">
                  <c:v>Botosani</c:v>
                </c:pt>
                <c:pt idx="23">
                  <c:v>Turda</c:v>
                </c:pt>
                <c:pt idx="24">
                  <c:v>Targoviste</c:v>
                </c:pt>
                <c:pt idx="25">
                  <c:v>Bialystok</c:v>
                </c:pt>
                <c:pt idx="26">
                  <c:v>Bydgoszcz</c:v>
                </c:pt>
                <c:pt idx="27">
                  <c:v>Brussels</c:v>
                </c:pt>
                <c:pt idx="28">
                  <c:v>Medias</c:v>
                </c:pt>
                <c:pt idx="29">
                  <c:v>Izmir</c:v>
                </c:pt>
                <c:pt idx="30">
                  <c:v>Tarnow</c:v>
                </c:pt>
                <c:pt idx="31">
                  <c:v>Liège</c:v>
                </c:pt>
                <c:pt idx="32">
                  <c:v>Arad</c:v>
                </c:pt>
                <c:pt idx="33">
                  <c:v>Ostrava</c:v>
                </c:pt>
                <c:pt idx="34">
                  <c:v>Aarhus</c:v>
                </c:pt>
                <c:pt idx="35">
                  <c:v>Braila</c:v>
                </c:pt>
                <c:pt idx="36">
                  <c:v>Satu Mare</c:v>
                </c:pt>
                <c:pt idx="37">
                  <c:v>Suceava</c:v>
                </c:pt>
                <c:pt idx="38">
                  <c:v>Odense</c:v>
                </c:pt>
                <c:pt idx="39">
                  <c:v>Beijing</c:v>
                </c:pt>
                <c:pt idx="40">
                  <c:v>Drobeta Turnu-Severin</c:v>
                </c:pt>
                <c:pt idx="41">
                  <c:v>Piatra Neamt</c:v>
                </c:pt>
                <c:pt idx="42">
                  <c:v>Aalborg</c:v>
                </c:pt>
                <c:pt idx="43">
                  <c:v>Stara Zagora</c:v>
                </c:pt>
                <c:pt idx="44">
                  <c:v>Copenhagen</c:v>
                </c:pt>
                <c:pt idx="45">
                  <c:v>Constanta</c:v>
                </c:pt>
                <c:pt idx="46">
                  <c:v>Razgrad</c:v>
                </c:pt>
                <c:pt idx="47">
                  <c:v>Tianjin</c:v>
                </c:pt>
                <c:pt idx="48">
                  <c:v>Prague</c:v>
                </c:pt>
                <c:pt idx="49">
                  <c:v>Loures</c:v>
                </c:pt>
                <c:pt idx="50">
                  <c:v>Alexandria</c:v>
                </c:pt>
                <c:pt idx="51">
                  <c:v>Brno</c:v>
                </c:pt>
                <c:pt idx="52">
                  <c:v>Oulu</c:v>
                </c:pt>
                <c:pt idx="53">
                  <c:v>Timisoara</c:v>
                </c:pt>
                <c:pt idx="54">
                  <c:v>Baia Mare</c:v>
                </c:pt>
                <c:pt idx="55">
                  <c:v>Vaslui</c:v>
                </c:pt>
                <c:pt idx="56">
                  <c:v>Berlin</c:v>
                </c:pt>
                <c:pt idx="57">
                  <c:v>Brest</c:v>
                </c:pt>
                <c:pt idx="58">
                  <c:v>Debrecen</c:v>
                </c:pt>
                <c:pt idx="59">
                  <c:v>Sintra</c:v>
                </c:pt>
                <c:pt idx="60">
                  <c:v>Esbjerg</c:v>
                </c:pt>
                <c:pt idx="61">
                  <c:v>Wroclaw</c:v>
                </c:pt>
                <c:pt idx="62">
                  <c:v>Lille</c:v>
                </c:pt>
                <c:pt idx="63">
                  <c:v>Netherlands average</c:v>
                </c:pt>
                <c:pt idx="64">
                  <c:v>Braga</c:v>
                </c:pt>
                <c:pt idx="65">
                  <c:v>Oradea</c:v>
                </c:pt>
                <c:pt idx="66">
                  <c:v>Pitesti</c:v>
                </c:pt>
                <c:pt idx="67">
                  <c:v>Pleven</c:v>
                </c:pt>
                <c:pt idx="68">
                  <c:v>Bistrita</c:v>
                </c:pt>
                <c:pt idx="69">
                  <c:v>Barcelona</c:v>
                </c:pt>
                <c:pt idx="70">
                  <c:v>Bilbao</c:v>
                </c:pt>
                <c:pt idx="71">
                  <c:v>Madrid</c:v>
                </c:pt>
                <c:pt idx="72">
                  <c:v>Sevilla</c:v>
                </c:pt>
                <c:pt idx="73">
                  <c:v>Valencia</c:v>
                </c:pt>
                <c:pt idx="74">
                  <c:v>Warsaw</c:v>
                </c:pt>
                <c:pt idx="75">
                  <c:v>Tampere</c:v>
                </c:pt>
                <c:pt idx="76">
                  <c:v>Budapest</c:v>
                </c:pt>
                <c:pt idx="77">
                  <c:v>Birmingham</c:v>
                </c:pt>
                <c:pt idx="78">
                  <c:v>Manchester</c:v>
                </c:pt>
                <c:pt idx="79">
                  <c:v>Le Havre</c:v>
                </c:pt>
                <c:pt idx="80">
                  <c:v>Turku</c:v>
                </c:pt>
                <c:pt idx="81">
                  <c:v>Leeds</c:v>
                </c:pt>
                <c:pt idx="82">
                  <c:v>Austria average</c:v>
                </c:pt>
                <c:pt idx="83">
                  <c:v>Espoo</c:v>
                </c:pt>
                <c:pt idx="84">
                  <c:v>Helsinki</c:v>
                </c:pt>
                <c:pt idx="85">
                  <c:v>Vantaa</c:v>
                </c:pt>
                <c:pt idx="86">
                  <c:v>Russia average</c:v>
                </c:pt>
                <c:pt idx="87">
                  <c:v>Porto</c:v>
                </c:pt>
                <c:pt idx="88">
                  <c:v>Istanbul</c:v>
                </c:pt>
                <c:pt idx="89">
                  <c:v>Cluj Napoca</c:v>
                </c:pt>
                <c:pt idx="90">
                  <c:v>León, Guanajuato</c:v>
                </c:pt>
                <c:pt idx="91">
                  <c:v>Nicosia</c:v>
                </c:pt>
                <c:pt idx="92">
                  <c:v>Sibiu</c:v>
                </c:pt>
                <c:pt idx="93">
                  <c:v>Uppsala</c:v>
                </c:pt>
                <c:pt idx="94">
                  <c:v>Cardiff</c:v>
                </c:pt>
                <c:pt idx="95">
                  <c:v>Coimbra</c:v>
                </c:pt>
                <c:pt idx="96">
                  <c:v>Craiova</c:v>
                </c:pt>
                <c:pt idx="97">
                  <c:v>Antwerp</c:v>
                </c:pt>
                <c:pt idx="98">
                  <c:v>Trondheim</c:v>
                </c:pt>
                <c:pt idx="99">
                  <c:v>Ankara</c:v>
                </c:pt>
                <c:pt idx="100">
                  <c:v>Reims</c:v>
                </c:pt>
                <c:pt idx="101">
                  <c:v>Paphos</c:v>
                </c:pt>
                <c:pt idx="102">
                  <c:v>Lisbon</c:v>
                </c:pt>
                <c:pt idx="103">
                  <c:v>Bucharest</c:v>
                </c:pt>
                <c:pt idx="104">
                  <c:v>Stockholm</c:v>
                </c:pt>
                <c:pt idx="105">
                  <c:v>Moscow</c:v>
                </c:pt>
                <c:pt idx="106">
                  <c:v>Melbourne</c:v>
                </c:pt>
                <c:pt idx="107">
                  <c:v>Lyon</c:v>
                </c:pt>
                <c:pt idx="108">
                  <c:v>London</c:v>
                </c:pt>
                <c:pt idx="109">
                  <c:v>SEDIF</c:v>
                </c:pt>
                <c:pt idx="110">
                  <c:v>Winnipeg</c:v>
                </c:pt>
                <c:pt idx="111">
                  <c:v>Limassol</c:v>
                </c:pt>
                <c:pt idx="112">
                  <c:v>Faro</c:v>
                </c:pt>
                <c:pt idx="113">
                  <c:v>Bacau</c:v>
                </c:pt>
                <c:pt idx="114">
                  <c:v>Göteborg</c:v>
                </c:pt>
                <c:pt idx="115">
                  <c:v>Brasilia</c:v>
                </c:pt>
                <c:pt idx="116">
                  <c:v>Brisbane</c:v>
                </c:pt>
                <c:pt idx="117">
                  <c:v>Brazil average</c:v>
                </c:pt>
                <c:pt idx="118">
                  <c:v>Nancy</c:v>
                </c:pt>
                <c:pt idx="119">
                  <c:v>Larnaca</c:v>
                </c:pt>
                <c:pt idx="120">
                  <c:v>Saskatoon</c:v>
                </c:pt>
                <c:pt idx="121">
                  <c:v>Bordeaux</c:v>
                </c:pt>
                <c:pt idx="122">
                  <c:v>Sao Paulo State</c:v>
                </c:pt>
                <c:pt idx="123">
                  <c:v>Bergen</c:v>
                </c:pt>
                <c:pt idx="124">
                  <c:v>Oslo</c:v>
                </c:pt>
                <c:pt idx="125">
                  <c:v>Busan</c:v>
                </c:pt>
                <c:pt idx="126">
                  <c:v>Malmö</c:v>
                </c:pt>
                <c:pt idx="127">
                  <c:v>Sofia</c:v>
                </c:pt>
                <c:pt idx="128">
                  <c:v>Calgary</c:v>
                </c:pt>
                <c:pt idx="129">
                  <c:v>Geneva</c:v>
                </c:pt>
                <c:pt idx="130">
                  <c:v>Marseille</c:v>
                </c:pt>
                <c:pt idx="131">
                  <c:v>Basel</c:v>
                </c:pt>
                <c:pt idx="132">
                  <c:v>Ulsan</c:v>
                </c:pt>
                <c:pt idx="133">
                  <c:v>Durham</c:v>
                </c:pt>
                <c:pt idx="134">
                  <c:v>Incheon</c:v>
                </c:pt>
                <c:pt idx="135">
                  <c:v>Daegu</c:v>
                </c:pt>
                <c:pt idx="136">
                  <c:v>Paris</c:v>
                </c:pt>
                <c:pt idx="137">
                  <c:v>Gyeounggi</c:v>
                </c:pt>
                <c:pt idx="138">
                  <c:v>Gwangju</c:v>
                </c:pt>
                <c:pt idx="139">
                  <c:v>Linköping</c:v>
                </c:pt>
                <c:pt idx="140">
                  <c:v>Bern</c:v>
                </c:pt>
                <c:pt idx="141">
                  <c:v>Canberra</c:v>
                </c:pt>
                <c:pt idx="142">
                  <c:v>Daejeon</c:v>
                </c:pt>
                <c:pt idx="143">
                  <c:v>Burgas</c:v>
                </c:pt>
                <c:pt idx="144">
                  <c:v>Seoul</c:v>
                </c:pt>
                <c:pt idx="145">
                  <c:v>Strassbourg</c:v>
                </c:pt>
                <c:pt idx="146">
                  <c:v>Fukuoka</c:v>
                </c:pt>
                <c:pt idx="147">
                  <c:v>Sapporo</c:v>
                </c:pt>
                <c:pt idx="148">
                  <c:v>Jujuy</c:v>
                </c:pt>
                <c:pt idx="149">
                  <c:v>Macao, China average</c:v>
                </c:pt>
                <c:pt idx="150">
                  <c:v>Puebla</c:v>
                </c:pt>
                <c:pt idx="151">
                  <c:v>Sydney</c:v>
                </c:pt>
                <c:pt idx="152">
                  <c:v>Guadalajara</c:v>
                </c:pt>
                <c:pt idx="153">
                  <c:v>Hiroshima</c:v>
                </c:pt>
                <c:pt idx="154">
                  <c:v>Hong Kong</c:v>
                </c:pt>
                <c:pt idx="155">
                  <c:v>Nagoya</c:v>
                </c:pt>
                <c:pt idx="156">
                  <c:v>Sendai</c:v>
                </c:pt>
                <c:pt idx="157">
                  <c:v>Tokyo</c:v>
                </c:pt>
                <c:pt idx="158">
                  <c:v>Yokohama</c:v>
                </c:pt>
                <c:pt idx="159">
                  <c:v>Perth</c:v>
                </c:pt>
                <c:pt idx="160">
                  <c:v>Shanghai</c:v>
                </c:pt>
                <c:pt idx="161">
                  <c:v>Monterrey</c:v>
                </c:pt>
                <c:pt idx="162">
                  <c:v>Osaka</c:v>
                </c:pt>
                <c:pt idx="163">
                  <c:v>San Luis Potosi</c:v>
                </c:pt>
                <c:pt idx="164">
                  <c:v>Guangzhou</c:v>
                </c:pt>
                <c:pt idx="165">
                  <c:v>Kaohsiung</c:v>
                </c:pt>
                <c:pt idx="166">
                  <c:v>Shenzhen</c:v>
                </c:pt>
                <c:pt idx="167">
                  <c:v>Provincia Buenos Aires</c:v>
                </c:pt>
                <c:pt idx="168">
                  <c:v>Mar del Plata</c:v>
                </c:pt>
                <c:pt idx="169">
                  <c:v>Santiago del Estero</c:v>
                </c:pt>
                <c:pt idx="170">
                  <c:v>Mexico City</c:v>
                </c:pt>
                <c:pt idx="171">
                  <c:v>Taipei</c:v>
                </c:pt>
                <c:pt idx="172">
                  <c:v>Provincia de Salta</c:v>
                </c:pt>
                <c:pt idx="173">
                  <c:v>Buenos Aires</c:v>
                </c:pt>
                <c:pt idx="174">
                  <c:v>Vancouver</c:v>
                </c:pt>
                <c:pt idx="175">
                  <c:v>La Rioja</c:v>
                </c:pt>
                <c:pt idx="176">
                  <c:v>Los Angeles</c:v>
                </c:pt>
                <c:pt idx="177">
                  <c:v>New York</c:v>
                </c:pt>
                <c:pt idx="178">
                  <c:v>Denver</c:v>
                </c:pt>
                <c:pt idx="179">
                  <c:v>Yerevan</c:v>
                </c:pt>
                <c:pt idx="180">
                  <c:v>South East Queensland</c:v>
                </c:pt>
                <c:pt idx="181">
                  <c:v>Antofagasta</c:v>
                </c:pt>
                <c:pt idx="182">
                  <c:v>Valparaiso</c:v>
                </c:pt>
                <c:pt idx="183">
                  <c:v>Vina del Mar</c:v>
                </c:pt>
                <c:pt idx="184">
                  <c:v>Concepcion</c:v>
                </c:pt>
                <c:pt idx="185">
                  <c:v>Temuco</c:v>
                </c:pt>
                <c:pt idx="186">
                  <c:v>Gran Santiago</c:v>
                </c:pt>
                <c:pt idx="187">
                  <c:v>Serres</c:v>
                </c:pt>
                <c:pt idx="188">
                  <c:v>Alexandroupolis</c:v>
                </c:pt>
                <c:pt idx="189">
                  <c:v>Igoumenitsa</c:v>
                </c:pt>
                <c:pt idx="190">
                  <c:v>Athens</c:v>
                </c:pt>
                <c:pt idx="191">
                  <c:v>Thessaloniki</c:v>
                </c:pt>
                <c:pt idx="192">
                  <c:v>Kenya average</c:v>
                </c:pt>
                <c:pt idx="193">
                  <c:v>Mauritius</c:v>
                </c:pt>
                <c:pt idx="194">
                  <c:v>Amsterdam</c:v>
                </c:pt>
                <c:pt idx="195">
                  <c:v>Rotterdam</c:v>
                </c:pt>
                <c:pt idx="196">
                  <c:v>Den Haag</c:v>
                </c:pt>
                <c:pt idx="197">
                  <c:v>Utrecht</c:v>
                </c:pt>
                <c:pt idx="198">
                  <c:v>Eindhoven</c:v>
                </c:pt>
                <c:pt idx="199">
                  <c:v>Maastricht</c:v>
                </c:pt>
                <c:pt idx="200">
                  <c:v>Iasi</c:v>
                </c:pt>
                <c:pt idx="201">
                  <c:v>Miercurea Ciuc</c:v>
                </c:pt>
                <c:pt idx="202">
                  <c:v>Calarasi</c:v>
                </c:pt>
                <c:pt idx="203">
                  <c:v>Giurgiu</c:v>
                </c:pt>
                <c:pt idx="204">
                  <c:v>Deva</c:v>
                </c:pt>
                <c:pt idx="205">
                  <c:v>Apaserv SA Valea Jiului</c:v>
                </c:pt>
                <c:pt idx="206">
                  <c:v>Resita</c:v>
                </c:pt>
                <c:pt idx="207">
                  <c:v> Scotland Band A</c:v>
                </c:pt>
                <c:pt idx="208">
                  <c:v> Scotland Band B</c:v>
                </c:pt>
                <c:pt idx="209">
                  <c:v> Scotland Band C</c:v>
                </c:pt>
                <c:pt idx="210">
                  <c:v> Scotland Band D</c:v>
                </c:pt>
                <c:pt idx="211">
                  <c:v> Scotland Band E</c:v>
                </c:pt>
                <c:pt idx="212">
                  <c:v> Scotland Band F</c:v>
                </c:pt>
                <c:pt idx="213">
                  <c:v> Scotland Band G</c:v>
                </c:pt>
                <c:pt idx="214">
                  <c:v> Scotland Band H</c:v>
                </c:pt>
                <c:pt idx="215">
                  <c:v>Thailand average</c:v>
                </c:pt>
                <c:pt idx="216">
                  <c:v>Lusaka</c:v>
                </c:pt>
                <c:pt idx="217">
                  <c:v>Kafubu</c:v>
                </c:pt>
                <c:pt idx="218">
                  <c:v>Mulonga</c:v>
                </c:pt>
                <c:pt idx="219">
                  <c:v>NWWSC of Zambia</c:v>
                </c:pt>
              </c:strCache>
            </c:strRef>
          </c:cat>
          <c:val>
            <c:numRef>
              <c:f>'Consumption HH cities'!$E$300:$E$519</c:f>
              <c:numCache>
                <c:formatCode>0</c:formatCode>
                <c:ptCount val="220"/>
                <c:pt idx="0">
                  <c:v>13.723130112909756</c:v>
                </c:pt>
                <c:pt idx="1">
                  <c:v>15.534679227430733</c:v>
                </c:pt>
                <c:pt idx="2">
                  <c:v>19.250291699245707</c:v>
                </c:pt>
                <c:pt idx="3">
                  <c:v>23.915051006319757</c:v>
                </c:pt>
                <c:pt idx="4" formatCode="General">
                  <c:v>64</c:v>
                </c:pt>
                <c:pt idx="5">
                  <c:v>71</c:v>
                </c:pt>
                <c:pt idx="6" formatCode="General">
                  <c:v>72</c:v>
                </c:pt>
                <c:pt idx="7">
                  <c:v>74.180000000000007</c:v>
                </c:pt>
                <c:pt idx="8" formatCode="General">
                  <c:v>76</c:v>
                </c:pt>
                <c:pt idx="9">
                  <c:v>78</c:v>
                </c:pt>
                <c:pt idx="10" formatCode="General">
                  <c:v>78</c:v>
                </c:pt>
                <c:pt idx="11" formatCode="General">
                  <c:v>80</c:v>
                </c:pt>
                <c:pt idx="12" formatCode="General">
                  <c:v>80</c:v>
                </c:pt>
                <c:pt idx="13" formatCode="General">
                  <c:v>85</c:v>
                </c:pt>
                <c:pt idx="14" formatCode="General">
                  <c:v>86</c:v>
                </c:pt>
                <c:pt idx="15">
                  <c:v>87</c:v>
                </c:pt>
                <c:pt idx="16">
                  <c:v>87</c:v>
                </c:pt>
                <c:pt idx="17" formatCode="General">
                  <c:v>87</c:v>
                </c:pt>
                <c:pt idx="18" formatCode="General">
                  <c:v>87</c:v>
                </c:pt>
                <c:pt idx="19">
                  <c:v>87.978024772469695</c:v>
                </c:pt>
                <c:pt idx="20">
                  <c:v>88</c:v>
                </c:pt>
                <c:pt idx="21" formatCode="General">
                  <c:v>89</c:v>
                </c:pt>
                <c:pt idx="22" formatCode="General">
                  <c:v>89</c:v>
                </c:pt>
                <c:pt idx="23" formatCode="General">
                  <c:v>90</c:v>
                </c:pt>
                <c:pt idx="24" formatCode="General">
                  <c:v>90</c:v>
                </c:pt>
                <c:pt idx="25">
                  <c:v>90.163842422308662</c:v>
                </c:pt>
                <c:pt idx="26">
                  <c:v>92.076524984067305</c:v>
                </c:pt>
                <c:pt idx="27">
                  <c:v>93</c:v>
                </c:pt>
                <c:pt idx="28" formatCode="General">
                  <c:v>93</c:v>
                </c:pt>
                <c:pt idx="29" formatCode="General">
                  <c:v>93</c:v>
                </c:pt>
                <c:pt idx="30">
                  <c:v>93.989242904295537</c:v>
                </c:pt>
                <c:pt idx="31">
                  <c:v>94</c:v>
                </c:pt>
                <c:pt idx="32" formatCode="General">
                  <c:v>96</c:v>
                </c:pt>
                <c:pt idx="33" formatCode="General">
                  <c:v>97</c:v>
                </c:pt>
                <c:pt idx="34">
                  <c:v>98</c:v>
                </c:pt>
                <c:pt idx="35" formatCode="General">
                  <c:v>98</c:v>
                </c:pt>
                <c:pt idx="36" formatCode="General">
                  <c:v>98</c:v>
                </c:pt>
                <c:pt idx="37" formatCode="General">
                  <c:v>98</c:v>
                </c:pt>
                <c:pt idx="38">
                  <c:v>99.1</c:v>
                </c:pt>
                <c:pt idx="39" formatCode="General">
                  <c:v>100</c:v>
                </c:pt>
                <c:pt idx="40" formatCode="General">
                  <c:v>102</c:v>
                </c:pt>
                <c:pt idx="41" formatCode="General">
                  <c:v>102</c:v>
                </c:pt>
                <c:pt idx="42">
                  <c:v>102.3</c:v>
                </c:pt>
                <c:pt idx="43">
                  <c:v>103.164</c:v>
                </c:pt>
                <c:pt idx="44">
                  <c:v>104.3</c:v>
                </c:pt>
                <c:pt idx="45" formatCode="General">
                  <c:v>106</c:v>
                </c:pt>
                <c:pt idx="46">
                  <c:v>106.72</c:v>
                </c:pt>
                <c:pt idx="47" formatCode="General">
                  <c:v>108</c:v>
                </c:pt>
                <c:pt idx="48" formatCode="General">
                  <c:v>108</c:v>
                </c:pt>
                <c:pt idx="49" formatCode="General">
                  <c:v>108</c:v>
                </c:pt>
                <c:pt idx="50" formatCode="General">
                  <c:v>109</c:v>
                </c:pt>
                <c:pt idx="51" formatCode="General">
                  <c:v>110</c:v>
                </c:pt>
                <c:pt idx="52">
                  <c:v>110</c:v>
                </c:pt>
                <c:pt idx="53" formatCode="General">
                  <c:v>110</c:v>
                </c:pt>
                <c:pt idx="54" formatCode="General">
                  <c:v>112</c:v>
                </c:pt>
                <c:pt idx="55" formatCode="General">
                  <c:v>113</c:v>
                </c:pt>
                <c:pt idx="56" formatCode="General">
                  <c:v>114</c:v>
                </c:pt>
                <c:pt idx="57" formatCode="General">
                  <c:v>116</c:v>
                </c:pt>
                <c:pt idx="58" formatCode="General">
                  <c:v>116</c:v>
                </c:pt>
                <c:pt idx="59" formatCode="General">
                  <c:v>117</c:v>
                </c:pt>
                <c:pt idx="60">
                  <c:v>117.6</c:v>
                </c:pt>
                <c:pt idx="61">
                  <c:v>118.03280061997181</c:v>
                </c:pt>
                <c:pt idx="62" formatCode="General">
                  <c:v>119</c:v>
                </c:pt>
                <c:pt idx="63">
                  <c:v>119.2</c:v>
                </c:pt>
                <c:pt idx="64" formatCode="General">
                  <c:v>120</c:v>
                </c:pt>
                <c:pt idx="65" formatCode="General">
                  <c:v>120</c:v>
                </c:pt>
                <c:pt idx="66" formatCode="General">
                  <c:v>120</c:v>
                </c:pt>
                <c:pt idx="67">
                  <c:v>123.43899999999999</c:v>
                </c:pt>
                <c:pt idx="68" formatCode="General">
                  <c:v>125</c:v>
                </c:pt>
                <c:pt idx="69" formatCode="General">
                  <c:v>127</c:v>
                </c:pt>
                <c:pt idx="70" formatCode="General">
                  <c:v>127</c:v>
                </c:pt>
                <c:pt idx="71" formatCode="General">
                  <c:v>127</c:v>
                </c:pt>
                <c:pt idx="72" formatCode="General">
                  <c:v>127</c:v>
                </c:pt>
                <c:pt idx="73" formatCode="General">
                  <c:v>127</c:v>
                </c:pt>
                <c:pt idx="74">
                  <c:v>127.04919279895525</c:v>
                </c:pt>
                <c:pt idx="75">
                  <c:v>129</c:v>
                </c:pt>
                <c:pt idx="76" formatCode="General">
                  <c:v>129</c:v>
                </c:pt>
                <c:pt idx="77" formatCode="General">
                  <c:v>130</c:v>
                </c:pt>
                <c:pt idx="78" formatCode="General">
                  <c:v>130</c:v>
                </c:pt>
                <c:pt idx="79" formatCode="General">
                  <c:v>131</c:v>
                </c:pt>
                <c:pt idx="80">
                  <c:v>132</c:v>
                </c:pt>
                <c:pt idx="81" formatCode="General">
                  <c:v>133</c:v>
                </c:pt>
                <c:pt idx="82" formatCode="General">
                  <c:v>135</c:v>
                </c:pt>
                <c:pt idx="83">
                  <c:v>136</c:v>
                </c:pt>
                <c:pt idx="84">
                  <c:v>136</c:v>
                </c:pt>
                <c:pt idx="85">
                  <c:v>136</c:v>
                </c:pt>
                <c:pt idx="86">
                  <c:v>136.5</c:v>
                </c:pt>
                <c:pt idx="87" formatCode="General">
                  <c:v>137</c:v>
                </c:pt>
                <c:pt idx="88" formatCode="General">
                  <c:v>137</c:v>
                </c:pt>
                <c:pt idx="89" formatCode="General">
                  <c:v>138</c:v>
                </c:pt>
                <c:pt idx="90">
                  <c:v>140</c:v>
                </c:pt>
                <c:pt idx="91" formatCode="General">
                  <c:v>142</c:v>
                </c:pt>
                <c:pt idx="92" formatCode="General">
                  <c:v>143</c:v>
                </c:pt>
                <c:pt idx="93" formatCode="General">
                  <c:v>143</c:v>
                </c:pt>
                <c:pt idx="94" formatCode="General">
                  <c:v>143</c:v>
                </c:pt>
                <c:pt idx="95" formatCode="General">
                  <c:v>144</c:v>
                </c:pt>
                <c:pt idx="96" formatCode="General">
                  <c:v>144</c:v>
                </c:pt>
                <c:pt idx="97">
                  <c:v>145</c:v>
                </c:pt>
                <c:pt idx="98" formatCode="General">
                  <c:v>145</c:v>
                </c:pt>
                <c:pt idx="99" formatCode="General">
                  <c:v>145</c:v>
                </c:pt>
                <c:pt idx="100" formatCode="General">
                  <c:v>146</c:v>
                </c:pt>
                <c:pt idx="101" formatCode="General">
                  <c:v>148</c:v>
                </c:pt>
                <c:pt idx="102" formatCode="General">
                  <c:v>148</c:v>
                </c:pt>
                <c:pt idx="103" formatCode="General">
                  <c:v>148</c:v>
                </c:pt>
                <c:pt idx="104" formatCode="General">
                  <c:v>148</c:v>
                </c:pt>
                <c:pt idx="105">
                  <c:v>148.30000000000001</c:v>
                </c:pt>
                <c:pt idx="106" formatCode="General">
                  <c:v>149</c:v>
                </c:pt>
                <c:pt idx="107" formatCode="General">
                  <c:v>149</c:v>
                </c:pt>
                <c:pt idx="108" formatCode="General">
                  <c:v>149</c:v>
                </c:pt>
                <c:pt idx="109">
                  <c:v>149.1</c:v>
                </c:pt>
                <c:pt idx="110">
                  <c:v>150</c:v>
                </c:pt>
                <c:pt idx="111" formatCode="General">
                  <c:v>151</c:v>
                </c:pt>
                <c:pt idx="112" formatCode="General">
                  <c:v>153</c:v>
                </c:pt>
                <c:pt idx="113" formatCode="General">
                  <c:v>153</c:v>
                </c:pt>
                <c:pt idx="114" formatCode="General">
                  <c:v>153</c:v>
                </c:pt>
                <c:pt idx="115">
                  <c:v>153.69999999999999</c:v>
                </c:pt>
                <c:pt idx="116" formatCode="General">
                  <c:v>154</c:v>
                </c:pt>
                <c:pt idx="117">
                  <c:v>154</c:v>
                </c:pt>
                <c:pt idx="118" formatCode="General">
                  <c:v>154</c:v>
                </c:pt>
                <c:pt idx="119" formatCode="General">
                  <c:v>155</c:v>
                </c:pt>
                <c:pt idx="120">
                  <c:v>156</c:v>
                </c:pt>
                <c:pt idx="121">
                  <c:v>157</c:v>
                </c:pt>
                <c:pt idx="122">
                  <c:v>159.19999999999999</c:v>
                </c:pt>
                <c:pt idx="123" formatCode="General">
                  <c:v>160</c:v>
                </c:pt>
                <c:pt idx="124" formatCode="General">
                  <c:v>160</c:v>
                </c:pt>
                <c:pt idx="125" formatCode="General">
                  <c:v>160</c:v>
                </c:pt>
                <c:pt idx="126" formatCode="General">
                  <c:v>163</c:v>
                </c:pt>
                <c:pt idx="127">
                  <c:v>165.40799999999999</c:v>
                </c:pt>
                <c:pt idx="128">
                  <c:v>168</c:v>
                </c:pt>
                <c:pt idx="129" formatCode="General">
                  <c:v>171</c:v>
                </c:pt>
                <c:pt idx="130" formatCode="General">
                  <c:v>172</c:v>
                </c:pt>
                <c:pt idx="131" formatCode="General">
                  <c:v>173</c:v>
                </c:pt>
                <c:pt idx="132" formatCode="General">
                  <c:v>175</c:v>
                </c:pt>
                <c:pt idx="133">
                  <c:v>179</c:v>
                </c:pt>
                <c:pt idx="134" formatCode="General">
                  <c:v>182</c:v>
                </c:pt>
                <c:pt idx="135" formatCode="General">
                  <c:v>183</c:v>
                </c:pt>
                <c:pt idx="136">
                  <c:v>186.7</c:v>
                </c:pt>
                <c:pt idx="137" formatCode="General">
                  <c:v>187</c:v>
                </c:pt>
                <c:pt idx="138" formatCode="General">
                  <c:v>188</c:v>
                </c:pt>
                <c:pt idx="139" formatCode="General">
                  <c:v>189</c:v>
                </c:pt>
                <c:pt idx="140" formatCode="General">
                  <c:v>189</c:v>
                </c:pt>
                <c:pt idx="141" formatCode="General">
                  <c:v>190</c:v>
                </c:pt>
                <c:pt idx="142" formatCode="General">
                  <c:v>190</c:v>
                </c:pt>
                <c:pt idx="143">
                  <c:v>190.684</c:v>
                </c:pt>
                <c:pt idx="144" formatCode="General">
                  <c:v>193</c:v>
                </c:pt>
                <c:pt idx="145" formatCode="General">
                  <c:v>195</c:v>
                </c:pt>
                <c:pt idx="146">
                  <c:v>198</c:v>
                </c:pt>
                <c:pt idx="147">
                  <c:v>201</c:v>
                </c:pt>
                <c:pt idx="148" formatCode="General">
                  <c:v>204</c:v>
                </c:pt>
                <c:pt idx="149">
                  <c:v>205</c:v>
                </c:pt>
                <c:pt idx="150">
                  <c:v>205</c:v>
                </c:pt>
                <c:pt idx="151" formatCode="General">
                  <c:v>206</c:v>
                </c:pt>
                <c:pt idx="152">
                  <c:v>208</c:v>
                </c:pt>
                <c:pt idx="153">
                  <c:v>215</c:v>
                </c:pt>
                <c:pt idx="154">
                  <c:v>217</c:v>
                </c:pt>
                <c:pt idx="155">
                  <c:v>217</c:v>
                </c:pt>
                <c:pt idx="156">
                  <c:v>218</c:v>
                </c:pt>
                <c:pt idx="157">
                  <c:v>218</c:v>
                </c:pt>
                <c:pt idx="158">
                  <c:v>222</c:v>
                </c:pt>
                <c:pt idx="159" formatCode="General">
                  <c:v>223</c:v>
                </c:pt>
                <c:pt idx="160" formatCode="General">
                  <c:v>223</c:v>
                </c:pt>
                <c:pt idx="161">
                  <c:v>240</c:v>
                </c:pt>
                <c:pt idx="162">
                  <c:v>240</c:v>
                </c:pt>
                <c:pt idx="163">
                  <c:v>244</c:v>
                </c:pt>
                <c:pt idx="164" formatCode="General">
                  <c:v>246</c:v>
                </c:pt>
                <c:pt idx="165" formatCode="General">
                  <c:v>267</c:v>
                </c:pt>
                <c:pt idx="166" formatCode="General">
                  <c:v>292</c:v>
                </c:pt>
                <c:pt idx="167" formatCode="General">
                  <c:v>298</c:v>
                </c:pt>
                <c:pt idx="168" formatCode="General">
                  <c:v>298</c:v>
                </c:pt>
                <c:pt idx="169" formatCode="General">
                  <c:v>312</c:v>
                </c:pt>
                <c:pt idx="170" formatCode="General">
                  <c:v>312</c:v>
                </c:pt>
                <c:pt idx="171" formatCode="General">
                  <c:v>326</c:v>
                </c:pt>
                <c:pt idx="172" formatCode="General">
                  <c:v>328</c:v>
                </c:pt>
                <c:pt idx="173" formatCode="General">
                  <c:v>336</c:v>
                </c:pt>
                <c:pt idx="174">
                  <c:v>349</c:v>
                </c:pt>
                <c:pt idx="175" formatCode="General">
                  <c:v>397</c:v>
                </c:pt>
                <c:pt idx="176" formatCode="General">
                  <c:v>428</c:v>
                </c:pt>
                <c:pt idx="177" formatCode="General">
                  <c:v>447</c:v>
                </c:pt>
                <c:pt idx="178" formatCode="General">
                  <c:v>538</c:v>
                </c:pt>
                <c:pt idx="179" formatCode="General">
                  <c:v>0</c:v>
                </c:pt>
                <c:pt idx="180" formatCode="General">
                  <c:v>0</c:v>
                </c:pt>
                <c:pt idx="181">
                  <c:v>0</c:v>
                </c:pt>
                <c:pt idx="182">
                  <c:v>0</c:v>
                </c:pt>
                <c:pt idx="183">
                  <c:v>0</c:v>
                </c:pt>
                <c:pt idx="184">
                  <c:v>0</c:v>
                </c:pt>
                <c:pt idx="185">
                  <c:v>0</c:v>
                </c:pt>
                <c:pt idx="186">
                  <c:v>0</c:v>
                </c:pt>
                <c:pt idx="187" formatCode="General">
                  <c:v>0</c:v>
                </c:pt>
                <c:pt idx="188" formatCode="General">
                  <c:v>0</c:v>
                </c:pt>
                <c:pt idx="189" formatCode="General">
                  <c:v>0</c:v>
                </c:pt>
                <c:pt idx="190" formatCode="General">
                  <c:v>0</c:v>
                </c:pt>
                <c:pt idx="191" formatCode="General">
                  <c:v>0</c:v>
                </c:pt>
                <c:pt idx="192">
                  <c:v>0</c:v>
                </c:pt>
                <c:pt idx="193" formatCode="General">
                  <c:v>0</c:v>
                </c:pt>
                <c:pt idx="194">
                  <c:v>0</c:v>
                </c:pt>
                <c:pt idx="195">
                  <c:v>0</c:v>
                </c:pt>
                <c:pt idx="196">
                  <c:v>0</c:v>
                </c:pt>
                <c:pt idx="197">
                  <c:v>0</c:v>
                </c:pt>
                <c:pt idx="198">
                  <c:v>0</c:v>
                </c:pt>
                <c:pt idx="199">
                  <c:v>0</c:v>
                </c:pt>
                <c:pt idx="200" formatCode="General">
                  <c:v>0</c:v>
                </c:pt>
                <c:pt idx="201" formatCode="General">
                  <c:v>0</c:v>
                </c:pt>
                <c:pt idx="202" formatCode="General">
                  <c:v>0</c:v>
                </c:pt>
                <c:pt idx="203" formatCode="General">
                  <c:v>0</c:v>
                </c:pt>
                <c:pt idx="204" formatCode="General">
                  <c:v>0</c:v>
                </c:pt>
                <c:pt idx="205" formatCode="General">
                  <c:v>0</c:v>
                </c:pt>
                <c:pt idx="206" formatCode="General">
                  <c:v>0</c:v>
                </c:pt>
                <c:pt idx="207" formatCode="General">
                  <c:v>0</c:v>
                </c:pt>
                <c:pt idx="208" formatCode="General">
                  <c:v>0</c:v>
                </c:pt>
                <c:pt idx="209" formatCode="General">
                  <c:v>0</c:v>
                </c:pt>
                <c:pt idx="210" formatCode="General">
                  <c:v>0</c:v>
                </c:pt>
                <c:pt idx="211" formatCode="General">
                  <c:v>0</c:v>
                </c:pt>
                <c:pt idx="212" formatCode="General">
                  <c:v>0</c:v>
                </c:pt>
                <c:pt idx="213" formatCode="General">
                  <c:v>0</c:v>
                </c:pt>
                <c:pt idx="214" formatCode="General">
                  <c:v>0</c:v>
                </c:pt>
                <c:pt idx="215" formatCode="General">
                  <c:v>0</c:v>
                </c:pt>
                <c:pt idx="216" formatCode="General">
                  <c:v>0</c:v>
                </c:pt>
                <c:pt idx="217" formatCode="General">
                  <c:v>0</c:v>
                </c:pt>
                <c:pt idx="218" formatCode="General">
                  <c:v>0</c:v>
                </c:pt>
                <c:pt idx="219" formatCode="General">
                  <c:v>0</c:v>
                </c:pt>
              </c:numCache>
            </c:numRef>
          </c:val>
          <c:extLst>
            <c:ext xmlns:c16="http://schemas.microsoft.com/office/drawing/2014/chart" uri="{C3380CC4-5D6E-409C-BE32-E72D297353CC}">
              <c16:uniqueId val="{00000001-79EE-4038-A863-5300EE992C6A}"/>
            </c:ext>
          </c:extLst>
        </c:ser>
        <c:dLbls>
          <c:showLegendKey val="0"/>
          <c:showVal val="0"/>
          <c:showCatName val="0"/>
          <c:showSerName val="0"/>
          <c:showPercent val="0"/>
          <c:showBubbleSize val="0"/>
        </c:dLbls>
        <c:gapWidth val="219"/>
        <c:overlap val="-27"/>
        <c:axId val="406859872"/>
        <c:axId val="406860264"/>
      </c:barChart>
      <c:catAx>
        <c:axId val="406859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70" b="0" i="0" u="none" strike="noStrike" kern="1200" baseline="0">
                <a:solidFill>
                  <a:schemeClr val="tx1">
                    <a:lumMod val="65000"/>
                    <a:lumOff val="35000"/>
                  </a:schemeClr>
                </a:solidFill>
                <a:latin typeface="+mn-lt"/>
                <a:ea typeface="+mn-ea"/>
                <a:cs typeface="+mn-cs"/>
              </a:defRPr>
            </a:pPr>
            <a:endParaRPr lang="en-US"/>
          </a:p>
        </c:txPr>
        <c:crossAx val="406860264"/>
        <c:crosses val="autoZero"/>
        <c:auto val="1"/>
        <c:lblAlgn val="ctr"/>
        <c:lblOffset val="100"/>
        <c:noMultiLvlLbl val="0"/>
      </c:catAx>
      <c:valAx>
        <c:axId val="406860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85987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Specific</a:t>
            </a:r>
            <a:r>
              <a:rPr lang="en-US" baseline="0"/>
              <a:t> water consumption for households in 2016</a:t>
            </a:r>
          </a:p>
          <a:p>
            <a:pPr>
              <a:defRPr/>
            </a:pPr>
            <a:r>
              <a:rPr lang="en-US" sz="1100" baseline="0"/>
              <a:t>in liters/capita/day</a:t>
            </a:r>
            <a:endParaRPr lang="en-US" sz="1100"/>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7878396136710859E-2"/>
          <c:y val="8.8613691090471278E-2"/>
          <c:w val="0.98212160386328917"/>
          <c:h val="0.6408198781653841"/>
        </c:manualLayout>
      </c:layout>
      <c:barChart>
        <c:barDir val="col"/>
        <c:grouping val="clustered"/>
        <c:varyColors val="0"/>
        <c:ser>
          <c:idx val="1"/>
          <c:order val="1"/>
          <c:tx>
            <c:strRef>
              <c:f>'Consumption HH cities'!$E$299</c:f>
              <c:strCache>
                <c:ptCount val="1"/>
                <c:pt idx="0">
                  <c:v>Households 2016</c:v>
                </c:pt>
              </c:strCache>
            </c:strRef>
          </c:tx>
          <c:spPr>
            <a:solidFill>
              <a:schemeClr val="accent2"/>
            </a:solidFill>
            <a:ln>
              <a:noFill/>
            </a:ln>
            <a:effectLst/>
          </c:spPr>
          <c:invertIfNegative val="0"/>
          <c:cat>
            <c:strRef>
              <c:f>'Consumption HH cities'!$A$300:$A$478</c:f>
              <c:strCache>
                <c:ptCount val="179"/>
                <c:pt idx="0">
                  <c:v>Mbarara</c:v>
                </c:pt>
                <c:pt idx="1">
                  <c:v>Entebbe</c:v>
                </c:pt>
                <c:pt idx="2">
                  <c:v>Jinja</c:v>
                </c:pt>
                <c:pt idx="3">
                  <c:v>Kampala</c:v>
                </c:pt>
                <c:pt idx="4">
                  <c:v>Ramnicu Valcea</c:v>
                </c:pt>
                <c:pt idx="5">
                  <c:v>Charleroi</c:v>
                </c:pt>
                <c:pt idx="6">
                  <c:v>Voluntari</c:v>
                </c:pt>
                <c:pt idx="7">
                  <c:v>Malta average</c:v>
                </c:pt>
                <c:pt idx="8">
                  <c:v>Buzau</c:v>
                </c:pt>
                <c:pt idx="9">
                  <c:v>Kortrijk</c:v>
                </c:pt>
                <c:pt idx="10">
                  <c:v>Miskolc</c:v>
                </c:pt>
                <c:pt idx="11">
                  <c:v>Kaposvár</c:v>
                </c:pt>
                <c:pt idx="12">
                  <c:v>Petrosani</c:v>
                </c:pt>
                <c:pt idx="13">
                  <c:v>Pécs</c:v>
                </c:pt>
                <c:pt idx="14">
                  <c:v>Galati</c:v>
                </c:pt>
                <c:pt idx="15">
                  <c:v>Louvain</c:v>
                </c:pt>
                <c:pt idx="16">
                  <c:v>Ghent</c:v>
                </c:pt>
                <c:pt idx="17">
                  <c:v>Brasov</c:v>
                </c:pt>
                <c:pt idx="18">
                  <c:v>Targu-Mures</c:v>
                </c:pt>
                <c:pt idx="19">
                  <c:v>Radom</c:v>
                </c:pt>
                <c:pt idx="20">
                  <c:v>Genk</c:v>
                </c:pt>
                <c:pt idx="21">
                  <c:v>Prahova</c:v>
                </c:pt>
                <c:pt idx="22">
                  <c:v>Botosani</c:v>
                </c:pt>
                <c:pt idx="23">
                  <c:v>Turda</c:v>
                </c:pt>
                <c:pt idx="24">
                  <c:v>Targoviste</c:v>
                </c:pt>
                <c:pt idx="25">
                  <c:v>Bialystok</c:v>
                </c:pt>
                <c:pt idx="26">
                  <c:v>Bydgoszcz</c:v>
                </c:pt>
                <c:pt idx="27">
                  <c:v>Brussels</c:v>
                </c:pt>
                <c:pt idx="28">
                  <c:v>Medias</c:v>
                </c:pt>
                <c:pt idx="29">
                  <c:v>Izmir</c:v>
                </c:pt>
                <c:pt idx="30">
                  <c:v>Tarnow</c:v>
                </c:pt>
                <c:pt idx="31">
                  <c:v>Liège</c:v>
                </c:pt>
                <c:pt idx="32">
                  <c:v>Arad</c:v>
                </c:pt>
                <c:pt idx="33">
                  <c:v>Ostrava</c:v>
                </c:pt>
                <c:pt idx="34">
                  <c:v>Aarhus</c:v>
                </c:pt>
                <c:pt idx="35">
                  <c:v>Braila</c:v>
                </c:pt>
                <c:pt idx="36">
                  <c:v>Satu Mare</c:v>
                </c:pt>
                <c:pt idx="37">
                  <c:v>Suceava</c:v>
                </c:pt>
                <c:pt idx="38">
                  <c:v>Odense</c:v>
                </c:pt>
                <c:pt idx="39">
                  <c:v>Beijing</c:v>
                </c:pt>
                <c:pt idx="40">
                  <c:v>Drobeta Turnu-Severin</c:v>
                </c:pt>
                <c:pt idx="41">
                  <c:v>Piatra Neamt</c:v>
                </c:pt>
                <c:pt idx="42">
                  <c:v>Aalborg</c:v>
                </c:pt>
                <c:pt idx="43">
                  <c:v>Stara Zagora</c:v>
                </c:pt>
                <c:pt idx="44">
                  <c:v>Copenhagen</c:v>
                </c:pt>
                <c:pt idx="45">
                  <c:v>Constanta</c:v>
                </c:pt>
                <c:pt idx="46">
                  <c:v>Razgrad</c:v>
                </c:pt>
                <c:pt idx="47">
                  <c:v>Tianjin</c:v>
                </c:pt>
                <c:pt idx="48">
                  <c:v>Prague</c:v>
                </c:pt>
                <c:pt idx="49">
                  <c:v>Loures</c:v>
                </c:pt>
                <c:pt idx="50">
                  <c:v>Alexandria</c:v>
                </c:pt>
                <c:pt idx="51">
                  <c:v>Brno</c:v>
                </c:pt>
                <c:pt idx="52">
                  <c:v>Oulu</c:v>
                </c:pt>
                <c:pt idx="53">
                  <c:v>Timisoara</c:v>
                </c:pt>
                <c:pt idx="54">
                  <c:v>Baia Mare</c:v>
                </c:pt>
                <c:pt idx="55">
                  <c:v>Vaslui</c:v>
                </c:pt>
                <c:pt idx="56">
                  <c:v>Berlin</c:v>
                </c:pt>
                <c:pt idx="57">
                  <c:v>Brest</c:v>
                </c:pt>
                <c:pt idx="58">
                  <c:v>Debrecen</c:v>
                </c:pt>
                <c:pt idx="59">
                  <c:v>Sintra</c:v>
                </c:pt>
                <c:pt idx="60">
                  <c:v>Esbjerg</c:v>
                </c:pt>
                <c:pt idx="61">
                  <c:v>Wroclaw</c:v>
                </c:pt>
                <c:pt idx="62">
                  <c:v>Lille</c:v>
                </c:pt>
                <c:pt idx="63">
                  <c:v>Netherlands average</c:v>
                </c:pt>
                <c:pt idx="64">
                  <c:v>Braga</c:v>
                </c:pt>
                <c:pt idx="65">
                  <c:v>Oradea</c:v>
                </c:pt>
                <c:pt idx="66">
                  <c:v>Pitesti</c:v>
                </c:pt>
                <c:pt idx="67">
                  <c:v>Pleven</c:v>
                </c:pt>
                <c:pt idx="68">
                  <c:v>Bistrita</c:v>
                </c:pt>
                <c:pt idx="69">
                  <c:v>Barcelona</c:v>
                </c:pt>
                <c:pt idx="70">
                  <c:v>Bilbao</c:v>
                </c:pt>
                <c:pt idx="71">
                  <c:v>Madrid</c:v>
                </c:pt>
                <c:pt idx="72">
                  <c:v>Sevilla</c:v>
                </c:pt>
                <c:pt idx="73">
                  <c:v>Valencia</c:v>
                </c:pt>
                <c:pt idx="74">
                  <c:v>Warsaw</c:v>
                </c:pt>
                <c:pt idx="75">
                  <c:v>Tampere</c:v>
                </c:pt>
                <c:pt idx="76">
                  <c:v>Budapest</c:v>
                </c:pt>
                <c:pt idx="77">
                  <c:v>Birmingham</c:v>
                </c:pt>
                <c:pt idx="78">
                  <c:v>Manchester</c:v>
                </c:pt>
                <c:pt idx="79">
                  <c:v>Le Havre</c:v>
                </c:pt>
                <c:pt idx="80">
                  <c:v>Turku</c:v>
                </c:pt>
                <c:pt idx="81">
                  <c:v>Leeds</c:v>
                </c:pt>
                <c:pt idx="82">
                  <c:v>Austria average</c:v>
                </c:pt>
                <c:pt idx="83">
                  <c:v>Espoo</c:v>
                </c:pt>
                <c:pt idx="84">
                  <c:v>Helsinki</c:v>
                </c:pt>
                <c:pt idx="85">
                  <c:v>Vantaa</c:v>
                </c:pt>
                <c:pt idx="86">
                  <c:v>Russia average</c:v>
                </c:pt>
                <c:pt idx="87">
                  <c:v>Porto</c:v>
                </c:pt>
                <c:pt idx="88">
                  <c:v>Istanbul</c:v>
                </c:pt>
                <c:pt idx="89">
                  <c:v>Cluj Napoca</c:v>
                </c:pt>
                <c:pt idx="90">
                  <c:v>León, Guanajuato</c:v>
                </c:pt>
                <c:pt idx="91">
                  <c:v>Nicosia</c:v>
                </c:pt>
                <c:pt idx="92">
                  <c:v>Sibiu</c:v>
                </c:pt>
                <c:pt idx="93">
                  <c:v>Uppsala</c:v>
                </c:pt>
                <c:pt idx="94">
                  <c:v>Cardiff</c:v>
                </c:pt>
                <c:pt idx="95">
                  <c:v>Coimbra</c:v>
                </c:pt>
                <c:pt idx="96">
                  <c:v>Craiova</c:v>
                </c:pt>
                <c:pt idx="97">
                  <c:v>Antwerp</c:v>
                </c:pt>
                <c:pt idx="98">
                  <c:v>Trondheim</c:v>
                </c:pt>
                <c:pt idx="99">
                  <c:v>Ankara</c:v>
                </c:pt>
                <c:pt idx="100">
                  <c:v>Reims</c:v>
                </c:pt>
                <c:pt idx="101">
                  <c:v>Paphos</c:v>
                </c:pt>
                <c:pt idx="102">
                  <c:v>Lisbon</c:v>
                </c:pt>
                <c:pt idx="103">
                  <c:v>Bucharest</c:v>
                </c:pt>
                <c:pt idx="104">
                  <c:v>Stockholm</c:v>
                </c:pt>
                <c:pt idx="105">
                  <c:v>Moscow</c:v>
                </c:pt>
                <c:pt idx="106">
                  <c:v>Melbourne</c:v>
                </c:pt>
                <c:pt idx="107">
                  <c:v>Lyon</c:v>
                </c:pt>
                <c:pt idx="108">
                  <c:v>London</c:v>
                </c:pt>
                <c:pt idx="109">
                  <c:v>SEDIF</c:v>
                </c:pt>
                <c:pt idx="110">
                  <c:v>Winnipeg</c:v>
                </c:pt>
                <c:pt idx="111">
                  <c:v>Limassol</c:v>
                </c:pt>
                <c:pt idx="112">
                  <c:v>Faro</c:v>
                </c:pt>
                <c:pt idx="113">
                  <c:v>Bacau</c:v>
                </c:pt>
                <c:pt idx="114">
                  <c:v>Göteborg</c:v>
                </c:pt>
                <c:pt idx="115">
                  <c:v>Brasilia</c:v>
                </c:pt>
                <c:pt idx="116">
                  <c:v>Brisbane</c:v>
                </c:pt>
                <c:pt idx="117">
                  <c:v>Brazil average</c:v>
                </c:pt>
                <c:pt idx="118">
                  <c:v>Nancy</c:v>
                </c:pt>
                <c:pt idx="119">
                  <c:v>Larnaca</c:v>
                </c:pt>
                <c:pt idx="120">
                  <c:v>Saskatoon</c:v>
                </c:pt>
                <c:pt idx="121">
                  <c:v>Bordeaux</c:v>
                </c:pt>
                <c:pt idx="122">
                  <c:v>Sao Paulo State</c:v>
                </c:pt>
                <c:pt idx="123">
                  <c:v>Bergen</c:v>
                </c:pt>
                <c:pt idx="124">
                  <c:v>Oslo</c:v>
                </c:pt>
                <c:pt idx="125">
                  <c:v>Busan</c:v>
                </c:pt>
                <c:pt idx="126">
                  <c:v>Malmö</c:v>
                </c:pt>
                <c:pt idx="127">
                  <c:v>Sofia</c:v>
                </c:pt>
                <c:pt idx="128">
                  <c:v>Calgary</c:v>
                </c:pt>
                <c:pt idx="129">
                  <c:v>Geneva</c:v>
                </c:pt>
                <c:pt idx="130">
                  <c:v>Marseille</c:v>
                </c:pt>
                <c:pt idx="131">
                  <c:v>Basel</c:v>
                </c:pt>
                <c:pt idx="132">
                  <c:v>Ulsan</c:v>
                </c:pt>
                <c:pt idx="133">
                  <c:v>Durham</c:v>
                </c:pt>
                <c:pt idx="134">
                  <c:v>Incheon</c:v>
                </c:pt>
                <c:pt idx="135">
                  <c:v>Daegu</c:v>
                </c:pt>
                <c:pt idx="136">
                  <c:v>Paris</c:v>
                </c:pt>
                <c:pt idx="137">
                  <c:v>Gyeounggi</c:v>
                </c:pt>
                <c:pt idx="138">
                  <c:v>Gwangju</c:v>
                </c:pt>
                <c:pt idx="139">
                  <c:v>Linköping</c:v>
                </c:pt>
                <c:pt idx="140">
                  <c:v>Bern</c:v>
                </c:pt>
                <c:pt idx="141">
                  <c:v>Canberra</c:v>
                </c:pt>
                <c:pt idx="142">
                  <c:v>Daejeon</c:v>
                </c:pt>
                <c:pt idx="143">
                  <c:v>Burgas</c:v>
                </c:pt>
                <c:pt idx="144">
                  <c:v>Seoul</c:v>
                </c:pt>
                <c:pt idx="145">
                  <c:v>Strassbourg</c:v>
                </c:pt>
                <c:pt idx="146">
                  <c:v>Fukuoka</c:v>
                </c:pt>
                <c:pt idx="147">
                  <c:v>Sapporo</c:v>
                </c:pt>
                <c:pt idx="148">
                  <c:v>Jujuy</c:v>
                </c:pt>
                <c:pt idx="149">
                  <c:v>Macao, China average</c:v>
                </c:pt>
                <c:pt idx="150">
                  <c:v>Puebla</c:v>
                </c:pt>
                <c:pt idx="151">
                  <c:v>Sydney</c:v>
                </c:pt>
                <c:pt idx="152">
                  <c:v>Guadalajara</c:v>
                </c:pt>
                <c:pt idx="153">
                  <c:v>Hiroshima</c:v>
                </c:pt>
                <c:pt idx="154">
                  <c:v>Hong Kong</c:v>
                </c:pt>
                <c:pt idx="155">
                  <c:v>Nagoya</c:v>
                </c:pt>
                <c:pt idx="156">
                  <c:v>Sendai</c:v>
                </c:pt>
                <c:pt idx="157">
                  <c:v>Tokyo</c:v>
                </c:pt>
                <c:pt idx="158">
                  <c:v>Yokohama</c:v>
                </c:pt>
                <c:pt idx="159">
                  <c:v>Perth</c:v>
                </c:pt>
                <c:pt idx="160">
                  <c:v>Shanghai</c:v>
                </c:pt>
                <c:pt idx="161">
                  <c:v>Monterrey</c:v>
                </c:pt>
                <c:pt idx="162">
                  <c:v>Osaka</c:v>
                </c:pt>
                <c:pt idx="163">
                  <c:v>San Luis Potosi</c:v>
                </c:pt>
                <c:pt idx="164">
                  <c:v>Guangzhou</c:v>
                </c:pt>
                <c:pt idx="165">
                  <c:v>Kaohsiung</c:v>
                </c:pt>
                <c:pt idx="166">
                  <c:v>Shenzhen</c:v>
                </c:pt>
                <c:pt idx="167">
                  <c:v>Provincia Buenos Aires</c:v>
                </c:pt>
                <c:pt idx="168">
                  <c:v>Mar del Plata</c:v>
                </c:pt>
                <c:pt idx="169">
                  <c:v>Santiago del Estero</c:v>
                </c:pt>
                <c:pt idx="170">
                  <c:v>Mexico City</c:v>
                </c:pt>
                <c:pt idx="171">
                  <c:v>Taipei</c:v>
                </c:pt>
                <c:pt idx="172">
                  <c:v>Provincia de Salta</c:v>
                </c:pt>
                <c:pt idx="173">
                  <c:v>Buenos Aires</c:v>
                </c:pt>
                <c:pt idx="174">
                  <c:v>Vancouver</c:v>
                </c:pt>
                <c:pt idx="175">
                  <c:v>La Rioja</c:v>
                </c:pt>
                <c:pt idx="176">
                  <c:v>Los Angeles</c:v>
                </c:pt>
                <c:pt idx="177">
                  <c:v>New York</c:v>
                </c:pt>
                <c:pt idx="178">
                  <c:v>Denver</c:v>
                </c:pt>
              </c:strCache>
            </c:strRef>
          </c:cat>
          <c:val>
            <c:numRef>
              <c:f>'Consumption HH cities'!$E$300:$E$478</c:f>
              <c:numCache>
                <c:formatCode>0</c:formatCode>
                <c:ptCount val="179"/>
                <c:pt idx="0">
                  <c:v>13.723130112909756</c:v>
                </c:pt>
                <c:pt idx="1">
                  <c:v>15.534679227430733</c:v>
                </c:pt>
                <c:pt idx="2">
                  <c:v>19.250291699245707</c:v>
                </c:pt>
                <c:pt idx="3">
                  <c:v>23.915051006319757</c:v>
                </c:pt>
                <c:pt idx="4" formatCode="General">
                  <c:v>64</c:v>
                </c:pt>
                <c:pt idx="5">
                  <c:v>71</c:v>
                </c:pt>
                <c:pt idx="6" formatCode="General">
                  <c:v>72</c:v>
                </c:pt>
                <c:pt idx="7">
                  <c:v>74.180000000000007</c:v>
                </c:pt>
                <c:pt idx="8" formatCode="General">
                  <c:v>76</c:v>
                </c:pt>
                <c:pt idx="9">
                  <c:v>78</c:v>
                </c:pt>
                <c:pt idx="10" formatCode="General">
                  <c:v>78</c:v>
                </c:pt>
                <c:pt idx="11" formatCode="General">
                  <c:v>80</c:v>
                </c:pt>
                <c:pt idx="12" formatCode="General">
                  <c:v>80</c:v>
                </c:pt>
                <c:pt idx="13" formatCode="General">
                  <c:v>85</c:v>
                </c:pt>
                <c:pt idx="14" formatCode="General">
                  <c:v>86</c:v>
                </c:pt>
                <c:pt idx="15">
                  <c:v>87</c:v>
                </c:pt>
                <c:pt idx="16">
                  <c:v>87</c:v>
                </c:pt>
                <c:pt idx="17" formatCode="General">
                  <c:v>87</c:v>
                </c:pt>
                <c:pt idx="18" formatCode="General">
                  <c:v>87</c:v>
                </c:pt>
                <c:pt idx="19">
                  <c:v>87.978024772469695</c:v>
                </c:pt>
                <c:pt idx="20">
                  <c:v>88</c:v>
                </c:pt>
                <c:pt idx="21" formatCode="General">
                  <c:v>89</c:v>
                </c:pt>
                <c:pt idx="22" formatCode="General">
                  <c:v>89</c:v>
                </c:pt>
                <c:pt idx="23" formatCode="General">
                  <c:v>90</c:v>
                </c:pt>
                <c:pt idx="24" formatCode="General">
                  <c:v>90</c:v>
                </c:pt>
                <c:pt idx="25">
                  <c:v>90.163842422308662</c:v>
                </c:pt>
                <c:pt idx="26">
                  <c:v>92.076524984067305</c:v>
                </c:pt>
                <c:pt idx="27">
                  <c:v>93</c:v>
                </c:pt>
                <c:pt idx="28" formatCode="General">
                  <c:v>93</c:v>
                </c:pt>
                <c:pt idx="29" formatCode="General">
                  <c:v>93</c:v>
                </c:pt>
                <c:pt idx="30">
                  <c:v>93.989242904295537</c:v>
                </c:pt>
                <c:pt idx="31">
                  <c:v>94</c:v>
                </c:pt>
                <c:pt idx="32" formatCode="General">
                  <c:v>96</c:v>
                </c:pt>
                <c:pt idx="33" formatCode="General">
                  <c:v>97</c:v>
                </c:pt>
                <c:pt idx="34">
                  <c:v>98</c:v>
                </c:pt>
                <c:pt idx="35" formatCode="General">
                  <c:v>98</c:v>
                </c:pt>
                <c:pt idx="36" formatCode="General">
                  <c:v>98</c:v>
                </c:pt>
                <c:pt idx="37" formatCode="General">
                  <c:v>98</c:v>
                </c:pt>
                <c:pt idx="38">
                  <c:v>99.1</c:v>
                </c:pt>
                <c:pt idx="39" formatCode="General">
                  <c:v>100</c:v>
                </c:pt>
                <c:pt idx="40" formatCode="General">
                  <c:v>102</c:v>
                </c:pt>
                <c:pt idx="41" formatCode="General">
                  <c:v>102</c:v>
                </c:pt>
                <c:pt idx="42">
                  <c:v>102.3</c:v>
                </c:pt>
                <c:pt idx="43">
                  <c:v>103.164</c:v>
                </c:pt>
                <c:pt idx="44">
                  <c:v>104.3</c:v>
                </c:pt>
                <c:pt idx="45" formatCode="General">
                  <c:v>106</c:v>
                </c:pt>
                <c:pt idx="46">
                  <c:v>106.72</c:v>
                </c:pt>
                <c:pt idx="47" formatCode="General">
                  <c:v>108</c:v>
                </c:pt>
                <c:pt idx="48" formatCode="General">
                  <c:v>108</c:v>
                </c:pt>
                <c:pt idx="49" formatCode="General">
                  <c:v>108</c:v>
                </c:pt>
                <c:pt idx="50" formatCode="General">
                  <c:v>109</c:v>
                </c:pt>
                <c:pt idx="51" formatCode="General">
                  <c:v>110</c:v>
                </c:pt>
                <c:pt idx="52">
                  <c:v>110</c:v>
                </c:pt>
                <c:pt idx="53" formatCode="General">
                  <c:v>110</c:v>
                </c:pt>
                <c:pt idx="54" formatCode="General">
                  <c:v>112</c:v>
                </c:pt>
                <c:pt idx="55" formatCode="General">
                  <c:v>113</c:v>
                </c:pt>
                <c:pt idx="56" formatCode="General">
                  <c:v>114</c:v>
                </c:pt>
                <c:pt idx="57" formatCode="General">
                  <c:v>116</c:v>
                </c:pt>
                <c:pt idx="58" formatCode="General">
                  <c:v>116</c:v>
                </c:pt>
                <c:pt idx="59" formatCode="General">
                  <c:v>117</c:v>
                </c:pt>
                <c:pt idx="60">
                  <c:v>117.6</c:v>
                </c:pt>
                <c:pt idx="61">
                  <c:v>118.03280061997181</c:v>
                </c:pt>
                <c:pt idx="62" formatCode="General">
                  <c:v>119</c:v>
                </c:pt>
                <c:pt idx="63">
                  <c:v>119.2</c:v>
                </c:pt>
                <c:pt idx="64" formatCode="General">
                  <c:v>120</c:v>
                </c:pt>
                <c:pt idx="65" formatCode="General">
                  <c:v>120</c:v>
                </c:pt>
                <c:pt idx="66" formatCode="General">
                  <c:v>120</c:v>
                </c:pt>
                <c:pt idx="67">
                  <c:v>123.43899999999999</c:v>
                </c:pt>
                <c:pt idx="68" formatCode="General">
                  <c:v>125</c:v>
                </c:pt>
                <c:pt idx="69" formatCode="General">
                  <c:v>127</c:v>
                </c:pt>
                <c:pt idx="70" formatCode="General">
                  <c:v>127</c:v>
                </c:pt>
                <c:pt idx="71" formatCode="General">
                  <c:v>127</c:v>
                </c:pt>
                <c:pt idx="72" formatCode="General">
                  <c:v>127</c:v>
                </c:pt>
                <c:pt idx="73" formatCode="General">
                  <c:v>127</c:v>
                </c:pt>
                <c:pt idx="74">
                  <c:v>127.04919279895525</c:v>
                </c:pt>
                <c:pt idx="75">
                  <c:v>129</c:v>
                </c:pt>
                <c:pt idx="76" formatCode="General">
                  <c:v>129</c:v>
                </c:pt>
                <c:pt idx="77" formatCode="General">
                  <c:v>130</c:v>
                </c:pt>
                <c:pt idx="78" formatCode="General">
                  <c:v>130</c:v>
                </c:pt>
                <c:pt idx="79" formatCode="General">
                  <c:v>131</c:v>
                </c:pt>
                <c:pt idx="80">
                  <c:v>132</c:v>
                </c:pt>
                <c:pt idx="81" formatCode="General">
                  <c:v>133</c:v>
                </c:pt>
                <c:pt idx="82" formatCode="General">
                  <c:v>135</c:v>
                </c:pt>
                <c:pt idx="83">
                  <c:v>136</c:v>
                </c:pt>
                <c:pt idx="84">
                  <c:v>136</c:v>
                </c:pt>
                <c:pt idx="85">
                  <c:v>136</c:v>
                </c:pt>
                <c:pt idx="86">
                  <c:v>136.5</c:v>
                </c:pt>
                <c:pt idx="87" formatCode="General">
                  <c:v>137</c:v>
                </c:pt>
                <c:pt idx="88" formatCode="General">
                  <c:v>137</c:v>
                </c:pt>
                <c:pt idx="89" formatCode="General">
                  <c:v>138</c:v>
                </c:pt>
                <c:pt idx="90">
                  <c:v>140</c:v>
                </c:pt>
                <c:pt idx="91" formatCode="General">
                  <c:v>142</c:v>
                </c:pt>
                <c:pt idx="92" formatCode="General">
                  <c:v>143</c:v>
                </c:pt>
                <c:pt idx="93" formatCode="General">
                  <c:v>143</c:v>
                </c:pt>
                <c:pt idx="94" formatCode="General">
                  <c:v>143</c:v>
                </c:pt>
                <c:pt idx="95" formatCode="General">
                  <c:v>144</c:v>
                </c:pt>
                <c:pt idx="96" formatCode="General">
                  <c:v>144</c:v>
                </c:pt>
                <c:pt idx="97">
                  <c:v>145</c:v>
                </c:pt>
                <c:pt idx="98" formatCode="General">
                  <c:v>145</c:v>
                </c:pt>
                <c:pt idx="99" formatCode="General">
                  <c:v>145</c:v>
                </c:pt>
                <c:pt idx="100" formatCode="General">
                  <c:v>146</c:v>
                </c:pt>
                <c:pt idx="101" formatCode="General">
                  <c:v>148</c:v>
                </c:pt>
                <c:pt idx="102" formatCode="General">
                  <c:v>148</c:v>
                </c:pt>
                <c:pt idx="103" formatCode="General">
                  <c:v>148</c:v>
                </c:pt>
                <c:pt idx="104" formatCode="General">
                  <c:v>148</c:v>
                </c:pt>
                <c:pt idx="105">
                  <c:v>148.30000000000001</c:v>
                </c:pt>
                <c:pt idx="106" formatCode="General">
                  <c:v>149</c:v>
                </c:pt>
                <c:pt idx="107" formatCode="General">
                  <c:v>149</c:v>
                </c:pt>
                <c:pt idx="108" formatCode="General">
                  <c:v>149</c:v>
                </c:pt>
                <c:pt idx="109">
                  <c:v>149.1</c:v>
                </c:pt>
                <c:pt idx="110">
                  <c:v>150</c:v>
                </c:pt>
                <c:pt idx="111" formatCode="General">
                  <c:v>151</c:v>
                </c:pt>
                <c:pt idx="112" formatCode="General">
                  <c:v>153</c:v>
                </c:pt>
                <c:pt idx="113" formatCode="General">
                  <c:v>153</c:v>
                </c:pt>
                <c:pt idx="114" formatCode="General">
                  <c:v>153</c:v>
                </c:pt>
                <c:pt idx="115">
                  <c:v>153.69999999999999</c:v>
                </c:pt>
                <c:pt idx="116" formatCode="General">
                  <c:v>154</c:v>
                </c:pt>
                <c:pt idx="117">
                  <c:v>154</c:v>
                </c:pt>
                <c:pt idx="118" formatCode="General">
                  <c:v>154</c:v>
                </c:pt>
                <c:pt idx="119" formatCode="General">
                  <c:v>155</c:v>
                </c:pt>
                <c:pt idx="120">
                  <c:v>156</c:v>
                </c:pt>
                <c:pt idx="121">
                  <c:v>157</c:v>
                </c:pt>
                <c:pt idx="122">
                  <c:v>159.19999999999999</c:v>
                </c:pt>
                <c:pt idx="123" formatCode="General">
                  <c:v>160</c:v>
                </c:pt>
                <c:pt idx="124" formatCode="General">
                  <c:v>160</c:v>
                </c:pt>
                <c:pt idx="125" formatCode="General">
                  <c:v>160</c:v>
                </c:pt>
                <c:pt idx="126" formatCode="General">
                  <c:v>163</c:v>
                </c:pt>
                <c:pt idx="127">
                  <c:v>165.40799999999999</c:v>
                </c:pt>
                <c:pt idx="128">
                  <c:v>168</c:v>
                </c:pt>
                <c:pt idx="129" formatCode="General">
                  <c:v>171</c:v>
                </c:pt>
                <c:pt idx="130" formatCode="General">
                  <c:v>172</c:v>
                </c:pt>
                <c:pt idx="131" formatCode="General">
                  <c:v>173</c:v>
                </c:pt>
                <c:pt idx="132" formatCode="General">
                  <c:v>175</c:v>
                </c:pt>
                <c:pt idx="133">
                  <c:v>179</c:v>
                </c:pt>
                <c:pt idx="134" formatCode="General">
                  <c:v>182</c:v>
                </c:pt>
                <c:pt idx="135" formatCode="General">
                  <c:v>183</c:v>
                </c:pt>
                <c:pt idx="136">
                  <c:v>186.7</c:v>
                </c:pt>
                <c:pt idx="137" formatCode="General">
                  <c:v>187</c:v>
                </c:pt>
                <c:pt idx="138" formatCode="General">
                  <c:v>188</c:v>
                </c:pt>
                <c:pt idx="139" formatCode="General">
                  <c:v>189</c:v>
                </c:pt>
                <c:pt idx="140" formatCode="General">
                  <c:v>189</c:v>
                </c:pt>
                <c:pt idx="141" formatCode="General">
                  <c:v>190</c:v>
                </c:pt>
                <c:pt idx="142" formatCode="General">
                  <c:v>190</c:v>
                </c:pt>
                <c:pt idx="143">
                  <c:v>190.684</c:v>
                </c:pt>
                <c:pt idx="144" formatCode="General">
                  <c:v>193</c:v>
                </c:pt>
                <c:pt idx="145" formatCode="General">
                  <c:v>195</c:v>
                </c:pt>
                <c:pt idx="146">
                  <c:v>198</c:v>
                </c:pt>
                <c:pt idx="147">
                  <c:v>201</c:v>
                </c:pt>
                <c:pt idx="148" formatCode="General">
                  <c:v>204</c:v>
                </c:pt>
                <c:pt idx="149">
                  <c:v>205</c:v>
                </c:pt>
                <c:pt idx="150">
                  <c:v>205</c:v>
                </c:pt>
                <c:pt idx="151" formatCode="General">
                  <c:v>206</c:v>
                </c:pt>
                <c:pt idx="152">
                  <c:v>208</c:v>
                </c:pt>
                <c:pt idx="153">
                  <c:v>215</c:v>
                </c:pt>
                <c:pt idx="154">
                  <c:v>217</c:v>
                </c:pt>
                <c:pt idx="155">
                  <c:v>217</c:v>
                </c:pt>
                <c:pt idx="156">
                  <c:v>218</c:v>
                </c:pt>
                <c:pt idx="157">
                  <c:v>218</c:v>
                </c:pt>
                <c:pt idx="158">
                  <c:v>222</c:v>
                </c:pt>
                <c:pt idx="159" formatCode="General">
                  <c:v>223</c:v>
                </c:pt>
                <c:pt idx="160" formatCode="General">
                  <c:v>223</c:v>
                </c:pt>
                <c:pt idx="161">
                  <c:v>240</c:v>
                </c:pt>
                <c:pt idx="162">
                  <c:v>240</c:v>
                </c:pt>
                <c:pt idx="163">
                  <c:v>244</c:v>
                </c:pt>
                <c:pt idx="164" formatCode="General">
                  <c:v>246</c:v>
                </c:pt>
                <c:pt idx="165" formatCode="General">
                  <c:v>267</c:v>
                </c:pt>
                <c:pt idx="166" formatCode="General">
                  <c:v>292</c:v>
                </c:pt>
                <c:pt idx="167" formatCode="General">
                  <c:v>298</c:v>
                </c:pt>
                <c:pt idx="168" formatCode="General">
                  <c:v>298</c:v>
                </c:pt>
                <c:pt idx="169" formatCode="General">
                  <c:v>312</c:v>
                </c:pt>
                <c:pt idx="170" formatCode="General">
                  <c:v>312</c:v>
                </c:pt>
                <c:pt idx="171" formatCode="General">
                  <c:v>326</c:v>
                </c:pt>
                <c:pt idx="172" formatCode="General">
                  <c:v>328</c:v>
                </c:pt>
                <c:pt idx="173" formatCode="General">
                  <c:v>336</c:v>
                </c:pt>
                <c:pt idx="174">
                  <c:v>349</c:v>
                </c:pt>
                <c:pt idx="175" formatCode="General">
                  <c:v>397</c:v>
                </c:pt>
                <c:pt idx="176" formatCode="General">
                  <c:v>428</c:v>
                </c:pt>
                <c:pt idx="177" formatCode="General">
                  <c:v>447</c:v>
                </c:pt>
                <c:pt idx="178" formatCode="General">
                  <c:v>538</c:v>
                </c:pt>
              </c:numCache>
            </c:numRef>
          </c:val>
          <c:extLst>
            <c:ext xmlns:c16="http://schemas.microsoft.com/office/drawing/2014/chart" uri="{C3380CC4-5D6E-409C-BE32-E72D297353CC}">
              <c16:uniqueId val="{00000000-FA9D-495E-9A42-553742151920}"/>
            </c:ext>
          </c:extLst>
        </c:ser>
        <c:dLbls>
          <c:showLegendKey val="0"/>
          <c:showVal val="0"/>
          <c:showCatName val="0"/>
          <c:showSerName val="0"/>
          <c:showPercent val="0"/>
          <c:showBubbleSize val="0"/>
        </c:dLbls>
        <c:gapWidth val="219"/>
        <c:overlap val="-27"/>
        <c:axId val="406861048"/>
        <c:axId val="406861440"/>
        <c:extLst>
          <c:ext xmlns:c15="http://schemas.microsoft.com/office/drawing/2012/chart" uri="{02D57815-91ED-43cb-92C2-25804820EDAC}">
            <c15:filteredBarSeries>
              <c15:ser>
                <c:idx val="0"/>
                <c:order val="0"/>
                <c:tx>
                  <c:strRef>
                    <c:extLst>
                      <c:ext uri="{02D57815-91ED-43cb-92C2-25804820EDAC}">
                        <c15:formulaRef>
                          <c15:sqref>'Consumption HH cities'!$D$299</c15:sqref>
                        </c15:formulaRef>
                      </c:ext>
                    </c:extLst>
                    <c:strCache>
                      <c:ptCount val="1"/>
                      <c:pt idx="0">
                        <c:v>Households 2014</c:v>
                      </c:pt>
                    </c:strCache>
                  </c:strRef>
                </c:tx>
                <c:spPr>
                  <a:solidFill>
                    <a:schemeClr val="accent1"/>
                  </a:solidFill>
                  <a:ln>
                    <a:noFill/>
                  </a:ln>
                  <a:effectLst/>
                </c:spPr>
                <c:invertIfNegative val="0"/>
                <c:cat>
                  <c:strRef>
                    <c:extLst>
                      <c:ext uri="{02D57815-91ED-43cb-92C2-25804820EDAC}">
                        <c15:formulaRef>
                          <c15:sqref>'Consumption HH cities'!$A$300:$A$478</c15:sqref>
                        </c15:formulaRef>
                      </c:ext>
                    </c:extLst>
                    <c:strCache>
                      <c:ptCount val="179"/>
                      <c:pt idx="0">
                        <c:v>Mbarara</c:v>
                      </c:pt>
                      <c:pt idx="1">
                        <c:v>Entebbe</c:v>
                      </c:pt>
                      <c:pt idx="2">
                        <c:v>Jinja</c:v>
                      </c:pt>
                      <c:pt idx="3">
                        <c:v>Kampala</c:v>
                      </c:pt>
                      <c:pt idx="4">
                        <c:v>Ramnicu Valcea</c:v>
                      </c:pt>
                      <c:pt idx="5">
                        <c:v>Charleroi</c:v>
                      </c:pt>
                      <c:pt idx="6">
                        <c:v>Voluntari</c:v>
                      </c:pt>
                      <c:pt idx="7">
                        <c:v>Malta average</c:v>
                      </c:pt>
                      <c:pt idx="8">
                        <c:v>Buzau</c:v>
                      </c:pt>
                      <c:pt idx="9">
                        <c:v>Kortrijk</c:v>
                      </c:pt>
                      <c:pt idx="10">
                        <c:v>Miskolc</c:v>
                      </c:pt>
                      <c:pt idx="11">
                        <c:v>Kaposvár</c:v>
                      </c:pt>
                      <c:pt idx="12">
                        <c:v>Petrosani</c:v>
                      </c:pt>
                      <c:pt idx="13">
                        <c:v>Pécs</c:v>
                      </c:pt>
                      <c:pt idx="14">
                        <c:v>Galati</c:v>
                      </c:pt>
                      <c:pt idx="15">
                        <c:v>Louvain</c:v>
                      </c:pt>
                      <c:pt idx="16">
                        <c:v>Ghent</c:v>
                      </c:pt>
                      <c:pt idx="17">
                        <c:v>Brasov</c:v>
                      </c:pt>
                      <c:pt idx="18">
                        <c:v>Targu-Mures</c:v>
                      </c:pt>
                      <c:pt idx="19">
                        <c:v>Radom</c:v>
                      </c:pt>
                      <c:pt idx="20">
                        <c:v>Genk</c:v>
                      </c:pt>
                      <c:pt idx="21">
                        <c:v>Prahova</c:v>
                      </c:pt>
                      <c:pt idx="22">
                        <c:v>Botosani</c:v>
                      </c:pt>
                      <c:pt idx="23">
                        <c:v>Turda</c:v>
                      </c:pt>
                      <c:pt idx="24">
                        <c:v>Targoviste</c:v>
                      </c:pt>
                      <c:pt idx="25">
                        <c:v>Bialystok</c:v>
                      </c:pt>
                      <c:pt idx="26">
                        <c:v>Bydgoszcz</c:v>
                      </c:pt>
                      <c:pt idx="27">
                        <c:v>Brussels</c:v>
                      </c:pt>
                      <c:pt idx="28">
                        <c:v>Medias</c:v>
                      </c:pt>
                      <c:pt idx="29">
                        <c:v>Izmir</c:v>
                      </c:pt>
                      <c:pt idx="30">
                        <c:v>Tarnow</c:v>
                      </c:pt>
                      <c:pt idx="31">
                        <c:v>Liège</c:v>
                      </c:pt>
                      <c:pt idx="32">
                        <c:v>Arad</c:v>
                      </c:pt>
                      <c:pt idx="33">
                        <c:v>Ostrava</c:v>
                      </c:pt>
                      <c:pt idx="34">
                        <c:v>Aarhus</c:v>
                      </c:pt>
                      <c:pt idx="35">
                        <c:v>Braila</c:v>
                      </c:pt>
                      <c:pt idx="36">
                        <c:v>Satu Mare</c:v>
                      </c:pt>
                      <c:pt idx="37">
                        <c:v>Suceava</c:v>
                      </c:pt>
                      <c:pt idx="38">
                        <c:v>Odense</c:v>
                      </c:pt>
                      <c:pt idx="39">
                        <c:v>Beijing</c:v>
                      </c:pt>
                      <c:pt idx="40">
                        <c:v>Drobeta Turnu-Severin</c:v>
                      </c:pt>
                      <c:pt idx="41">
                        <c:v>Piatra Neamt</c:v>
                      </c:pt>
                      <c:pt idx="42">
                        <c:v>Aalborg</c:v>
                      </c:pt>
                      <c:pt idx="43">
                        <c:v>Stara Zagora</c:v>
                      </c:pt>
                      <c:pt idx="44">
                        <c:v>Copenhagen</c:v>
                      </c:pt>
                      <c:pt idx="45">
                        <c:v>Constanta</c:v>
                      </c:pt>
                      <c:pt idx="46">
                        <c:v>Razgrad</c:v>
                      </c:pt>
                      <c:pt idx="47">
                        <c:v>Tianjin</c:v>
                      </c:pt>
                      <c:pt idx="48">
                        <c:v>Prague</c:v>
                      </c:pt>
                      <c:pt idx="49">
                        <c:v>Loures</c:v>
                      </c:pt>
                      <c:pt idx="50">
                        <c:v>Alexandria</c:v>
                      </c:pt>
                      <c:pt idx="51">
                        <c:v>Brno</c:v>
                      </c:pt>
                      <c:pt idx="52">
                        <c:v>Oulu</c:v>
                      </c:pt>
                      <c:pt idx="53">
                        <c:v>Timisoara</c:v>
                      </c:pt>
                      <c:pt idx="54">
                        <c:v>Baia Mare</c:v>
                      </c:pt>
                      <c:pt idx="55">
                        <c:v>Vaslui</c:v>
                      </c:pt>
                      <c:pt idx="56">
                        <c:v>Berlin</c:v>
                      </c:pt>
                      <c:pt idx="57">
                        <c:v>Brest</c:v>
                      </c:pt>
                      <c:pt idx="58">
                        <c:v>Debrecen</c:v>
                      </c:pt>
                      <c:pt idx="59">
                        <c:v>Sintra</c:v>
                      </c:pt>
                      <c:pt idx="60">
                        <c:v>Esbjerg</c:v>
                      </c:pt>
                      <c:pt idx="61">
                        <c:v>Wroclaw</c:v>
                      </c:pt>
                      <c:pt idx="62">
                        <c:v>Lille</c:v>
                      </c:pt>
                      <c:pt idx="63">
                        <c:v>Netherlands average</c:v>
                      </c:pt>
                      <c:pt idx="64">
                        <c:v>Braga</c:v>
                      </c:pt>
                      <c:pt idx="65">
                        <c:v>Oradea</c:v>
                      </c:pt>
                      <c:pt idx="66">
                        <c:v>Pitesti</c:v>
                      </c:pt>
                      <c:pt idx="67">
                        <c:v>Pleven</c:v>
                      </c:pt>
                      <c:pt idx="68">
                        <c:v>Bistrita</c:v>
                      </c:pt>
                      <c:pt idx="69">
                        <c:v>Barcelona</c:v>
                      </c:pt>
                      <c:pt idx="70">
                        <c:v>Bilbao</c:v>
                      </c:pt>
                      <c:pt idx="71">
                        <c:v>Madrid</c:v>
                      </c:pt>
                      <c:pt idx="72">
                        <c:v>Sevilla</c:v>
                      </c:pt>
                      <c:pt idx="73">
                        <c:v>Valencia</c:v>
                      </c:pt>
                      <c:pt idx="74">
                        <c:v>Warsaw</c:v>
                      </c:pt>
                      <c:pt idx="75">
                        <c:v>Tampere</c:v>
                      </c:pt>
                      <c:pt idx="76">
                        <c:v>Budapest</c:v>
                      </c:pt>
                      <c:pt idx="77">
                        <c:v>Birmingham</c:v>
                      </c:pt>
                      <c:pt idx="78">
                        <c:v>Manchester</c:v>
                      </c:pt>
                      <c:pt idx="79">
                        <c:v>Le Havre</c:v>
                      </c:pt>
                      <c:pt idx="80">
                        <c:v>Turku</c:v>
                      </c:pt>
                      <c:pt idx="81">
                        <c:v>Leeds</c:v>
                      </c:pt>
                      <c:pt idx="82">
                        <c:v>Austria average</c:v>
                      </c:pt>
                      <c:pt idx="83">
                        <c:v>Espoo</c:v>
                      </c:pt>
                      <c:pt idx="84">
                        <c:v>Helsinki</c:v>
                      </c:pt>
                      <c:pt idx="85">
                        <c:v>Vantaa</c:v>
                      </c:pt>
                      <c:pt idx="86">
                        <c:v>Russia average</c:v>
                      </c:pt>
                      <c:pt idx="87">
                        <c:v>Porto</c:v>
                      </c:pt>
                      <c:pt idx="88">
                        <c:v>Istanbul</c:v>
                      </c:pt>
                      <c:pt idx="89">
                        <c:v>Cluj Napoca</c:v>
                      </c:pt>
                      <c:pt idx="90">
                        <c:v>León, Guanajuato</c:v>
                      </c:pt>
                      <c:pt idx="91">
                        <c:v>Nicosia</c:v>
                      </c:pt>
                      <c:pt idx="92">
                        <c:v>Sibiu</c:v>
                      </c:pt>
                      <c:pt idx="93">
                        <c:v>Uppsala</c:v>
                      </c:pt>
                      <c:pt idx="94">
                        <c:v>Cardiff</c:v>
                      </c:pt>
                      <c:pt idx="95">
                        <c:v>Coimbra</c:v>
                      </c:pt>
                      <c:pt idx="96">
                        <c:v>Craiova</c:v>
                      </c:pt>
                      <c:pt idx="97">
                        <c:v>Antwerp</c:v>
                      </c:pt>
                      <c:pt idx="98">
                        <c:v>Trondheim</c:v>
                      </c:pt>
                      <c:pt idx="99">
                        <c:v>Ankara</c:v>
                      </c:pt>
                      <c:pt idx="100">
                        <c:v>Reims</c:v>
                      </c:pt>
                      <c:pt idx="101">
                        <c:v>Paphos</c:v>
                      </c:pt>
                      <c:pt idx="102">
                        <c:v>Lisbon</c:v>
                      </c:pt>
                      <c:pt idx="103">
                        <c:v>Bucharest</c:v>
                      </c:pt>
                      <c:pt idx="104">
                        <c:v>Stockholm</c:v>
                      </c:pt>
                      <c:pt idx="105">
                        <c:v>Moscow</c:v>
                      </c:pt>
                      <c:pt idx="106">
                        <c:v>Melbourne</c:v>
                      </c:pt>
                      <c:pt idx="107">
                        <c:v>Lyon</c:v>
                      </c:pt>
                      <c:pt idx="108">
                        <c:v>London</c:v>
                      </c:pt>
                      <c:pt idx="109">
                        <c:v>SEDIF</c:v>
                      </c:pt>
                      <c:pt idx="110">
                        <c:v>Winnipeg</c:v>
                      </c:pt>
                      <c:pt idx="111">
                        <c:v>Limassol</c:v>
                      </c:pt>
                      <c:pt idx="112">
                        <c:v>Faro</c:v>
                      </c:pt>
                      <c:pt idx="113">
                        <c:v>Bacau</c:v>
                      </c:pt>
                      <c:pt idx="114">
                        <c:v>Göteborg</c:v>
                      </c:pt>
                      <c:pt idx="115">
                        <c:v>Brasilia</c:v>
                      </c:pt>
                      <c:pt idx="116">
                        <c:v>Brisbane</c:v>
                      </c:pt>
                      <c:pt idx="117">
                        <c:v>Brazil average</c:v>
                      </c:pt>
                      <c:pt idx="118">
                        <c:v>Nancy</c:v>
                      </c:pt>
                      <c:pt idx="119">
                        <c:v>Larnaca</c:v>
                      </c:pt>
                      <c:pt idx="120">
                        <c:v>Saskatoon</c:v>
                      </c:pt>
                      <c:pt idx="121">
                        <c:v>Bordeaux</c:v>
                      </c:pt>
                      <c:pt idx="122">
                        <c:v>Sao Paulo State</c:v>
                      </c:pt>
                      <c:pt idx="123">
                        <c:v>Bergen</c:v>
                      </c:pt>
                      <c:pt idx="124">
                        <c:v>Oslo</c:v>
                      </c:pt>
                      <c:pt idx="125">
                        <c:v>Busan</c:v>
                      </c:pt>
                      <c:pt idx="126">
                        <c:v>Malmö</c:v>
                      </c:pt>
                      <c:pt idx="127">
                        <c:v>Sofia</c:v>
                      </c:pt>
                      <c:pt idx="128">
                        <c:v>Calgary</c:v>
                      </c:pt>
                      <c:pt idx="129">
                        <c:v>Geneva</c:v>
                      </c:pt>
                      <c:pt idx="130">
                        <c:v>Marseille</c:v>
                      </c:pt>
                      <c:pt idx="131">
                        <c:v>Basel</c:v>
                      </c:pt>
                      <c:pt idx="132">
                        <c:v>Ulsan</c:v>
                      </c:pt>
                      <c:pt idx="133">
                        <c:v>Durham</c:v>
                      </c:pt>
                      <c:pt idx="134">
                        <c:v>Incheon</c:v>
                      </c:pt>
                      <c:pt idx="135">
                        <c:v>Daegu</c:v>
                      </c:pt>
                      <c:pt idx="136">
                        <c:v>Paris</c:v>
                      </c:pt>
                      <c:pt idx="137">
                        <c:v>Gyeounggi</c:v>
                      </c:pt>
                      <c:pt idx="138">
                        <c:v>Gwangju</c:v>
                      </c:pt>
                      <c:pt idx="139">
                        <c:v>Linköping</c:v>
                      </c:pt>
                      <c:pt idx="140">
                        <c:v>Bern</c:v>
                      </c:pt>
                      <c:pt idx="141">
                        <c:v>Canberra</c:v>
                      </c:pt>
                      <c:pt idx="142">
                        <c:v>Daejeon</c:v>
                      </c:pt>
                      <c:pt idx="143">
                        <c:v>Burgas</c:v>
                      </c:pt>
                      <c:pt idx="144">
                        <c:v>Seoul</c:v>
                      </c:pt>
                      <c:pt idx="145">
                        <c:v>Strassbourg</c:v>
                      </c:pt>
                      <c:pt idx="146">
                        <c:v>Fukuoka</c:v>
                      </c:pt>
                      <c:pt idx="147">
                        <c:v>Sapporo</c:v>
                      </c:pt>
                      <c:pt idx="148">
                        <c:v>Jujuy</c:v>
                      </c:pt>
                      <c:pt idx="149">
                        <c:v>Macao, China average</c:v>
                      </c:pt>
                      <c:pt idx="150">
                        <c:v>Puebla</c:v>
                      </c:pt>
                      <c:pt idx="151">
                        <c:v>Sydney</c:v>
                      </c:pt>
                      <c:pt idx="152">
                        <c:v>Guadalajara</c:v>
                      </c:pt>
                      <c:pt idx="153">
                        <c:v>Hiroshima</c:v>
                      </c:pt>
                      <c:pt idx="154">
                        <c:v>Hong Kong</c:v>
                      </c:pt>
                      <c:pt idx="155">
                        <c:v>Nagoya</c:v>
                      </c:pt>
                      <c:pt idx="156">
                        <c:v>Sendai</c:v>
                      </c:pt>
                      <c:pt idx="157">
                        <c:v>Tokyo</c:v>
                      </c:pt>
                      <c:pt idx="158">
                        <c:v>Yokohama</c:v>
                      </c:pt>
                      <c:pt idx="159">
                        <c:v>Perth</c:v>
                      </c:pt>
                      <c:pt idx="160">
                        <c:v>Shanghai</c:v>
                      </c:pt>
                      <c:pt idx="161">
                        <c:v>Monterrey</c:v>
                      </c:pt>
                      <c:pt idx="162">
                        <c:v>Osaka</c:v>
                      </c:pt>
                      <c:pt idx="163">
                        <c:v>San Luis Potosi</c:v>
                      </c:pt>
                      <c:pt idx="164">
                        <c:v>Guangzhou</c:v>
                      </c:pt>
                      <c:pt idx="165">
                        <c:v>Kaohsiung</c:v>
                      </c:pt>
                      <c:pt idx="166">
                        <c:v>Shenzhen</c:v>
                      </c:pt>
                      <c:pt idx="167">
                        <c:v>Provincia Buenos Aires</c:v>
                      </c:pt>
                      <c:pt idx="168">
                        <c:v>Mar del Plata</c:v>
                      </c:pt>
                      <c:pt idx="169">
                        <c:v>Santiago del Estero</c:v>
                      </c:pt>
                      <c:pt idx="170">
                        <c:v>Mexico City</c:v>
                      </c:pt>
                      <c:pt idx="171">
                        <c:v>Taipei</c:v>
                      </c:pt>
                      <c:pt idx="172">
                        <c:v>Provincia de Salta</c:v>
                      </c:pt>
                      <c:pt idx="173">
                        <c:v>Buenos Aires</c:v>
                      </c:pt>
                      <c:pt idx="174">
                        <c:v>Vancouver</c:v>
                      </c:pt>
                      <c:pt idx="175">
                        <c:v>La Rioja</c:v>
                      </c:pt>
                      <c:pt idx="176">
                        <c:v>Los Angeles</c:v>
                      </c:pt>
                      <c:pt idx="177">
                        <c:v>New York</c:v>
                      </c:pt>
                      <c:pt idx="178">
                        <c:v>Denver</c:v>
                      </c:pt>
                    </c:strCache>
                  </c:strRef>
                </c:cat>
                <c:val>
                  <c:numRef>
                    <c:extLst>
                      <c:ext uri="{02D57815-91ED-43cb-92C2-25804820EDAC}">
                        <c15:formulaRef>
                          <c15:sqref>'Consumption HH cities'!$D$300:$D$478</c15:sqref>
                        </c15:formulaRef>
                      </c:ext>
                    </c:extLst>
                    <c:numCache>
                      <c:formatCode>General</c:formatCode>
                      <c:ptCount val="179"/>
                      <c:pt idx="0">
                        <c:v>45</c:v>
                      </c:pt>
                      <c:pt idx="1">
                        <c:v>38</c:v>
                      </c:pt>
                      <c:pt idx="2">
                        <c:v>28</c:v>
                      </c:pt>
                      <c:pt idx="3">
                        <c:v>61</c:v>
                      </c:pt>
                      <c:pt idx="4">
                        <c:v>0</c:v>
                      </c:pt>
                      <c:pt idx="5" formatCode="0">
                        <c:v>72</c:v>
                      </c:pt>
                      <c:pt idx="6">
                        <c:v>0</c:v>
                      </c:pt>
                      <c:pt idx="7" formatCode="0">
                        <c:v>78.569999999999993</c:v>
                      </c:pt>
                      <c:pt idx="8">
                        <c:v>79</c:v>
                      </c:pt>
                      <c:pt idx="9" formatCode="0">
                        <c:v>104</c:v>
                      </c:pt>
                      <c:pt idx="10">
                        <c:v>79</c:v>
                      </c:pt>
                      <c:pt idx="11">
                        <c:v>79</c:v>
                      </c:pt>
                      <c:pt idx="12">
                        <c:v>0</c:v>
                      </c:pt>
                      <c:pt idx="13">
                        <c:v>82</c:v>
                      </c:pt>
                      <c:pt idx="14">
                        <c:v>0</c:v>
                      </c:pt>
                      <c:pt idx="15" formatCode="0">
                        <c:v>120</c:v>
                      </c:pt>
                      <c:pt idx="16" formatCode="0">
                        <c:v>0</c:v>
                      </c:pt>
                      <c:pt idx="17">
                        <c:v>96</c:v>
                      </c:pt>
                      <c:pt idx="18">
                        <c:v>0</c:v>
                      </c:pt>
                      <c:pt idx="19">
                        <c:v>89</c:v>
                      </c:pt>
                      <c:pt idx="20" formatCode="0">
                        <c:v>110</c:v>
                      </c:pt>
                      <c:pt idx="21">
                        <c:v>0</c:v>
                      </c:pt>
                      <c:pt idx="22">
                        <c:v>0</c:v>
                      </c:pt>
                      <c:pt idx="23">
                        <c:v>0</c:v>
                      </c:pt>
                      <c:pt idx="24">
                        <c:v>0</c:v>
                      </c:pt>
                      <c:pt idx="25">
                        <c:v>89</c:v>
                      </c:pt>
                      <c:pt idx="26">
                        <c:v>91</c:v>
                      </c:pt>
                      <c:pt idx="27" formatCode="0">
                        <c:v>92</c:v>
                      </c:pt>
                      <c:pt idx="28">
                        <c:v>91</c:v>
                      </c:pt>
                      <c:pt idx="29">
                        <c:v>0</c:v>
                      </c:pt>
                      <c:pt idx="30">
                        <c:v>94</c:v>
                      </c:pt>
                      <c:pt idx="31" formatCode="0">
                        <c:v>92</c:v>
                      </c:pt>
                      <c:pt idx="32">
                        <c:v>0</c:v>
                      </c:pt>
                      <c:pt idx="33">
                        <c:v>0</c:v>
                      </c:pt>
                      <c:pt idx="34" formatCode="0">
                        <c:v>108</c:v>
                      </c:pt>
                      <c:pt idx="35">
                        <c:v>0</c:v>
                      </c:pt>
                      <c:pt idx="36">
                        <c:v>0</c:v>
                      </c:pt>
                      <c:pt idx="37">
                        <c:v>101</c:v>
                      </c:pt>
                      <c:pt idx="38" formatCode="0">
                        <c:v>102</c:v>
                      </c:pt>
                      <c:pt idx="39">
                        <c:v>100</c:v>
                      </c:pt>
                      <c:pt idx="40">
                        <c:v>94</c:v>
                      </c:pt>
                      <c:pt idx="41">
                        <c:v>0</c:v>
                      </c:pt>
                      <c:pt idx="42" formatCode="0">
                        <c:v>105</c:v>
                      </c:pt>
                      <c:pt idx="43" formatCode="0">
                        <c:v>0</c:v>
                      </c:pt>
                      <c:pt idx="44" formatCode="0">
                        <c:v>101</c:v>
                      </c:pt>
                      <c:pt idx="45">
                        <c:v>104</c:v>
                      </c:pt>
                      <c:pt idx="46" formatCode="0">
                        <c:v>0</c:v>
                      </c:pt>
                      <c:pt idx="47">
                        <c:v>129</c:v>
                      </c:pt>
                      <c:pt idx="48">
                        <c:v>0</c:v>
                      </c:pt>
                      <c:pt idx="49">
                        <c:v>226</c:v>
                      </c:pt>
                      <c:pt idx="50">
                        <c:v>0</c:v>
                      </c:pt>
                      <c:pt idx="51">
                        <c:v>0</c:v>
                      </c:pt>
                      <c:pt idx="52" formatCode="0">
                        <c:v>110</c:v>
                      </c:pt>
                      <c:pt idx="53">
                        <c:v>0</c:v>
                      </c:pt>
                      <c:pt idx="54">
                        <c:v>103</c:v>
                      </c:pt>
                      <c:pt idx="55">
                        <c:v>0</c:v>
                      </c:pt>
                      <c:pt idx="56">
                        <c:v>0</c:v>
                      </c:pt>
                      <c:pt idx="57">
                        <c:v>123</c:v>
                      </c:pt>
                      <c:pt idx="58">
                        <c:v>85</c:v>
                      </c:pt>
                      <c:pt idx="59">
                        <c:v>138</c:v>
                      </c:pt>
                      <c:pt idx="60" formatCode="0">
                        <c:v>134</c:v>
                      </c:pt>
                      <c:pt idx="61">
                        <c:v>114</c:v>
                      </c:pt>
                      <c:pt idx="62">
                        <c:v>98</c:v>
                      </c:pt>
                      <c:pt idx="63" formatCode="0">
                        <c:v>118.9</c:v>
                      </c:pt>
                      <c:pt idx="64">
                        <c:v>132</c:v>
                      </c:pt>
                      <c:pt idx="65">
                        <c:v>0</c:v>
                      </c:pt>
                      <c:pt idx="66">
                        <c:v>0</c:v>
                      </c:pt>
                      <c:pt idx="67">
                        <c:v>0</c:v>
                      </c:pt>
                      <c:pt idx="68">
                        <c:v>0</c:v>
                      </c:pt>
                      <c:pt idx="69">
                        <c:v>107</c:v>
                      </c:pt>
                      <c:pt idx="70">
                        <c:v>107</c:v>
                      </c:pt>
                      <c:pt idx="71">
                        <c:v>107</c:v>
                      </c:pt>
                      <c:pt idx="72">
                        <c:v>107</c:v>
                      </c:pt>
                      <c:pt idx="73">
                        <c:v>107</c:v>
                      </c:pt>
                      <c:pt idx="74">
                        <c:v>0</c:v>
                      </c:pt>
                      <c:pt idx="75" formatCode="0">
                        <c:v>140</c:v>
                      </c:pt>
                      <c:pt idx="76">
                        <c:v>126</c:v>
                      </c:pt>
                      <c:pt idx="77">
                        <c:v>121</c:v>
                      </c:pt>
                      <c:pt idx="78">
                        <c:v>128</c:v>
                      </c:pt>
                      <c:pt idx="79">
                        <c:v>136</c:v>
                      </c:pt>
                      <c:pt idx="80" formatCode="0">
                        <c:v>129</c:v>
                      </c:pt>
                      <c:pt idx="81">
                        <c:v>134</c:v>
                      </c:pt>
                      <c:pt idx="82">
                        <c:v>0</c:v>
                      </c:pt>
                      <c:pt idx="83" formatCode="0">
                        <c:v>140</c:v>
                      </c:pt>
                      <c:pt idx="84" formatCode="0">
                        <c:v>140</c:v>
                      </c:pt>
                      <c:pt idx="85" formatCode="0">
                        <c:v>140</c:v>
                      </c:pt>
                      <c:pt idx="86">
                        <c:v>146</c:v>
                      </c:pt>
                      <c:pt idx="87">
                        <c:v>184</c:v>
                      </c:pt>
                      <c:pt idx="88">
                        <c:v>0</c:v>
                      </c:pt>
                      <c:pt idx="89">
                        <c:v>0</c:v>
                      </c:pt>
                      <c:pt idx="90" formatCode="0">
                        <c:v>125</c:v>
                      </c:pt>
                      <c:pt idx="91">
                        <c:v>133</c:v>
                      </c:pt>
                      <c:pt idx="92">
                        <c:v>100</c:v>
                      </c:pt>
                      <c:pt idx="93">
                        <c:v>0</c:v>
                      </c:pt>
                      <c:pt idx="94">
                        <c:v>144</c:v>
                      </c:pt>
                      <c:pt idx="95">
                        <c:v>187</c:v>
                      </c:pt>
                      <c:pt idx="96">
                        <c:v>110</c:v>
                      </c:pt>
                      <c:pt idx="97" formatCode="0">
                        <c:v>146</c:v>
                      </c:pt>
                      <c:pt idx="98">
                        <c:v>155</c:v>
                      </c:pt>
                      <c:pt idx="99">
                        <c:v>0</c:v>
                      </c:pt>
                      <c:pt idx="100">
                        <c:v>144</c:v>
                      </c:pt>
                      <c:pt idx="101">
                        <c:v>147</c:v>
                      </c:pt>
                      <c:pt idx="102">
                        <c:v>142</c:v>
                      </c:pt>
                      <c:pt idx="103">
                        <c:v>151</c:v>
                      </c:pt>
                      <c:pt idx="104">
                        <c:v>0</c:v>
                      </c:pt>
                      <c:pt idx="105">
                        <c:v>0</c:v>
                      </c:pt>
                      <c:pt idx="106">
                        <c:v>159</c:v>
                      </c:pt>
                      <c:pt idx="107">
                        <c:v>152</c:v>
                      </c:pt>
                      <c:pt idx="108">
                        <c:v>155</c:v>
                      </c:pt>
                      <c:pt idx="109">
                        <c:v>110</c:v>
                      </c:pt>
                      <c:pt idx="110" formatCode="0">
                        <c:v>163</c:v>
                      </c:pt>
                      <c:pt idx="111">
                        <c:v>147</c:v>
                      </c:pt>
                      <c:pt idx="112">
                        <c:v>189</c:v>
                      </c:pt>
                      <c:pt idx="113">
                        <c:v>0</c:v>
                      </c:pt>
                      <c:pt idx="114">
                        <c:v>0</c:v>
                      </c:pt>
                      <c:pt idx="115">
                        <c:v>181</c:v>
                      </c:pt>
                      <c:pt idx="116">
                        <c:v>0</c:v>
                      </c:pt>
                      <c:pt idx="117">
                        <c:v>162</c:v>
                      </c:pt>
                      <c:pt idx="118">
                        <c:v>142</c:v>
                      </c:pt>
                      <c:pt idx="119">
                        <c:v>147</c:v>
                      </c:pt>
                      <c:pt idx="120" formatCode="0">
                        <c:v>0</c:v>
                      </c:pt>
                      <c:pt idx="121" formatCode="0">
                        <c:v>153</c:v>
                      </c:pt>
                      <c:pt idx="122">
                        <c:v>179</c:v>
                      </c:pt>
                      <c:pt idx="123">
                        <c:v>160</c:v>
                      </c:pt>
                      <c:pt idx="124">
                        <c:v>160</c:v>
                      </c:pt>
                      <c:pt idx="125">
                        <c:v>258</c:v>
                      </c:pt>
                      <c:pt idx="126">
                        <c:v>0</c:v>
                      </c:pt>
                      <c:pt idx="127">
                        <c:v>0</c:v>
                      </c:pt>
                      <c:pt idx="128" formatCode="0">
                        <c:v>181</c:v>
                      </c:pt>
                      <c:pt idx="129">
                        <c:v>0</c:v>
                      </c:pt>
                      <c:pt idx="130">
                        <c:v>188</c:v>
                      </c:pt>
                      <c:pt idx="131">
                        <c:v>0</c:v>
                      </c:pt>
                      <c:pt idx="132">
                        <c:v>257</c:v>
                      </c:pt>
                      <c:pt idx="133" formatCode="0">
                        <c:v>179</c:v>
                      </c:pt>
                      <c:pt idx="134">
                        <c:v>295</c:v>
                      </c:pt>
                      <c:pt idx="135">
                        <c:v>277</c:v>
                      </c:pt>
                      <c:pt idx="136">
                        <c:v>187</c:v>
                      </c:pt>
                      <c:pt idx="137">
                        <c:v>281</c:v>
                      </c:pt>
                      <c:pt idx="138">
                        <c:v>270</c:v>
                      </c:pt>
                      <c:pt idx="139">
                        <c:v>0</c:v>
                      </c:pt>
                      <c:pt idx="140">
                        <c:v>182</c:v>
                      </c:pt>
                      <c:pt idx="141">
                        <c:v>189</c:v>
                      </c:pt>
                      <c:pt idx="142">
                        <c:v>297</c:v>
                      </c:pt>
                      <c:pt idx="143">
                        <c:v>0</c:v>
                      </c:pt>
                      <c:pt idx="144">
                        <c:v>284</c:v>
                      </c:pt>
                      <c:pt idx="145">
                        <c:v>207</c:v>
                      </c:pt>
                      <c:pt idx="146" formatCode="0">
                        <c:v>198</c:v>
                      </c:pt>
                      <c:pt idx="147" formatCode="0">
                        <c:v>199</c:v>
                      </c:pt>
                      <c:pt idx="148">
                        <c:v>0</c:v>
                      </c:pt>
                      <c:pt idx="149" formatCode="0">
                        <c:v>181.73099999999999</c:v>
                      </c:pt>
                      <c:pt idx="150" formatCode="0">
                        <c:v>200</c:v>
                      </c:pt>
                      <c:pt idx="151">
                        <c:v>200</c:v>
                      </c:pt>
                      <c:pt idx="152" formatCode="0">
                        <c:v>205</c:v>
                      </c:pt>
                      <c:pt idx="153" formatCode="0">
                        <c:v>215</c:v>
                      </c:pt>
                      <c:pt idx="154" formatCode="0">
                        <c:v>211</c:v>
                      </c:pt>
                      <c:pt idx="155" formatCode="0">
                        <c:v>217</c:v>
                      </c:pt>
                      <c:pt idx="156" formatCode="0">
                        <c:v>216</c:v>
                      </c:pt>
                      <c:pt idx="157" formatCode="0">
                        <c:v>220</c:v>
                      </c:pt>
                      <c:pt idx="158" formatCode="0">
                        <c:v>222</c:v>
                      </c:pt>
                      <c:pt idx="159">
                        <c:v>245</c:v>
                      </c:pt>
                      <c:pt idx="160">
                        <c:v>200</c:v>
                      </c:pt>
                      <c:pt idx="161" formatCode="0">
                        <c:v>250</c:v>
                      </c:pt>
                      <c:pt idx="162" formatCode="0">
                        <c:v>243</c:v>
                      </c:pt>
                      <c:pt idx="163" formatCode="0">
                        <c:v>240</c:v>
                      </c:pt>
                      <c:pt idx="164">
                        <c:v>284</c:v>
                      </c:pt>
                      <c:pt idx="165">
                        <c:v>273</c:v>
                      </c:pt>
                      <c:pt idx="166">
                        <c:v>313</c:v>
                      </c:pt>
                      <c:pt idx="167">
                        <c:v>0</c:v>
                      </c:pt>
                      <c:pt idx="168">
                        <c:v>0</c:v>
                      </c:pt>
                      <c:pt idx="169">
                        <c:v>0</c:v>
                      </c:pt>
                      <c:pt idx="170">
                        <c:v>0</c:v>
                      </c:pt>
                      <c:pt idx="171">
                        <c:v>327</c:v>
                      </c:pt>
                      <c:pt idx="172">
                        <c:v>0</c:v>
                      </c:pt>
                      <c:pt idx="173">
                        <c:v>0</c:v>
                      </c:pt>
                      <c:pt idx="174" formatCode="0">
                        <c:v>352</c:v>
                      </c:pt>
                      <c:pt idx="175">
                        <c:v>0</c:v>
                      </c:pt>
                      <c:pt idx="176">
                        <c:v>326</c:v>
                      </c:pt>
                      <c:pt idx="177">
                        <c:v>476</c:v>
                      </c:pt>
                      <c:pt idx="178">
                        <c:v>0</c:v>
                      </c:pt>
                    </c:numCache>
                  </c:numRef>
                </c:val>
                <c:extLst>
                  <c:ext xmlns:c16="http://schemas.microsoft.com/office/drawing/2014/chart" uri="{C3380CC4-5D6E-409C-BE32-E72D297353CC}">
                    <c16:uniqueId val="{00000001-FA9D-495E-9A42-553742151920}"/>
                  </c:ext>
                </c:extLst>
              </c15:ser>
            </c15:filteredBarSeries>
          </c:ext>
        </c:extLst>
      </c:barChart>
      <c:catAx>
        <c:axId val="406861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70" b="0" i="0" u="none" strike="noStrike" kern="1200" baseline="0">
                <a:solidFill>
                  <a:schemeClr val="tx1">
                    <a:lumMod val="65000"/>
                    <a:lumOff val="35000"/>
                  </a:schemeClr>
                </a:solidFill>
                <a:latin typeface="+mn-lt"/>
                <a:ea typeface="+mn-ea"/>
                <a:cs typeface="+mn-cs"/>
              </a:defRPr>
            </a:pPr>
            <a:endParaRPr lang="en-US"/>
          </a:p>
        </c:txPr>
        <c:crossAx val="406861440"/>
        <c:crosses val="autoZero"/>
        <c:auto val="1"/>
        <c:lblAlgn val="ctr"/>
        <c:lblOffset val="100"/>
        <c:noMultiLvlLbl val="0"/>
      </c:catAx>
      <c:valAx>
        <c:axId val="4068614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86104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Specific water consumption for capitals in 2010-2016</a:t>
            </a:r>
          </a:p>
          <a:p>
            <a:pPr>
              <a:defRPr/>
            </a:pPr>
            <a:r>
              <a:rPr lang="en-US" sz="1100"/>
              <a:t>in liters/capita/day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'Consumption HH capitals'!$D$299</c:f>
              <c:strCache>
                <c:ptCount val="1"/>
                <c:pt idx="0">
                  <c:v>Households 2010</c:v>
                </c:pt>
              </c:strCache>
            </c:strRef>
          </c:tx>
          <c:spPr>
            <a:solidFill>
              <a:schemeClr val="accent1"/>
            </a:solidFill>
            <a:ln>
              <a:noFill/>
            </a:ln>
            <a:effectLst/>
          </c:spPr>
          <c:invertIfNegative val="0"/>
          <c:cat>
            <c:strRef>
              <c:f>'Consumption HH capitals'!$A$300:$A$345</c:f>
              <c:strCache>
                <c:ptCount val="46"/>
                <c:pt idx="0">
                  <c:v>Kampala</c:v>
                </c:pt>
                <c:pt idx="1">
                  <c:v>Brussels</c:v>
                </c:pt>
                <c:pt idx="2">
                  <c:v>Beijing</c:v>
                </c:pt>
                <c:pt idx="3">
                  <c:v>Copenhagen</c:v>
                </c:pt>
                <c:pt idx="4">
                  <c:v>Prague</c:v>
                </c:pt>
                <c:pt idx="5">
                  <c:v>Berlin</c:v>
                </c:pt>
                <c:pt idx="6">
                  <c:v>Madrid</c:v>
                </c:pt>
                <c:pt idx="7">
                  <c:v>Warsaw</c:v>
                </c:pt>
                <c:pt idx="8">
                  <c:v>Budapest</c:v>
                </c:pt>
                <c:pt idx="9">
                  <c:v>Helsinki</c:v>
                </c:pt>
                <c:pt idx="10">
                  <c:v>Nicosia</c:v>
                </c:pt>
                <c:pt idx="11">
                  <c:v>Cardiff</c:v>
                </c:pt>
                <c:pt idx="12">
                  <c:v>Ankara</c:v>
                </c:pt>
                <c:pt idx="13">
                  <c:v>Lisbon</c:v>
                </c:pt>
                <c:pt idx="14">
                  <c:v>Bucharest</c:v>
                </c:pt>
                <c:pt idx="15">
                  <c:v>Stockholm</c:v>
                </c:pt>
                <c:pt idx="16">
                  <c:v>Moscow</c:v>
                </c:pt>
                <c:pt idx="17">
                  <c:v>London</c:v>
                </c:pt>
                <c:pt idx="18">
                  <c:v>Brasilia</c:v>
                </c:pt>
                <c:pt idx="19">
                  <c:v>Oslo</c:v>
                </c:pt>
                <c:pt idx="20">
                  <c:v>Sofia</c:v>
                </c:pt>
                <c:pt idx="21">
                  <c:v>Paris</c:v>
                </c:pt>
                <c:pt idx="22">
                  <c:v>Bern</c:v>
                </c:pt>
                <c:pt idx="23">
                  <c:v>Canberra</c:v>
                </c:pt>
                <c:pt idx="24">
                  <c:v>Seoul</c:v>
                </c:pt>
                <c:pt idx="25">
                  <c:v>Hong Kong</c:v>
                </c:pt>
                <c:pt idx="26">
                  <c:v>Tokyo</c:v>
                </c:pt>
                <c:pt idx="27">
                  <c:v>Mexico City</c:v>
                </c:pt>
                <c:pt idx="28">
                  <c:v>Taipei</c:v>
                </c:pt>
                <c:pt idx="29">
                  <c:v>Buenos Aires</c:v>
                </c:pt>
                <c:pt idx="30">
                  <c:v>Yerevan</c:v>
                </c:pt>
                <c:pt idx="31">
                  <c:v>Vienna</c:v>
                </c:pt>
                <c:pt idx="32">
                  <c:v>Ottawa</c:v>
                </c:pt>
                <c:pt idx="33">
                  <c:v>Gran Santiago</c:v>
                </c:pt>
                <c:pt idx="34">
                  <c:v>Athens</c:v>
                </c:pt>
                <c:pt idx="35">
                  <c:v>Tehran</c:v>
                </c:pt>
                <c:pt idx="36">
                  <c:v>Jerusalem</c:v>
                </c:pt>
                <c:pt idx="37">
                  <c:v>Rome</c:v>
                </c:pt>
                <c:pt idx="38">
                  <c:v>Rabat/Sale</c:v>
                </c:pt>
                <c:pt idx="39">
                  <c:v>Amsterdam</c:v>
                </c:pt>
                <c:pt idx="40">
                  <c:v>Edinburgh</c:v>
                </c:pt>
                <c:pt idx="41">
                  <c:v>Singapore</c:v>
                </c:pt>
                <c:pt idx="42">
                  <c:v>Bratislava</c:v>
                </c:pt>
                <c:pt idx="43">
                  <c:v>Cape Town</c:v>
                </c:pt>
                <c:pt idx="44">
                  <c:v>Washington D.C.</c:v>
                </c:pt>
                <c:pt idx="45">
                  <c:v>Lusaka</c:v>
                </c:pt>
              </c:strCache>
            </c:strRef>
          </c:cat>
          <c:val>
            <c:numRef>
              <c:f>'Consumption HH capitals'!$D$300:$D$345</c:f>
              <c:numCache>
                <c:formatCode>0</c:formatCode>
                <c:ptCount val="46"/>
                <c:pt idx="0" formatCode="General">
                  <c:v>0</c:v>
                </c:pt>
                <c:pt idx="1">
                  <c:v>115</c:v>
                </c:pt>
                <c:pt idx="2" formatCode="General">
                  <c:v>150</c:v>
                </c:pt>
                <c:pt idx="3">
                  <c:v>107.3</c:v>
                </c:pt>
                <c:pt idx="4" formatCode="General">
                  <c:v>0</c:v>
                </c:pt>
                <c:pt idx="5" formatCode="General">
                  <c:v>0</c:v>
                </c:pt>
                <c:pt idx="6" formatCode="General">
                  <c:v>124</c:v>
                </c:pt>
                <c:pt idx="7" formatCode="General">
                  <c:v>0</c:v>
                </c:pt>
                <c:pt idx="8" formatCode="General">
                  <c:v>147</c:v>
                </c:pt>
                <c:pt idx="9" formatCode="General">
                  <c:v>158</c:v>
                </c:pt>
                <c:pt idx="10" formatCode="General">
                  <c:v>152</c:v>
                </c:pt>
                <c:pt idx="11" formatCode="General">
                  <c:v>150</c:v>
                </c:pt>
                <c:pt idx="12" formatCode="General">
                  <c:v>0</c:v>
                </c:pt>
                <c:pt idx="13" formatCode="General">
                  <c:v>127</c:v>
                </c:pt>
                <c:pt idx="14" formatCode="General">
                  <c:v>0</c:v>
                </c:pt>
                <c:pt idx="15" formatCode="General">
                  <c:v>186</c:v>
                </c:pt>
                <c:pt idx="16" formatCode="General">
                  <c:v>0</c:v>
                </c:pt>
                <c:pt idx="17" formatCode="General">
                  <c:v>163</c:v>
                </c:pt>
                <c:pt idx="18" formatCode="General">
                  <c:v>172</c:v>
                </c:pt>
                <c:pt idx="19" formatCode="General">
                  <c:v>180</c:v>
                </c:pt>
                <c:pt idx="20" formatCode="General">
                  <c:v>140</c:v>
                </c:pt>
                <c:pt idx="21" formatCode="General">
                  <c:v>0</c:v>
                </c:pt>
                <c:pt idx="22" formatCode="General">
                  <c:v>182</c:v>
                </c:pt>
                <c:pt idx="23" formatCode="General">
                  <c:v>211</c:v>
                </c:pt>
                <c:pt idx="24" formatCode="General">
                  <c:v>285</c:v>
                </c:pt>
                <c:pt idx="25" formatCode="General">
                  <c:v>221</c:v>
                </c:pt>
                <c:pt idx="26">
                  <c:v>231</c:v>
                </c:pt>
                <c:pt idx="27" formatCode="General">
                  <c:v>0</c:v>
                </c:pt>
                <c:pt idx="28" formatCode="General">
                  <c:v>346</c:v>
                </c:pt>
                <c:pt idx="29" formatCode="General">
                  <c:v>375</c:v>
                </c:pt>
                <c:pt idx="30" formatCode="General">
                  <c:v>0</c:v>
                </c:pt>
                <c:pt idx="31" formatCode="General">
                  <c:v>148</c:v>
                </c:pt>
                <c:pt idx="32">
                  <c:v>0</c:v>
                </c:pt>
                <c:pt idx="33">
                  <c:v>0</c:v>
                </c:pt>
                <c:pt idx="34" formatCode="General">
                  <c:v>0</c:v>
                </c:pt>
                <c:pt idx="35" formatCode="General">
                  <c:v>0</c:v>
                </c:pt>
                <c:pt idx="36" formatCode="General">
                  <c:v>163</c:v>
                </c:pt>
                <c:pt idx="37" formatCode="General">
                  <c:v>214</c:v>
                </c:pt>
                <c:pt idx="38" formatCode="General">
                  <c:v>104</c:v>
                </c:pt>
                <c:pt idx="39">
                  <c:v>138.6</c:v>
                </c:pt>
                <c:pt idx="40" formatCode="General">
                  <c:v>0</c:v>
                </c:pt>
                <c:pt idx="41" formatCode="General">
                  <c:v>154</c:v>
                </c:pt>
                <c:pt idx="42" formatCode="General">
                  <c:v>98</c:v>
                </c:pt>
                <c:pt idx="43" formatCode="General">
                  <c:v>0</c:v>
                </c:pt>
                <c:pt idx="44" formatCode="General">
                  <c:v>51</c:v>
                </c:pt>
                <c:pt idx="45" formatCode="General">
                  <c:v>0</c:v>
                </c:pt>
              </c:numCache>
            </c:numRef>
          </c:val>
          <c:extLst>
            <c:ext xmlns:c16="http://schemas.microsoft.com/office/drawing/2014/chart" uri="{C3380CC4-5D6E-409C-BE32-E72D297353CC}">
              <c16:uniqueId val="{00000000-9892-4098-864F-7C6F2EAEA845}"/>
            </c:ext>
          </c:extLst>
        </c:ser>
        <c:ser>
          <c:idx val="1"/>
          <c:order val="1"/>
          <c:tx>
            <c:strRef>
              <c:f>'Consumption HH capitals'!$E$299</c:f>
              <c:strCache>
                <c:ptCount val="1"/>
                <c:pt idx="0">
                  <c:v>Households 2012</c:v>
                </c:pt>
              </c:strCache>
            </c:strRef>
          </c:tx>
          <c:spPr>
            <a:solidFill>
              <a:schemeClr val="accent2"/>
            </a:solidFill>
            <a:ln>
              <a:noFill/>
            </a:ln>
            <a:effectLst/>
          </c:spPr>
          <c:invertIfNegative val="0"/>
          <c:cat>
            <c:strRef>
              <c:f>'Consumption HH capitals'!$A$300:$A$345</c:f>
              <c:strCache>
                <c:ptCount val="46"/>
                <c:pt idx="0">
                  <c:v>Kampala</c:v>
                </c:pt>
                <c:pt idx="1">
                  <c:v>Brussels</c:v>
                </c:pt>
                <c:pt idx="2">
                  <c:v>Beijing</c:v>
                </c:pt>
                <c:pt idx="3">
                  <c:v>Copenhagen</c:v>
                </c:pt>
                <c:pt idx="4">
                  <c:v>Prague</c:v>
                </c:pt>
                <c:pt idx="5">
                  <c:v>Berlin</c:v>
                </c:pt>
                <c:pt idx="6">
                  <c:v>Madrid</c:v>
                </c:pt>
                <c:pt idx="7">
                  <c:v>Warsaw</c:v>
                </c:pt>
                <c:pt idx="8">
                  <c:v>Budapest</c:v>
                </c:pt>
                <c:pt idx="9">
                  <c:v>Helsinki</c:v>
                </c:pt>
                <c:pt idx="10">
                  <c:v>Nicosia</c:v>
                </c:pt>
                <c:pt idx="11">
                  <c:v>Cardiff</c:v>
                </c:pt>
                <c:pt idx="12">
                  <c:v>Ankara</c:v>
                </c:pt>
                <c:pt idx="13">
                  <c:v>Lisbon</c:v>
                </c:pt>
                <c:pt idx="14">
                  <c:v>Bucharest</c:v>
                </c:pt>
                <c:pt idx="15">
                  <c:v>Stockholm</c:v>
                </c:pt>
                <c:pt idx="16">
                  <c:v>Moscow</c:v>
                </c:pt>
                <c:pt idx="17">
                  <c:v>London</c:v>
                </c:pt>
                <c:pt idx="18">
                  <c:v>Brasilia</c:v>
                </c:pt>
                <c:pt idx="19">
                  <c:v>Oslo</c:v>
                </c:pt>
                <c:pt idx="20">
                  <c:v>Sofia</c:v>
                </c:pt>
                <c:pt idx="21">
                  <c:v>Paris</c:v>
                </c:pt>
                <c:pt idx="22">
                  <c:v>Bern</c:v>
                </c:pt>
                <c:pt idx="23">
                  <c:v>Canberra</c:v>
                </c:pt>
                <c:pt idx="24">
                  <c:v>Seoul</c:v>
                </c:pt>
                <c:pt idx="25">
                  <c:v>Hong Kong</c:v>
                </c:pt>
                <c:pt idx="26">
                  <c:v>Tokyo</c:v>
                </c:pt>
                <c:pt idx="27">
                  <c:v>Mexico City</c:v>
                </c:pt>
                <c:pt idx="28">
                  <c:v>Taipei</c:v>
                </c:pt>
                <c:pt idx="29">
                  <c:v>Buenos Aires</c:v>
                </c:pt>
                <c:pt idx="30">
                  <c:v>Yerevan</c:v>
                </c:pt>
                <c:pt idx="31">
                  <c:v>Vienna</c:v>
                </c:pt>
                <c:pt idx="32">
                  <c:v>Ottawa</c:v>
                </c:pt>
                <c:pt idx="33">
                  <c:v>Gran Santiago</c:v>
                </c:pt>
                <c:pt idx="34">
                  <c:v>Athens</c:v>
                </c:pt>
                <c:pt idx="35">
                  <c:v>Tehran</c:v>
                </c:pt>
                <c:pt idx="36">
                  <c:v>Jerusalem</c:v>
                </c:pt>
                <c:pt idx="37">
                  <c:v>Rome</c:v>
                </c:pt>
                <c:pt idx="38">
                  <c:v>Rabat/Sale</c:v>
                </c:pt>
                <c:pt idx="39">
                  <c:v>Amsterdam</c:v>
                </c:pt>
                <c:pt idx="40">
                  <c:v>Edinburgh</c:v>
                </c:pt>
                <c:pt idx="41">
                  <c:v>Singapore</c:v>
                </c:pt>
                <c:pt idx="42">
                  <c:v>Bratislava</c:v>
                </c:pt>
                <c:pt idx="43">
                  <c:v>Cape Town</c:v>
                </c:pt>
                <c:pt idx="44">
                  <c:v>Washington D.C.</c:v>
                </c:pt>
                <c:pt idx="45">
                  <c:v>Lusaka</c:v>
                </c:pt>
              </c:strCache>
            </c:strRef>
          </c:cat>
          <c:val>
            <c:numRef>
              <c:f>'Consumption HH capitals'!$E$300:$E$345</c:f>
              <c:numCache>
                <c:formatCode>0</c:formatCode>
                <c:ptCount val="46"/>
                <c:pt idx="0" formatCode="General">
                  <c:v>0</c:v>
                </c:pt>
                <c:pt idx="1">
                  <c:v>95</c:v>
                </c:pt>
                <c:pt idx="2" formatCode="General">
                  <c:v>150</c:v>
                </c:pt>
                <c:pt idx="3">
                  <c:v>104</c:v>
                </c:pt>
                <c:pt idx="4" formatCode="General">
                  <c:v>0</c:v>
                </c:pt>
                <c:pt idx="5" formatCode="General">
                  <c:v>0</c:v>
                </c:pt>
                <c:pt idx="6" formatCode="General">
                  <c:v>124</c:v>
                </c:pt>
                <c:pt idx="7" formatCode="General">
                  <c:v>0</c:v>
                </c:pt>
                <c:pt idx="8" formatCode="General">
                  <c:v>150</c:v>
                </c:pt>
                <c:pt idx="9">
                  <c:v>184.32073026068187</c:v>
                </c:pt>
                <c:pt idx="10" formatCode="General">
                  <c:v>145</c:v>
                </c:pt>
                <c:pt idx="11" formatCode="General">
                  <c:v>150</c:v>
                </c:pt>
                <c:pt idx="12" formatCode="General">
                  <c:v>0</c:v>
                </c:pt>
                <c:pt idx="13" formatCode="General">
                  <c:v>134</c:v>
                </c:pt>
                <c:pt idx="14" formatCode="General">
                  <c:v>0</c:v>
                </c:pt>
                <c:pt idx="15" formatCode="General">
                  <c:v>198</c:v>
                </c:pt>
                <c:pt idx="16" formatCode="General">
                  <c:v>0</c:v>
                </c:pt>
                <c:pt idx="17" formatCode="General">
                  <c:v>163</c:v>
                </c:pt>
                <c:pt idx="18" formatCode="General">
                  <c:v>187</c:v>
                </c:pt>
                <c:pt idx="19" formatCode="General">
                  <c:v>160</c:v>
                </c:pt>
                <c:pt idx="20" formatCode="General">
                  <c:v>134</c:v>
                </c:pt>
                <c:pt idx="21" formatCode="General">
                  <c:v>120</c:v>
                </c:pt>
                <c:pt idx="22" formatCode="General">
                  <c:v>178</c:v>
                </c:pt>
                <c:pt idx="23" formatCode="General">
                  <c:v>0</c:v>
                </c:pt>
                <c:pt idx="24" formatCode="General">
                  <c:v>286</c:v>
                </c:pt>
                <c:pt idx="25">
                  <c:v>208.69</c:v>
                </c:pt>
                <c:pt idx="26">
                  <c:v>225</c:v>
                </c:pt>
                <c:pt idx="27" formatCode="General">
                  <c:v>0</c:v>
                </c:pt>
                <c:pt idx="28" formatCode="General">
                  <c:v>340</c:v>
                </c:pt>
                <c:pt idx="29" formatCode="General">
                  <c:v>0</c:v>
                </c:pt>
                <c:pt idx="30" formatCode="General">
                  <c:v>0</c:v>
                </c:pt>
                <c:pt idx="31" formatCode="General">
                  <c:v>143</c:v>
                </c:pt>
                <c:pt idx="32">
                  <c:v>0</c:v>
                </c:pt>
                <c:pt idx="33">
                  <c:v>0</c:v>
                </c:pt>
                <c:pt idx="34" formatCode="General">
                  <c:v>0</c:v>
                </c:pt>
                <c:pt idx="35" formatCode="General">
                  <c:v>260</c:v>
                </c:pt>
                <c:pt idx="36" formatCode="General">
                  <c:v>59</c:v>
                </c:pt>
                <c:pt idx="37" formatCode="General">
                  <c:v>214</c:v>
                </c:pt>
                <c:pt idx="38" formatCode="General">
                  <c:v>0</c:v>
                </c:pt>
                <c:pt idx="39">
                  <c:v>133.5</c:v>
                </c:pt>
                <c:pt idx="40" formatCode="General">
                  <c:v>0</c:v>
                </c:pt>
                <c:pt idx="41" formatCode="General">
                  <c:v>0</c:v>
                </c:pt>
                <c:pt idx="42" formatCode="General">
                  <c:v>0</c:v>
                </c:pt>
                <c:pt idx="43">
                  <c:v>95.722525488959917</c:v>
                </c:pt>
                <c:pt idx="44" formatCode="General">
                  <c:v>0</c:v>
                </c:pt>
                <c:pt idx="45" formatCode="General">
                  <c:v>0</c:v>
                </c:pt>
              </c:numCache>
            </c:numRef>
          </c:val>
          <c:extLst>
            <c:ext xmlns:c16="http://schemas.microsoft.com/office/drawing/2014/chart" uri="{C3380CC4-5D6E-409C-BE32-E72D297353CC}">
              <c16:uniqueId val="{00000001-9892-4098-864F-7C6F2EAEA845}"/>
            </c:ext>
          </c:extLst>
        </c:ser>
        <c:ser>
          <c:idx val="2"/>
          <c:order val="2"/>
          <c:tx>
            <c:strRef>
              <c:f>'Consumption HH capitals'!$F$299</c:f>
              <c:strCache>
                <c:ptCount val="1"/>
                <c:pt idx="0">
                  <c:v>Households 2014</c:v>
                </c:pt>
              </c:strCache>
            </c:strRef>
          </c:tx>
          <c:spPr>
            <a:solidFill>
              <a:schemeClr val="accent3"/>
            </a:solidFill>
            <a:ln>
              <a:noFill/>
            </a:ln>
            <a:effectLst/>
          </c:spPr>
          <c:invertIfNegative val="0"/>
          <c:cat>
            <c:strRef>
              <c:f>'Consumption HH capitals'!$A$300:$A$345</c:f>
              <c:strCache>
                <c:ptCount val="46"/>
                <c:pt idx="0">
                  <c:v>Kampala</c:v>
                </c:pt>
                <c:pt idx="1">
                  <c:v>Brussels</c:v>
                </c:pt>
                <c:pt idx="2">
                  <c:v>Beijing</c:v>
                </c:pt>
                <c:pt idx="3">
                  <c:v>Copenhagen</c:v>
                </c:pt>
                <c:pt idx="4">
                  <c:v>Prague</c:v>
                </c:pt>
                <c:pt idx="5">
                  <c:v>Berlin</c:v>
                </c:pt>
                <c:pt idx="6">
                  <c:v>Madrid</c:v>
                </c:pt>
                <c:pt idx="7">
                  <c:v>Warsaw</c:v>
                </c:pt>
                <c:pt idx="8">
                  <c:v>Budapest</c:v>
                </c:pt>
                <c:pt idx="9">
                  <c:v>Helsinki</c:v>
                </c:pt>
                <c:pt idx="10">
                  <c:v>Nicosia</c:v>
                </c:pt>
                <c:pt idx="11">
                  <c:v>Cardiff</c:v>
                </c:pt>
                <c:pt idx="12">
                  <c:v>Ankara</c:v>
                </c:pt>
                <c:pt idx="13">
                  <c:v>Lisbon</c:v>
                </c:pt>
                <c:pt idx="14">
                  <c:v>Bucharest</c:v>
                </c:pt>
                <c:pt idx="15">
                  <c:v>Stockholm</c:v>
                </c:pt>
                <c:pt idx="16">
                  <c:v>Moscow</c:v>
                </c:pt>
                <c:pt idx="17">
                  <c:v>London</c:v>
                </c:pt>
                <c:pt idx="18">
                  <c:v>Brasilia</c:v>
                </c:pt>
                <c:pt idx="19">
                  <c:v>Oslo</c:v>
                </c:pt>
                <c:pt idx="20">
                  <c:v>Sofia</c:v>
                </c:pt>
                <c:pt idx="21">
                  <c:v>Paris</c:v>
                </c:pt>
                <c:pt idx="22">
                  <c:v>Bern</c:v>
                </c:pt>
                <c:pt idx="23">
                  <c:v>Canberra</c:v>
                </c:pt>
                <c:pt idx="24">
                  <c:v>Seoul</c:v>
                </c:pt>
                <c:pt idx="25">
                  <c:v>Hong Kong</c:v>
                </c:pt>
                <c:pt idx="26">
                  <c:v>Tokyo</c:v>
                </c:pt>
                <c:pt idx="27">
                  <c:v>Mexico City</c:v>
                </c:pt>
                <c:pt idx="28">
                  <c:v>Taipei</c:v>
                </c:pt>
                <c:pt idx="29">
                  <c:v>Buenos Aires</c:v>
                </c:pt>
                <c:pt idx="30">
                  <c:v>Yerevan</c:v>
                </c:pt>
                <c:pt idx="31">
                  <c:v>Vienna</c:v>
                </c:pt>
                <c:pt idx="32">
                  <c:v>Ottawa</c:v>
                </c:pt>
                <c:pt idx="33">
                  <c:v>Gran Santiago</c:v>
                </c:pt>
                <c:pt idx="34">
                  <c:v>Athens</c:v>
                </c:pt>
                <c:pt idx="35">
                  <c:v>Tehran</c:v>
                </c:pt>
                <c:pt idx="36">
                  <c:v>Jerusalem</c:v>
                </c:pt>
                <c:pt idx="37">
                  <c:v>Rome</c:v>
                </c:pt>
                <c:pt idx="38">
                  <c:v>Rabat/Sale</c:v>
                </c:pt>
                <c:pt idx="39">
                  <c:v>Amsterdam</c:v>
                </c:pt>
                <c:pt idx="40">
                  <c:v>Edinburgh</c:v>
                </c:pt>
                <c:pt idx="41">
                  <c:v>Singapore</c:v>
                </c:pt>
                <c:pt idx="42">
                  <c:v>Bratislava</c:v>
                </c:pt>
                <c:pt idx="43">
                  <c:v>Cape Town</c:v>
                </c:pt>
                <c:pt idx="44">
                  <c:v>Washington D.C.</c:v>
                </c:pt>
                <c:pt idx="45">
                  <c:v>Lusaka</c:v>
                </c:pt>
              </c:strCache>
            </c:strRef>
          </c:cat>
          <c:val>
            <c:numRef>
              <c:f>'Consumption HH capitals'!$F$300:$F$345</c:f>
              <c:numCache>
                <c:formatCode>0</c:formatCode>
                <c:ptCount val="46"/>
                <c:pt idx="0" formatCode="General">
                  <c:v>61</c:v>
                </c:pt>
                <c:pt idx="1">
                  <c:v>92</c:v>
                </c:pt>
                <c:pt idx="2" formatCode="General">
                  <c:v>100</c:v>
                </c:pt>
                <c:pt idx="3">
                  <c:v>101</c:v>
                </c:pt>
                <c:pt idx="4" formatCode="General">
                  <c:v>0</c:v>
                </c:pt>
                <c:pt idx="5" formatCode="General">
                  <c:v>0</c:v>
                </c:pt>
                <c:pt idx="6" formatCode="General">
                  <c:v>107</c:v>
                </c:pt>
                <c:pt idx="7" formatCode="General">
                  <c:v>0</c:v>
                </c:pt>
                <c:pt idx="8" formatCode="General">
                  <c:v>126</c:v>
                </c:pt>
                <c:pt idx="9">
                  <c:v>140</c:v>
                </c:pt>
                <c:pt idx="10" formatCode="General">
                  <c:v>133</c:v>
                </c:pt>
                <c:pt idx="11" formatCode="General">
                  <c:v>144</c:v>
                </c:pt>
                <c:pt idx="12" formatCode="General">
                  <c:v>0</c:v>
                </c:pt>
                <c:pt idx="13" formatCode="General">
                  <c:v>142</c:v>
                </c:pt>
                <c:pt idx="14" formatCode="General">
                  <c:v>151</c:v>
                </c:pt>
                <c:pt idx="15" formatCode="General">
                  <c:v>0</c:v>
                </c:pt>
                <c:pt idx="16" formatCode="General">
                  <c:v>0</c:v>
                </c:pt>
                <c:pt idx="17" formatCode="General">
                  <c:v>155</c:v>
                </c:pt>
                <c:pt idx="18" formatCode="General">
                  <c:v>181</c:v>
                </c:pt>
                <c:pt idx="19" formatCode="General">
                  <c:v>160</c:v>
                </c:pt>
                <c:pt idx="20" formatCode="General">
                  <c:v>0</c:v>
                </c:pt>
                <c:pt idx="21" formatCode="General">
                  <c:v>187</c:v>
                </c:pt>
                <c:pt idx="22" formatCode="General">
                  <c:v>182</c:v>
                </c:pt>
                <c:pt idx="23" formatCode="General">
                  <c:v>189</c:v>
                </c:pt>
                <c:pt idx="24" formatCode="General">
                  <c:v>284</c:v>
                </c:pt>
                <c:pt idx="25">
                  <c:v>211</c:v>
                </c:pt>
                <c:pt idx="26">
                  <c:v>220</c:v>
                </c:pt>
                <c:pt idx="27" formatCode="General">
                  <c:v>0</c:v>
                </c:pt>
                <c:pt idx="28" formatCode="General">
                  <c:v>327</c:v>
                </c:pt>
                <c:pt idx="29" formatCode="General">
                  <c:v>0</c:v>
                </c:pt>
                <c:pt idx="30" formatCode="General">
                  <c:v>0</c:v>
                </c:pt>
                <c:pt idx="31" formatCode="General">
                  <c:v>0</c:v>
                </c:pt>
                <c:pt idx="32">
                  <c:v>0</c:v>
                </c:pt>
                <c:pt idx="33">
                  <c:v>180</c:v>
                </c:pt>
                <c:pt idx="34" formatCode="General">
                  <c:v>289</c:v>
                </c:pt>
                <c:pt idx="35" formatCode="General">
                  <c:v>0</c:v>
                </c:pt>
                <c:pt idx="36" formatCode="General">
                  <c:v>0</c:v>
                </c:pt>
                <c:pt idx="37" formatCode="General">
                  <c:v>0</c:v>
                </c:pt>
                <c:pt idx="38" formatCode="General">
                  <c:v>0</c:v>
                </c:pt>
                <c:pt idx="39">
                  <c:v>135.5</c:v>
                </c:pt>
                <c:pt idx="40" formatCode="General">
                  <c:v>0</c:v>
                </c:pt>
                <c:pt idx="41" formatCode="General">
                  <c:v>0</c:v>
                </c:pt>
                <c:pt idx="42" formatCode="General">
                  <c:v>0</c:v>
                </c:pt>
                <c:pt idx="43">
                  <c:v>0</c:v>
                </c:pt>
                <c:pt idx="44" formatCode="General">
                  <c:v>0</c:v>
                </c:pt>
                <c:pt idx="45" formatCode="General">
                  <c:v>54</c:v>
                </c:pt>
              </c:numCache>
            </c:numRef>
          </c:val>
          <c:extLst>
            <c:ext xmlns:c16="http://schemas.microsoft.com/office/drawing/2014/chart" uri="{C3380CC4-5D6E-409C-BE32-E72D297353CC}">
              <c16:uniqueId val="{00000002-9892-4098-864F-7C6F2EAEA845}"/>
            </c:ext>
          </c:extLst>
        </c:ser>
        <c:ser>
          <c:idx val="3"/>
          <c:order val="3"/>
          <c:tx>
            <c:strRef>
              <c:f>'Consumption HH capitals'!$G$299</c:f>
              <c:strCache>
                <c:ptCount val="1"/>
                <c:pt idx="0">
                  <c:v>Households 2016</c:v>
                </c:pt>
              </c:strCache>
            </c:strRef>
          </c:tx>
          <c:spPr>
            <a:solidFill>
              <a:schemeClr val="accent4"/>
            </a:solidFill>
            <a:ln>
              <a:noFill/>
            </a:ln>
            <a:effectLst/>
          </c:spPr>
          <c:invertIfNegative val="0"/>
          <c:cat>
            <c:strRef>
              <c:f>'Consumption HH capitals'!$A$300:$A$345</c:f>
              <c:strCache>
                <c:ptCount val="46"/>
                <c:pt idx="0">
                  <c:v>Kampala</c:v>
                </c:pt>
                <c:pt idx="1">
                  <c:v>Brussels</c:v>
                </c:pt>
                <c:pt idx="2">
                  <c:v>Beijing</c:v>
                </c:pt>
                <c:pt idx="3">
                  <c:v>Copenhagen</c:v>
                </c:pt>
                <c:pt idx="4">
                  <c:v>Prague</c:v>
                </c:pt>
                <c:pt idx="5">
                  <c:v>Berlin</c:v>
                </c:pt>
                <c:pt idx="6">
                  <c:v>Madrid</c:v>
                </c:pt>
                <c:pt idx="7">
                  <c:v>Warsaw</c:v>
                </c:pt>
                <c:pt idx="8">
                  <c:v>Budapest</c:v>
                </c:pt>
                <c:pt idx="9">
                  <c:v>Helsinki</c:v>
                </c:pt>
                <c:pt idx="10">
                  <c:v>Nicosia</c:v>
                </c:pt>
                <c:pt idx="11">
                  <c:v>Cardiff</c:v>
                </c:pt>
                <c:pt idx="12">
                  <c:v>Ankara</c:v>
                </c:pt>
                <c:pt idx="13">
                  <c:v>Lisbon</c:v>
                </c:pt>
                <c:pt idx="14">
                  <c:v>Bucharest</c:v>
                </c:pt>
                <c:pt idx="15">
                  <c:v>Stockholm</c:v>
                </c:pt>
                <c:pt idx="16">
                  <c:v>Moscow</c:v>
                </c:pt>
                <c:pt idx="17">
                  <c:v>London</c:v>
                </c:pt>
                <c:pt idx="18">
                  <c:v>Brasilia</c:v>
                </c:pt>
                <c:pt idx="19">
                  <c:v>Oslo</c:v>
                </c:pt>
                <c:pt idx="20">
                  <c:v>Sofia</c:v>
                </c:pt>
                <c:pt idx="21">
                  <c:v>Paris</c:v>
                </c:pt>
                <c:pt idx="22">
                  <c:v>Bern</c:v>
                </c:pt>
                <c:pt idx="23">
                  <c:v>Canberra</c:v>
                </c:pt>
                <c:pt idx="24">
                  <c:v>Seoul</c:v>
                </c:pt>
                <c:pt idx="25">
                  <c:v>Hong Kong</c:v>
                </c:pt>
                <c:pt idx="26">
                  <c:v>Tokyo</c:v>
                </c:pt>
                <c:pt idx="27">
                  <c:v>Mexico City</c:v>
                </c:pt>
                <c:pt idx="28">
                  <c:v>Taipei</c:v>
                </c:pt>
                <c:pt idx="29">
                  <c:v>Buenos Aires</c:v>
                </c:pt>
                <c:pt idx="30">
                  <c:v>Yerevan</c:v>
                </c:pt>
                <c:pt idx="31">
                  <c:v>Vienna</c:v>
                </c:pt>
                <c:pt idx="32">
                  <c:v>Ottawa</c:v>
                </c:pt>
                <c:pt idx="33">
                  <c:v>Gran Santiago</c:v>
                </c:pt>
                <c:pt idx="34">
                  <c:v>Athens</c:v>
                </c:pt>
                <c:pt idx="35">
                  <c:v>Tehran</c:v>
                </c:pt>
                <c:pt idx="36">
                  <c:v>Jerusalem</c:v>
                </c:pt>
                <c:pt idx="37">
                  <c:v>Rome</c:v>
                </c:pt>
                <c:pt idx="38">
                  <c:v>Rabat/Sale</c:v>
                </c:pt>
                <c:pt idx="39">
                  <c:v>Amsterdam</c:v>
                </c:pt>
                <c:pt idx="40">
                  <c:v>Edinburgh</c:v>
                </c:pt>
                <c:pt idx="41">
                  <c:v>Singapore</c:v>
                </c:pt>
                <c:pt idx="42">
                  <c:v>Bratislava</c:v>
                </c:pt>
                <c:pt idx="43">
                  <c:v>Cape Town</c:v>
                </c:pt>
                <c:pt idx="44">
                  <c:v>Washington D.C.</c:v>
                </c:pt>
                <c:pt idx="45">
                  <c:v>Lusaka</c:v>
                </c:pt>
              </c:strCache>
            </c:strRef>
          </c:cat>
          <c:val>
            <c:numRef>
              <c:f>'Consumption HH capitals'!$G$300:$G$345</c:f>
              <c:numCache>
                <c:formatCode>0</c:formatCode>
                <c:ptCount val="46"/>
                <c:pt idx="0">
                  <c:v>23.915051006319757</c:v>
                </c:pt>
                <c:pt idx="1">
                  <c:v>93</c:v>
                </c:pt>
                <c:pt idx="2" formatCode="General">
                  <c:v>100</c:v>
                </c:pt>
                <c:pt idx="3">
                  <c:v>104.3</c:v>
                </c:pt>
                <c:pt idx="4" formatCode="General">
                  <c:v>108</c:v>
                </c:pt>
                <c:pt idx="5" formatCode="General">
                  <c:v>114</c:v>
                </c:pt>
                <c:pt idx="6" formatCode="General">
                  <c:v>127</c:v>
                </c:pt>
                <c:pt idx="7">
                  <c:v>127.04919279895525</c:v>
                </c:pt>
                <c:pt idx="8" formatCode="General">
                  <c:v>129</c:v>
                </c:pt>
                <c:pt idx="9">
                  <c:v>136</c:v>
                </c:pt>
                <c:pt idx="10" formatCode="General">
                  <c:v>142</c:v>
                </c:pt>
                <c:pt idx="11" formatCode="General">
                  <c:v>143</c:v>
                </c:pt>
                <c:pt idx="12" formatCode="General">
                  <c:v>145</c:v>
                </c:pt>
                <c:pt idx="13" formatCode="General">
                  <c:v>148</c:v>
                </c:pt>
                <c:pt idx="14" formatCode="General">
                  <c:v>148</c:v>
                </c:pt>
                <c:pt idx="15" formatCode="General">
                  <c:v>148</c:v>
                </c:pt>
                <c:pt idx="16">
                  <c:v>148.30000000000001</c:v>
                </c:pt>
                <c:pt idx="17" formatCode="General">
                  <c:v>149</c:v>
                </c:pt>
                <c:pt idx="18">
                  <c:v>153.69999999999999</c:v>
                </c:pt>
                <c:pt idx="19" formatCode="General">
                  <c:v>160</c:v>
                </c:pt>
                <c:pt idx="20">
                  <c:v>165.40799999999999</c:v>
                </c:pt>
                <c:pt idx="21">
                  <c:v>186.7</c:v>
                </c:pt>
                <c:pt idx="22" formatCode="General">
                  <c:v>189</c:v>
                </c:pt>
                <c:pt idx="23" formatCode="General">
                  <c:v>190</c:v>
                </c:pt>
                <c:pt idx="24" formatCode="General">
                  <c:v>193</c:v>
                </c:pt>
                <c:pt idx="25">
                  <c:v>217</c:v>
                </c:pt>
                <c:pt idx="26">
                  <c:v>218</c:v>
                </c:pt>
                <c:pt idx="27" formatCode="General">
                  <c:v>312</c:v>
                </c:pt>
                <c:pt idx="28" formatCode="General">
                  <c:v>326</c:v>
                </c:pt>
                <c:pt idx="29" formatCode="General">
                  <c:v>336</c:v>
                </c:pt>
                <c:pt idx="30" formatCode="General">
                  <c:v>0</c:v>
                </c:pt>
                <c:pt idx="31" formatCode="General">
                  <c:v>0</c:v>
                </c:pt>
                <c:pt idx="32">
                  <c:v>0</c:v>
                </c:pt>
                <c:pt idx="33">
                  <c:v>0</c:v>
                </c:pt>
                <c:pt idx="34" formatCode="General">
                  <c:v>0</c:v>
                </c:pt>
                <c:pt idx="35" formatCode="General">
                  <c:v>0</c:v>
                </c:pt>
                <c:pt idx="36" formatCode="General">
                  <c:v>0</c:v>
                </c:pt>
                <c:pt idx="37" formatCode="General">
                  <c:v>0</c:v>
                </c:pt>
                <c:pt idx="38" formatCode="General">
                  <c:v>0</c:v>
                </c:pt>
                <c:pt idx="39">
                  <c:v>0</c:v>
                </c:pt>
                <c:pt idx="40">
                  <c:v>0</c:v>
                </c:pt>
                <c:pt idx="41" formatCode="General">
                  <c:v>0</c:v>
                </c:pt>
                <c:pt idx="42" formatCode="General">
                  <c:v>0</c:v>
                </c:pt>
                <c:pt idx="43">
                  <c:v>0</c:v>
                </c:pt>
                <c:pt idx="44" formatCode="General">
                  <c:v>0</c:v>
                </c:pt>
                <c:pt idx="45" formatCode="General">
                  <c:v>0</c:v>
                </c:pt>
              </c:numCache>
            </c:numRef>
          </c:val>
          <c:extLst>
            <c:ext xmlns:c16="http://schemas.microsoft.com/office/drawing/2014/chart" uri="{C3380CC4-5D6E-409C-BE32-E72D297353CC}">
              <c16:uniqueId val="{00000003-9892-4098-864F-7C6F2EAEA845}"/>
            </c:ext>
          </c:extLst>
        </c:ser>
        <c:dLbls>
          <c:showLegendKey val="0"/>
          <c:showVal val="0"/>
          <c:showCatName val="0"/>
          <c:showSerName val="0"/>
          <c:showPercent val="0"/>
          <c:showBubbleSize val="0"/>
        </c:dLbls>
        <c:gapWidth val="219"/>
        <c:overlap val="-27"/>
        <c:axId val="406862224"/>
        <c:axId val="406862616"/>
      </c:barChart>
      <c:catAx>
        <c:axId val="40686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862616"/>
        <c:crosses val="autoZero"/>
        <c:auto val="1"/>
        <c:lblAlgn val="ctr"/>
        <c:lblOffset val="100"/>
        <c:noMultiLvlLbl val="0"/>
      </c:catAx>
      <c:valAx>
        <c:axId val="406862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86222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Specific water consumption for capitals in 2016</a:t>
            </a:r>
          </a:p>
          <a:p>
            <a:pPr>
              <a:defRPr/>
            </a:pPr>
            <a:r>
              <a:rPr lang="en-US" sz="1100"/>
              <a:t>in liters/capita/day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3"/>
          <c:order val="3"/>
          <c:tx>
            <c:strRef>
              <c:f>'Consumption HH capitals'!$G$299</c:f>
              <c:strCache>
                <c:ptCount val="1"/>
                <c:pt idx="0">
                  <c:v>Households 2016</c:v>
                </c:pt>
              </c:strCache>
            </c:strRef>
          </c:tx>
          <c:spPr>
            <a:solidFill>
              <a:schemeClr val="accent4"/>
            </a:solidFill>
            <a:ln>
              <a:noFill/>
            </a:ln>
            <a:effectLst/>
          </c:spPr>
          <c:invertIfNegative val="0"/>
          <c:cat>
            <c:strRef>
              <c:f>'Consumption HH capitals'!$A$300:$A$329</c:f>
              <c:strCache>
                <c:ptCount val="30"/>
                <c:pt idx="0">
                  <c:v>Kampala</c:v>
                </c:pt>
                <c:pt idx="1">
                  <c:v>Brussels</c:v>
                </c:pt>
                <c:pt idx="2">
                  <c:v>Beijing</c:v>
                </c:pt>
                <c:pt idx="3">
                  <c:v>Copenhagen</c:v>
                </c:pt>
                <c:pt idx="4">
                  <c:v>Prague</c:v>
                </c:pt>
                <c:pt idx="5">
                  <c:v>Berlin</c:v>
                </c:pt>
                <c:pt idx="6">
                  <c:v>Madrid</c:v>
                </c:pt>
                <c:pt idx="7">
                  <c:v>Warsaw</c:v>
                </c:pt>
                <c:pt idx="8">
                  <c:v>Budapest</c:v>
                </c:pt>
                <c:pt idx="9">
                  <c:v>Helsinki</c:v>
                </c:pt>
                <c:pt idx="10">
                  <c:v>Nicosia</c:v>
                </c:pt>
                <c:pt idx="11">
                  <c:v>Cardiff</c:v>
                </c:pt>
                <c:pt idx="12">
                  <c:v>Ankara</c:v>
                </c:pt>
                <c:pt idx="13">
                  <c:v>Lisbon</c:v>
                </c:pt>
                <c:pt idx="14">
                  <c:v>Bucharest</c:v>
                </c:pt>
                <c:pt idx="15">
                  <c:v>Stockholm</c:v>
                </c:pt>
                <c:pt idx="16">
                  <c:v>Moscow</c:v>
                </c:pt>
                <c:pt idx="17">
                  <c:v>London</c:v>
                </c:pt>
                <c:pt idx="18">
                  <c:v>Brasilia</c:v>
                </c:pt>
                <c:pt idx="19">
                  <c:v>Oslo</c:v>
                </c:pt>
                <c:pt idx="20">
                  <c:v>Sofia</c:v>
                </c:pt>
                <c:pt idx="21">
                  <c:v>Paris</c:v>
                </c:pt>
                <c:pt idx="22">
                  <c:v>Bern</c:v>
                </c:pt>
                <c:pt idx="23">
                  <c:v>Canberra</c:v>
                </c:pt>
                <c:pt idx="24">
                  <c:v>Seoul</c:v>
                </c:pt>
                <c:pt idx="25">
                  <c:v>Hong Kong</c:v>
                </c:pt>
                <c:pt idx="26">
                  <c:v>Tokyo</c:v>
                </c:pt>
                <c:pt idx="27">
                  <c:v>Mexico City</c:v>
                </c:pt>
                <c:pt idx="28">
                  <c:v>Taipei</c:v>
                </c:pt>
                <c:pt idx="29">
                  <c:v>Buenos Aires</c:v>
                </c:pt>
              </c:strCache>
            </c:strRef>
          </c:cat>
          <c:val>
            <c:numRef>
              <c:f>'Consumption HH capitals'!$G$300:$G$329</c:f>
              <c:numCache>
                <c:formatCode>0</c:formatCode>
                <c:ptCount val="30"/>
                <c:pt idx="0">
                  <c:v>23.915051006319757</c:v>
                </c:pt>
                <c:pt idx="1">
                  <c:v>93</c:v>
                </c:pt>
                <c:pt idx="2" formatCode="General">
                  <c:v>100</c:v>
                </c:pt>
                <c:pt idx="3">
                  <c:v>104.3</c:v>
                </c:pt>
                <c:pt idx="4" formatCode="General">
                  <c:v>108</c:v>
                </c:pt>
                <c:pt idx="5" formatCode="General">
                  <c:v>114</c:v>
                </c:pt>
                <c:pt idx="6" formatCode="General">
                  <c:v>127</c:v>
                </c:pt>
                <c:pt idx="7">
                  <c:v>127.04919279895525</c:v>
                </c:pt>
                <c:pt idx="8" formatCode="General">
                  <c:v>129</c:v>
                </c:pt>
                <c:pt idx="9">
                  <c:v>136</c:v>
                </c:pt>
                <c:pt idx="10" formatCode="General">
                  <c:v>142</c:v>
                </c:pt>
                <c:pt idx="11" formatCode="General">
                  <c:v>143</c:v>
                </c:pt>
                <c:pt idx="12" formatCode="General">
                  <c:v>145</c:v>
                </c:pt>
                <c:pt idx="13" formatCode="General">
                  <c:v>148</c:v>
                </c:pt>
                <c:pt idx="14" formatCode="General">
                  <c:v>148</c:v>
                </c:pt>
                <c:pt idx="15" formatCode="General">
                  <c:v>148</c:v>
                </c:pt>
                <c:pt idx="16">
                  <c:v>148.30000000000001</c:v>
                </c:pt>
                <c:pt idx="17" formatCode="General">
                  <c:v>149</c:v>
                </c:pt>
                <c:pt idx="18">
                  <c:v>153.69999999999999</c:v>
                </c:pt>
                <c:pt idx="19" formatCode="General">
                  <c:v>160</c:v>
                </c:pt>
                <c:pt idx="20">
                  <c:v>165.40799999999999</c:v>
                </c:pt>
                <c:pt idx="21">
                  <c:v>186.7</c:v>
                </c:pt>
                <c:pt idx="22" formatCode="General">
                  <c:v>189</c:v>
                </c:pt>
                <c:pt idx="23" formatCode="General">
                  <c:v>190</c:v>
                </c:pt>
                <c:pt idx="24" formatCode="General">
                  <c:v>193</c:v>
                </c:pt>
                <c:pt idx="25">
                  <c:v>217</c:v>
                </c:pt>
                <c:pt idx="26">
                  <c:v>218</c:v>
                </c:pt>
                <c:pt idx="27" formatCode="General">
                  <c:v>312</c:v>
                </c:pt>
                <c:pt idx="28" formatCode="General">
                  <c:v>326</c:v>
                </c:pt>
                <c:pt idx="29" formatCode="General">
                  <c:v>336</c:v>
                </c:pt>
              </c:numCache>
            </c:numRef>
          </c:val>
          <c:extLst>
            <c:ext xmlns:c16="http://schemas.microsoft.com/office/drawing/2014/chart" uri="{C3380CC4-5D6E-409C-BE32-E72D297353CC}">
              <c16:uniqueId val="{00000000-33AF-45C3-BD6D-56198E9FA30F}"/>
            </c:ext>
          </c:extLst>
        </c:ser>
        <c:dLbls>
          <c:showLegendKey val="0"/>
          <c:showVal val="0"/>
          <c:showCatName val="0"/>
          <c:showSerName val="0"/>
          <c:showPercent val="0"/>
          <c:showBubbleSize val="0"/>
        </c:dLbls>
        <c:gapWidth val="219"/>
        <c:overlap val="-27"/>
        <c:axId val="406863400"/>
        <c:axId val="406863792"/>
        <c:extLst>
          <c:ext xmlns:c15="http://schemas.microsoft.com/office/drawing/2012/chart" uri="{02D57815-91ED-43cb-92C2-25804820EDAC}">
            <c15:filteredBarSeries>
              <c15:ser>
                <c:idx val="0"/>
                <c:order val="0"/>
                <c:tx>
                  <c:strRef>
                    <c:extLst>
                      <c:ext uri="{02D57815-91ED-43cb-92C2-25804820EDAC}">
                        <c15:formulaRef>
                          <c15:sqref>'Consumption HH capitals'!$D$299</c15:sqref>
                        </c15:formulaRef>
                      </c:ext>
                    </c:extLst>
                    <c:strCache>
                      <c:ptCount val="1"/>
                      <c:pt idx="0">
                        <c:v>Households 2010</c:v>
                      </c:pt>
                    </c:strCache>
                  </c:strRef>
                </c:tx>
                <c:spPr>
                  <a:solidFill>
                    <a:schemeClr val="accent1"/>
                  </a:solidFill>
                  <a:ln>
                    <a:noFill/>
                  </a:ln>
                  <a:effectLst/>
                </c:spPr>
                <c:invertIfNegative val="0"/>
                <c:cat>
                  <c:strRef>
                    <c:extLst>
                      <c:ext uri="{02D57815-91ED-43cb-92C2-25804820EDAC}">
                        <c15:formulaRef>
                          <c15:sqref>'Consumption HH capitals'!$A$300:$A$329</c15:sqref>
                        </c15:formulaRef>
                      </c:ext>
                    </c:extLst>
                    <c:strCache>
                      <c:ptCount val="30"/>
                      <c:pt idx="0">
                        <c:v>Kampala</c:v>
                      </c:pt>
                      <c:pt idx="1">
                        <c:v>Brussels</c:v>
                      </c:pt>
                      <c:pt idx="2">
                        <c:v>Beijing</c:v>
                      </c:pt>
                      <c:pt idx="3">
                        <c:v>Copenhagen</c:v>
                      </c:pt>
                      <c:pt idx="4">
                        <c:v>Prague</c:v>
                      </c:pt>
                      <c:pt idx="5">
                        <c:v>Berlin</c:v>
                      </c:pt>
                      <c:pt idx="6">
                        <c:v>Madrid</c:v>
                      </c:pt>
                      <c:pt idx="7">
                        <c:v>Warsaw</c:v>
                      </c:pt>
                      <c:pt idx="8">
                        <c:v>Budapest</c:v>
                      </c:pt>
                      <c:pt idx="9">
                        <c:v>Helsinki</c:v>
                      </c:pt>
                      <c:pt idx="10">
                        <c:v>Nicosia</c:v>
                      </c:pt>
                      <c:pt idx="11">
                        <c:v>Cardiff</c:v>
                      </c:pt>
                      <c:pt idx="12">
                        <c:v>Ankara</c:v>
                      </c:pt>
                      <c:pt idx="13">
                        <c:v>Lisbon</c:v>
                      </c:pt>
                      <c:pt idx="14">
                        <c:v>Bucharest</c:v>
                      </c:pt>
                      <c:pt idx="15">
                        <c:v>Stockholm</c:v>
                      </c:pt>
                      <c:pt idx="16">
                        <c:v>Moscow</c:v>
                      </c:pt>
                      <c:pt idx="17">
                        <c:v>London</c:v>
                      </c:pt>
                      <c:pt idx="18">
                        <c:v>Brasilia</c:v>
                      </c:pt>
                      <c:pt idx="19">
                        <c:v>Oslo</c:v>
                      </c:pt>
                      <c:pt idx="20">
                        <c:v>Sofia</c:v>
                      </c:pt>
                      <c:pt idx="21">
                        <c:v>Paris</c:v>
                      </c:pt>
                      <c:pt idx="22">
                        <c:v>Bern</c:v>
                      </c:pt>
                      <c:pt idx="23">
                        <c:v>Canberra</c:v>
                      </c:pt>
                      <c:pt idx="24">
                        <c:v>Seoul</c:v>
                      </c:pt>
                      <c:pt idx="25">
                        <c:v>Hong Kong</c:v>
                      </c:pt>
                      <c:pt idx="26">
                        <c:v>Tokyo</c:v>
                      </c:pt>
                      <c:pt idx="27">
                        <c:v>Mexico City</c:v>
                      </c:pt>
                      <c:pt idx="28">
                        <c:v>Taipei</c:v>
                      </c:pt>
                      <c:pt idx="29">
                        <c:v>Buenos Aires</c:v>
                      </c:pt>
                    </c:strCache>
                  </c:strRef>
                </c:cat>
                <c:val>
                  <c:numRef>
                    <c:extLst>
                      <c:ext uri="{02D57815-91ED-43cb-92C2-25804820EDAC}">
                        <c15:formulaRef>
                          <c15:sqref>'Consumption HH capitals'!$D$300:$D$329</c15:sqref>
                        </c15:formulaRef>
                      </c:ext>
                    </c:extLst>
                    <c:numCache>
                      <c:formatCode>0</c:formatCode>
                      <c:ptCount val="30"/>
                      <c:pt idx="0" formatCode="General">
                        <c:v>0</c:v>
                      </c:pt>
                      <c:pt idx="1">
                        <c:v>115</c:v>
                      </c:pt>
                      <c:pt idx="2" formatCode="General">
                        <c:v>150</c:v>
                      </c:pt>
                      <c:pt idx="3">
                        <c:v>107.3</c:v>
                      </c:pt>
                      <c:pt idx="4" formatCode="General">
                        <c:v>0</c:v>
                      </c:pt>
                      <c:pt idx="5" formatCode="General">
                        <c:v>0</c:v>
                      </c:pt>
                      <c:pt idx="6" formatCode="General">
                        <c:v>124</c:v>
                      </c:pt>
                      <c:pt idx="7" formatCode="General">
                        <c:v>0</c:v>
                      </c:pt>
                      <c:pt idx="8" formatCode="General">
                        <c:v>147</c:v>
                      </c:pt>
                      <c:pt idx="9" formatCode="General">
                        <c:v>158</c:v>
                      </c:pt>
                      <c:pt idx="10" formatCode="General">
                        <c:v>152</c:v>
                      </c:pt>
                      <c:pt idx="11" formatCode="General">
                        <c:v>150</c:v>
                      </c:pt>
                      <c:pt idx="12" formatCode="General">
                        <c:v>0</c:v>
                      </c:pt>
                      <c:pt idx="13" formatCode="General">
                        <c:v>127</c:v>
                      </c:pt>
                      <c:pt idx="14" formatCode="General">
                        <c:v>0</c:v>
                      </c:pt>
                      <c:pt idx="15" formatCode="General">
                        <c:v>186</c:v>
                      </c:pt>
                      <c:pt idx="16" formatCode="General">
                        <c:v>0</c:v>
                      </c:pt>
                      <c:pt idx="17" formatCode="General">
                        <c:v>163</c:v>
                      </c:pt>
                      <c:pt idx="18" formatCode="General">
                        <c:v>172</c:v>
                      </c:pt>
                      <c:pt idx="19" formatCode="General">
                        <c:v>180</c:v>
                      </c:pt>
                      <c:pt idx="20" formatCode="General">
                        <c:v>140</c:v>
                      </c:pt>
                      <c:pt idx="21" formatCode="General">
                        <c:v>0</c:v>
                      </c:pt>
                      <c:pt idx="22" formatCode="General">
                        <c:v>182</c:v>
                      </c:pt>
                      <c:pt idx="23" formatCode="General">
                        <c:v>211</c:v>
                      </c:pt>
                      <c:pt idx="24" formatCode="General">
                        <c:v>285</c:v>
                      </c:pt>
                      <c:pt idx="25" formatCode="General">
                        <c:v>221</c:v>
                      </c:pt>
                      <c:pt idx="26">
                        <c:v>231</c:v>
                      </c:pt>
                      <c:pt idx="27" formatCode="General">
                        <c:v>0</c:v>
                      </c:pt>
                      <c:pt idx="28" formatCode="General">
                        <c:v>346</c:v>
                      </c:pt>
                      <c:pt idx="29" formatCode="General">
                        <c:v>375</c:v>
                      </c:pt>
                    </c:numCache>
                  </c:numRef>
                </c:val>
                <c:extLst>
                  <c:ext xmlns:c16="http://schemas.microsoft.com/office/drawing/2014/chart" uri="{C3380CC4-5D6E-409C-BE32-E72D297353CC}">
                    <c16:uniqueId val="{00000001-33AF-45C3-BD6D-56198E9FA30F}"/>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'Consumption HH capitals'!$E$299</c15:sqref>
                        </c15:formulaRef>
                      </c:ext>
                    </c:extLst>
                    <c:strCache>
                      <c:ptCount val="1"/>
                      <c:pt idx="0">
                        <c:v>Households 2012</c:v>
                      </c:pt>
                    </c:strCache>
                  </c:strRef>
                </c:tx>
                <c:spPr>
                  <a:solidFill>
                    <a:schemeClr val="accent2"/>
                  </a:solidFill>
                  <a:ln>
                    <a:noFill/>
                  </a:ln>
                  <a:effectLst/>
                </c:spPr>
                <c:invertIfNegative val="0"/>
                <c:cat>
                  <c:strRef>
                    <c:extLst xmlns:c15="http://schemas.microsoft.com/office/drawing/2012/chart">
                      <c:ext xmlns:c15="http://schemas.microsoft.com/office/drawing/2012/chart" uri="{02D57815-91ED-43cb-92C2-25804820EDAC}">
                        <c15:formulaRef>
                          <c15:sqref>'Consumption HH capitals'!$A$300:$A$329</c15:sqref>
                        </c15:formulaRef>
                      </c:ext>
                    </c:extLst>
                    <c:strCache>
                      <c:ptCount val="30"/>
                      <c:pt idx="0">
                        <c:v>Kampala</c:v>
                      </c:pt>
                      <c:pt idx="1">
                        <c:v>Brussels</c:v>
                      </c:pt>
                      <c:pt idx="2">
                        <c:v>Beijing</c:v>
                      </c:pt>
                      <c:pt idx="3">
                        <c:v>Copenhagen</c:v>
                      </c:pt>
                      <c:pt idx="4">
                        <c:v>Prague</c:v>
                      </c:pt>
                      <c:pt idx="5">
                        <c:v>Berlin</c:v>
                      </c:pt>
                      <c:pt idx="6">
                        <c:v>Madrid</c:v>
                      </c:pt>
                      <c:pt idx="7">
                        <c:v>Warsaw</c:v>
                      </c:pt>
                      <c:pt idx="8">
                        <c:v>Budapest</c:v>
                      </c:pt>
                      <c:pt idx="9">
                        <c:v>Helsinki</c:v>
                      </c:pt>
                      <c:pt idx="10">
                        <c:v>Nicosia</c:v>
                      </c:pt>
                      <c:pt idx="11">
                        <c:v>Cardiff</c:v>
                      </c:pt>
                      <c:pt idx="12">
                        <c:v>Ankara</c:v>
                      </c:pt>
                      <c:pt idx="13">
                        <c:v>Lisbon</c:v>
                      </c:pt>
                      <c:pt idx="14">
                        <c:v>Bucharest</c:v>
                      </c:pt>
                      <c:pt idx="15">
                        <c:v>Stockholm</c:v>
                      </c:pt>
                      <c:pt idx="16">
                        <c:v>Moscow</c:v>
                      </c:pt>
                      <c:pt idx="17">
                        <c:v>London</c:v>
                      </c:pt>
                      <c:pt idx="18">
                        <c:v>Brasilia</c:v>
                      </c:pt>
                      <c:pt idx="19">
                        <c:v>Oslo</c:v>
                      </c:pt>
                      <c:pt idx="20">
                        <c:v>Sofia</c:v>
                      </c:pt>
                      <c:pt idx="21">
                        <c:v>Paris</c:v>
                      </c:pt>
                      <c:pt idx="22">
                        <c:v>Bern</c:v>
                      </c:pt>
                      <c:pt idx="23">
                        <c:v>Canberra</c:v>
                      </c:pt>
                      <c:pt idx="24">
                        <c:v>Seoul</c:v>
                      </c:pt>
                      <c:pt idx="25">
                        <c:v>Hong Kong</c:v>
                      </c:pt>
                      <c:pt idx="26">
                        <c:v>Tokyo</c:v>
                      </c:pt>
                      <c:pt idx="27">
                        <c:v>Mexico City</c:v>
                      </c:pt>
                      <c:pt idx="28">
                        <c:v>Taipei</c:v>
                      </c:pt>
                      <c:pt idx="29">
                        <c:v>Buenos Aires</c:v>
                      </c:pt>
                    </c:strCache>
                  </c:strRef>
                </c:cat>
                <c:val>
                  <c:numRef>
                    <c:extLst xmlns:c15="http://schemas.microsoft.com/office/drawing/2012/chart">
                      <c:ext xmlns:c15="http://schemas.microsoft.com/office/drawing/2012/chart" uri="{02D57815-91ED-43cb-92C2-25804820EDAC}">
                        <c15:formulaRef>
                          <c15:sqref>'Consumption HH capitals'!$E$300:$E$329</c15:sqref>
                        </c15:formulaRef>
                      </c:ext>
                    </c:extLst>
                    <c:numCache>
                      <c:formatCode>0</c:formatCode>
                      <c:ptCount val="30"/>
                      <c:pt idx="0" formatCode="General">
                        <c:v>0</c:v>
                      </c:pt>
                      <c:pt idx="1">
                        <c:v>95</c:v>
                      </c:pt>
                      <c:pt idx="2" formatCode="General">
                        <c:v>150</c:v>
                      </c:pt>
                      <c:pt idx="3">
                        <c:v>104</c:v>
                      </c:pt>
                      <c:pt idx="4" formatCode="General">
                        <c:v>0</c:v>
                      </c:pt>
                      <c:pt idx="5" formatCode="General">
                        <c:v>0</c:v>
                      </c:pt>
                      <c:pt idx="6" formatCode="General">
                        <c:v>124</c:v>
                      </c:pt>
                      <c:pt idx="7" formatCode="General">
                        <c:v>0</c:v>
                      </c:pt>
                      <c:pt idx="8" formatCode="General">
                        <c:v>150</c:v>
                      </c:pt>
                      <c:pt idx="9">
                        <c:v>184.32073026068187</c:v>
                      </c:pt>
                      <c:pt idx="10" formatCode="General">
                        <c:v>145</c:v>
                      </c:pt>
                      <c:pt idx="11" formatCode="General">
                        <c:v>150</c:v>
                      </c:pt>
                      <c:pt idx="12" formatCode="General">
                        <c:v>0</c:v>
                      </c:pt>
                      <c:pt idx="13" formatCode="General">
                        <c:v>134</c:v>
                      </c:pt>
                      <c:pt idx="14" formatCode="General">
                        <c:v>0</c:v>
                      </c:pt>
                      <c:pt idx="15" formatCode="General">
                        <c:v>198</c:v>
                      </c:pt>
                      <c:pt idx="16" formatCode="General">
                        <c:v>0</c:v>
                      </c:pt>
                      <c:pt idx="17" formatCode="General">
                        <c:v>163</c:v>
                      </c:pt>
                      <c:pt idx="18" formatCode="General">
                        <c:v>187</c:v>
                      </c:pt>
                      <c:pt idx="19" formatCode="General">
                        <c:v>160</c:v>
                      </c:pt>
                      <c:pt idx="20" formatCode="General">
                        <c:v>134</c:v>
                      </c:pt>
                      <c:pt idx="21" formatCode="General">
                        <c:v>120</c:v>
                      </c:pt>
                      <c:pt idx="22" formatCode="General">
                        <c:v>178</c:v>
                      </c:pt>
                      <c:pt idx="23" formatCode="General">
                        <c:v>0</c:v>
                      </c:pt>
                      <c:pt idx="24" formatCode="General">
                        <c:v>286</c:v>
                      </c:pt>
                      <c:pt idx="25">
                        <c:v>208.69</c:v>
                      </c:pt>
                      <c:pt idx="26">
                        <c:v>225</c:v>
                      </c:pt>
                      <c:pt idx="27" formatCode="General">
                        <c:v>0</c:v>
                      </c:pt>
                      <c:pt idx="28" formatCode="General">
                        <c:v>340</c:v>
                      </c:pt>
                      <c:pt idx="29" formatCode="General">
                        <c:v>0</c:v>
                      </c:pt>
                    </c:numCache>
                  </c:numRef>
                </c:val>
                <c:extLst xmlns:c15="http://schemas.microsoft.com/office/drawing/2012/chart">
                  <c:ext xmlns:c16="http://schemas.microsoft.com/office/drawing/2014/chart" uri="{C3380CC4-5D6E-409C-BE32-E72D297353CC}">
                    <c16:uniqueId val="{00000002-33AF-45C3-BD6D-56198E9FA30F}"/>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'Consumption HH capitals'!$F$299</c15:sqref>
                        </c15:formulaRef>
                      </c:ext>
                    </c:extLst>
                    <c:strCache>
                      <c:ptCount val="1"/>
                      <c:pt idx="0">
                        <c:v>Households 2014</c:v>
                      </c:pt>
                    </c:strCache>
                  </c:strRef>
                </c:tx>
                <c:spPr>
                  <a:solidFill>
                    <a:schemeClr val="accent3"/>
                  </a:solidFill>
                  <a:ln>
                    <a:noFill/>
                  </a:ln>
                  <a:effectLst/>
                </c:spPr>
                <c:invertIfNegative val="0"/>
                <c:cat>
                  <c:strRef>
                    <c:extLst xmlns:c15="http://schemas.microsoft.com/office/drawing/2012/chart">
                      <c:ext xmlns:c15="http://schemas.microsoft.com/office/drawing/2012/chart" uri="{02D57815-91ED-43cb-92C2-25804820EDAC}">
                        <c15:formulaRef>
                          <c15:sqref>'Consumption HH capitals'!$A$300:$A$329</c15:sqref>
                        </c15:formulaRef>
                      </c:ext>
                    </c:extLst>
                    <c:strCache>
                      <c:ptCount val="30"/>
                      <c:pt idx="0">
                        <c:v>Kampala</c:v>
                      </c:pt>
                      <c:pt idx="1">
                        <c:v>Brussels</c:v>
                      </c:pt>
                      <c:pt idx="2">
                        <c:v>Beijing</c:v>
                      </c:pt>
                      <c:pt idx="3">
                        <c:v>Copenhagen</c:v>
                      </c:pt>
                      <c:pt idx="4">
                        <c:v>Prague</c:v>
                      </c:pt>
                      <c:pt idx="5">
                        <c:v>Berlin</c:v>
                      </c:pt>
                      <c:pt idx="6">
                        <c:v>Madrid</c:v>
                      </c:pt>
                      <c:pt idx="7">
                        <c:v>Warsaw</c:v>
                      </c:pt>
                      <c:pt idx="8">
                        <c:v>Budapest</c:v>
                      </c:pt>
                      <c:pt idx="9">
                        <c:v>Helsinki</c:v>
                      </c:pt>
                      <c:pt idx="10">
                        <c:v>Nicosia</c:v>
                      </c:pt>
                      <c:pt idx="11">
                        <c:v>Cardiff</c:v>
                      </c:pt>
                      <c:pt idx="12">
                        <c:v>Ankara</c:v>
                      </c:pt>
                      <c:pt idx="13">
                        <c:v>Lisbon</c:v>
                      </c:pt>
                      <c:pt idx="14">
                        <c:v>Bucharest</c:v>
                      </c:pt>
                      <c:pt idx="15">
                        <c:v>Stockholm</c:v>
                      </c:pt>
                      <c:pt idx="16">
                        <c:v>Moscow</c:v>
                      </c:pt>
                      <c:pt idx="17">
                        <c:v>London</c:v>
                      </c:pt>
                      <c:pt idx="18">
                        <c:v>Brasilia</c:v>
                      </c:pt>
                      <c:pt idx="19">
                        <c:v>Oslo</c:v>
                      </c:pt>
                      <c:pt idx="20">
                        <c:v>Sofia</c:v>
                      </c:pt>
                      <c:pt idx="21">
                        <c:v>Paris</c:v>
                      </c:pt>
                      <c:pt idx="22">
                        <c:v>Bern</c:v>
                      </c:pt>
                      <c:pt idx="23">
                        <c:v>Canberra</c:v>
                      </c:pt>
                      <c:pt idx="24">
                        <c:v>Seoul</c:v>
                      </c:pt>
                      <c:pt idx="25">
                        <c:v>Hong Kong</c:v>
                      </c:pt>
                      <c:pt idx="26">
                        <c:v>Tokyo</c:v>
                      </c:pt>
                      <c:pt idx="27">
                        <c:v>Mexico City</c:v>
                      </c:pt>
                      <c:pt idx="28">
                        <c:v>Taipei</c:v>
                      </c:pt>
                      <c:pt idx="29">
                        <c:v>Buenos Aires</c:v>
                      </c:pt>
                    </c:strCache>
                  </c:strRef>
                </c:cat>
                <c:val>
                  <c:numRef>
                    <c:extLst xmlns:c15="http://schemas.microsoft.com/office/drawing/2012/chart">
                      <c:ext xmlns:c15="http://schemas.microsoft.com/office/drawing/2012/chart" uri="{02D57815-91ED-43cb-92C2-25804820EDAC}">
                        <c15:formulaRef>
                          <c15:sqref>'Consumption HH capitals'!$F$300:$F$329</c15:sqref>
                        </c15:formulaRef>
                      </c:ext>
                    </c:extLst>
                    <c:numCache>
                      <c:formatCode>0</c:formatCode>
                      <c:ptCount val="30"/>
                      <c:pt idx="0" formatCode="General">
                        <c:v>61</c:v>
                      </c:pt>
                      <c:pt idx="1">
                        <c:v>92</c:v>
                      </c:pt>
                      <c:pt idx="2" formatCode="General">
                        <c:v>100</c:v>
                      </c:pt>
                      <c:pt idx="3">
                        <c:v>101</c:v>
                      </c:pt>
                      <c:pt idx="4" formatCode="General">
                        <c:v>0</c:v>
                      </c:pt>
                      <c:pt idx="5" formatCode="General">
                        <c:v>0</c:v>
                      </c:pt>
                      <c:pt idx="6" formatCode="General">
                        <c:v>107</c:v>
                      </c:pt>
                      <c:pt idx="7" formatCode="General">
                        <c:v>0</c:v>
                      </c:pt>
                      <c:pt idx="8" formatCode="General">
                        <c:v>126</c:v>
                      </c:pt>
                      <c:pt idx="9">
                        <c:v>140</c:v>
                      </c:pt>
                      <c:pt idx="10" formatCode="General">
                        <c:v>133</c:v>
                      </c:pt>
                      <c:pt idx="11" formatCode="General">
                        <c:v>144</c:v>
                      </c:pt>
                      <c:pt idx="12" formatCode="General">
                        <c:v>0</c:v>
                      </c:pt>
                      <c:pt idx="13" formatCode="General">
                        <c:v>142</c:v>
                      </c:pt>
                      <c:pt idx="14" formatCode="General">
                        <c:v>151</c:v>
                      </c:pt>
                      <c:pt idx="15" formatCode="General">
                        <c:v>0</c:v>
                      </c:pt>
                      <c:pt idx="16" formatCode="General">
                        <c:v>0</c:v>
                      </c:pt>
                      <c:pt idx="17" formatCode="General">
                        <c:v>155</c:v>
                      </c:pt>
                      <c:pt idx="18" formatCode="General">
                        <c:v>181</c:v>
                      </c:pt>
                      <c:pt idx="19" formatCode="General">
                        <c:v>160</c:v>
                      </c:pt>
                      <c:pt idx="20" formatCode="General">
                        <c:v>0</c:v>
                      </c:pt>
                      <c:pt idx="21" formatCode="General">
                        <c:v>187</c:v>
                      </c:pt>
                      <c:pt idx="22" formatCode="General">
                        <c:v>182</c:v>
                      </c:pt>
                      <c:pt idx="23" formatCode="General">
                        <c:v>189</c:v>
                      </c:pt>
                      <c:pt idx="24" formatCode="General">
                        <c:v>284</c:v>
                      </c:pt>
                      <c:pt idx="25">
                        <c:v>211</c:v>
                      </c:pt>
                      <c:pt idx="26">
                        <c:v>220</c:v>
                      </c:pt>
                      <c:pt idx="27" formatCode="General">
                        <c:v>0</c:v>
                      </c:pt>
                      <c:pt idx="28" formatCode="General">
                        <c:v>327</c:v>
                      </c:pt>
                      <c:pt idx="29" formatCode="General">
                        <c:v>0</c:v>
                      </c:pt>
                    </c:numCache>
                  </c:numRef>
                </c:val>
                <c:extLst xmlns:c15="http://schemas.microsoft.com/office/drawing/2012/chart">
                  <c:ext xmlns:c16="http://schemas.microsoft.com/office/drawing/2014/chart" uri="{C3380CC4-5D6E-409C-BE32-E72D297353CC}">
                    <c16:uniqueId val="{00000003-33AF-45C3-BD6D-56198E9FA30F}"/>
                  </c:ext>
                </c:extLst>
              </c15:ser>
            </c15:filteredBarSeries>
          </c:ext>
        </c:extLst>
      </c:barChart>
      <c:catAx>
        <c:axId val="406863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863792"/>
        <c:crosses val="autoZero"/>
        <c:auto val="1"/>
        <c:lblAlgn val="ctr"/>
        <c:lblOffset val="100"/>
        <c:noMultiLvlLbl val="0"/>
      </c:catAx>
      <c:valAx>
        <c:axId val="4068637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86340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specific water consumption for capitals in 2016</a:t>
            </a:r>
          </a:p>
          <a:p>
            <a:pPr>
              <a:defRPr/>
            </a:pPr>
            <a:r>
              <a:rPr lang="en-US" sz="1100"/>
              <a:t>in liters/capita/day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'Consumption HH capitals'!$G$299</c:f>
              <c:strCache>
                <c:ptCount val="1"/>
                <c:pt idx="0">
                  <c:v>Households 2016</c:v>
                </c:pt>
              </c:strCache>
            </c:strRef>
          </c:tx>
          <c:spPr>
            <a:solidFill>
              <a:schemeClr val="accent1"/>
            </a:solidFill>
            <a:ln>
              <a:noFill/>
            </a:ln>
            <a:effectLst/>
          </c:spPr>
          <c:invertIfNegative val="0"/>
          <c:cat>
            <c:strRef>
              <c:f>'Consumption HH capitals'!$A$300:$A$329</c:f>
              <c:strCache>
                <c:ptCount val="30"/>
                <c:pt idx="0">
                  <c:v>Kampala</c:v>
                </c:pt>
                <c:pt idx="1">
                  <c:v>Brussels</c:v>
                </c:pt>
                <c:pt idx="2">
                  <c:v>Beijing</c:v>
                </c:pt>
                <c:pt idx="3">
                  <c:v>Copenhagen</c:v>
                </c:pt>
                <c:pt idx="4">
                  <c:v>Prague</c:v>
                </c:pt>
                <c:pt idx="5">
                  <c:v>Berlin</c:v>
                </c:pt>
                <c:pt idx="6">
                  <c:v>Madrid</c:v>
                </c:pt>
                <c:pt idx="7">
                  <c:v>Warsaw</c:v>
                </c:pt>
                <c:pt idx="8">
                  <c:v>Budapest</c:v>
                </c:pt>
                <c:pt idx="9">
                  <c:v>Helsinki</c:v>
                </c:pt>
                <c:pt idx="10">
                  <c:v>Nicosia</c:v>
                </c:pt>
                <c:pt idx="11">
                  <c:v>Cardiff</c:v>
                </c:pt>
                <c:pt idx="12">
                  <c:v>Ankara</c:v>
                </c:pt>
                <c:pt idx="13">
                  <c:v>Lisbon</c:v>
                </c:pt>
                <c:pt idx="14">
                  <c:v>Bucharest</c:v>
                </c:pt>
                <c:pt idx="15">
                  <c:v>Stockholm</c:v>
                </c:pt>
                <c:pt idx="16">
                  <c:v>Moscow</c:v>
                </c:pt>
                <c:pt idx="17">
                  <c:v>London</c:v>
                </c:pt>
                <c:pt idx="18">
                  <c:v>Brasilia</c:v>
                </c:pt>
                <c:pt idx="19">
                  <c:v>Oslo</c:v>
                </c:pt>
                <c:pt idx="20">
                  <c:v>Sofia</c:v>
                </c:pt>
                <c:pt idx="21">
                  <c:v>Paris</c:v>
                </c:pt>
                <c:pt idx="22">
                  <c:v>Bern</c:v>
                </c:pt>
                <c:pt idx="23">
                  <c:v>Canberra</c:v>
                </c:pt>
                <c:pt idx="24">
                  <c:v>Seoul</c:v>
                </c:pt>
                <c:pt idx="25">
                  <c:v>Hong Kong</c:v>
                </c:pt>
                <c:pt idx="26">
                  <c:v>Tokyo</c:v>
                </c:pt>
                <c:pt idx="27">
                  <c:v>Mexico City</c:v>
                </c:pt>
                <c:pt idx="28">
                  <c:v>Taipei</c:v>
                </c:pt>
                <c:pt idx="29">
                  <c:v>Buenos Aires</c:v>
                </c:pt>
              </c:strCache>
            </c:strRef>
          </c:cat>
          <c:val>
            <c:numRef>
              <c:f>'Consumption HH capitals'!$G$300:$G$329</c:f>
              <c:numCache>
                <c:formatCode>0</c:formatCode>
                <c:ptCount val="30"/>
                <c:pt idx="0">
                  <c:v>23.915051006319757</c:v>
                </c:pt>
                <c:pt idx="1">
                  <c:v>93</c:v>
                </c:pt>
                <c:pt idx="2" formatCode="General">
                  <c:v>100</c:v>
                </c:pt>
                <c:pt idx="3">
                  <c:v>104.3</c:v>
                </c:pt>
                <c:pt idx="4" formatCode="General">
                  <c:v>108</c:v>
                </c:pt>
                <c:pt idx="5" formatCode="General">
                  <c:v>114</c:v>
                </c:pt>
                <c:pt idx="6" formatCode="General">
                  <c:v>127</c:v>
                </c:pt>
                <c:pt idx="7">
                  <c:v>127.04919279895525</c:v>
                </c:pt>
                <c:pt idx="8" formatCode="General">
                  <c:v>129</c:v>
                </c:pt>
                <c:pt idx="9">
                  <c:v>136</c:v>
                </c:pt>
                <c:pt idx="10" formatCode="General">
                  <c:v>142</c:v>
                </c:pt>
                <c:pt idx="11" formatCode="General">
                  <c:v>143</c:v>
                </c:pt>
                <c:pt idx="12" formatCode="General">
                  <c:v>145</c:v>
                </c:pt>
                <c:pt idx="13" formatCode="General">
                  <c:v>148</c:v>
                </c:pt>
                <c:pt idx="14" formatCode="General">
                  <c:v>148</c:v>
                </c:pt>
                <c:pt idx="15" formatCode="General">
                  <c:v>148</c:v>
                </c:pt>
                <c:pt idx="16">
                  <c:v>148.30000000000001</c:v>
                </c:pt>
                <c:pt idx="17" formatCode="General">
                  <c:v>149</c:v>
                </c:pt>
                <c:pt idx="18">
                  <c:v>153.69999999999999</c:v>
                </c:pt>
                <c:pt idx="19" formatCode="General">
                  <c:v>160</c:v>
                </c:pt>
                <c:pt idx="20">
                  <c:v>165.40799999999999</c:v>
                </c:pt>
                <c:pt idx="21">
                  <c:v>186.7</c:v>
                </c:pt>
                <c:pt idx="22" formatCode="General">
                  <c:v>189</c:v>
                </c:pt>
                <c:pt idx="23" formatCode="General">
                  <c:v>190</c:v>
                </c:pt>
                <c:pt idx="24" formatCode="General">
                  <c:v>193</c:v>
                </c:pt>
                <c:pt idx="25">
                  <c:v>217</c:v>
                </c:pt>
                <c:pt idx="26">
                  <c:v>218</c:v>
                </c:pt>
                <c:pt idx="27" formatCode="General">
                  <c:v>312</c:v>
                </c:pt>
                <c:pt idx="28" formatCode="General">
                  <c:v>326</c:v>
                </c:pt>
                <c:pt idx="29" formatCode="General">
                  <c:v>336</c:v>
                </c:pt>
              </c:numCache>
            </c:numRef>
          </c:val>
          <c:extLst>
            <c:ext xmlns:c16="http://schemas.microsoft.com/office/drawing/2014/chart" uri="{C3380CC4-5D6E-409C-BE32-E72D297353CC}">
              <c16:uniqueId val="{00000000-BD50-4D95-80EA-E1A537B88DDF}"/>
            </c:ext>
          </c:extLst>
        </c:ser>
        <c:dLbls>
          <c:showLegendKey val="0"/>
          <c:showVal val="0"/>
          <c:showCatName val="0"/>
          <c:showSerName val="0"/>
          <c:showPercent val="0"/>
          <c:showBubbleSize val="0"/>
        </c:dLbls>
        <c:gapWidth val="219"/>
        <c:overlap val="-27"/>
        <c:axId val="406864576"/>
        <c:axId val="406864968"/>
      </c:barChart>
      <c:lineChart>
        <c:grouping val="standard"/>
        <c:varyColors val="0"/>
        <c:ser>
          <c:idx val="1"/>
          <c:order val="1"/>
          <c:tx>
            <c:strRef>
              <c:f>'Consumption HH capitals'!$H$299</c:f>
              <c:strCache>
                <c:ptCount val="1"/>
                <c:pt idx="0">
                  <c:v>average 2016</c:v>
                </c:pt>
              </c:strCache>
            </c:strRef>
          </c:tx>
          <c:spPr>
            <a:ln w="28575" cap="rnd">
              <a:solidFill>
                <a:schemeClr val="accent2"/>
              </a:solidFill>
              <a:round/>
            </a:ln>
            <a:effectLst/>
          </c:spPr>
          <c:marker>
            <c:symbol val="none"/>
          </c:marker>
          <c:cat>
            <c:strRef>
              <c:f>'Consumption HH capitals'!$A$300:$A$329</c:f>
              <c:strCache>
                <c:ptCount val="30"/>
                <c:pt idx="0">
                  <c:v>Kampala</c:v>
                </c:pt>
                <c:pt idx="1">
                  <c:v>Brussels</c:v>
                </c:pt>
                <c:pt idx="2">
                  <c:v>Beijing</c:v>
                </c:pt>
                <c:pt idx="3">
                  <c:v>Copenhagen</c:v>
                </c:pt>
                <c:pt idx="4">
                  <c:v>Prague</c:v>
                </c:pt>
                <c:pt idx="5">
                  <c:v>Berlin</c:v>
                </c:pt>
                <c:pt idx="6">
                  <c:v>Madrid</c:v>
                </c:pt>
                <c:pt idx="7">
                  <c:v>Warsaw</c:v>
                </c:pt>
                <c:pt idx="8">
                  <c:v>Budapest</c:v>
                </c:pt>
                <c:pt idx="9">
                  <c:v>Helsinki</c:v>
                </c:pt>
                <c:pt idx="10">
                  <c:v>Nicosia</c:v>
                </c:pt>
                <c:pt idx="11">
                  <c:v>Cardiff</c:v>
                </c:pt>
                <c:pt idx="12">
                  <c:v>Ankara</c:v>
                </c:pt>
                <c:pt idx="13">
                  <c:v>Lisbon</c:v>
                </c:pt>
                <c:pt idx="14">
                  <c:v>Bucharest</c:v>
                </c:pt>
                <c:pt idx="15">
                  <c:v>Stockholm</c:v>
                </c:pt>
                <c:pt idx="16">
                  <c:v>Moscow</c:v>
                </c:pt>
                <c:pt idx="17">
                  <c:v>London</c:v>
                </c:pt>
                <c:pt idx="18">
                  <c:v>Brasilia</c:v>
                </c:pt>
                <c:pt idx="19">
                  <c:v>Oslo</c:v>
                </c:pt>
                <c:pt idx="20">
                  <c:v>Sofia</c:v>
                </c:pt>
                <c:pt idx="21">
                  <c:v>Paris</c:v>
                </c:pt>
                <c:pt idx="22">
                  <c:v>Bern</c:v>
                </c:pt>
                <c:pt idx="23">
                  <c:v>Canberra</c:v>
                </c:pt>
                <c:pt idx="24">
                  <c:v>Seoul</c:v>
                </c:pt>
                <c:pt idx="25">
                  <c:v>Hong Kong</c:v>
                </c:pt>
                <c:pt idx="26">
                  <c:v>Tokyo</c:v>
                </c:pt>
                <c:pt idx="27">
                  <c:v>Mexico City</c:v>
                </c:pt>
                <c:pt idx="28">
                  <c:v>Taipei</c:v>
                </c:pt>
                <c:pt idx="29">
                  <c:v>Buenos Aires</c:v>
                </c:pt>
              </c:strCache>
            </c:strRef>
          </c:cat>
          <c:val>
            <c:numRef>
              <c:f>'Consumption HH capitals'!$H$300:$H$329</c:f>
              <c:numCache>
                <c:formatCode>General</c:formatCode>
                <c:ptCount val="30"/>
                <c:pt idx="0">
                  <c:v>163</c:v>
                </c:pt>
                <c:pt idx="1">
                  <c:v>163</c:v>
                </c:pt>
                <c:pt idx="2">
                  <c:v>163</c:v>
                </c:pt>
                <c:pt idx="3">
                  <c:v>163</c:v>
                </c:pt>
                <c:pt idx="4">
                  <c:v>163</c:v>
                </c:pt>
                <c:pt idx="5">
                  <c:v>163</c:v>
                </c:pt>
                <c:pt idx="6">
                  <c:v>163</c:v>
                </c:pt>
                <c:pt idx="7">
                  <c:v>163</c:v>
                </c:pt>
                <c:pt idx="8">
                  <c:v>163</c:v>
                </c:pt>
                <c:pt idx="9">
                  <c:v>163</c:v>
                </c:pt>
                <c:pt idx="10">
                  <c:v>163</c:v>
                </c:pt>
                <c:pt idx="11">
                  <c:v>163</c:v>
                </c:pt>
                <c:pt idx="12">
                  <c:v>163</c:v>
                </c:pt>
                <c:pt idx="13">
                  <c:v>163</c:v>
                </c:pt>
                <c:pt idx="14">
                  <c:v>163</c:v>
                </c:pt>
                <c:pt idx="15">
                  <c:v>163</c:v>
                </c:pt>
                <c:pt idx="16">
                  <c:v>163</c:v>
                </c:pt>
                <c:pt idx="17">
                  <c:v>163</c:v>
                </c:pt>
                <c:pt idx="18">
                  <c:v>163</c:v>
                </c:pt>
                <c:pt idx="19">
                  <c:v>163</c:v>
                </c:pt>
                <c:pt idx="20">
                  <c:v>163</c:v>
                </c:pt>
                <c:pt idx="21">
                  <c:v>163</c:v>
                </c:pt>
                <c:pt idx="22">
                  <c:v>163</c:v>
                </c:pt>
                <c:pt idx="23">
                  <c:v>163</c:v>
                </c:pt>
                <c:pt idx="24">
                  <c:v>163</c:v>
                </c:pt>
                <c:pt idx="25">
                  <c:v>163</c:v>
                </c:pt>
                <c:pt idx="26">
                  <c:v>163</c:v>
                </c:pt>
                <c:pt idx="27">
                  <c:v>163</c:v>
                </c:pt>
                <c:pt idx="28">
                  <c:v>163</c:v>
                </c:pt>
                <c:pt idx="29">
                  <c:v>163</c:v>
                </c:pt>
              </c:numCache>
            </c:numRef>
          </c:val>
          <c:smooth val="0"/>
          <c:extLst>
            <c:ext xmlns:c16="http://schemas.microsoft.com/office/drawing/2014/chart" uri="{C3380CC4-5D6E-409C-BE32-E72D297353CC}">
              <c16:uniqueId val="{00000001-BD50-4D95-80EA-E1A537B88DDF}"/>
            </c:ext>
          </c:extLst>
        </c:ser>
        <c:dLbls>
          <c:showLegendKey val="0"/>
          <c:showVal val="0"/>
          <c:showCatName val="0"/>
          <c:showSerName val="0"/>
          <c:showPercent val="0"/>
          <c:showBubbleSize val="0"/>
        </c:dLbls>
        <c:marker val="1"/>
        <c:smooth val="0"/>
        <c:axId val="406864576"/>
        <c:axId val="406864968"/>
      </c:lineChart>
      <c:catAx>
        <c:axId val="406864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864968"/>
        <c:crosses val="autoZero"/>
        <c:auto val="1"/>
        <c:lblAlgn val="ctr"/>
        <c:lblOffset val="100"/>
        <c:noMultiLvlLbl val="0"/>
      </c:catAx>
      <c:valAx>
        <c:axId val="4068649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86457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charges for 198 cities in 2017</a:t>
            </a:r>
          </a:p>
          <a:p>
            <a:pPr>
              <a:defRPr/>
            </a:pPr>
            <a:r>
              <a:rPr lang="en-US" sz="1100"/>
              <a:t>for a consumption of 100 m³ in US$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'2017Total charges cities 10 (2'!$C$498</c:f>
              <c:strCache>
                <c:ptCount val="1"/>
                <c:pt idx="0">
                  <c:v>fixed charge drinking water</c:v>
                </c:pt>
              </c:strCache>
            </c:strRef>
          </c:tx>
          <c:spPr>
            <a:solidFill>
              <a:schemeClr val="accent1"/>
            </a:solidFill>
            <a:ln>
              <a:noFill/>
            </a:ln>
            <a:effectLst/>
          </c:spPr>
          <c:invertIfNegative val="0"/>
          <c:cat>
            <c:strRef>
              <c:f>'2017Total charges cities 10 (2'!$A$499:$A$696</c:f>
              <c:strCache>
                <c:ptCount val="5"/>
                <c:pt idx="0">
                  <c:v>London</c:v>
                </c:pt>
                <c:pt idx="1">
                  <c:v>Birmingham</c:v>
                </c:pt>
                <c:pt idx="2">
                  <c:v>Leeds</c:v>
                </c:pt>
                <c:pt idx="3">
                  <c:v>Cardiff</c:v>
                </c:pt>
                <c:pt idx="4">
                  <c:v>Manchester</c:v>
                </c:pt>
              </c:strCache>
            </c:strRef>
          </c:cat>
          <c:val>
            <c:numRef>
              <c:f>'2017Total charges cities 10 (2'!$C$499:$C$696</c:f>
              <c:numCache>
                <c:formatCode>0.00</c:formatCode>
                <c:ptCount val="5"/>
                <c:pt idx="0">
                  <c:v>42.301870472483515</c:v>
                </c:pt>
                <c:pt idx="1">
                  <c:v>35.247053735538977</c:v>
                </c:pt>
                <c:pt idx="2">
                  <c:v>32.530543842577572</c:v>
                </c:pt>
                <c:pt idx="3">
                  <c:v>46.559087468915564</c:v>
                </c:pt>
                <c:pt idx="4">
                  <c:v>43.031679100443291</c:v>
                </c:pt>
              </c:numCache>
            </c:numRef>
          </c:val>
          <c:extLst>
            <c:ext xmlns:c16="http://schemas.microsoft.com/office/drawing/2014/chart" uri="{C3380CC4-5D6E-409C-BE32-E72D297353CC}">
              <c16:uniqueId val="{00000000-2DB6-4BAE-9672-2063CF9329C3}"/>
            </c:ext>
          </c:extLst>
        </c:ser>
        <c:ser>
          <c:idx val="1"/>
          <c:order val="1"/>
          <c:tx>
            <c:strRef>
              <c:f>'2017Total charges cities 10 (2'!$D$498</c:f>
              <c:strCache>
                <c:ptCount val="1"/>
                <c:pt idx="0">
                  <c:v>variable charge drinking water</c:v>
                </c:pt>
              </c:strCache>
            </c:strRef>
          </c:tx>
          <c:spPr>
            <a:solidFill>
              <a:schemeClr val="accent2"/>
            </a:solidFill>
            <a:ln>
              <a:noFill/>
            </a:ln>
            <a:effectLst/>
          </c:spPr>
          <c:invertIfNegative val="0"/>
          <c:cat>
            <c:strRef>
              <c:f>'2017Total charges cities 10 (2'!$A$499:$A$696</c:f>
              <c:strCache>
                <c:ptCount val="5"/>
                <c:pt idx="0">
                  <c:v>London</c:v>
                </c:pt>
                <c:pt idx="1">
                  <c:v>Birmingham</c:v>
                </c:pt>
                <c:pt idx="2">
                  <c:v>Leeds</c:v>
                </c:pt>
                <c:pt idx="3">
                  <c:v>Cardiff</c:v>
                </c:pt>
                <c:pt idx="4">
                  <c:v>Manchester</c:v>
                </c:pt>
              </c:strCache>
            </c:strRef>
          </c:cat>
          <c:val>
            <c:numRef>
              <c:f>'2017Total charges cities 10 (2'!$D$499:$D$696</c:f>
              <c:numCache>
                <c:formatCode>0.00</c:formatCode>
                <c:ptCount val="5"/>
                <c:pt idx="0">
                  <c:v>173.49172883554979</c:v>
                </c:pt>
                <c:pt idx="1">
                  <c:v>205.33300897394312</c:v>
                </c:pt>
                <c:pt idx="2">
                  <c:v>182.18185749810792</c:v>
                </c:pt>
                <c:pt idx="3">
                  <c:v>173.11330954697806</c:v>
                </c:pt>
                <c:pt idx="4">
                  <c:v>238.13385230835763</c:v>
                </c:pt>
              </c:numCache>
            </c:numRef>
          </c:val>
          <c:extLst>
            <c:ext xmlns:c16="http://schemas.microsoft.com/office/drawing/2014/chart" uri="{C3380CC4-5D6E-409C-BE32-E72D297353CC}">
              <c16:uniqueId val="{00000001-2DB6-4BAE-9672-2063CF9329C3}"/>
            </c:ext>
          </c:extLst>
        </c:ser>
        <c:ser>
          <c:idx val="2"/>
          <c:order val="2"/>
          <c:tx>
            <c:strRef>
              <c:f>'2017Total charges cities 10 (2'!$E$498</c:f>
              <c:strCache>
                <c:ptCount val="1"/>
                <c:pt idx="0">
                  <c:v>other charges drinking water</c:v>
                </c:pt>
              </c:strCache>
            </c:strRef>
          </c:tx>
          <c:spPr>
            <a:solidFill>
              <a:schemeClr val="accent3"/>
            </a:solidFill>
            <a:ln>
              <a:noFill/>
            </a:ln>
            <a:effectLst/>
          </c:spPr>
          <c:invertIfNegative val="0"/>
          <c:cat>
            <c:strRef>
              <c:f>'2017Total charges cities 10 (2'!$A$499:$A$696</c:f>
              <c:strCache>
                <c:ptCount val="5"/>
                <c:pt idx="0">
                  <c:v>London</c:v>
                </c:pt>
                <c:pt idx="1">
                  <c:v>Birmingham</c:v>
                </c:pt>
                <c:pt idx="2">
                  <c:v>Leeds</c:v>
                </c:pt>
                <c:pt idx="3">
                  <c:v>Cardiff</c:v>
                </c:pt>
                <c:pt idx="4">
                  <c:v>Manchester</c:v>
                </c:pt>
              </c:strCache>
            </c:strRef>
          </c:cat>
          <c:val>
            <c:numRef>
              <c:f>'2017Total charges cities 10 (2'!$E$499:$E$696</c:f>
              <c:numCache>
                <c:formatCode>0.00</c:formatCode>
                <c:ptCount val="5"/>
                <c:pt idx="0">
                  <c:v>0</c:v>
                </c:pt>
                <c:pt idx="1">
                  <c:v>0</c:v>
                </c:pt>
                <c:pt idx="2">
                  <c:v>0</c:v>
                </c:pt>
                <c:pt idx="3">
                  <c:v>0</c:v>
                </c:pt>
                <c:pt idx="4">
                  <c:v>0</c:v>
                </c:pt>
              </c:numCache>
            </c:numRef>
          </c:val>
          <c:extLst>
            <c:ext xmlns:c16="http://schemas.microsoft.com/office/drawing/2014/chart" uri="{C3380CC4-5D6E-409C-BE32-E72D297353CC}">
              <c16:uniqueId val="{00000002-2DB6-4BAE-9672-2063CF9329C3}"/>
            </c:ext>
          </c:extLst>
        </c:ser>
        <c:ser>
          <c:idx val="3"/>
          <c:order val="3"/>
          <c:tx>
            <c:strRef>
              <c:f>'2017Total charges cities 10 (2'!$F$498</c:f>
              <c:strCache>
                <c:ptCount val="1"/>
                <c:pt idx="0">
                  <c:v>VAT drinking water</c:v>
                </c:pt>
              </c:strCache>
            </c:strRef>
          </c:tx>
          <c:spPr>
            <a:solidFill>
              <a:schemeClr val="accent4"/>
            </a:solidFill>
            <a:ln>
              <a:noFill/>
            </a:ln>
            <a:effectLst/>
          </c:spPr>
          <c:invertIfNegative val="0"/>
          <c:cat>
            <c:strRef>
              <c:f>'2017Total charges cities 10 (2'!$A$499:$A$696</c:f>
              <c:strCache>
                <c:ptCount val="5"/>
                <c:pt idx="0">
                  <c:v>London</c:v>
                </c:pt>
                <c:pt idx="1">
                  <c:v>Birmingham</c:v>
                </c:pt>
                <c:pt idx="2">
                  <c:v>Leeds</c:v>
                </c:pt>
                <c:pt idx="3">
                  <c:v>Cardiff</c:v>
                </c:pt>
                <c:pt idx="4">
                  <c:v>Manchester</c:v>
                </c:pt>
              </c:strCache>
            </c:strRef>
          </c:cat>
          <c:val>
            <c:numRef>
              <c:f>'2017Total charges cities 10 (2'!$F$499:$F$696</c:f>
              <c:numCache>
                <c:formatCode>0.00</c:formatCode>
                <c:ptCount val="5"/>
                <c:pt idx="0">
                  <c:v>0</c:v>
                </c:pt>
                <c:pt idx="1">
                  <c:v>0</c:v>
                </c:pt>
                <c:pt idx="2">
                  <c:v>0</c:v>
                </c:pt>
                <c:pt idx="3">
                  <c:v>0</c:v>
                </c:pt>
                <c:pt idx="4">
                  <c:v>0</c:v>
                </c:pt>
              </c:numCache>
            </c:numRef>
          </c:val>
          <c:extLst>
            <c:ext xmlns:c16="http://schemas.microsoft.com/office/drawing/2014/chart" uri="{C3380CC4-5D6E-409C-BE32-E72D297353CC}">
              <c16:uniqueId val="{00000003-2DB6-4BAE-9672-2063CF9329C3}"/>
            </c:ext>
          </c:extLst>
        </c:ser>
        <c:ser>
          <c:idx val="5"/>
          <c:order val="5"/>
          <c:tx>
            <c:strRef>
              <c:f>'2017Total charges cities 10 (2'!$H$498</c:f>
              <c:strCache>
                <c:ptCount val="1"/>
                <c:pt idx="0">
                  <c:v>environmental charges</c:v>
                </c:pt>
              </c:strCache>
            </c:strRef>
          </c:tx>
          <c:spPr>
            <a:solidFill>
              <a:schemeClr val="accent6"/>
            </a:solidFill>
            <a:ln>
              <a:noFill/>
            </a:ln>
            <a:effectLst/>
          </c:spPr>
          <c:invertIfNegative val="0"/>
          <c:cat>
            <c:strRef>
              <c:f>'2017Total charges cities 10 (2'!$A$499:$A$696</c:f>
              <c:strCache>
                <c:ptCount val="5"/>
                <c:pt idx="0">
                  <c:v>London</c:v>
                </c:pt>
                <c:pt idx="1">
                  <c:v>Birmingham</c:v>
                </c:pt>
                <c:pt idx="2">
                  <c:v>Leeds</c:v>
                </c:pt>
                <c:pt idx="3">
                  <c:v>Cardiff</c:v>
                </c:pt>
                <c:pt idx="4">
                  <c:v>Manchester</c:v>
                </c:pt>
              </c:strCache>
            </c:strRef>
          </c:cat>
          <c:val>
            <c:numRef>
              <c:f>'2017Total charges cities 10 (2'!$H$499:$H$696</c:f>
              <c:numCache>
                <c:formatCode>0.00</c:formatCode>
                <c:ptCount val="5"/>
                <c:pt idx="0">
                  <c:v>169.55887122932208</c:v>
                </c:pt>
                <c:pt idx="1">
                  <c:v>230.57898151151477</c:v>
                </c:pt>
                <c:pt idx="2">
                  <c:v>301.15417883014379</c:v>
                </c:pt>
                <c:pt idx="3">
                  <c:v>332.88733917180235</c:v>
                </c:pt>
                <c:pt idx="4">
                  <c:v>291.50448697156446</c:v>
                </c:pt>
              </c:numCache>
            </c:numRef>
          </c:val>
          <c:extLst>
            <c:ext xmlns:c16="http://schemas.microsoft.com/office/drawing/2014/chart" uri="{C3380CC4-5D6E-409C-BE32-E72D297353CC}">
              <c16:uniqueId val="{00000004-2DB6-4BAE-9672-2063CF9329C3}"/>
            </c:ext>
          </c:extLst>
        </c:ser>
        <c:ser>
          <c:idx val="6"/>
          <c:order val="6"/>
          <c:tx>
            <c:strRef>
              <c:f>'2017Total charges cities 10 (2'!$I$498</c:f>
              <c:strCache>
                <c:ptCount val="1"/>
                <c:pt idx="0">
                  <c:v>VAT environmental charges</c:v>
                </c:pt>
              </c:strCache>
            </c:strRef>
          </c:tx>
          <c:spPr>
            <a:solidFill>
              <a:schemeClr val="accent1">
                <a:lumMod val="60000"/>
              </a:schemeClr>
            </a:solidFill>
            <a:ln>
              <a:noFill/>
            </a:ln>
            <a:effectLst/>
          </c:spPr>
          <c:invertIfNegative val="0"/>
          <c:cat>
            <c:strRef>
              <c:f>'2017Total charges cities 10 (2'!$A$499:$A$696</c:f>
              <c:strCache>
                <c:ptCount val="5"/>
                <c:pt idx="0">
                  <c:v>London</c:v>
                </c:pt>
                <c:pt idx="1">
                  <c:v>Birmingham</c:v>
                </c:pt>
                <c:pt idx="2">
                  <c:v>Leeds</c:v>
                </c:pt>
                <c:pt idx="3">
                  <c:v>Cardiff</c:v>
                </c:pt>
                <c:pt idx="4">
                  <c:v>Manchester</c:v>
                </c:pt>
              </c:strCache>
            </c:strRef>
          </c:cat>
          <c:val>
            <c:numRef>
              <c:f>'2017Total charges cities 10 (2'!$I$499:$I$696</c:f>
              <c:numCache>
                <c:formatCode>0.00</c:formatCode>
                <c:ptCount val="5"/>
                <c:pt idx="0">
                  <c:v>0</c:v>
                </c:pt>
                <c:pt idx="1">
                  <c:v>0</c:v>
                </c:pt>
                <c:pt idx="2">
                  <c:v>0</c:v>
                </c:pt>
                <c:pt idx="3">
                  <c:v>0</c:v>
                </c:pt>
                <c:pt idx="4">
                  <c:v>0</c:v>
                </c:pt>
              </c:numCache>
            </c:numRef>
          </c:val>
          <c:extLst>
            <c:ext xmlns:c16="http://schemas.microsoft.com/office/drawing/2014/chart" uri="{C3380CC4-5D6E-409C-BE32-E72D297353CC}">
              <c16:uniqueId val="{00000005-2DB6-4BAE-9672-2063CF9329C3}"/>
            </c:ext>
          </c:extLst>
        </c:ser>
        <c:ser>
          <c:idx val="7"/>
          <c:order val="7"/>
          <c:tx>
            <c:strRef>
              <c:f>'2017Total charges cities 10 (2'!$J$498</c:f>
              <c:strCache>
                <c:ptCount val="1"/>
                <c:pt idx="0">
                  <c:v>other taxes</c:v>
                </c:pt>
              </c:strCache>
            </c:strRef>
          </c:tx>
          <c:spPr>
            <a:solidFill>
              <a:schemeClr val="accent2">
                <a:lumMod val="60000"/>
              </a:schemeClr>
            </a:solidFill>
            <a:ln>
              <a:noFill/>
            </a:ln>
            <a:effectLst/>
          </c:spPr>
          <c:invertIfNegative val="0"/>
          <c:cat>
            <c:strRef>
              <c:f>'2017Total charges cities 10 (2'!$A$499:$A$696</c:f>
              <c:strCache>
                <c:ptCount val="5"/>
                <c:pt idx="0">
                  <c:v>London</c:v>
                </c:pt>
                <c:pt idx="1">
                  <c:v>Birmingham</c:v>
                </c:pt>
                <c:pt idx="2">
                  <c:v>Leeds</c:v>
                </c:pt>
                <c:pt idx="3">
                  <c:v>Cardiff</c:v>
                </c:pt>
                <c:pt idx="4">
                  <c:v>Manchester</c:v>
                </c:pt>
              </c:strCache>
            </c:strRef>
          </c:cat>
          <c:val>
            <c:numRef>
              <c:f>'2017Total charges cities 10 (2'!$J$499:$J$696</c:f>
              <c:numCache>
                <c:formatCode>0.00</c:formatCode>
                <c:ptCount val="5"/>
                <c:pt idx="0">
                  <c:v>0</c:v>
                </c:pt>
                <c:pt idx="1">
                  <c:v>0</c:v>
                </c:pt>
                <c:pt idx="2">
                  <c:v>0</c:v>
                </c:pt>
                <c:pt idx="3">
                  <c:v>0</c:v>
                </c:pt>
                <c:pt idx="4">
                  <c:v>0</c:v>
                </c:pt>
              </c:numCache>
            </c:numRef>
          </c:val>
          <c:extLst>
            <c:ext xmlns:c16="http://schemas.microsoft.com/office/drawing/2014/chart" uri="{C3380CC4-5D6E-409C-BE32-E72D297353CC}">
              <c16:uniqueId val="{00000006-2DB6-4BAE-9672-2063CF9329C3}"/>
            </c:ext>
          </c:extLst>
        </c:ser>
        <c:ser>
          <c:idx val="8"/>
          <c:order val="8"/>
          <c:tx>
            <c:strRef>
              <c:f>'2017Total charges cities 10 (2'!$K$498</c:f>
              <c:strCache>
                <c:ptCount val="1"/>
                <c:pt idx="0">
                  <c:v>VAT other taxes</c:v>
                </c:pt>
              </c:strCache>
            </c:strRef>
          </c:tx>
          <c:spPr>
            <a:solidFill>
              <a:schemeClr val="accent3">
                <a:lumMod val="60000"/>
              </a:schemeClr>
            </a:solidFill>
            <a:ln>
              <a:noFill/>
            </a:ln>
            <a:effectLst/>
          </c:spPr>
          <c:invertIfNegative val="0"/>
          <c:cat>
            <c:strRef>
              <c:f>'2017Total charges cities 10 (2'!$A$499:$A$696</c:f>
              <c:strCache>
                <c:ptCount val="5"/>
                <c:pt idx="0">
                  <c:v>London</c:v>
                </c:pt>
                <c:pt idx="1">
                  <c:v>Birmingham</c:v>
                </c:pt>
                <c:pt idx="2">
                  <c:v>Leeds</c:v>
                </c:pt>
                <c:pt idx="3">
                  <c:v>Cardiff</c:v>
                </c:pt>
                <c:pt idx="4">
                  <c:v>Manchester</c:v>
                </c:pt>
              </c:strCache>
            </c:strRef>
          </c:cat>
          <c:val>
            <c:numRef>
              <c:f>'2017Total charges cities 10 (2'!$K$499:$K$696</c:f>
              <c:numCache>
                <c:formatCode>0.00</c:formatCode>
                <c:ptCount val="5"/>
                <c:pt idx="0">
                  <c:v>0</c:v>
                </c:pt>
                <c:pt idx="1">
                  <c:v>0</c:v>
                </c:pt>
                <c:pt idx="2">
                  <c:v>0</c:v>
                </c:pt>
                <c:pt idx="3">
                  <c:v>0</c:v>
                </c:pt>
                <c:pt idx="4">
                  <c:v>0</c:v>
                </c:pt>
              </c:numCache>
            </c:numRef>
          </c:val>
          <c:extLst>
            <c:ext xmlns:c16="http://schemas.microsoft.com/office/drawing/2014/chart" uri="{C3380CC4-5D6E-409C-BE32-E72D297353CC}">
              <c16:uniqueId val="{00000007-2DB6-4BAE-9672-2063CF9329C3}"/>
            </c:ext>
          </c:extLst>
        </c:ser>
        <c:ser>
          <c:idx val="9"/>
          <c:order val="9"/>
          <c:tx>
            <c:strRef>
              <c:f>'2017Total charges cities 10 (2'!$L$498</c:f>
              <c:strCache>
                <c:ptCount val="1"/>
                <c:pt idx="0">
                  <c:v>total annual charges 100 m³</c:v>
                </c:pt>
              </c:strCache>
            </c:strRef>
          </c:tx>
          <c:spPr>
            <a:solidFill>
              <a:schemeClr val="accent4">
                <a:lumMod val="60000"/>
              </a:schemeClr>
            </a:solidFill>
            <a:ln>
              <a:noFill/>
            </a:ln>
            <a:effectLst/>
          </c:spPr>
          <c:invertIfNegative val="0"/>
          <c:cat>
            <c:strRef>
              <c:f>'2017Total charges cities 10 (2'!$A$499:$A$696</c:f>
              <c:strCache>
                <c:ptCount val="5"/>
                <c:pt idx="0">
                  <c:v>London</c:v>
                </c:pt>
                <c:pt idx="1">
                  <c:v>Birmingham</c:v>
                </c:pt>
                <c:pt idx="2">
                  <c:v>Leeds</c:v>
                </c:pt>
                <c:pt idx="3">
                  <c:v>Cardiff</c:v>
                </c:pt>
                <c:pt idx="4">
                  <c:v>Manchester</c:v>
                </c:pt>
              </c:strCache>
            </c:strRef>
          </c:cat>
          <c:val>
            <c:numRef>
              <c:f>'2017Total charges cities 10 (2'!$L$499:$L$696</c:f>
              <c:numCache>
                <c:formatCode>_ * #,##0.00_ ;_ * \-#,##0.00_ ;_ * "-"??_ ;_ @_ </c:formatCode>
                <c:ptCount val="5"/>
              </c:numCache>
            </c:numRef>
          </c:val>
          <c:extLst>
            <c:ext xmlns:c16="http://schemas.microsoft.com/office/drawing/2014/chart" uri="{C3380CC4-5D6E-409C-BE32-E72D297353CC}">
              <c16:uniqueId val="{00000008-2DB6-4BAE-9672-2063CF9329C3}"/>
            </c:ext>
          </c:extLst>
        </c:ser>
        <c:dLbls>
          <c:showLegendKey val="0"/>
          <c:showVal val="0"/>
          <c:showCatName val="0"/>
          <c:showSerName val="0"/>
          <c:showPercent val="0"/>
          <c:showBubbleSize val="0"/>
        </c:dLbls>
        <c:gapWidth val="150"/>
        <c:overlap val="100"/>
        <c:axId val="401230336"/>
        <c:axId val="401230728"/>
        <c:extLst>
          <c:ext xmlns:c15="http://schemas.microsoft.com/office/drawing/2012/chart" uri="{02D57815-91ED-43cb-92C2-25804820EDAC}">
            <c15:filteredBarSeries>
              <c15:ser>
                <c:idx val="4"/>
                <c:order val="4"/>
                <c:tx>
                  <c:strRef>
                    <c:extLst>
                      <c:ext uri="{02D57815-91ED-43cb-92C2-25804820EDAC}">
                        <c15:formulaRef>
                          <c15:sqref>'2017Total charges cities 10 (2'!$G$498</c15:sqref>
                        </c15:formulaRef>
                      </c:ext>
                    </c:extLst>
                    <c:strCache>
                      <c:ptCount val="1"/>
                      <c:pt idx="0">
                        <c:v>Total charge drinking water</c:v>
                      </c:pt>
                    </c:strCache>
                  </c:strRef>
                </c:tx>
                <c:spPr>
                  <a:solidFill>
                    <a:schemeClr val="accent5"/>
                  </a:solidFill>
                  <a:ln>
                    <a:noFill/>
                  </a:ln>
                  <a:effectLst/>
                </c:spPr>
                <c:invertIfNegative val="0"/>
                <c:cat>
                  <c:strRef>
                    <c:extLst>
                      <c:ext uri="{02D57815-91ED-43cb-92C2-25804820EDAC}">
                        <c15:formulaRef>
                          <c15:sqref>'2017Total charges cities 10 (2'!$A$499:$A$696</c15:sqref>
                        </c15:formulaRef>
                      </c:ext>
                    </c:extLst>
                    <c:strCache>
                      <c:ptCount val="5"/>
                      <c:pt idx="0">
                        <c:v>London</c:v>
                      </c:pt>
                      <c:pt idx="1">
                        <c:v>Birmingham</c:v>
                      </c:pt>
                      <c:pt idx="2">
                        <c:v>Leeds</c:v>
                      </c:pt>
                      <c:pt idx="3">
                        <c:v>Cardiff</c:v>
                      </c:pt>
                      <c:pt idx="4">
                        <c:v>Manchester</c:v>
                      </c:pt>
                    </c:strCache>
                  </c:strRef>
                </c:cat>
                <c:val>
                  <c:numRef>
                    <c:extLst>
                      <c:ext uri="{02D57815-91ED-43cb-92C2-25804820EDAC}">
                        <c15:formulaRef>
                          <c15:sqref>'2017Total charges cities 10 (2'!$G$499:$G$696</c15:sqref>
                        </c15:formulaRef>
                      </c:ext>
                    </c:extLst>
                    <c:numCache>
                      <c:formatCode>_ * #,##0.00_ ;_ * \-#,##0.00_ ;_ * "-"??_ ;_ @_ </c:formatCode>
                      <c:ptCount val="5"/>
                      <c:pt idx="0">
                        <c:v>215.79359930803332</c:v>
                      </c:pt>
                      <c:pt idx="1">
                        <c:v>240.58006270948209</c:v>
                      </c:pt>
                      <c:pt idx="2">
                        <c:v>214.71240134068549</c:v>
                      </c:pt>
                      <c:pt idx="3">
                        <c:v>219.67239701589364</c:v>
                      </c:pt>
                      <c:pt idx="4">
                        <c:v>281.16553140880092</c:v>
                      </c:pt>
                    </c:numCache>
                  </c:numRef>
                </c:val>
                <c:extLst>
                  <c:ext xmlns:c16="http://schemas.microsoft.com/office/drawing/2014/chart" uri="{C3380CC4-5D6E-409C-BE32-E72D297353CC}">
                    <c16:uniqueId val="{00000009-2DB6-4BAE-9672-2063CF9329C3}"/>
                  </c:ext>
                </c:extLst>
              </c15:ser>
            </c15:filteredBarSeries>
          </c:ext>
        </c:extLst>
      </c:barChart>
      <c:catAx>
        <c:axId val="401230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230728"/>
        <c:crosses val="autoZero"/>
        <c:auto val="1"/>
        <c:lblAlgn val="ctr"/>
        <c:lblOffset val="100"/>
        <c:noMultiLvlLbl val="0"/>
      </c:catAx>
      <c:valAx>
        <c:axId val="4012307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230336"/>
        <c:crosses val="autoZero"/>
        <c:crossBetween val="midCat"/>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26.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25.xml"/></Relationships>
</file>

<file path=xl/drawings/drawing1.xml><?xml version="1.0" encoding="utf-8"?>
<xdr:wsDr xmlns:xdr="http://schemas.openxmlformats.org/drawingml/2006/spreadsheetDrawing" xmlns:a="http://schemas.openxmlformats.org/drawingml/2006/main">
  <xdr:twoCellAnchor>
    <xdr:from>
      <xdr:col>12</xdr:col>
      <xdr:colOff>121920</xdr:colOff>
      <xdr:row>73</xdr:row>
      <xdr:rowOff>106680</xdr:rowOff>
    </xdr:from>
    <xdr:to>
      <xdr:col>19</xdr:col>
      <xdr:colOff>1082040</xdr:colOff>
      <xdr:row>105</xdr:row>
      <xdr:rowOff>83820</xdr:rowOff>
    </xdr:to>
    <xdr:graphicFrame macro="">
      <xdr:nvGraphicFramePr>
        <xdr:cNvPr id="2" name="Grafiek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144780</xdr:colOff>
      <xdr:row>106</xdr:row>
      <xdr:rowOff>152400</xdr:rowOff>
    </xdr:from>
    <xdr:to>
      <xdr:col>19</xdr:col>
      <xdr:colOff>1120140</xdr:colOff>
      <xdr:row>137</xdr:row>
      <xdr:rowOff>175260</xdr:rowOff>
    </xdr:to>
    <xdr:graphicFrame macro="">
      <xdr:nvGraphicFramePr>
        <xdr:cNvPr id="3" name="Grafiek 2">
          <a:extLst>
            <a:ext uri="{FF2B5EF4-FFF2-40B4-BE49-F238E27FC236}">
              <a16:creationId xmlns:a16="http://schemas.microsoft.com/office/drawing/2014/main" id="{00000000-0008-0000-0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472440</xdr:colOff>
      <xdr:row>72</xdr:row>
      <xdr:rowOff>175260</xdr:rowOff>
    </xdr:from>
    <xdr:to>
      <xdr:col>10</xdr:col>
      <xdr:colOff>1089660</xdr:colOff>
      <xdr:row>106</xdr:row>
      <xdr:rowOff>7620</xdr:rowOff>
    </xdr:to>
    <xdr:graphicFrame macro="">
      <xdr:nvGraphicFramePr>
        <xdr:cNvPr id="2" name="Grafiek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487680</xdr:colOff>
      <xdr:row>119</xdr:row>
      <xdr:rowOff>38100</xdr:rowOff>
    </xdr:from>
    <xdr:to>
      <xdr:col>9</xdr:col>
      <xdr:colOff>76200</xdr:colOff>
      <xdr:row>143</xdr:row>
      <xdr:rowOff>129540</xdr:rowOff>
    </xdr:to>
    <xdr:graphicFrame macro="">
      <xdr:nvGraphicFramePr>
        <xdr:cNvPr id="3" name="Grafiek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358140</xdr:colOff>
      <xdr:row>118</xdr:row>
      <xdr:rowOff>594360</xdr:rowOff>
    </xdr:from>
    <xdr:to>
      <xdr:col>10</xdr:col>
      <xdr:colOff>1325880</xdr:colOff>
      <xdr:row>152</xdr:row>
      <xdr:rowOff>99060</xdr:rowOff>
    </xdr:to>
    <xdr:graphicFrame macro="">
      <xdr:nvGraphicFramePr>
        <xdr:cNvPr id="4" name="Grafiek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72</xdr:row>
      <xdr:rowOff>15240</xdr:rowOff>
    </xdr:from>
    <xdr:to>
      <xdr:col>13</xdr:col>
      <xdr:colOff>167640</xdr:colOff>
      <xdr:row>102</xdr:row>
      <xdr:rowOff>144780</xdr:rowOff>
    </xdr:to>
    <xdr:graphicFrame macro="">
      <xdr:nvGraphicFramePr>
        <xdr:cNvPr id="2" name="Grafiek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109</xdr:row>
      <xdr:rowOff>15240</xdr:rowOff>
    </xdr:from>
    <xdr:to>
      <xdr:col>12</xdr:col>
      <xdr:colOff>236220</xdr:colOff>
      <xdr:row>130</xdr:row>
      <xdr:rowOff>68580</xdr:rowOff>
    </xdr:to>
    <xdr:graphicFrame macro="">
      <xdr:nvGraphicFramePr>
        <xdr:cNvPr id="3" name="Grafiek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42330</xdr:colOff>
      <xdr:row>698</xdr:row>
      <xdr:rowOff>25399</xdr:rowOff>
    </xdr:from>
    <xdr:to>
      <xdr:col>24</xdr:col>
      <xdr:colOff>1464733</xdr:colOff>
      <xdr:row>739</xdr:row>
      <xdr:rowOff>84666</xdr:rowOff>
    </xdr:to>
    <xdr:graphicFrame macro="">
      <xdr:nvGraphicFramePr>
        <xdr:cNvPr id="2" name="Grafiek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0.25503</cdr:x>
      <cdr:y>0.24422</cdr:y>
    </cdr:from>
    <cdr:to>
      <cdr:x>0.45172</cdr:x>
      <cdr:y>0.32783</cdr:y>
    </cdr:to>
    <cdr:sp macro="" textlink="">
      <cdr:nvSpPr>
        <cdr:cNvPr id="2" name="Tekstvak 1"/>
        <cdr:cNvSpPr txBox="1"/>
      </cdr:nvSpPr>
      <cdr:spPr>
        <a:xfrm xmlns:a="http://schemas.openxmlformats.org/drawingml/2006/main">
          <a:off x="8475137" y="1879601"/>
          <a:ext cx="6536266" cy="64346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3200"/>
            <a:t>'From</a:t>
          </a:r>
          <a:r>
            <a:rPr lang="en-US" sz="3200" baseline="0"/>
            <a:t> 33 US$ to 2 116 US$ for 200 m³'</a:t>
          </a:r>
          <a:endParaRPr lang="en-US" sz="3200"/>
        </a:p>
      </cdr:txBody>
    </cdr:sp>
  </cdr:relSizeAnchor>
</c:userShapes>
</file>

<file path=xl/drawings/drawing7.xml><?xml version="1.0" encoding="utf-8"?>
<xdr:wsDr xmlns:xdr="http://schemas.openxmlformats.org/drawingml/2006/spreadsheetDrawing" xmlns:a="http://schemas.openxmlformats.org/drawingml/2006/main">
  <xdr:twoCellAnchor>
    <xdr:from>
      <xdr:col>10</xdr:col>
      <xdr:colOff>335280</xdr:colOff>
      <xdr:row>436</xdr:row>
      <xdr:rowOff>26670</xdr:rowOff>
    </xdr:from>
    <xdr:to>
      <xdr:col>34</xdr:col>
      <xdr:colOff>2049780</xdr:colOff>
      <xdr:row>467</xdr:row>
      <xdr:rowOff>99060</xdr:rowOff>
    </xdr:to>
    <xdr:graphicFrame macro="">
      <xdr:nvGraphicFramePr>
        <xdr:cNvPr id="2" name="Grafiek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228598</xdr:colOff>
      <xdr:row>699</xdr:row>
      <xdr:rowOff>42333</xdr:rowOff>
    </xdr:from>
    <xdr:to>
      <xdr:col>22</xdr:col>
      <xdr:colOff>1075267</xdr:colOff>
      <xdr:row>741</xdr:row>
      <xdr:rowOff>16933</xdr:rowOff>
    </xdr:to>
    <xdr:graphicFrame macro="">
      <xdr:nvGraphicFramePr>
        <xdr:cNvPr id="3" name="Grafiek 2">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0.20458</cdr:x>
      <cdr:y>0.21564</cdr:y>
    </cdr:from>
    <cdr:to>
      <cdr:x>0.81135</cdr:x>
      <cdr:y>0.30265</cdr:y>
    </cdr:to>
    <cdr:sp macro="" textlink="">
      <cdr:nvSpPr>
        <cdr:cNvPr id="2" name="Tekstvak 1"/>
        <cdr:cNvSpPr txBox="1"/>
      </cdr:nvSpPr>
      <cdr:spPr>
        <a:xfrm xmlns:a="http://schemas.openxmlformats.org/drawingml/2006/main">
          <a:off x="3479801" y="1447801"/>
          <a:ext cx="10320865" cy="58420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3200"/>
            <a:t>'From</a:t>
          </a:r>
          <a:r>
            <a:rPr lang="en-US" sz="3200" baseline="0"/>
            <a:t> 53 US$ to 860 US$ for 200 m³ drinking water'</a:t>
          </a:r>
          <a:endParaRPr lang="en-US" sz="3200"/>
        </a:p>
      </cdr:txBody>
    </cdr:sp>
  </cdr:relSizeAnchor>
</c:userShapes>
</file>

<file path=xl/drawings/drawing10.xml><?xml version="1.0" encoding="utf-8"?>
<xdr:wsDr xmlns:xdr="http://schemas.openxmlformats.org/drawingml/2006/spreadsheetDrawing" xmlns:a="http://schemas.openxmlformats.org/drawingml/2006/main">
  <xdr:twoCellAnchor>
    <xdr:from>
      <xdr:col>7</xdr:col>
      <xdr:colOff>327660</xdr:colOff>
      <xdr:row>272</xdr:row>
      <xdr:rowOff>3810</xdr:rowOff>
    </xdr:from>
    <xdr:to>
      <xdr:col>30</xdr:col>
      <xdr:colOff>83820</xdr:colOff>
      <xdr:row>302</xdr:row>
      <xdr:rowOff>99060</xdr:rowOff>
    </xdr:to>
    <xdr:graphicFrame macro="">
      <xdr:nvGraphicFramePr>
        <xdr:cNvPr id="2" name="Grafiek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0.57079</cdr:x>
      <cdr:y>0.26639</cdr:y>
    </cdr:from>
    <cdr:to>
      <cdr:x>0.80235</cdr:x>
      <cdr:y>0.37823</cdr:y>
    </cdr:to>
    <cdr:sp macro="" textlink="">
      <cdr:nvSpPr>
        <cdr:cNvPr id="2" name="Tekstvak 1"/>
        <cdr:cNvSpPr txBox="1"/>
      </cdr:nvSpPr>
      <cdr:spPr>
        <a:xfrm xmlns:a="http://schemas.openxmlformats.org/drawingml/2006/main">
          <a:off x="15514320" y="1687830"/>
          <a:ext cx="6294120" cy="708660"/>
        </a:xfrm>
        <a:prstGeom xmlns:a="http://schemas.openxmlformats.org/drawingml/2006/main" prst="rect">
          <a:avLst/>
        </a:prstGeom>
        <a:ln xmlns:a="http://schemas.openxmlformats.org/drawingml/2006/main">
          <a:noFill/>
        </a:ln>
      </cdr:spPr>
      <cdr:txBody>
        <a:bodyPr xmlns:a="http://schemas.openxmlformats.org/drawingml/2006/main" vertOverflow="clip" wrap="square" rtlCol="0"/>
        <a:lstStyle xmlns:a="http://schemas.openxmlformats.org/drawingml/2006/main"/>
        <a:p xmlns:a="http://schemas.openxmlformats.org/drawingml/2006/main">
          <a:r>
            <a:rPr lang="en-US" sz="3200" i="1"/>
            <a:t>'From</a:t>
          </a:r>
          <a:r>
            <a:rPr lang="en-US" sz="3200" i="1" baseline="0"/>
            <a:t> 1 US$ to 1400 US$ for 200 m³'</a:t>
          </a:r>
          <a:endParaRPr lang="en-US" sz="3200" i="1"/>
        </a:p>
      </cdr:txBody>
    </cdr:sp>
  </cdr:relSizeAnchor>
</c:userShapes>
</file>

<file path=xl/drawings/drawing12.xml><?xml version="1.0" encoding="utf-8"?>
<xdr:wsDr xmlns:xdr="http://schemas.openxmlformats.org/drawingml/2006/spreadsheetDrawing" xmlns:a="http://schemas.openxmlformats.org/drawingml/2006/main">
  <xdr:twoCellAnchor>
    <xdr:from>
      <xdr:col>0</xdr:col>
      <xdr:colOff>347131</xdr:colOff>
      <xdr:row>535</xdr:row>
      <xdr:rowOff>186265</xdr:rowOff>
    </xdr:from>
    <xdr:to>
      <xdr:col>10</xdr:col>
      <xdr:colOff>313267</xdr:colOff>
      <xdr:row>563</xdr:row>
      <xdr:rowOff>33865</xdr:rowOff>
    </xdr:to>
    <xdr:graphicFrame macro="">
      <xdr:nvGraphicFramePr>
        <xdr:cNvPr id="2" name="Grafiek 1">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c:userShapes xmlns:c="http://schemas.openxmlformats.org/drawingml/2006/chart">
  <cdr:relSizeAnchor xmlns:cdr="http://schemas.openxmlformats.org/drawingml/2006/chartDrawing">
    <cdr:from>
      <cdr:x>0.23851</cdr:x>
      <cdr:y>0.24008</cdr:y>
    </cdr:from>
    <cdr:to>
      <cdr:x>0.71801</cdr:x>
      <cdr:y>0.39875</cdr:y>
    </cdr:to>
    <cdr:sp macro="" textlink="">
      <cdr:nvSpPr>
        <cdr:cNvPr id="2" name="Tekstvak 1"/>
        <cdr:cNvSpPr txBox="1"/>
      </cdr:nvSpPr>
      <cdr:spPr>
        <a:xfrm xmlns:a="http://schemas.openxmlformats.org/drawingml/2006/main">
          <a:off x="3251200" y="973667"/>
          <a:ext cx="6536266" cy="64346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3200"/>
            <a:t>'From</a:t>
          </a:r>
          <a:r>
            <a:rPr lang="en-US" sz="3200" baseline="0"/>
            <a:t> 74 US$ to 1 350 US$ for 200 m³'</a:t>
          </a:r>
          <a:endParaRPr lang="en-US" sz="3200"/>
        </a:p>
      </cdr:txBody>
    </cdr:sp>
  </cdr:relSizeAnchor>
</c:userShapes>
</file>

<file path=xl/drawings/drawing14.xml><?xml version="1.0" encoding="utf-8"?>
<xdr:wsDr xmlns:xdr="http://schemas.openxmlformats.org/drawingml/2006/spreadsheetDrawing" xmlns:a="http://schemas.openxmlformats.org/drawingml/2006/main">
  <xdr:twoCellAnchor>
    <xdr:from>
      <xdr:col>10</xdr:col>
      <xdr:colOff>807720</xdr:colOff>
      <xdr:row>435</xdr:row>
      <xdr:rowOff>57150</xdr:rowOff>
    </xdr:from>
    <xdr:to>
      <xdr:col>16</xdr:col>
      <xdr:colOff>617220</xdr:colOff>
      <xdr:row>458</xdr:row>
      <xdr:rowOff>175260</xdr:rowOff>
    </xdr:to>
    <xdr:graphicFrame macro="">
      <xdr:nvGraphicFramePr>
        <xdr:cNvPr id="2" name="Grafiek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2</xdr:col>
      <xdr:colOff>143933</xdr:colOff>
      <xdr:row>696</xdr:row>
      <xdr:rowOff>160867</xdr:rowOff>
    </xdr:from>
    <xdr:to>
      <xdr:col>24</xdr:col>
      <xdr:colOff>516467</xdr:colOff>
      <xdr:row>733</xdr:row>
      <xdr:rowOff>59266</xdr:rowOff>
    </xdr:to>
    <xdr:graphicFrame macro="">
      <xdr:nvGraphicFramePr>
        <xdr:cNvPr id="2" name="Grafiek 1">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0.38044</cdr:x>
      <cdr:y>0.25312</cdr:y>
    </cdr:from>
    <cdr:to>
      <cdr:x>0.61061</cdr:x>
      <cdr:y>0.34788</cdr:y>
    </cdr:to>
    <cdr:sp macro="" textlink="">
      <cdr:nvSpPr>
        <cdr:cNvPr id="2" name="Tekstvak 1"/>
        <cdr:cNvSpPr txBox="1"/>
      </cdr:nvSpPr>
      <cdr:spPr>
        <a:xfrm xmlns:a="http://schemas.openxmlformats.org/drawingml/2006/main">
          <a:off x="10803467" y="1718734"/>
          <a:ext cx="6536266" cy="64346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3200"/>
            <a:t>'From</a:t>
          </a:r>
          <a:r>
            <a:rPr lang="en-US" sz="3200" baseline="0"/>
            <a:t> 16 US$ to 1 166 US$ for 100 m³'</a:t>
          </a:r>
          <a:endParaRPr lang="en-US" sz="3200"/>
        </a:p>
      </cdr:txBody>
    </cdr:sp>
  </cdr:relSizeAnchor>
</c:userShapes>
</file>

<file path=xl/drawings/drawing17.xml><?xml version="1.0" encoding="utf-8"?>
<xdr:wsDr xmlns:xdr="http://schemas.openxmlformats.org/drawingml/2006/spreadsheetDrawing" xmlns:a="http://schemas.openxmlformats.org/drawingml/2006/main">
  <xdr:twoCellAnchor>
    <xdr:from>
      <xdr:col>10</xdr:col>
      <xdr:colOff>365760</xdr:colOff>
      <xdr:row>436</xdr:row>
      <xdr:rowOff>148590</xdr:rowOff>
    </xdr:from>
    <xdr:to>
      <xdr:col>49</xdr:col>
      <xdr:colOff>571500</xdr:colOff>
      <xdr:row>482</xdr:row>
      <xdr:rowOff>190500</xdr:rowOff>
    </xdr:to>
    <xdr:graphicFrame macro="">
      <xdr:nvGraphicFramePr>
        <xdr:cNvPr id="2" name="Grafiek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296331</xdr:colOff>
      <xdr:row>698</xdr:row>
      <xdr:rowOff>8467</xdr:rowOff>
    </xdr:from>
    <xdr:to>
      <xdr:col>20</xdr:col>
      <xdr:colOff>905933</xdr:colOff>
      <xdr:row>738</xdr:row>
      <xdr:rowOff>84667</xdr:rowOff>
    </xdr:to>
    <xdr:graphicFrame macro="">
      <xdr:nvGraphicFramePr>
        <xdr:cNvPr id="2" name="Grafiek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c:userShapes xmlns:c="http://schemas.openxmlformats.org/drawingml/2006/chart">
  <cdr:relSizeAnchor xmlns:cdr="http://schemas.openxmlformats.org/drawingml/2006/chartDrawing">
    <cdr:from>
      <cdr:x>0.35338</cdr:x>
      <cdr:y>0.34758</cdr:y>
    </cdr:from>
    <cdr:to>
      <cdr:x>0.73325</cdr:x>
      <cdr:y>0.4252</cdr:y>
    </cdr:to>
    <cdr:sp macro="" textlink="">
      <cdr:nvSpPr>
        <cdr:cNvPr id="2" name="Tekstvak 1"/>
        <cdr:cNvSpPr txBox="1"/>
      </cdr:nvSpPr>
      <cdr:spPr>
        <a:xfrm xmlns:a="http://schemas.openxmlformats.org/drawingml/2006/main">
          <a:off x="9601200" y="2616200"/>
          <a:ext cx="10320865" cy="58420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3200"/>
            <a:t>'From</a:t>
          </a:r>
          <a:r>
            <a:rPr lang="en-US" sz="3200" baseline="0"/>
            <a:t> 20 US$ to 490 US$ for 100 m³ drinking water'</a:t>
          </a:r>
          <a:endParaRPr lang="en-US" sz="3200"/>
        </a:p>
      </cdr:txBody>
    </cdr:sp>
  </cdr:relSizeAnchor>
</c:userShapes>
</file>

<file path=xl/drawings/drawing20.xml><?xml version="1.0" encoding="utf-8"?>
<xdr:wsDr xmlns:xdr="http://schemas.openxmlformats.org/drawingml/2006/spreadsheetDrawing" xmlns:a="http://schemas.openxmlformats.org/drawingml/2006/main">
  <xdr:twoCellAnchor>
    <xdr:from>
      <xdr:col>7</xdr:col>
      <xdr:colOff>358140</xdr:colOff>
      <xdr:row>0</xdr:row>
      <xdr:rowOff>110490</xdr:rowOff>
    </xdr:from>
    <xdr:to>
      <xdr:col>41</xdr:col>
      <xdr:colOff>160020</xdr:colOff>
      <xdr:row>289</xdr:row>
      <xdr:rowOff>7620</xdr:rowOff>
    </xdr:to>
    <xdr:graphicFrame macro="">
      <xdr:nvGraphicFramePr>
        <xdr:cNvPr id="2" name="Grafiek 1">
          <a:extLst>
            <a:ext uri="{FF2B5EF4-FFF2-40B4-BE49-F238E27FC236}">
              <a16:creationId xmlns:a16="http://schemas.microsoft.com/office/drawing/2014/main" id="{00000000-0008-0000-0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876300</xdr:colOff>
      <xdr:row>266</xdr:row>
      <xdr:rowOff>76200</xdr:rowOff>
    </xdr:from>
    <xdr:to>
      <xdr:col>22</xdr:col>
      <xdr:colOff>175260</xdr:colOff>
      <xdr:row>269</xdr:row>
      <xdr:rowOff>160020</xdr:rowOff>
    </xdr:to>
    <xdr:sp macro="" textlink="">
      <xdr:nvSpPr>
        <xdr:cNvPr id="3" name="Tekstvak 2">
          <a:extLst>
            <a:ext uri="{FF2B5EF4-FFF2-40B4-BE49-F238E27FC236}">
              <a16:creationId xmlns:a16="http://schemas.microsoft.com/office/drawing/2014/main" id="{00000000-0008-0000-0E00-000003000000}"/>
            </a:ext>
          </a:extLst>
        </xdr:cNvPr>
        <xdr:cNvSpPr txBox="1"/>
      </xdr:nvSpPr>
      <xdr:spPr>
        <a:xfrm>
          <a:off x="16040100" y="2522220"/>
          <a:ext cx="6736080" cy="6781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i="1"/>
            <a:t>'From 0,50</a:t>
          </a:r>
          <a:r>
            <a:rPr lang="en-US" sz="3200" i="1" baseline="0"/>
            <a:t> US$ to 560 US$ for 100 m³'</a:t>
          </a:r>
          <a:endParaRPr lang="en-US" sz="3200" i="1"/>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0</xdr:col>
      <xdr:colOff>287865</xdr:colOff>
      <xdr:row>534</xdr:row>
      <xdr:rowOff>42332</xdr:rowOff>
    </xdr:from>
    <xdr:to>
      <xdr:col>9</xdr:col>
      <xdr:colOff>143933</xdr:colOff>
      <xdr:row>563</xdr:row>
      <xdr:rowOff>127000</xdr:rowOff>
    </xdr:to>
    <xdr:graphicFrame macro="">
      <xdr:nvGraphicFramePr>
        <xdr:cNvPr id="2" name="Grafiek 1">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c:userShapes xmlns:c="http://schemas.openxmlformats.org/drawingml/2006/chart">
  <cdr:relSizeAnchor xmlns:cdr="http://schemas.openxmlformats.org/drawingml/2006/chartDrawing">
    <cdr:from>
      <cdr:x>0.22095</cdr:x>
      <cdr:y>0.34206</cdr:y>
    </cdr:from>
    <cdr:to>
      <cdr:x>0.74419</cdr:x>
      <cdr:y>0.50765</cdr:y>
    </cdr:to>
    <cdr:sp macro="" textlink="">
      <cdr:nvSpPr>
        <cdr:cNvPr id="2" name="Tekstvak 1"/>
        <cdr:cNvSpPr txBox="1"/>
      </cdr:nvSpPr>
      <cdr:spPr>
        <a:xfrm xmlns:a="http://schemas.openxmlformats.org/drawingml/2006/main">
          <a:off x="2768600" y="1659467"/>
          <a:ext cx="6556565" cy="80332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3200"/>
            <a:t>'From</a:t>
          </a:r>
          <a:r>
            <a:rPr lang="en-US" sz="3200" baseline="0"/>
            <a:t> 37 US$ to 894 US$ for 100 m³'</a:t>
          </a:r>
          <a:endParaRPr lang="en-US" sz="3200"/>
        </a:p>
      </cdr:txBody>
    </cdr:sp>
  </cdr:relSizeAnchor>
</c:userShapes>
</file>

<file path=xl/drawings/drawing23.xml><?xml version="1.0" encoding="utf-8"?>
<xdr:wsDr xmlns:xdr="http://schemas.openxmlformats.org/drawingml/2006/spreadsheetDrawing" xmlns:a="http://schemas.openxmlformats.org/drawingml/2006/main">
  <xdr:twoCellAnchor>
    <xdr:from>
      <xdr:col>10</xdr:col>
      <xdr:colOff>297180</xdr:colOff>
      <xdr:row>437</xdr:row>
      <xdr:rowOff>64770</xdr:rowOff>
    </xdr:from>
    <xdr:to>
      <xdr:col>18</xdr:col>
      <xdr:colOff>434340</xdr:colOff>
      <xdr:row>460</xdr:row>
      <xdr:rowOff>76200</xdr:rowOff>
    </xdr:to>
    <xdr:graphicFrame macro="">
      <xdr:nvGraphicFramePr>
        <xdr:cNvPr id="2" name="Grafiek 1">
          <a:extLst>
            <a:ext uri="{FF2B5EF4-FFF2-40B4-BE49-F238E27FC236}">
              <a16:creationId xmlns:a16="http://schemas.microsoft.com/office/drawing/2014/main" id="{00000000-0008-0000-1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5</xdr:col>
      <xdr:colOff>464820</xdr:colOff>
      <xdr:row>298</xdr:row>
      <xdr:rowOff>22860</xdr:rowOff>
    </xdr:from>
    <xdr:to>
      <xdr:col>37</xdr:col>
      <xdr:colOff>91440</xdr:colOff>
      <xdr:row>338</xdr:row>
      <xdr:rowOff>22860</xdr:rowOff>
    </xdr:to>
    <xdr:graphicFrame macro="">
      <xdr:nvGraphicFramePr>
        <xdr:cNvPr id="2" name="Grafiek 1">
          <a:extLst>
            <a:ext uri="{FF2B5EF4-FFF2-40B4-BE49-F238E27FC236}">
              <a16:creationId xmlns:a16="http://schemas.microsoft.com/office/drawing/2014/main" id="{00000000-0008-0000-1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449580</xdr:colOff>
      <xdr:row>340</xdr:row>
      <xdr:rowOff>15240</xdr:rowOff>
    </xdr:from>
    <xdr:to>
      <xdr:col>37</xdr:col>
      <xdr:colOff>76200</xdr:colOff>
      <xdr:row>380</xdr:row>
      <xdr:rowOff>30480</xdr:rowOff>
    </xdr:to>
    <xdr:graphicFrame macro="">
      <xdr:nvGraphicFramePr>
        <xdr:cNvPr id="3" name="Grafiek 2">
          <a:extLst>
            <a:ext uri="{FF2B5EF4-FFF2-40B4-BE49-F238E27FC236}">
              <a16:creationId xmlns:a16="http://schemas.microsoft.com/office/drawing/2014/main" id="{00000000-0008-0000-1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c:userShapes xmlns:c="http://schemas.openxmlformats.org/drawingml/2006/chart">
  <cdr:relSizeAnchor xmlns:cdr="http://schemas.openxmlformats.org/drawingml/2006/chartDrawing">
    <cdr:from>
      <cdr:x>0.40217</cdr:x>
      <cdr:y>0.21121</cdr:y>
    </cdr:from>
    <cdr:to>
      <cdr:x>0.68436</cdr:x>
      <cdr:y>0.32198</cdr:y>
    </cdr:to>
    <cdr:sp macro="" textlink="">
      <cdr:nvSpPr>
        <cdr:cNvPr id="2" name="Tekstvak 1"/>
        <cdr:cNvSpPr txBox="1"/>
      </cdr:nvSpPr>
      <cdr:spPr>
        <a:xfrm xmlns:a="http://schemas.openxmlformats.org/drawingml/2006/main">
          <a:off x="11292840" y="1559561"/>
          <a:ext cx="7923657" cy="81788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3200"/>
            <a:t>'From</a:t>
          </a:r>
          <a:r>
            <a:rPr lang="en-US" sz="3200" baseline="0"/>
            <a:t> 14 liters to 538 liters per capita per day'</a:t>
          </a:r>
          <a:endParaRPr lang="en-US" sz="3200"/>
        </a:p>
      </cdr:txBody>
    </cdr:sp>
  </cdr:relSizeAnchor>
</c:userShapes>
</file>

<file path=xl/drawings/drawing26.xml><?xml version="1.0" encoding="utf-8"?>
<xdr:wsDr xmlns:xdr="http://schemas.openxmlformats.org/drawingml/2006/spreadsheetDrawing" xmlns:a="http://schemas.openxmlformats.org/drawingml/2006/main">
  <xdr:twoCellAnchor>
    <xdr:from>
      <xdr:col>8</xdr:col>
      <xdr:colOff>297180</xdr:colOff>
      <xdr:row>298</xdr:row>
      <xdr:rowOff>22860</xdr:rowOff>
    </xdr:from>
    <xdr:to>
      <xdr:col>22</xdr:col>
      <xdr:colOff>548640</xdr:colOff>
      <xdr:row>326</xdr:row>
      <xdr:rowOff>167640</xdr:rowOff>
    </xdr:to>
    <xdr:graphicFrame macro="">
      <xdr:nvGraphicFramePr>
        <xdr:cNvPr id="2" name="Grafiek 1">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320040</xdr:colOff>
      <xdr:row>327</xdr:row>
      <xdr:rowOff>175260</xdr:rowOff>
    </xdr:from>
    <xdr:to>
      <xdr:col>23</xdr:col>
      <xdr:colOff>541020</xdr:colOff>
      <xdr:row>357</xdr:row>
      <xdr:rowOff>45720</xdr:rowOff>
    </xdr:to>
    <xdr:graphicFrame macro="">
      <xdr:nvGraphicFramePr>
        <xdr:cNvPr id="3" name="Grafiek 2">
          <a:extLst>
            <a:ext uri="{FF2B5EF4-FFF2-40B4-BE49-F238E27FC236}">
              <a16:creationId xmlns:a16="http://schemas.microsoft.com/office/drawing/2014/main" id="{00000000-0008-0000-1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320040</xdr:colOff>
      <xdr:row>347</xdr:row>
      <xdr:rowOff>38100</xdr:rowOff>
    </xdr:from>
    <xdr:to>
      <xdr:col>7</xdr:col>
      <xdr:colOff>777240</xdr:colOff>
      <xdr:row>370</xdr:row>
      <xdr:rowOff>53340</xdr:rowOff>
    </xdr:to>
    <xdr:graphicFrame macro="">
      <xdr:nvGraphicFramePr>
        <xdr:cNvPr id="4" name="Grafiek 3">
          <a:extLst>
            <a:ext uri="{FF2B5EF4-FFF2-40B4-BE49-F238E27FC236}">
              <a16:creationId xmlns:a16="http://schemas.microsoft.com/office/drawing/2014/main" id="{00000000-0008-0000-1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7.xml><?xml version="1.0" encoding="utf-8"?>
<c:userShapes xmlns:c="http://schemas.openxmlformats.org/drawingml/2006/chart">
  <cdr:relSizeAnchor xmlns:cdr="http://schemas.openxmlformats.org/drawingml/2006/chartDrawing">
    <cdr:from>
      <cdr:x>0.22622</cdr:x>
      <cdr:y>0.19102</cdr:y>
    </cdr:from>
    <cdr:to>
      <cdr:x>0.82076</cdr:x>
      <cdr:y>0.34311</cdr:y>
    </cdr:to>
    <cdr:sp macro="" textlink="">
      <cdr:nvSpPr>
        <cdr:cNvPr id="2" name="Tekstvak 1"/>
        <cdr:cNvSpPr txBox="1"/>
      </cdr:nvSpPr>
      <cdr:spPr>
        <a:xfrm xmlns:a="http://schemas.openxmlformats.org/drawingml/2006/main">
          <a:off x="3014980" y="1026160"/>
          <a:ext cx="7923657" cy="81703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3200"/>
            <a:t>'From</a:t>
          </a:r>
          <a:r>
            <a:rPr lang="en-US" sz="3200" baseline="0"/>
            <a:t> 24 liters to 336 liters per capita per day'</a:t>
          </a:r>
          <a:endParaRPr lang="en-US" sz="3200"/>
        </a:p>
      </cdr:txBody>
    </cdr:sp>
  </cdr:relSizeAnchor>
</c:userShapes>
</file>

<file path=xl/drawings/drawing28.xml><?xml version="1.0" encoding="utf-8"?>
<xdr:wsDr xmlns:xdr="http://schemas.openxmlformats.org/drawingml/2006/spreadsheetDrawing" xmlns:a="http://schemas.openxmlformats.org/drawingml/2006/main">
  <xdr:twoCellAnchor>
    <xdr:from>
      <xdr:col>2</xdr:col>
      <xdr:colOff>143933</xdr:colOff>
      <xdr:row>696</xdr:row>
      <xdr:rowOff>160867</xdr:rowOff>
    </xdr:from>
    <xdr:to>
      <xdr:col>24</xdr:col>
      <xdr:colOff>516467</xdr:colOff>
      <xdr:row>733</xdr:row>
      <xdr:rowOff>59266</xdr:rowOff>
    </xdr:to>
    <xdr:graphicFrame macro="">
      <xdr:nvGraphicFramePr>
        <xdr:cNvPr id="2" name="Grafiek 1">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c:userShapes xmlns:c="http://schemas.openxmlformats.org/drawingml/2006/chart">
  <cdr:relSizeAnchor xmlns:cdr="http://schemas.openxmlformats.org/drawingml/2006/chartDrawing">
    <cdr:from>
      <cdr:x>0.38044</cdr:x>
      <cdr:y>0.25312</cdr:y>
    </cdr:from>
    <cdr:to>
      <cdr:x>0.61061</cdr:x>
      <cdr:y>0.34788</cdr:y>
    </cdr:to>
    <cdr:sp macro="" textlink="">
      <cdr:nvSpPr>
        <cdr:cNvPr id="2" name="Tekstvak 1"/>
        <cdr:cNvSpPr txBox="1"/>
      </cdr:nvSpPr>
      <cdr:spPr>
        <a:xfrm xmlns:a="http://schemas.openxmlformats.org/drawingml/2006/main">
          <a:off x="10803467" y="1718734"/>
          <a:ext cx="6536266" cy="64346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3200"/>
            <a:t>'From</a:t>
          </a:r>
          <a:r>
            <a:rPr lang="en-US" sz="3200" baseline="0"/>
            <a:t> 16 US$ to 1 166 US$ for 100 m³'</a:t>
          </a:r>
          <a:endParaRPr lang="en-US" sz="3200"/>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file:///Q:\Hoofddirectie\Bedrijfssystemen%20en%20Communicatie\Marketing\BijnensA\IWA\IWA%202015-2016\databank\attachment%203%20IWA%20database%202016%20FREEZE%20010920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straction source"/>
      <sheetName val="% abstraction source"/>
      <sheetName val="abstraction per capita"/>
      <sheetName val="delivered pop supplyrates"/>
      <sheetName val="delivered HH per capita"/>
      <sheetName val="average charges country 100m³"/>
      <sheetName val="charges cities 100 m³ table"/>
      <sheetName val="DWcharges cities 100 m³ graph"/>
      <sheetName val="average charges country 200 m³"/>
      <sheetName val="charges cities 200 m³ table"/>
      <sheetName val="DWcharges cities 200 m³ graph"/>
      <sheetName val="GDP DWcharge 200 m³"/>
      <sheetName val="consumption cities 2010-2014 T"/>
      <sheetName val="consumption cities 2014 graph"/>
      <sheetName val="consumption DWcharge 200 m³"/>
      <sheetName val="regulation in countries"/>
      <sheetName val="participants leaflet Brisbane"/>
      <sheetName val="total charges cities 100 m³ G"/>
      <sheetName val="total charges cities 200 m³ G"/>
      <sheetName val="consumption capitals 2010-2014"/>
      <sheetName val="total charges capitals 200 m³"/>
      <sheetName val="total charges capitals 100 m³"/>
      <sheetName val="werkinstructies"/>
      <sheetName val="Abstraction MET"/>
      <sheetName val="Abstraction ZONDER"/>
      <sheetName val="% source MET"/>
      <sheetName val="% source ZONDER"/>
      <sheetName val="Delivered MET subtot"/>
      <sheetName val="Delivered MET"/>
      <sheetName val="Delivered ZONDER"/>
      <sheetName val="Population-supply rate"/>
      <sheetName val="Del per capita"/>
      <sheetName val="Del HH&amp;SB per capita"/>
      <sheetName val="Del HH per capita"/>
      <sheetName val="Abs per capita"/>
      <sheetName val="Del-Abs"/>
      <sheetName val="Consumption cities"/>
      <sheetName val="HH size and income"/>
      <sheetName val="exchange rates"/>
      <sheetName val="Charges cities 200 m³ MEDIAAN"/>
      <sheetName val="Charges cities 200 m³ AVERAGE"/>
      <sheetName val="Charges country 200 m³ MEDIAAN"/>
      <sheetName val="Charges country 200 m³ AVERAGE"/>
      <sheetName val="Charges cities 100 m³ MEDIAAN"/>
      <sheetName val="Charges cities 100 m³ AVERAGE"/>
      <sheetName val="Charges country 100 m³ MEDIAAN"/>
      <sheetName val="Charges country 100 m³ AVERAGE"/>
      <sheetName val="charge-consumption 200 m³"/>
      <sheetName val="regulation"/>
      <sheetName val="expenditures"/>
      <sheetName val="connections and mains"/>
      <sheetName val="participants"/>
      <sheetName val="attachment 3 IWA database 2016 "/>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65">
          <cell r="B265" t="str">
            <v>FIXED CHARGE</v>
          </cell>
          <cell r="C265" t="str">
            <v>VARIABLE CHARGE</v>
          </cell>
          <cell r="D265" t="str">
            <v>OTHER CHARGES DRINKING WATER</v>
          </cell>
          <cell r="E265" t="str">
            <v>TOTAL CHARGE DRINKING WATER</v>
          </cell>
        </row>
        <row r="266">
          <cell r="A266" t="str">
            <v>Guadalajara</v>
          </cell>
          <cell r="B266">
            <v>0</v>
          </cell>
          <cell r="C266">
            <v>0.49788024590652696</v>
          </cell>
          <cell r="D266">
            <v>0</v>
          </cell>
        </row>
        <row r="267">
          <cell r="A267" t="str">
            <v>San Luis Potosi</v>
          </cell>
          <cell r="B267">
            <v>6.3682357034555784E-2</v>
          </cell>
          <cell r="C267">
            <v>0.48630163553660777</v>
          </cell>
          <cell r="D267">
            <v>0</v>
          </cell>
        </row>
        <row r="268">
          <cell r="A268" t="str">
            <v>Monterrey</v>
          </cell>
          <cell r="B268">
            <v>0.1099967985142327</v>
          </cell>
          <cell r="C268">
            <v>0.51524816146140584</v>
          </cell>
          <cell r="D268">
            <v>0</v>
          </cell>
        </row>
        <row r="269">
          <cell r="A269" t="str">
            <v>Puebla</v>
          </cell>
          <cell r="B269">
            <v>0.13894332443903079</v>
          </cell>
          <cell r="C269">
            <v>0.63103426516059813</v>
          </cell>
          <cell r="D269">
            <v>0</v>
          </cell>
        </row>
        <row r="270">
          <cell r="A270" t="str">
            <v>León, Guanajuato</v>
          </cell>
          <cell r="B270">
            <v>0.18525776591870774</v>
          </cell>
          <cell r="C270">
            <v>1.0594428488476098</v>
          </cell>
          <cell r="D270">
            <v>0</v>
          </cell>
        </row>
        <row r="271">
          <cell r="A271" t="str">
            <v>Mauritius</v>
          </cell>
          <cell r="B271">
            <v>18.410098329450939</v>
          </cell>
          <cell r="C271">
            <v>0</v>
          </cell>
          <cell r="D271">
            <v>0</v>
          </cell>
        </row>
        <row r="272">
          <cell r="A272" t="str">
            <v>Kenya Average</v>
          </cell>
          <cell r="B272">
            <v>5.8330000421920332</v>
          </cell>
          <cell r="C272">
            <v>21.827086157882587</v>
          </cell>
          <cell r="D272">
            <v>0</v>
          </cell>
        </row>
        <row r="273">
          <cell r="A273" t="str">
            <v>Thailand Average</v>
          </cell>
          <cell r="E273">
            <v>28.826008854986998</v>
          </cell>
        </row>
        <row r="274">
          <cell r="A274" t="str">
            <v>Shanghai</v>
          </cell>
          <cell r="B274">
            <v>29.475836722286957</v>
          </cell>
          <cell r="C274">
            <v>0</v>
          </cell>
          <cell r="D274">
            <v>0</v>
          </cell>
        </row>
        <row r="275">
          <cell r="A275" t="str">
            <v>Kafubu</v>
          </cell>
          <cell r="B275">
            <v>0.45205790319270417</v>
          </cell>
          <cell r="C275">
            <v>29.282502737210603</v>
          </cell>
          <cell r="D275">
            <v>0</v>
          </cell>
        </row>
        <row r="276">
          <cell r="A276" t="str">
            <v>Guangzhou</v>
          </cell>
          <cell r="B276">
            <v>30.396956619858422</v>
          </cell>
          <cell r="C276">
            <v>0</v>
          </cell>
          <cell r="D276">
            <v>0</v>
          </cell>
        </row>
        <row r="277">
          <cell r="A277" t="str">
            <v>Mulonga</v>
          </cell>
          <cell r="B277">
            <v>0.45205790319270417</v>
          </cell>
          <cell r="C277">
            <v>31.316763301577772</v>
          </cell>
          <cell r="D277">
            <v>0</v>
          </cell>
        </row>
        <row r="278">
          <cell r="A278" t="str">
            <v>Hong Kong</v>
          </cell>
          <cell r="B278">
            <v>0</v>
          </cell>
          <cell r="C278">
            <v>33.705350827329525</v>
          </cell>
          <cell r="D278">
            <v>0</v>
          </cell>
        </row>
        <row r="279">
          <cell r="A279" t="str">
            <v>Shenzhen</v>
          </cell>
          <cell r="B279">
            <v>35.309596073572912</v>
          </cell>
          <cell r="C279">
            <v>0</v>
          </cell>
          <cell r="D279">
            <v>0</v>
          </cell>
        </row>
        <row r="280">
          <cell r="A280" t="str">
            <v>Lusaka</v>
          </cell>
          <cell r="B280">
            <v>0.72329264510832658</v>
          </cell>
          <cell r="C280">
            <v>35.531751190946544</v>
          </cell>
          <cell r="D280">
            <v>0</v>
          </cell>
        </row>
        <row r="281">
          <cell r="A281" t="str">
            <v>Kaohsiung</v>
          </cell>
          <cell r="B281">
            <v>14.274205059842791</v>
          </cell>
          <cell r="C281">
            <v>21.169371910783799</v>
          </cell>
          <cell r="D281">
            <v>1.0584685955391899</v>
          </cell>
        </row>
        <row r="282">
          <cell r="A282" t="str">
            <v>Russia Average</v>
          </cell>
          <cell r="B282">
            <v>0</v>
          </cell>
          <cell r="C282">
            <v>34.686537541053276</v>
          </cell>
          <cell r="D282">
            <v>3.1097330259949025</v>
          </cell>
        </row>
        <row r="283">
          <cell r="A283" t="str">
            <v>Taipei</v>
          </cell>
          <cell r="B283">
            <v>23.588728700587662</v>
          </cell>
          <cell r="C283">
            <v>14.455656819078079</v>
          </cell>
          <cell r="D283">
            <v>0</v>
          </cell>
        </row>
        <row r="284">
          <cell r="A284" t="str">
            <v>Daejeon</v>
          </cell>
          <cell r="B284">
            <v>0</v>
          </cell>
          <cell r="C284">
            <v>43.16113549331012</v>
          </cell>
          <cell r="D284">
            <v>0</v>
          </cell>
        </row>
        <row r="285">
          <cell r="A285" t="str">
            <v>Gwangju</v>
          </cell>
          <cell r="B285">
            <v>0</v>
          </cell>
          <cell r="C285">
            <v>45.021828744911225</v>
          </cell>
          <cell r="D285">
            <v>0</v>
          </cell>
        </row>
        <row r="286">
          <cell r="A286" t="str">
            <v>Seoul</v>
          </cell>
          <cell r="B286">
            <v>0</v>
          </cell>
          <cell r="C286">
            <v>48.656789605279521</v>
          </cell>
          <cell r="D286">
            <v>0</v>
          </cell>
        </row>
        <row r="287">
          <cell r="A287" t="str">
            <v>Daegu</v>
          </cell>
          <cell r="B287">
            <v>0</v>
          </cell>
          <cell r="C287">
            <v>49.055872720718554</v>
          </cell>
          <cell r="D287">
            <v>0</v>
          </cell>
        </row>
        <row r="288">
          <cell r="A288" t="str">
            <v>Miami</v>
          </cell>
          <cell r="B288">
            <v>38.4</v>
          </cell>
          <cell r="C288">
            <v>13.07</v>
          </cell>
          <cell r="D288">
            <v>0</v>
          </cell>
        </row>
        <row r="289">
          <cell r="A289" t="str">
            <v>Gyeounggi</v>
          </cell>
          <cell r="B289">
            <v>0</v>
          </cell>
          <cell r="C289">
            <v>53.749971360914437</v>
          </cell>
          <cell r="D289">
            <v>0</v>
          </cell>
        </row>
        <row r="290">
          <cell r="A290" t="str">
            <v>Beijing</v>
          </cell>
          <cell r="B290">
            <v>31.77863646621562</v>
          </cell>
          <cell r="C290">
            <v>0</v>
          </cell>
          <cell r="D290">
            <v>24.10263731978673</v>
          </cell>
        </row>
        <row r="291">
          <cell r="A291" t="str">
            <v>Incheon</v>
          </cell>
          <cell r="B291">
            <v>0</v>
          </cell>
          <cell r="C291">
            <v>56.235979557725756</v>
          </cell>
          <cell r="D291">
            <v>0</v>
          </cell>
        </row>
        <row r="292">
          <cell r="A292" t="str">
            <v>NWWSC of Zambia</v>
          </cell>
          <cell r="B292">
            <v>0.58767527415051535</v>
          </cell>
          <cell r="C292">
            <v>56.722417461007744</v>
          </cell>
          <cell r="D292">
            <v>0</v>
          </cell>
        </row>
        <row r="293">
          <cell r="A293" t="str">
            <v>Gran Santiago</v>
          </cell>
          <cell r="B293">
            <v>10.266807607901336</v>
          </cell>
          <cell r="C293">
            <v>47.259662472371041</v>
          </cell>
          <cell r="D293">
            <v>0</v>
          </cell>
        </row>
        <row r="294">
          <cell r="A294" t="str">
            <v>Busan</v>
          </cell>
          <cell r="B294">
            <v>0</v>
          </cell>
          <cell r="C294">
            <v>60.589459487929091</v>
          </cell>
          <cell r="D294">
            <v>0</v>
          </cell>
        </row>
        <row r="295">
          <cell r="A295" t="str">
            <v>Tianjin</v>
          </cell>
          <cell r="B295">
            <v>40.068715544358831</v>
          </cell>
          <cell r="C295">
            <v>0</v>
          </cell>
          <cell r="D295">
            <v>21.339277627072327</v>
          </cell>
        </row>
        <row r="296">
          <cell r="A296" t="str">
            <v>Nagoya</v>
          </cell>
          <cell r="B296">
            <v>62.341061463798042</v>
          </cell>
          <cell r="C296">
            <v>1.9949139668415374</v>
          </cell>
          <cell r="D296">
            <v>0</v>
          </cell>
        </row>
        <row r="297">
          <cell r="A297" t="str">
            <v>Giurgiu</v>
          </cell>
          <cell r="B297">
            <v>0</v>
          </cell>
          <cell r="C297">
            <v>64.671433190816657</v>
          </cell>
          <cell r="D297">
            <v>0</v>
          </cell>
        </row>
        <row r="298">
          <cell r="A298" t="str">
            <v>Budapest</v>
          </cell>
          <cell r="B298">
            <v>5.8529268955314864</v>
          </cell>
          <cell r="C298">
            <v>59.35556451703696</v>
          </cell>
          <cell r="D298">
            <v>0</v>
          </cell>
        </row>
        <row r="299">
          <cell r="A299" t="str">
            <v>Sibiu</v>
          </cell>
          <cell r="B299">
            <v>0</v>
          </cell>
          <cell r="C299">
            <v>66.587623803877889</v>
          </cell>
          <cell r="D299">
            <v>0</v>
          </cell>
        </row>
        <row r="300">
          <cell r="A300" t="str">
            <v>Concepcion</v>
          </cell>
          <cell r="B300">
            <v>10.80827622831805</v>
          </cell>
          <cell r="C300">
            <v>57.595384268325411</v>
          </cell>
          <cell r="D300">
            <v>0</v>
          </cell>
        </row>
        <row r="301">
          <cell r="A301" t="str">
            <v>Kampala</v>
          </cell>
          <cell r="B301">
            <v>3.1053734620375546</v>
          </cell>
          <cell r="C301">
            <v>67.209007221129553</v>
          </cell>
          <cell r="D301">
            <v>0</v>
          </cell>
        </row>
        <row r="302">
          <cell r="A302" t="str">
            <v>Apaserv SA Valea Jiului</v>
          </cell>
          <cell r="B302">
            <v>0</v>
          </cell>
          <cell r="C302">
            <v>71.378100336530977</v>
          </cell>
          <cell r="D302">
            <v>0</v>
          </cell>
        </row>
        <row r="303">
          <cell r="A303" t="str">
            <v>Entebbe</v>
          </cell>
          <cell r="B303">
            <v>3.4002413577512409</v>
          </cell>
          <cell r="C303">
            <v>68.494019755690388</v>
          </cell>
          <cell r="D303">
            <v>0</v>
          </cell>
        </row>
        <row r="304">
          <cell r="A304" t="str">
            <v>Jinja</v>
          </cell>
          <cell r="B304">
            <v>2.8490177241887666</v>
          </cell>
          <cell r="C304">
            <v>69.340699256842356</v>
          </cell>
          <cell r="D304">
            <v>0</v>
          </cell>
        </row>
        <row r="305">
          <cell r="A305" t="str">
            <v>Calarasi</v>
          </cell>
          <cell r="B305">
            <v>0</v>
          </cell>
          <cell r="C305">
            <v>72.3361956430616</v>
          </cell>
          <cell r="D305">
            <v>0</v>
          </cell>
        </row>
        <row r="306">
          <cell r="A306" t="str">
            <v>Baia Mare</v>
          </cell>
          <cell r="B306">
            <v>0</v>
          </cell>
          <cell r="C306">
            <v>72.575719469694249</v>
          </cell>
          <cell r="D306">
            <v>0</v>
          </cell>
        </row>
        <row r="307">
          <cell r="A307" t="str">
            <v>Deva</v>
          </cell>
          <cell r="B307">
            <v>0</v>
          </cell>
          <cell r="C307">
            <v>73.054767122959561</v>
          </cell>
          <cell r="D307">
            <v>0</v>
          </cell>
        </row>
        <row r="308">
          <cell r="A308" t="str">
            <v>Craiova</v>
          </cell>
          <cell r="B308">
            <v>0</v>
          </cell>
          <cell r="C308">
            <v>73.294290949592209</v>
          </cell>
          <cell r="D308">
            <v>0</v>
          </cell>
        </row>
        <row r="309">
          <cell r="A309" t="str">
            <v>Mbarara</v>
          </cell>
          <cell r="B309">
            <v>3.0433424291406577</v>
          </cell>
          <cell r="C309">
            <v>70.573088308519104</v>
          </cell>
          <cell r="D309">
            <v>0</v>
          </cell>
        </row>
        <row r="310">
          <cell r="A310" t="str">
            <v>Ulsan</v>
          </cell>
          <cell r="B310">
            <v>0</v>
          </cell>
          <cell r="C310">
            <v>73.882062279877289</v>
          </cell>
          <cell r="D310">
            <v>0</v>
          </cell>
        </row>
        <row r="311">
          <cell r="A311" t="str">
            <v>Miercurea Ciuc</v>
          </cell>
          <cell r="B311">
            <v>0</v>
          </cell>
          <cell r="C311">
            <v>74.01286242949017</v>
          </cell>
          <cell r="D311">
            <v>0</v>
          </cell>
        </row>
        <row r="312">
          <cell r="A312" t="str">
            <v>Severin</v>
          </cell>
          <cell r="B312">
            <v>0</v>
          </cell>
          <cell r="C312">
            <v>74.491910082755481</v>
          </cell>
          <cell r="D312">
            <v>0</v>
          </cell>
        </row>
        <row r="313">
          <cell r="A313" t="str">
            <v>Kaposvár</v>
          </cell>
          <cell r="B313">
            <v>0</v>
          </cell>
          <cell r="C313">
            <v>74.986322226279867</v>
          </cell>
          <cell r="D313">
            <v>0</v>
          </cell>
        </row>
        <row r="314">
          <cell r="A314" t="str">
            <v>Medias</v>
          </cell>
          <cell r="B314">
            <v>0</v>
          </cell>
          <cell r="C314">
            <v>76.408100695816714</v>
          </cell>
          <cell r="D314">
            <v>0</v>
          </cell>
        </row>
        <row r="315">
          <cell r="A315" t="str">
            <v>Iasi</v>
          </cell>
          <cell r="B315">
            <v>0</v>
          </cell>
          <cell r="C315">
            <v>76.647624522449377</v>
          </cell>
          <cell r="D315">
            <v>0</v>
          </cell>
        </row>
        <row r="316">
          <cell r="A316" t="str">
            <v>Temuco</v>
          </cell>
          <cell r="B316">
            <v>18.17506228998753</v>
          </cell>
          <cell r="C316">
            <v>60.105829690257451</v>
          </cell>
          <cell r="D316">
            <v>0</v>
          </cell>
        </row>
        <row r="317">
          <cell r="A317" t="str">
            <v>Yokohama</v>
          </cell>
          <cell r="B317">
            <v>78.799101690240732</v>
          </cell>
          <cell r="C317">
            <v>1.4296883429031018</v>
          </cell>
          <cell r="D317">
            <v>0</v>
          </cell>
        </row>
        <row r="318">
          <cell r="A318" t="str">
            <v>Macao, China Average</v>
          </cell>
          <cell r="B318">
            <v>0</v>
          </cell>
          <cell r="C318">
            <v>83.444215433048953</v>
          </cell>
          <cell r="D318">
            <v>0</v>
          </cell>
        </row>
        <row r="319">
          <cell r="A319" t="str">
            <v>Suceava</v>
          </cell>
          <cell r="B319">
            <v>0</v>
          </cell>
          <cell r="C319">
            <v>84.072863148061657</v>
          </cell>
          <cell r="D319">
            <v>0</v>
          </cell>
        </row>
        <row r="320">
          <cell r="A320" t="str">
            <v>Brasov</v>
          </cell>
          <cell r="B320">
            <v>0</v>
          </cell>
          <cell r="C320">
            <v>84.312386974694306</v>
          </cell>
          <cell r="D320">
            <v>0</v>
          </cell>
        </row>
        <row r="321">
          <cell r="A321" t="str">
            <v>Hiroshima</v>
          </cell>
          <cell r="B321">
            <v>80.794015657082269</v>
          </cell>
          <cell r="C321">
            <v>4.1560707642532027</v>
          </cell>
          <cell r="D321">
            <v>0</v>
          </cell>
        </row>
        <row r="322">
          <cell r="A322" t="str">
            <v>Miskolc</v>
          </cell>
          <cell r="B322">
            <v>0</v>
          </cell>
          <cell r="C322">
            <v>85.769479306753169</v>
          </cell>
          <cell r="D322">
            <v>0</v>
          </cell>
        </row>
        <row r="323">
          <cell r="A323" t="str">
            <v>Bialystok</v>
          </cell>
          <cell r="B323">
            <v>0</v>
          </cell>
          <cell r="C323">
            <v>86.538680512855549</v>
          </cell>
          <cell r="D323">
            <v>0</v>
          </cell>
        </row>
        <row r="324">
          <cell r="A324" t="str">
            <v>Thessaloniki</v>
          </cell>
          <cell r="B324">
            <v>26.06032966317024</v>
          </cell>
          <cell r="C324">
            <v>61.024605294590316</v>
          </cell>
          <cell r="D324">
            <v>0</v>
          </cell>
        </row>
        <row r="325">
          <cell r="A325" t="str">
            <v>Constanta</v>
          </cell>
          <cell r="B325">
            <v>0</v>
          </cell>
          <cell r="C325">
            <v>88.384292027449433</v>
          </cell>
          <cell r="D325">
            <v>0</v>
          </cell>
        </row>
        <row r="326">
          <cell r="A326" t="str">
            <v>Debrecen</v>
          </cell>
          <cell r="B326">
            <v>4.2382076519995646</v>
          </cell>
          <cell r="C326">
            <v>84.316576277391832</v>
          </cell>
          <cell r="D326">
            <v>0</v>
          </cell>
        </row>
        <row r="327">
          <cell r="A327" t="str">
            <v>Bilbao</v>
          </cell>
          <cell r="B327">
            <v>35.756943992008168</v>
          </cell>
          <cell r="C327">
            <v>56.431472191456557</v>
          </cell>
          <cell r="D327">
            <v>0</v>
          </cell>
        </row>
        <row r="328">
          <cell r="A328" t="str">
            <v>Resita</v>
          </cell>
          <cell r="B328">
            <v>0</v>
          </cell>
          <cell r="C328">
            <v>92.216673253571898</v>
          </cell>
          <cell r="D328">
            <v>0</v>
          </cell>
        </row>
        <row r="329">
          <cell r="A329" t="str">
            <v>Faro</v>
          </cell>
          <cell r="B329">
            <v>35.561491519534393</v>
          </cell>
          <cell r="C329">
            <v>57.441309965904402</v>
          </cell>
          <cell r="D329">
            <v>0</v>
          </cell>
        </row>
        <row r="330">
          <cell r="A330" t="str">
            <v>Osaka</v>
          </cell>
          <cell r="B330">
            <v>84.783843590765343</v>
          </cell>
          <cell r="C330">
            <v>8.3121415285064053</v>
          </cell>
          <cell r="D330">
            <v>0</v>
          </cell>
        </row>
        <row r="331">
          <cell r="A331" t="str">
            <v>Sevilla</v>
          </cell>
          <cell r="B331">
            <v>50.339870132690514</v>
          </cell>
          <cell r="C331">
            <v>44.411145134319284</v>
          </cell>
          <cell r="D331">
            <v>0</v>
          </cell>
        </row>
        <row r="332">
          <cell r="A332" t="str">
            <v>Fukuoka</v>
          </cell>
          <cell r="B332">
            <v>84.783843590765343</v>
          </cell>
          <cell r="C332">
            <v>13.565414974522454</v>
          </cell>
          <cell r="D332">
            <v>0</v>
          </cell>
        </row>
        <row r="333">
          <cell r="A333" t="str">
            <v>Chicago</v>
          </cell>
          <cell r="B333">
            <v>0</v>
          </cell>
          <cell r="C333">
            <v>100.65</v>
          </cell>
          <cell r="D333">
            <v>0</v>
          </cell>
        </row>
        <row r="334">
          <cell r="A334" t="str">
            <v>Buzau</v>
          </cell>
          <cell r="B334">
            <v>0</v>
          </cell>
          <cell r="C334">
            <v>105.39048371836789</v>
          </cell>
          <cell r="D334">
            <v>0</v>
          </cell>
        </row>
        <row r="335">
          <cell r="A335" t="str">
            <v>Wroclaw</v>
          </cell>
          <cell r="B335">
            <v>0</v>
          </cell>
          <cell r="C335">
            <v>108.5529062573539</v>
          </cell>
          <cell r="D335">
            <v>0</v>
          </cell>
        </row>
        <row r="336">
          <cell r="A336" t="str">
            <v>Tarnow</v>
          </cell>
          <cell r="B336">
            <v>22.894794774278274</v>
          </cell>
          <cell r="C336">
            <v>79.70667941973538</v>
          </cell>
          <cell r="D336">
            <v>7.014187788936713</v>
          </cell>
        </row>
        <row r="337">
          <cell r="A337" t="str">
            <v>Bucharest</v>
          </cell>
          <cell r="B337">
            <v>0</v>
          </cell>
          <cell r="C337">
            <v>109.94143642438831</v>
          </cell>
          <cell r="D337">
            <v>0</v>
          </cell>
        </row>
        <row r="338">
          <cell r="A338" t="str">
            <v>Lisbon</v>
          </cell>
          <cell r="B338">
            <v>55.899407127500162</v>
          </cell>
          <cell r="C338">
            <v>44.389428192933309</v>
          </cell>
          <cell r="D338">
            <v>12.07461941060221</v>
          </cell>
        </row>
        <row r="339">
          <cell r="A339" t="str">
            <v>Valparaiso</v>
          </cell>
          <cell r="B339">
            <v>17.885341417764561</v>
          </cell>
          <cell r="C339">
            <v>95.022820441129568</v>
          </cell>
          <cell r="D339">
            <v>0</v>
          </cell>
        </row>
        <row r="340">
          <cell r="A340" t="str">
            <v>Vina del Mar</v>
          </cell>
          <cell r="B340">
            <v>17.885341417764561</v>
          </cell>
          <cell r="C340">
            <v>95.022820441129568</v>
          </cell>
          <cell r="D340">
            <v>0</v>
          </cell>
        </row>
        <row r="341">
          <cell r="A341" t="str">
            <v>Madrid</v>
          </cell>
          <cell r="B341">
            <v>66.486416053163069</v>
          </cell>
          <cell r="C341">
            <v>46.691423979846682</v>
          </cell>
          <cell r="D341">
            <v>0</v>
          </cell>
        </row>
        <row r="342">
          <cell r="A342" t="str">
            <v>Pécs</v>
          </cell>
          <cell r="B342">
            <v>0</v>
          </cell>
          <cell r="C342">
            <v>117.05853791062974</v>
          </cell>
          <cell r="D342">
            <v>0</v>
          </cell>
        </row>
        <row r="343">
          <cell r="A343" t="str">
            <v>Braga</v>
          </cell>
          <cell r="B343">
            <v>61.111473060134216</v>
          </cell>
          <cell r="C343">
            <v>59.721588811431801</v>
          </cell>
          <cell r="D343">
            <v>0</v>
          </cell>
        </row>
        <row r="344">
          <cell r="A344" t="str">
            <v>Coimbra</v>
          </cell>
          <cell r="B344">
            <v>50.752492019024046</v>
          </cell>
          <cell r="C344">
            <v>70.93838903728799</v>
          </cell>
          <cell r="D344">
            <v>0</v>
          </cell>
        </row>
        <row r="345">
          <cell r="A345" t="str">
            <v>Utrecht</v>
          </cell>
          <cell r="B345">
            <v>48.863118118444199</v>
          </cell>
          <cell r="C345">
            <v>73.837600712315677</v>
          </cell>
          <cell r="D345">
            <v>0</v>
          </cell>
        </row>
        <row r="346">
          <cell r="A346" t="str">
            <v>Tokyo</v>
          </cell>
          <cell r="B346">
            <v>116.70246706022994</v>
          </cell>
          <cell r="C346">
            <v>7.3146845450856368</v>
          </cell>
          <cell r="D346">
            <v>0</v>
          </cell>
        </row>
        <row r="347">
          <cell r="A347" t="str">
            <v>Porto</v>
          </cell>
          <cell r="B347">
            <v>44.639173018872022</v>
          </cell>
          <cell r="C347">
            <v>80.928182074836585</v>
          </cell>
          <cell r="D347">
            <v>0</v>
          </cell>
        </row>
        <row r="348">
          <cell r="A348" t="str">
            <v>Loures</v>
          </cell>
          <cell r="B348">
            <v>40.328360153755945</v>
          </cell>
          <cell r="C348">
            <v>85.467022824505392</v>
          </cell>
          <cell r="D348">
            <v>0</v>
          </cell>
        </row>
        <row r="349">
          <cell r="A349" t="str">
            <v>Eindhoven</v>
          </cell>
          <cell r="B349">
            <v>76.487067561404658</v>
          </cell>
          <cell r="C349">
            <v>50.111842248137769</v>
          </cell>
          <cell r="D349">
            <v>0</v>
          </cell>
        </row>
        <row r="350">
          <cell r="A350" t="str">
            <v>Sintra</v>
          </cell>
          <cell r="B350">
            <v>53.032770864551445</v>
          </cell>
          <cell r="C350">
            <v>77.084283449518963</v>
          </cell>
          <cell r="D350">
            <v>0</v>
          </cell>
        </row>
        <row r="351">
          <cell r="A351" t="str">
            <v>Serres</v>
          </cell>
          <cell r="B351">
            <v>86.324842009251412</v>
          </cell>
          <cell r="C351">
            <v>24.61615306100289</v>
          </cell>
          <cell r="D351">
            <v>19.686407366386518</v>
          </cell>
        </row>
        <row r="352">
          <cell r="A352" t="str">
            <v>Igoumenitsa</v>
          </cell>
          <cell r="B352">
            <v>52.989336981779488</v>
          </cell>
          <cell r="C352">
            <v>43.433882771950401</v>
          </cell>
          <cell r="D352">
            <v>34.747106217560322</v>
          </cell>
        </row>
        <row r="353">
          <cell r="A353" t="str">
            <v>Sapporo</v>
          </cell>
          <cell r="B353">
            <v>131.66432181154147</v>
          </cell>
          <cell r="C353">
            <v>0</v>
          </cell>
          <cell r="D353">
            <v>0</v>
          </cell>
        </row>
        <row r="354">
          <cell r="A354" t="str">
            <v>Valencia</v>
          </cell>
          <cell r="B354">
            <v>77.008274154668058</v>
          </cell>
          <cell r="C354">
            <v>60.709709644493664</v>
          </cell>
          <cell r="D354">
            <v>0</v>
          </cell>
        </row>
        <row r="355">
          <cell r="A355" t="str">
            <v>Bergen</v>
          </cell>
          <cell r="B355">
            <v>138.70862160423462</v>
          </cell>
          <cell r="C355">
            <v>0</v>
          </cell>
          <cell r="D355">
            <v>0</v>
          </cell>
        </row>
        <row r="356">
          <cell r="A356" t="str">
            <v>Bydgoszcz</v>
          </cell>
          <cell r="B356">
            <v>0</v>
          </cell>
          <cell r="C356">
            <v>139.42342971515617</v>
          </cell>
          <cell r="D356">
            <v>0</v>
          </cell>
        </row>
        <row r="357">
          <cell r="A357" t="str">
            <v>Paphos</v>
          </cell>
          <cell r="B357">
            <v>52.12065932634048</v>
          </cell>
          <cell r="C357">
            <v>91.862662062675085</v>
          </cell>
          <cell r="D357">
            <v>0</v>
          </cell>
        </row>
        <row r="358">
          <cell r="A358" t="str">
            <v>Athens</v>
          </cell>
          <cell r="B358">
            <v>13.03016483158512</v>
          </cell>
          <cell r="C358">
            <v>131.51779703346583</v>
          </cell>
          <cell r="D358">
            <v>0</v>
          </cell>
        </row>
        <row r="359">
          <cell r="A359" t="str">
            <v>Alexandroupolis</v>
          </cell>
          <cell r="B359">
            <v>55.378200534236761</v>
          </cell>
          <cell r="C359">
            <v>92.2970008903946</v>
          </cell>
          <cell r="D359">
            <v>0</v>
          </cell>
        </row>
        <row r="360">
          <cell r="A360" t="str">
            <v>Trondheim</v>
          </cell>
          <cell r="B360">
            <v>33.858898682888842</v>
          </cell>
          <cell r="C360">
            <v>93.224834373553932</v>
          </cell>
          <cell r="D360">
            <v>20.8345089895376</v>
          </cell>
        </row>
        <row r="361">
          <cell r="A361" t="str">
            <v>Oslo</v>
          </cell>
          <cell r="B361">
            <v>35.438980621423653</v>
          </cell>
          <cell r="C361">
            <v>112.52440662280057</v>
          </cell>
          <cell r="D361">
            <v>0</v>
          </cell>
        </row>
        <row r="362">
          <cell r="A362" t="str">
            <v>Lefkosia</v>
          </cell>
          <cell r="B362">
            <v>45.605576910547917</v>
          </cell>
          <cell r="C362">
            <v>104.24131865268096</v>
          </cell>
          <cell r="D362">
            <v>0</v>
          </cell>
        </row>
        <row r="363">
          <cell r="A363" t="str">
            <v>Espoo</v>
          </cell>
          <cell r="B363">
            <v>41.902838404239155</v>
          </cell>
          <cell r="C363">
            <v>117.27148348426608</v>
          </cell>
          <cell r="D363">
            <v>0</v>
          </cell>
        </row>
        <row r="364">
          <cell r="A364" t="str">
            <v>Helsinki</v>
          </cell>
          <cell r="B364">
            <v>41.902838404239155</v>
          </cell>
          <cell r="C364">
            <v>117.27148348426608</v>
          </cell>
          <cell r="D364">
            <v>0</v>
          </cell>
        </row>
        <row r="365">
          <cell r="A365" t="str">
            <v>Vantaa</v>
          </cell>
          <cell r="B365">
            <v>41.902838404239155</v>
          </cell>
          <cell r="C365">
            <v>117.27148348426608</v>
          </cell>
          <cell r="D365">
            <v>0</v>
          </cell>
        </row>
        <row r="366">
          <cell r="A366" t="str">
            <v>Reims</v>
          </cell>
          <cell r="B366">
            <v>11.890025408821421</v>
          </cell>
          <cell r="C366">
            <v>100.98377744478468</v>
          </cell>
          <cell r="D366">
            <v>47.77727104914544</v>
          </cell>
        </row>
        <row r="367">
          <cell r="A367" t="str">
            <v>Minneapolis</v>
          </cell>
          <cell r="B367">
            <v>42</v>
          </cell>
          <cell r="C367">
            <v>121.85</v>
          </cell>
          <cell r="D367">
            <v>0</v>
          </cell>
        </row>
        <row r="368">
          <cell r="A368" t="str">
            <v>Los Angeles</v>
          </cell>
          <cell r="B368">
            <v>0</v>
          </cell>
          <cell r="C368">
            <v>164.38</v>
          </cell>
          <cell r="D368">
            <v>0</v>
          </cell>
        </row>
        <row r="369">
          <cell r="A369" t="str">
            <v>Genk</v>
          </cell>
          <cell r="B369">
            <v>57.75620561600104</v>
          </cell>
          <cell r="C369">
            <v>107.22739809325255</v>
          </cell>
          <cell r="D369">
            <v>0</v>
          </cell>
        </row>
        <row r="370">
          <cell r="A370" t="str">
            <v>Lemesos</v>
          </cell>
          <cell r="B370">
            <v>71.665906573718161</v>
          </cell>
          <cell r="C370">
            <v>97.726236236888397</v>
          </cell>
          <cell r="D370">
            <v>0</v>
          </cell>
        </row>
        <row r="371">
          <cell r="A371" t="str">
            <v>Antwerp</v>
          </cell>
          <cell r="B371">
            <v>73.663865181227877</v>
          </cell>
          <cell r="C371">
            <v>97.650226942037492</v>
          </cell>
          <cell r="D371">
            <v>0</v>
          </cell>
        </row>
        <row r="372">
          <cell r="A372" t="str">
            <v>Rotterdam</v>
          </cell>
          <cell r="B372">
            <v>64.890220861293898</v>
          </cell>
          <cell r="C372">
            <v>99.246422133906663</v>
          </cell>
          <cell r="D372">
            <v>9.1754077355745203</v>
          </cell>
        </row>
        <row r="373">
          <cell r="A373" t="str">
            <v>Larnaca</v>
          </cell>
          <cell r="B373">
            <v>71.665906573718161</v>
          </cell>
          <cell r="C373">
            <v>102.06962451408344</v>
          </cell>
          <cell r="D373">
            <v>0</v>
          </cell>
        </row>
        <row r="374">
          <cell r="A374" t="str">
            <v>Denver</v>
          </cell>
          <cell r="B374">
            <v>105.48</v>
          </cell>
          <cell r="C374">
            <v>68.680000000000007</v>
          </cell>
          <cell r="D374">
            <v>0</v>
          </cell>
        </row>
        <row r="375">
          <cell r="A375" t="str">
            <v>Radom</v>
          </cell>
          <cell r="B375">
            <v>10.840108401084009</v>
          </cell>
          <cell r="C375">
            <v>163.46195207983826</v>
          </cell>
          <cell r="D375">
            <v>0</v>
          </cell>
        </row>
        <row r="376">
          <cell r="A376" t="str">
            <v>Barcelona</v>
          </cell>
          <cell r="B376">
            <v>90.429343931200734</v>
          </cell>
          <cell r="C376">
            <v>88.127348144287353</v>
          </cell>
          <cell r="D376">
            <v>0</v>
          </cell>
        </row>
        <row r="377">
          <cell r="A377" t="str">
            <v>Oulu</v>
          </cell>
          <cell r="B377">
            <v>45.540426086389992</v>
          </cell>
          <cell r="C377">
            <v>133.55918952374748</v>
          </cell>
          <cell r="D377">
            <v>0</v>
          </cell>
        </row>
        <row r="378">
          <cell r="A378" t="str">
            <v>Saskatoon</v>
          </cell>
          <cell r="B378">
            <v>75.965211386149292</v>
          </cell>
          <cell r="C378">
            <v>104.30829214954213</v>
          </cell>
          <cell r="D378">
            <v>0</v>
          </cell>
        </row>
        <row r="379">
          <cell r="A379" t="str">
            <v>Amsterdam</v>
          </cell>
          <cell r="B379">
            <v>45.76845397094273</v>
          </cell>
          <cell r="C379">
            <v>134.64503659304623</v>
          </cell>
          <cell r="D379">
            <v>0</v>
          </cell>
        </row>
        <row r="380">
          <cell r="A380" t="str">
            <v>Strassbourg</v>
          </cell>
          <cell r="B380">
            <v>30.794622885312833</v>
          </cell>
          <cell r="C380">
            <v>108.58470692987599</v>
          </cell>
          <cell r="D380">
            <v>43.433882771950401</v>
          </cell>
        </row>
        <row r="381">
          <cell r="A381" t="str">
            <v>Paris</v>
          </cell>
          <cell r="B381">
            <v>22.824505396659934</v>
          </cell>
          <cell r="C381">
            <v>107.49885986057724</v>
          </cell>
          <cell r="D381">
            <v>53.206506395639238</v>
          </cell>
        </row>
        <row r="382">
          <cell r="A382" t="str">
            <v>Scotland: Band A</v>
          </cell>
          <cell r="B382">
            <v>0</v>
          </cell>
          <cell r="C382">
            <v>0</v>
          </cell>
          <cell r="D382">
            <v>186.83958440792867</v>
          </cell>
        </row>
        <row r="383">
          <cell r="A383" t="str">
            <v>Lille</v>
          </cell>
          <cell r="B383">
            <v>19.990444545790172</v>
          </cell>
          <cell r="C383">
            <v>121.61487176146113</v>
          </cell>
          <cell r="D383">
            <v>48.863118118444199</v>
          </cell>
        </row>
        <row r="384">
          <cell r="A384" t="str">
            <v>Sendai</v>
          </cell>
          <cell r="B384">
            <v>124.68212292759608</v>
          </cell>
          <cell r="C384">
            <v>66.231143699139039</v>
          </cell>
          <cell r="D384">
            <v>0</v>
          </cell>
        </row>
        <row r="385">
          <cell r="A385" t="str">
            <v>Brest</v>
          </cell>
          <cell r="B385">
            <v>6.667101005494386</v>
          </cell>
          <cell r="C385">
            <v>143.33181314743632</v>
          </cell>
          <cell r="D385">
            <v>41.262188633352878</v>
          </cell>
        </row>
        <row r="386">
          <cell r="A386" t="str">
            <v>Louvain</v>
          </cell>
          <cell r="B386">
            <v>57.75620561600104</v>
          </cell>
          <cell r="C386">
            <v>138.4455013355919</v>
          </cell>
          <cell r="D386">
            <v>0</v>
          </cell>
        </row>
        <row r="387">
          <cell r="A387" t="str">
            <v>Winnipeg</v>
          </cell>
          <cell r="B387">
            <v>93.661652674968167</v>
          </cell>
          <cell r="C387">
            <v>104.30829214954213</v>
          </cell>
          <cell r="D387">
            <v>0</v>
          </cell>
        </row>
        <row r="388">
          <cell r="A388" t="str">
            <v>Marseille</v>
          </cell>
          <cell r="B388">
            <v>10.315547158338219</v>
          </cell>
          <cell r="C388">
            <v>154.19028384042392</v>
          </cell>
          <cell r="D388">
            <v>36.918800356157838</v>
          </cell>
        </row>
        <row r="389">
          <cell r="A389" t="str">
            <v>Den Haag</v>
          </cell>
          <cell r="B389">
            <v>66.432123699698138</v>
          </cell>
          <cell r="C389">
            <v>115.09978934566855</v>
          </cell>
          <cell r="D389">
            <v>20.30534019588681</v>
          </cell>
        </row>
        <row r="390">
          <cell r="A390" t="str">
            <v>Tampere</v>
          </cell>
          <cell r="B390">
            <v>83.523356570460621</v>
          </cell>
          <cell r="C390">
            <v>118.35733055356484</v>
          </cell>
          <cell r="D390">
            <v>0</v>
          </cell>
        </row>
        <row r="391">
          <cell r="A391" t="str">
            <v>Kortrijk</v>
          </cell>
          <cell r="B391">
            <v>57.75620561600104</v>
          </cell>
          <cell r="C391">
            <v>145.91612917236736</v>
          </cell>
          <cell r="D391">
            <v>0</v>
          </cell>
        </row>
        <row r="392">
          <cell r="A392" t="str">
            <v>Durham</v>
          </cell>
          <cell r="B392">
            <v>136.91002870276452</v>
          </cell>
          <cell r="C392">
            <v>67.908295027012258</v>
          </cell>
          <cell r="D392">
            <v>0</v>
          </cell>
        </row>
        <row r="393">
          <cell r="A393" t="str">
            <v>SEDIF</v>
          </cell>
          <cell r="B393">
            <v>0</v>
          </cell>
          <cell r="C393">
            <v>160.70536625621648</v>
          </cell>
          <cell r="D393">
            <v>52.12065932634048</v>
          </cell>
        </row>
        <row r="394">
          <cell r="A394" t="str">
            <v>Antofagasta</v>
          </cell>
          <cell r="B394">
            <v>15.456467891895299</v>
          </cell>
          <cell r="C394">
            <v>199.94678136987906</v>
          </cell>
          <cell r="D394">
            <v>0</v>
          </cell>
        </row>
        <row r="395">
          <cell r="A395" t="str">
            <v>Basel</v>
          </cell>
          <cell r="B395">
            <v>69.895157264103844</v>
          </cell>
          <cell r="C395">
            <v>145.78132800798801</v>
          </cell>
          <cell r="D395">
            <v>0</v>
          </cell>
        </row>
        <row r="396">
          <cell r="A396" t="str">
            <v>London</v>
          </cell>
          <cell r="B396">
            <v>31.31677842458183</v>
          </cell>
          <cell r="C396">
            <v>186.11745634072656</v>
          </cell>
          <cell r="D396">
            <v>0</v>
          </cell>
        </row>
        <row r="397">
          <cell r="A397" t="str">
            <v>Scotland: Band B</v>
          </cell>
          <cell r="B397">
            <v>0</v>
          </cell>
          <cell r="C397">
            <v>0</v>
          </cell>
          <cell r="D397">
            <v>217.97951514258344</v>
          </cell>
        </row>
        <row r="398">
          <cell r="A398" t="str">
            <v>Bordeaux</v>
          </cell>
          <cell r="B398">
            <v>59.623862575194906</v>
          </cell>
          <cell r="C398">
            <v>116.18563641496732</v>
          </cell>
          <cell r="D398">
            <v>43.433882771950401</v>
          </cell>
        </row>
        <row r="399">
          <cell r="A399" t="str">
            <v>Leeds</v>
          </cell>
          <cell r="B399">
            <v>32.996831478888808</v>
          </cell>
          <cell r="C399">
            <v>186.57431287303808</v>
          </cell>
          <cell r="D399">
            <v>0</v>
          </cell>
        </row>
        <row r="400">
          <cell r="A400" t="str">
            <v>Malta Average</v>
          </cell>
          <cell r="B400">
            <v>64.064977088626833</v>
          </cell>
          <cell r="C400">
            <v>155.69961126674917</v>
          </cell>
          <cell r="D400">
            <v>0</v>
          </cell>
        </row>
        <row r="401">
          <cell r="A401" t="str">
            <v>Zürich</v>
          </cell>
          <cell r="B401">
            <v>107.83824263604592</v>
          </cell>
          <cell r="C401">
            <v>119.82026959560659</v>
          </cell>
          <cell r="D401">
            <v>0</v>
          </cell>
        </row>
        <row r="402">
          <cell r="A402" t="str">
            <v>Brussels</v>
          </cell>
          <cell r="B402">
            <v>25.84316024931049</v>
          </cell>
          <cell r="C402">
            <v>203.36829760896475</v>
          </cell>
          <cell r="D402">
            <v>0</v>
          </cell>
        </row>
        <row r="403">
          <cell r="A403" t="str">
            <v>Washington D.C.</v>
          </cell>
          <cell r="B403">
            <v>46.32</v>
          </cell>
          <cell r="C403">
            <v>108.79</v>
          </cell>
          <cell r="D403">
            <v>75.599999999999994</v>
          </cell>
        </row>
        <row r="404">
          <cell r="A404" t="str">
            <v>Lyon</v>
          </cell>
          <cell r="B404">
            <v>66.193237344452413</v>
          </cell>
          <cell r="C404">
            <v>128.12995417725367</v>
          </cell>
          <cell r="D404">
            <v>38.004647425456596</v>
          </cell>
        </row>
        <row r="405">
          <cell r="A405" t="str">
            <v>Cardiff</v>
          </cell>
          <cell r="B405">
            <v>50.696337779087763</v>
          </cell>
          <cell r="C405">
            <v>192.74924471299093</v>
          </cell>
          <cell r="D405">
            <v>0</v>
          </cell>
        </row>
        <row r="406">
          <cell r="A406" t="str">
            <v>Scotland: Band C</v>
          </cell>
          <cell r="B406">
            <v>0</v>
          </cell>
          <cell r="C406">
            <v>0</v>
          </cell>
          <cell r="D406">
            <v>249.11944587723823</v>
          </cell>
        </row>
        <row r="407">
          <cell r="A407" t="str">
            <v>Le Havre</v>
          </cell>
          <cell r="B407">
            <v>32.977175494603344</v>
          </cell>
          <cell r="C407">
            <v>163.96290746411276</v>
          </cell>
          <cell r="D407">
            <v>56.464047603535519</v>
          </cell>
        </row>
        <row r="408">
          <cell r="A408" t="str">
            <v>Turku</v>
          </cell>
          <cell r="B408">
            <v>117.27148348426608</v>
          </cell>
          <cell r="C408">
            <v>137.90257780094251</v>
          </cell>
          <cell r="D408">
            <v>0</v>
          </cell>
        </row>
        <row r="409">
          <cell r="A409" t="str">
            <v>Nancy</v>
          </cell>
          <cell r="B409">
            <v>45.76845397094273</v>
          </cell>
          <cell r="C409">
            <v>160.70536625621648</v>
          </cell>
          <cell r="D409">
            <v>49.948965187742957</v>
          </cell>
        </row>
        <row r="410">
          <cell r="A410" t="str">
            <v>Esbjerg</v>
          </cell>
          <cell r="B410">
            <v>96.32243279618784</v>
          </cell>
          <cell r="C410">
            <v>70.626750572914773</v>
          </cell>
          <cell r="D410">
            <v>95.012913317085591</v>
          </cell>
        </row>
        <row r="411">
          <cell r="A411" t="str">
            <v>Birmingham</v>
          </cell>
          <cell r="B411">
            <v>43.504531722054381</v>
          </cell>
          <cell r="C411">
            <v>218.68690590229164</v>
          </cell>
          <cell r="D411">
            <v>0</v>
          </cell>
        </row>
        <row r="412">
          <cell r="A412" t="str">
            <v>Calgary</v>
          </cell>
          <cell r="B412">
            <v>136.39208407967715</v>
          </cell>
          <cell r="C412">
            <v>127.31366582500665</v>
          </cell>
          <cell r="D412">
            <v>0</v>
          </cell>
        </row>
        <row r="413">
          <cell r="A413" t="str">
            <v>Bern</v>
          </cell>
          <cell r="B413">
            <v>4.8227658512231653</v>
          </cell>
          <cell r="C413">
            <v>259.61058412381425</v>
          </cell>
          <cell r="D413">
            <v>0</v>
          </cell>
        </row>
        <row r="414">
          <cell r="A414" t="str">
            <v>Copenhagen</v>
          </cell>
          <cell r="B414">
            <v>55.872831108362739</v>
          </cell>
          <cell r="C414">
            <v>126.15037648685025</v>
          </cell>
          <cell r="D414">
            <v>95.012913317085591</v>
          </cell>
        </row>
        <row r="415">
          <cell r="A415" t="str">
            <v>Scotland: Band D</v>
          </cell>
          <cell r="B415">
            <v>0</v>
          </cell>
          <cell r="C415">
            <v>0</v>
          </cell>
          <cell r="D415">
            <v>280.259376611893</v>
          </cell>
        </row>
        <row r="416">
          <cell r="A416" t="str">
            <v>Odense</v>
          </cell>
          <cell r="B416">
            <v>69.841038885453429</v>
          </cell>
          <cell r="C416">
            <v>127.31439380160781</v>
          </cell>
          <cell r="D416">
            <v>95.012913317085591</v>
          </cell>
        </row>
        <row r="417">
          <cell r="A417" t="str">
            <v>Aalborg</v>
          </cell>
          <cell r="B417">
            <v>141.87043032265103</v>
          </cell>
          <cell r="C417">
            <v>63.991851878796702</v>
          </cell>
          <cell r="D417">
            <v>95.012913317085591</v>
          </cell>
        </row>
        <row r="418">
          <cell r="A418" t="str">
            <v>Manchester</v>
          </cell>
          <cell r="B418">
            <v>51.271092771350673</v>
          </cell>
          <cell r="C418">
            <v>257.90288114361505</v>
          </cell>
          <cell r="D418">
            <v>0</v>
          </cell>
        </row>
        <row r="419">
          <cell r="A419" t="str">
            <v>New York</v>
          </cell>
          <cell r="B419">
            <v>178.85</v>
          </cell>
          <cell r="C419">
            <v>134.55000000000001</v>
          </cell>
          <cell r="D419">
            <v>0</v>
          </cell>
        </row>
        <row r="420">
          <cell r="A420" t="str">
            <v>Geneva</v>
          </cell>
          <cell r="B420">
            <v>197.70344483275088</v>
          </cell>
          <cell r="C420">
            <v>128.80678981527709</v>
          </cell>
          <cell r="D420">
            <v>0</v>
          </cell>
        </row>
        <row r="421">
          <cell r="A421" t="str">
            <v>Lausanne</v>
          </cell>
          <cell r="B421">
            <v>135.79630554168747</v>
          </cell>
          <cell r="C421">
            <v>191.71243135297053</v>
          </cell>
          <cell r="D421">
            <v>0</v>
          </cell>
        </row>
        <row r="422">
          <cell r="A422" t="str">
            <v>Aarhus</v>
          </cell>
          <cell r="B422">
            <v>80.026190389582041</v>
          </cell>
          <cell r="C422">
            <v>155.83281801316795</v>
          </cell>
          <cell r="D422">
            <v>95.012913317085591</v>
          </cell>
        </row>
        <row r="423">
          <cell r="A423" t="str">
            <v>Scotland: Band E</v>
          </cell>
          <cell r="B423">
            <v>0</v>
          </cell>
          <cell r="C423">
            <v>0</v>
          </cell>
          <cell r="D423">
            <v>342.5392380812026</v>
          </cell>
        </row>
        <row r="424">
          <cell r="A424" t="str">
            <v>Charleroi</v>
          </cell>
          <cell r="B424">
            <v>113.74248050904511</v>
          </cell>
          <cell r="C424">
            <v>241.81814233283384</v>
          </cell>
          <cell r="D424">
            <v>0</v>
          </cell>
        </row>
        <row r="425">
          <cell r="A425" t="str">
            <v>Liège</v>
          </cell>
          <cell r="B425">
            <v>114.1008100419137</v>
          </cell>
          <cell r="C425">
            <v>243.34918670054512</v>
          </cell>
          <cell r="D425">
            <v>0</v>
          </cell>
        </row>
        <row r="426">
          <cell r="A426" t="str">
            <v>Scotland: Band F</v>
          </cell>
          <cell r="B426">
            <v>0</v>
          </cell>
          <cell r="C426">
            <v>0</v>
          </cell>
          <cell r="D426">
            <v>404.81909955051214</v>
          </cell>
        </row>
        <row r="427">
          <cell r="A427" t="str">
            <v>Vancouver</v>
          </cell>
          <cell r="B427">
            <v>408.60075821337881</v>
          </cell>
          <cell r="C427">
            <v>0</v>
          </cell>
          <cell r="D427">
            <v>0</v>
          </cell>
        </row>
        <row r="428">
          <cell r="A428" t="str">
            <v>Scotland: Band G</v>
          </cell>
          <cell r="B428">
            <v>0</v>
          </cell>
          <cell r="C428">
            <v>0</v>
          </cell>
          <cell r="D428">
            <v>467.09896101982167</v>
          </cell>
        </row>
        <row r="429">
          <cell r="A429" t="str">
            <v>Scotland: Band H</v>
          </cell>
          <cell r="B429">
            <v>0</v>
          </cell>
          <cell r="C429">
            <v>0</v>
          </cell>
          <cell r="D429">
            <v>560.51875322378601</v>
          </cell>
        </row>
      </sheetData>
      <sheetData sheetId="8" refreshError="1"/>
      <sheetData sheetId="9" refreshError="1"/>
      <sheetData sheetId="10">
        <row r="273">
          <cell r="B273" t="str">
            <v>FIXED CHARGE</v>
          </cell>
          <cell r="C273" t="str">
            <v>VARIABLE CHARGE</v>
          </cell>
          <cell r="D273" t="str">
            <v>OTHER CHARGES DRINKING WATER</v>
          </cell>
          <cell r="E273" t="str">
            <v>TOTAL CHARGE DRINKING WATER</v>
          </cell>
        </row>
        <row r="274">
          <cell r="A274" t="str">
            <v>Guadalajara</v>
          </cell>
          <cell r="B274">
            <v>0</v>
          </cell>
          <cell r="C274">
            <v>0.99576049181305393</v>
          </cell>
          <cell r="D274">
            <v>0</v>
          </cell>
        </row>
        <row r="275">
          <cell r="A275" t="str">
            <v>San Luis Potosi</v>
          </cell>
          <cell r="B275">
            <v>0.12736471406911157</v>
          </cell>
          <cell r="C275">
            <v>0.97260327107321554</v>
          </cell>
          <cell r="D275">
            <v>0</v>
          </cell>
        </row>
        <row r="276">
          <cell r="A276" t="str">
            <v>Monterrey</v>
          </cell>
          <cell r="B276">
            <v>0.21999359702846541</v>
          </cell>
          <cell r="C276">
            <v>1.0304963229228117</v>
          </cell>
          <cell r="D276">
            <v>0</v>
          </cell>
        </row>
        <row r="277">
          <cell r="A277" t="str">
            <v>Puebla</v>
          </cell>
          <cell r="B277">
            <v>0.27788664887806158</v>
          </cell>
          <cell r="C277">
            <v>1.2620685303211963</v>
          </cell>
          <cell r="D277">
            <v>0</v>
          </cell>
        </row>
        <row r="278">
          <cell r="A278" t="str">
            <v>León, Guanajuato</v>
          </cell>
          <cell r="B278">
            <v>0.37051553183741548</v>
          </cell>
          <cell r="C278">
            <v>2.1188856976952195</v>
          </cell>
          <cell r="D278">
            <v>0</v>
          </cell>
        </row>
        <row r="279">
          <cell r="A279" t="str">
            <v>Mauritius</v>
          </cell>
          <cell r="B279">
            <v>18.410098329450939</v>
          </cell>
          <cell r="C279">
            <v>20.418472692663769</v>
          </cell>
          <cell r="D279">
            <v>0</v>
          </cell>
        </row>
        <row r="280">
          <cell r="A280" t="str">
            <v>Kenya Average</v>
          </cell>
          <cell r="B280">
            <v>5.8330000421920332</v>
          </cell>
          <cell r="C280">
            <v>44.749609723688842</v>
          </cell>
          <cell r="D280">
            <v>0</v>
          </cell>
        </row>
        <row r="281">
          <cell r="A281" t="str">
            <v>Taipei</v>
          </cell>
          <cell r="B281">
            <v>23.588728700587662</v>
          </cell>
          <cell r="C281">
            <v>28.911313638156159</v>
          </cell>
          <cell r="D281">
            <v>0</v>
          </cell>
        </row>
        <row r="282">
          <cell r="A282" t="str">
            <v>Kafubu</v>
          </cell>
          <cell r="B282">
            <v>0.45205790319270417</v>
          </cell>
          <cell r="C282">
            <v>60.485347447183813</v>
          </cell>
          <cell r="D282">
            <v>0</v>
          </cell>
        </row>
        <row r="283">
          <cell r="A283" t="str">
            <v>Miami</v>
          </cell>
          <cell r="B283">
            <v>38.4</v>
          </cell>
          <cell r="C283">
            <v>26.24</v>
          </cell>
          <cell r="D283">
            <v>0</v>
          </cell>
        </row>
        <row r="284">
          <cell r="A284" t="str">
            <v>Thailand Average</v>
          </cell>
          <cell r="E284">
            <v>66.274095207430534</v>
          </cell>
        </row>
        <row r="285">
          <cell r="A285" t="str">
            <v>Mulonga</v>
          </cell>
          <cell r="B285">
            <v>0.45205790319270417</v>
          </cell>
          <cell r="C285">
            <v>67.933453460186811</v>
          </cell>
          <cell r="D285">
            <v>0</v>
          </cell>
        </row>
        <row r="286">
          <cell r="A286" t="str">
            <v>Russia Average</v>
          </cell>
          <cell r="B286">
            <v>0</v>
          </cell>
          <cell r="C286">
            <v>69.373075082106553</v>
          </cell>
          <cell r="D286">
            <v>6.2194660519898051</v>
          </cell>
        </row>
        <row r="287">
          <cell r="A287" t="str">
            <v>Kaohsiung</v>
          </cell>
          <cell r="B287">
            <v>28.548410119685581</v>
          </cell>
          <cell r="C287">
            <v>47.177457401175324</v>
          </cell>
          <cell r="D287">
            <v>2.3588728700587662</v>
          </cell>
        </row>
        <row r="288">
          <cell r="A288" t="str">
            <v>Lusaka</v>
          </cell>
          <cell r="B288">
            <v>0.90411580638540834</v>
          </cell>
          <cell r="C288">
            <v>82.182318568820847</v>
          </cell>
          <cell r="D288">
            <v>0</v>
          </cell>
        </row>
        <row r="289">
          <cell r="A289" t="str">
            <v>Daejeon</v>
          </cell>
          <cell r="B289">
            <v>0</v>
          </cell>
          <cell r="C289">
            <v>86.322270986620239</v>
          </cell>
          <cell r="D289">
            <v>0</v>
          </cell>
        </row>
        <row r="290">
          <cell r="A290" t="str">
            <v>Gwangju</v>
          </cell>
          <cell r="B290">
            <v>0</v>
          </cell>
          <cell r="C290">
            <v>90.043657489822451</v>
          </cell>
          <cell r="D290">
            <v>0</v>
          </cell>
        </row>
        <row r="291">
          <cell r="A291" t="str">
            <v>Seoul</v>
          </cell>
          <cell r="B291">
            <v>0</v>
          </cell>
          <cell r="C291">
            <v>97.313579210559041</v>
          </cell>
          <cell r="D291">
            <v>0</v>
          </cell>
        </row>
        <row r="292">
          <cell r="A292" t="str">
            <v>Daegu</v>
          </cell>
          <cell r="B292">
            <v>0</v>
          </cell>
          <cell r="C292">
            <v>98.111745441437108</v>
          </cell>
          <cell r="D292">
            <v>0</v>
          </cell>
        </row>
        <row r="293">
          <cell r="A293" t="str">
            <v>Gran Santiago</v>
          </cell>
          <cell r="B293">
            <v>10.266807607901336</v>
          </cell>
          <cell r="C293">
            <v>94.520731356743156</v>
          </cell>
          <cell r="D293">
            <v>0</v>
          </cell>
        </row>
        <row r="294">
          <cell r="A294" t="str">
            <v>Gyeounggi</v>
          </cell>
          <cell r="B294">
            <v>0</v>
          </cell>
          <cell r="C294">
            <v>107.49994272182887</v>
          </cell>
          <cell r="D294">
            <v>0</v>
          </cell>
        </row>
        <row r="295">
          <cell r="A295" t="str">
            <v>Incheon</v>
          </cell>
          <cell r="B295">
            <v>0</v>
          </cell>
          <cell r="C295">
            <v>112.47195911545151</v>
          </cell>
          <cell r="D295">
            <v>0</v>
          </cell>
        </row>
        <row r="296">
          <cell r="A296" t="str">
            <v>Hong Kong</v>
          </cell>
          <cell r="B296">
            <v>0</v>
          </cell>
          <cell r="C296">
            <v>114.49633598349713</v>
          </cell>
          <cell r="D296">
            <v>0</v>
          </cell>
        </row>
        <row r="297">
          <cell r="A297" t="str">
            <v>NWWSC of Zambia</v>
          </cell>
          <cell r="B297">
            <v>0.45205790319270417</v>
          </cell>
          <cell r="C297">
            <v>119.28723126287801</v>
          </cell>
          <cell r="D297">
            <v>0</v>
          </cell>
        </row>
        <row r="298">
          <cell r="A298" t="str">
            <v>Busan</v>
          </cell>
          <cell r="B298">
            <v>0</v>
          </cell>
          <cell r="C298">
            <v>121.17891897585818</v>
          </cell>
          <cell r="D298">
            <v>0</v>
          </cell>
        </row>
        <row r="299">
          <cell r="A299" t="str">
            <v>Budapest</v>
          </cell>
          <cell r="B299">
            <v>5.8529268955314864</v>
          </cell>
          <cell r="C299">
            <v>118.71112903407392</v>
          </cell>
          <cell r="D299">
            <v>0</v>
          </cell>
        </row>
        <row r="300">
          <cell r="A300" t="str">
            <v>Concepcion</v>
          </cell>
          <cell r="B300">
            <v>10.80827622831805</v>
          </cell>
          <cell r="C300">
            <v>115.19076853665082</v>
          </cell>
          <cell r="D300">
            <v>0</v>
          </cell>
        </row>
        <row r="301">
          <cell r="A301" t="str">
            <v>Giurgiu</v>
          </cell>
          <cell r="B301">
            <v>0</v>
          </cell>
          <cell r="C301">
            <v>129.34286638163331</v>
          </cell>
          <cell r="D301">
            <v>0</v>
          </cell>
        </row>
        <row r="302">
          <cell r="A302" t="str">
            <v>Sibiu</v>
          </cell>
          <cell r="B302">
            <v>0</v>
          </cell>
          <cell r="C302">
            <v>133.17524760775578</v>
          </cell>
          <cell r="D302">
            <v>0</v>
          </cell>
        </row>
        <row r="303">
          <cell r="A303" t="str">
            <v>Temuco</v>
          </cell>
          <cell r="B303">
            <v>18.17506228998753</v>
          </cell>
          <cell r="C303">
            <v>120.2116593805149</v>
          </cell>
          <cell r="D303">
            <v>0</v>
          </cell>
        </row>
        <row r="304">
          <cell r="A304" t="str">
            <v>Kampala</v>
          </cell>
          <cell r="B304">
            <v>6.2107469240751092</v>
          </cell>
          <cell r="C304">
            <v>134.41830842819701</v>
          </cell>
          <cell r="D304">
            <v>0</v>
          </cell>
        </row>
        <row r="305">
          <cell r="A305" t="str">
            <v>Apaserv SA Valea Jiului</v>
          </cell>
          <cell r="B305">
            <v>0</v>
          </cell>
          <cell r="C305">
            <v>142.75620067306195</v>
          </cell>
          <cell r="D305">
            <v>0</v>
          </cell>
        </row>
        <row r="306">
          <cell r="A306" t="str">
            <v>Entebbe</v>
          </cell>
          <cell r="B306">
            <v>6.8004827155024818</v>
          </cell>
          <cell r="C306">
            <v>136.9877455254429</v>
          </cell>
          <cell r="D306">
            <v>0</v>
          </cell>
        </row>
        <row r="307">
          <cell r="A307" t="str">
            <v>Jinja</v>
          </cell>
          <cell r="B307">
            <v>5.6983294343154336</v>
          </cell>
          <cell r="C307">
            <v>138.68110452774681</v>
          </cell>
          <cell r="D307">
            <v>0</v>
          </cell>
        </row>
        <row r="308">
          <cell r="A308" t="str">
            <v>Calarasi</v>
          </cell>
          <cell r="B308">
            <v>0</v>
          </cell>
          <cell r="C308">
            <v>144.6723912861232</v>
          </cell>
          <cell r="D308">
            <v>0</v>
          </cell>
        </row>
        <row r="309">
          <cell r="A309" t="str">
            <v>Baia Mare</v>
          </cell>
          <cell r="B309">
            <v>0</v>
          </cell>
          <cell r="C309">
            <v>145.1514389393885</v>
          </cell>
          <cell r="D309">
            <v>0</v>
          </cell>
        </row>
        <row r="310">
          <cell r="A310" t="str">
            <v>Deva</v>
          </cell>
          <cell r="B310">
            <v>0</v>
          </cell>
          <cell r="C310">
            <v>146.10953424591912</v>
          </cell>
          <cell r="D310">
            <v>0</v>
          </cell>
        </row>
        <row r="311">
          <cell r="A311" t="str">
            <v>Craiova</v>
          </cell>
          <cell r="B311">
            <v>0</v>
          </cell>
          <cell r="C311">
            <v>146.58858189918442</v>
          </cell>
          <cell r="D311">
            <v>0</v>
          </cell>
        </row>
        <row r="312">
          <cell r="A312" t="str">
            <v>Mbarara</v>
          </cell>
          <cell r="B312">
            <v>6.0869788442192148</v>
          </cell>
          <cell r="C312">
            <v>141.14617661703821</v>
          </cell>
          <cell r="D312">
            <v>0</v>
          </cell>
        </row>
        <row r="313">
          <cell r="A313" t="str">
            <v>Ulsan</v>
          </cell>
          <cell r="B313">
            <v>0</v>
          </cell>
          <cell r="C313">
            <v>147.76412455975458</v>
          </cell>
          <cell r="D313">
            <v>0</v>
          </cell>
        </row>
        <row r="314">
          <cell r="A314" t="str">
            <v>Miercurea Ciuc</v>
          </cell>
          <cell r="B314">
            <v>0</v>
          </cell>
          <cell r="C314">
            <v>148.02572485898034</v>
          </cell>
          <cell r="D314">
            <v>0</v>
          </cell>
        </row>
        <row r="315">
          <cell r="A315" t="str">
            <v>Severin</v>
          </cell>
          <cell r="B315">
            <v>0</v>
          </cell>
          <cell r="C315">
            <v>148.98382016551096</v>
          </cell>
          <cell r="D315">
            <v>0</v>
          </cell>
        </row>
        <row r="316">
          <cell r="A316" t="str">
            <v>Kaposvár</v>
          </cell>
          <cell r="B316">
            <v>0</v>
          </cell>
          <cell r="C316">
            <v>149.97264445255973</v>
          </cell>
          <cell r="D316">
            <v>0</v>
          </cell>
        </row>
        <row r="317">
          <cell r="A317" t="str">
            <v>Medias</v>
          </cell>
          <cell r="B317">
            <v>0</v>
          </cell>
          <cell r="C317">
            <v>152.81620139163343</v>
          </cell>
          <cell r="D317">
            <v>0</v>
          </cell>
        </row>
        <row r="318">
          <cell r="A318" t="str">
            <v>Iasi</v>
          </cell>
          <cell r="B318">
            <v>0</v>
          </cell>
          <cell r="C318">
            <v>153.29524904489875</v>
          </cell>
          <cell r="D318">
            <v>0</v>
          </cell>
        </row>
        <row r="319">
          <cell r="A319" t="str">
            <v>Nagoya</v>
          </cell>
          <cell r="B319">
            <v>62.341061463798042</v>
          </cell>
          <cell r="C319">
            <v>96.154853201762108</v>
          </cell>
          <cell r="D319">
            <v>0</v>
          </cell>
        </row>
        <row r="320">
          <cell r="A320" t="str">
            <v>Osaka</v>
          </cell>
          <cell r="B320">
            <v>84.783843590765343</v>
          </cell>
          <cell r="C320">
            <v>74.47678809541739</v>
          </cell>
          <cell r="D320">
            <v>0</v>
          </cell>
        </row>
        <row r="321">
          <cell r="A321" t="str">
            <v>Bilbao</v>
          </cell>
          <cell r="B321">
            <v>35.756943992008168</v>
          </cell>
          <cell r="C321">
            <v>125.73023215410342</v>
          </cell>
          <cell r="D321">
            <v>0</v>
          </cell>
        </row>
        <row r="322">
          <cell r="A322" t="str">
            <v>Hiroshima</v>
          </cell>
          <cell r="B322">
            <v>80.794015657082269</v>
          </cell>
          <cell r="C322">
            <v>85.781300574186105</v>
          </cell>
          <cell r="D322">
            <v>0</v>
          </cell>
        </row>
        <row r="323">
          <cell r="A323" t="str">
            <v>Suceava</v>
          </cell>
          <cell r="B323">
            <v>0</v>
          </cell>
          <cell r="C323">
            <v>168.14572629612331</v>
          </cell>
          <cell r="D323">
            <v>0</v>
          </cell>
        </row>
        <row r="324">
          <cell r="A324" t="str">
            <v>Brasov</v>
          </cell>
          <cell r="B324">
            <v>0</v>
          </cell>
          <cell r="C324">
            <v>168.62477394938861</v>
          </cell>
          <cell r="D324">
            <v>0</v>
          </cell>
        </row>
        <row r="325">
          <cell r="A325" t="str">
            <v>Thessaloniki</v>
          </cell>
          <cell r="B325">
            <v>26.06032966317024</v>
          </cell>
          <cell r="C325">
            <v>143.98332138901557</v>
          </cell>
          <cell r="D325">
            <v>0</v>
          </cell>
        </row>
        <row r="326">
          <cell r="A326" t="str">
            <v>Faro</v>
          </cell>
          <cell r="B326">
            <v>35.561491519534393</v>
          </cell>
          <cell r="C326">
            <v>135.11195083284471</v>
          </cell>
          <cell r="D326">
            <v>0</v>
          </cell>
        </row>
        <row r="327">
          <cell r="A327" t="str">
            <v>Miskolc</v>
          </cell>
          <cell r="B327">
            <v>0</v>
          </cell>
          <cell r="C327">
            <v>171.53895861350634</v>
          </cell>
          <cell r="D327">
            <v>0</v>
          </cell>
        </row>
        <row r="328">
          <cell r="A328" t="str">
            <v>Debrecen</v>
          </cell>
          <cell r="B328">
            <v>4.2382076519995646</v>
          </cell>
          <cell r="C328">
            <v>168.63315255478366</v>
          </cell>
          <cell r="D328">
            <v>0</v>
          </cell>
        </row>
        <row r="329">
          <cell r="A329" t="str">
            <v>Bialystok</v>
          </cell>
          <cell r="B329">
            <v>0</v>
          </cell>
          <cell r="C329">
            <v>173.0773610257111</v>
          </cell>
          <cell r="D329">
            <v>0</v>
          </cell>
        </row>
        <row r="330">
          <cell r="A330" t="str">
            <v>Tarnow</v>
          </cell>
          <cell r="B330">
            <v>0</v>
          </cell>
          <cell r="C330">
            <v>159.41335883947076</v>
          </cell>
          <cell r="D330">
            <v>14.028375577873426</v>
          </cell>
        </row>
        <row r="331">
          <cell r="A331" t="str">
            <v>Sevilla</v>
          </cell>
          <cell r="B331">
            <v>50.339870132690514</v>
          </cell>
          <cell r="C331">
            <v>123.66712272243578</v>
          </cell>
          <cell r="D331">
            <v>0</v>
          </cell>
        </row>
        <row r="332">
          <cell r="A332" t="str">
            <v>Eindhoven</v>
          </cell>
          <cell r="B332">
            <v>76.487067561404658</v>
          </cell>
          <cell r="C332">
            <v>100.22368449627554</v>
          </cell>
          <cell r="D332">
            <v>0</v>
          </cell>
        </row>
        <row r="333">
          <cell r="A333" t="str">
            <v>Constanta</v>
          </cell>
          <cell r="B333">
            <v>0</v>
          </cell>
          <cell r="C333">
            <v>176.76858405489887</v>
          </cell>
          <cell r="D333">
            <v>0</v>
          </cell>
        </row>
        <row r="334">
          <cell r="A334" t="str">
            <v>Madrid</v>
          </cell>
          <cell r="B334">
            <v>66.486416053163069</v>
          </cell>
          <cell r="C334">
            <v>113.72076356765913</v>
          </cell>
          <cell r="D334">
            <v>0</v>
          </cell>
        </row>
        <row r="335">
          <cell r="A335" t="str">
            <v>Resita</v>
          </cell>
          <cell r="B335">
            <v>0</v>
          </cell>
          <cell r="C335">
            <v>184.4333465071438</v>
          </cell>
          <cell r="D335">
            <v>0</v>
          </cell>
        </row>
        <row r="336">
          <cell r="A336" t="str">
            <v>Yokohama</v>
          </cell>
          <cell r="B336">
            <v>78.799101690240732</v>
          </cell>
          <cell r="C336">
            <v>113.64359897773959</v>
          </cell>
          <cell r="D336">
            <v>0</v>
          </cell>
        </row>
        <row r="337">
          <cell r="A337" t="str">
            <v>Fukuoka</v>
          </cell>
          <cell r="B337">
            <v>84.783843590765343</v>
          </cell>
          <cell r="C337">
            <v>109.72026817628456</v>
          </cell>
          <cell r="D337">
            <v>0</v>
          </cell>
        </row>
        <row r="338">
          <cell r="A338" t="str">
            <v>Utrecht</v>
          </cell>
          <cell r="B338">
            <v>48.863118118444199</v>
          </cell>
          <cell r="C338">
            <v>147.67520142463135</v>
          </cell>
          <cell r="D338">
            <v>0</v>
          </cell>
        </row>
        <row r="339">
          <cell r="A339" t="str">
            <v>Valencia</v>
          </cell>
          <cell r="B339">
            <v>77.008274154668058</v>
          </cell>
          <cell r="C339">
            <v>121.41941928898733</v>
          </cell>
          <cell r="D339">
            <v>0</v>
          </cell>
        </row>
        <row r="340">
          <cell r="A340" t="str">
            <v>Chicago</v>
          </cell>
          <cell r="B340">
            <v>0</v>
          </cell>
          <cell r="C340">
            <v>201.31</v>
          </cell>
          <cell r="D340">
            <v>0</v>
          </cell>
        </row>
        <row r="341">
          <cell r="A341" t="str">
            <v>Valparaiso</v>
          </cell>
          <cell r="B341">
            <v>17.885341417764561</v>
          </cell>
          <cell r="C341">
            <v>190.04704729426021</v>
          </cell>
          <cell r="D341">
            <v>0</v>
          </cell>
        </row>
        <row r="342">
          <cell r="A342" t="str">
            <v>Vina del Mar</v>
          </cell>
          <cell r="B342">
            <v>17.885341417764561</v>
          </cell>
          <cell r="C342">
            <v>190.04704729426021</v>
          </cell>
          <cell r="D342">
            <v>0</v>
          </cell>
        </row>
        <row r="343">
          <cell r="A343" t="str">
            <v>Buzau</v>
          </cell>
          <cell r="B343">
            <v>0</v>
          </cell>
          <cell r="C343">
            <v>210.78096743673578</v>
          </cell>
          <cell r="D343">
            <v>0</v>
          </cell>
        </row>
        <row r="344">
          <cell r="A344" t="str">
            <v>Tokyo</v>
          </cell>
          <cell r="B344">
            <v>116.70246706022994</v>
          </cell>
          <cell r="C344">
            <v>96.088356069534058</v>
          </cell>
          <cell r="D344">
            <v>0</v>
          </cell>
        </row>
        <row r="345">
          <cell r="A345" t="str">
            <v>Lisbon</v>
          </cell>
          <cell r="B345">
            <v>55.899407127500162</v>
          </cell>
          <cell r="C345">
            <v>134.22155623601972</v>
          </cell>
          <cell r="D345">
            <v>24.14923882120442</v>
          </cell>
        </row>
        <row r="346">
          <cell r="A346" t="str">
            <v>Wroclaw</v>
          </cell>
          <cell r="B346">
            <v>0</v>
          </cell>
          <cell r="C346">
            <v>217.10581251470779</v>
          </cell>
          <cell r="D346">
            <v>0</v>
          </cell>
        </row>
        <row r="347">
          <cell r="A347" t="str">
            <v>Bucharest</v>
          </cell>
          <cell r="B347">
            <v>0</v>
          </cell>
          <cell r="C347">
            <v>219.88287284877663</v>
          </cell>
          <cell r="D347">
            <v>0</v>
          </cell>
        </row>
        <row r="348">
          <cell r="A348" t="str">
            <v>Coimbra</v>
          </cell>
          <cell r="B348">
            <v>50.752492019024046</v>
          </cell>
          <cell r="C348">
            <v>176.29813017134668</v>
          </cell>
          <cell r="D348">
            <v>0</v>
          </cell>
        </row>
        <row r="349">
          <cell r="A349" t="str">
            <v>Braga</v>
          </cell>
          <cell r="B349">
            <v>61.111473060134216</v>
          </cell>
          <cell r="C349">
            <v>167.00327925814929</v>
          </cell>
          <cell r="D349">
            <v>0</v>
          </cell>
        </row>
        <row r="350">
          <cell r="A350" t="str">
            <v>Serres</v>
          </cell>
          <cell r="B350">
            <v>86.324842009251412</v>
          </cell>
          <cell r="C350">
            <v>81.351662431863105</v>
          </cell>
          <cell r="D350">
            <v>65.074814863074693</v>
          </cell>
        </row>
        <row r="351">
          <cell r="A351" t="str">
            <v>Pécs</v>
          </cell>
          <cell r="B351">
            <v>0</v>
          </cell>
          <cell r="C351">
            <v>234.11707582125948</v>
          </cell>
          <cell r="D351">
            <v>0</v>
          </cell>
        </row>
        <row r="352">
          <cell r="A352" t="str">
            <v>Alexandroupolis</v>
          </cell>
          <cell r="B352">
            <v>55.378200534236761</v>
          </cell>
          <cell r="C352">
            <v>184.5940017807892</v>
          </cell>
          <cell r="D352">
            <v>0</v>
          </cell>
        </row>
        <row r="353">
          <cell r="A353" t="str">
            <v>Trondheim</v>
          </cell>
          <cell r="B353">
            <v>33.858898682888842</v>
          </cell>
          <cell r="C353">
            <v>186.44966874710786</v>
          </cell>
          <cell r="D353">
            <v>20.8345089895376</v>
          </cell>
        </row>
        <row r="354">
          <cell r="A354" t="str">
            <v>Denver</v>
          </cell>
          <cell r="B354">
            <v>105.48</v>
          </cell>
          <cell r="C354">
            <v>137.37</v>
          </cell>
          <cell r="D354">
            <v>0</v>
          </cell>
        </row>
        <row r="355">
          <cell r="A355" t="str">
            <v>Igoumenitsa</v>
          </cell>
          <cell r="B355">
            <v>52.989336981779488</v>
          </cell>
          <cell r="C355">
            <v>108.58470692987599</v>
          </cell>
          <cell r="D355">
            <v>86.867765543900802</v>
          </cell>
        </row>
        <row r="356">
          <cell r="A356" t="str">
            <v>Porto</v>
          </cell>
          <cell r="B356">
            <v>44.639173018872022</v>
          </cell>
          <cell r="C356">
            <v>206.57154646339612</v>
          </cell>
          <cell r="D356">
            <v>0</v>
          </cell>
        </row>
        <row r="357">
          <cell r="A357" t="str">
            <v>Sintra</v>
          </cell>
          <cell r="B357">
            <v>53.032770864551445</v>
          </cell>
          <cell r="C357">
            <v>199.22036180424348</v>
          </cell>
          <cell r="D357">
            <v>0</v>
          </cell>
        </row>
        <row r="358">
          <cell r="A358" t="str">
            <v>Oslo</v>
          </cell>
          <cell r="B358">
            <v>35.438980621423653</v>
          </cell>
          <cell r="C358">
            <v>225.04881324560114</v>
          </cell>
          <cell r="D358">
            <v>0</v>
          </cell>
        </row>
        <row r="359">
          <cell r="A359" t="str">
            <v>Loures</v>
          </cell>
          <cell r="B359">
            <v>40.328360153755945</v>
          </cell>
          <cell r="C359">
            <v>226.44254783156339</v>
          </cell>
          <cell r="D359">
            <v>0</v>
          </cell>
        </row>
        <row r="360">
          <cell r="A360" t="str">
            <v>Antwerp</v>
          </cell>
          <cell r="B360">
            <v>73.663865181227877</v>
          </cell>
          <cell r="C360">
            <v>195.30045388407498</v>
          </cell>
          <cell r="D360">
            <v>0</v>
          </cell>
        </row>
        <row r="361">
          <cell r="A361" t="str">
            <v>Sapporo</v>
          </cell>
          <cell r="B361">
            <v>131.66432181154147</v>
          </cell>
          <cell r="C361">
            <v>139.64397767890762</v>
          </cell>
          <cell r="D361">
            <v>0</v>
          </cell>
        </row>
        <row r="362">
          <cell r="A362" t="str">
            <v>Genk</v>
          </cell>
          <cell r="B362">
            <v>57.75620561600104</v>
          </cell>
          <cell r="C362">
            <v>214.45479618650509</v>
          </cell>
          <cell r="D362">
            <v>0</v>
          </cell>
        </row>
        <row r="363">
          <cell r="A363" t="str">
            <v>Rotterdam</v>
          </cell>
          <cell r="B363">
            <v>64.890220861293898</v>
          </cell>
          <cell r="C363">
            <v>198.49284426781333</v>
          </cell>
          <cell r="D363">
            <v>9.1754077355745203</v>
          </cell>
        </row>
        <row r="364">
          <cell r="A364" t="str">
            <v>Durham</v>
          </cell>
          <cell r="B364">
            <v>136.91002870276452</v>
          </cell>
          <cell r="C364">
            <v>135.81659005402452</v>
          </cell>
          <cell r="D364">
            <v>0</v>
          </cell>
        </row>
        <row r="365">
          <cell r="A365" t="str">
            <v>Espoo</v>
          </cell>
          <cell r="B365">
            <v>41.902838404239155</v>
          </cell>
          <cell r="C365">
            <v>234.54296696853217</v>
          </cell>
          <cell r="D365">
            <v>0</v>
          </cell>
        </row>
        <row r="366">
          <cell r="A366" t="str">
            <v>Helsinki</v>
          </cell>
          <cell r="B366">
            <v>41.902838404239155</v>
          </cell>
          <cell r="C366">
            <v>234.54296696853217</v>
          </cell>
          <cell r="D366">
            <v>0</v>
          </cell>
        </row>
        <row r="367">
          <cell r="A367" t="str">
            <v>Vantaa</v>
          </cell>
          <cell r="B367">
            <v>41.902838404239155</v>
          </cell>
          <cell r="C367">
            <v>234.54296696853217</v>
          </cell>
          <cell r="D367">
            <v>0</v>
          </cell>
        </row>
        <row r="368">
          <cell r="A368" t="str">
            <v>Bergen</v>
          </cell>
          <cell r="B368">
            <v>277.53010620407883</v>
          </cell>
          <cell r="C368">
            <v>0</v>
          </cell>
          <cell r="D368">
            <v>0</v>
          </cell>
        </row>
        <row r="369">
          <cell r="A369" t="str">
            <v>Paphos</v>
          </cell>
          <cell r="B369">
            <v>52.12065932634048</v>
          </cell>
          <cell r="C369">
            <v>226.50769865572133</v>
          </cell>
          <cell r="D369">
            <v>0</v>
          </cell>
        </row>
        <row r="370">
          <cell r="A370" t="str">
            <v>Bydgoszcz</v>
          </cell>
          <cell r="B370">
            <v>0</v>
          </cell>
          <cell r="C370">
            <v>278.84685943031235</v>
          </cell>
          <cell r="D370">
            <v>0</v>
          </cell>
        </row>
        <row r="371">
          <cell r="A371" t="str">
            <v>Lefkosia</v>
          </cell>
          <cell r="B371">
            <v>45.605576910547917</v>
          </cell>
          <cell r="C371">
            <v>238.8863552457272</v>
          </cell>
          <cell r="D371">
            <v>0</v>
          </cell>
        </row>
        <row r="372">
          <cell r="A372" t="str">
            <v>Saskatoon</v>
          </cell>
          <cell r="B372">
            <v>75.965211386149292</v>
          </cell>
          <cell r="C372">
            <v>208.61658429908425</v>
          </cell>
          <cell r="D372">
            <v>0</v>
          </cell>
        </row>
        <row r="373">
          <cell r="A373" t="str">
            <v>Minneapolis</v>
          </cell>
          <cell r="B373">
            <v>42</v>
          </cell>
          <cell r="C373">
            <v>244.71</v>
          </cell>
          <cell r="D373">
            <v>0</v>
          </cell>
        </row>
        <row r="374">
          <cell r="A374" t="str">
            <v>Winnipeg</v>
          </cell>
          <cell r="B374">
            <v>93.661652674968167</v>
          </cell>
          <cell r="C374">
            <v>208.61658429908425</v>
          </cell>
          <cell r="D374">
            <v>0</v>
          </cell>
        </row>
        <row r="375">
          <cell r="A375" t="str">
            <v>Reims</v>
          </cell>
          <cell r="B375">
            <v>11.890025408821421</v>
          </cell>
          <cell r="C375">
            <v>201.96755488956936</v>
          </cell>
          <cell r="D375">
            <v>95.554542098290881</v>
          </cell>
        </row>
        <row r="376">
          <cell r="A376" t="str">
            <v>Lemesos</v>
          </cell>
          <cell r="B376">
            <v>71.665906573718161</v>
          </cell>
          <cell r="C376">
            <v>238.8863552457272</v>
          </cell>
          <cell r="D376">
            <v>0</v>
          </cell>
        </row>
        <row r="377">
          <cell r="A377" t="str">
            <v>Oulu</v>
          </cell>
          <cell r="B377">
            <v>45.540426086389992</v>
          </cell>
          <cell r="C377">
            <v>267.11837904749495</v>
          </cell>
          <cell r="D377">
            <v>0</v>
          </cell>
        </row>
        <row r="378">
          <cell r="A378" t="str">
            <v>Amsterdam</v>
          </cell>
          <cell r="B378">
            <v>45.76845397094273</v>
          </cell>
          <cell r="C378">
            <v>269.29007318609246</v>
          </cell>
          <cell r="D378">
            <v>0</v>
          </cell>
        </row>
        <row r="379">
          <cell r="A379" t="str">
            <v>Den Haag</v>
          </cell>
          <cell r="B379">
            <v>66.432123699698138</v>
          </cell>
          <cell r="C379">
            <v>230.19957869133711</v>
          </cell>
          <cell r="D379">
            <v>20.30534019588681</v>
          </cell>
        </row>
        <row r="380">
          <cell r="A380" t="str">
            <v>Larnaca</v>
          </cell>
          <cell r="B380">
            <v>71.665906573718161</v>
          </cell>
          <cell r="C380">
            <v>247.57313180011727</v>
          </cell>
          <cell r="D380">
            <v>0</v>
          </cell>
        </row>
        <row r="381">
          <cell r="A381" t="str">
            <v>Tampere</v>
          </cell>
          <cell r="B381">
            <v>83.523356570460621</v>
          </cell>
          <cell r="C381">
            <v>236.71466110712967</v>
          </cell>
          <cell r="D381">
            <v>0</v>
          </cell>
        </row>
        <row r="382">
          <cell r="A382" t="str">
            <v>Sendai</v>
          </cell>
          <cell r="B382">
            <v>124.68212292759608</v>
          </cell>
          <cell r="C382">
            <v>201.58605634933735</v>
          </cell>
          <cell r="D382">
            <v>0</v>
          </cell>
        </row>
        <row r="383">
          <cell r="A383" t="str">
            <v>Los Angeles</v>
          </cell>
          <cell r="B383">
            <v>0</v>
          </cell>
          <cell r="C383">
            <v>330.11</v>
          </cell>
          <cell r="D383">
            <v>0</v>
          </cell>
        </row>
        <row r="384">
          <cell r="A384" t="str">
            <v>Louvain</v>
          </cell>
          <cell r="B384">
            <v>57.75620561600104</v>
          </cell>
          <cell r="C384">
            <v>276.8910026711838</v>
          </cell>
          <cell r="D384">
            <v>0</v>
          </cell>
        </row>
        <row r="385">
          <cell r="A385" t="str">
            <v>Strassbourg</v>
          </cell>
          <cell r="B385">
            <v>30.794622885312833</v>
          </cell>
          <cell r="C385">
            <v>217.16941385975198</v>
          </cell>
          <cell r="D385">
            <v>86.867765543900802</v>
          </cell>
        </row>
        <row r="386">
          <cell r="A386" t="str">
            <v>Paris</v>
          </cell>
          <cell r="B386">
            <v>22.824505396659934</v>
          </cell>
          <cell r="C386">
            <v>214.99771972115448</v>
          </cell>
          <cell r="D386">
            <v>106.41301279127848</v>
          </cell>
        </row>
        <row r="387">
          <cell r="A387" t="str">
            <v>Zürich</v>
          </cell>
          <cell r="B387">
            <v>107.83824263604592</v>
          </cell>
          <cell r="C387">
            <v>239.64053919121318</v>
          </cell>
          <cell r="D387">
            <v>0</v>
          </cell>
        </row>
        <row r="388">
          <cell r="A388" t="str">
            <v>Radom</v>
          </cell>
          <cell r="B388">
            <v>21.680216802168019</v>
          </cell>
          <cell r="C388">
            <v>326.92390415967651</v>
          </cell>
          <cell r="D388">
            <v>0</v>
          </cell>
        </row>
        <row r="389">
          <cell r="A389" t="str">
            <v>Kortrijk</v>
          </cell>
          <cell r="B389">
            <v>57.75620561600104</v>
          </cell>
          <cell r="C389">
            <v>291.82139987404173</v>
          </cell>
          <cell r="D389">
            <v>0</v>
          </cell>
        </row>
        <row r="390">
          <cell r="A390" t="str">
            <v>Washington D.C.</v>
          </cell>
          <cell r="B390">
            <v>46.32</v>
          </cell>
          <cell r="C390">
            <v>236.58</v>
          </cell>
          <cell r="D390">
            <v>75.599999999999994</v>
          </cell>
        </row>
        <row r="391">
          <cell r="A391" t="str">
            <v>Lille</v>
          </cell>
          <cell r="B391">
            <v>19.990444545790172</v>
          </cell>
          <cell r="C391">
            <v>243.22974352292226</v>
          </cell>
          <cell r="D391">
            <v>97.726236236888397</v>
          </cell>
        </row>
        <row r="392">
          <cell r="A392" t="str">
            <v>Basel</v>
          </cell>
          <cell r="B392">
            <v>69.895157264103844</v>
          </cell>
          <cell r="C392">
            <v>291.56265601597602</v>
          </cell>
          <cell r="D392">
            <v>0</v>
          </cell>
        </row>
        <row r="393">
          <cell r="A393" t="str">
            <v>Brest</v>
          </cell>
          <cell r="B393">
            <v>6.667101005494386</v>
          </cell>
          <cell r="C393">
            <v>286.66362629487264</v>
          </cell>
          <cell r="D393">
            <v>82.524377266705756</v>
          </cell>
        </row>
        <row r="394">
          <cell r="A394" t="str">
            <v>Bordeaux</v>
          </cell>
          <cell r="B394">
            <v>59.623862575194906</v>
          </cell>
          <cell r="C394">
            <v>232.37127282993464</v>
          </cell>
          <cell r="D394">
            <v>86.867765543900802</v>
          </cell>
        </row>
        <row r="395">
          <cell r="A395" t="str">
            <v>Perth</v>
          </cell>
          <cell r="B395">
            <v>157.86127209875099</v>
          </cell>
          <cell r="C395">
            <v>230.21435514401188</v>
          </cell>
          <cell r="D395">
            <v>0</v>
          </cell>
        </row>
        <row r="396">
          <cell r="A396" t="str">
            <v>Calgary</v>
          </cell>
          <cell r="B396">
            <v>136.39208407967715</v>
          </cell>
          <cell r="C396">
            <v>254.6273316500133</v>
          </cell>
          <cell r="D396">
            <v>0</v>
          </cell>
        </row>
        <row r="397">
          <cell r="A397" t="str">
            <v>Turku</v>
          </cell>
          <cell r="B397">
            <v>117.27148348426608</v>
          </cell>
          <cell r="C397">
            <v>275.80515560188502</v>
          </cell>
          <cell r="D397">
            <v>0</v>
          </cell>
        </row>
        <row r="398">
          <cell r="A398" t="str">
            <v>Barcelona</v>
          </cell>
          <cell r="B398">
            <v>90.429343931200734</v>
          </cell>
          <cell r="C398">
            <v>302.95133233435405</v>
          </cell>
          <cell r="D398">
            <v>0</v>
          </cell>
        </row>
        <row r="399">
          <cell r="A399" t="str">
            <v>Lyon</v>
          </cell>
          <cell r="B399">
            <v>66.193237344452413</v>
          </cell>
          <cell r="C399">
            <v>256.25990835450733</v>
          </cell>
          <cell r="D399">
            <v>76.009294850913193</v>
          </cell>
        </row>
        <row r="400">
          <cell r="A400" t="str">
            <v>Marseille</v>
          </cell>
          <cell r="B400">
            <v>20.631094316676439</v>
          </cell>
          <cell r="C400">
            <v>308.38056768084783</v>
          </cell>
          <cell r="D400">
            <v>73.837600712315677</v>
          </cell>
        </row>
        <row r="401">
          <cell r="A401" t="str">
            <v>London</v>
          </cell>
          <cell r="B401">
            <v>31.31677842458183</v>
          </cell>
          <cell r="C401">
            <v>372.23491268145312</v>
          </cell>
          <cell r="D401">
            <v>0</v>
          </cell>
        </row>
        <row r="402">
          <cell r="A402" t="str">
            <v>Leeds</v>
          </cell>
          <cell r="B402">
            <v>32.996831478888808</v>
          </cell>
          <cell r="C402">
            <v>373.14862574607616</v>
          </cell>
          <cell r="D402">
            <v>0</v>
          </cell>
        </row>
        <row r="403">
          <cell r="A403" t="str">
            <v>Vancouver</v>
          </cell>
          <cell r="B403">
            <v>408.60075821337881</v>
          </cell>
          <cell r="C403">
            <v>0</v>
          </cell>
          <cell r="D403">
            <v>0</v>
          </cell>
        </row>
        <row r="404">
          <cell r="A404" t="str">
            <v>Sydney</v>
          </cell>
          <cell r="B404">
            <v>83.315671385451921</v>
          </cell>
          <cell r="C404">
            <v>325.95429331501362</v>
          </cell>
          <cell r="D404">
            <v>0</v>
          </cell>
        </row>
        <row r="405">
          <cell r="A405" t="str">
            <v>Antofagasta</v>
          </cell>
          <cell r="B405">
            <v>15.456467891895299</v>
          </cell>
          <cell r="C405">
            <v>399.89215632775705</v>
          </cell>
          <cell r="D405">
            <v>0</v>
          </cell>
        </row>
        <row r="406">
          <cell r="A406" t="str">
            <v>SEDIF</v>
          </cell>
          <cell r="B406">
            <v>0</v>
          </cell>
          <cell r="C406">
            <v>321.41073251243296</v>
          </cell>
          <cell r="D406">
            <v>104.24131865268096</v>
          </cell>
        </row>
        <row r="407">
          <cell r="A407" t="str">
            <v>Esbjerg</v>
          </cell>
          <cell r="B407">
            <v>96.32243279618784</v>
          </cell>
          <cell r="C407">
            <v>141.25350114582955</v>
          </cell>
          <cell r="D407">
            <v>190.02582663417118</v>
          </cell>
        </row>
        <row r="408">
          <cell r="A408" t="str">
            <v>Melbourne</v>
          </cell>
          <cell r="B408">
            <v>114.01091873798683</v>
          </cell>
          <cell r="C408">
            <v>317.91506186554022</v>
          </cell>
          <cell r="D408">
            <v>0</v>
          </cell>
        </row>
        <row r="409">
          <cell r="A409" t="str">
            <v>Brussels</v>
          </cell>
          <cell r="B409">
            <v>25.84316024931049</v>
          </cell>
          <cell r="C409">
            <v>406.19367168328012</v>
          </cell>
          <cell r="D409">
            <v>0</v>
          </cell>
        </row>
        <row r="410">
          <cell r="A410" t="str">
            <v>Cardiff</v>
          </cell>
          <cell r="B410">
            <v>50.696337779087763</v>
          </cell>
          <cell r="C410">
            <v>385.49848942598186</v>
          </cell>
          <cell r="D410">
            <v>0</v>
          </cell>
        </row>
        <row r="411">
          <cell r="A411" t="str">
            <v>New York</v>
          </cell>
          <cell r="B411">
            <v>178.85</v>
          </cell>
          <cell r="C411">
            <v>269.10000000000002</v>
          </cell>
          <cell r="D411">
            <v>0</v>
          </cell>
        </row>
        <row r="412">
          <cell r="A412" t="str">
            <v>Geneva</v>
          </cell>
          <cell r="B412">
            <v>197.70344483275088</v>
          </cell>
          <cell r="C412">
            <v>257.61357963055417</v>
          </cell>
          <cell r="D412">
            <v>0</v>
          </cell>
        </row>
        <row r="413">
          <cell r="A413" t="str">
            <v>Aalborg</v>
          </cell>
          <cell r="B413">
            <v>141.87043032265103</v>
          </cell>
          <cell r="C413">
            <v>127.9837037575934</v>
          </cell>
          <cell r="D413">
            <v>190.02582663417118</v>
          </cell>
        </row>
        <row r="414">
          <cell r="A414" t="str">
            <v>Canberra</v>
          </cell>
          <cell r="B414">
            <v>75.276439935978487</v>
          </cell>
          <cell r="C414">
            <v>385.88310957472464</v>
          </cell>
          <cell r="D414">
            <v>0</v>
          </cell>
        </row>
        <row r="415">
          <cell r="A415" t="str">
            <v>Nancy</v>
          </cell>
          <cell r="B415">
            <v>45.76845397094273</v>
          </cell>
          <cell r="C415">
            <v>321.41073251243296</v>
          </cell>
          <cell r="D415">
            <v>99.897930375485913</v>
          </cell>
        </row>
        <row r="416">
          <cell r="A416" t="str">
            <v>Le Havre</v>
          </cell>
          <cell r="B416">
            <v>32.977175494603344</v>
          </cell>
          <cell r="C416">
            <v>327.92581492822552</v>
          </cell>
          <cell r="D416">
            <v>112.92809520707104</v>
          </cell>
        </row>
        <row r="417">
          <cell r="A417" t="str">
            <v>Birmingham</v>
          </cell>
          <cell r="B417">
            <v>43.504531722054381</v>
          </cell>
          <cell r="C417">
            <v>437.37381180458328</v>
          </cell>
          <cell r="D417">
            <v>0</v>
          </cell>
        </row>
        <row r="418">
          <cell r="A418" t="str">
            <v>Athens</v>
          </cell>
          <cell r="B418">
            <v>13.03016483158512</v>
          </cell>
          <cell r="C418">
            <v>475.514148587313</v>
          </cell>
          <cell r="D418">
            <v>0</v>
          </cell>
        </row>
        <row r="419">
          <cell r="A419" t="str">
            <v>Copenhagen</v>
          </cell>
          <cell r="B419">
            <v>55.872831108362739</v>
          </cell>
          <cell r="C419">
            <v>252.3007529737005</v>
          </cell>
          <cell r="D419">
            <v>190.02582663417118</v>
          </cell>
        </row>
        <row r="420">
          <cell r="A420" t="str">
            <v>Odense</v>
          </cell>
          <cell r="B420">
            <v>69.841038885453429</v>
          </cell>
          <cell r="C420">
            <v>254.62878760321561</v>
          </cell>
          <cell r="D420">
            <v>190.02582663417118</v>
          </cell>
        </row>
        <row r="421">
          <cell r="A421" t="str">
            <v>Lausanne</v>
          </cell>
          <cell r="B421">
            <v>135.79630554168747</v>
          </cell>
          <cell r="C421">
            <v>383.42486270594105</v>
          </cell>
          <cell r="D421">
            <v>0</v>
          </cell>
        </row>
        <row r="422">
          <cell r="A422" t="str">
            <v>Bern</v>
          </cell>
          <cell r="B422">
            <v>4.8227658512231653</v>
          </cell>
          <cell r="C422">
            <v>519.2211682476285</v>
          </cell>
          <cell r="D422">
            <v>0</v>
          </cell>
        </row>
        <row r="423">
          <cell r="A423" t="str">
            <v>Manchester</v>
          </cell>
          <cell r="B423">
            <v>51.271092771350673</v>
          </cell>
          <cell r="C423">
            <v>515.8057622872301</v>
          </cell>
          <cell r="D423">
            <v>0</v>
          </cell>
        </row>
        <row r="424">
          <cell r="A424" t="str">
            <v>Aarhus</v>
          </cell>
          <cell r="B424">
            <v>80.026190389582041</v>
          </cell>
          <cell r="C424">
            <v>311.6656360263359</v>
          </cell>
          <cell r="D424">
            <v>190.02582663417118</v>
          </cell>
        </row>
        <row r="425">
          <cell r="A425" t="str">
            <v>Charleroi</v>
          </cell>
          <cell r="B425">
            <v>113.74248050904511</v>
          </cell>
          <cell r="C425">
            <v>526.31007448910896</v>
          </cell>
          <cell r="D425">
            <v>0</v>
          </cell>
        </row>
        <row r="426">
          <cell r="A426" t="str">
            <v>Liège</v>
          </cell>
          <cell r="B426">
            <v>114.1008100419137</v>
          </cell>
          <cell r="C426">
            <v>529.64362499185609</v>
          </cell>
          <cell r="D426">
            <v>0</v>
          </cell>
        </row>
        <row r="427">
          <cell r="A427" t="str">
            <v>South East Queensland</v>
          </cell>
          <cell r="B427">
            <v>162.2463074348274</v>
          </cell>
          <cell r="C427">
            <v>486.73892230448223</v>
          </cell>
          <cell r="D427">
            <v>0</v>
          </cell>
        </row>
        <row r="428">
          <cell r="A428" t="str">
            <v>Malta Average</v>
          </cell>
          <cell r="B428">
            <v>64.064977088626833</v>
          </cell>
          <cell r="C428">
            <v>713.77071253284691</v>
          </cell>
          <cell r="D428">
            <v>0</v>
          </cell>
        </row>
        <row r="429">
          <cell r="A429" t="str">
            <v>Macao, China Average</v>
          </cell>
          <cell r="B429">
            <v>0</v>
          </cell>
          <cell r="C429">
            <v>1403.2182520011579</v>
          </cell>
          <cell r="D429">
            <v>0</v>
          </cell>
        </row>
      </sheetData>
      <sheetData sheetId="11" refreshError="1"/>
      <sheetData sheetId="12" refreshError="1"/>
      <sheetData sheetId="13" refreshError="1"/>
      <sheetData sheetId="14" refreshError="1"/>
      <sheetData sheetId="15" refreshError="1"/>
      <sheetData sheetId="16" refreshError="1"/>
      <sheetData sheetId="17">
        <row r="438">
          <cell r="B438" t="str">
            <v>FIXED CHARGE</v>
          </cell>
          <cell r="C438" t="str">
            <v>VARIABLE CHARGE</v>
          </cell>
          <cell r="D438" t="str">
            <v>OTHER CHARGES DRINKING WATER</v>
          </cell>
          <cell r="E438" t="str">
            <v>TOTAL CHARGE DRINKING WATER</v>
          </cell>
          <cell r="F438" t="str">
            <v>ENVIRONMENTAL CHARGES</v>
          </cell>
          <cell r="G438" t="str">
            <v>VAT &amp; OTHER TAXES</v>
          </cell>
          <cell r="H438" t="str">
            <v>TOTAL ANNUAL CHARGES 100 m³</v>
          </cell>
        </row>
        <row r="439">
          <cell r="A439" t="str">
            <v>Guadalajara</v>
          </cell>
          <cell r="B439">
            <v>0</v>
          </cell>
          <cell r="C439">
            <v>0.49788024590652696</v>
          </cell>
          <cell r="D439">
            <v>0</v>
          </cell>
          <cell r="F439">
            <v>2.3157220739838467E-2</v>
          </cell>
          <cell r="G439">
            <v>9.2628882959353859E-3</v>
          </cell>
        </row>
        <row r="440">
          <cell r="A440" t="str">
            <v>San Luis Potosi</v>
          </cell>
          <cell r="B440">
            <v>6.3682357034555784E-2</v>
          </cell>
          <cell r="C440">
            <v>0.48630163553660777</v>
          </cell>
          <cell r="D440">
            <v>0</v>
          </cell>
          <cell r="F440">
            <v>0.17367915554878849</v>
          </cell>
          <cell r="G440">
            <v>9.2628882959353859E-3</v>
          </cell>
        </row>
        <row r="441">
          <cell r="A441" t="str">
            <v>Monterrey</v>
          </cell>
          <cell r="B441">
            <v>0.1099967985142327</v>
          </cell>
          <cell r="C441">
            <v>0.51524816146140584</v>
          </cell>
          <cell r="D441">
            <v>0</v>
          </cell>
          <cell r="F441">
            <v>0.13315401925407117</v>
          </cell>
          <cell r="G441">
            <v>9.2628882959353859E-3</v>
          </cell>
        </row>
        <row r="442">
          <cell r="A442" t="str">
            <v>Puebla</v>
          </cell>
          <cell r="B442">
            <v>0.13894332443903079</v>
          </cell>
          <cell r="C442">
            <v>0.63103426516059813</v>
          </cell>
          <cell r="D442">
            <v>0</v>
          </cell>
          <cell r="F442">
            <v>0.19683637628862694</v>
          </cell>
          <cell r="G442">
            <v>9.2628882959353859E-3</v>
          </cell>
        </row>
        <row r="443">
          <cell r="A443" t="str">
            <v>León, Guanajuato</v>
          </cell>
          <cell r="B443">
            <v>0.18525776591870774</v>
          </cell>
          <cell r="C443">
            <v>1.0594428488476098</v>
          </cell>
          <cell r="D443">
            <v>0</v>
          </cell>
          <cell r="F443">
            <v>0.13894332443903079</v>
          </cell>
          <cell r="G443">
            <v>9.2628882959353859E-3</v>
          </cell>
        </row>
        <row r="444">
          <cell r="A444" t="str">
            <v>Mauritius</v>
          </cell>
          <cell r="B444">
            <v>18.410098329450939</v>
          </cell>
          <cell r="C444">
            <v>0</v>
          </cell>
          <cell r="D444">
            <v>0</v>
          </cell>
          <cell r="F444">
            <v>18.494199005910477</v>
          </cell>
          <cell r="G444">
            <v>0</v>
          </cell>
        </row>
        <row r="445">
          <cell r="A445" t="str">
            <v>Thailand Average</v>
          </cell>
          <cell r="E445">
            <v>28.826008854986998</v>
          </cell>
          <cell r="F445">
            <v>9.2887187155787689</v>
          </cell>
        </row>
        <row r="446">
          <cell r="A446" t="str">
            <v>Mulonga</v>
          </cell>
          <cell r="B446">
            <v>0.45205790319270417</v>
          </cell>
          <cell r="C446">
            <v>31.316763301577772</v>
          </cell>
          <cell r="D446">
            <v>0</v>
          </cell>
          <cell r="F446">
            <v>7.0448703633551011</v>
          </cell>
          <cell r="G446">
            <v>0</v>
          </cell>
        </row>
        <row r="447">
          <cell r="A447" t="str">
            <v>Kafubu</v>
          </cell>
          <cell r="B447">
            <v>0.45205790319270417</v>
          </cell>
          <cell r="C447">
            <v>29.282502737210603</v>
          </cell>
          <cell r="D447">
            <v>0</v>
          </cell>
          <cell r="F447">
            <v>9.5167229780128064</v>
          </cell>
          <cell r="G447">
            <v>0</v>
          </cell>
        </row>
        <row r="448">
          <cell r="A448" t="str">
            <v>Kenya Average</v>
          </cell>
          <cell r="B448">
            <v>5.8330000421920332</v>
          </cell>
          <cell r="C448">
            <v>21.827086157882587</v>
          </cell>
          <cell r="D448">
            <v>0</v>
          </cell>
          <cell r="F448">
            <v>16.370314618411943</v>
          </cell>
          <cell r="G448">
            <v>0</v>
          </cell>
        </row>
        <row r="449">
          <cell r="A449" t="str">
            <v>Guangzhou</v>
          </cell>
          <cell r="B449">
            <v>30.396956619858422</v>
          </cell>
          <cell r="C449">
            <v>0</v>
          </cell>
          <cell r="D449">
            <v>0</v>
          </cell>
          <cell r="F449">
            <v>13.81679846357201</v>
          </cell>
          <cell r="G449">
            <v>0</v>
          </cell>
        </row>
        <row r="450">
          <cell r="A450" t="str">
            <v>Lusaka</v>
          </cell>
          <cell r="B450">
            <v>0.72329264510832658</v>
          </cell>
          <cell r="C450">
            <v>35.531751190946544</v>
          </cell>
          <cell r="D450">
            <v>0</v>
          </cell>
          <cell r="F450">
            <v>11.465996656579748</v>
          </cell>
          <cell r="G450">
            <v>0</v>
          </cell>
        </row>
        <row r="451">
          <cell r="A451" t="str">
            <v>Shenzhen</v>
          </cell>
          <cell r="B451">
            <v>35.309596073572912</v>
          </cell>
          <cell r="C451">
            <v>0</v>
          </cell>
          <cell r="D451">
            <v>0</v>
          </cell>
          <cell r="F451">
            <v>13.81679846357201</v>
          </cell>
          <cell r="G451">
            <v>0</v>
          </cell>
        </row>
        <row r="452">
          <cell r="A452" t="str">
            <v>Sao Paulo (SABESP)</v>
          </cell>
          <cell r="B452" t="str">
            <v>n/a</v>
          </cell>
          <cell r="C452" t="str">
            <v>n/a</v>
          </cell>
          <cell r="D452" t="str">
            <v>n/a</v>
          </cell>
          <cell r="F452" t="str">
            <v>n/a</v>
          </cell>
          <cell r="G452" t="str">
            <v>n/a</v>
          </cell>
          <cell r="H452">
            <v>55.038552233605834</v>
          </cell>
        </row>
        <row r="453">
          <cell r="A453" t="str">
            <v>Shanghai</v>
          </cell>
          <cell r="B453">
            <v>29.475836722286957</v>
          </cell>
          <cell r="C453">
            <v>0</v>
          </cell>
          <cell r="D453">
            <v>0</v>
          </cell>
          <cell r="F453">
            <v>26.098397097858243</v>
          </cell>
          <cell r="G453">
            <v>0</v>
          </cell>
        </row>
        <row r="454">
          <cell r="A454" t="str">
            <v>Taipei</v>
          </cell>
          <cell r="B454">
            <v>23.588728700587662</v>
          </cell>
          <cell r="C454">
            <v>14.455656819078079</v>
          </cell>
          <cell r="D454">
            <v>0</v>
          </cell>
          <cell r="F454">
            <v>15.725819133725109</v>
          </cell>
          <cell r="G454">
            <v>1.905243471970542</v>
          </cell>
        </row>
        <row r="455">
          <cell r="A455" t="str">
            <v>Hong Kong</v>
          </cell>
          <cell r="B455">
            <v>0</v>
          </cell>
          <cell r="C455">
            <v>33.705350827329525</v>
          </cell>
          <cell r="D455">
            <v>0</v>
          </cell>
          <cell r="F455">
            <v>27.907742405107246</v>
          </cell>
          <cell r="G455">
            <v>0</v>
          </cell>
        </row>
        <row r="456">
          <cell r="A456" t="str">
            <v>Kaohsiung</v>
          </cell>
          <cell r="B456">
            <v>14.274205059842791</v>
          </cell>
          <cell r="C456">
            <v>21.169371910783799</v>
          </cell>
          <cell r="D456">
            <v>1.0584685955391899</v>
          </cell>
          <cell r="F456">
            <v>27.217763885293458</v>
          </cell>
          <cell r="G456">
            <v>1.6633077929901556</v>
          </cell>
        </row>
        <row r="457">
          <cell r="A457" t="str">
            <v>Brazil Average</v>
          </cell>
          <cell r="B457" t="str">
            <v>n/a</v>
          </cell>
          <cell r="C457" t="str">
            <v>n/a</v>
          </cell>
          <cell r="D457" t="str">
            <v>n/a</v>
          </cell>
          <cell r="F457" t="str">
            <v>n/a</v>
          </cell>
          <cell r="G457" t="str">
            <v>n/a</v>
          </cell>
          <cell r="H457">
            <v>67.66</v>
          </cell>
        </row>
        <row r="458">
          <cell r="A458" t="str">
            <v>Russia Average</v>
          </cell>
          <cell r="B458">
            <v>0</v>
          </cell>
          <cell r="C458">
            <v>34.686537541053276</v>
          </cell>
          <cell r="D458">
            <v>3.1097330259949025</v>
          </cell>
          <cell r="F458">
            <v>35.220808853889402</v>
          </cell>
          <cell r="G458">
            <v>0</v>
          </cell>
        </row>
        <row r="459">
          <cell r="A459" t="str">
            <v>Gwangju</v>
          </cell>
          <cell r="B459">
            <v>0</v>
          </cell>
          <cell r="C459">
            <v>45.021828744911225</v>
          </cell>
          <cell r="D459">
            <v>0</v>
          </cell>
          <cell r="F459">
            <v>29.769397405170061</v>
          </cell>
          <cell r="G459">
            <v>0</v>
          </cell>
        </row>
        <row r="460">
          <cell r="A460" t="str">
            <v>Tianjin</v>
          </cell>
          <cell r="B460">
            <v>40.068715544358831</v>
          </cell>
          <cell r="C460">
            <v>0</v>
          </cell>
          <cell r="D460">
            <v>21.339277627072327</v>
          </cell>
          <cell r="F460">
            <v>13.81679846357201</v>
          </cell>
          <cell r="G460">
            <v>0</v>
          </cell>
        </row>
        <row r="461">
          <cell r="A461" t="str">
            <v>Daejeon</v>
          </cell>
          <cell r="B461">
            <v>0</v>
          </cell>
          <cell r="C461">
            <v>43.16113549331012</v>
          </cell>
          <cell r="D461">
            <v>0</v>
          </cell>
          <cell r="F461">
            <v>32.613817826675039</v>
          </cell>
          <cell r="G461">
            <v>0</v>
          </cell>
        </row>
        <row r="462">
          <cell r="A462" t="str">
            <v>Beijing</v>
          </cell>
          <cell r="B462">
            <v>31.77863646621562</v>
          </cell>
          <cell r="C462">
            <v>0</v>
          </cell>
          <cell r="D462">
            <v>24.10263731978673</v>
          </cell>
          <cell r="F462">
            <v>20.878717678286595</v>
          </cell>
          <cell r="G462">
            <v>0</v>
          </cell>
        </row>
        <row r="463">
          <cell r="A463" t="str">
            <v>Gyeounggi</v>
          </cell>
          <cell r="B463">
            <v>0</v>
          </cell>
          <cell r="C463">
            <v>53.749971360914437</v>
          </cell>
          <cell r="D463">
            <v>0</v>
          </cell>
          <cell r="F463">
            <v>26.225098738755008</v>
          </cell>
          <cell r="G463">
            <v>0</v>
          </cell>
        </row>
        <row r="464">
          <cell r="A464" t="str">
            <v>NWWSC of Zambia</v>
          </cell>
          <cell r="B464">
            <v>0.58767527415051535</v>
          </cell>
          <cell r="C464">
            <v>56.722417461007744</v>
          </cell>
          <cell r="D464">
            <v>0</v>
          </cell>
          <cell r="F464">
            <v>22.693306740273748</v>
          </cell>
          <cell r="G464">
            <v>0</v>
          </cell>
        </row>
        <row r="465">
          <cell r="A465" t="str">
            <v>Entebbe</v>
          </cell>
          <cell r="B465">
            <v>3.4002413577512409</v>
          </cell>
          <cell r="C465">
            <v>68.494019755690388</v>
          </cell>
          <cell r="D465">
            <v>0</v>
          </cell>
          <cell r="F465">
            <v>8.5802735835489994</v>
          </cell>
          <cell r="G465">
            <v>0</v>
          </cell>
        </row>
        <row r="466">
          <cell r="A466" t="str">
            <v>Daegu</v>
          </cell>
          <cell r="B466">
            <v>0</v>
          </cell>
          <cell r="C466">
            <v>49.055872720718554</v>
          </cell>
          <cell r="D466">
            <v>0</v>
          </cell>
          <cell r="F466">
            <v>32.696854228613518</v>
          </cell>
          <cell r="G466">
            <v>0</v>
          </cell>
        </row>
        <row r="467">
          <cell r="A467" t="str">
            <v>Macao, China Average</v>
          </cell>
          <cell r="B467">
            <v>0</v>
          </cell>
          <cell r="C467">
            <v>83.444215433048953</v>
          </cell>
          <cell r="D467">
            <v>0</v>
          </cell>
          <cell r="F467">
            <v>0</v>
          </cell>
          <cell r="G467">
            <v>0</v>
          </cell>
        </row>
        <row r="468">
          <cell r="A468" t="str">
            <v>Mbarara</v>
          </cell>
          <cell r="B468">
            <v>3.0433424291406577</v>
          </cell>
          <cell r="C468">
            <v>70.573088308519104</v>
          </cell>
          <cell r="D468">
            <v>0</v>
          </cell>
          <cell r="F468">
            <v>9.9170276431802353</v>
          </cell>
          <cell r="G468">
            <v>0</v>
          </cell>
        </row>
        <row r="469">
          <cell r="A469" t="str">
            <v>Kampala</v>
          </cell>
          <cell r="B469">
            <v>3.1053734620375546</v>
          </cell>
          <cell r="C469">
            <v>67.209007221129553</v>
          </cell>
          <cell r="D469">
            <v>0</v>
          </cell>
          <cell r="F469">
            <v>14.707528501260512</v>
          </cell>
          <cell r="G469">
            <v>0</v>
          </cell>
        </row>
        <row r="470">
          <cell r="A470" t="str">
            <v>Seoul</v>
          </cell>
          <cell r="B470">
            <v>0</v>
          </cell>
          <cell r="C470">
            <v>48.656789605279521</v>
          </cell>
          <cell r="D470">
            <v>0</v>
          </cell>
          <cell r="F470">
            <v>37.772242469547336</v>
          </cell>
          <cell r="G470">
            <v>0</v>
          </cell>
        </row>
        <row r="471">
          <cell r="A471" t="str">
            <v>Incheon</v>
          </cell>
          <cell r="B471">
            <v>0</v>
          </cell>
          <cell r="C471">
            <v>56.235979557725756</v>
          </cell>
          <cell r="D471">
            <v>0</v>
          </cell>
          <cell r="F471">
            <v>35.32521054303367</v>
          </cell>
          <cell r="G471">
            <v>0</v>
          </cell>
        </row>
        <row r="472">
          <cell r="A472" t="str">
            <v>Jinja</v>
          </cell>
          <cell r="B472">
            <v>2.8490177241887666</v>
          </cell>
          <cell r="C472">
            <v>69.340699256842356</v>
          </cell>
          <cell r="D472">
            <v>0</v>
          </cell>
          <cell r="F472">
            <v>24.318810769024761</v>
          </cell>
          <cell r="G472">
            <v>0</v>
          </cell>
        </row>
        <row r="473">
          <cell r="A473" t="str">
            <v>Busan</v>
          </cell>
          <cell r="B473">
            <v>0</v>
          </cell>
          <cell r="C473">
            <v>60.589459487929091</v>
          </cell>
          <cell r="D473">
            <v>0</v>
          </cell>
          <cell r="F473">
            <v>41.586833097374388</v>
          </cell>
          <cell r="G473">
            <v>0</v>
          </cell>
        </row>
        <row r="474">
          <cell r="A474" t="str">
            <v>Brasilia Federal District</v>
          </cell>
          <cell r="B474" t="str">
            <v>n/a</v>
          </cell>
          <cell r="C474" t="str">
            <v>n/a</v>
          </cell>
          <cell r="D474" t="str">
            <v>n/a</v>
          </cell>
          <cell r="F474" t="str">
            <v>n/a</v>
          </cell>
          <cell r="G474" t="str">
            <v>n/a</v>
          </cell>
          <cell r="H474">
            <v>106.29004812086265</v>
          </cell>
        </row>
        <row r="475">
          <cell r="A475" t="str">
            <v>Ulsan</v>
          </cell>
          <cell r="B475">
            <v>0</v>
          </cell>
          <cell r="C475">
            <v>73.882062279877289</v>
          </cell>
          <cell r="D475">
            <v>0</v>
          </cell>
          <cell r="F475">
            <v>33.896645505602216</v>
          </cell>
          <cell r="G475">
            <v>0</v>
          </cell>
        </row>
        <row r="476">
          <cell r="A476" t="str">
            <v>Gran Santiago</v>
          </cell>
          <cell r="B476">
            <v>10.266807607901336</v>
          </cell>
          <cell r="C476">
            <v>47.259662472371041</v>
          </cell>
          <cell r="D476">
            <v>0</v>
          </cell>
          <cell r="F476">
            <v>63.637330224975294</v>
          </cell>
          <cell r="G476">
            <v>0</v>
          </cell>
        </row>
        <row r="477">
          <cell r="A477" t="str">
            <v>Severin</v>
          </cell>
          <cell r="B477">
            <v>0</v>
          </cell>
          <cell r="C477">
            <v>74.491910082755481</v>
          </cell>
          <cell r="D477">
            <v>0</v>
          </cell>
          <cell r="F477">
            <v>29.700954502449132</v>
          </cell>
          <cell r="G477">
            <v>25.006287500449108</v>
          </cell>
        </row>
        <row r="478">
          <cell r="A478" t="str">
            <v>Apaserv SA Valea Jiului</v>
          </cell>
          <cell r="B478">
            <v>0</v>
          </cell>
          <cell r="C478">
            <v>71.378100336530977</v>
          </cell>
          <cell r="D478">
            <v>0</v>
          </cell>
          <cell r="F478">
            <v>33.054288075306289</v>
          </cell>
          <cell r="G478">
            <v>25.063773218840943</v>
          </cell>
        </row>
        <row r="479">
          <cell r="A479" t="str">
            <v>Nagoya</v>
          </cell>
          <cell r="B479">
            <v>62.341061463798042</v>
          </cell>
          <cell r="C479">
            <v>1.9949139668415374</v>
          </cell>
          <cell r="D479">
            <v>0</v>
          </cell>
          <cell r="F479">
            <v>55.85759107156305</v>
          </cell>
          <cell r="G479">
            <v>9.5755870408393786</v>
          </cell>
        </row>
        <row r="480">
          <cell r="A480" t="str">
            <v>Deva</v>
          </cell>
          <cell r="B480">
            <v>0</v>
          </cell>
          <cell r="C480">
            <v>73.054767122959561</v>
          </cell>
          <cell r="D480">
            <v>0</v>
          </cell>
          <cell r="F480">
            <v>35.210002515000177</v>
          </cell>
          <cell r="G480">
            <v>25.983544713110337</v>
          </cell>
        </row>
        <row r="481">
          <cell r="A481" t="str">
            <v>Sibiu</v>
          </cell>
          <cell r="B481">
            <v>0</v>
          </cell>
          <cell r="C481">
            <v>66.587623803877889</v>
          </cell>
          <cell r="D481">
            <v>0</v>
          </cell>
          <cell r="F481">
            <v>44.072384100408392</v>
          </cell>
          <cell r="G481">
            <v>26.558401897028705</v>
          </cell>
        </row>
        <row r="482">
          <cell r="A482" t="str">
            <v>Miami</v>
          </cell>
          <cell r="B482">
            <v>38.4</v>
          </cell>
          <cell r="C482">
            <v>13.07</v>
          </cell>
          <cell r="D482">
            <v>0</v>
          </cell>
          <cell r="F482">
            <v>87.74</v>
          </cell>
          <cell r="G482">
            <v>0</v>
          </cell>
        </row>
        <row r="483">
          <cell r="A483" t="str">
            <v>Concepcion</v>
          </cell>
          <cell r="B483">
            <v>10.80827622831805</v>
          </cell>
          <cell r="C483">
            <v>57.595384268325411</v>
          </cell>
          <cell r="D483">
            <v>0</v>
          </cell>
          <cell r="F483">
            <v>73.158739472302969</v>
          </cell>
          <cell r="G483">
            <v>0</v>
          </cell>
        </row>
        <row r="484">
          <cell r="A484" t="str">
            <v>Baia Mare</v>
          </cell>
          <cell r="B484">
            <v>0</v>
          </cell>
          <cell r="C484">
            <v>72.575719469694249</v>
          </cell>
          <cell r="D484">
            <v>0</v>
          </cell>
          <cell r="F484">
            <v>46.467622366734929</v>
          </cell>
          <cell r="G484">
            <v>28.570402040743005</v>
          </cell>
        </row>
        <row r="485">
          <cell r="A485" t="str">
            <v>Craiova</v>
          </cell>
          <cell r="B485">
            <v>0</v>
          </cell>
          <cell r="C485">
            <v>73.294290949592209</v>
          </cell>
          <cell r="D485">
            <v>0</v>
          </cell>
          <cell r="F485">
            <v>49.341908286326785</v>
          </cell>
          <cell r="G485">
            <v>29.432687816620557</v>
          </cell>
        </row>
        <row r="486">
          <cell r="A486" t="str">
            <v>Yokohama</v>
          </cell>
          <cell r="B486">
            <v>78.799101690240732</v>
          </cell>
          <cell r="C486">
            <v>1.4296883429031018</v>
          </cell>
          <cell r="D486">
            <v>0</v>
          </cell>
          <cell r="F486">
            <v>63.504761277788937</v>
          </cell>
          <cell r="G486">
            <v>11.437506743224814</v>
          </cell>
        </row>
        <row r="487">
          <cell r="A487" t="str">
            <v>Giurgiu</v>
          </cell>
          <cell r="B487">
            <v>0</v>
          </cell>
          <cell r="C487">
            <v>64.671433190816657</v>
          </cell>
          <cell r="D487">
            <v>0</v>
          </cell>
          <cell r="F487">
            <v>60.839051964694185</v>
          </cell>
          <cell r="G487">
            <v>30.122516437322606</v>
          </cell>
        </row>
        <row r="488">
          <cell r="A488" t="str">
            <v>Kaposvár</v>
          </cell>
          <cell r="B488">
            <v>0</v>
          </cell>
          <cell r="C488">
            <v>74.986322226279867</v>
          </cell>
          <cell r="D488">
            <v>0</v>
          </cell>
          <cell r="F488">
            <v>47.718568689450827</v>
          </cell>
          <cell r="G488">
            <v>33.131009126882056</v>
          </cell>
        </row>
        <row r="489">
          <cell r="A489" t="str">
            <v>Calarasi</v>
          </cell>
          <cell r="B489">
            <v>0</v>
          </cell>
          <cell r="C489">
            <v>72.3361956430616</v>
          </cell>
          <cell r="D489">
            <v>0</v>
          </cell>
          <cell r="F489">
            <v>54.850956298877833</v>
          </cell>
          <cell r="G489">
            <v>30.524916466065463</v>
          </cell>
        </row>
        <row r="490">
          <cell r="A490" t="str">
            <v>Osaka</v>
          </cell>
          <cell r="B490">
            <v>84.783843590765343</v>
          </cell>
          <cell r="C490">
            <v>8.3121415285064053</v>
          </cell>
          <cell r="D490">
            <v>0</v>
          </cell>
          <cell r="F490">
            <v>54.860134088142281</v>
          </cell>
          <cell r="G490">
            <v>11.803240970479097</v>
          </cell>
        </row>
        <row r="491">
          <cell r="A491" t="str">
            <v>Lisbon</v>
          </cell>
          <cell r="B491">
            <v>55.899407127500162</v>
          </cell>
          <cell r="C491">
            <v>44.389428192933309</v>
          </cell>
          <cell r="D491">
            <v>12.07461941060221</v>
          </cell>
          <cell r="F491">
            <v>43.911655482441851</v>
          </cell>
          <cell r="G491">
            <v>6.211045236388907</v>
          </cell>
        </row>
        <row r="492">
          <cell r="A492" t="str">
            <v>Iasi</v>
          </cell>
          <cell r="B492">
            <v>0</v>
          </cell>
          <cell r="C492">
            <v>76.647624522449377</v>
          </cell>
          <cell r="D492">
            <v>0</v>
          </cell>
          <cell r="F492">
            <v>55.809051605408449</v>
          </cell>
          <cell r="G492">
            <v>31.789602270685876</v>
          </cell>
        </row>
        <row r="493">
          <cell r="A493" t="str">
            <v>Resita</v>
          </cell>
          <cell r="B493">
            <v>0</v>
          </cell>
          <cell r="C493">
            <v>92.216673253571898</v>
          </cell>
          <cell r="D493">
            <v>0</v>
          </cell>
          <cell r="F493">
            <v>41.437622007449193</v>
          </cell>
          <cell r="G493">
            <v>32.07703086264506</v>
          </cell>
        </row>
        <row r="494">
          <cell r="A494" t="str">
            <v>Bucharest</v>
          </cell>
          <cell r="B494">
            <v>0</v>
          </cell>
          <cell r="C494">
            <v>109.94143642438831</v>
          </cell>
          <cell r="D494">
            <v>0</v>
          </cell>
          <cell r="F494">
            <v>24.431430316530736</v>
          </cell>
          <cell r="G494">
            <v>32.249488017820568</v>
          </cell>
        </row>
        <row r="495">
          <cell r="A495" t="str">
            <v>Hiroshima</v>
          </cell>
          <cell r="B495">
            <v>80.794015657082269</v>
          </cell>
          <cell r="C495">
            <v>4.1560707642532027</v>
          </cell>
          <cell r="D495">
            <v>0</v>
          </cell>
          <cell r="F495">
            <v>70.486960161734316</v>
          </cell>
          <cell r="G495">
            <v>12.401715160531557</v>
          </cell>
        </row>
        <row r="496">
          <cell r="A496" t="str">
            <v>Miercurea Ciuc</v>
          </cell>
          <cell r="B496">
            <v>0</v>
          </cell>
          <cell r="C496">
            <v>74.01286242949017</v>
          </cell>
          <cell r="D496">
            <v>0</v>
          </cell>
          <cell r="F496">
            <v>61.557623444592153</v>
          </cell>
          <cell r="G496">
            <v>32.536916609779759</v>
          </cell>
        </row>
        <row r="497">
          <cell r="A497" t="str">
            <v>Thessaloniki</v>
          </cell>
          <cell r="B497">
            <v>26.06032966317024</v>
          </cell>
          <cell r="C497">
            <v>61.024605294590316</v>
          </cell>
          <cell r="D497">
            <v>0</v>
          </cell>
          <cell r="F497">
            <v>56.420613720763569</v>
          </cell>
          <cell r="G497">
            <v>26.14719742871414</v>
          </cell>
        </row>
        <row r="498">
          <cell r="A498" t="str">
            <v>Bialystok</v>
          </cell>
          <cell r="B498">
            <v>0</v>
          </cell>
          <cell r="C498">
            <v>86.538680512855549</v>
          </cell>
          <cell r="D498">
            <v>0</v>
          </cell>
          <cell r="F498">
            <v>85.2734951252407</v>
          </cell>
          <cell r="G498">
            <v>0</v>
          </cell>
        </row>
        <row r="499">
          <cell r="A499" t="str">
            <v>Temuco</v>
          </cell>
          <cell r="B499">
            <v>18.17506228998753</v>
          </cell>
          <cell r="C499">
            <v>60.105829690257451</v>
          </cell>
          <cell r="D499">
            <v>0</v>
          </cell>
          <cell r="F499">
            <v>98.408054127734843</v>
          </cell>
          <cell r="G499">
            <v>0</v>
          </cell>
        </row>
        <row r="500">
          <cell r="A500" t="str">
            <v>Brasov</v>
          </cell>
          <cell r="B500">
            <v>0</v>
          </cell>
          <cell r="C500">
            <v>84.312386974694306</v>
          </cell>
          <cell r="D500">
            <v>0</v>
          </cell>
          <cell r="F500">
            <v>58.204289871734993</v>
          </cell>
          <cell r="G500">
            <v>34.204002443143033</v>
          </cell>
        </row>
        <row r="501">
          <cell r="A501" t="str">
            <v>Suceava</v>
          </cell>
          <cell r="B501">
            <v>0</v>
          </cell>
          <cell r="C501">
            <v>84.072863148061657</v>
          </cell>
          <cell r="D501">
            <v>0</v>
          </cell>
          <cell r="F501">
            <v>60.599528138061537</v>
          </cell>
          <cell r="G501">
            <v>34.72137390866957</v>
          </cell>
        </row>
        <row r="502">
          <cell r="A502" t="str">
            <v>Valparaiso</v>
          </cell>
          <cell r="B502">
            <v>17.885341417764561</v>
          </cell>
          <cell r="C502">
            <v>95.022820441129568</v>
          </cell>
          <cell r="D502">
            <v>0</v>
          </cell>
          <cell r="F502">
            <v>69.940868813826498</v>
          </cell>
          <cell r="G502">
            <v>0</v>
          </cell>
        </row>
        <row r="503">
          <cell r="A503" t="str">
            <v>Vina del Mar</v>
          </cell>
          <cell r="B503">
            <v>17.885341417764561</v>
          </cell>
          <cell r="C503">
            <v>95.022820441129568</v>
          </cell>
          <cell r="D503">
            <v>0</v>
          </cell>
          <cell r="F503">
            <v>69.940868813826498</v>
          </cell>
          <cell r="G503">
            <v>0</v>
          </cell>
        </row>
        <row r="504">
          <cell r="A504" t="str">
            <v>Medias</v>
          </cell>
          <cell r="B504">
            <v>0</v>
          </cell>
          <cell r="C504">
            <v>76.408100695816714</v>
          </cell>
          <cell r="D504">
            <v>0</v>
          </cell>
          <cell r="F504">
            <v>73.533814776224872</v>
          </cell>
          <cell r="G504">
            <v>35.986059713289983</v>
          </cell>
        </row>
        <row r="505">
          <cell r="A505" t="str">
            <v>Porto</v>
          </cell>
          <cell r="B505">
            <v>44.639173018872022</v>
          </cell>
          <cell r="C505">
            <v>80.928182074836585</v>
          </cell>
          <cell r="D505">
            <v>0</v>
          </cell>
          <cell r="F505">
            <v>52.348687210893218</v>
          </cell>
          <cell r="G505">
            <v>10.673876691206811</v>
          </cell>
        </row>
        <row r="506">
          <cell r="A506" t="str">
            <v>Miskolc</v>
          </cell>
          <cell r="B506">
            <v>0</v>
          </cell>
          <cell r="C506">
            <v>85.769479306753169</v>
          </cell>
          <cell r="D506">
            <v>0</v>
          </cell>
          <cell r="F506">
            <v>65.96937190898754</v>
          </cell>
          <cell r="G506">
            <v>40.970488268720409</v>
          </cell>
        </row>
        <row r="507">
          <cell r="A507" t="str">
            <v>Bilbao</v>
          </cell>
          <cell r="B507">
            <v>35.756943992008168</v>
          </cell>
          <cell r="C507">
            <v>56.431472191456557</v>
          </cell>
          <cell r="D507">
            <v>0</v>
          </cell>
          <cell r="F507">
            <v>85.054400938171867</v>
          </cell>
          <cell r="G507">
            <v>17.721024170955765</v>
          </cell>
        </row>
        <row r="508">
          <cell r="A508" t="str">
            <v>Tokyo</v>
          </cell>
          <cell r="B508">
            <v>116.70246706022994</v>
          </cell>
          <cell r="C508">
            <v>7.3146845450856368</v>
          </cell>
          <cell r="D508">
            <v>0</v>
          </cell>
          <cell r="F508">
            <v>59.514933344105863</v>
          </cell>
          <cell r="G508">
            <v>14.529623391829197</v>
          </cell>
        </row>
        <row r="509">
          <cell r="A509" t="str">
            <v>Fukuoka</v>
          </cell>
          <cell r="B509">
            <v>84.783843590765343</v>
          </cell>
          <cell r="C509">
            <v>13.565414974522454</v>
          </cell>
          <cell r="D509">
            <v>0</v>
          </cell>
          <cell r="F509">
            <v>86.180283367554409</v>
          </cell>
          <cell r="G509">
            <v>14.662617656285299</v>
          </cell>
        </row>
        <row r="510">
          <cell r="A510" t="str">
            <v>Chicago</v>
          </cell>
          <cell r="B510">
            <v>0</v>
          </cell>
          <cell r="C510">
            <v>100.65</v>
          </cell>
          <cell r="D510">
            <v>0</v>
          </cell>
          <cell r="F510">
            <v>100.65</v>
          </cell>
          <cell r="G510">
            <v>0</v>
          </cell>
        </row>
        <row r="511">
          <cell r="A511" t="str">
            <v>Serres</v>
          </cell>
          <cell r="B511">
            <v>86.324842009251412</v>
          </cell>
          <cell r="C511">
            <v>24.61615306100289</v>
          </cell>
          <cell r="D511">
            <v>19.686407366386518</v>
          </cell>
          <cell r="F511">
            <v>36.538753881903268</v>
          </cell>
          <cell r="G511">
            <v>35.995830347253893</v>
          </cell>
        </row>
        <row r="512">
          <cell r="A512" t="str">
            <v>Debrecen</v>
          </cell>
          <cell r="B512">
            <v>4.2382076519995646</v>
          </cell>
          <cell r="C512">
            <v>84.316576277391832</v>
          </cell>
          <cell r="D512">
            <v>0</v>
          </cell>
          <cell r="F512">
            <v>72.741552616934854</v>
          </cell>
          <cell r="G512">
            <v>43.549219000928105</v>
          </cell>
        </row>
        <row r="513">
          <cell r="A513" t="str">
            <v>Madrid</v>
          </cell>
          <cell r="B513">
            <v>66.486416053163069</v>
          </cell>
          <cell r="C513">
            <v>46.691423979846682</v>
          </cell>
          <cell r="D513">
            <v>0</v>
          </cell>
          <cell r="F513">
            <v>73.186092470736412</v>
          </cell>
          <cell r="G513">
            <v>18.633135709166723</v>
          </cell>
        </row>
        <row r="514">
          <cell r="A514" t="str">
            <v>Buzau</v>
          </cell>
          <cell r="B514">
            <v>0</v>
          </cell>
          <cell r="C514">
            <v>105.39048371836789</v>
          </cell>
          <cell r="D514">
            <v>0</v>
          </cell>
          <cell r="F514">
            <v>60.120480484796225</v>
          </cell>
          <cell r="G514">
            <v>39.722631408759391</v>
          </cell>
        </row>
        <row r="515">
          <cell r="A515" t="str">
            <v>Sapporo</v>
          </cell>
          <cell r="B515">
            <v>131.66432181154147</v>
          </cell>
          <cell r="C515">
            <v>0</v>
          </cell>
          <cell r="D515">
            <v>0</v>
          </cell>
          <cell r="F515">
            <v>59.847419005246124</v>
          </cell>
          <cell r="G515">
            <v>15.261091846337761</v>
          </cell>
        </row>
        <row r="516">
          <cell r="A516" t="str">
            <v>Constanta</v>
          </cell>
          <cell r="B516">
            <v>0</v>
          </cell>
          <cell r="C516">
            <v>88.384292027449433</v>
          </cell>
          <cell r="D516">
            <v>0</v>
          </cell>
          <cell r="F516">
            <v>79.521910442041218</v>
          </cell>
          <cell r="G516">
            <v>40.297488592677759</v>
          </cell>
        </row>
        <row r="517">
          <cell r="A517" t="str">
            <v>Faro</v>
          </cell>
          <cell r="B517">
            <v>35.561491519534393</v>
          </cell>
          <cell r="C517">
            <v>57.441309965904402</v>
          </cell>
          <cell r="D517">
            <v>0</v>
          </cell>
          <cell r="F517">
            <v>103.66581970595261</v>
          </cell>
          <cell r="G517">
            <v>11.803157643277521</v>
          </cell>
        </row>
        <row r="518">
          <cell r="A518" t="str">
            <v>Budapest</v>
          </cell>
          <cell r="B518">
            <v>5.8529268955314864</v>
          </cell>
          <cell r="C518">
            <v>59.35556451703696</v>
          </cell>
          <cell r="D518">
            <v>0</v>
          </cell>
          <cell r="F518">
            <v>103.3661318732599</v>
          </cell>
          <cell r="G518">
            <v>45.515113858191917</v>
          </cell>
        </row>
        <row r="519">
          <cell r="A519" t="str">
            <v>Malta Average</v>
          </cell>
          <cell r="B519">
            <v>64.064977088626833</v>
          </cell>
          <cell r="C519">
            <v>155.69961126674917</v>
          </cell>
          <cell r="D519">
            <v>0</v>
          </cell>
          <cell r="F519">
            <v>0</v>
          </cell>
          <cell r="G519">
            <v>0</v>
          </cell>
        </row>
        <row r="520">
          <cell r="A520" t="str">
            <v>Igoumenitsa</v>
          </cell>
          <cell r="B520">
            <v>52.989336981779488</v>
          </cell>
          <cell r="C520">
            <v>43.433882771950401</v>
          </cell>
          <cell r="D520">
            <v>34.747106217560322</v>
          </cell>
          <cell r="F520">
            <v>57.549894672834277</v>
          </cell>
          <cell r="G520">
            <v>39.057919082676392</v>
          </cell>
        </row>
        <row r="521">
          <cell r="A521" t="str">
            <v>Coimbra</v>
          </cell>
          <cell r="B521">
            <v>50.752492019024046</v>
          </cell>
          <cell r="C521">
            <v>70.93838903728799</v>
          </cell>
          <cell r="D521">
            <v>0</v>
          </cell>
          <cell r="F521">
            <v>93.990922318500665</v>
          </cell>
          <cell r="G521">
            <v>12.943297066041218</v>
          </cell>
        </row>
        <row r="522">
          <cell r="A522" t="str">
            <v>Wroclaw</v>
          </cell>
          <cell r="B522">
            <v>0</v>
          </cell>
          <cell r="C522">
            <v>108.5529062573539</v>
          </cell>
          <cell r="D522">
            <v>0</v>
          </cell>
          <cell r="F522">
            <v>126.7715758390077</v>
          </cell>
          <cell r="G522">
            <v>0</v>
          </cell>
        </row>
        <row r="523">
          <cell r="A523" t="str">
            <v>Sevilla</v>
          </cell>
          <cell r="B523">
            <v>50.339870132690514</v>
          </cell>
          <cell r="C523">
            <v>44.411145134319284</v>
          </cell>
          <cell r="D523">
            <v>0</v>
          </cell>
          <cell r="F523">
            <v>123.80828284144461</v>
          </cell>
          <cell r="G523">
            <v>21.858101504984038</v>
          </cell>
        </row>
        <row r="524">
          <cell r="A524" t="str">
            <v>Loures</v>
          </cell>
          <cell r="B524">
            <v>40.328360153755945</v>
          </cell>
          <cell r="C524">
            <v>85.467022824505392</v>
          </cell>
          <cell r="D524">
            <v>0</v>
          </cell>
          <cell r="F524">
            <v>106.81477620691902</v>
          </cell>
          <cell r="G524">
            <v>7.8506743110300352</v>
          </cell>
        </row>
        <row r="525">
          <cell r="A525" t="str">
            <v>Braga</v>
          </cell>
          <cell r="B525">
            <v>61.111473060134216</v>
          </cell>
          <cell r="C525">
            <v>59.721588811431801</v>
          </cell>
          <cell r="D525">
            <v>0</v>
          </cell>
          <cell r="F525">
            <v>106.825634677612</v>
          </cell>
          <cell r="G525">
            <v>13.659956131778401</v>
          </cell>
        </row>
        <row r="526">
          <cell r="A526" t="str">
            <v>Alexandroupolis</v>
          </cell>
          <cell r="B526">
            <v>55.378200534236761</v>
          </cell>
          <cell r="C526">
            <v>92.2970008903946</v>
          </cell>
          <cell r="D526">
            <v>0</v>
          </cell>
          <cell r="F526">
            <v>63.793515321302145</v>
          </cell>
          <cell r="G526">
            <v>39.405390144851999</v>
          </cell>
        </row>
        <row r="527">
          <cell r="A527" t="str">
            <v>Pécs</v>
          </cell>
          <cell r="B527">
            <v>0</v>
          </cell>
          <cell r="C527">
            <v>117.05853791062974</v>
          </cell>
          <cell r="D527">
            <v>0</v>
          </cell>
          <cell r="F527">
            <v>86.76103398081969</v>
          </cell>
          <cell r="G527">
            <v>55.031284410691342</v>
          </cell>
        </row>
        <row r="528">
          <cell r="A528" t="str">
            <v>Antofagasta</v>
          </cell>
          <cell r="B528">
            <v>15.456467891895299</v>
          </cell>
          <cell r="C528">
            <v>199.94678136987906</v>
          </cell>
          <cell r="D528">
            <v>0</v>
          </cell>
          <cell r="F528">
            <v>45.539620595047296</v>
          </cell>
          <cell r="G528">
            <v>0</v>
          </cell>
        </row>
        <row r="529">
          <cell r="A529" t="str">
            <v>Sintra</v>
          </cell>
          <cell r="B529">
            <v>53.032770864551445</v>
          </cell>
          <cell r="C529">
            <v>77.084283449518963</v>
          </cell>
          <cell r="D529">
            <v>0</v>
          </cell>
          <cell r="F529">
            <v>126.11027862835799</v>
          </cell>
          <cell r="G529">
            <v>8.4696071405303268</v>
          </cell>
        </row>
        <row r="530">
          <cell r="A530" t="str">
            <v>Barcelona</v>
          </cell>
          <cell r="B530">
            <v>90.429343931200734</v>
          </cell>
          <cell r="C530">
            <v>88.127348144287353</v>
          </cell>
          <cell r="D530">
            <v>0</v>
          </cell>
          <cell r="F530">
            <v>69.407344669576744</v>
          </cell>
          <cell r="G530">
            <v>24.800747062783678</v>
          </cell>
        </row>
        <row r="531">
          <cell r="A531" t="str">
            <v>Bydgoszcz</v>
          </cell>
          <cell r="B531">
            <v>0</v>
          </cell>
          <cell r="C531">
            <v>139.42342971515617</v>
          </cell>
          <cell r="D531">
            <v>0</v>
          </cell>
          <cell r="F531">
            <v>138.91735556011022</v>
          </cell>
          <cell r="G531">
            <v>0</v>
          </cell>
        </row>
        <row r="532">
          <cell r="A532" t="str">
            <v>Tarnow</v>
          </cell>
          <cell r="B532">
            <v>22.894794774278274</v>
          </cell>
          <cell r="C532">
            <v>79.70667941973538</v>
          </cell>
          <cell r="D532">
            <v>7.014187788936713</v>
          </cell>
          <cell r="F532">
            <v>170.66844804769244</v>
          </cell>
          <cell r="G532">
            <v>0</v>
          </cell>
        </row>
        <row r="533">
          <cell r="A533" t="str">
            <v>Sendai</v>
          </cell>
          <cell r="B533">
            <v>124.68212292759608</v>
          </cell>
          <cell r="C533">
            <v>66.231143699139039</v>
          </cell>
          <cell r="D533">
            <v>0</v>
          </cell>
          <cell r="F533">
            <v>70.121225934480037</v>
          </cell>
          <cell r="G533">
            <v>20.846850953494066</v>
          </cell>
        </row>
        <row r="534">
          <cell r="A534" t="str">
            <v>Athens</v>
          </cell>
          <cell r="B534">
            <v>13.03016483158512</v>
          </cell>
          <cell r="C534">
            <v>131.51779703346583</v>
          </cell>
          <cell r="D534">
            <v>0</v>
          </cell>
          <cell r="F534">
            <v>98.638347775099362</v>
          </cell>
          <cell r="G534">
            <v>42.782374530371143</v>
          </cell>
        </row>
        <row r="535">
          <cell r="A535" t="str">
            <v>Valencia</v>
          </cell>
          <cell r="B535">
            <v>77.008274154668058</v>
          </cell>
          <cell r="C535">
            <v>60.709709644493664</v>
          </cell>
          <cell r="D535">
            <v>0</v>
          </cell>
          <cell r="F535">
            <v>129.45468760179816</v>
          </cell>
          <cell r="G535">
            <v>26.722696375442482</v>
          </cell>
        </row>
        <row r="536">
          <cell r="A536" t="str">
            <v>Los Angeles</v>
          </cell>
          <cell r="B536">
            <v>0</v>
          </cell>
          <cell r="C536">
            <v>164.38</v>
          </cell>
          <cell r="D536">
            <v>0</v>
          </cell>
          <cell r="F536">
            <v>149.4</v>
          </cell>
          <cell r="G536">
            <v>0</v>
          </cell>
        </row>
        <row r="537">
          <cell r="A537" t="str">
            <v>Saskatoon</v>
          </cell>
          <cell r="B537">
            <v>75.965211386149292</v>
          </cell>
          <cell r="C537">
            <v>104.30829214954213</v>
          </cell>
          <cell r="D537">
            <v>0</v>
          </cell>
          <cell r="F537">
            <v>140.70828927207199</v>
          </cell>
          <cell r="G537">
            <v>0</v>
          </cell>
        </row>
        <row r="538">
          <cell r="A538" t="str">
            <v>Reims</v>
          </cell>
          <cell r="B538">
            <v>11.890025408821421</v>
          </cell>
          <cell r="C538">
            <v>100.98377744478468</v>
          </cell>
          <cell r="D538">
            <v>47.77727104914544</v>
          </cell>
          <cell r="F538">
            <v>158.53367211761895</v>
          </cell>
          <cell r="G538">
            <v>24.681303885160816</v>
          </cell>
        </row>
        <row r="539">
          <cell r="A539" t="str">
            <v>Minneapolis</v>
          </cell>
          <cell r="B539">
            <v>42</v>
          </cell>
          <cell r="C539">
            <v>121.85</v>
          </cell>
          <cell r="D539">
            <v>0</v>
          </cell>
          <cell r="F539">
            <v>171.33</v>
          </cell>
          <cell r="G539">
            <v>12.7</v>
          </cell>
        </row>
        <row r="540">
          <cell r="A540" t="str">
            <v>Radom</v>
          </cell>
          <cell r="B540">
            <v>10.840108401084009</v>
          </cell>
          <cell r="C540">
            <v>163.46195207983826</v>
          </cell>
          <cell r="D540">
            <v>0</v>
          </cell>
          <cell r="F540">
            <v>174.30206048092225</v>
          </cell>
          <cell r="G540">
            <v>0</v>
          </cell>
        </row>
        <row r="541">
          <cell r="A541" t="str">
            <v>Strassbourg</v>
          </cell>
          <cell r="B541">
            <v>30.794622885312833</v>
          </cell>
          <cell r="C541">
            <v>108.58470692987599</v>
          </cell>
          <cell r="D541">
            <v>43.433882771950401</v>
          </cell>
          <cell r="F541">
            <v>147.67520142463135</v>
          </cell>
          <cell r="G541">
            <v>24.779030121397703</v>
          </cell>
        </row>
        <row r="542">
          <cell r="A542" t="str">
            <v>Winnipeg</v>
          </cell>
          <cell r="B542">
            <v>93.661652674968167</v>
          </cell>
          <cell r="C542">
            <v>104.30829214954213</v>
          </cell>
          <cell r="D542">
            <v>0</v>
          </cell>
          <cell r="F542">
            <v>164.01579731100418</v>
          </cell>
          <cell r="G542">
            <v>0</v>
          </cell>
        </row>
        <row r="543">
          <cell r="A543" t="str">
            <v>Durham</v>
          </cell>
          <cell r="B543">
            <v>136.91002870276452</v>
          </cell>
          <cell r="C543">
            <v>67.908295027012258</v>
          </cell>
          <cell r="D543">
            <v>0</v>
          </cell>
          <cell r="F543">
            <v>169.52615260662824</v>
          </cell>
          <cell r="G543">
            <v>0</v>
          </cell>
        </row>
        <row r="544">
          <cell r="A544" t="str">
            <v>Paphos</v>
          </cell>
          <cell r="B544">
            <v>52.12065932634048</v>
          </cell>
          <cell r="C544">
            <v>91.862662062675085</v>
          </cell>
          <cell r="D544">
            <v>0</v>
          </cell>
          <cell r="F544">
            <v>225.85619041414208</v>
          </cell>
          <cell r="G544">
            <v>7.1991660694507784</v>
          </cell>
        </row>
        <row r="545">
          <cell r="A545" t="str">
            <v>Paris</v>
          </cell>
          <cell r="B545">
            <v>22.824505396659934</v>
          </cell>
          <cell r="C545">
            <v>107.49885986057724</v>
          </cell>
          <cell r="D545">
            <v>53.206506395639238</v>
          </cell>
          <cell r="F545">
            <v>169.39214281060657</v>
          </cell>
          <cell r="G545">
            <v>26.950724259995223</v>
          </cell>
        </row>
        <row r="546">
          <cell r="A546" t="str">
            <v>Marseille</v>
          </cell>
          <cell r="B546">
            <v>10.315547158338219</v>
          </cell>
          <cell r="C546">
            <v>154.19028384042392</v>
          </cell>
          <cell r="D546">
            <v>36.918800356157838</v>
          </cell>
          <cell r="F546">
            <v>152.56151323647578</v>
          </cell>
          <cell r="G546">
            <v>26.32093295980194</v>
          </cell>
        </row>
        <row r="547">
          <cell r="A547" t="str">
            <v>Lyon</v>
          </cell>
          <cell r="B547">
            <v>66.193237344452413</v>
          </cell>
          <cell r="C547">
            <v>128.12995417725367</v>
          </cell>
          <cell r="D547">
            <v>38.004647425456596</v>
          </cell>
          <cell r="F547">
            <v>123.39566095511108</v>
          </cell>
          <cell r="G547">
            <v>25.148218124959282</v>
          </cell>
        </row>
        <row r="548">
          <cell r="A548" t="str">
            <v>Bordeaux</v>
          </cell>
          <cell r="B548">
            <v>59.623862575194906</v>
          </cell>
          <cell r="C548">
            <v>116.18563641496732</v>
          </cell>
          <cell r="D548">
            <v>43.433882771950401</v>
          </cell>
          <cell r="F548">
            <v>144.96058375138449</v>
          </cell>
          <cell r="G548">
            <v>26.472951549503772</v>
          </cell>
        </row>
        <row r="549">
          <cell r="A549" t="str">
            <v>Oslo</v>
          </cell>
          <cell r="B549">
            <v>35.438980621423653</v>
          </cell>
          <cell r="C549">
            <v>112.52440662280057</v>
          </cell>
          <cell r="D549">
            <v>0</v>
          </cell>
          <cell r="F549">
            <v>168.84304143200569</v>
          </cell>
          <cell r="G549">
            <v>79.201607169057482</v>
          </cell>
        </row>
        <row r="550">
          <cell r="A550" t="str">
            <v>Denver</v>
          </cell>
          <cell r="B550">
            <v>105.48</v>
          </cell>
          <cell r="C550">
            <v>68.680000000000007</v>
          </cell>
          <cell r="D550">
            <v>0</v>
          </cell>
          <cell r="F550">
            <v>223.82</v>
          </cell>
          <cell r="G550">
            <v>0</v>
          </cell>
        </row>
        <row r="551">
          <cell r="A551" t="str">
            <v>Bergen</v>
          </cell>
          <cell r="B551">
            <v>138.70862160423462</v>
          </cell>
          <cell r="C551">
            <v>0</v>
          </cell>
          <cell r="D551">
            <v>0</v>
          </cell>
          <cell r="F551">
            <v>180.4679299797975</v>
          </cell>
          <cell r="G551">
            <v>79.794137896008024</v>
          </cell>
        </row>
        <row r="552">
          <cell r="A552" t="str">
            <v>Trondheim</v>
          </cell>
          <cell r="B552">
            <v>33.858898682888842</v>
          </cell>
          <cell r="C552">
            <v>93.224834373553932</v>
          </cell>
          <cell r="D552">
            <v>20.8345089895376</v>
          </cell>
          <cell r="F552">
            <v>174.50876381160907</v>
          </cell>
          <cell r="G552">
            <v>80.606751464397362</v>
          </cell>
        </row>
        <row r="553">
          <cell r="A553" t="str">
            <v>Scotland: Band A</v>
          </cell>
          <cell r="B553">
            <v>0</v>
          </cell>
          <cell r="C553">
            <v>0</v>
          </cell>
          <cell r="D553">
            <v>186.83958440792867</v>
          </cell>
          <cell r="F553">
            <v>216.81526785056371</v>
          </cell>
          <cell r="G553">
            <v>0</v>
          </cell>
        </row>
        <row r="554">
          <cell r="A554" t="str">
            <v>Lille</v>
          </cell>
          <cell r="B554">
            <v>19.990444545790172</v>
          </cell>
          <cell r="C554">
            <v>121.61487176146113</v>
          </cell>
          <cell r="D554">
            <v>48.863118118444199</v>
          </cell>
          <cell r="F554">
            <v>186.9394314504745</v>
          </cell>
          <cell r="G554">
            <v>29.209286164136643</v>
          </cell>
        </row>
        <row r="555">
          <cell r="A555" t="str">
            <v>Brussels</v>
          </cell>
          <cell r="B555">
            <v>25.84316024931049</v>
          </cell>
          <cell r="C555">
            <v>203.36829760896475</v>
          </cell>
          <cell r="D555">
            <v>0</v>
          </cell>
          <cell r="F555">
            <v>157.58898516732904</v>
          </cell>
          <cell r="G555">
            <v>23.204551870914504</v>
          </cell>
        </row>
        <row r="556">
          <cell r="A556" t="str">
            <v>Nancy</v>
          </cell>
          <cell r="B556">
            <v>45.76845397094273</v>
          </cell>
          <cell r="C556">
            <v>160.70536625621648</v>
          </cell>
          <cell r="D556">
            <v>49.948965187742957</v>
          </cell>
          <cell r="F556">
            <v>140.7909310052772</v>
          </cell>
          <cell r="G556">
            <v>28.101722153451909</v>
          </cell>
        </row>
        <row r="557">
          <cell r="A557" t="str">
            <v>London</v>
          </cell>
          <cell r="B557">
            <v>31.31677842458183</v>
          </cell>
          <cell r="C557">
            <v>186.11745634072656</v>
          </cell>
          <cell r="D557">
            <v>0</v>
          </cell>
          <cell r="F557">
            <v>217.49318399528408</v>
          </cell>
          <cell r="G557">
            <v>0</v>
          </cell>
        </row>
        <row r="558">
          <cell r="A558" t="str">
            <v>Antwerp</v>
          </cell>
          <cell r="B558">
            <v>73.663865181227877</v>
          </cell>
          <cell r="C558">
            <v>97.650226942037492</v>
          </cell>
          <cell r="D558">
            <v>0</v>
          </cell>
          <cell r="F558">
            <v>249.00644993159165</v>
          </cell>
          <cell r="G558">
            <v>25.224227419810195</v>
          </cell>
        </row>
        <row r="559">
          <cell r="A559" t="str">
            <v>Lemesos</v>
          </cell>
          <cell r="B559">
            <v>71.665906573718161</v>
          </cell>
          <cell r="C559">
            <v>97.726236236888397</v>
          </cell>
          <cell r="D559">
            <v>0</v>
          </cell>
          <cell r="F559">
            <v>274.77360088605121</v>
          </cell>
          <cell r="G559">
            <v>8.4696071405303268</v>
          </cell>
        </row>
        <row r="560">
          <cell r="A560" t="str">
            <v>Larnaca</v>
          </cell>
          <cell r="B560">
            <v>71.665906573718161</v>
          </cell>
          <cell r="C560">
            <v>102.06962451408344</v>
          </cell>
          <cell r="D560">
            <v>0</v>
          </cell>
          <cell r="F560">
            <v>271.46176732469002</v>
          </cell>
          <cell r="G560">
            <v>8.6867765543900806</v>
          </cell>
        </row>
        <row r="561">
          <cell r="A561" t="str">
            <v>Espoo</v>
          </cell>
          <cell r="B561">
            <v>41.902838404239155</v>
          </cell>
          <cell r="C561">
            <v>117.27148348426608</v>
          </cell>
          <cell r="D561">
            <v>0</v>
          </cell>
          <cell r="F561">
            <v>208.36319412773906</v>
          </cell>
          <cell r="G561">
            <v>88.214215909831253</v>
          </cell>
        </row>
        <row r="562">
          <cell r="A562" t="str">
            <v>Helsinki</v>
          </cell>
          <cell r="B562">
            <v>41.902838404239155</v>
          </cell>
          <cell r="C562">
            <v>117.27148348426608</v>
          </cell>
          <cell r="D562">
            <v>0</v>
          </cell>
          <cell r="F562">
            <v>208.36319412773906</v>
          </cell>
          <cell r="G562">
            <v>88.214215909831253</v>
          </cell>
        </row>
        <row r="563">
          <cell r="A563" t="str">
            <v>Vantaa</v>
          </cell>
          <cell r="B563">
            <v>41.902838404239155</v>
          </cell>
          <cell r="C563">
            <v>117.27148348426608</v>
          </cell>
          <cell r="D563">
            <v>0</v>
          </cell>
          <cell r="F563">
            <v>208.36319412773906</v>
          </cell>
          <cell r="G563">
            <v>88.214215909831253</v>
          </cell>
        </row>
        <row r="564">
          <cell r="A564" t="str">
            <v>Lefkosia</v>
          </cell>
          <cell r="B564">
            <v>45.605576910547917</v>
          </cell>
          <cell r="C564">
            <v>104.24131865268096</v>
          </cell>
          <cell r="D564">
            <v>0</v>
          </cell>
          <cell r="F564">
            <v>304.16748105196865</v>
          </cell>
          <cell r="G564">
            <v>7.4923447781614438</v>
          </cell>
        </row>
        <row r="565">
          <cell r="A565" t="str">
            <v>Lausanne</v>
          </cell>
          <cell r="B565">
            <v>135.79630554168747</v>
          </cell>
          <cell r="C565">
            <v>191.71243135297053</v>
          </cell>
          <cell r="D565">
            <v>0</v>
          </cell>
          <cell r="F565">
            <v>119.82026959560659</v>
          </cell>
          <cell r="G565">
            <v>17.773339990014978</v>
          </cell>
        </row>
        <row r="566">
          <cell r="A566" t="str">
            <v>Brest</v>
          </cell>
          <cell r="B566">
            <v>6.667101005494386</v>
          </cell>
          <cell r="C566">
            <v>143.33181314743632</v>
          </cell>
          <cell r="D566">
            <v>41.262188633352878</v>
          </cell>
          <cell r="F566">
            <v>244.20700588529112</v>
          </cell>
          <cell r="G566">
            <v>34.88826633656916</v>
          </cell>
        </row>
        <row r="567">
          <cell r="A567" t="str">
            <v>Scotland: Band B</v>
          </cell>
          <cell r="B567">
            <v>0</v>
          </cell>
          <cell r="C567">
            <v>0</v>
          </cell>
          <cell r="D567">
            <v>217.97951514258344</v>
          </cell>
          <cell r="F567">
            <v>252.95114582565765</v>
          </cell>
          <cell r="G567">
            <v>0</v>
          </cell>
        </row>
        <row r="568">
          <cell r="A568" t="str">
            <v>Eindhoven</v>
          </cell>
          <cell r="B568">
            <v>76.487067561404658</v>
          </cell>
          <cell r="C568">
            <v>50.111842248137769</v>
          </cell>
          <cell r="D568">
            <v>0</v>
          </cell>
          <cell r="F568">
            <v>339.11003974200275</v>
          </cell>
          <cell r="G568">
            <v>9.7617651529958529</v>
          </cell>
        </row>
        <row r="569">
          <cell r="A569" t="str">
            <v>Basel</v>
          </cell>
          <cell r="B569">
            <v>69.895157264103844</v>
          </cell>
          <cell r="C569">
            <v>145.78132800798801</v>
          </cell>
          <cell r="D569">
            <v>0</v>
          </cell>
          <cell r="F569">
            <v>239.64053919121318</v>
          </cell>
          <cell r="G569">
            <v>24.563155267099351</v>
          </cell>
        </row>
        <row r="570">
          <cell r="A570" t="str">
            <v>SEDIF</v>
          </cell>
          <cell r="B570">
            <v>0</v>
          </cell>
          <cell r="C570">
            <v>160.70536625621648</v>
          </cell>
          <cell r="D570">
            <v>52.12065932634048</v>
          </cell>
          <cell r="F570">
            <v>245.40143766151974</v>
          </cell>
          <cell r="G570">
            <v>36.180424349034681</v>
          </cell>
        </row>
        <row r="571">
          <cell r="A571" t="str">
            <v>Oulu</v>
          </cell>
          <cell r="B571">
            <v>45.540426086389992</v>
          </cell>
          <cell r="C571">
            <v>133.55918952374748</v>
          </cell>
          <cell r="D571">
            <v>0</v>
          </cell>
          <cell r="F571">
            <v>227.96273372858167</v>
          </cell>
          <cell r="G571">
            <v>97.693660824809442</v>
          </cell>
        </row>
        <row r="572">
          <cell r="A572" t="str">
            <v>Genk</v>
          </cell>
          <cell r="B572">
            <v>57.75620561600104</v>
          </cell>
          <cell r="C572">
            <v>107.22739809325255</v>
          </cell>
          <cell r="D572">
            <v>0</v>
          </cell>
          <cell r="F572">
            <v>315.01509327426322</v>
          </cell>
          <cell r="G572">
            <v>28.796664277803114</v>
          </cell>
        </row>
        <row r="573">
          <cell r="A573" t="str">
            <v>Birmingham</v>
          </cell>
          <cell r="B573">
            <v>43.504531722054381</v>
          </cell>
          <cell r="C573">
            <v>218.68690590229164</v>
          </cell>
          <cell r="D573">
            <v>0</v>
          </cell>
          <cell r="F573">
            <v>247.33623167047384</v>
          </cell>
          <cell r="G573">
            <v>0</v>
          </cell>
        </row>
        <row r="574">
          <cell r="A574" t="str">
            <v>Geneva</v>
          </cell>
          <cell r="B574">
            <v>197.70344483275088</v>
          </cell>
          <cell r="C574">
            <v>128.80678981527709</v>
          </cell>
          <cell r="D574">
            <v>0</v>
          </cell>
          <cell r="F574">
            <v>165.50174737893158</v>
          </cell>
          <cell r="G574">
            <v>21.407888167748379</v>
          </cell>
        </row>
        <row r="575">
          <cell r="A575" t="str">
            <v>Leeds</v>
          </cell>
          <cell r="B575">
            <v>32.996831478888808</v>
          </cell>
          <cell r="C575">
            <v>186.57431287303808</v>
          </cell>
          <cell r="D575">
            <v>0</v>
          </cell>
          <cell r="F575">
            <v>298.94628251418465</v>
          </cell>
          <cell r="G575">
            <v>0</v>
          </cell>
        </row>
        <row r="576">
          <cell r="A576" t="str">
            <v>Calgary</v>
          </cell>
          <cell r="B576">
            <v>136.39208407967715</v>
          </cell>
          <cell r="C576">
            <v>127.31366582500665</v>
          </cell>
          <cell r="D576">
            <v>0</v>
          </cell>
          <cell r="F576">
            <v>257.1738927135263</v>
          </cell>
          <cell r="G576">
            <v>0</v>
          </cell>
        </row>
        <row r="577">
          <cell r="A577" t="str">
            <v>New York</v>
          </cell>
          <cell r="B577">
            <v>178.85</v>
          </cell>
          <cell r="C577">
            <v>134.55000000000001</v>
          </cell>
          <cell r="D577">
            <v>0</v>
          </cell>
          <cell r="F577">
            <v>213.93</v>
          </cell>
          <cell r="G577">
            <v>0</v>
          </cell>
        </row>
        <row r="578">
          <cell r="A578" t="str">
            <v>Scotland: Band C</v>
          </cell>
          <cell r="B578">
            <v>0</v>
          </cell>
          <cell r="C578">
            <v>0</v>
          </cell>
          <cell r="D578">
            <v>249.11944587723823</v>
          </cell>
          <cell r="F578">
            <v>289.08702380075158</v>
          </cell>
          <cell r="G578">
            <v>0</v>
          </cell>
        </row>
        <row r="579">
          <cell r="A579" t="str">
            <v>Louvain</v>
          </cell>
          <cell r="B579">
            <v>57.75620561600104</v>
          </cell>
          <cell r="C579">
            <v>138.4455013355919</v>
          </cell>
          <cell r="D579">
            <v>0</v>
          </cell>
          <cell r="F579">
            <v>315.01509327426322</v>
          </cell>
          <cell r="G579">
            <v>30.675179707689971</v>
          </cell>
        </row>
        <row r="580">
          <cell r="A580" t="str">
            <v>Le Havre</v>
          </cell>
          <cell r="B580">
            <v>32.977175494603344</v>
          </cell>
          <cell r="C580">
            <v>163.96290746411276</v>
          </cell>
          <cell r="D580">
            <v>56.464047603535519</v>
          </cell>
          <cell r="F580">
            <v>250.83067300801355</v>
          </cell>
          <cell r="G580">
            <v>39.047060611983412</v>
          </cell>
        </row>
        <row r="581">
          <cell r="A581" t="str">
            <v>Zürich</v>
          </cell>
          <cell r="B581">
            <v>107.83824263604592</v>
          </cell>
          <cell r="C581">
            <v>119.82026959560659</v>
          </cell>
          <cell r="D581">
            <v>0</v>
          </cell>
          <cell r="F581">
            <v>291.18322516225658</v>
          </cell>
          <cell r="G581">
            <v>28.986520219670492</v>
          </cell>
        </row>
        <row r="582">
          <cell r="A582" t="str">
            <v>Kortrijk</v>
          </cell>
          <cell r="B582">
            <v>57.75620561600104</v>
          </cell>
          <cell r="C582">
            <v>145.91612917236736</v>
          </cell>
          <cell r="D582">
            <v>0</v>
          </cell>
          <cell r="F582">
            <v>315.01509327426322</v>
          </cell>
          <cell r="G582">
            <v>31.120377006102462</v>
          </cell>
        </row>
        <row r="583">
          <cell r="A583" t="str">
            <v>Tampere</v>
          </cell>
          <cell r="B583">
            <v>83.523356570460621</v>
          </cell>
          <cell r="C583">
            <v>118.35733055356484</v>
          </cell>
          <cell r="D583">
            <v>0</v>
          </cell>
          <cell r="F583">
            <v>257.25888765826221</v>
          </cell>
          <cell r="G583">
            <v>110.19176059243817</v>
          </cell>
        </row>
        <row r="584">
          <cell r="A584" t="str">
            <v>Amsterdam</v>
          </cell>
          <cell r="B584">
            <v>45.76845397094273</v>
          </cell>
          <cell r="C584">
            <v>134.64503659304623</v>
          </cell>
          <cell r="D584">
            <v>0</v>
          </cell>
          <cell r="F584">
            <v>377.11468716745929</v>
          </cell>
          <cell r="G584">
            <v>12.997589419506157</v>
          </cell>
        </row>
        <row r="585">
          <cell r="A585" t="str">
            <v>Charleroi</v>
          </cell>
          <cell r="B585">
            <v>113.74248050904511</v>
          </cell>
          <cell r="C585">
            <v>241.81814233283384</v>
          </cell>
          <cell r="D585">
            <v>0</v>
          </cell>
          <cell r="F585">
            <v>190.83762242925707</v>
          </cell>
          <cell r="G585">
            <v>32.781723022129569</v>
          </cell>
        </row>
        <row r="586">
          <cell r="A586" t="str">
            <v>Liège</v>
          </cell>
          <cell r="B586">
            <v>114.1008100419137</v>
          </cell>
          <cell r="C586">
            <v>243.34918670054512</v>
          </cell>
          <cell r="D586">
            <v>0</v>
          </cell>
          <cell r="F586">
            <v>190.83762242925707</v>
          </cell>
          <cell r="G586">
            <v>32.901166199752431</v>
          </cell>
        </row>
        <row r="587">
          <cell r="A587" t="str">
            <v>Utrecht</v>
          </cell>
          <cell r="B587">
            <v>48.863118118444199</v>
          </cell>
          <cell r="C587">
            <v>73.837600712315677</v>
          </cell>
          <cell r="D587">
            <v>0</v>
          </cell>
          <cell r="F587">
            <v>466.15414684995761</v>
          </cell>
          <cell r="G587">
            <v>9.5337372684431116</v>
          </cell>
        </row>
        <row r="588">
          <cell r="A588" t="str">
            <v>Scotland: Band D</v>
          </cell>
          <cell r="B588">
            <v>0</v>
          </cell>
          <cell r="C588">
            <v>0</v>
          </cell>
          <cell r="D588">
            <v>280.259376611893</v>
          </cell>
          <cell r="F588">
            <v>325.22290177584557</v>
          </cell>
          <cell r="G588">
            <v>0</v>
          </cell>
        </row>
        <row r="589">
          <cell r="A589" t="str">
            <v>Cardiff</v>
          </cell>
          <cell r="B589">
            <v>50.696337779087763</v>
          </cell>
          <cell r="C589">
            <v>192.74924471299093</v>
          </cell>
          <cell r="D589">
            <v>0</v>
          </cell>
          <cell r="F589">
            <v>364.79257239702309</v>
          </cell>
          <cell r="G589">
            <v>0</v>
          </cell>
        </row>
        <row r="590">
          <cell r="A590" t="str">
            <v>Turku</v>
          </cell>
          <cell r="B590">
            <v>117.27148348426608</v>
          </cell>
          <cell r="C590">
            <v>137.90257780094251</v>
          </cell>
          <cell r="D590">
            <v>0</v>
          </cell>
          <cell r="F590">
            <v>236.71466110712967</v>
          </cell>
          <cell r="G590">
            <v>118.05329337416119</v>
          </cell>
        </row>
        <row r="591">
          <cell r="A591" t="str">
            <v>Copenhagen</v>
          </cell>
          <cell r="B591">
            <v>55.872831108362739</v>
          </cell>
          <cell r="C591">
            <v>126.15037648685025</v>
          </cell>
          <cell r="D591">
            <v>95.012913317085591</v>
          </cell>
          <cell r="F591">
            <v>215.2268014986723</v>
          </cell>
          <cell r="G591">
            <v>123.0657306027427</v>
          </cell>
        </row>
        <row r="592">
          <cell r="A592" t="str">
            <v>Manchester</v>
          </cell>
          <cell r="B592">
            <v>51.271092771350673</v>
          </cell>
          <cell r="C592">
            <v>257.90288114361505</v>
          </cell>
          <cell r="D592">
            <v>0</v>
          </cell>
          <cell r="F592">
            <v>318.9742833984231</v>
          </cell>
          <cell r="G592">
            <v>0</v>
          </cell>
        </row>
        <row r="593">
          <cell r="A593" t="str">
            <v>Vancouver</v>
          </cell>
          <cell r="B593">
            <v>408.60075821337881</v>
          </cell>
          <cell r="C593">
            <v>0</v>
          </cell>
          <cell r="D593">
            <v>0</v>
          </cell>
          <cell r="F593">
            <v>225.88140506866364</v>
          </cell>
          <cell r="G593">
            <v>0</v>
          </cell>
        </row>
        <row r="594">
          <cell r="A594" t="str">
            <v>Washington D.C.</v>
          </cell>
          <cell r="B594">
            <v>46.32</v>
          </cell>
          <cell r="C594">
            <v>108.79</v>
          </cell>
          <cell r="D594">
            <v>75.599999999999994</v>
          </cell>
          <cell r="F594">
            <v>435.74</v>
          </cell>
          <cell r="G594">
            <v>0</v>
          </cell>
        </row>
        <row r="595">
          <cell r="A595" t="str">
            <v>Den Haag</v>
          </cell>
          <cell r="B595">
            <v>66.432123699698138</v>
          </cell>
          <cell r="C595">
            <v>115.09978934566855</v>
          </cell>
          <cell r="D595">
            <v>20.30534019588681</v>
          </cell>
          <cell r="F595">
            <v>457.4673702955676</v>
          </cell>
          <cell r="G595">
            <v>13.062740243664082</v>
          </cell>
        </row>
        <row r="596">
          <cell r="A596" t="str">
            <v>Bern</v>
          </cell>
          <cell r="B596">
            <v>4.8227658512231653</v>
          </cell>
          <cell r="C596">
            <v>259.61058412381425</v>
          </cell>
          <cell r="D596">
            <v>0</v>
          </cell>
          <cell r="F596">
            <v>377.76335496754865</v>
          </cell>
          <cell r="G596">
            <v>36.834747878182725</v>
          </cell>
        </row>
        <row r="597">
          <cell r="A597" t="str">
            <v>Scotland: Band E</v>
          </cell>
          <cell r="B597">
            <v>0</v>
          </cell>
          <cell r="C597">
            <v>0</v>
          </cell>
          <cell r="D597">
            <v>342.5392380812026</v>
          </cell>
          <cell r="F597">
            <v>397.49465772603349</v>
          </cell>
          <cell r="G597">
            <v>0</v>
          </cell>
        </row>
        <row r="598">
          <cell r="A598" t="str">
            <v>Rotterdam</v>
          </cell>
          <cell r="B598">
            <v>64.890220861293898</v>
          </cell>
          <cell r="C598">
            <v>99.246422133906663</v>
          </cell>
          <cell r="D598">
            <v>9.1754077355745203</v>
          </cell>
          <cell r="F598">
            <v>623.60197189827795</v>
          </cell>
          <cell r="G598">
            <v>12.020327057137273</v>
          </cell>
        </row>
        <row r="599">
          <cell r="A599" t="str">
            <v>Aalborg</v>
          </cell>
          <cell r="B599">
            <v>141.87043032265103</v>
          </cell>
          <cell r="C599">
            <v>63.991851878796702</v>
          </cell>
          <cell r="D599">
            <v>95.012913317085591</v>
          </cell>
          <cell r="F599">
            <v>380.63366192572119</v>
          </cell>
          <cell r="G599">
            <v>170.37721436106364</v>
          </cell>
        </row>
        <row r="600">
          <cell r="A600" t="str">
            <v>Esbjerg</v>
          </cell>
          <cell r="B600">
            <v>96.32243279618784</v>
          </cell>
          <cell r="C600">
            <v>70.626750572914773</v>
          </cell>
          <cell r="D600">
            <v>95.012913317085591</v>
          </cell>
          <cell r="F600">
            <v>425.5996507948056</v>
          </cell>
          <cell r="G600">
            <v>171.89043687024844</v>
          </cell>
        </row>
        <row r="601">
          <cell r="A601" t="str">
            <v>Scotland: Band F</v>
          </cell>
          <cell r="B601">
            <v>0</v>
          </cell>
          <cell r="C601">
            <v>0</v>
          </cell>
          <cell r="D601">
            <v>404.81909955051214</v>
          </cell>
          <cell r="F601">
            <v>469.76641367622136</v>
          </cell>
          <cell r="G601">
            <v>0</v>
          </cell>
        </row>
        <row r="602">
          <cell r="A602" t="str">
            <v>Aarhus</v>
          </cell>
          <cell r="B602">
            <v>80.026190389582041</v>
          </cell>
          <cell r="C602">
            <v>155.83281801316795</v>
          </cell>
          <cell r="D602">
            <v>95.012913317085591</v>
          </cell>
          <cell r="F602">
            <v>434.64406533047179</v>
          </cell>
          <cell r="G602">
            <v>191.37899676257683</v>
          </cell>
        </row>
        <row r="603">
          <cell r="A603" t="str">
            <v>Odense</v>
          </cell>
          <cell r="B603">
            <v>69.841038885453429</v>
          </cell>
          <cell r="C603">
            <v>127.31439380160781</v>
          </cell>
          <cell r="D603">
            <v>95.012913317085591</v>
          </cell>
          <cell r="F603">
            <v>500.58564621148741</v>
          </cell>
          <cell r="G603">
            <v>198.18849805390855</v>
          </cell>
        </row>
        <row r="604">
          <cell r="A604" t="str">
            <v>Scotland: Band G</v>
          </cell>
          <cell r="B604">
            <v>0</v>
          </cell>
          <cell r="C604">
            <v>0</v>
          </cell>
          <cell r="D604">
            <v>467.09896101982167</v>
          </cell>
          <cell r="F604">
            <v>542.03816962640929</v>
          </cell>
          <cell r="G604">
            <v>0</v>
          </cell>
        </row>
        <row r="605">
          <cell r="A605" t="str">
            <v>Scotland: Band H</v>
          </cell>
          <cell r="B605">
            <v>0</v>
          </cell>
          <cell r="C605">
            <v>0</v>
          </cell>
          <cell r="D605">
            <v>560.51875322378601</v>
          </cell>
          <cell r="F605">
            <v>650.44580355169114</v>
          </cell>
          <cell r="G605">
            <v>0</v>
          </cell>
        </row>
      </sheetData>
      <sheetData sheetId="18">
        <row r="436">
          <cell r="B436" t="str">
            <v>FIXED CHARGE</v>
          </cell>
          <cell r="C436" t="str">
            <v>VARIABLE CHARGE</v>
          </cell>
          <cell r="D436" t="str">
            <v>OTHER CHARGES DRINKING WATER</v>
          </cell>
          <cell r="E436" t="str">
            <v>TOTAL CHARGE DRINKING WATER</v>
          </cell>
          <cell r="F436" t="str">
            <v>ENVIRONMENTAL CHARGES</v>
          </cell>
          <cell r="G436" t="str">
            <v>VAT &amp; OTHER TAXES</v>
          </cell>
          <cell r="H436" t="str">
            <v>TOTAL ANNUAL CHARGES 200 m³</v>
          </cell>
        </row>
        <row r="437">
          <cell r="A437" t="str">
            <v>Guadalajara</v>
          </cell>
          <cell r="B437">
            <v>0</v>
          </cell>
          <cell r="C437">
            <v>0.99576049181305393</v>
          </cell>
          <cell r="D437">
            <v>0</v>
          </cell>
          <cell r="F437">
            <v>4.6314441479676935E-2</v>
          </cell>
          <cell r="G437">
            <v>6.7155940145531542E-2</v>
          </cell>
        </row>
        <row r="438">
          <cell r="A438" t="str">
            <v>San Luis Potosi</v>
          </cell>
          <cell r="B438">
            <v>0.12736471406911157</v>
          </cell>
          <cell r="C438">
            <v>0.97260327107321554</v>
          </cell>
          <cell r="D438">
            <v>0</v>
          </cell>
          <cell r="F438">
            <v>0.34735831109757698</v>
          </cell>
          <cell r="G438">
            <v>6.7155940145531542E-2</v>
          </cell>
        </row>
        <row r="439">
          <cell r="A439" t="str">
            <v>Monterrey</v>
          </cell>
          <cell r="B439">
            <v>0.21999359702846541</v>
          </cell>
          <cell r="C439">
            <v>1.0304963229228117</v>
          </cell>
          <cell r="D439">
            <v>0</v>
          </cell>
          <cell r="F439">
            <v>0.26630803850814233</v>
          </cell>
          <cell r="G439">
            <v>6.7155940145531542E-2</v>
          </cell>
        </row>
        <row r="440">
          <cell r="A440" t="str">
            <v>Puebla</v>
          </cell>
          <cell r="B440">
            <v>0.27788664887806158</v>
          </cell>
          <cell r="C440">
            <v>1.2620685303211963</v>
          </cell>
          <cell r="D440">
            <v>0</v>
          </cell>
          <cell r="F440">
            <v>0.39367275257725387</v>
          </cell>
          <cell r="G440">
            <v>6.7155940145531542E-2</v>
          </cell>
        </row>
        <row r="441">
          <cell r="A441" t="str">
            <v>León, Guanajuato</v>
          </cell>
          <cell r="B441">
            <v>0.37051553183741548</v>
          </cell>
          <cell r="C441">
            <v>2.1188856976952195</v>
          </cell>
          <cell r="D441">
            <v>0</v>
          </cell>
          <cell r="F441">
            <v>0.27788664887806158</v>
          </cell>
          <cell r="G441">
            <v>6.7155940145531542E-2</v>
          </cell>
        </row>
        <row r="442">
          <cell r="A442" t="str">
            <v>Mulonga</v>
          </cell>
          <cell r="B442">
            <v>0.45205790319270417</v>
          </cell>
          <cell r="C442">
            <v>67.933453460186811</v>
          </cell>
          <cell r="D442">
            <v>0</v>
          </cell>
          <cell r="F442">
            <v>15.270515969849544</v>
          </cell>
          <cell r="G442">
            <v>0</v>
          </cell>
        </row>
        <row r="443">
          <cell r="A443" t="str">
            <v>Kenya Average</v>
          </cell>
          <cell r="B443">
            <v>5.8330000421920332</v>
          </cell>
          <cell r="C443">
            <v>44.749609723688842</v>
          </cell>
          <cell r="D443">
            <v>0</v>
          </cell>
          <cell r="F443">
            <v>33.56220729276663</v>
          </cell>
          <cell r="G443">
            <v>0</v>
          </cell>
        </row>
        <row r="444">
          <cell r="A444" t="str">
            <v>Thailand Average</v>
          </cell>
          <cell r="B444" t="str">
            <v>n/a</v>
          </cell>
          <cell r="C444" t="str">
            <v>n/a</v>
          </cell>
          <cell r="D444" t="str">
            <v>n/a</v>
          </cell>
          <cell r="E444">
            <v>66.274095207430534</v>
          </cell>
          <cell r="F444">
            <v>18.577437431157538</v>
          </cell>
          <cell r="G444">
            <v>0</v>
          </cell>
        </row>
        <row r="445">
          <cell r="A445" t="str">
            <v>Mauritius</v>
          </cell>
          <cell r="B445">
            <v>18.410098329450939</v>
          </cell>
          <cell r="C445">
            <v>20.418472692663769</v>
          </cell>
          <cell r="D445">
            <v>0</v>
          </cell>
          <cell r="F445">
            <v>46.234869897787689</v>
          </cell>
          <cell r="G445">
            <v>0</v>
          </cell>
        </row>
        <row r="446">
          <cell r="A446" t="str">
            <v>Taipei</v>
          </cell>
          <cell r="B446">
            <v>23.588728700587662</v>
          </cell>
          <cell r="C446">
            <v>28.911313638156159</v>
          </cell>
          <cell r="D446">
            <v>0</v>
          </cell>
          <cell r="F446">
            <v>31.451638267450218</v>
          </cell>
          <cell r="G446">
            <v>2.6310505089117009</v>
          </cell>
        </row>
        <row r="447">
          <cell r="A447" t="str">
            <v>Kafubu</v>
          </cell>
          <cell r="B447">
            <v>0.45205790319270417</v>
          </cell>
          <cell r="C447">
            <v>60.485347447183813</v>
          </cell>
          <cell r="D447">
            <v>0</v>
          </cell>
          <cell r="F447">
            <v>25.651573658766804</v>
          </cell>
          <cell r="G447">
            <v>0</v>
          </cell>
        </row>
        <row r="448">
          <cell r="A448" t="str">
            <v>Lusaka</v>
          </cell>
          <cell r="B448">
            <v>0.90411580638540834</v>
          </cell>
          <cell r="C448">
            <v>82.182318568820847</v>
          </cell>
          <cell r="D448">
            <v>0</v>
          </cell>
          <cell r="F448">
            <v>26.706676804818574</v>
          </cell>
          <cell r="G448">
            <v>0</v>
          </cell>
        </row>
        <row r="449">
          <cell r="A449" t="str">
            <v>Sao Paulo (SABESP)</v>
          </cell>
          <cell r="B449" t="str">
            <v>n/a</v>
          </cell>
          <cell r="C449" t="str">
            <v>n/a</v>
          </cell>
          <cell r="D449" t="str">
            <v>n/a</v>
          </cell>
          <cell r="F449" t="str">
            <v>n/a</v>
          </cell>
          <cell r="G449" t="str">
            <v>n/a</v>
          </cell>
          <cell r="H449">
            <v>110.07710446721167</v>
          </cell>
        </row>
        <row r="450">
          <cell r="A450" t="str">
            <v>Brazil Average</v>
          </cell>
          <cell r="B450" t="str">
            <v>n/a</v>
          </cell>
          <cell r="C450" t="str">
            <v>n/a</v>
          </cell>
          <cell r="D450" t="str">
            <v>n/a</v>
          </cell>
          <cell r="F450" t="str">
            <v>n/a</v>
          </cell>
          <cell r="G450" t="str">
            <v>n/a</v>
          </cell>
          <cell r="H450">
            <v>135.32414677620517</v>
          </cell>
        </row>
        <row r="451">
          <cell r="A451" t="str">
            <v>Kaohsiung</v>
          </cell>
          <cell r="B451">
            <v>28.548410119685581</v>
          </cell>
          <cell r="C451">
            <v>47.177457401175324</v>
          </cell>
          <cell r="D451">
            <v>2.3588728700587662</v>
          </cell>
          <cell r="F451">
            <v>54.435527770586916</v>
          </cell>
          <cell r="G451">
            <v>3.3266155859803113</v>
          </cell>
        </row>
        <row r="452">
          <cell r="A452" t="str">
            <v>Russia Average</v>
          </cell>
          <cell r="B452">
            <v>0</v>
          </cell>
          <cell r="C452">
            <v>69.373075082106553</v>
          </cell>
          <cell r="D452">
            <v>6.2194660519898051</v>
          </cell>
          <cell r="F452">
            <v>70.441617707778803</v>
          </cell>
          <cell r="G452">
            <v>0</v>
          </cell>
        </row>
        <row r="453">
          <cell r="A453" t="str">
            <v>Gwangju</v>
          </cell>
          <cell r="B453">
            <v>0</v>
          </cell>
          <cell r="C453">
            <v>90.043657489822451</v>
          </cell>
          <cell r="D453">
            <v>0</v>
          </cell>
          <cell r="F453">
            <v>59.538794810340121</v>
          </cell>
          <cell r="G453">
            <v>0</v>
          </cell>
        </row>
        <row r="454">
          <cell r="A454" t="str">
            <v>Daejeon</v>
          </cell>
          <cell r="B454">
            <v>0</v>
          </cell>
          <cell r="C454">
            <v>86.322270986620239</v>
          </cell>
          <cell r="D454">
            <v>0</v>
          </cell>
          <cell r="F454">
            <v>65.227635653350077</v>
          </cell>
          <cell r="G454">
            <v>0</v>
          </cell>
        </row>
        <row r="455">
          <cell r="A455" t="str">
            <v>Gyeounggi</v>
          </cell>
          <cell r="B455">
            <v>0</v>
          </cell>
          <cell r="C455">
            <v>107.49994272182887</v>
          </cell>
          <cell r="D455">
            <v>0</v>
          </cell>
          <cell r="F455">
            <v>52.450197477510017</v>
          </cell>
          <cell r="G455">
            <v>0</v>
          </cell>
        </row>
        <row r="456">
          <cell r="A456" t="str">
            <v>Entebbe</v>
          </cell>
          <cell r="B456">
            <v>6.8004827155024818</v>
          </cell>
          <cell r="C456">
            <v>136.9877455254429</v>
          </cell>
          <cell r="D456">
            <v>0</v>
          </cell>
          <cell r="F456">
            <v>17.160841153035896</v>
          </cell>
          <cell r="G456">
            <v>0</v>
          </cell>
        </row>
        <row r="457">
          <cell r="A457" t="str">
            <v>Daegu</v>
          </cell>
          <cell r="B457">
            <v>0</v>
          </cell>
          <cell r="C457">
            <v>98.111745441437108</v>
          </cell>
          <cell r="D457">
            <v>0</v>
          </cell>
          <cell r="F457">
            <v>65.393708457227035</v>
          </cell>
          <cell r="G457">
            <v>0</v>
          </cell>
        </row>
        <row r="458">
          <cell r="A458" t="str">
            <v>Mbarara</v>
          </cell>
          <cell r="B458">
            <v>6.0869788442192148</v>
          </cell>
          <cell r="C458">
            <v>141.14617661703821</v>
          </cell>
          <cell r="D458">
            <v>0</v>
          </cell>
          <cell r="F458">
            <v>19.834055286360471</v>
          </cell>
          <cell r="G458">
            <v>0</v>
          </cell>
        </row>
        <row r="459">
          <cell r="A459" t="str">
            <v>NWWSC of Zambia</v>
          </cell>
          <cell r="B459">
            <v>0.45205790319270417</v>
          </cell>
          <cell r="C459">
            <v>119.28723126287801</v>
          </cell>
          <cell r="D459">
            <v>0</v>
          </cell>
          <cell r="F459">
            <v>47.714711681989925</v>
          </cell>
          <cell r="G459">
            <v>0</v>
          </cell>
        </row>
        <row r="460">
          <cell r="A460" t="str">
            <v>Kampala</v>
          </cell>
          <cell r="B460">
            <v>6.2107469240751092</v>
          </cell>
          <cell r="C460">
            <v>134.41830842819701</v>
          </cell>
          <cell r="D460">
            <v>0</v>
          </cell>
          <cell r="F460">
            <v>29.415057002521024</v>
          </cell>
          <cell r="G460">
            <v>0</v>
          </cell>
        </row>
        <row r="461">
          <cell r="A461" t="str">
            <v>Hong Kong</v>
          </cell>
          <cell r="B461">
            <v>0</v>
          </cell>
          <cell r="C461">
            <v>114.49633598349713</v>
          </cell>
          <cell r="D461">
            <v>0</v>
          </cell>
          <cell r="F461">
            <v>55.815484810214492</v>
          </cell>
          <cell r="G461">
            <v>0</v>
          </cell>
        </row>
        <row r="462">
          <cell r="A462" t="str">
            <v>Seoul</v>
          </cell>
          <cell r="B462">
            <v>0</v>
          </cell>
          <cell r="C462">
            <v>97.313579210559041</v>
          </cell>
          <cell r="D462">
            <v>0</v>
          </cell>
          <cell r="F462">
            <v>75.544484939094673</v>
          </cell>
          <cell r="G462">
            <v>0</v>
          </cell>
        </row>
        <row r="463">
          <cell r="A463" t="str">
            <v>Incheon</v>
          </cell>
          <cell r="B463">
            <v>0</v>
          </cell>
          <cell r="C463">
            <v>112.47195911545151</v>
          </cell>
          <cell r="D463">
            <v>0</v>
          </cell>
          <cell r="F463">
            <v>70.65042108606734</v>
          </cell>
          <cell r="G463">
            <v>0</v>
          </cell>
        </row>
        <row r="464">
          <cell r="A464" t="str">
            <v>Jinja</v>
          </cell>
          <cell r="B464">
            <v>5.6983294343154336</v>
          </cell>
          <cell r="C464">
            <v>138.68110452774681</v>
          </cell>
          <cell r="D464">
            <v>0</v>
          </cell>
          <cell r="F464">
            <v>48.637327552111621</v>
          </cell>
          <cell r="G464">
            <v>0</v>
          </cell>
        </row>
        <row r="465">
          <cell r="A465" t="str">
            <v>Miami</v>
          </cell>
          <cell r="B465">
            <v>38.4</v>
          </cell>
          <cell r="C465">
            <v>26.24</v>
          </cell>
          <cell r="D465">
            <v>0</v>
          </cell>
          <cell r="F465">
            <v>136.88</v>
          </cell>
          <cell r="G465">
            <v>0</v>
          </cell>
        </row>
        <row r="466">
          <cell r="A466" t="str">
            <v>Busan</v>
          </cell>
          <cell r="B466">
            <v>0</v>
          </cell>
          <cell r="C466">
            <v>121.17891897585818</v>
          </cell>
          <cell r="D466">
            <v>0</v>
          </cell>
          <cell r="F466">
            <v>83.173666194748776</v>
          </cell>
          <cell r="G466">
            <v>0</v>
          </cell>
        </row>
        <row r="467">
          <cell r="A467" t="str">
            <v>Brasilia Federal District</v>
          </cell>
          <cell r="B467" t="str">
            <v>n/a</v>
          </cell>
          <cell r="C467" t="str">
            <v>n/a</v>
          </cell>
          <cell r="D467" t="str">
            <v>n/a</v>
          </cell>
          <cell r="F467" t="str">
            <v>n/a</v>
          </cell>
          <cell r="G467" t="str">
            <v>n/a</v>
          </cell>
          <cell r="H467">
            <v>212.5800962417253</v>
          </cell>
        </row>
        <row r="468">
          <cell r="A468" t="str">
            <v>Ulsan</v>
          </cell>
          <cell r="B468">
            <v>0</v>
          </cell>
          <cell r="C468">
            <v>147.76412455975458</v>
          </cell>
          <cell r="D468">
            <v>0</v>
          </cell>
          <cell r="F468">
            <v>67.793291011204431</v>
          </cell>
          <cell r="G468">
            <v>0</v>
          </cell>
        </row>
        <row r="469">
          <cell r="A469" t="str">
            <v>Gran Santiago</v>
          </cell>
          <cell r="B469">
            <v>10.266807607901336</v>
          </cell>
          <cell r="C469">
            <v>94.520731356743156</v>
          </cell>
          <cell r="D469">
            <v>0</v>
          </cell>
          <cell r="F469">
            <v>127.27466044995059</v>
          </cell>
          <cell r="G469">
            <v>0</v>
          </cell>
        </row>
        <row r="470">
          <cell r="A470" t="str">
            <v>Severin</v>
          </cell>
          <cell r="B470">
            <v>0</v>
          </cell>
          <cell r="C470">
            <v>148.98382016551096</v>
          </cell>
          <cell r="D470">
            <v>0</v>
          </cell>
          <cell r="F470">
            <v>59.401909004898265</v>
          </cell>
          <cell r="G470">
            <v>50.012575000898217</v>
          </cell>
        </row>
        <row r="471">
          <cell r="A471" t="str">
            <v>Apaserv SA Valea Jiului</v>
          </cell>
          <cell r="B471">
            <v>0</v>
          </cell>
          <cell r="C471">
            <v>142.75620067306195</v>
          </cell>
          <cell r="D471">
            <v>0</v>
          </cell>
          <cell r="F471">
            <v>66.108576150612578</v>
          </cell>
          <cell r="G471">
            <v>50.127546437681886</v>
          </cell>
        </row>
        <row r="472">
          <cell r="A472" t="str">
            <v>Deva</v>
          </cell>
          <cell r="B472">
            <v>0</v>
          </cell>
          <cell r="C472">
            <v>146.10953424591912</v>
          </cell>
          <cell r="D472">
            <v>0</v>
          </cell>
          <cell r="F472">
            <v>70.420005030000354</v>
          </cell>
          <cell r="G472">
            <v>51.967089426220674</v>
          </cell>
        </row>
        <row r="473">
          <cell r="A473" t="str">
            <v>Concepcion</v>
          </cell>
          <cell r="B473">
            <v>10.80827622831805</v>
          </cell>
          <cell r="C473">
            <v>115.19076853665082</v>
          </cell>
          <cell r="D473">
            <v>0</v>
          </cell>
          <cell r="F473">
            <v>146.31607253260486</v>
          </cell>
          <cell r="G473">
            <v>0</v>
          </cell>
        </row>
        <row r="474">
          <cell r="A474" t="str">
            <v>Sibiu</v>
          </cell>
          <cell r="B474">
            <v>0</v>
          </cell>
          <cell r="C474">
            <v>133.17524760775578</v>
          </cell>
          <cell r="D474">
            <v>0</v>
          </cell>
          <cell r="F474">
            <v>88.144768200816785</v>
          </cell>
          <cell r="G474">
            <v>53.116803794057411</v>
          </cell>
        </row>
        <row r="475">
          <cell r="A475" t="str">
            <v>Osaka</v>
          </cell>
          <cell r="B475">
            <v>84.783843590765343</v>
          </cell>
          <cell r="C475">
            <v>74.47678809541739</v>
          </cell>
          <cell r="D475">
            <v>0</v>
          </cell>
          <cell r="F475">
            <v>95.423384747253536</v>
          </cell>
          <cell r="G475">
            <v>20.314873895669656</v>
          </cell>
        </row>
        <row r="476">
          <cell r="A476" t="str">
            <v>Baia Mare</v>
          </cell>
          <cell r="B476">
            <v>0</v>
          </cell>
          <cell r="C476">
            <v>145.1514389393885</v>
          </cell>
          <cell r="D476">
            <v>0</v>
          </cell>
          <cell r="F476">
            <v>92.935244733469858</v>
          </cell>
          <cell r="G476">
            <v>57.14080408148601</v>
          </cell>
        </row>
        <row r="477">
          <cell r="A477" t="str">
            <v>Lisbon</v>
          </cell>
          <cell r="B477">
            <v>55.899407127500162</v>
          </cell>
          <cell r="C477">
            <v>134.22155623601972</v>
          </cell>
          <cell r="D477">
            <v>24.14923882120442</v>
          </cell>
          <cell r="F477">
            <v>71.01439833213891</v>
          </cell>
          <cell r="G477">
            <v>11.792299172584533</v>
          </cell>
        </row>
        <row r="478">
          <cell r="A478" t="str">
            <v>Nagoya</v>
          </cell>
          <cell r="B478">
            <v>62.341061463798042</v>
          </cell>
          <cell r="C478">
            <v>96.154853201762108</v>
          </cell>
          <cell r="D478">
            <v>0</v>
          </cell>
          <cell r="F478">
            <v>120.49280359722886</v>
          </cell>
          <cell r="G478">
            <v>22.243290730283142</v>
          </cell>
        </row>
        <row r="479">
          <cell r="A479" t="str">
            <v>Craiova</v>
          </cell>
          <cell r="B479">
            <v>0</v>
          </cell>
          <cell r="C479">
            <v>146.58858189918442</v>
          </cell>
          <cell r="D479">
            <v>0</v>
          </cell>
          <cell r="F479">
            <v>98.683816572653569</v>
          </cell>
          <cell r="G479">
            <v>58.865375633241115</v>
          </cell>
        </row>
        <row r="480">
          <cell r="A480" t="str">
            <v>Giurgiu</v>
          </cell>
          <cell r="B480">
            <v>0</v>
          </cell>
          <cell r="C480">
            <v>129.34286638163331</v>
          </cell>
          <cell r="D480">
            <v>0</v>
          </cell>
          <cell r="F480">
            <v>121.67810392938837</v>
          </cell>
          <cell r="G480">
            <v>60.245032874645212</v>
          </cell>
        </row>
        <row r="481">
          <cell r="A481" t="str">
            <v>Kaposvár</v>
          </cell>
          <cell r="B481">
            <v>0</v>
          </cell>
          <cell r="C481">
            <v>149.97264445255973</v>
          </cell>
          <cell r="D481">
            <v>0</v>
          </cell>
          <cell r="F481">
            <v>95.437137378901653</v>
          </cell>
          <cell r="G481">
            <v>66.262018253764111</v>
          </cell>
        </row>
        <row r="482">
          <cell r="A482" t="str">
            <v>Calarasi</v>
          </cell>
          <cell r="B482">
            <v>0</v>
          </cell>
          <cell r="C482">
            <v>144.6723912861232</v>
          </cell>
          <cell r="D482">
            <v>0</v>
          </cell>
          <cell r="F482">
            <v>109.70191259775567</v>
          </cell>
          <cell r="G482">
            <v>61.049832932130926</v>
          </cell>
        </row>
        <row r="483">
          <cell r="A483" t="str">
            <v>Iasi</v>
          </cell>
          <cell r="B483">
            <v>0</v>
          </cell>
          <cell r="C483">
            <v>153.29524904489875</v>
          </cell>
          <cell r="D483">
            <v>0</v>
          </cell>
          <cell r="F483">
            <v>111.6181032108169</v>
          </cell>
          <cell r="G483">
            <v>63.579204541371752</v>
          </cell>
        </row>
        <row r="484">
          <cell r="A484" t="str">
            <v>Resita</v>
          </cell>
          <cell r="B484">
            <v>0</v>
          </cell>
          <cell r="C484">
            <v>184.4333465071438</v>
          </cell>
          <cell r="D484">
            <v>0</v>
          </cell>
          <cell r="F484">
            <v>82.875244014898385</v>
          </cell>
          <cell r="G484">
            <v>64.15406172529012</v>
          </cell>
        </row>
        <row r="485">
          <cell r="A485" t="str">
            <v>Madrid</v>
          </cell>
          <cell r="B485">
            <v>66.486416053163069</v>
          </cell>
          <cell r="C485">
            <v>113.72076356765913</v>
          </cell>
          <cell r="D485">
            <v>0</v>
          </cell>
          <cell r="F485">
            <v>121.81032423393489</v>
          </cell>
          <cell r="G485">
            <v>30.197406997198513</v>
          </cell>
        </row>
        <row r="486">
          <cell r="A486" t="str">
            <v>Bucharest</v>
          </cell>
          <cell r="B486">
            <v>0</v>
          </cell>
          <cell r="C486">
            <v>219.88287284877663</v>
          </cell>
          <cell r="D486">
            <v>0</v>
          </cell>
          <cell r="F486">
            <v>48.862860633061473</v>
          </cell>
          <cell r="G486">
            <v>64.498976035641135</v>
          </cell>
        </row>
        <row r="487">
          <cell r="A487" t="str">
            <v>Temuco</v>
          </cell>
          <cell r="B487">
            <v>18.17506228998753</v>
          </cell>
          <cell r="C487">
            <v>120.2116593805149</v>
          </cell>
          <cell r="D487">
            <v>0</v>
          </cell>
          <cell r="F487">
            <v>196.81470184346861</v>
          </cell>
          <cell r="G487">
            <v>0</v>
          </cell>
        </row>
        <row r="488">
          <cell r="A488" t="str">
            <v>Miercurea Ciuc</v>
          </cell>
          <cell r="B488">
            <v>0</v>
          </cell>
          <cell r="C488">
            <v>148.02572485898034</v>
          </cell>
          <cell r="D488">
            <v>0</v>
          </cell>
          <cell r="F488">
            <v>123.11524688918431</v>
          </cell>
          <cell r="G488">
            <v>65.073833219559518</v>
          </cell>
        </row>
        <row r="489">
          <cell r="A489" t="str">
            <v>Hiroshima</v>
          </cell>
          <cell r="B489">
            <v>80.794015657082269</v>
          </cell>
          <cell r="C489">
            <v>85.781300574186105</v>
          </cell>
          <cell r="D489">
            <v>0</v>
          </cell>
          <cell r="F489">
            <v>151.11473298824646</v>
          </cell>
          <cell r="G489">
            <v>25.385280228058562</v>
          </cell>
        </row>
        <row r="490">
          <cell r="A490" t="str">
            <v>Bialystok</v>
          </cell>
          <cell r="B490">
            <v>0</v>
          </cell>
          <cell r="C490">
            <v>173.0773610257111</v>
          </cell>
          <cell r="D490">
            <v>0</v>
          </cell>
          <cell r="F490">
            <v>170.5469902504814</v>
          </cell>
          <cell r="G490">
            <v>0</v>
          </cell>
        </row>
        <row r="491">
          <cell r="A491" t="str">
            <v>Bilbao</v>
          </cell>
          <cell r="B491">
            <v>35.756943992008168</v>
          </cell>
          <cell r="C491">
            <v>125.73023215410342</v>
          </cell>
          <cell r="D491">
            <v>0</v>
          </cell>
          <cell r="F491">
            <v>154.35316090081875</v>
          </cell>
          <cell r="G491">
            <v>31.587291245900929</v>
          </cell>
        </row>
        <row r="492">
          <cell r="A492" t="str">
            <v>Valparaiso</v>
          </cell>
          <cell r="B492">
            <v>17.885341417764561</v>
          </cell>
          <cell r="C492">
            <v>190.04704729426021</v>
          </cell>
          <cell r="D492">
            <v>0</v>
          </cell>
          <cell r="F492">
            <v>139.88314403965407</v>
          </cell>
          <cell r="G492">
            <v>0</v>
          </cell>
        </row>
        <row r="493">
          <cell r="A493" t="str">
            <v>Vina del Mar</v>
          </cell>
          <cell r="B493">
            <v>17.885341417764561</v>
          </cell>
          <cell r="C493">
            <v>190.04704729426021</v>
          </cell>
          <cell r="D493">
            <v>0</v>
          </cell>
          <cell r="F493">
            <v>139.88314403965407</v>
          </cell>
          <cell r="G493">
            <v>0</v>
          </cell>
        </row>
        <row r="494">
          <cell r="A494" t="str">
            <v>Brasov</v>
          </cell>
          <cell r="B494">
            <v>0</v>
          </cell>
          <cell r="C494">
            <v>168.62477394938861</v>
          </cell>
          <cell r="D494">
            <v>0</v>
          </cell>
          <cell r="F494">
            <v>116.40857974346999</v>
          </cell>
          <cell r="G494">
            <v>68.408004886286065</v>
          </cell>
        </row>
        <row r="495">
          <cell r="A495" t="str">
            <v>Thessaloniki</v>
          </cell>
          <cell r="B495">
            <v>26.06032966317024</v>
          </cell>
          <cell r="C495">
            <v>143.98332138901557</v>
          </cell>
          <cell r="D495">
            <v>0</v>
          </cell>
          <cell r="F495">
            <v>130.3885160813951</v>
          </cell>
          <cell r="G495">
            <v>53.184789454253263</v>
          </cell>
        </row>
        <row r="496">
          <cell r="A496" t="str">
            <v>Suceava</v>
          </cell>
          <cell r="B496">
            <v>0</v>
          </cell>
          <cell r="C496">
            <v>168.14572629612331</v>
          </cell>
          <cell r="D496">
            <v>0</v>
          </cell>
          <cell r="F496">
            <v>121.19905627612307</v>
          </cell>
          <cell r="G496">
            <v>69.442747817339139</v>
          </cell>
        </row>
        <row r="497">
          <cell r="A497" t="str">
            <v>Yokohama</v>
          </cell>
          <cell r="B497">
            <v>78.799101690240732</v>
          </cell>
          <cell r="C497">
            <v>113.64359897773959</v>
          </cell>
          <cell r="D497">
            <v>0</v>
          </cell>
          <cell r="F497">
            <v>145.29623391829196</v>
          </cell>
          <cell r="G497">
            <v>26.964587118474782</v>
          </cell>
        </row>
        <row r="498">
          <cell r="A498" t="str">
            <v>Medias</v>
          </cell>
          <cell r="B498">
            <v>0</v>
          </cell>
          <cell r="C498">
            <v>152.81620139163343</v>
          </cell>
          <cell r="D498">
            <v>0</v>
          </cell>
          <cell r="F498">
            <v>147.06762955244974</v>
          </cell>
          <cell r="G498">
            <v>71.972119426579965</v>
          </cell>
        </row>
        <row r="499">
          <cell r="A499" t="str">
            <v>Faro</v>
          </cell>
          <cell r="B499">
            <v>35.561491519534393</v>
          </cell>
          <cell r="C499">
            <v>135.11195083284471</v>
          </cell>
          <cell r="D499">
            <v>0</v>
          </cell>
          <cell r="F499">
            <v>181.62963928160357</v>
          </cell>
          <cell r="G499">
            <v>21.141442439246855</v>
          </cell>
        </row>
        <row r="500">
          <cell r="A500" t="str">
            <v>Porto</v>
          </cell>
          <cell r="B500">
            <v>44.639173018872022</v>
          </cell>
          <cell r="C500">
            <v>206.57154646339612</v>
          </cell>
          <cell r="D500">
            <v>0</v>
          </cell>
          <cell r="F500">
            <v>104.97969465980412</v>
          </cell>
          <cell r="G500">
            <v>21.369470323799597</v>
          </cell>
        </row>
        <row r="501">
          <cell r="A501" t="str">
            <v>Miskolc</v>
          </cell>
          <cell r="B501">
            <v>0</v>
          </cell>
          <cell r="C501">
            <v>171.53895861350634</v>
          </cell>
          <cell r="D501">
            <v>0</v>
          </cell>
          <cell r="F501">
            <v>131.93874381797508</v>
          </cell>
          <cell r="G501">
            <v>81.937533639266974</v>
          </cell>
        </row>
        <row r="502">
          <cell r="A502" t="str">
            <v>Serres</v>
          </cell>
          <cell r="B502">
            <v>86.324842009251412</v>
          </cell>
          <cell r="C502">
            <v>81.351662431863105</v>
          </cell>
          <cell r="D502">
            <v>65.074814863074693</v>
          </cell>
          <cell r="F502">
            <v>87.595283080330972</v>
          </cell>
          <cell r="G502">
            <v>65.541729102873148</v>
          </cell>
        </row>
        <row r="503">
          <cell r="A503" t="str">
            <v>Tokyo</v>
          </cell>
          <cell r="B503">
            <v>116.70246706022994</v>
          </cell>
          <cell r="C503">
            <v>96.088356069534058</v>
          </cell>
          <cell r="D503">
            <v>0</v>
          </cell>
          <cell r="F503">
            <v>150.94849015767633</v>
          </cell>
          <cell r="G503">
            <v>29.059246783658395</v>
          </cell>
        </row>
        <row r="504">
          <cell r="A504" t="str">
            <v>Debrecen</v>
          </cell>
          <cell r="B504">
            <v>4.2382076519995646</v>
          </cell>
          <cell r="C504">
            <v>168.63315255478366</v>
          </cell>
          <cell r="D504">
            <v>0</v>
          </cell>
          <cell r="F504">
            <v>141.24489758187016</v>
          </cell>
          <cell r="G504">
            <v>84.812353614425078</v>
          </cell>
        </row>
        <row r="505">
          <cell r="A505" t="str">
            <v>Chicago</v>
          </cell>
          <cell r="B505">
            <v>0</v>
          </cell>
          <cell r="C505">
            <v>201.31</v>
          </cell>
          <cell r="D505">
            <v>0</v>
          </cell>
          <cell r="F505">
            <v>201.31</v>
          </cell>
          <cell r="G505">
            <v>0</v>
          </cell>
        </row>
        <row r="506">
          <cell r="A506" t="str">
            <v>Fukuoka</v>
          </cell>
          <cell r="B506">
            <v>84.783843590765343</v>
          </cell>
          <cell r="C506">
            <v>109.72026817628456</v>
          </cell>
          <cell r="D506">
            <v>0</v>
          </cell>
          <cell r="F506">
            <v>179.74174841242251</v>
          </cell>
          <cell r="G506">
            <v>29.923709502623062</v>
          </cell>
        </row>
        <row r="507">
          <cell r="A507" t="str">
            <v>Braga</v>
          </cell>
          <cell r="B507">
            <v>61.111473060134216</v>
          </cell>
          <cell r="C507">
            <v>167.00327925814929</v>
          </cell>
          <cell r="D507">
            <v>0</v>
          </cell>
          <cell r="F507">
            <v>156.8397506895129</v>
          </cell>
          <cell r="G507">
            <v>23.095967163984625</v>
          </cell>
        </row>
        <row r="508">
          <cell r="A508" t="str">
            <v>Sapporo</v>
          </cell>
          <cell r="B508">
            <v>131.66432181154147</v>
          </cell>
          <cell r="C508">
            <v>139.64397767890762</v>
          </cell>
          <cell r="D508">
            <v>0</v>
          </cell>
          <cell r="F508">
            <v>106.62815152768017</v>
          </cell>
          <cell r="G508">
            <v>30.123200899307214</v>
          </cell>
        </row>
        <row r="509">
          <cell r="A509" t="str">
            <v>Buzau</v>
          </cell>
          <cell r="B509">
            <v>0</v>
          </cell>
          <cell r="C509">
            <v>210.78096743673578</v>
          </cell>
          <cell r="D509">
            <v>0</v>
          </cell>
          <cell r="F509">
            <v>120.24096096959245</v>
          </cell>
          <cell r="G509">
            <v>79.445262817518781</v>
          </cell>
        </row>
        <row r="510">
          <cell r="A510" t="str">
            <v>Constanta</v>
          </cell>
          <cell r="B510">
            <v>0</v>
          </cell>
          <cell r="C510">
            <v>176.76858405489887</v>
          </cell>
          <cell r="D510">
            <v>0</v>
          </cell>
          <cell r="F510">
            <v>159.04382088408244</v>
          </cell>
          <cell r="G510">
            <v>80.594977185355518</v>
          </cell>
        </row>
        <row r="511">
          <cell r="A511" t="str">
            <v>Alexandroupolis</v>
          </cell>
          <cell r="B511">
            <v>55.378200534236761</v>
          </cell>
          <cell r="C511">
            <v>184.5940017807892</v>
          </cell>
          <cell r="D511">
            <v>0</v>
          </cell>
          <cell r="F511">
            <v>114.55686581101918</v>
          </cell>
          <cell r="G511">
            <v>63.087714726257957</v>
          </cell>
        </row>
        <row r="512">
          <cell r="A512" t="str">
            <v>Budapest</v>
          </cell>
          <cell r="B512">
            <v>5.8529268955314864</v>
          </cell>
          <cell r="C512">
            <v>118.71112903407392</v>
          </cell>
          <cell r="D512">
            <v>0</v>
          </cell>
          <cell r="F512">
            <v>206.73226374651981</v>
          </cell>
          <cell r="G512">
            <v>91.030227716383834</v>
          </cell>
        </row>
        <row r="513">
          <cell r="A513" t="str">
            <v>Coimbra</v>
          </cell>
          <cell r="B513">
            <v>50.752492019024046</v>
          </cell>
          <cell r="C513">
            <v>176.29813017134668</v>
          </cell>
          <cell r="D513">
            <v>0</v>
          </cell>
          <cell r="F513">
            <v>174.31103003452998</v>
          </cell>
          <cell r="G513">
            <v>24.084087997046495</v>
          </cell>
        </row>
        <row r="514">
          <cell r="A514" t="str">
            <v>Valencia</v>
          </cell>
          <cell r="B514">
            <v>77.008274154668058</v>
          </cell>
          <cell r="C514">
            <v>121.41941928898733</v>
          </cell>
          <cell r="D514">
            <v>0</v>
          </cell>
          <cell r="F514">
            <v>210.23085108693294</v>
          </cell>
          <cell r="G514">
            <v>40.871283688405327</v>
          </cell>
        </row>
        <row r="515">
          <cell r="A515" t="str">
            <v>Igoumenitsa</v>
          </cell>
          <cell r="B515">
            <v>52.989336981779488</v>
          </cell>
          <cell r="C515">
            <v>108.58470692987599</v>
          </cell>
          <cell r="D515">
            <v>86.867765543900802</v>
          </cell>
          <cell r="F515">
            <v>128.12995417725367</v>
          </cell>
          <cell r="G515">
            <v>75.748691554281507</v>
          </cell>
        </row>
        <row r="516">
          <cell r="A516" t="str">
            <v>Wroclaw</v>
          </cell>
          <cell r="B516">
            <v>0</v>
          </cell>
          <cell r="C516">
            <v>217.10581251470779</v>
          </cell>
          <cell r="D516">
            <v>0</v>
          </cell>
          <cell r="F516">
            <v>253.54315167801539</v>
          </cell>
          <cell r="G516">
            <v>0</v>
          </cell>
        </row>
        <row r="517">
          <cell r="A517" t="str">
            <v>Sevilla</v>
          </cell>
          <cell r="B517">
            <v>50.339870132690514</v>
          </cell>
          <cell r="C517">
            <v>123.66712272243578</v>
          </cell>
          <cell r="D517">
            <v>0</v>
          </cell>
          <cell r="F517">
            <v>260.09294850913199</v>
          </cell>
          <cell r="G517">
            <v>43.412165830564419</v>
          </cell>
        </row>
        <row r="518">
          <cell r="A518" t="str">
            <v>Saskatoon</v>
          </cell>
          <cell r="B518">
            <v>75.965211386149292</v>
          </cell>
          <cell r="C518">
            <v>208.61658429908425</v>
          </cell>
          <cell r="D518">
            <v>0</v>
          </cell>
          <cell r="F518">
            <v>205.45136715799472</v>
          </cell>
          <cell r="G518">
            <v>0</v>
          </cell>
        </row>
        <row r="519">
          <cell r="A519" t="str">
            <v>Sendai</v>
          </cell>
          <cell r="B519">
            <v>124.68212292759608</v>
          </cell>
          <cell r="C519">
            <v>201.58605634933735</v>
          </cell>
          <cell r="D519">
            <v>0</v>
          </cell>
          <cell r="F519">
            <v>138.54677499714478</v>
          </cell>
          <cell r="G519">
            <v>37.105399783252594</v>
          </cell>
        </row>
        <row r="520">
          <cell r="A520" t="str">
            <v>Antofagasta</v>
          </cell>
          <cell r="B520">
            <v>15.456467891895299</v>
          </cell>
          <cell r="C520">
            <v>399.89215632775705</v>
          </cell>
          <cell r="D520">
            <v>0</v>
          </cell>
          <cell r="F520">
            <v>91.080647602095667</v>
          </cell>
          <cell r="G520">
            <v>0</v>
          </cell>
        </row>
        <row r="521">
          <cell r="A521" t="str">
            <v>Pécs</v>
          </cell>
          <cell r="B521">
            <v>0</v>
          </cell>
          <cell r="C521">
            <v>234.11707582125948</v>
          </cell>
          <cell r="D521">
            <v>0</v>
          </cell>
          <cell r="F521">
            <v>170.76774942256574</v>
          </cell>
          <cell r="G521">
            <v>109.3189028158328</v>
          </cell>
        </row>
        <row r="522">
          <cell r="A522" t="str">
            <v>Tarnow</v>
          </cell>
          <cell r="B522">
            <v>0</v>
          </cell>
          <cell r="C522">
            <v>159.41335883947076</v>
          </cell>
          <cell r="D522">
            <v>14.028375577873426</v>
          </cell>
          <cell r="F522">
            <v>341.33689609538487</v>
          </cell>
          <cell r="G522">
            <v>0</v>
          </cell>
        </row>
        <row r="523">
          <cell r="A523" t="str">
            <v>Sintra</v>
          </cell>
          <cell r="B523">
            <v>53.032770864551445</v>
          </cell>
          <cell r="C523">
            <v>199.22036180424348</v>
          </cell>
          <cell r="D523">
            <v>0</v>
          </cell>
          <cell r="F523">
            <v>247.16050991378376</v>
          </cell>
          <cell r="G523">
            <v>16.472300041262187</v>
          </cell>
        </row>
        <row r="524">
          <cell r="A524" t="str">
            <v>Loures</v>
          </cell>
          <cell r="B524">
            <v>40.328360153755945</v>
          </cell>
          <cell r="C524">
            <v>226.44254783156339</v>
          </cell>
          <cell r="D524">
            <v>0</v>
          </cell>
          <cell r="F524">
            <v>238.82120442156926</v>
          </cell>
          <cell r="G524">
            <v>16.624318630964016</v>
          </cell>
        </row>
        <row r="525">
          <cell r="A525" t="str">
            <v>Bydgoszcz</v>
          </cell>
          <cell r="B525">
            <v>0</v>
          </cell>
          <cell r="C525">
            <v>278.84685943031235</v>
          </cell>
          <cell r="D525">
            <v>0</v>
          </cell>
          <cell r="F525">
            <v>277.83471112022045</v>
          </cell>
          <cell r="G525">
            <v>0</v>
          </cell>
        </row>
        <row r="526">
          <cell r="A526" t="str">
            <v>Durham</v>
          </cell>
          <cell r="B526">
            <v>136.91002870276452</v>
          </cell>
          <cell r="C526">
            <v>135.81659005402452</v>
          </cell>
          <cell r="D526">
            <v>0</v>
          </cell>
          <cell r="F526">
            <v>284.64653876311945</v>
          </cell>
          <cell r="G526">
            <v>0</v>
          </cell>
        </row>
        <row r="527">
          <cell r="A527" t="str">
            <v>Paphos</v>
          </cell>
          <cell r="B527">
            <v>52.12065932634048</v>
          </cell>
          <cell r="C527">
            <v>226.50769865572133</v>
          </cell>
          <cell r="D527">
            <v>0</v>
          </cell>
          <cell r="F527">
            <v>272.54761439398879</v>
          </cell>
          <cell r="G527">
            <v>13.93141789910309</v>
          </cell>
        </row>
        <row r="528">
          <cell r="A528" t="str">
            <v>Denver</v>
          </cell>
          <cell r="B528">
            <v>105.48</v>
          </cell>
          <cell r="C528">
            <v>137.37</v>
          </cell>
          <cell r="D528">
            <v>0</v>
          </cell>
          <cell r="F528">
            <v>323.68</v>
          </cell>
          <cell r="G528">
            <v>0</v>
          </cell>
        </row>
        <row r="529">
          <cell r="A529" t="str">
            <v>Eindhoven</v>
          </cell>
          <cell r="B529">
            <v>76.487067561404658</v>
          </cell>
          <cell r="C529">
            <v>100.22368449627554</v>
          </cell>
          <cell r="D529">
            <v>0</v>
          </cell>
          <cell r="F529">
            <v>375.26874714965146</v>
          </cell>
          <cell r="G529">
            <v>14.941255673550938</v>
          </cell>
        </row>
        <row r="530">
          <cell r="A530" t="str">
            <v>Minneapolis</v>
          </cell>
          <cell r="B530">
            <v>42</v>
          </cell>
          <cell r="C530">
            <v>244.71</v>
          </cell>
          <cell r="D530">
            <v>0</v>
          </cell>
          <cell r="F530">
            <v>292.05</v>
          </cell>
          <cell r="G530">
            <v>22.22</v>
          </cell>
        </row>
        <row r="531">
          <cell r="A531" t="str">
            <v>Los Angeles</v>
          </cell>
          <cell r="B531">
            <v>0</v>
          </cell>
          <cell r="C531">
            <v>330.11</v>
          </cell>
          <cell r="D531">
            <v>0</v>
          </cell>
          <cell r="F531">
            <v>300.02999999999997</v>
          </cell>
          <cell r="G531">
            <v>0</v>
          </cell>
        </row>
        <row r="532">
          <cell r="A532" t="str">
            <v>Winnipeg</v>
          </cell>
          <cell r="B532">
            <v>93.661652674968167</v>
          </cell>
          <cell r="C532">
            <v>208.61658429908425</v>
          </cell>
          <cell r="D532">
            <v>0</v>
          </cell>
          <cell r="F532">
            <v>328.03159462200836</v>
          </cell>
          <cell r="G532">
            <v>0</v>
          </cell>
        </row>
        <row r="533">
          <cell r="A533" t="str">
            <v>Vancouver</v>
          </cell>
          <cell r="B533">
            <v>408.60075821337881</v>
          </cell>
          <cell r="C533">
            <v>0</v>
          </cell>
          <cell r="D533">
            <v>0</v>
          </cell>
          <cell r="F533">
            <v>225.88140506866364</v>
          </cell>
          <cell r="G533">
            <v>0</v>
          </cell>
        </row>
        <row r="534">
          <cell r="A534" t="str">
            <v>Larnaca</v>
          </cell>
          <cell r="B534">
            <v>71.665906573718161</v>
          </cell>
          <cell r="C534">
            <v>247.57313180011727</v>
          </cell>
          <cell r="D534">
            <v>0</v>
          </cell>
          <cell r="F534">
            <v>325.75412078962796</v>
          </cell>
          <cell r="G534">
            <v>15.961951918691771</v>
          </cell>
        </row>
        <row r="535">
          <cell r="A535" t="str">
            <v>Lefkosia</v>
          </cell>
          <cell r="B535">
            <v>45.605576910547917</v>
          </cell>
          <cell r="C535">
            <v>238.8863552457272</v>
          </cell>
          <cell r="D535">
            <v>0</v>
          </cell>
          <cell r="F535">
            <v>363.88906986340044</v>
          </cell>
          <cell r="G535">
            <v>14.224596607813755</v>
          </cell>
        </row>
        <row r="536">
          <cell r="A536" t="str">
            <v>Lemesos</v>
          </cell>
          <cell r="B536">
            <v>71.665906573718161</v>
          </cell>
          <cell r="C536">
            <v>238.8863552457272</v>
          </cell>
          <cell r="D536">
            <v>0</v>
          </cell>
          <cell r="F536">
            <v>339.92442504397684</v>
          </cell>
          <cell r="G536">
            <v>15.527613090972268</v>
          </cell>
        </row>
        <row r="537">
          <cell r="A537" t="str">
            <v>Reims</v>
          </cell>
          <cell r="B537">
            <v>11.890025408821421</v>
          </cell>
          <cell r="C537">
            <v>201.96755488956936</v>
          </cell>
          <cell r="D537">
            <v>95.554542098290881</v>
          </cell>
          <cell r="F537">
            <v>317.0673442352379</v>
          </cell>
          <cell r="G537">
            <v>48.711099528742373</v>
          </cell>
        </row>
        <row r="538">
          <cell r="A538" t="str">
            <v>Barcelona</v>
          </cell>
          <cell r="B538">
            <v>90.429343931200734</v>
          </cell>
          <cell r="C538">
            <v>302.95133233435405</v>
          </cell>
          <cell r="D538">
            <v>0</v>
          </cell>
          <cell r="F538">
            <v>221.38250048863119</v>
          </cell>
          <cell r="G538">
            <v>61.480661063695784</v>
          </cell>
        </row>
        <row r="539">
          <cell r="A539" t="str">
            <v>Strassbourg</v>
          </cell>
          <cell r="B539">
            <v>30.794622885312833</v>
          </cell>
          <cell r="C539">
            <v>217.16941385975198</v>
          </cell>
          <cell r="D539">
            <v>86.867765543900802</v>
          </cell>
          <cell r="F539">
            <v>295.35040284926271</v>
          </cell>
          <cell r="G539">
            <v>47.864138814689341</v>
          </cell>
        </row>
        <row r="540">
          <cell r="A540" t="str">
            <v>Trondheim</v>
          </cell>
          <cell r="B540">
            <v>33.858898682888842</v>
          </cell>
          <cell r="C540">
            <v>186.44966874710786</v>
          </cell>
          <cell r="D540">
            <v>20.8345089895376</v>
          </cell>
          <cell r="F540">
            <v>302.15681184609997</v>
          </cell>
          <cell r="G540">
            <v>135.83061521618907</v>
          </cell>
        </row>
        <row r="541">
          <cell r="A541" t="str">
            <v>Lyon</v>
          </cell>
          <cell r="B541">
            <v>66.193237344452413</v>
          </cell>
          <cell r="C541">
            <v>256.25990835450733</v>
          </cell>
          <cell r="D541">
            <v>76.009294850913193</v>
          </cell>
          <cell r="F541">
            <v>246.79132191022217</v>
          </cell>
          <cell r="G541">
            <v>46.647990097074732</v>
          </cell>
        </row>
        <row r="542">
          <cell r="A542" t="str">
            <v>Radom</v>
          </cell>
          <cell r="B542">
            <v>21.680216802168019</v>
          </cell>
          <cell r="C542">
            <v>326.92390415967651</v>
          </cell>
          <cell r="D542">
            <v>0</v>
          </cell>
          <cell r="F542">
            <v>348.6041209618445</v>
          </cell>
          <cell r="G542">
            <v>0</v>
          </cell>
        </row>
        <row r="543">
          <cell r="A543" t="str">
            <v>Utrecht</v>
          </cell>
          <cell r="B543">
            <v>48.863118118444199</v>
          </cell>
          <cell r="C543">
            <v>147.67520142463135</v>
          </cell>
          <cell r="D543">
            <v>0</v>
          </cell>
          <cell r="F543">
            <v>502.31285425760632</v>
          </cell>
          <cell r="G543">
            <v>16.135687449779574</v>
          </cell>
        </row>
        <row r="544">
          <cell r="A544" t="str">
            <v>Bordeaux</v>
          </cell>
          <cell r="B544">
            <v>59.623862575194906</v>
          </cell>
          <cell r="C544">
            <v>232.37127282993464</v>
          </cell>
          <cell r="D544">
            <v>86.867765543900802</v>
          </cell>
          <cell r="F544">
            <v>289.92116750276898</v>
          </cell>
          <cell r="G544">
            <v>49.677503420418269</v>
          </cell>
        </row>
        <row r="545">
          <cell r="A545" t="str">
            <v>Calgary</v>
          </cell>
          <cell r="B545">
            <v>136.39208407967715</v>
          </cell>
          <cell r="C545">
            <v>254.6273316500133</v>
          </cell>
          <cell r="D545">
            <v>0</v>
          </cell>
          <cell r="F545">
            <v>336.52013150038488</v>
          </cell>
          <cell r="G545">
            <v>0</v>
          </cell>
        </row>
        <row r="546">
          <cell r="A546" t="str">
            <v>Paris</v>
          </cell>
          <cell r="B546">
            <v>22.824505396659934</v>
          </cell>
          <cell r="C546">
            <v>214.99771972115448</v>
          </cell>
          <cell r="D546">
            <v>106.41301279127848</v>
          </cell>
          <cell r="F546">
            <v>338.78428562121314</v>
          </cell>
          <cell r="G546">
            <v>52.64186591960388</v>
          </cell>
        </row>
        <row r="547">
          <cell r="A547" t="str">
            <v>London</v>
          </cell>
          <cell r="B547">
            <v>31.31677842458183</v>
          </cell>
          <cell r="C547">
            <v>372.23491268145312</v>
          </cell>
          <cell r="D547">
            <v>0</v>
          </cell>
          <cell r="F547">
            <v>334.55161741949746</v>
          </cell>
          <cell r="G547">
            <v>0</v>
          </cell>
        </row>
        <row r="548">
          <cell r="A548" t="str">
            <v>Oslo</v>
          </cell>
          <cell r="B548">
            <v>35.438980621423653</v>
          </cell>
          <cell r="C548">
            <v>225.04881324560114</v>
          </cell>
          <cell r="D548">
            <v>0</v>
          </cell>
          <cell r="F548">
            <v>337.68608286401138</v>
          </cell>
          <cell r="G548">
            <v>149.54346918275905</v>
          </cell>
        </row>
        <row r="549">
          <cell r="A549" t="str">
            <v>Amsterdam</v>
          </cell>
          <cell r="B549">
            <v>45.76845397094273</v>
          </cell>
          <cell r="C549">
            <v>269.29007318609246</v>
          </cell>
          <cell r="D549">
            <v>0</v>
          </cell>
          <cell r="F549">
            <v>413.273394575108</v>
          </cell>
          <cell r="G549">
            <v>23.24798575368645</v>
          </cell>
        </row>
        <row r="550">
          <cell r="A550" t="str">
            <v>Marseille</v>
          </cell>
          <cell r="B550">
            <v>20.631094316676439</v>
          </cell>
          <cell r="C550">
            <v>308.38056768084783</v>
          </cell>
          <cell r="D550">
            <v>73.837600712315677</v>
          </cell>
          <cell r="F550">
            <v>305.12302647295155</v>
          </cell>
          <cell r="G550">
            <v>52.652724390296868</v>
          </cell>
        </row>
        <row r="551">
          <cell r="A551" t="str">
            <v>Malta Average</v>
          </cell>
          <cell r="B551">
            <v>64.064977088626833</v>
          </cell>
          <cell r="C551">
            <v>713.77071253284691</v>
          </cell>
          <cell r="D551">
            <v>0</v>
          </cell>
          <cell r="F551">
            <v>0</v>
          </cell>
          <cell r="G551">
            <v>0</v>
          </cell>
        </row>
        <row r="552">
          <cell r="A552" t="str">
            <v>Espoo</v>
          </cell>
          <cell r="B552">
            <v>41.902838404239155</v>
          </cell>
          <cell r="C552">
            <v>234.54296696853217</v>
          </cell>
          <cell r="D552">
            <v>0</v>
          </cell>
          <cell r="F552">
            <v>353.86670141377294</v>
          </cell>
          <cell r="G552">
            <v>151.28021369470324</v>
          </cell>
        </row>
        <row r="553">
          <cell r="A553" t="str">
            <v>Helsinki</v>
          </cell>
          <cell r="B553">
            <v>41.902838404239155</v>
          </cell>
          <cell r="C553">
            <v>234.54296696853217</v>
          </cell>
          <cell r="D553">
            <v>0</v>
          </cell>
          <cell r="F553">
            <v>353.86670141377294</v>
          </cell>
          <cell r="G553">
            <v>151.28021369470324</v>
          </cell>
        </row>
        <row r="554">
          <cell r="A554" t="str">
            <v>Vantaa</v>
          </cell>
          <cell r="B554">
            <v>41.902838404239155</v>
          </cell>
          <cell r="C554">
            <v>234.54296696853217</v>
          </cell>
          <cell r="D554">
            <v>0</v>
          </cell>
          <cell r="F554">
            <v>353.86670141377294</v>
          </cell>
          <cell r="G554">
            <v>151.28021369470324</v>
          </cell>
        </row>
        <row r="555">
          <cell r="A555" t="str">
            <v>Lausanne</v>
          </cell>
          <cell r="B555">
            <v>135.79630554168747</v>
          </cell>
          <cell r="C555">
            <v>383.42486270594105</v>
          </cell>
          <cell r="D555">
            <v>0</v>
          </cell>
          <cell r="F555">
            <v>239.64053919121318</v>
          </cell>
          <cell r="G555">
            <v>32.151772341487771</v>
          </cell>
        </row>
        <row r="556">
          <cell r="A556" t="str">
            <v>Brussels</v>
          </cell>
          <cell r="B556">
            <v>25.84316024931049</v>
          </cell>
          <cell r="C556">
            <v>406.19367168328012</v>
          </cell>
          <cell r="D556">
            <v>0</v>
          </cell>
          <cell r="F556">
            <v>315.16711186396509</v>
          </cell>
          <cell r="G556">
            <v>44.834625491345797</v>
          </cell>
        </row>
        <row r="557">
          <cell r="A557" t="str">
            <v>Lille</v>
          </cell>
          <cell r="B557">
            <v>19.990444545790172</v>
          </cell>
          <cell r="C557">
            <v>243.22974352292226</v>
          </cell>
          <cell r="D557">
            <v>97.726236236888397</v>
          </cell>
          <cell r="F557">
            <v>373.878862900949</v>
          </cell>
          <cell r="G557">
            <v>57.321866788281547</v>
          </cell>
        </row>
        <row r="558">
          <cell r="A558" t="str">
            <v>Bergen</v>
          </cell>
          <cell r="B558">
            <v>277.53010620407883</v>
          </cell>
          <cell r="C558">
            <v>0</v>
          </cell>
          <cell r="D558">
            <v>0</v>
          </cell>
          <cell r="F558">
            <v>360.93585995959501</v>
          </cell>
          <cell r="G558">
            <v>159.58827579201605</v>
          </cell>
        </row>
        <row r="559">
          <cell r="A559" t="str">
            <v>Nancy</v>
          </cell>
          <cell r="B559">
            <v>45.76845397094273</v>
          </cell>
          <cell r="C559">
            <v>321.41073251243296</v>
          </cell>
          <cell r="D559">
            <v>99.897930375485913</v>
          </cell>
          <cell r="F559">
            <v>281.5818620105544</v>
          </cell>
          <cell r="G559">
            <v>53.684279106130688</v>
          </cell>
        </row>
        <row r="560">
          <cell r="A560" t="str">
            <v>Antwerp</v>
          </cell>
          <cell r="B560">
            <v>73.663865181227877</v>
          </cell>
          <cell r="C560">
            <v>195.30045388407498</v>
          </cell>
          <cell r="D560">
            <v>0</v>
          </cell>
          <cell r="F560">
            <v>498.01289986318329</v>
          </cell>
          <cell r="G560">
            <v>46.01819879688145</v>
          </cell>
        </row>
        <row r="561">
          <cell r="A561" t="str">
            <v>Geneva</v>
          </cell>
          <cell r="B561">
            <v>197.70344483275088</v>
          </cell>
          <cell r="C561">
            <v>257.61357963055417</v>
          </cell>
          <cell r="D561">
            <v>0</v>
          </cell>
          <cell r="F561">
            <v>331.00349475786317</v>
          </cell>
          <cell r="G561">
            <v>37.86320519221168</v>
          </cell>
        </row>
        <row r="562">
          <cell r="A562" t="str">
            <v>Canberra</v>
          </cell>
          <cell r="B562">
            <v>75.276439935978487</v>
          </cell>
          <cell r="C562">
            <v>385.88310957472464</v>
          </cell>
          <cell r="D562">
            <v>0</v>
          </cell>
          <cell r="F562">
            <v>369.07380745309837</v>
          </cell>
          <cell r="G562">
            <v>0</v>
          </cell>
        </row>
        <row r="563">
          <cell r="A563" t="str">
            <v>Den Haag</v>
          </cell>
          <cell r="B563">
            <v>66.432123699698138</v>
          </cell>
          <cell r="C563">
            <v>230.19957869133711</v>
          </cell>
          <cell r="D563">
            <v>20.30534019588681</v>
          </cell>
          <cell r="F563">
            <v>493.62607770321631</v>
          </cell>
          <cell r="G563">
            <v>22.140421743001717</v>
          </cell>
        </row>
        <row r="564">
          <cell r="A564" t="str">
            <v>Basel</v>
          </cell>
          <cell r="B564">
            <v>69.895157264103844</v>
          </cell>
          <cell r="C564">
            <v>291.56265601597602</v>
          </cell>
          <cell r="D564">
            <v>0</v>
          </cell>
          <cell r="F564">
            <v>434.34847728407385</v>
          </cell>
          <cell r="G564">
            <v>43.784323514727909</v>
          </cell>
        </row>
        <row r="565">
          <cell r="A565" t="str">
            <v>Sydney</v>
          </cell>
          <cell r="B565">
            <v>83.315671385451921</v>
          </cell>
          <cell r="C565">
            <v>325.95429331501362</v>
          </cell>
          <cell r="D565">
            <v>0</v>
          </cell>
          <cell r="F565">
            <v>432.65681982620646</v>
          </cell>
          <cell r="G565">
            <v>0</v>
          </cell>
        </row>
        <row r="566">
          <cell r="A566" t="str">
            <v>Zürich</v>
          </cell>
          <cell r="B566">
            <v>107.83824263604592</v>
          </cell>
          <cell r="C566">
            <v>239.64053919121318</v>
          </cell>
          <cell r="D566">
            <v>0</v>
          </cell>
          <cell r="F566">
            <v>461.55766350474283</v>
          </cell>
          <cell r="G566">
            <v>45.611582626060908</v>
          </cell>
        </row>
        <row r="567">
          <cell r="A567" t="str">
            <v>Birmingham</v>
          </cell>
          <cell r="B567">
            <v>43.504531722054381</v>
          </cell>
          <cell r="C567">
            <v>437.37381180458328</v>
          </cell>
          <cell r="D567">
            <v>0</v>
          </cell>
          <cell r="F567">
            <v>377.14243607692873</v>
          </cell>
          <cell r="G567">
            <v>0</v>
          </cell>
        </row>
        <row r="568">
          <cell r="A568" t="str">
            <v>Melbourne</v>
          </cell>
          <cell r="B568">
            <v>114.01091873798683</v>
          </cell>
          <cell r="C568">
            <v>317.91506186554022</v>
          </cell>
          <cell r="D568">
            <v>0</v>
          </cell>
          <cell r="F568">
            <v>440.69605127567985</v>
          </cell>
          <cell r="G568">
            <v>0</v>
          </cell>
        </row>
        <row r="569">
          <cell r="A569" t="str">
            <v>New York</v>
          </cell>
          <cell r="B569">
            <v>178.85</v>
          </cell>
          <cell r="C569">
            <v>269.10000000000002</v>
          </cell>
          <cell r="D569">
            <v>0</v>
          </cell>
          <cell r="F569">
            <v>427.87</v>
          </cell>
          <cell r="G569">
            <v>0</v>
          </cell>
        </row>
        <row r="570">
          <cell r="A570" t="str">
            <v>Oulu</v>
          </cell>
          <cell r="B570">
            <v>45.540426086389992</v>
          </cell>
          <cell r="C570">
            <v>267.11837904749495</v>
          </cell>
          <cell r="D570">
            <v>0</v>
          </cell>
          <cell r="F570">
            <v>410.38504137077331</v>
          </cell>
          <cell r="G570">
            <v>173.52922014463485</v>
          </cell>
        </row>
        <row r="571">
          <cell r="A571" t="str">
            <v>Perth</v>
          </cell>
          <cell r="B571">
            <v>157.86127209875099</v>
          </cell>
          <cell r="C571">
            <v>230.21435514401188</v>
          </cell>
          <cell r="D571">
            <v>0</v>
          </cell>
          <cell r="F571">
            <v>526.20424032917003</v>
          </cell>
          <cell r="G571">
            <v>0</v>
          </cell>
        </row>
        <row r="572">
          <cell r="A572" t="str">
            <v>Tampere</v>
          </cell>
          <cell r="B572">
            <v>83.523356570460621</v>
          </cell>
          <cell r="C572">
            <v>236.71466110712967</v>
          </cell>
          <cell r="D572">
            <v>0</v>
          </cell>
          <cell r="F572">
            <v>430.99441874606384</v>
          </cell>
          <cell r="G572">
            <v>180.29404738636609</v>
          </cell>
        </row>
        <row r="573">
          <cell r="A573" t="str">
            <v>Brest</v>
          </cell>
          <cell r="B573">
            <v>6.667101005494386</v>
          </cell>
          <cell r="C573">
            <v>286.66362629487264</v>
          </cell>
          <cell r="D573">
            <v>82.524377266705756</v>
          </cell>
          <cell r="F573">
            <v>488.41401177058225</v>
          </cell>
          <cell r="G573">
            <v>69.407344669576744</v>
          </cell>
        </row>
        <row r="574">
          <cell r="A574" t="str">
            <v>Leeds</v>
          </cell>
          <cell r="B574">
            <v>32.996831478888808</v>
          </cell>
          <cell r="C574">
            <v>373.14862574607616</v>
          </cell>
          <cell r="D574">
            <v>0</v>
          </cell>
          <cell r="F574">
            <v>528.42089750202638</v>
          </cell>
          <cell r="G574">
            <v>0</v>
          </cell>
        </row>
        <row r="575">
          <cell r="A575" t="str">
            <v>SEDIF</v>
          </cell>
          <cell r="B575">
            <v>0</v>
          </cell>
          <cell r="C575">
            <v>321.41073251243296</v>
          </cell>
          <cell r="D575">
            <v>104.24131865268096</v>
          </cell>
          <cell r="F575">
            <v>451.69066388689816</v>
          </cell>
          <cell r="G575">
            <v>68.549525484830724</v>
          </cell>
        </row>
        <row r="576">
          <cell r="A576" t="str">
            <v>Rotterdam</v>
          </cell>
          <cell r="B576">
            <v>64.890220861293898</v>
          </cell>
          <cell r="C576">
            <v>198.49284426781333</v>
          </cell>
          <cell r="D576">
            <v>9.1754077355745203</v>
          </cell>
          <cell r="F576">
            <v>659.7606793059266</v>
          </cell>
          <cell r="G576">
            <v>20.142463135491997</v>
          </cell>
        </row>
        <row r="577">
          <cell r="A577" t="str">
            <v>Genk</v>
          </cell>
          <cell r="B577">
            <v>57.75620561600104</v>
          </cell>
          <cell r="C577">
            <v>214.45479618650509</v>
          </cell>
          <cell r="D577">
            <v>0</v>
          </cell>
          <cell r="F577">
            <v>630.03018654852644</v>
          </cell>
          <cell r="G577">
            <v>54.129476404543183</v>
          </cell>
        </row>
        <row r="578">
          <cell r="A578" t="str">
            <v>Washington D.C.</v>
          </cell>
          <cell r="B578">
            <v>46.32</v>
          </cell>
          <cell r="C578">
            <v>236.58</v>
          </cell>
          <cell r="D578">
            <v>75.599999999999994</v>
          </cell>
          <cell r="F578">
            <v>629.46</v>
          </cell>
          <cell r="G578">
            <v>0</v>
          </cell>
        </row>
        <row r="579">
          <cell r="A579" t="str">
            <v>Athens</v>
          </cell>
          <cell r="B579">
            <v>13.03016483158512</v>
          </cell>
          <cell r="C579">
            <v>475.514148587313</v>
          </cell>
          <cell r="D579">
            <v>0</v>
          </cell>
          <cell r="F579">
            <v>356.63561144048475</v>
          </cell>
          <cell r="G579">
            <v>146.83909918127131</v>
          </cell>
        </row>
        <row r="580">
          <cell r="A580" t="str">
            <v>Turku</v>
          </cell>
          <cell r="B580">
            <v>117.27148348426608</v>
          </cell>
          <cell r="C580">
            <v>275.80515560188502</v>
          </cell>
          <cell r="D580">
            <v>0</v>
          </cell>
          <cell r="F580">
            <v>408.27849805633377</v>
          </cell>
          <cell r="G580">
            <v>192.32523291419636</v>
          </cell>
        </row>
        <row r="581">
          <cell r="A581" t="str">
            <v>Louvain</v>
          </cell>
          <cell r="B581">
            <v>57.75620561600104</v>
          </cell>
          <cell r="C581">
            <v>276.8910026711838</v>
          </cell>
          <cell r="D581">
            <v>0</v>
          </cell>
          <cell r="F581">
            <v>630.03018654852644</v>
          </cell>
          <cell r="G581">
            <v>57.875648793623903</v>
          </cell>
        </row>
        <row r="582">
          <cell r="A582" t="str">
            <v>Kortrijk</v>
          </cell>
          <cell r="B582">
            <v>57.75620561600104</v>
          </cell>
          <cell r="C582">
            <v>291.82139987404173</v>
          </cell>
          <cell r="D582">
            <v>0</v>
          </cell>
          <cell r="F582">
            <v>630.03018654852644</v>
          </cell>
          <cell r="G582">
            <v>58.77690186114188</v>
          </cell>
        </row>
        <row r="583">
          <cell r="A583" t="str">
            <v>Cardiff</v>
          </cell>
          <cell r="B583">
            <v>50.696337779087763</v>
          </cell>
          <cell r="C583">
            <v>385.49848942598186</v>
          </cell>
          <cell r="D583">
            <v>0</v>
          </cell>
          <cell r="F583">
            <v>611.83405791761845</v>
          </cell>
          <cell r="G583">
            <v>0</v>
          </cell>
        </row>
        <row r="584">
          <cell r="A584" t="str">
            <v>Le Havre</v>
          </cell>
          <cell r="B584">
            <v>32.977175494603344</v>
          </cell>
          <cell r="C584">
            <v>327.92581492822552</v>
          </cell>
          <cell r="D584">
            <v>112.92809520707104</v>
          </cell>
          <cell r="F584">
            <v>501.6613460160271</v>
          </cell>
          <cell r="G584">
            <v>76.269898147544893</v>
          </cell>
        </row>
        <row r="585">
          <cell r="A585" t="str">
            <v>Manchester</v>
          </cell>
          <cell r="B585">
            <v>51.271092771350673</v>
          </cell>
          <cell r="C585">
            <v>515.8057622872301</v>
          </cell>
          <cell r="D585">
            <v>0</v>
          </cell>
          <cell r="F585">
            <v>493.16925797656768</v>
          </cell>
          <cell r="G585">
            <v>0</v>
          </cell>
        </row>
        <row r="586">
          <cell r="A586" t="str">
            <v>Charleroi</v>
          </cell>
          <cell r="B586">
            <v>113.74248050904511</v>
          </cell>
          <cell r="C586">
            <v>526.31007448910896</v>
          </cell>
          <cell r="D586">
            <v>0</v>
          </cell>
          <cell r="F586">
            <v>381.67524485851413</v>
          </cell>
          <cell r="G586">
            <v>61.144048472213179</v>
          </cell>
        </row>
        <row r="587">
          <cell r="A587" t="str">
            <v>Liège</v>
          </cell>
          <cell r="B587">
            <v>114.1008100419137</v>
          </cell>
          <cell r="C587">
            <v>529.64362499185609</v>
          </cell>
          <cell r="D587">
            <v>0</v>
          </cell>
          <cell r="F587">
            <v>381.67524485851413</v>
          </cell>
          <cell r="G587">
            <v>61.361217886072922</v>
          </cell>
        </row>
        <row r="588">
          <cell r="A588" t="str">
            <v>South East Queensland</v>
          </cell>
          <cell r="B588">
            <v>162.2463074348274</v>
          </cell>
          <cell r="C588">
            <v>486.73892230448223</v>
          </cell>
          <cell r="D588">
            <v>0</v>
          </cell>
          <cell r="F588">
            <v>460.42871028802375</v>
          </cell>
          <cell r="G588">
            <v>0</v>
          </cell>
        </row>
        <row r="589">
          <cell r="A589" t="str">
            <v>Bern</v>
          </cell>
          <cell r="B589">
            <v>4.8227658512231653</v>
          </cell>
          <cell r="C589">
            <v>519.2211682476285</v>
          </cell>
          <cell r="D589">
            <v>0</v>
          </cell>
          <cell r="F589">
            <v>557.49375936095862</v>
          </cell>
          <cell r="G589">
            <v>57.703444832750868</v>
          </cell>
        </row>
        <row r="590">
          <cell r="A590" t="str">
            <v>Copenhagen</v>
          </cell>
          <cell r="B590">
            <v>55.872831108362739</v>
          </cell>
          <cell r="C590">
            <v>252.3007529737005</v>
          </cell>
          <cell r="D590">
            <v>190.02582663417118</v>
          </cell>
          <cell r="F590">
            <v>430.4536029973446</v>
          </cell>
          <cell r="G590">
            <v>232.16325342839474</v>
          </cell>
        </row>
        <row r="591">
          <cell r="A591" t="str">
            <v>Macao, China Average</v>
          </cell>
          <cell r="B591">
            <v>0</v>
          </cell>
          <cell r="C591">
            <v>1403.2182520011579</v>
          </cell>
          <cell r="D591">
            <v>0</v>
          </cell>
          <cell r="F591">
            <v>0</v>
          </cell>
          <cell r="G591">
            <v>0</v>
          </cell>
        </row>
        <row r="592">
          <cell r="A592" t="str">
            <v>Aalborg</v>
          </cell>
          <cell r="B592">
            <v>141.87043032265103</v>
          </cell>
          <cell r="C592">
            <v>127.9837037575934</v>
          </cell>
          <cell r="D592">
            <v>190.02582663417118</v>
          </cell>
          <cell r="F592">
            <v>676.87606853151942</v>
          </cell>
          <cell r="G592">
            <v>284.18900731148375</v>
          </cell>
        </row>
        <row r="593">
          <cell r="A593" t="str">
            <v>Esbjerg</v>
          </cell>
          <cell r="B593">
            <v>96.32243279618784</v>
          </cell>
          <cell r="C593">
            <v>141.25350114582955</v>
          </cell>
          <cell r="D593">
            <v>190.02582663417118</v>
          </cell>
          <cell r="F593">
            <v>765.49270670401222</v>
          </cell>
          <cell r="G593">
            <v>298.27361682005022</v>
          </cell>
        </row>
        <row r="594">
          <cell r="A594" t="str">
            <v>Aarhus</v>
          </cell>
          <cell r="B594">
            <v>80.026190389582041</v>
          </cell>
          <cell r="C594">
            <v>311.6656360263359</v>
          </cell>
          <cell r="D594">
            <v>190.02582663417118</v>
          </cell>
          <cell r="F594">
            <v>796.53704848859627</v>
          </cell>
          <cell r="G594">
            <v>344.56367538467134</v>
          </cell>
        </row>
        <row r="595">
          <cell r="A595" t="str">
            <v>Odense</v>
          </cell>
          <cell r="B595">
            <v>69.841038885453429</v>
          </cell>
          <cell r="C595">
            <v>254.62878760321561</v>
          </cell>
          <cell r="D595">
            <v>190.02582663417118</v>
          </cell>
          <cell r="F595">
            <v>921.14510203339273</v>
          </cell>
          <cell r="G595">
            <v>358.91018878905822</v>
          </cell>
        </row>
      </sheetData>
      <sheetData sheetId="19" refreshError="1"/>
      <sheetData sheetId="20">
        <row r="436">
          <cell r="B436" t="str">
            <v>FIXED CHARGE</v>
          </cell>
          <cell r="C436" t="str">
            <v>VARIABLE CHARGE</v>
          </cell>
          <cell r="D436" t="str">
            <v>OTHER CHARGES DRINKING WATER</v>
          </cell>
          <cell r="E436" t="str">
            <v>TOTAL CHARGE DRINKING WATER</v>
          </cell>
          <cell r="F436" t="str">
            <v>ENVIRONMENTAL CHARGES</v>
          </cell>
          <cell r="G436" t="str">
            <v>VAT &amp; OTHER TAXES</v>
          </cell>
          <cell r="H436" t="str">
            <v>TOTAL ANNUAL CHARGES 100 m³</v>
          </cell>
        </row>
        <row r="437">
          <cell r="A437" t="str">
            <v>Taipei</v>
          </cell>
          <cell r="B437">
            <v>23.588728700587662</v>
          </cell>
          <cell r="C437">
            <v>28.911313638156159</v>
          </cell>
          <cell r="D437">
            <v>0</v>
          </cell>
          <cell r="F437">
            <v>31.451638267450218</v>
          </cell>
          <cell r="G437">
            <v>2.6310505089117009</v>
          </cell>
        </row>
        <row r="438">
          <cell r="A438" t="str">
            <v>Lusaka</v>
          </cell>
          <cell r="B438">
            <v>0.90411580638540834</v>
          </cell>
          <cell r="C438">
            <v>82.182318568820847</v>
          </cell>
          <cell r="D438">
            <v>0</v>
          </cell>
          <cell r="F438">
            <v>26.706676804818574</v>
          </cell>
          <cell r="G438">
            <v>0</v>
          </cell>
        </row>
        <row r="439">
          <cell r="A439" t="str">
            <v>Kampala</v>
          </cell>
          <cell r="B439">
            <v>6.2107469240751092</v>
          </cell>
          <cell r="C439">
            <v>134.41830842819701</v>
          </cell>
          <cell r="D439">
            <v>0</v>
          </cell>
          <cell r="F439">
            <v>29.415057002521024</v>
          </cell>
          <cell r="G439">
            <v>0</v>
          </cell>
        </row>
        <row r="440">
          <cell r="A440" t="str">
            <v>Hong Kong</v>
          </cell>
          <cell r="B440">
            <v>0</v>
          </cell>
          <cell r="C440">
            <v>114.49633598349713</v>
          </cell>
          <cell r="D440">
            <v>0</v>
          </cell>
          <cell r="F440">
            <v>55.815484810214492</v>
          </cell>
          <cell r="G440">
            <v>0</v>
          </cell>
        </row>
        <row r="441">
          <cell r="A441" t="str">
            <v>Seoul</v>
          </cell>
          <cell r="B441">
            <v>0</v>
          </cell>
          <cell r="C441">
            <v>97.313579210559041</v>
          </cell>
          <cell r="D441">
            <v>0</v>
          </cell>
          <cell r="F441">
            <v>75.544484939094673</v>
          </cell>
          <cell r="G441">
            <v>0</v>
          </cell>
        </row>
        <row r="442">
          <cell r="A442" t="str">
            <v>Brasilia Federal District</v>
          </cell>
          <cell r="B442" t="str">
            <v>n/a</v>
          </cell>
          <cell r="C442" t="str">
            <v>n/a</v>
          </cell>
          <cell r="D442" t="str">
            <v>n/a</v>
          </cell>
          <cell r="F442" t="str">
            <v>n/a</v>
          </cell>
          <cell r="G442" t="str">
            <v>n/a</v>
          </cell>
          <cell r="H442">
            <v>212.5800962417253</v>
          </cell>
        </row>
        <row r="443">
          <cell r="A443" t="str">
            <v>Lisbon</v>
          </cell>
          <cell r="B443">
            <v>55.899407127500162</v>
          </cell>
          <cell r="C443">
            <v>134.22155623601972</v>
          </cell>
          <cell r="D443">
            <v>24.14923882120442</v>
          </cell>
          <cell r="F443">
            <v>71.01439833213891</v>
          </cell>
          <cell r="G443">
            <v>11.792299172584533</v>
          </cell>
        </row>
        <row r="444">
          <cell r="A444" t="str">
            <v>Madrid</v>
          </cell>
          <cell r="B444">
            <v>66.486416053163069</v>
          </cell>
          <cell r="C444">
            <v>113.72076356765913</v>
          </cell>
          <cell r="D444">
            <v>0</v>
          </cell>
          <cell r="F444">
            <v>121.81032423393489</v>
          </cell>
          <cell r="G444">
            <v>30.197406997198513</v>
          </cell>
        </row>
        <row r="445">
          <cell r="A445" t="str">
            <v>Bucharest</v>
          </cell>
          <cell r="B445">
            <v>0</v>
          </cell>
          <cell r="C445">
            <v>219.88287284877663</v>
          </cell>
          <cell r="D445">
            <v>0</v>
          </cell>
          <cell r="F445">
            <v>48.862860633061473</v>
          </cell>
          <cell r="G445">
            <v>64.498976035641135</v>
          </cell>
        </row>
        <row r="446">
          <cell r="A446" t="str">
            <v>Tokyo</v>
          </cell>
          <cell r="B446">
            <v>116.70246706022994</v>
          </cell>
          <cell r="C446">
            <v>96.088356069534058</v>
          </cell>
          <cell r="D446">
            <v>0</v>
          </cell>
          <cell r="F446">
            <v>150.94849015767633</v>
          </cell>
          <cell r="G446">
            <v>29.059246783658395</v>
          </cell>
        </row>
        <row r="447">
          <cell r="A447" t="str">
            <v>Budapest</v>
          </cell>
          <cell r="B447">
            <v>5.8529268955314864</v>
          </cell>
          <cell r="C447">
            <v>118.71112903407392</v>
          </cell>
          <cell r="D447">
            <v>0</v>
          </cell>
          <cell r="F447">
            <v>206.73226374651981</v>
          </cell>
          <cell r="G447">
            <v>91.030227716383834</v>
          </cell>
        </row>
        <row r="448">
          <cell r="A448" t="str">
            <v>Paris</v>
          </cell>
          <cell r="B448">
            <v>22.824505396659934</v>
          </cell>
          <cell r="C448">
            <v>214.99771972115448</v>
          </cell>
          <cell r="D448">
            <v>106.41301279127848</v>
          </cell>
          <cell r="F448">
            <v>338.78428562121314</v>
          </cell>
          <cell r="G448">
            <v>52.64186591960388</v>
          </cell>
        </row>
        <row r="449">
          <cell r="A449" t="str">
            <v>London</v>
          </cell>
          <cell r="B449">
            <v>31.31677842458183</v>
          </cell>
          <cell r="C449">
            <v>372.23491268145312</v>
          </cell>
          <cell r="D449">
            <v>0</v>
          </cell>
          <cell r="F449">
            <v>334.55161741949746</v>
          </cell>
          <cell r="G449">
            <v>0</v>
          </cell>
        </row>
        <row r="450">
          <cell r="A450" t="str">
            <v>Oslo</v>
          </cell>
          <cell r="B450">
            <v>35.438980621423653</v>
          </cell>
          <cell r="C450">
            <v>225.04881324560114</v>
          </cell>
          <cell r="D450">
            <v>0</v>
          </cell>
          <cell r="F450">
            <v>337.68608286401138</v>
          </cell>
          <cell r="G450">
            <v>149.54346918275905</v>
          </cell>
        </row>
        <row r="451">
          <cell r="A451" t="str">
            <v>Amsterdam</v>
          </cell>
          <cell r="B451">
            <v>45.76845397094273</v>
          </cell>
          <cell r="C451">
            <v>269.29007318609246</v>
          </cell>
          <cell r="D451">
            <v>0</v>
          </cell>
          <cell r="F451">
            <v>413.273394575108</v>
          </cell>
          <cell r="G451">
            <v>23.24798575368645</v>
          </cell>
        </row>
        <row r="452">
          <cell r="A452" t="str">
            <v>Helsinki</v>
          </cell>
          <cell r="B452">
            <v>41.902838404239155</v>
          </cell>
          <cell r="C452">
            <v>234.54296696853217</v>
          </cell>
          <cell r="D452">
            <v>0</v>
          </cell>
          <cell r="F452">
            <v>353.86670141377294</v>
          </cell>
          <cell r="G452">
            <v>151.28021369470324</v>
          </cell>
        </row>
        <row r="453">
          <cell r="A453" t="str">
            <v>Brussels</v>
          </cell>
          <cell r="B453">
            <v>25.84316024931049</v>
          </cell>
          <cell r="C453">
            <v>406.19367168328012</v>
          </cell>
          <cell r="D453">
            <v>0</v>
          </cell>
          <cell r="F453">
            <v>315.16711186396509</v>
          </cell>
          <cell r="G453">
            <v>44.834625491345797</v>
          </cell>
        </row>
        <row r="454">
          <cell r="A454" t="str">
            <v>Canberra</v>
          </cell>
          <cell r="B454">
            <v>75.276439935978487</v>
          </cell>
          <cell r="C454">
            <v>385.88310957472464</v>
          </cell>
          <cell r="D454">
            <v>0</v>
          </cell>
          <cell r="F454">
            <v>369.07380745309837</v>
          </cell>
          <cell r="G454">
            <v>0</v>
          </cell>
        </row>
        <row r="455">
          <cell r="A455" t="str">
            <v>Washington D.C.</v>
          </cell>
          <cell r="B455">
            <v>46.32</v>
          </cell>
          <cell r="C455">
            <v>236.58</v>
          </cell>
          <cell r="D455">
            <v>75.599999999999994</v>
          </cell>
          <cell r="F455">
            <v>629.46</v>
          </cell>
          <cell r="G455">
            <v>0</v>
          </cell>
        </row>
        <row r="456">
          <cell r="A456" t="str">
            <v>Athens</v>
          </cell>
          <cell r="B456">
            <v>13.03016483158512</v>
          </cell>
          <cell r="C456">
            <v>475.514148587313</v>
          </cell>
          <cell r="D456">
            <v>0</v>
          </cell>
          <cell r="F456">
            <v>356.63561144048475</v>
          </cell>
          <cell r="G456">
            <v>146.83909918127131</v>
          </cell>
        </row>
        <row r="457">
          <cell r="A457" t="str">
            <v>Cardiff</v>
          </cell>
          <cell r="B457">
            <v>50.696337779087763</v>
          </cell>
          <cell r="C457">
            <v>385.49848942598186</v>
          </cell>
          <cell r="D457">
            <v>0</v>
          </cell>
          <cell r="F457">
            <v>611.83405791761845</v>
          </cell>
          <cell r="G457">
            <v>0</v>
          </cell>
        </row>
        <row r="458">
          <cell r="A458" t="str">
            <v>Bern</v>
          </cell>
          <cell r="B458">
            <v>4.8227658512231653</v>
          </cell>
          <cell r="C458">
            <v>519.2211682476285</v>
          </cell>
          <cell r="D458">
            <v>0</v>
          </cell>
          <cell r="F458">
            <v>557.49375936095862</v>
          </cell>
          <cell r="G458">
            <v>57.703444832750868</v>
          </cell>
        </row>
        <row r="459">
          <cell r="A459" t="str">
            <v>Copenhagen</v>
          </cell>
          <cell r="B459">
            <v>55.872831108362739</v>
          </cell>
          <cell r="C459">
            <v>252.3007529737005</v>
          </cell>
          <cell r="D459">
            <v>190.02582663417118</v>
          </cell>
          <cell r="F459">
            <v>430.4536029973446</v>
          </cell>
          <cell r="G459">
            <v>232.16325342839474</v>
          </cell>
        </row>
      </sheetData>
      <sheetData sheetId="21">
        <row r="438">
          <cell r="B438" t="str">
            <v>FIXED CHARGE</v>
          </cell>
          <cell r="C438" t="str">
            <v>VARIABLE CHARGE</v>
          </cell>
          <cell r="D438" t="str">
            <v>OTHER CHARGES DRINKING WATER</v>
          </cell>
          <cell r="E438" t="str">
            <v>TOTAL CHARGE DRINKING WATER</v>
          </cell>
          <cell r="F438" t="str">
            <v>ENVIRONMENTAL CHARGES</v>
          </cell>
          <cell r="G438" t="str">
            <v>VAT &amp; OTHER TAXES</v>
          </cell>
        </row>
        <row r="439">
          <cell r="A439" t="str">
            <v>Lusaka</v>
          </cell>
          <cell r="B439">
            <v>0.72329264510832658</v>
          </cell>
          <cell r="C439">
            <v>35.531751190946544</v>
          </cell>
          <cell r="D439">
            <v>0</v>
          </cell>
          <cell r="F439">
            <v>11.465996656579748</v>
          </cell>
          <cell r="G439">
            <v>0</v>
          </cell>
        </row>
        <row r="440">
          <cell r="A440" t="str">
            <v>Taipei</v>
          </cell>
          <cell r="B440">
            <v>23.588728700587662</v>
          </cell>
          <cell r="C440">
            <v>14.455656819078079</v>
          </cell>
          <cell r="D440">
            <v>0</v>
          </cell>
          <cell r="F440">
            <v>15.725819133725109</v>
          </cell>
          <cell r="G440">
            <v>1.905243471970542</v>
          </cell>
        </row>
        <row r="441">
          <cell r="A441" t="str">
            <v>Hong Kong</v>
          </cell>
          <cell r="B441">
            <v>0</v>
          </cell>
          <cell r="C441">
            <v>33.705350827329525</v>
          </cell>
          <cell r="D441">
            <v>0</v>
          </cell>
          <cell r="F441">
            <v>27.907742405107246</v>
          </cell>
          <cell r="G441">
            <v>0</v>
          </cell>
        </row>
        <row r="442">
          <cell r="A442" t="str">
            <v>Beijing</v>
          </cell>
          <cell r="B442">
            <v>31.77863646621562</v>
          </cell>
          <cell r="C442">
            <v>0</v>
          </cell>
          <cell r="D442">
            <v>24.10263731978673</v>
          </cell>
          <cell r="F442">
            <v>20.878717678286595</v>
          </cell>
          <cell r="G442">
            <v>0</v>
          </cell>
        </row>
        <row r="443">
          <cell r="A443" t="str">
            <v>Kampala</v>
          </cell>
          <cell r="B443">
            <v>3.1053734620375546</v>
          </cell>
          <cell r="C443">
            <v>67.209007221129553</v>
          </cell>
          <cell r="D443">
            <v>0</v>
          </cell>
          <cell r="F443">
            <v>14.707528501260512</v>
          </cell>
          <cell r="G443">
            <v>0</v>
          </cell>
        </row>
        <row r="444">
          <cell r="A444" t="str">
            <v>Seoul</v>
          </cell>
          <cell r="B444">
            <v>0</v>
          </cell>
          <cell r="C444">
            <v>48.656789605279521</v>
          </cell>
          <cell r="D444">
            <v>0</v>
          </cell>
          <cell r="F444">
            <v>37.772242469547336</v>
          </cell>
          <cell r="G444">
            <v>0</v>
          </cell>
        </row>
        <row r="445">
          <cell r="A445" t="str">
            <v>Lisbon</v>
          </cell>
          <cell r="B445">
            <v>55.899407127500162</v>
          </cell>
          <cell r="C445">
            <v>44.389428192933309</v>
          </cell>
          <cell r="D445">
            <v>12.07461941060221</v>
          </cell>
          <cell r="F445">
            <v>43.911655482441851</v>
          </cell>
          <cell r="G445">
            <v>6.211045236388907</v>
          </cell>
        </row>
        <row r="446">
          <cell r="A446" t="str">
            <v>Bucharest</v>
          </cell>
          <cell r="B446">
            <v>0</v>
          </cell>
          <cell r="C446">
            <v>109.94143642438831</v>
          </cell>
          <cell r="D446">
            <v>0</v>
          </cell>
          <cell r="F446">
            <v>24.431430316530736</v>
          </cell>
          <cell r="G446">
            <v>32.249488017820568</v>
          </cell>
        </row>
        <row r="447">
          <cell r="A447" t="str">
            <v>Tokyo</v>
          </cell>
          <cell r="B447">
            <v>116.70246706022994</v>
          </cell>
          <cell r="C447">
            <v>7.3146845450856368</v>
          </cell>
          <cell r="D447">
            <v>0</v>
          </cell>
          <cell r="F447">
            <v>59.514933344105863</v>
          </cell>
          <cell r="G447">
            <v>14.529623391829197</v>
          </cell>
        </row>
        <row r="448">
          <cell r="A448" t="str">
            <v>Madrid</v>
          </cell>
          <cell r="B448">
            <v>66.486416053163069</v>
          </cell>
          <cell r="C448">
            <v>46.691423979846682</v>
          </cell>
          <cell r="D448">
            <v>0</v>
          </cell>
          <cell r="F448">
            <v>73.186092470736412</v>
          </cell>
          <cell r="G448">
            <v>18.633135709166723</v>
          </cell>
        </row>
        <row r="449">
          <cell r="A449" t="str">
            <v>Budapest</v>
          </cell>
          <cell r="B449">
            <v>5.8529268955314864</v>
          </cell>
          <cell r="C449">
            <v>59.35556451703696</v>
          </cell>
          <cell r="D449">
            <v>0</v>
          </cell>
          <cell r="F449">
            <v>103.3661318732599</v>
          </cell>
          <cell r="G449">
            <v>45.515113858191917</v>
          </cell>
        </row>
        <row r="450">
          <cell r="A450" t="str">
            <v>Athens</v>
          </cell>
          <cell r="B450">
            <v>13.03016483158512</v>
          </cell>
          <cell r="C450">
            <v>131.51779703346583</v>
          </cell>
          <cell r="D450">
            <v>0</v>
          </cell>
          <cell r="F450">
            <v>98.638347775099362</v>
          </cell>
          <cell r="G450">
            <v>42.782374530371143</v>
          </cell>
        </row>
        <row r="451">
          <cell r="A451" t="str">
            <v>Paris</v>
          </cell>
          <cell r="B451">
            <v>22.824505396659934</v>
          </cell>
          <cell r="C451">
            <v>107.49885986057724</v>
          </cell>
          <cell r="D451">
            <v>53.206506395639238</v>
          </cell>
          <cell r="F451">
            <v>169.39214281060657</v>
          </cell>
          <cell r="G451">
            <v>26.950724259995223</v>
          </cell>
        </row>
        <row r="452">
          <cell r="A452" t="str">
            <v>Oslo</v>
          </cell>
          <cell r="B452">
            <v>35.438980621423653</v>
          </cell>
          <cell r="C452">
            <v>112.52440662280057</v>
          </cell>
          <cell r="D452">
            <v>0</v>
          </cell>
          <cell r="F452">
            <v>168.84304143200569</v>
          </cell>
          <cell r="G452">
            <v>79.201607169057482</v>
          </cell>
        </row>
        <row r="453">
          <cell r="A453" t="str">
            <v>Brussels</v>
          </cell>
          <cell r="B453">
            <v>25.84316024931049</v>
          </cell>
          <cell r="C453">
            <v>203.36829760896475</v>
          </cell>
          <cell r="D453">
            <v>0</v>
          </cell>
          <cell r="F453">
            <v>157.58898516732904</v>
          </cell>
          <cell r="G453">
            <v>23.204551870914504</v>
          </cell>
        </row>
        <row r="454">
          <cell r="A454" t="str">
            <v>London</v>
          </cell>
          <cell r="B454">
            <v>31.31677842458183</v>
          </cell>
          <cell r="C454">
            <v>186.11745634072656</v>
          </cell>
          <cell r="D454">
            <v>0</v>
          </cell>
          <cell r="F454">
            <v>217.49318399528408</v>
          </cell>
          <cell r="G454">
            <v>0</v>
          </cell>
        </row>
        <row r="455">
          <cell r="A455" t="str">
            <v>Helsinki</v>
          </cell>
          <cell r="B455">
            <v>41.902838404239155</v>
          </cell>
          <cell r="C455">
            <v>117.27148348426608</v>
          </cell>
          <cell r="D455">
            <v>0</v>
          </cell>
          <cell r="F455">
            <v>208.36319412773906</v>
          </cell>
          <cell r="G455">
            <v>88.214215909831253</v>
          </cell>
        </row>
        <row r="456">
          <cell r="A456" t="str">
            <v>Amsterdam</v>
          </cell>
          <cell r="B456">
            <v>45.76845397094273</v>
          </cell>
          <cell r="C456">
            <v>134.64503659304623</v>
          </cell>
          <cell r="D456">
            <v>0</v>
          </cell>
          <cell r="F456">
            <v>377.11468716745929</v>
          </cell>
          <cell r="G456">
            <v>12.997589419506157</v>
          </cell>
        </row>
        <row r="457">
          <cell r="A457" t="str">
            <v>Cardiff</v>
          </cell>
          <cell r="B457">
            <v>50.696337779087763</v>
          </cell>
          <cell r="C457">
            <v>192.74924471299093</v>
          </cell>
          <cell r="D457">
            <v>0</v>
          </cell>
          <cell r="F457">
            <v>364.79257239702309</v>
          </cell>
          <cell r="G457">
            <v>0</v>
          </cell>
        </row>
        <row r="458">
          <cell r="A458" t="str">
            <v>Copenhagen</v>
          </cell>
          <cell r="B458">
            <v>55.872831108362739</v>
          </cell>
          <cell r="C458">
            <v>126.15037648685025</v>
          </cell>
          <cell r="D458">
            <v>95.012913317085591</v>
          </cell>
          <cell r="F458">
            <v>215.2268014986723</v>
          </cell>
          <cell r="G458">
            <v>123.0657306027427</v>
          </cell>
        </row>
        <row r="459">
          <cell r="A459" t="str">
            <v>Washington D.C.</v>
          </cell>
          <cell r="B459">
            <v>46.32</v>
          </cell>
          <cell r="C459">
            <v>108.79</v>
          </cell>
          <cell r="D459">
            <v>75.599999999999994</v>
          </cell>
          <cell r="F459">
            <v>435.74</v>
          </cell>
          <cell r="G459">
            <v>0</v>
          </cell>
        </row>
        <row r="460">
          <cell r="A460" t="str">
            <v>Bern</v>
          </cell>
          <cell r="B460">
            <v>4.8227658512231653</v>
          </cell>
          <cell r="C460">
            <v>259.61058412381425</v>
          </cell>
          <cell r="D460">
            <v>0</v>
          </cell>
          <cell r="F460">
            <v>377.76335496754865</v>
          </cell>
          <cell r="G460">
            <v>36.834747878182725</v>
          </cell>
        </row>
      </sheetData>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ow r="5">
          <cell r="M5">
            <v>1.36829</v>
          </cell>
        </row>
        <row r="6">
          <cell r="K6">
            <v>0.72762000000000004</v>
          </cell>
        </row>
        <row r="7">
          <cell r="M7">
            <v>0.92093999999999998</v>
          </cell>
        </row>
        <row r="8">
          <cell r="M8">
            <v>3.9608599999999998</v>
          </cell>
        </row>
        <row r="9">
          <cell r="K9">
            <v>1.423</v>
          </cell>
        </row>
        <row r="11">
          <cell r="M11">
            <v>1.39011</v>
          </cell>
        </row>
        <row r="12">
          <cell r="M12">
            <v>711.02919999999995</v>
          </cell>
        </row>
        <row r="13">
          <cell r="M13">
            <v>6.5138100000000003</v>
          </cell>
        </row>
        <row r="14">
          <cell r="M14">
            <v>7.77562</v>
          </cell>
        </row>
        <row r="15">
          <cell r="M15">
            <v>33.06664</v>
          </cell>
        </row>
        <row r="16">
          <cell r="M16">
            <v>0.92093999999999998</v>
          </cell>
        </row>
        <row r="17">
          <cell r="M17">
            <v>6.8727499999999999</v>
          </cell>
        </row>
        <row r="18">
          <cell r="M18">
            <v>0.92093999999999998</v>
          </cell>
        </row>
        <row r="19">
          <cell r="M19">
            <v>0.92093999999999998</v>
          </cell>
        </row>
        <row r="21">
          <cell r="M21">
            <v>0.92093999999999998</v>
          </cell>
        </row>
        <row r="22">
          <cell r="M22">
            <v>0.92093999999999998</v>
          </cell>
        </row>
        <row r="23">
          <cell r="M23">
            <v>290.45296999999999</v>
          </cell>
        </row>
        <row r="24">
          <cell r="M24">
            <v>130.32431</v>
          </cell>
        </row>
        <row r="27">
          <cell r="K27">
            <v>11241.536700000001</v>
          </cell>
        </row>
        <row r="28">
          <cell r="K28">
            <v>3.4691000000000001</v>
          </cell>
        </row>
        <row r="29">
          <cell r="K29">
            <v>0.72762000000000004</v>
          </cell>
        </row>
        <row r="30">
          <cell r="M30">
            <v>120.30594000000001</v>
          </cell>
        </row>
        <row r="31">
          <cell r="M31">
            <v>102.86302000000001</v>
          </cell>
        </row>
        <row r="36">
          <cell r="M36">
            <v>8.0490899999999996</v>
          </cell>
        </row>
        <row r="38">
          <cell r="M38">
            <v>0.92093999999999998</v>
          </cell>
        </row>
        <row r="39">
          <cell r="M39">
            <v>35.849890000000002</v>
          </cell>
        </row>
        <row r="40">
          <cell r="M40">
            <v>17.273230000000002</v>
          </cell>
        </row>
        <row r="42">
          <cell r="M42">
            <v>15.682219999999999</v>
          </cell>
        </row>
        <row r="43">
          <cell r="M43">
            <v>0.92093999999999998</v>
          </cell>
        </row>
        <row r="46">
          <cell r="M46">
            <v>8.8603000000000005</v>
          </cell>
        </row>
        <row r="47">
          <cell r="M47">
            <v>3.9519899999999999</v>
          </cell>
        </row>
        <row r="48">
          <cell r="M48">
            <v>0.92093999999999998</v>
          </cell>
        </row>
        <row r="49">
          <cell r="M49">
            <v>4.1749499999999999</v>
          </cell>
        </row>
        <row r="50">
          <cell r="M50">
            <v>72.996619999999993</v>
          </cell>
        </row>
        <row r="51">
          <cell r="M51">
            <v>0.67854999999999999</v>
          </cell>
        </row>
        <row r="55">
          <cell r="K55">
            <v>10.498559999999999</v>
          </cell>
        </row>
        <row r="56">
          <cell r="M56">
            <v>1180.2052799999999</v>
          </cell>
        </row>
        <row r="57">
          <cell r="M57">
            <v>0.92093999999999998</v>
          </cell>
        </row>
        <row r="58">
          <cell r="K58">
            <v>6.4383900000000001</v>
          </cell>
        </row>
        <row r="59">
          <cell r="M59">
            <v>1.0015000000000001</v>
          </cell>
        </row>
        <row r="60">
          <cell r="M60">
            <v>2171.8366799999999</v>
          </cell>
        </row>
        <row r="61">
          <cell r="M61">
            <v>36.151380000000003</v>
          </cell>
        </row>
        <row r="63">
          <cell r="M63">
            <v>3401.52324</v>
          </cell>
        </row>
        <row r="64">
          <cell r="M64">
            <v>0.67854999999999999</v>
          </cell>
        </row>
        <row r="66">
          <cell r="M66">
            <v>11.06053</v>
          </cell>
        </row>
      </sheetData>
      <sheetData sheetId="39"/>
      <sheetData sheetId="40" refreshError="1"/>
      <sheetData sheetId="41" refreshError="1"/>
      <sheetData sheetId="42" refreshError="1"/>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tables/table1.xml><?xml version="1.0" encoding="utf-8"?>
<table xmlns="http://schemas.openxmlformats.org/spreadsheetml/2006/main" id="9" name="Tabel110" displayName="Tabel110" ref="A5:Y70" totalsRowShown="0" headerRowDxfId="317" dataDxfId="316">
  <autoFilter ref="A5:Y70"/>
  <tableColumns count="25">
    <tableColumn id="1" name="Country" dataDxfId="315" dataCellStyle="Standaard 3"/>
    <tableColumn id="7" name="GW 2010" dataDxfId="314"/>
    <tableColumn id="2" name="GW 2012" dataDxfId="313"/>
    <tableColumn id="6" name="GW 2014" dataDxfId="312"/>
    <tableColumn id="17" name="GW 2016" dataDxfId="311"/>
    <tableColumn id="13" name="SP 2010" dataDxfId="310"/>
    <tableColumn id="3" name="SP 2012" dataDxfId="309"/>
    <tableColumn id="10" name="SP 2014" dataDxfId="308"/>
    <tableColumn id="18" name="SP 2016" dataDxfId="307"/>
    <tableColumn id="19" name="SFW 2010" dataDxfId="306"/>
    <tableColumn id="4" name="SFW 2012" dataDxfId="305"/>
    <tableColumn id="11" name="SFW 2014" dataDxfId="304"/>
    <tableColumn id="20" name="SFW 2016" dataDxfId="303"/>
    <tableColumn id="25" name="OS 2010" dataDxfId="302"/>
    <tableColumn id="5" name="OS 2012" dataDxfId="301"/>
    <tableColumn id="12" name="OS 2014" dataDxfId="300"/>
    <tableColumn id="21" name="OS 2016" dataDxfId="299"/>
    <tableColumn id="9" name="I/E WATER 2010" dataDxfId="298"/>
    <tableColumn id="14" name="I/E WATER 2012" dataDxfId="297"/>
    <tableColumn id="16" name="I/E WATER 2014" dataDxfId="296"/>
    <tableColumn id="22" name="I/E WATER 2016" dataDxfId="295"/>
    <tableColumn id="31" name="TOTAL 2010" dataDxfId="294">
      <calculatedColumnFormula>Tabel110[[#This Row],[GW 2010]]+Tabel110[[#This Row],[SP 2010]]+Tabel110[[#This Row],[SFW 2010]]+Tabel110[[#This Row],[OS 2010]]+Tabel110[[#This Row],[I/E WATER 2010]]</calculatedColumnFormula>
    </tableColumn>
    <tableColumn id="8" name="TOTAL 2012" dataDxfId="293">
      <calculatedColumnFormula>Tabel110[[#This Row],[GW 2012]]+Tabel110[[#This Row],[SP 2012]]+Tabel110[[#This Row],[SFW 2012]]+Tabel110[[#This Row],[OS 2012]]+Tabel110[[#This Row],[I/E WATER 2012]]</calculatedColumnFormula>
    </tableColumn>
    <tableColumn id="15" name="TOTAL 2014" dataDxfId="292">
      <calculatedColumnFormula>Tabel110[[#This Row],[GW 2014]]+Tabel110[[#This Row],[SP 2014]]+Tabel110[[#This Row],[SFW 2014]]+Tabel110[[#This Row],[OS 2014]]+Tabel110[[#This Row],[I/E WATER 2014]]</calculatedColumnFormula>
    </tableColumn>
    <tableColumn id="23" name="TOTAL 2016" dataDxfId="291">
      <calculatedColumnFormula>Tabel110[[#This Row],[GW 2016]]+Tabel110[[#This Row],[SP 2016]]+Tabel110[[#This Row],[SFW 2016]]+Tabel110[[#This Row],[OS 2016]]+Tabel110[[#This Row],[I/E WATER 2016]]</calculatedColumnFormula>
    </tableColumn>
  </tableColumns>
  <tableStyleInfo name="TableStyleLight16" showFirstColumn="0" showLastColumn="0" showRowStripes="1" showColumnStripes="0"/>
</table>
</file>

<file path=xl/tables/table2.xml><?xml version="1.0" encoding="utf-8"?>
<table xmlns="http://schemas.openxmlformats.org/spreadsheetml/2006/main" id="10" name="Tabel11011" displayName="Tabel11011" ref="A74:Y119" totalsRowShown="0" headerRowDxfId="290" dataDxfId="289">
  <autoFilter ref="A74:Y119"/>
  <tableColumns count="25">
    <tableColumn id="1" name="Country" dataDxfId="288" dataCellStyle="Standaard 3"/>
    <tableColumn id="7" name="GW 2010" dataDxfId="287"/>
    <tableColumn id="2" name="GW 2012" dataDxfId="286"/>
    <tableColumn id="6" name="groundwater_x000a_ 2014" dataDxfId="285"/>
    <tableColumn id="17" name="groundwater_x000a_ 2016" dataDxfId="284"/>
    <tableColumn id="13" name="SP 2010" dataDxfId="283"/>
    <tableColumn id="3" name="SP 2012" dataDxfId="282"/>
    <tableColumn id="10" name="springwater_x000a_ 2014" dataDxfId="281"/>
    <tableColumn id="18" name="springwater_x000a_ 2016" dataDxfId="280"/>
    <tableColumn id="19" name="SFW 2010" dataDxfId="279"/>
    <tableColumn id="4" name="SFW 2012" dataDxfId="278"/>
    <tableColumn id="11" name="surface water_x000a_ 2014" dataDxfId="277"/>
    <tableColumn id="20" name="surface water_x000a_ 2016" dataDxfId="276"/>
    <tableColumn id="25" name="OS 2010" dataDxfId="275"/>
    <tableColumn id="5" name="OS 2012" dataDxfId="274"/>
    <tableColumn id="12" name="other sources_x000a_ 2014" dataDxfId="273"/>
    <tableColumn id="21" name="other sources_x000a_ 2016" dataDxfId="272"/>
    <tableColumn id="9" name="I WATER 2010" dataDxfId="271"/>
    <tableColumn id="14" name="I WATER 2012" dataDxfId="270"/>
    <tableColumn id="16" name="imported water_x000a_ 2014" dataDxfId="269"/>
    <tableColumn id="22" name="imported water_x000a_ 2016" dataDxfId="268"/>
    <tableColumn id="31" name="TOTAL 2010" dataDxfId="267">
      <calculatedColumnFormula>Tabel11011[[#This Row],[GW 2010]]+Tabel11011[[#This Row],[SP 2010]]+Tabel11011[[#This Row],[SFW 2010]]+Tabel11011[[#This Row],[OS 2010]]+Tabel11011[[#This Row],[I WATER 2010]]</calculatedColumnFormula>
    </tableColumn>
    <tableColumn id="8" name="TOTAL 2012" dataDxfId="266">
      <calculatedColumnFormula>Tabel11011[[#This Row],[GW 2012]]+Tabel11011[[#This Row],[SP 2012]]+Tabel11011[[#This Row],[SFW 2012]]+Tabel11011[[#This Row],[OS 2012]]+Tabel11011[[#This Row],[I WATER 2012]]</calculatedColumnFormula>
    </tableColumn>
    <tableColumn id="15" name="TOTAL 2014" dataDxfId="265">
      <calculatedColumnFormula>Tabel11011[[#This Row],[groundwater
 2014]]+Tabel11011[[#This Row],[springwater
 2014]]+Tabel11011[[#This Row],[surface water
 2014]]+Tabel11011[[#This Row],[other sources
 2014]]+Tabel11011[[#This Row],[imported water
 2014]]</calculatedColumnFormula>
    </tableColumn>
    <tableColumn id="23" name="TOTAL 2016" dataDxfId="264">
      <calculatedColumnFormula>Tabel11011[[#This Row],[groundwater
 2016]]+Tabel11011[[#This Row],[springwater
 2016]]+Tabel11011[[#This Row],[surface water
 2016]]+Tabel11011[[#This Row],[other sources
 2016]]+Tabel11011[[#This Row],[imported water
 2016]]</calculatedColumnFormula>
    </tableColumn>
  </tableColumns>
  <tableStyleInfo name="TableStyleLight16" showFirstColumn="0" showLastColumn="0" showRowStripes="1" showColumnStripes="0"/>
</table>
</file>

<file path=xl/tables/table3.xml><?xml version="1.0" encoding="utf-8"?>
<table xmlns="http://schemas.openxmlformats.org/spreadsheetml/2006/main" id="18" name="Tabel11219" displayName="Tabel11219" ref="A5:W70" totalsRowShown="0" headerRowDxfId="263" dataDxfId="262">
  <autoFilter ref="A5:W70"/>
  <tableColumns count="23">
    <tableColumn id="1" name="Country" dataDxfId="261" dataCellStyle="Standaard 3"/>
    <tableColumn id="2" name="GW 2014" dataDxfId="260">
      <calculatedColumnFormula>#REF!</calculatedColumnFormula>
    </tableColumn>
    <tableColumn id="6" name="% GW 2014" dataDxfId="259">
      <calculatedColumnFormula>Tabel11219[[#This Row],[GW 2014]]/Tabel11219[[#This Row],[TOTAL 2014]]*100</calculatedColumnFormula>
    </tableColumn>
    <tableColumn id="14" name="GW 2016" dataDxfId="258">
      <calculatedColumnFormula>#REF!</calculatedColumnFormula>
    </tableColumn>
    <tableColumn id="13" name="% GW 2016" dataDxfId="257">
      <calculatedColumnFormula>Tabel11219[[#This Row],[GW 2016]]/Tabel11219[[#This Row],[TOTAL 2016]]*100</calculatedColumnFormula>
    </tableColumn>
    <tableColumn id="3" name="SP 2014" dataDxfId="256">
      <calculatedColumnFormula>#REF!</calculatedColumnFormula>
    </tableColumn>
    <tableColumn id="7" name="% SP 2014" dataDxfId="255">
      <calculatedColumnFormula>Tabel11219[[#This Row],[SP 2014]]/Tabel11219[[#This Row],[TOTAL 2014]]*100</calculatedColumnFormula>
    </tableColumn>
    <tableColumn id="16" name="SP 2016" dataDxfId="254">
      <calculatedColumnFormula>#REF!</calculatedColumnFormula>
    </tableColumn>
    <tableColumn id="15" name="% SP 2016" dataDxfId="253">
      <calculatedColumnFormula>Tabel11219[[#This Row],[SP 2016]]/Tabel11219[[#This Row],[TOTAL 2016]]*100</calculatedColumnFormula>
    </tableColumn>
    <tableColumn id="4" name="SFW 2014" dataDxfId="252">
      <calculatedColumnFormula>#REF!</calculatedColumnFormula>
    </tableColumn>
    <tableColumn id="10" name="% SFW 2014" dataDxfId="251">
      <calculatedColumnFormula>Tabel11219[[#This Row],[SFW 2014]]/Tabel11219[[#This Row],[TOTAL 2014]]*100</calculatedColumnFormula>
    </tableColumn>
    <tableColumn id="18" name="SFW 2016" dataDxfId="250">
      <calculatedColumnFormula>#REF!</calculatedColumnFormula>
    </tableColumn>
    <tableColumn id="17" name="% SFW 2016" dataDxfId="249">
      <calculatedColumnFormula>Tabel11219[[#This Row],[SFW 2016]]/Tabel11219[[#This Row],[TOTAL 2016]]*100</calculatedColumnFormula>
    </tableColumn>
    <tableColumn id="5" name="OS 2014" dataDxfId="248">
      <calculatedColumnFormula>#REF!</calculatedColumnFormula>
    </tableColumn>
    <tableColumn id="11" name="% OS 2014" dataDxfId="247">
      <calculatedColumnFormula>Tabel11219[[#This Row],[OS 2014]]/Tabel11219[[#This Row],[TOTAL 2014]]*100</calculatedColumnFormula>
    </tableColumn>
    <tableColumn id="20" name="OS 2016" dataDxfId="246">
      <calculatedColumnFormula>#REF!</calculatedColumnFormula>
    </tableColumn>
    <tableColumn id="19" name="% OS 2016" dataDxfId="245">
      <calculatedColumnFormula>Tabel11219[[#This Row],[OS 2016]]/Tabel11219[[#This Row],[TOTAL 2016]]*100</calculatedColumnFormula>
    </tableColumn>
    <tableColumn id="9" name="I/E WATER 2014" dataDxfId="244">
      <calculatedColumnFormula>#REF!</calculatedColumnFormula>
    </tableColumn>
    <tableColumn id="12" name="% I/E WATER 2014" dataDxfId="243">
      <calculatedColumnFormula>Tabel11219[[#This Row],[I/E WATER 2014]]/Tabel11219[[#This Row],[TOTAL 2014]]*100</calculatedColumnFormula>
    </tableColumn>
    <tableColumn id="22" name="I/E WATER 2016" dataDxfId="242">
      <calculatedColumnFormula>#REF!</calculatedColumnFormula>
    </tableColumn>
    <tableColumn id="21" name="% I/E WATER 2016" dataDxfId="241">
      <calculatedColumnFormula>Tabel11219[[#This Row],[I/E WATER 2016]]/Tabel11219[[#This Row],[TOTAL 2016]]*100</calculatedColumnFormula>
    </tableColumn>
    <tableColumn id="8" name="TOTAL 2014" dataDxfId="240">
      <calculatedColumnFormula>Tabel11219[[#This Row],[GW 2014]]+Tabel11219[[#This Row],[SP 2014]]+Tabel11219[[#This Row],[SFW 2014]]+Tabel11219[[#This Row],[OS 2014]]+Tabel11219[[#This Row],[I/E WATER 2014]]</calculatedColumnFormula>
    </tableColumn>
    <tableColumn id="23" name="TOTAL 2016" dataDxfId="239">
      <calculatedColumnFormula>Tabel11219[[#This Row],[GW 2016]]+Tabel11219[[#This Row],[SP 2016]]+Tabel11219[[#This Row],[SFW 2016]]+Tabel11219[[#This Row],[OS 2016]]+Tabel11219[[#This Row],[I/E WATER 2016]]</calculatedColumnFormula>
    </tableColumn>
  </tableColumns>
  <tableStyleInfo name="TableStyleLight16" showFirstColumn="0" showLastColumn="0" showRowStripes="1" showColumnStripes="0"/>
</table>
</file>

<file path=xl/tables/table4.xml><?xml version="1.0" encoding="utf-8"?>
<table xmlns="http://schemas.openxmlformats.org/spreadsheetml/2006/main" id="19" name="Tabel6520" displayName="Tabel6520" ref="A5:Q70" totalsRowShown="0" headerRowDxfId="238" dataDxfId="237" tableBorderDxfId="236">
  <autoFilter ref="A5:Q70"/>
  <tableColumns count="17">
    <tableColumn id="1" name="Country" dataDxfId="235"/>
    <tableColumn id="6" name="Total Abs 2010" dataDxfId="234">
      <calculatedColumnFormula>#REF!</calculatedColumnFormula>
    </tableColumn>
    <tableColumn id="2" name="Total Abs 2012" dataDxfId="233">
      <calculatedColumnFormula>#REF!</calculatedColumnFormula>
    </tableColumn>
    <tableColumn id="5" name="Total Abs 2014" dataDxfId="232">
      <calculatedColumnFormula>#REF!</calculatedColumnFormula>
    </tableColumn>
    <tableColumn id="12" name="Total Abs 2016" dataDxfId="231">
      <calculatedColumnFormula>#REF!</calculatedColumnFormula>
    </tableColumn>
    <tableColumn id="11" name="Pop 2010" dataDxfId="230">
      <calculatedColumnFormula>#REF!</calculatedColumnFormula>
    </tableColumn>
    <tableColumn id="3" name="Pop 2012" dataDxfId="229">
      <calculatedColumnFormula>#REF!</calculatedColumnFormula>
    </tableColumn>
    <tableColumn id="8" name="Pop 2014" dataDxfId="228">
      <calculatedColumnFormula>#REF!</calculatedColumnFormula>
    </tableColumn>
    <tableColumn id="13" name="Pop 2016" dataDxfId="227">
      <calculatedColumnFormula>#REF!</calculatedColumnFormula>
    </tableColumn>
    <tableColumn id="15" name="Supply % 2010" dataDxfId="226">
      <calculatedColumnFormula>#REF!</calculatedColumnFormula>
    </tableColumn>
    <tableColumn id="4" name="Supply % 2012" dataDxfId="225">
      <calculatedColumnFormula>#REF!</calculatedColumnFormula>
    </tableColumn>
    <tableColumn id="9" name="Supply % 2014" dataDxfId="224">
      <calculatedColumnFormula>#REF!</calculatedColumnFormula>
    </tableColumn>
    <tableColumn id="14" name="Supply % 2016" dataDxfId="223">
      <calculatedColumnFormula>#REF!</calculatedColumnFormula>
    </tableColumn>
    <tableColumn id="19" name="Abs capita 2010" dataDxfId="222">
      <calculatedColumnFormula>(Tabel6520[[#This Row],[Total Abs 2010]]/Tabel6520[[#This Row],[Pop 2010]])*Tabel6520[[#This Row],[Supply % 2010]]</calculatedColumnFormula>
    </tableColumn>
    <tableColumn id="7" name="Abs capita 2012" dataDxfId="221">
      <calculatedColumnFormula>(Tabel6520[[#This Row],[Total Abs 2012]]/Tabel6520[[#This Row],[Pop 2012]])*Tabel6520[[#This Row],[Supply % 2012]]</calculatedColumnFormula>
    </tableColumn>
    <tableColumn id="10" name="Abs capita 2014" dataDxfId="220">
      <calculatedColumnFormula>Tabel6520[[#This Row],[Total Abs 2014]]/Tabel6520[[#This Row],[Pop 2014]]/Tabel6520[[#This Row],[Supply % 2014]]</calculatedColumnFormula>
    </tableColumn>
    <tableColumn id="16" name="Abs capita 2016" dataDxfId="219">
      <calculatedColumnFormula>Tabel6520[[#This Row],[Total Abs 2016]]/Tabel6520[[#This Row],[Pop 2016]]/Tabel6520[[#This Row],[Supply % 2016]]</calculatedColumnFormula>
    </tableColumn>
  </tableColumns>
  <tableStyleInfo name="TableStyleMedium9" showFirstColumn="0" showLastColumn="0" showRowStripes="1" showColumnStripes="0"/>
</table>
</file>

<file path=xl/tables/table5.xml><?xml version="1.0" encoding="utf-8"?>
<table xmlns="http://schemas.openxmlformats.org/spreadsheetml/2006/main" id="24" name="Tabel21325" displayName="Tabel21325" ref="A5:U70" totalsRowShown="0" headerRowDxfId="218" dataDxfId="217">
  <autoFilter ref="A5:U70"/>
  <tableColumns count="21">
    <tableColumn id="1" name="Country" dataDxfId="216"/>
    <tableColumn id="4" name="HH/SB 2010" dataDxfId="215"/>
    <tableColumn id="2" name="HH/SB 2012" dataDxfId="214"/>
    <tableColumn id="3" name="HH/SB 2014" dataDxfId="213"/>
    <tableColumn id="17" name="HH/SB 2016" dataDxfId="212"/>
    <tableColumn id="7" name="I 2010" dataDxfId="211"/>
    <tableColumn id="5" name="I 2012" dataDxfId="210"/>
    <tableColumn id="6" name="I 2014" dataDxfId="209"/>
    <tableColumn id="18" name="I 2016" dataDxfId="208"/>
    <tableColumn id="12" name="UC&amp;WL 2010" dataDxfId="207"/>
    <tableColumn id="13" name="UC&amp;WL 2012" dataDxfId="206"/>
    <tableColumn id="9" name="UC&amp;WL 2014" dataDxfId="205"/>
    <tableColumn id="19" name="UC&amp;WL 2016" dataDxfId="204"/>
    <tableColumn id="11" name="EDW 2010" dataDxfId="203"/>
    <tableColumn id="14" name="EDW 2012" dataDxfId="202"/>
    <tableColumn id="16" name="EDW 2014" dataDxfId="201"/>
    <tableColumn id="20" name="EDW 2016" dataDxfId="200"/>
    <tableColumn id="10" name="Total Del 2010" dataDxfId="199">
      <calculatedColumnFormula>SUM(Tabel21325[[#This Row],[HH/SB 2010]]+Tabel21325[[#This Row],[I 2010]])</calculatedColumnFormula>
    </tableColumn>
    <tableColumn id="8" name="Total Del 2012" dataDxfId="198">
      <calculatedColumnFormula>Tabel21325[[#This Row],[HH/SB 2012]]+Tabel21325[[#This Row],[I 2012]]+Tabel21325[[#This Row],[UC&amp;WL 2010]]+Tabel21325[[#This Row],[EDW 2010]]</calculatedColumnFormula>
    </tableColumn>
    <tableColumn id="15" name="Total Del 2014" dataDxfId="197">
      <calculatedColumnFormula>Tabel21325[[#This Row],[HH/SB 2014]]+Tabel21325[[#This Row],[I 2014]]</calculatedColumnFormula>
    </tableColumn>
    <tableColumn id="21" name="Total Del 2016" dataDxfId="196">
      <calculatedColumnFormula>Tabel21325[[#This Row],[HH/SB 2016]]+Tabel21325[[#This Row],[I 2016]]</calculatedColumnFormula>
    </tableColumn>
  </tableColumns>
  <tableStyleInfo name="TableStyleLight16" showFirstColumn="0" showLastColumn="0" showRowStripes="1" showColumnStripes="0"/>
</table>
</file>

<file path=xl/tables/table6.xml><?xml version="1.0" encoding="utf-8"?>
<table xmlns="http://schemas.openxmlformats.org/spreadsheetml/2006/main" id="25" name="Tabel668926" displayName="Tabel668926" ref="G6:S289" totalsRowShown="0" headerRowDxfId="17" dataDxfId="16" tableBorderDxfId="195" headerRowCellStyle="Comma" dataCellStyle="Comma">
  <tableColumns count="13">
    <tableColumn id="4" name="Fix.ch. 2017" dataDxfId="30" dataCellStyle="Comma"/>
    <tableColumn id="7" name="Var. ch. 2017" dataDxfId="29" dataCellStyle="Comma"/>
    <tableColumn id="9" name="Oth. ch. DW 2017" dataDxfId="28" dataCellStyle="Comma"/>
    <tableColumn id="1" name="VAT DW 2017" dataDxfId="27" dataCellStyle="Comma"/>
    <tableColumn id="18" name="Total. ch. DW 2017" dataDxfId="26" dataCellStyle="Comma">
      <calculatedColumnFormula>Tabel668926[[#This Row],[Fix.ch. 2017]]+Tabel668926[[#This Row],[Var. ch. 2017]]+Tabel668926[[#This Row],[Oth. ch. DW 2017]]</calculatedColumnFormula>
    </tableColumn>
    <tableColumn id="11" name="Sew. 2017" dataDxfId="25" dataCellStyle="Comma"/>
    <tableColumn id="2" name="VAT Sew. 2017" dataDxfId="24" dataCellStyle="Comma"/>
    <tableColumn id="20" name="WW 2017" dataDxfId="23" dataCellStyle="Comma"/>
    <tableColumn id="3" name="VAT WW 2017" dataDxfId="22" dataCellStyle="Comma"/>
    <tableColumn id="13" name="Other ch. 2017" dataDxfId="21" dataCellStyle="Comma"/>
    <tableColumn id="5" name="VAT Other ch. 2017" dataDxfId="20" dataCellStyle="Comma"/>
    <tableColumn id="15" name="Total VAT 2017" dataDxfId="19" dataCellStyle="Comma"/>
    <tableColumn id="17" name="total charge 2017" dataDxfId="18" dataCellStyle="Comma">
      <calculatedColumnFormula>Tabel668926[[#This Row],[Total. ch. DW 2017]]+Tabel668926[[#This Row],[Sew. 2017]]+Tabel668926[[#This Row],[WW 2017]]+Tabel668926[[#This Row],[Other ch. 2017]]+Tabel668926[[#This Row],[Total VAT 2017]]</calculatedColumnFormula>
    </tableColumn>
  </tableColumns>
  <tableStyleInfo name="TableStyleMedium9" showFirstColumn="0" showLastColumn="0" showRowStripes="1" showColumnStripes="0"/>
</table>
</file>

<file path=xl/tables/table7.xml><?xml version="1.0" encoding="utf-8"?>
<table xmlns="http://schemas.openxmlformats.org/spreadsheetml/2006/main" id="6" name="Tabel6689172633" displayName="Tabel6689172633" ref="F6:P262" totalsRowShown="0" headerRowDxfId="194" dataDxfId="193" tableBorderDxfId="192">
  <tableColumns count="11">
    <tableColumn id="4" name="Fix.ch. 2015" dataDxfId="191"/>
    <tableColumn id="7" name="Var. ch. 2015" dataDxfId="190"/>
    <tableColumn id="9" name="Oth. ch. DW 2015" dataDxfId="189"/>
    <tableColumn id="18" name="Total. ch. DW 2015" dataDxfId="188">
      <calculatedColumnFormula>Tabel6689172633[[#This Row],[Fix.ch. 2015]]+Tabel6689172633[[#This Row],[Var. ch. 2015]]+Tabel6689172633[[#This Row],[Oth. ch. DW 2015]]</calculatedColumnFormula>
    </tableColumn>
    <tableColumn id="11" name="Sew. 2015" dataDxfId="187"/>
    <tableColumn id="20" name="WW 2015" dataDxfId="186"/>
    <tableColumn id="2" name="WW 2016" dataDxfId="185"/>
    <tableColumn id="13" name="Other ch. 2015" dataDxfId="184"/>
    <tableColumn id="1" name="Environmental ch. 2015" dataDxfId="183">
      <calculatedColumnFormula>Tabel6689172633[[#This Row],[Sew. 2015]]+Tabel6689172633[[#This Row],[WW 2015]]+Tabel6689172633[[#This Row],[Other ch. 2015]]</calculatedColumnFormula>
    </tableColumn>
    <tableColumn id="15" name="VAT 2015" dataDxfId="182"/>
    <tableColumn id="17" name="total charge 2015" dataDxfId="181">
      <calculatedColumnFormula>Tabel6689172633[[#This Row],[Total. ch. DW 2015]]+Tabel6689172633[[#This Row],[Sew. 2015]]+Tabel6689172633[[#This Row],[WW 2015]]+Tabel6689172633[[#This Row],[Other ch. 2015]]+Tabel6689172633[[#This Row],[VAT 2015]]</calculatedColumnFormula>
    </tableColumn>
  </tableColumns>
  <tableStyleInfo name="TableStyleMedium9" showFirstColumn="0" showLastColumn="0" showRowStripes="1" showColumnStripes="0"/>
</table>
</file>

<file path=xl/tables/table8.xml><?xml version="1.0" encoding="utf-8"?>
<table xmlns="http://schemas.openxmlformats.org/spreadsheetml/2006/main" id="27" name="Tabel66892628" displayName="Tabel66892628" ref="G6:S289" totalsRowShown="0" headerRowDxfId="180" dataDxfId="179" tableBorderDxfId="178">
  <tableColumns count="13">
    <tableColumn id="4" name="Fix.ch. 2017" dataDxfId="177"/>
    <tableColumn id="7" name="Var. ch. 2017" dataDxfId="176"/>
    <tableColumn id="9" name="Oth. ch. DW 2017" dataDxfId="175"/>
    <tableColumn id="1" name="VAT DW 2017" dataDxfId="174"/>
    <tableColumn id="18" name="Total. ch. DW 2017" dataDxfId="173">
      <calculatedColumnFormula>Tabel66892628[[#This Row],[Fix.ch. 2017]]+Tabel66892628[[#This Row],[Var. ch. 2017]]+Tabel66892628[[#This Row],[Oth. ch. DW 2017]]</calculatedColumnFormula>
    </tableColumn>
    <tableColumn id="11" name="Sew. 2017" dataDxfId="172"/>
    <tableColumn id="2" name="VAT Sew. 2017" dataDxfId="171"/>
    <tableColumn id="20" name="WW 2017" dataDxfId="170"/>
    <tableColumn id="3" name="VAT WW 2017" dataDxfId="169"/>
    <tableColumn id="13" name="Other ch. 2017" dataDxfId="168"/>
    <tableColumn id="5" name="VAT Other ch. 2017" dataDxfId="167"/>
    <tableColumn id="15" name="Total VAT 2017" dataDxfId="166"/>
    <tableColumn id="17" name="total charge 2017" dataDxfId="165">
      <calculatedColumnFormula>Tabel66892628[[#This Row],[Total. ch. DW 2017]]+Tabel66892628[[#This Row],[Sew. 2017]]+Tabel66892628[[#This Row],[WW 2017]]+Tabel66892628[[#This Row],[Other ch. 2017]]+Tabel66892628[[#This Row],[Total VAT 2017]]</calculatedColumnFormula>
    </tableColumn>
  </tableColumns>
  <tableStyleInfo name="TableStyleMedium9" showFirstColumn="0" showLastColumn="0" showRowStripes="1" showColumnStripes="0"/>
</table>
</file>

<file path=xl/tables/table9.xml><?xml version="1.0" encoding="utf-8"?>
<table xmlns="http://schemas.openxmlformats.org/spreadsheetml/2006/main" id="7" name="Tabel6689172627" displayName="Tabel6689172627" ref="F6:P262" totalsRowShown="0" headerRowDxfId="164" dataDxfId="163" tableBorderDxfId="162">
  <tableColumns count="11">
    <tableColumn id="4" name="Fix.ch. 2015" dataDxfId="161"/>
    <tableColumn id="7" name="Var. ch. 2015" dataDxfId="160"/>
    <tableColumn id="9" name="Oth. ch. DW 2015" dataDxfId="159"/>
    <tableColumn id="18" name="Total. ch. DW 2015" dataDxfId="158">
      <calculatedColumnFormula>Tabel6689172627[[#This Row],[Fix.ch. 2015]]+Tabel6689172627[[#This Row],[Var. ch. 2015]]+Tabel6689172627[[#This Row],[Oth. ch. DW 2015]]</calculatedColumnFormula>
    </tableColumn>
    <tableColumn id="11" name="Sew. 2015" dataDxfId="157"/>
    <tableColumn id="20" name="WW 2015" dataDxfId="156"/>
    <tableColumn id="2" name="WW 2016" dataDxfId="155"/>
    <tableColumn id="13" name="Other ch. 2015" dataDxfId="154"/>
    <tableColumn id="1" name="Environmental ch. 2015" dataDxfId="153">
      <calculatedColumnFormula>Tabel6689172627[[#This Row],[Sew. 2015]]+Tabel6689172627[[#This Row],[WW 2015]]+Tabel6689172627[[#This Row],[Other ch. 2015]]</calculatedColumnFormula>
    </tableColumn>
    <tableColumn id="15" name="VAT 2015" dataDxfId="152"/>
    <tableColumn id="17" name="total charge 2015" dataDxfId="151">
      <calculatedColumnFormula>Tabel6689172627[[#This Row],[Total. ch. DW 2015]]+Tabel6689172627[[#This Row],[Sew. 2015]]+Tabel6689172627[[#This Row],[WW 2015]]+Tabel6689172627[[#This Row],[Other ch. 2015]]+Tabel6689172627[[#This Row],[VAT 2015]]</calculatedColumnFormula>
    </tableColumn>
  </tableColumns>
  <tableStyleInfo name="TableStyleMedium9" showFirstColumn="0" showLastColumn="0" showRowStripes="1" showColumnStripes="0"/>
</table>
</file>

<file path=xl/tables/table10.xml><?xml version="1.0" encoding="utf-8"?>
<table xmlns="http://schemas.openxmlformats.org/spreadsheetml/2006/main" id="28" name="Tabel6689262829" displayName="Tabel6689262829" ref="G6:S289" totalsRowShown="0" headerRowDxfId="150" dataDxfId="149" tableBorderDxfId="148">
  <tableColumns count="13">
    <tableColumn id="4" name="Fix.ch. 2017" dataDxfId="147"/>
    <tableColumn id="7" name="Var. ch. 2017" dataDxfId="146"/>
    <tableColumn id="9" name="Oth. ch. DW 2017" dataDxfId="145"/>
    <tableColumn id="1" name="VAT DW 2017" dataDxfId="144"/>
    <tableColumn id="18" name="Total. ch. DW 2017" dataDxfId="143">
      <calculatedColumnFormula>Tabel6689262829[[#This Row],[Fix.ch. 2017]]+Tabel6689262829[[#This Row],[Var. ch. 2017]]+Tabel6689262829[[#This Row],[Oth. ch. DW 2017]]</calculatedColumnFormula>
    </tableColumn>
    <tableColumn id="11" name="Sew. 2017" dataDxfId="142"/>
    <tableColumn id="2" name="VAT Sew. 2017" dataDxfId="141"/>
    <tableColumn id="20" name="WW 2017" dataDxfId="140"/>
    <tableColumn id="3" name="VAT WW 2017" dataDxfId="139"/>
    <tableColumn id="13" name="Other ch. 2017" dataDxfId="138"/>
    <tableColumn id="5" name="VAT Other ch. 2017" dataDxfId="137"/>
    <tableColumn id="15" name="Total VAT 2017" dataDxfId="136"/>
    <tableColumn id="17" name="total charge 2017" dataDxfId="135">
      <calculatedColumnFormula>Tabel6689262829[[#This Row],[Total. ch. DW 2017]]+Tabel6689262829[[#This Row],[Sew. 2017]]+Tabel6689262829[[#This Row],[WW 2017]]+Tabel6689262829[[#This Row],[Other ch. 2017]]+Tabel6689262829[[#This Row],[Total VAT 2017]]</calculatedColumnFormula>
    </tableColumn>
  </tableColumns>
  <tableStyleInfo name="TableStyleMedium9" showFirstColumn="0" showLastColumn="0" showRowStripes="1" showColumnStripes="0"/>
</table>
</file>

<file path=xl/tables/table11.xml><?xml version="1.0" encoding="utf-8"?>
<table xmlns="http://schemas.openxmlformats.org/spreadsheetml/2006/main" id="8" name="Tabel668917263329" displayName="Tabel668917263329" ref="F6:P262" totalsRowShown="0" headerRowDxfId="134" dataDxfId="133" tableBorderDxfId="132">
  <tableColumns count="11">
    <tableColumn id="4" name="Fix.ch. 2015" dataDxfId="131"/>
    <tableColumn id="7" name="Var. ch. 2015" dataDxfId="130"/>
    <tableColumn id="9" name="Oth. ch. DW 2015" dataDxfId="129"/>
    <tableColumn id="18" name="Total. ch. DW 2015" dataDxfId="128">
      <calculatedColumnFormula>Tabel668917263329[[#This Row],[Fix.ch. 2015]]+Tabel668917263329[[#This Row],[Var. ch. 2015]]+Tabel668917263329[[#This Row],[Oth. ch. DW 2015]]</calculatedColumnFormula>
    </tableColumn>
    <tableColumn id="11" name="Sew. 2015" dataDxfId="127"/>
    <tableColumn id="20" name="WW 2015" dataDxfId="126"/>
    <tableColumn id="2" name="WW 2016" dataDxfId="125"/>
    <tableColumn id="13" name="Other ch. 2015" dataDxfId="124"/>
    <tableColumn id="1" name="Environmental ch. 2015" dataDxfId="123">
      <calculatedColumnFormula>Tabel668917263329[[#This Row],[Sew. 2015]]+Tabel668917263329[[#This Row],[WW 2015]]+Tabel668917263329[[#This Row],[Other ch. 2015]]</calculatedColumnFormula>
    </tableColumn>
    <tableColumn id="15" name="VAT 2015" dataDxfId="122"/>
    <tableColumn id="17" name="total charge 2015" dataDxfId="121">
      <calculatedColumnFormula>Tabel668917263329[[#This Row],[Total. ch. DW 2015]]+Tabel668917263329[[#This Row],[Sew. 2015]]+Tabel668917263329[[#This Row],[WW 2015]]+Tabel668917263329[[#This Row],[Other ch. 2015]]+Tabel668917263329[[#This Row],[VAT 2015]]</calculatedColumnFormula>
    </tableColumn>
  </tableColumns>
  <tableStyleInfo name="TableStyleMedium9" showFirstColumn="0" showLastColumn="0" showRowStripes="1" showColumnStripes="0"/>
</table>
</file>

<file path=xl/tables/table12.xml><?xml version="1.0" encoding="utf-8"?>
<table xmlns="http://schemas.openxmlformats.org/spreadsheetml/2006/main" id="26" name="Tabel66892127" displayName="Tabel66892127" ref="G6:S289" totalsRowShown="0" headerRowDxfId="120" dataDxfId="119" tableBorderDxfId="118">
  <tableColumns count="13">
    <tableColumn id="4" name="Fix.ch. 2017" dataDxfId="117"/>
    <tableColumn id="7" name="Var. ch. 2017" dataDxfId="116"/>
    <tableColumn id="9" name="Oth. ch. DW 2017" dataDxfId="115"/>
    <tableColumn id="1" name="VAT DW 2017" dataDxfId="114"/>
    <tableColumn id="18" name="Total. ch. DW 2017" dataDxfId="113">
      <calculatedColumnFormula>Tabel66892127[[#This Row],[Fix.ch. 2017]]+Tabel66892127[[#This Row],[Var. ch. 2017]]+Tabel66892127[[#This Row],[Oth. ch. DW 2017]]+Tabel66892127[[#This Row],[VAT DW 2017]]</calculatedColumnFormula>
    </tableColumn>
    <tableColumn id="11" name="Sew. 2017" dataDxfId="112"/>
    <tableColumn id="2" name="VAT Sew. 2017" dataDxfId="111"/>
    <tableColumn id="20" name="WW 2017" dataDxfId="110"/>
    <tableColumn id="3" name="VAT WW 2017" dataDxfId="109"/>
    <tableColumn id="13" name="Other ch. 2017" dataDxfId="108"/>
    <tableColumn id="5" name="VAT Other ch. 2017" dataDxfId="107"/>
    <tableColumn id="15" name="Total VAT 2017" dataDxfId="106">
      <calculatedColumnFormula>Tabel66892127[[#This Row],[VAT DW 2017]]+Tabel66892127[[#This Row],[VAT Sew. 2017]]+Tabel66892127[[#This Row],[VAT WW 2017]]+Tabel66892127[[#This Row],[VAT Other ch. 2017]]</calculatedColumnFormula>
    </tableColumn>
    <tableColumn id="17" name="total charge 2017" dataDxfId="105">
      <calculatedColumnFormula>Tabel66892127[[#This Row],[Total. ch. DW 2017]]+Tabel66892127[[#This Row],[Sew. 2017]]+Tabel66892127[[#This Row],[VAT Sew. 2017]]+Tabel66892127[[#This Row],[WW 2017]]+Tabel66892127[[#This Row],[VAT WW 2017]]+Tabel66892127[[#This Row],[Other ch. 2017]]+Tabel66892127[[#This Row],[VAT Other ch. 2017]]</calculatedColumnFormula>
    </tableColumn>
  </tableColumns>
  <tableStyleInfo name="TableStyleMedium9" showFirstColumn="0" showLastColumn="0" showRowStripes="1" showColumnStripes="0"/>
</table>
</file>

<file path=xl/tables/table13.xml><?xml version="1.0" encoding="utf-8"?>
<table xmlns="http://schemas.openxmlformats.org/spreadsheetml/2006/main" id="11" name="Tabel668910192832" displayName="Tabel668910192832" ref="F6:P257" totalsRowShown="0" headerRowDxfId="104" dataDxfId="103" tableBorderDxfId="102">
  <tableColumns count="11">
    <tableColumn id="4" name="Fix.ch. 2015" dataDxfId="101"/>
    <tableColumn id="7" name="Var. ch. 2015" dataDxfId="100"/>
    <tableColumn id="9" name="Oth. ch. DW 2015" dataDxfId="99"/>
    <tableColumn id="18" name="Total. ch. DW 2015" dataDxfId="98">
      <calculatedColumnFormula>Tabel668910192832[[#This Row],[Fix.ch. 2015]]+Tabel668910192832[[#This Row],[Var. ch. 2015]]+Tabel668910192832[[#This Row],[Oth. ch. DW 2015]]</calculatedColumnFormula>
    </tableColumn>
    <tableColumn id="11" name="Sew. 2015" dataDxfId="97"/>
    <tableColumn id="20" name="WW 2015" dataDxfId="96"/>
    <tableColumn id="1" name="WW 2016" dataDxfId="95"/>
    <tableColumn id="2" name="WW 2017" dataDxfId="94"/>
    <tableColumn id="13" name="Other ch. 2015" dataDxfId="93"/>
    <tableColumn id="15" name="VAT 2015" dataDxfId="92"/>
    <tableColumn id="17" name="total charge 2015" dataDxfId="91">
      <calculatedColumnFormula>Tabel668910192832[[#This Row],[Total. ch. DW 2015]]+Tabel668910192832[[#This Row],[Sew. 2015]]+Tabel668910192832[[#This Row],[WW 2015]]+Tabel668910192832[[#This Row],[Other ch. 2015]]+Tabel668910192832[[#This Row],[VAT 2015]]</calculatedColumnFormula>
    </tableColumn>
  </tableColumns>
  <tableStyleInfo name="TableStyleMedium9" showFirstColumn="0" showLastColumn="0" showRowStripes="1" showColumnStripes="0"/>
</table>
</file>

<file path=xl/tables/table14.xml><?xml version="1.0" encoding="utf-8"?>
<table xmlns="http://schemas.openxmlformats.org/spreadsheetml/2006/main" id="32" name="Tabel6689212733" displayName="Tabel6689212733" ref="G6:S289" totalsRowShown="0" headerRowDxfId="90" dataDxfId="89" tableBorderDxfId="88">
  <tableColumns count="13">
    <tableColumn id="4" name="Country" dataDxfId="87"/>
    <tableColumn id="7" name="City" dataDxfId="86"/>
    <tableColumn id="9" name="capital" dataDxfId="85"/>
    <tableColumn id="1" name="landcode 3" dataDxfId="84"/>
    <tableColumn id="18" name="GDP 2017" dataDxfId="83"/>
    <tableColumn id="11" name="Sew. 2017" dataDxfId="82"/>
    <tableColumn id="2" name="VAT Sew. 2017" dataDxfId="81"/>
    <tableColumn id="20" name="WW 2017" dataDxfId="80"/>
    <tableColumn id="3" name="VAT WW 2017" dataDxfId="79"/>
    <tableColumn id="13" name="Other ch. 2017" dataDxfId="78"/>
    <tableColumn id="5" name="VAT Other ch. 2017" dataDxfId="77"/>
    <tableColumn id="15" name="Total VAT 2017" dataDxfId="76">
      <calculatedColumnFormula>Tabel6689212733[[#This Row],[landcode 3]]+Tabel6689212733[[#This Row],[VAT Sew. 2017]]+Tabel6689212733[[#This Row],[VAT WW 2017]]+Tabel6689212733[[#This Row],[VAT Other ch. 2017]]</calculatedColumnFormula>
    </tableColumn>
    <tableColumn id="17" name="total charge 2017" dataDxfId="75">
      <calculatedColumnFormula>Tabel6689212733[[#This Row],[GDP 2017]]+Tabel6689212733[[#This Row],[Sew. 2017]]+Tabel6689212733[[#This Row],[VAT Sew. 2017]]+Tabel6689212733[[#This Row],[WW 2017]]+Tabel6689212733[[#This Row],[VAT WW 2017]]+Tabel6689212733[[#This Row],[Other ch. 2017]]+Tabel6689212733[[#This Row],[VAT Other ch. 2017]]</calculatedColumnFormula>
    </tableColumn>
  </tableColumns>
  <tableStyleInfo name="TableStyleMedium9" showFirstColumn="0" showLastColumn="0" showRowStripes="1" showColumnStripes="0"/>
</table>
</file>

<file path=xl/tables/table15.xml><?xml version="1.0" encoding="utf-8"?>
<table xmlns="http://schemas.openxmlformats.org/spreadsheetml/2006/main" id="12" name="Tabel668910192831" displayName="Tabel668910192831" ref="F6:P257" totalsRowShown="0" headerRowDxfId="74" dataDxfId="73" tableBorderDxfId="72">
  <tableColumns count="11">
    <tableColumn id="4" name="Fix.ch. 2015" dataDxfId="71"/>
    <tableColumn id="7" name="Var. ch. 2015" dataDxfId="70"/>
    <tableColumn id="9" name="Oth. ch. DW 2015" dataDxfId="69"/>
    <tableColumn id="18" name="Total. ch. DW 2015" dataDxfId="68">
      <calculatedColumnFormula>Tabel668910192831[[#This Row],[Fix.ch. 2015]]+Tabel668910192831[[#This Row],[Var. ch. 2015]]+Tabel668910192831[[#This Row],[Oth. ch. DW 2015]]</calculatedColumnFormula>
    </tableColumn>
    <tableColumn id="11" name="Sew. 2015" dataDxfId="67"/>
    <tableColumn id="20" name="WW 2015" dataDxfId="66"/>
    <tableColumn id="1" name="WW 2016" dataDxfId="65"/>
    <tableColumn id="2" name="WW 2017" dataDxfId="64"/>
    <tableColumn id="13" name="Other ch. 2015" dataDxfId="63"/>
    <tableColumn id="15" name="VAT 2015" dataDxfId="62"/>
    <tableColumn id="17" name="total charge 2015" dataDxfId="61">
      <calculatedColumnFormula>Tabel668910192831[[#This Row],[Total. ch. DW 2015]]+Tabel668910192831[[#This Row],[Sew. 2015]]+Tabel668910192831[[#This Row],[WW 2015]]+Tabel668910192831[[#This Row],[Other ch. 2015]]+Tabel668910192831[[#This Row],[VAT 2015]]</calculatedColumnFormula>
    </tableColumn>
  </tableColumns>
  <tableStyleInfo name="TableStyleMedium9" showFirstColumn="0" showLastColumn="0" showRowStripes="1" showColumnStripes="0"/>
</table>
</file>

<file path=xl/tables/table16.xml><?xml version="1.0" encoding="utf-8"?>
<table xmlns="http://schemas.openxmlformats.org/spreadsheetml/2006/main" id="33" name="Tabel6689212734" displayName="Tabel6689212734" ref="G6:S289" totalsRowShown="0" headerRowDxfId="60" dataDxfId="59" tableBorderDxfId="58">
  <tableColumns count="13">
    <tableColumn id="4" name="Fix.ch. 2017" dataDxfId="57"/>
    <tableColumn id="7" name="Var. ch. 2017" dataDxfId="56"/>
    <tableColumn id="9" name="Oth. ch. DW 2017" dataDxfId="55"/>
    <tableColumn id="1" name="VAT DW 2017" dataDxfId="54"/>
    <tableColumn id="18" name="Total. ch. DW 2017" dataDxfId="53">
      <calculatedColumnFormula>Tabel6689212734[[#This Row],[Fix.ch. 2017]]+Tabel6689212734[[#This Row],[Var. ch. 2017]]+Tabel6689212734[[#This Row],[Oth. ch. DW 2017]]+Tabel6689212734[[#This Row],[VAT DW 2017]]</calculatedColumnFormula>
    </tableColumn>
    <tableColumn id="11" name="Sew. 2017" dataDxfId="52"/>
    <tableColumn id="2" name="VAT Sew. 2017" dataDxfId="51"/>
    <tableColumn id="20" name="WW 2017" dataDxfId="50"/>
    <tableColumn id="3" name="VAT WW 2017" dataDxfId="49"/>
    <tableColumn id="13" name="Other ch. 2017" dataDxfId="48"/>
    <tableColumn id="5" name="VAT Other ch. 2017" dataDxfId="47"/>
    <tableColumn id="15" name="Total VAT 2017" dataDxfId="46">
      <calculatedColumnFormula>Tabel6689212734[[#This Row],[VAT DW 2017]]+Tabel6689212734[[#This Row],[VAT Sew. 2017]]+Tabel6689212734[[#This Row],[VAT WW 2017]]+Tabel6689212734[[#This Row],[VAT Other ch. 2017]]</calculatedColumnFormula>
    </tableColumn>
    <tableColumn id="17" name="total charge 2017" dataDxfId="45">
      <calculatedColumnFormula>Tabel6689212734[[#This Row],[Total. ch. DW 2017]]+Tabel6689212734[[#This Row],[Sew. 2017]]+Tabel6689212734[[#This Row],[VAT Sew. 2017]]+Tabel6689212734[[#This Row],[WW 2017]]+Tabel6689212734[[#This Row],[VAT WW 2017]]+Tabel6689212734[[#This Row],[Other ch. 2017]]+Tabel6689212734[[#This Row],[VAT Other ch. 2017]]</calculatedColumnFormula>
    </tableColumn>
  </tableColumns>
  <tableStyleInfo name="TableStyleMedium9" showFirstColumn="0" showLastColumn="0" showRowStripes="1" showColumnStripes="0"/>
</table>
</file>

<file path=xl/tables/table17.xml><?xml version="1.0" encoding="utf-8"?>
<table xmlns="http://schemas.openxmlformats.org/spreadsheetml/2006/main" id="13" name="Tabel66891019283234" displayName="Tabel66891019283234" ref="F6:P257" totalsRowShown="0" headerRowDxfId="44" dataDxfId="43" tableBorderDxfId="42">
  <tableColumns count="11">
    <tableColumn id="4" name="Fix.ch. 2015" dataDxfId="41"/>
    <tableColumn id="7" name="Var. ch. 2015" dataDxfId="40"/>
    <tableColumn id="9" name="Oth. ch. DW 2015" dataDxfId="39"/>
    <tableColumn id="18" name="Total. ch. DW 2015" dataDxfId="38">
      <calculatedColumnFormula>Tabel66891019283234[[#This Row],[Fix.ch. 2015]]+Tabel66891019283234[[#This Row],[Var. ch. 2015]]+Tabel66891019283234[[#This Row],[Oth. ch. DW 2015]]</calculatedColumnFormula>
    </tableColumn>
    <tableColumn id="11" name="Sew. 2015" dataDxfId="37"/>
    <tableColumn id="20" name="WW 2015" dataDxfId="36"/>
    <tableColumn id="1" name="WW 2016" dataDxfId="35"/>
    <tableColumn id="2" name="WW 2017" dataDxfId="34"/>
    <tableColumn id="13" name="Other ch. 2015" dataDxfId="33"/>
    <tableColumn id="15" name="VAT 2015" dataDxfId="32"/>
    <tableColumn id="17" name="total charge 2015" dataDxfId="31">
      <calculatedColumnFormula>Tabel66891019283234[[#This Row],[Total. ch. DW 2015]]+Tabel66891019283234[[#This Row],[Sew. 2015]]+Tabel66891019283234[[#This Row],[WW 2015]]+Tabel66891019283234[[#This Row],[Other ch. 2015]]+Tabel66891019283234[[#This Row],[VAT 2015]]</calculatedColumnFormula>
    </tableColumn>
  </tableColumns>
  <tableStyleInfo name="TableStyleMedium9" showFirstColumn="0" showLastColumn="0" showRowStripes="1" showColumnStripes="0"/>
</table>
</file>

<file path=xl/tables/table18.xml><?xml version="1.0" encoding="utf-8"?>
<table xmlns="http://schemas.openxmlformats.org/spreadsheetml/2006/main" id="3" name="Tabel668921274" displayName="Tabel668921274" ref="G6:S289" totalsRowShown="0" headerRowDxfId="15" dataDxfId="14" tableBorderDxfId="13">
  <tableColumns count="13">
    <tableColumn id="4" name="Fix.ch. 2017" dataDxfId="12"/>
    <tableColumn id="7" name="Var. ch. 2017" dataDxfId="11"/>
    <tableColumn id="9" name="Oth. ch. DW 2017" dataDxfId="10"/>
    <tableColumn id="1" name="VAT DW 2017" dataDxfId="9"/>
    <tableColumn id="18" name="Total. ch. DW 2017" dataDxfId="8">
      <calculatedColumnFormula>Tabel668921274[[#This Row],[Fix.ch. 2017]]+Tabel668921274[[#This Row],[Var. ch. 2017]]+Tabel668921274[[#This Row],[Oth. ch. DW 2017]]+Tabel668921274[[#This Row],[VAT DW 2017]]</calculatedColumnFormula>
    </tableColumn>
    <tableColumn id="11" name="Sew. 2017" dataDxfId="7"/>
    <tableColumn id="2" name="VAT Sew. 2017" dataDxfId="6"/>
    <tableColumn id="20" name="WW 2017" dataDxfId="5"/>
    <tableColumn id="3" name="VAT WW 2017" dataDxfId="4"/>
    <tableColumn id="13" name="Other ch. 2017" dataDxfId="3"/>
    <tableColumn id="5" name="VAT Other ch. 2017" dataDxfId="2"/>
    <tableColumn id="15" name="Total VAT 2017" dataDxfId="1">
      <calculatedColumnFormula>Tabel668921274[[#This Row],[VAT DW 2017]]+Tabel668921274[[#This Row],[VAT Sew. 2017]]+Tabel668921274[[#This Row],[VAT WW 2017]]+Tabel668921274[[#This Row],[VAT Other ch. 2017]]</calculatedColumnFormula>
    </tableColumn>
    <tableColumn id="17" name="total charge 2017" dataDxfId="0">
      <calculatedColumnFormula>Tabel668921274[[#This Row],[Total. ch. DW 2017]]+Tabel668921274[[#This Row],[Sew. 2017]]+Tabel668921274[[#This Row],[VAT Sew. 2017]]+Tabel668921274[[#This Row],[WW 2017]]+Tabel668921274[[#This Row],[VAT WW 2017]]+Tabel668921274[[#This Row],[Other ch. 2017]]+Tabel668921274[[#This Row],[VAT Other ch. 2017]]</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openxmlformats.org/officeDocument/2006/relationships/comments" Target="../comments1.xml"/><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comments" Target="../comments2.xml"/><Relationship Id="rId4" Type="http://schemas.openxmlformats.org/officeDocument/2006/relationships/table" Target="../tables/table3.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comments" Target="../comments3.xml"/><Relationship Id="rId4" Type="http://schemas.openxmlformats.org/officeDocument/2006/relationships/table" Target="../tables/table4.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5" Type="http://schemas.openxmlformats.org/officeDocument/2006/relationships/comments" Target="../comments4.xml"/><Relationship Id="rId4" Type="http://schemas.openxmlformats.org/officeDocument/2006/relationships/table" Target="../tables/table5.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6.bin"/><Relationship Id="rId5" Type="http://schemas.openxmlformats.org/officeDocument/2006/relationships/comments" Target="../comments6.xml"/><Relationship Id="rId4" Type="http://schemas.openxmlformats.org/officeDocument/2006/relationships/table" Target="../tables/table6.xml"/></Relationships>
</file>

<file path=xl/worksheets/_rels/sheet7.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vmlDrawing" Target="../drawings/vmlDrawing7.vml"/><Relationship Id="rId1" Type="http://schemas.openxmlformats.org/officeDocument/2006/relationships/drawing" Target="../drawings/drawing7.xml"/><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7.bin"/><Relationship Id="rId5" Type="http://schemas.openxmlformats.org/officeDocument/2006/relationships/comments" Target="../comments8.xml"/><Relationship Id="rId4" Type="http://schemas.openxmlformats.org/officeDocument/2006/relationships/table" Target="../tables/table8.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printerSettings" Target="../printerSettings/printerSettings8.bin"/><Relationship Id="rId5" Type="http://schemas.openxmlformats.org/officeDocument/2006/relationships/comments" Target="../comments9.xml"/><Relationship Id="rId4"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2.xml"/><Relationship Id="rId1" Type="http://schemas.openxmlformats.org/officeDocument/2006/relationships/printerSettings" Target="../printerSettings/printerSettings9.bin"/><Relationship Id="rId5" Type="http://schemas.openxmlformats.org/officeDocument/2006/relationships/comments" Target="../comments10.xml"/><Relationship Id="rId4"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4.xml"/><Relationship Id="rId1" Type="http://schemas.openxmlformats.org/officeDocument/2006/relationships/printerSettings" Target="../printerSettings/printerSettings10.bin"/><Relationship Id="rId5" Type="http://schemas.openxmlformats.org/officeDocument/2006/relationships/comments" Target="../comments11.xml"/><Relationship Id="rId4"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5.xml"/><Relationship Id="rId1" Type="http://schemas.openxmlformats.org/officeDocument/2006/relationships/printerSettings" Target="../printerSettings/printerSettings11.bin"/><Relationship Id="rId5" Type="http://schemas.openxmlformats.org/officeDocument/2006/relationships/comments" Target="../comments12.xml"/><Relationship Id="rId4"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7.xml"/><Relationship Id="rId1" Type="http://schemas.openxmlformats.org/officeDocument/2006/relationships/printerSettings" Target="../printerSettings/printerSettings12.bin"/><Relationship Id="rId5" Type="http://schemas.openxmlformats.org/officeDocument/2006/relationships/comments" Target="../comments13.xml"/><Relationship Id="rId4"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8.xml"/><Relationship Id="rId1" Type="http://schemas.openxmlformats.org/officeDocument/2006/relationships/printerSettings" Target="../printerSettings/printerSettings13.bin"/><Relationship Id="rId5" Type="http://schemas.openxmlformats.org/officeDocument/2006/relationships/comments" Target="../comments14.xml"/><Relationship Id="rId4"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drawing" Target="../drawings/drawing20.xml"/><Relationship Id="rId4" Type="http://schemas.openxmlformats.org/officeDocument/2006/relationships/comments" Target="../comments15.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21.xml"/><Relationship Id="rId1" Type="http://schemas.openxmlformats.org/officeDocument/2006/relationships/printerSettings" Target="../printerSettings/printerSettings14.bin"/><Relationship Id="rId5" Type="http://schemas.openxmlformats.org/officeDocument/2006/relationships/comments" Target="../comments16.xml"/><Relationship Id="rId4" Type="http://schemas.openxmlformats.org/officeDocument/2006/relationships/table" Target="../tables/table16.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vmlDrawing" Target="../drawings/vmlDrawing17.vml"/><Relationship Id="rId1" Type="http://schemas.openxmlformats.org/officeDocument/2006/relationships/drawing" Target="../drawings/drawing23.xml"/><Relationship Id="rId4" Type="http://schemas.openxmlformats.org/officeDocument/2006/relationships/comments" Target="../comments17.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24.xml"/><Relationship Id="rId1" Type="http://schemas.openxmlformats.org/officeDocument/2006/relationships/printerSettings" Target="../printerSettings/printerSettings15.bin"/><Relationship Id="rId4" Type="http://schemas.openxmlformats.org/officeDocument/2006/relationships/comments" Target="../comments18.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26.xml"/><Relationship Id="rId1" Type="http://schemas.openxmlformats.org/officeDocument/2006/relationships/printerSettings" Target="../printerSettings/printerSettings16.bin"/><Relationship Id="rId4" Type="http://schemas.openxmlformats.org/officeDocument/2006/relationships/comments" Target="../comments19.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8.xml"/><Relationship Id="rId1" Type="http://schemas.openxmlformats.org/officeDocument/2006/relationships/printerSettings" Target="../printerSettings/printerSettings20.bin"/><Relationship Id="rId5" Type="http://schemas.openxmlformats.org/officeDocument/2006/relationships/comments" Target="../comments21.xml"/><Relationship Id="rId4" Type="http://schemas.openxmlformats.org/officeDocument/2006/relationships/table" Target="../tables/table1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Y119"/>
  <sheetViews>
    <sheetView topLeftCell="A71" workbookViewId="0">
      <selection activeCell="A70" sqref="A4:XFD70"/>
    </sheetView>
  </sheetViews>
  <sheetFormatPr defaultColWidth="9.140625" defaultRowHeight="15.75" x14ac:dyDescent="0.25"/>
  <cols>
    <col min="1" max="1" width="35" style="1" customWidth="1"/>
    <col min="2" max="3" width="14.28515625" style="1" hidden="1" customWidth="1"/>
    <col min="4" max="5" width="14.28515625" style="1" customWidth="1"/>
    <col min="6" max="7" width="13.140625" style="1" hidden="1" customWidth="1"/>
    <col min="8" max="9" width="13.140625" style="1" customWidth="1"/>
    <col min="10" max="11" width="15" style="1" hidden="1" customWidth="1"/>
    <col min="12" max="13" width="15" style="1" customWidth="1"/>
    <col min="14" max="15" width="13.42578125" style="1" hidden="1" customWidth="1"/>
    <col min="16" max="17" width="13.42578125" style="1" customWidth="1"/>
    <col min="18" max="19" width="21.28515625" style="1" hidden="1" customWidth="1"/>
    <col min="20" max="21" width="19.85546875" style="1" customWidth="1"/>
    <col min="22" max="23" width="17" style="1" hidden="1" customWidth="1"/>
    <col min="24" max="25" width="18.28515625" style="1" bestFit="1" customWidth="1"/>
    <col min="26" max="16384" width="9.140625" style="1"/>
  </cols>
  <sheetData>
    <row r="1" spans="1:25" ht="18.75" customHeight="1" x14ac:dyDescent="0.3">
      <c r="A1" s="843" t="s">
        <v>1297</v>
      </c>
      <c r="B1" s="851"/>
      <c r="C1" s="851"/>
      <c r="D1" s="851"/>
      <c r="E1" s="851"/>
      <c r="F1" s="1125"/>
      <c r="G1" s="1126"/>
      <c r="H1" s="1126"/>
      <c r="I1" s="1126"/>
      <c r="J1" s="1126"/>
      <c r="K1" s="1126"/>
      <c r="L1" s="1127"/>
    </row>
    <row r="2" spans="1:25" ht="15" customHeight="1" thickBot="1" x14ac:dyDescent="0.3">
      <c r="A2" s="530" t="s">
        <v>32</v>
      </c>
      <c r="B2" s="854"/>
      <c r="C2" s="854"/>
      <c r="D2" s="854"/>
      <c r="E2" s="854"/>
      <c r="F2" s="1128"/>
      <c r="G2" s="1129"/>
      <c r="H2" s="1129"/>
      <c r="I2" s="1129"/>
      <c r="J2" s="1129"/>
      <c r="K2" s="1129"/>
      <c r="L2" s="1130"/>
      <c r="M2" s="28"/>
      <c r="N2" s="28"/>
      <c r="O2" s="28"/>
      <c r="P2" s="28"/>
      <c r="Q2" s="28"/>
      <c r="R2" s="28"/>
      <c r="S2" s="28"/>
      <c r="T2" s="28"/>
      <c r="U2" s="28"/>
      <c r="V2" s="28"/>
    </row>
    <row r="3" spans="1:25" ht="15" customHeight="1" x14ac:dyDescent="0.25">
      <c r="A3" s="4"/>
      <c r="B3" s="4"/>
      <c r="C3" s="4"/>
      <c r="D3" s="4"/>
      <c r="E3" s="4"/>
    </row>
    <row r="4" spans="1:25" ht="37.5" hidden="1" customHeight="1" x14ac:dyDescent="0.25">
      <c r="B4" s="1737" t="s">
        <v>649</v>
      </c>
      <c r="C4" s="1737"/>
      <c r="D4" s="1737"/>
      <c r="E4" s="1737"/>
      <c r="F4" s="1738" t="s">
        <v>0</v>
      </c>
      <c r="G4" s="1738"/>
      <c r="H4" s="1738"/>
      <c r="I4" s="1738"/>
      <c r="J4" s="1739" t="s">
        <v>321</v>
      </c>
      <c r="K4" s="1739"/>
      <c r="L4" s="1739"/>
      <c r="M4" s="1739"/>
      <c r="N4" s="1740" t="s">
        <v>1</v>
      </c>
      <c r="O4" s="1740"/>
      <c r="P4" s="1740"/>
      <c r="Q4" s="1740"/>
      <c r="R4" s="1741" t="s">
        <v>322</v>
      </c>
      <c r="S4" s="1741"/>
      <c r="T4" s="1741"/>
      <c r="U4" s="1741"/>
      <c r="V4" s="1736" t="s">
        <v>2</v>
      </c>
      <c r="W4" s="1736"/>
      <c r="X4" s="1736"/>
      <c r="Y4" s="1736"/>
    </row>
    <row r="5" spans="1:25" s="14" customFormat="1" hidden="1" x14ac:dyDescent="0.25">
      <c r="A5" s="14" t="s">
        <v>3</v>
      </c>
      <c r="B5" s="5" t="s">
        <v>221</v>
      </c>
      <c r="C5" s="5" t="s">
        <v>559</v>
      </c>
      <c r="D5" s="5" t="s">
        <v>646</v>
      </c>
      <c r="E5" s="5" t="s">
        <v>781</v>
      </c>
      <c r="F5" s="6" t="s">
        <v>222</v>
      </c>
      <c r="G5" s="6" t="s">
        <v>560</v>
      </c>
      <c r="H5" s="6" t="s">
        <v>647</v>
      </c>
      <c r="I5" s="6" t="s">
        <v>782</v>
      </c>
      <c r="J5" s="3" t="s">
        <v>223</v>
      </c>
      <c r="K5" s="3" t="s">
        <v>561</v>
      </c>
      <c r="L5" s="3" t="s">
        <v>648</v>
      </c>
      <c r="M5" s="3" t="s">
        <v>783</v>
      </c>
      <c r="N5" s="12" t="s">
        <v>224</v>
      </c>
      <c r="O5" s="12" t="s">
        <v>562</v>
      </c>
      <c r="P5" s="12" t="s">
        <v>650</v>
      </c>
      <c r="Q5" s="12" t="s">
        <v>784</v>
      </c>
      <c r="R5" s="72" t="s">
        <v>323</v>
      </c>
      <c r="S5" s="72" t="s">
        <v>563</v>
      </c>
      <c r="T5" s="72" t="s">
        <v>651</v>
      </c>
      <c r="U5" s="72" t="s">
        <v>785</v>
      </c>
      <c r="V5" s="7" t="s">
        <v>225</v>
      </c>
      <c r="W5" s="7" t="s">
        <v>564</v>
      </c>
      <c r="X5" s="7" t="s">
        <v>652</v>
      </c>
      <c r="Y5" s="485" t="s">
        <v>786</v>
      </c>
    </row>
    <row r="6" spans="1:25" hidden="1" x14ac:dyDescent="0.25">
      <c r="A6" s="33" t="s">
        <v>33</v>
      </c>
      <c r="B6" s="15">
        <v>86.086065000000005</v>
      </c>
      <c r="C6" s="15" t="s">
        <v>5</v>
      </c>
      <c r="D6" s="15" t="s">
        <v>5</v>
      </c>
      <c r="E6" s="15">
        <v>3075.575112</v>
      </c>
      <c r="F6" s="239">
        <v>0</v>
      </c>
      <c r="G6" s="16" t="s">
        <v>5</v>
      </c>
      <c r="H6" s="16" t="s">
        <v>5</v>
      </c>
      <c r="I6" s="16">
        <v>0</v>
      </c>
      <c r="J6" s="9">
        <v>1684.5287169999999</v>
      </c>
      <c r="K6" s="9" t="s">
        <v>5</v>
      </c>
      <c r="L6" s="9" t="s">
        <v>5</v>
      </c>
      <c r="M6" s="9">
        <v>2495.3409369999999</v>
      </c>
      <c r="N6" s="242">
        <v>0</v>
      </c>
      <c r="O6" s="13" t="s">
        <v>5</v>
      </c>
      <c r="P6" s="13" t="s">
        <v>5</v>
      </c>
      <c r="Q6" s="13">
        <v>0</v>
      </c>
      <c r="R6" s="243">
        <v>0</v>
      </c>
      <c r="S6" s="243" t="s">
        <v>5</v>
      </c>
      <c r="T6" s="243" t="s">
        <v>5</v>
      </c>
      <c r="U6" s="243">
        <v>0</v>
      </c>
      <c r="V6" s="10">
        <f>Tabel110[[#This Row],[GW 2010]]+Tabel110[[#This Row],[SP 2010]]+Tabel110[[#This Row],[SFW 2010]]+Tabel110[[#This Row],[OS 2010]]+Tabel110[[#This Row],[I/E WATER 2010]]</f>
        <v>1770.6147819999999</v>
      </c>
      <c r="W6" s="10" t="s">
        <v>5</v>
      </c>
      <c r="X6" s="10" t="s">
        <v>5</v>
      </c>
      <c r="Y6" s="484">
        <f>Tabel110[[#This Row],[GW 2016]]+Tabel110[[#This Row],[SP 2016]]+Tabel110[[#This Row],[SFW 2016]]+Tabel110[[#This Row],[OS 2016]]+Tabel110[[#This Row],[I/E WATER 2016]]</f>
        <v>5570.9160489999995</v>
      </c>
    </row>
    <row r="7" spans="1:25" hidden="1" x14ac:dyDescent="0.25">
      <c r="A7" s="33" t="s">
        <v>524</v>
      </c>
      <c r="B7" s="15">
        <v>119.20608</v>
      </c>
      <c r="C7" s="15" t="s">
        <v>5</v>
      </c>
      <c r="D7" s="15" t="s">
        <v>5</v>
      </c>
      <c r="E7" s="15" t="s">
        <v>5</v>
      </c>
      <c r="F7" s="16">
        <v>420.661858</v>
      </c>
      <c r="G7" s="16" t="s">
        <v>5</v>
      </c>
      <c r="H7" s="16" t="s">
        <v>5</v>
      </c>
      <c r="I7" s="16">
        <v>460.7</v>
      </c>
      <c r="J7" s="9">
        <v>27.780062000000001</v>
      </c>
      <c r="K7" s="9" t="s">
        <v>5</v>
      </c>
      <c r="L7" s="9" t="s">
        <v>5</v>
      </c>
      <c r="M7" s="9">
        <v>19.100000000000001</v>
      </c>
      <c r="N7" s="242">
        <v>0</v>
      </c>
      <c r="O7" s="13" t="s">
        <v>5</v>
      </c>
      <c r="P7" s="13" t="s">
        <v>5</v>
      </c>
      <c r="Q7" s="13" t="s">
        <v>5</v>
      </c>
      <c r="R7" s="243">
        <v>0</v>
      </c>
      <c r="S7" s="243" t="s">
        <v>5</v>
      </c>
      <c r="T7" s="243" t="s">
        <v>5</v>
      </c>
      <c r="U7" s="243" t="s">
        <v>5</v>
      </c>
      <c r="V7" s="10">
        <f>Tabel110[[#This Row],[GW 2010]]+Tabel110[[#This Row],[SP 2010]]+Tabel110[[#This Row],[SFW 2010]]+Tabel110[[#This Row],[OS 2010]]+Tabel110[[#This Row],[I/E WATER 2010]]</f>
        <v>567.64800000000002</v>
      </c>
      <c r="W7" s="10" t="s">
        <v>5</v>
      </c>
      <c r="X7" s="10" t="s">
        <v>5</v>
      </c>
      <c r="Y7" s="484">
        <v>479.8</v>
      </c>
    </row>
    <row r="8" spans="1:25" hidden="1" x14ac:dyDescent="0.25">
      <c r="A8" s="33" t="s">
        <v>34</v>
      </c>
      <c r="B8" s="15">
        <v>218.33969999999999</v>
      </c>
      <c r="C8" s="15" t="s">
        <v>5</v>
      </c>
      <c r="D8" s="15">
        <v>242.54</v>
      </c>
      <c r="E8" s="15">
        <v>243.29300000000001</v>
      </c>
      <c r="F8" s="239">
        <v>0</v>
      </c>
      <c r="G8" s="16" t="s">
        <v>5</v>
      </c>
      <c r="H8" s="16">
        <v>0</v>
      </c>
      <c r="I8" s="16">
        <v>0</v>
      </c>
      <c r="J8" s="9">
        <v>2066.6840000000002</v>
      </c>
      <c r="K8" s="9" t="s">
        <v>5</v>
      </c>
      <c r="L8" s="9">
        <v>2671.81</v>
      </c>
      <c r="M8" s="9">
        <v>1038.308</v>
      </c>
      <c r="N8" s="13">
        <v>159.54150000000001</v>
      </c>
      <c r="O8" s="13" t="s">
        <v>5</v>
      </c>
      <c r="P8" s="13">
        <v>297.73899999999998</v>
      </c>
      <c r="Q8" s="13">
        <v>273.56900000000002</v>
      </c>
      <c r="R8" s="243" t="s">
        <v>5</v>
      </c>
      <c r="S8" s="243" t="s">
        <v>5</v>
      </c>
      <c r="T8" s="243">
        <v>0</v>
      </c>
      <c r="U8" s="243">
        <v>0</v>
      </c>
      <c r="V8" s="10">
        <f>Tabel110[[#This Row],[GW 2010]]+Tabel110[[#This Row],[SP 2010]]+Tabel110[[#This Row],[SFW 2010]]+Tabel110[[#This Row],[OS 2010]]</f>
        <v>2444.5652</v>
      </c>
      <c r="W8" s="10" t="s">
        <v>5</v>
      </c>
      <c r="X8" s="10">
        <f>Tabel110[[#This Row],[GW 2014]]+Tabel110[[#This Row],[SP 2014]]+Tabel110[[#This Row],[SFW 2014]]+Tabel110[[#This Row],[OS 2014]]+Tabel110[[#This Row],[I/E WATER 2014]]</f>
        <v>3212.0889999999999</v>
      </c>
      <c r="Y8" s="484">
        <f>Tabel110[[#This Row],[GW 2016]]+Tabel110[[#This Row],[SP 2016]]+Tabel110[[#This Row],[SFW 2016]]+Tabel110[[#This Row],[OS 2016]]+Tabel110[[#This Row],[I/E WATER 2016]]</f>
        <v>1555.17</v>
      </c>
    </row>
    <row r="9" spans="1:25" hidden="1" x14ac:dyDescent="0.25">
      <c r="A9" s="536" t="s">
        <v>4</v>
      </c>
      <c r="B9" s="11">
        <v>355</v>
      </c>
      <c r="C9" s="11">
        <v>325</v>
      </c>
      <c r="D9" s="11" t="s">
        <v>5</v>
      </c>
      <c r="E9" s="11">
        <v>319</v>
      </c>
      <c r="F9" s="8">
        <v>446</v>
      </c>
      <c r="G9" s="8">
        <v>472</v>
      </c>
      <c r="H9" s="8" t="s">
        <v>5</v>
      </c>
      <c r="I9" s="8">
        <v>507</v>
      </c>
      <c r="J9" s="241">
        <v>0</v>
      </c>
      <c r="K9" s="241">
        <v>0</v>
      </c>
      <c r="L9" s="241" t="s">
        <v>5</v>
      </c>
      <c r="M9" s="241">
        <v>0</v>
      </c>
      <c r="N9" s="242">
        <v>0</v>
      </c>
      <c r="O9" s="242">
        <v>0</v>
      </c>
      <c r="P9" s="242" t="s">
        <v>5</v>
      </c>
      <c r="Q9" s="242">
        <v>0</v>
      </c>
      <c r="R9" s="243">
        <v>0</v>
      </c>
      <c r="S9" s="243">
        <v>0</v>
      </c>
      <c r="T9" s="243" t="s">
        <v>5</v>
      </c>
      <c r="U9" s="243">
        <v>0</v>
      </c>
      <c r="V9" s="10">
        <f>Tabel110[[#This Row],[GW 2010]]+Tabel110[[#This Row],[SP 2010]]+Tabel110[[#This Row],[SFW 2010]]+Tabel110[[#This Row],[OS 2010]]+Tabel110[[#This Row],[I/E WATER 2010]]</f>
        <v>801</v>
      </c>
      <c r="W9" s="10">
        <f>Tabel110[[#This Row],[GW 2012]]+Tabel110[[#This Row],[SP 2012]]+Tabel110[[#This Row],[SFW 2012]]+Tabel110[[#This Row],[OS 2012]]+Tabel110[[#This Row],[I/E WATER 2012]]</f>
        <v>797</v>
      </c>
      <c r="X9" s="10" t="s">
        <v>5</v>
      </c>
      <c r="Y9" s="484">
        <f>Tabel110[[#This Row],[GW 2016]]+Tabel110[[#This Row],[SP 2016]]+Tabel110[[#This Row],[SFW 2016]]+Tabel110[[#This Row],[OS 2016]]+Tabel110[[#This Row],[I/E WATER 2016]]-160</f>
        <v>666</v>
      </c>
    </row>
    <row r="10" spans="1:25" hidden="1" x14ac:dyDescent="0.25">
      <c r="A10" s="536" t="s">
        <v>6</v>
      </c>
      <c r="B10" s="11">
        <v>472.50900000000001</v>
      </c>
      <c r="C10" s="11">
        <v>452.76901199999998</v>
      </c>
      <c r="D10" s="11">
        <v>446.19766299999998</v>
      </c>
      <c r="E10" s="11">
        <v>449.68650700000001</v>
      </c>
      <c r="F10" s="239">
        <v>0</v>
      </c>
      <c r="G10" s="239">
        <v>0</v>
      </c>
      <c r="H10" s="239">
        <v>0</v>
      </c>
      <c r="I10" s="239">
        <v>0</v>
      </c>
      <c r="J10" s="9">
        <v>253.27699999999999</v>
      </c>
      <c r="K10" s="9">
        <v>258.09054700000002</v>
      </c>
      <c r="L10" s="9">
        <v>242.040504</v>
      </c>
      <c r="M10" s="9">
        <v>253.13138599999999</v>
      </c>
      <c r="N10" s="242">
        <v>0</v>
      </c>
      <c r="O10" s="242">
        <v>0</v>
      </c>
      <c r="P10" s="242">
        <v>0</v>
      </c>
      <c r="Q10" s="242">
        <v>0</v>
      </c>
      <c r="R10" s="243">
        <v>0</v>
      </c>
      <c r="S10" s="243">
        <v>3.339343</v>
      </c>
      <c r="T10" s="243">
        <v>2.8199230000000002</v>
      </c>
      <c r="U10" s="243">
        <v>2.8893550000000001</v>
      </c>
      <c r="V10" s="10">
        <f>Tabel110[[#This Row],[GW 2010]]+Tabel110[[#This Row],[SP 2010]]+Tabel110[[#This Row],[SFW 2010]]+Tabel110[[#This Row],[OS 2010]]+Tabel110[[#This Row],[I/E WATER 2010]]</f>
        <v>725.78600000000006</v>
      </c>
      <c r="W10" s="10">
        <f>Tabel110[[#This Row],[GW 2012]]+Tabel110[[#This Row],[SP 2012]]+Tabel110[[#This Row],[SFW 2012]]+Tabel110[[#This Row],[OS 2012]]+Tabel110[[#This Row],[I/E WATER 2012]]</f>
        <v>714.19890199999998</v>
      </c>
      <c r="X10" s="10">
        <f>Tabel110[[#This Row],[GW 2014]]+Tabel110[[#This Row],[SP 2014]]+Tabel110[[#This Row],[SFW 2014]]+Tabel110[[#This Row],[OS 2014]]+Tabel110[[#This Row],[I/E WATER 2014]]</f>
        <v>691.05808999999999</v>
      </c>
      <c r="Y10" s="484">
        <f>Tabel110[[#This Row],[GW 2016]]+Tabel110[[#This Row],[SP 2016]]+Tabel110[[#This Row],[SFW 2016]]+Tabel110[[#This Row],[OS 2016]]+Tabel110[[#This Row],[I/E WATER 2016]]</f>
        <v>705.70724800000005</v>
      </c>
    </row>
    <row r="11" spans="1:25" hidden="1" x14ac:dyDescent="0.25">
      <c r="A11" s="536" t="s">
        <v>49</v>
      </c>
      <c r="B11" s="11" t="s">
        <v>5</v>
      </c>
      <c r="C11" s="11" t="s">
        <v>5</v>
      </c>
      <c r="D11" s="11" t="s">
        <v>5</v>
      </c>
      <c r="E11" s="11" t="s">
        <v>5</v>
      </c>
      <c r="F11" s="8" t="s">
        <v>5</v>
      </c>
      <c r="G11" s="8" t="s">
        <v>5</v>
      </c>
      <c r="H11" s="8" t="s">
        <v>5</v>
      </c>
      <c r="I11" s="8" t="s">
        <v>5</v>
      </c>
      <c r="J11" s="9" t="s">
        <v>5</v>
      </c>
      <c r="K11" s="9" t="s">
        <v>5</v>
      </c>
      <c r="L11" s="9" t="s">
        <v>5</v>
      </c>
      <c r="M11" s="9" t="s">
        <v>5</v>
      </c>
      <c r="N11" s="13" t="s">
        <v>5</v>
      </c>
      <c r="O11" s="13" t="s">
        <v>5</v>
      </c>
      <c r="P11" s="13" t="s">
        <v>5</v>
      </c>
      <c r="Q11" s="13" t="s">
        <v>5</v>
      </c>
      <c r="R11" s="243">
        <v>0</v>
      </c>
      <c r="S11" s="243">
        <v>0</v>
      </c>
      <c r="T11" s="243">
        <v>0</v>
      </c>
      <c r="U11" s="243">
        <v>0</v>
      </c>
      <c r="V11" s="10">
        <v>14518.11</v>
      </c>
      <c r="W11" s="10">
        <v>15423.936</v>
      </c>
      <c r="X11" s="10">
        <v>15991.237999999999</v>
      </c>
      <c r="Y11" s="484">
        <v>15381.099</v>
      </c>
    </row>
    <row r="12" spans="1:25" hidden="1" x14ac:dyDescent="0.25">
      <c r="A12" s="536" t="s">
        <v>7</v>
      </c>
      <c r="B12" s="11" t="s">
        <v>5</v>
      </c>
      <c r="C12" s="11">
        <v>446.2</v>
      </c>
      <c r="D12" s="11" t="s">
        <v>5</v>
      </c>
      <c r="E12" s="11" t="s">
        <v>5</v>
      </c>
      <c r="F12" s="8" t="s">
        <v>5</v>
      </c>
      <c r="G12" s="239">
        <v>0</v>
      </c>
      <c r="H12" s="239" t="s">
        <v>5</v>
      </c>
      <c r="I12" s="239" t="s">
        <v>5</v>
      </c>
      <c r="J12" s="9" t="s">
        <v>5</v>
      </c>
      <c r="K12" s="9">
        <v>487.62</v>
      </c>
      <c r="L12" s="9" t="s">
        <v>5</v>
      </c>
      <c r="M12" s="9" t="s">
        <v>5</v>
      </c>
      <c r="N12" s="13" t="s">
        <v>5</v>
      </c>
      <c r="O12" s="242">
        <v>0</v>
      </c>
      <c r="P12" s="242" t="s">
        <v>5</v>
      </c>
      <c r="Q12" s="242" t="s">
        <v>5</v>
      </c>
      <c r="R12" s="243" t="s">
        <v>5</v>
      </c>
      <c r="S12" s="243">
        <v>0</v>
      </c>
      <c r="T12" s="243" t="s">
        <v>5</v>
      </c>
      <c r="U12" s="243" t="s">
        <v>5</v>
      </c>
      <c r="V12" s="10">
        <v>800.34833800000001</v>
      </c>
      <c r="W12" s="10">
        <f>Tabel110[[#This Row],[GW 2012]]+Tabel110[[#This Row],[SP 2012]]+Tabel110[[#This Row],[SFW 2012]]+Tabel110[[#This Row],[OS 2012]]+Tabel110[[#This Row],[I/E WATER 2012]]</f>
        <v>933.81999999999994</v>
      </c>
      <c r="X12" s="10" t="s">
        <v>5</v>
      </c>
      <c r="Y12" s="484">
        <v>890.44546300000002</v>
      </c>
    </row>
    <row r="13" spans="1:25" hidden="1" x14ac:dyDescent="0.25">
      <c r="A13" s="251" t="s">
        <v>501</v>
      </c>
      <c r="B13" s="11">
        <v>18.053000000000001</v>
      </c>
      <c r="C13" s="11"/>
      <c r="D13" s="11"/>
      <c r="E13" s="11"/>
      <c r="F13" s="239">
        <v>0</v>
      </c>
      <c r="G13" s="239"/>
      <c r="H13" s="239"/>
      <c r="I13" s="239"/>
      <c r="J13" s="9">
        <v>42.347999999999999</v>
      </c>
      <c r="K13" s="9"/>
      <c r="L13" s="9"/>
      <c r="M13" s="9"/>
      <c r="N13" s="242">
        <v>0</v>
      </c>
      <c r="O13" s="242"/>
      <c r="P13" s="242"/>
      <c r="Q13" s="242"/>
      <c r="R13" s="243">
        <v>0</v>
      </c>
      <c r="S13" s="243"/>
      <c r="T13" s="243"/>
      <c r="U13" s="243"/>
      <c r="V13" s="10">
        <f>Tabel110[[#This Row],[GW 2010]]+Tabel110[[#This Row],[SP 2010]]+Tabel110[[#This Row],[SFW 2010]]+Tabel110[[#This Row],[OS 2010]]+Tabel110[[#This Row],[I/E WATER 2010]]</f>
        <v>60.400999999999996</v>
      </c>
      <c r="W13" s="10">
        <f>Tabel110[[#This Row],[GW 2012]]+Tabel110[[#This Row],[SP 2012]]+Tabel110[[#This Row],[SFW 2012]]+Tabel110[[#This Row],[OS 2012]]+Tabel110[[#This Row],[I/E WATER 2012]]</f>
        <v>0</v>
      </c>
      <c r="X13" s="10">
        <f>Tabel110[[#This Row],[GW 2014]]+Tabel110[[#This Row],[SP 2014]]+Tabel110[[#This Row],[SFW 2014]]+Tabel110[[#This Row],[OS 2014]]+Tabel110[[#This Row],[I/E WATER 2014]]</f>
        <v>0</v>
      </c>
      <c r="Y13" s="484">
        <f>Tabel110[[#This Row],[GW 2016]]+Tabel110[[#This Row],[SP 2016]]+Tabel110[[#This Row],[SFW 2016]]+Tabel110[[#This Row],[OS 2016]]+Tabel110[[#This Row],[I/E WATER 2016]]</f>
        <v>0</v>
      </c>
    </row>
    <row r="14" spans="1:25" hidden="1" x14ac:dyDescent="0.25">
      <c r="A14" s="536" t="s">
        <v>343</v>
      </c>
      <c r="B14" s="11">
        <v>46.135725999999998</v>
      </c>
      <c r="C14" s="11">
        <v>79.261019000000005</v>
      </c>
      <c r="D14" s="11">
        <v>81.0916</v>
      </c>
      <c r="E14" s="11">
        <v>104.145</v>
      </c>
      <c r="F14" s="239">
        <v>0</v>
      </c>
      <c r="G14" s="239">
        <v>0</v>
      </c>
      <c r="H14" s="239">
        <v>0</v>
      </c>
      <c r="I14" s="239">
        <v>0</v>
      </c>
      <c r="J14" s="9">
        <v>1789.564658</v>
      </c>
      <c r="K14" s="9">
        <v>1260.971528</v>
      </c>
      <c r="L14" s="9">
        <v>1270.8399999999999</v>
      </c>
      <c r="M14" s="9">
        <v>1626.597</v>
      </c>
      <c r="N14" s="242">
        <v>0</v>
      </c>
      <c r="O14" s="242">
        <v>0</v>
      </c>
      <c r="P14" s="242">
        <v>0</v>
      </c>
      <c r="Q14" s="242">
        <v>0</v>
      </c>
      <c r="R14" s="243">
        <v>0</v>
      </c>
      <c r="S14" s="243">
        <v>0</v>
      </c>
      <c r="T14" s="243">
        <v>0</v>
      </c>
      <c r="U14" s="243">
        <v>0</v>
      </c>
      <c r="V14" s="10">
        <f>Tabel110[[#This Row],[GW 2010]]+Tabel110[[#This Row],[SP 2010]]+Tabel110[[#This Row],[SFW 2010]]+Tabel110[[#This Row],[OS 2010]]+Tabel110[[#This Row],[I/E WATER 2010]]</f>
        <v>1835.700384</v>
      </c>
      <c r="W14" s="10">
        <f>Tabel110[[#This Row],[GW 2012]]+Tabel110[[#This Row],[SP 2012]]+Tabel110[[#This Row],[SFW 2012]]+Tabel110[[#This Row],[OS 2012]]+Tabel110[[#This Row],[I/E WATER 2012]]</f>
        <v>1340.2325470000001</v>
      </c>
      <c r="X14" s="10">
        <f>Tabel110[[#This Row],[GW 2014]]+Tabel110[[#This Row],[SP 2014]]+Tabel110[[#This Row],[SFW 2014]]+Tabel110[[#This Row],[OS 2014]]+Tabel110[[#This Row],[I/E WATER 2014]]</f>
        <v>1351.9315999999999</v>
      </c>
      <c r="Y14" s="484">
        <f>Tabel110[[#This Row],[GW 2016]]+Tabel110[[#This Row],[SP 2016]]+Tabel110[[#This Row],[SFW 2016]]+Tabel110[[#This Row],[OS 2016]]+Tabel110[[#This Row],[I/E WATER 2016]]</f>
        <v>1730.742</v>
      </c>
    </row>
    <row r="15" spans="1:25" hidden="1" x14ac:dyDescent="0.25">
      <c r="A15" s="251" t="s">
        <v>489</v>
      </c>
      <c r="B15" s="11">
        <v>620</v>
      </c>
      <c r="C15" s="11" t="s">
        <v>5</v>
      </c>
      <c r="D15" s="11">
        <v>712.07558800000004</v>
      </c>
      <c r="E15" s="11"/>
      <c r="F15" s="239">
        <v>0</v>
      </c>
      <c r="G15" s="469" t="s">
        <v>5</v>
      </c>
      <c r="H15" s="239">
        <v>0</v>
      </c>
      <c r="I15" s="239"/>
      <c r="J15" s="9">
        <v>960</v>
      </c>
      <c r="K15" s="9" t="s">
        <v>5</v>
      </c>
      <c r="L15" s="9">
        <v>938.34711800000002</v>
      </c>
      <c r="M15" s="9"/>
      <c r="N15" s="242">
        <v>0</v>
      </c>
      <c r="O15" s="242" t="s">
        <v>5</v>
      </c>
      <c r="P15" s="242">
        <v>20.110562000000002</v>
      </c>
      <c r="Q15" s="242"/>
      <c r="R15" s="243">
        <v>0</v>
      </c>
      <c r="S15" s="243" t="s">
        <v>5</v>
      </c>
      <c r="T15" s="243">
        <v>0</v>
      </c>
      <c r="U15" s="243"/>
      <c r="V15" s="10">
        <f>Tabel110[[#This Row],[GW 2010]]+Tabel110[[#This Row],[SP 2010]]+Tabel110[[#This Row],[SFW 2010]]+Tabel110[[#This Row],[OS 2010]]+Tabel110[[#This Row],[I/E WATER 2010]]</f>
        <v>1580</v>
      </c>
      <c r="W15" s="10" t="s">
        <v>5</v>
      </c>
      <c r="X15" s="10">
        <f>Tabel110[[#This Row],[GW 2014]]+Tabel110[[#This Row],[SP 2014]]+Tabel110[[#This Row],[SFW 2014]]+Tabel110[[#This Row],[OS 2014]]+Tabel110[[#This Row],[I/E WATER 2014]]</f>
        <v>1670.5332680000001</v>
      </c>
      <c r="Y15" s="484">
        <f>Tabel110[[#This Row],[GW 2016]]+Tabel110[[#This Row],[SP 2016]]+Tabel110[[#This Row],[SFW 2016]]+Tabel110[[#This Row],[OS 2016]]+Tabel110[[#This Row],[I/E WATER 2016]]</f>
        <v>0</v>
      </c>
    </row>
    <row r="16" spans="1:25" hidden="1" x14ac:dyDescent="0.25">
      <c r="A16" s="536" t="s">
        <v>8</v>
      </c>
      <c r="B16" s="11" t="s">
        <v>5</v>
      </c>
      <c r="C16" s="11" t="s">
        <v>5</v>
      </c>
      <c r="D16" s="11" t="s">
        <v>5</v>
      </c>
      <c r="E16" s="11" t="s">
        <v>5</v>
      </c>
      <c r="F16" s="8" t="s">
        <v>5</v>
      </c>
      <c r="G16" s="8" t="s">
        <v>5</v>
      </c>
      <c r="H16" s="8" t="s">
        <v>5</v>
      </c>
      <c r="I16" s="8" t="s">
        <v>5</v>
      </c>
      <c r="J16" s="9" t="s">
        <v>5</v>
      </c>
      <c r="K16" s="9" t="s">
        <v>5</v>
      </c>
      <c r="L16" s="9" t="s">
        <v>5</v>
      </c>
      <c r="M16" s="9" t="s">
        <v>5</v>
      </c>
      <c r="N16" s="13" t="s">
        <v>5</v>
      </c>
      <c r="O16" s="13" t="s">
        <v>5</v>
      </c>
      <c r="P16" s="13" t="s">
        <v>5</v>
      </c>
      <c r="Q16" s="13" t="s">
        <v>5</v>
      </c>
      <c r="R16" s="243" t="s">
        <v>5</v>
      </c>
      <c r="S16" s="243" t="s">
        <v>5</v>
      </c>
      <c r="T16" s="243" t="s">
        <v>5</v>
      </c>
      <c r="U16" s="243" t="s">
        <v>5</v>
      </c>
      <c r="V16" s="10" t="s">
        <v>5</v>
      </c>
      <c r="W16" s="10" t="s">
        <v>5</v>
      </c>
      <c r="X16" s="10" t="s">
        <v>5</v>
      </c>
      <c r="Y16" s="10" t="s">
        <v>5</v>
      </c>
    </row>
    <row r="17" spans="1:25" hidden="1" x14ac:dyDescent="0.25">
      <c r="A17" s="536" t="s">
        <v>585</v>
      </c>
      <c r="B17" s="240">
        <v>0</v>
      </c>
      <c r="C17" s="240">
        <v>0</v>
      </c>
      <c r="D17" s="240">
        <v>0</v>
      </c>
      <c r="E17" s="240">
        <v>0</v>
      </c>
      <c r="F17" s="239">
        <v>0</v>
      </c>
      <c r="G17" s="239">
        <v>0</v>
      </c>
      <c r="H17" s="239">
        <v>0</v>
      </c>
      <c r="I17" s="239">
        <v>0</v>
      </c>
      <c r="J17" s="9">
        <v>228.02</v>
      </c>
      <c r="K17" s="9">
        <v>217.22</v>
      </c>
      <c r="L17" s="9">
        <v>228.01</v>
      </c>
      <c r="M17" s="9">
        <v>358.08</v>
      </c>
      <c r="N17" s="242">
        <v>0</v>
      </c>
      <c r="O17" s="242">
        <v>0</v>
      </c>
      <c r="P17" s="242">
        <v>0</v>
      </c>
      <c r="Q17" s="242">
        <v>0</v>
      </c>
      <c r="R17" s="243">
        <v>680.79</v>
      </c>
      <c r="S17" s="243">
        <v>709.2</v>
      </c>
      <c r="T17" s="243">
        <v>724.48</v>
      </c>
      <c r="U17" s="243">
        <v>629.14</v>
      </c>
      <c r="V17" s="10">
        <f>Tabel110[[#This Row],[GW 2010]]+Tabel110[[#This Row],[SP 2010]]+Tabel110[[#This Row],[SFW 2010]]+Tabel110[[#This Row],[OS 2010]]+Tabel110[[#This Row],[I/E WATER 2010]]</f>
        <v>908.81</v>
      </c>
      <c r="W17" s="10">
        <f>Tabel110[[#This Row],[GW 2012]]+Tabel110[[#This Row],[SP 2012]]+Tabel110[[#This Row],[SFW 2012]]+Tabel110[[#This Row],[OS 2012]]+Tabel110[[#This Row],[I/E WATER 2012]]</f>
        <v>926.42000000000007</v>
      </c>
      <c r="X17" s="10">
        <f>Tabel110[[#This Row],[GW 2014]]+Tabel110[[#This Row],[SP 2014]]+Tabel110[[#This Row],[SFW 2014]]+Tabel110[[#This Row],[OS 2014]]+Tabel110[[#This Row],[I/E WATER 2014]]</f>
        <v>952.49</v>
      </c>
      <c r="Y17" s="484">
        <f>Tabel110[[#This Row],[GW 2016]]+Tabel110[[#This Row],[SP 2016]]+Tabel110[[#This Row],[SFW 2016]]+Tabel110[[#This Row],[OS 2016]]+Tabel110[[#This Row],[I/E WATER 2016]]</f>
        <v>987.22</v>
      </c>
    </row>
    <row r="18" spans="1:25" hidden="1" x14ac:dyDescent="0.25">
      <c r="A18" s="536" t="s">
        <v>9</v>
      </c>
      <c r="B18" s="11">
        <v>464.96</v>
      </c>
      <c r="C18" s="11">
        <v>448.49180000000001</v>
      </c>
      <c r="D18" s="11">
        <v>965.95600000000002</v>
      </c>
      <c r="E18" s="11">
        <v>915.43600000000004</v>
      </c>
      <c r="F18" s="8">
        <v>5.84</v>
      </c>
      <c r="G18" s="8">
        <v>5.84</v>
      </c>
      <c r="H18" s="8">
        <v>5.2359999999999998</v>
      </c>
      <c r="I18" s="8">
        <v>5.6574999999999998</v>
      </c>
      <c r="J18" s="9">
        <v>3954.636</v>
      </c>
      <c r="K18" s="9">
        <v>3507.8493539999999</v>
      </c>
      <c r="L18" s="9">
        <v>4474.3860000000004</v>
      </c>
      <c r="M18" s="9">
        <v>4474.0529999999999</v>
      </c>
      <c r="N18" s="242">
        <v>0</v>
      </c>
      <c r="O18" s="242">
        <v>0</v>
      </c>
      <c r="P18" s="242">
        <v>10.030200000000001</v>
      </c>
      <c r="Q18" s="242">
        <v>20.880700000000001</v>
      </c>
      <c r="R18" s="243">
        <v>0</v>
      </c>
      <c r="S18" s="243">
        <v>0</v>
      </c>
      <c r="T18" s="243">
        <v>3.3456E-2</v>
      </c>
      <c r="U18" s="243">
        <v>0</v>
      </c>
      <c r="V18" s="10">
        <f>Tabel110[[#This Row],[GW 2010]]+Tabel110[[#This Row],[SP 2010]]+Tabel110[[#This Row],[SFW 2010]]+Tabel110[[#This Row],[OS 2010]]+Tabel110[[#This Row],[I/E WATER 2010]]</f>
        <v>4425.4359999999997</v>
      </c>
      <c r="W18" s="10">
        <f>Tabel110[[#This Row],[GW 2012]]+Tabel110[[#This Row],[SP 2012]]+Tabel110[[#This Row],[SFW 2012]]+Tabel110[[#This Row],[OS 2012]]+Tabel110[[#This Row],[I/E WATER 2012]]</f>
        <v>3962.1811539999999</v>
      </c>
      <c r="X18" s="10">
        <f>Tabel110[[#This Row],[GW 2014]]+Tabel110[[#This Row],[SP 2014]]+Tabel110[[#This Row],[SFW 2014]]+Tabel110[[#This Row],[OS 2014]]+Tabel110[[#This Row],[I/E WATER 2014]]</f>
        <v>5455.6416560000007</v>
      </c>
      <c r="Y18" s="484">
        <f>Tabel110[[#This Row],[GW 2016]]+Tabel110[[#This Row],[SP 2016]]+Tabel110[[#This Row],[SFW 2016]]+Tabel110[[#This Row],[OS 2016]]+Tabel110[[#This Row],[I/E WATER 2016]]</f>
        <v>5416.0271999999995</v>
      </c>
    </row>
    <row r="19" spans="1:25" hidden="1" x14ac:dyDescent="0.25">
      <c r="A19" s="536" t="s">
        <v>10</v>
      </c>
      <c r="B19" s="11">
        <v>17.899999999999999</v>
      </c>
      <c r="C19" s="11">
        <v>149.69999999999999</v>
      </c>
      <c r="D19" s="11">
        <v>135</v>
      </c>
      <c r="E19" s="11">
        <v>155</v>
      </c>
      <c r="F19" s="239"/>
      <c r="G19" s="239">
        <v>0</v>
      </c>
      <c r="H19" s="239">
        <v>0</v>
      </c>
      <c r="I19" s="239">
        <v>0</v>
      </c>
      <c r="J19" s="9">
        <v>21.4</v>
      </c>
      <c r="K19" s="9">
        <v>94.5</v>
      </c>
      <c r="L19" s="9">
        <v>86.8</v>
      </c>
      <c r="M19" s="9">
        <v>62.8</v>
      </c>
      <c r="N19" s="13">
        <v>52.8</v>
      </c>
      <c r="O19" s="13">
        <v>24.6</v>
      </c>
      <c r="P19" s="13">
        <v>52.85</v>
      </c>
      <c r="Q19" s="13">
        <v>86.7</v>
      </c>
      <c r="R19" s="243">
        <v>0</v>
      </c>
      <c r="S19" s="243">
        <v>0</v>
      </c>
      <c r="T19" s="243">
        <v>0</v>
      </c>
      <c r="U19" s="243">
        <v>0</v>
      </c>
      <c r="V19" s="10">
        <f>Tabel110[[#This Row],[GW 2010]]+Tabel110[[#This Row],[SP 2010]]+Tabel110[[#This Row],[SFW 2010]]+Tabel110[[#This Row],[OS 2010]]+Tabel110[[#This Row],[I/E WATER 2010]]</f>
        <v>92.1</v>
      </c>
      <c r="W19" s="10">
        <f>Tabel110[[#This Row],[GW 2012]]+Tabel110[[#This Row],[SP 2012]]+Tabel110[[#This Row],[SFW 2012]]+Tabel110[[#This Row],[OS 2012]]+Tabel110[[#This Row],[I/E WATER 2012]]</f>
        <v>268.8</v>
      </c>
      <c r="X19" s="10">
        <f>Tabel110[[#This Row],[GW 2014]]+Tabel110[[#This Row],[SP 2014]]+Tabel110[[#This Row],[SFW 2014]]+Tabel110[[#This Row],[OS 2014]]+Tabel110[[#This Row],[I/E WATER 2014]]</f>
        <v>274.65000000000003</v>
      </c>
      <c r="Y19" s="484">
        <f>Tabel110[[#This Row],[GW 2016]]+Tabel110[[#This Row],[SP 2016]]+Tabel110[[#This Row],[SFW 2016]]+Tabel110[[#This Row],[OS 2016]]+Tabel110[[#This Row],[I/E WATER 2016]]</f>
        <v>304.5</v>
      </c>
    </row>
    <row r="20" spans="1:25" hidden="1" x14ac:dyDescent="0.25">
      <c r="A20" s="536" t="s">
        <v>910</v>
      </c>
      <c r="B20" s="11" t="s">
        <v>5</v>
      </c>
      <c r="C20" s="11" t="s">
        <v>5</v>
      </c>
      <c r="D20" s="11" t="s">
        <v>5</v>
      </c>
      <c r="E20" s="11">
        <v>362.8</v>
      </c>
      <c r="F20" s="239" t="s">
        <v>5</v>
      </c>
      <c r="G20" s="239" t="s">
        <v>5</v>
      </c>
      <c r="H20" s="239" t="s">
        <v>5</v>
      </c>
      <c r="I20" s="239">
        <v>0</v>
      </c>
      <c r="J20" s="9" t="s">
        <v>5</v>
      </c>
      <c r="K20" s="9" t="s">
        <v>5</v>
      </c>
      <c r="L20" s="9" t="s">
        <v>5</v>
      </c>
      <c r="M20" s="9">
        <v>1272.2</v>
      </c>
      <c r="N20" s="13" t="s">
        <v>5</v>
      </c>
      <c r="O20" s="13" t="s">
        <v>5</v>
      </c>
      <c r="P20" s="13" t="s">
        <v>5</v>
      </c>
      <c r="Q20" s="13">
        <v>0</v>
      </c>
      <c r="R20" s="243" t="s">
        <v>5</v>
      </c>
      <c r="S20" s="243" t="s">
        <v>5</v>
      </c>
      <c r="T20" s="243" t="s">
        <v>5</v>
      </c>
      <c r="U20" s="243">
        <v>0</v>
      </c>
      <c r="V20" s="10" t="s">
        <v>5</v>
      </c>
      <c r="W20" s="10" t="s">
        <v>5</v>
      </c>
      <c r="X20" s="10" t="s">
        <v>5</v>
      </c>
      <c r="Y20" s="484">
        <f>Tabel110[[#This Row],[GW 2016]]+Tabel110[[#This Row],[SP 2016]]+Tabel110[[#This Row],[SFW 2016]]+Tabel110[[#This Row],[OS 2016]]+Tabel110[[#This Row],[I/E WATER 2016]]</f>
        <v>1635</v>
      </c>
    </row>
    <row r="21" spans="1:25" hidden="1" x14ac:dyDescent="0.25">
      <c r="A21" s="536" t="s">
        <v>11</v>
      </c>
      <c r="B21" s="11">
        <v>397.66300000000001</v>
      </c>
      <c r="C21" s="11">
        <v>380.911</v>
      </c>
      <c r="D21" s="11">
        <v>388</v>
      </c>
      <c r="E21" s="11">
        <v>359</v>
      </c>
      <c r="F21" s="239">
        <v>0</v>
      </c>
      <c r="G21" s="239">
        <v>0</v>
      </c>
      <c r="H21" s="239">
        <v>0</v>
      </c>
      <c r="I21" s="239">
        <v>0</v>
      </c>
      <c r="J21" s="241">
        <v>0</v>
      </c>
      <c r="K21" s="241">
        <v>0</v>
      </c>
      <c r="L21" s="241">
        <v>0</v>
      </c>
      <c r="M21" s="241">
        <v>0</v>
      </c>
      <c r="N21" s="242">
        <v>0</v>
      </c>
      <c r="O21" s="242">
        <v>0</v>
      </c>
      <c r="P21" s="242">
        <v>0</v>
      </c>
      <c r="Q21" s="242">
        <v>0</v>
      </c>
      <c r="R21" s="243">
        <v>0</v>
      </c>
      <c r="S21" s="243">
        <v>0</v>
      </c>
      <c r="T21" s="243">
        <v>0</v>
      </c>
      <c r="U21" s="243">
        <v>0</v>
      </c>
      <c r="V21" s="10">
        <f>Tabel110[[#This Row],[GW 2010]]+Tabel110[[#This Row],[SP 2010]]+Tabel110[[#This Row],[SFW 2010]]+Tabel110[[#This Row],[OS 2010]]+Tabel110[[#This Row],[I/E WATER 2010]]</f>
        <v>397.66300000000001</v>
      </c>
      <c r="W21" s="10">
        <f>Tabel110[[#This Row],[GW 2012]]+Tabel110[[#This Row],[SP 2012]]+Tabel110[[#This Row],[SFW 2012]]+Tabel110[[#This Row],[OS 2012]]+Tabel110[[#This Row],[I/E WATER 2012]]</f>
        <v>380.911</v>
      </c>
      <c r="X21" s="10">
        <f>Tabel110[[#This Row],[GW 2014]]+Tabel110[[#This Row],[SP 2014]]+Tabel110[[#This Row],[SFW 2014]]+Tabel110[[#This Row],[OS 2014]]+Tabel110[[#This Row],[I/E WATER 2014]]</f>
        <v>388</v>
      </c>
      <c r="Y21" s="484">
        <f>Tabel110[[#This Row],[GW 2016]]+Tabel110[[#This Row],[SP 2016]]+Tabel110[[#This Row],[SFW 2016]]+Tabel110[[#This Row],[OS 2016]]+Tabel110[[#This Row],[I/E WATER 2016]]</f>
        <v>359</v>
      </c>
    </row>
    <row r="22" spans="1:25" hidden="1" x14ac:dyDescent="0.25">
      <c r="A22" s="536" t="s">
        <v>456</v>
      </c>
      <c r="B22" s="11">
        <v>1786.513385</v>
      </c>
      <c r="C22" s="11">
        <v>1684</v>
      </c>
      <c r="D22" s="11">
        <v>1679</v>
      </c>
      <c r="E22" s="11">
        <v>1677.956938</v>
      </c>
      <c r="F22" s="239">
        <v>0</v>
      </c>
      <c r="G22" s="239">
        <v>0</v>
      </c>
      <c r="H22" s="239">
        <v>0</v>
      </c>
      <c r="I22" s="239">
        <v>0</v>
      </c>
      <c r="J22" s="9">
        <v>4071.959265</v>
      </c>
      <c r="K22" s="9">
        <v>4144</v>
      </c>
      <c r="L22" s="9">
        <v>4075</v>
      </c>
      <c r="M22" s="9">
        <v>4281.7375359999996</v>
      </c>
      <c r="N22" s="242">
        <v>0</v>
      </c>
      <c r="O22" s="242">
        <v>16</v>
      </c>
      <c r="P22" s="242">
        <v>8</v>
      </c>
      <c r="Q22" s="242">
        <v>9</v>
      </c>
      <c r="R22" s="243">
        <v>0</v>
      </c>
      <c r="S22" s="243">
        <v>0</v>
      </c>
      <c r="T22" s="243">
        <v>0</v>
      </c>
      <c r="U22" s="243">
        <v>0</v>
      </c>
      <c r="V22" s="10">
        <f>Tabel110[[#This Row],[GW 2010]]+Tabel110[[#This Row],[SP 2010]]+Tabel110[[#This Row],[SFW 2010]]+Tabel110[[#This Row],[OS 2010]]+Tabel110[[#This Row],[I/E WATER 2010]]</f>
        <v>5858.4726499999997</v>
      </c>
      <c r="W22" s="10">
        <f>Tabel110[[#This Row],[GW 2012]]+Tabel110[[#This Row],[SP 2012]]+Tabel110[[#This Row],[SFW 2012]]+Tabel110[[#This Row],[OS 2012]]+Tabel110[[#This Row],[I/E WATER 2012]]</f>
        <v>5844</v>
      </c>
      <c r="X22" s="10">
        <f>Tabel110[[#This Row],[GW 2014]]+Tabel110[[#This Row],[SP 2014]]+Tabel110[[#This Row],[SFW 2014]]+Tabel110[[#This Row],[OS 2014]]+Tabel110[[#This Row],[I/E WATER 2014]]</f>
        <v>5762</v>
      </c>
      <c r="Y22" s="484">
        <f>Tabel110[[#This Row],[GW 2016]]+Tabel110[[#This Row],[SP 2016]]+Tabel110[[#This Row],[SFW 2016]]+Tabel110[[#This Row],[OS 2016]]+Tabel110[[#This Row],[I/E WATER 2016]]</f>
        <v>5968.6944739999999</v>
      </c>
    </row>
    <row r="23" spans="1:25" hidden="1" x14ac:dyDescent="0.25">
      <c r="A23" s="536" t="s">
        <v>12</v>
      </c>
      <c r="B23" s="11">
        <v>261.45</v>
      </c>
      <c r="C23" s="11">
        <v>261.45</v>
      </c>
      <c r="D23" s="11">
        <v>151.74350000000001</v>
      </c>
      <c r="E23" s="11">
        <v>151.74350000000001</v>
      </c>
      <c r="F23" s="239">
        <v>0</v>
      </c>
      <c r="G23" s="239">
        <v>0</v>
      </c>
      <c r="H23" s="239">
        <v>0</v>
      </c>
      <c r="I23" s="239">
        <v>0</v>
      </c>
      <c r="J23" s="9">
        <v>183.64500000000001</v>
      </c>
      <c r="K23" s="9">
        <v>183.64500000000001</v>
      </c>
      <c r="L23" s="9">
        <v>259.74151000000001</v>
      </c>
      <c r="M23" s="9">
        <v>259.74151000000001</v>
      </c>
      <c r="N23" s="242">
        <v>0</v>
      </c>
      <c r="O23" s="242">
        <v>0</v>
      </c>
      <c r="P23" s="242">
        <v>0</v>
      </c>
      <c r="Q23" s="242">
        <v>0</v>
      </c>
      <c r="R23" s="243">
        <v>0</v>
      </c>
      <c r="S23" s="243">
        <v>0</v>
      </c>
      <c r="T23" s="243">
        <v>0</v>
      </c>
      <c r="U23" s="243">
        <v>0</v>
      </c>
      <c r="V23" s="10">
        <f>Tabel110[[#This Row],[GW 2010]]+Tabel110[[#This Row],[SP 2010]]+Tabel110[[#This Row],[SFW 2010]]+Tabel110[[#This Row],[OS 2010]]+Tabel110[[#This Row],[I/E WATER 2010]]</f>
        <v>445.09500000000003</v>
      </c>
      <c r="W23" s="10">
        <f>Tabel110[[#This Row],[GW 2012]]+Tabel110[[#This Row],[SP 2012]]+Tabel110[[#This Row],[SFW 2012]]+Tabel110[[#This Row],[OS 2012]]+Tabel110[[#This Row],[I/E WATER 2012]]</f>
        <v>445.09500000000003</v>
      </c>
      <c r="X23" s="10">
        <f>Tabel110[[#This Row],[GW 2014]]+Tabel110[[#This Row],[SP 2014]]+Tabel110[[#This Row],[SFW 2014]]+Tabel110[[#This Row],[OS 2014]]+Tabel110[[#This Row],[I/E WATER 2014]]</f>
        <v>411.48500999999999</v>
      </c>
      <c r="Y23" s="484">
        <f>Tabel110[[#This Row],[GW 2016]]+Tabel110[[#This Row],[SP 2016]]+Tabel110[[#This Row],[SFW 2016]]+Tabel110[[#This Row],[OS 2016]]+Tabel110[[#This Row],[I/E WATER 2016]]</f>
        <v>411.48500999999999</v>
      </c>
    </row>
    <row r="24" spans="1:25" hidden="1" x14ac:dyDescent="0.25">
      <c r="A24" s="536" t="s">
        <v>13</v>
      </c>
      <c r="B24" s="11" t="s">
        <v>5</v>
      </c>
      <c r="C24" s="11">
        <v>3630</v>
      </c>
      <c r="D24" s="11">
        <v>3700</v>
      </c>
      <c r="E24" s="11">
        <v>3633.92</v>
      </c>
      <c r="F24" s="239" t="s">
        <v>5</v>
      </c>
      <c r="G24" s="239">
        <v>0</v>
      </c>
      <c r="H24" s="239">
        <v>0</v>
      </c>
      <c r="I24" s="239">
        <v>0</v>
      </c>
      <c r="J24" s="9" t="s">
        <v>5</v>
      </c>
      <c r="K24" s="9">
        <v>1870</v>
      </c>
      <c r="L24" s="9">
        <v>1866</v>
      </c>
      <c r="M24" s="9">
        <v>2045</v>
      </c>
      <c r="N24" s="242" t="s">
        <v>5</v>
      </c>
      <c r="O24" s="242">
        <v>0</v>
      </c>
      <c r="P24" s="242">
        <v>0</v>
      </c>
      <c r="Q24" s="242">
        <v>0</v>
      </c>
      <c r="R24" s="243" t="s">
        <v>5</v>
      </c>
      <c r="S24" s="243">
        <v>0</v>
      </c>
      <c r="T24" s="243">
        <v>0</v>
      </c>
      <c r="U24" s="243">
        <v>0</v>
      </c>
      <c r="V24" s="10" t="s">
        <v>5</v>
      </c>
      <c r="W24" s="10">
        <f>Tabel110[[#This Row],[GW 2012]]+Tabel110[[#This Row],[SP 2012]]+Tabel110[[#This Row],[SFW 2012]]+Tabel110[[#This Row],[OS 2012]]+Tabel110[[#This Row],[I/E WATER 2012]]</f>
        <v>5500</v>
      </c>
      <c r="X24" s="10">
        <f>Tabel110[[#This Row],[GW 2014]]+Tabel110[[#This Row],[SP 2014]]+Tabel110[[#This Row],[SFW 2014]]+Tabel110[[#This Row],[OS 2014]]+Tabel110[[#This Row],[I/E WATER 2014]]</f>
        <v>5566</v>
      </c>
      <c r="Y24" s="484">
        <f>Tabel110[[#This Row],[GW 2016]]+Tabel110[[#This Row],[SP 2016]]+Tabel110[[#This Row],[SFW 2016]]+Tabel110[[#This Row],[OS 2016]]+Tabel110[[#This Row],[I/E WATER 2016]]</f>
        <v>5678.92</v>
      </c>
    </row>
    <row r="25" spans="1:25" hidden="1" x14ac:dyDescent="0.25">
      <c r="A25" s="251" t="s">
        <v>521</v>
      </c>
      <c r="B25" s="11" t="s">
        <v>5</v>
      </c>
      <c r="C25" s="11"/>
      <c r="D25" s="11"/>
      <c r="E25" s="11"/>
      <c r="F25" s="239">
        <v>0</v>
      </c>
      <c r="G25" s="8"/>
      <c r="H25" s="8"/>
      <c r="I25" s="8"/>
      <c r="J25" s="9" t="s">
        <v>5</v>
      </c>
      <c r="K25" s="9"/>
      <c r="L25" s="9"/>
      <c r="M25" s="9"/>
      <c r="N25" s="242">
        <v>0</v>
      </c>
      <c r="O25" s="13"/>
      <c r="P25" s="13"/>
      <c r="Q25" s="13"/>
      <c r="R25" s="243">
        <v>0</v>
      </c>
      <c r="S25" s="243"/>
      <c r="T25" s="243"/>
      <c r="U25" s="243"/>
      <c r="V25" s="10">
        <v>81.087999999999994</v>
      </c>
      <c r="W25" s="10">
        <f>Tabel110[[#This Row],[GW 2012]]+Tabel110[[#This Row],[SP 2012]]+Tabel110[[#This Row],[SFW 2012]]+Tabel110[[#This Row],[OS 2012]]+Tabel110[[#This Row],[I/E WATER 2012]]</f>
        <v>0</v>
      </c>
      <c r="X25" s="10">
        <f>Tabel110[[#This Row],[GW 2014]]+Tabel110[[#This Row],[SP 2014]]+Tabel110[[#This Row],[SFW 2014]]+Tabel110[[#This Row],[OS 2014]]+Tabel110[[#This Row],[I/E WATER 2014]]</f>
        <v>0</v>
      </c>
      <c r="Y25" s="484">
        <f>Tabel110[[#This Row],[GW 2016]]+Tabel110[[#This Row],[SP 2016]]+Tabel110[[#This Row],[SFW 2016]]+Tabel110[[#This Row],[OS 2016]]+Tabel110[[#This Row],[I/E WATER 2016]]</f>
        <v>0</v>
      </c>
    </row>
    <row r="26" spans="1:25" hidden="1" x14ac:dyDescent="0.25">
      <c r="A26" s="536" t="s">
        <v>14</v>
      </c>
      <c r="B26" s="11">
        <v>3079</v>
      </c>
      <c r="C26" s="11">
        <v>3081</v>
      </c>
      <c r="D26" s="11">
        <v>3114</v>
      </c>
      <c r="E26" s="11">
        <v>3229</v>
      </c>
      <c r="F26" s="8">
        <v>422</v>
      </c>
      <c r="G26" s="8">
        <v>419</v>
      </c>
      <c r="H26" s="8">
        <v>408</v>
      </c>
      <c r="I26" s="8">
        <v>412</v>
      </c>
      <c r="J26" s="9">
        <v>1537</v>
      </c>
      <c r="K26" s="9">
        <v>1569</v>
      </c>
      <c r="L26" s="9">
        <v>1555</v>
      </c>
      <c r="M26" s="9">
        <v>1545</v>
      </c>
      <c r="N26" s="242">
        <v>0</v>
      </c>
      <c r="O26" s="242">
        <v>0</v>
      </c>
      <c r="P26" s="13">
        <v>0</v>
      </c>
      <c r="Q26" s="13">
        <v>0</v>
      </c>
      <c r="R26" s="243">
        <v>0</v>
      </c>
      <c r="S26" s="243">
        <v>0</v>
      </c>
      <c r="T26" s="243">
        <v>0</v>
      </c>
      <c r="U26" s="243">
        <v>0</v>
      </c>
      <c r="V26" s="10">
        <f>Tabel110[[#This Row],[GW 2010]]+Tabel110[[#This Row],[SP 2010]]+Tabel110[[#This Row],[SFW 2010]]+Tabel110[[#This Row],[OS 2010]]+Tabel110[[#This Row],[I/E WATER 2010]]</f>
        <v>5038</v>
      </c>
      <c r="W26" s="10">
        <f>Tabel110[[#This Row],[GW 2012]]+Tabel110[[#This Row],[SP 2012]]+Tabel110[[#This Row],[SFW 2012]]+Tabel110[[#This Row],[OS 2012]]+Tabel110[[#This Row],[I/E WATER 2012]]</f>
        <v>5069</v>
      </c>
      <c r="X26" s="10">
        <f>Tabel110[[#This Row],[GW 2014]]+Tabel110[[#This Row],[SP 2014]]+Tabel110[[#This Row],[SFW 2014]]+Tabel110[[#This Row],[OS 2014]]+Tabel110[[#This Row],[I/E WATER 2014]]</f>
        <v>5077</v>
      </c>
      <c r="Y26" s="484">
        <f>Tabel110[[#This Row],[GW 2016]]+Tabel110[[#This Row],[SP 2016]]+Tabel110[[#This Row],[SFW 2016]]+Tabel110[[#This Row],[OS 2016]]+Tabel110[[#This Row],[I/E WATER 2016]]</f>
        <v>5186</v>
      </c>
    </row>
    <row r="27" spans="1:25" hidden="1" x14ac:dyDescent="0.25">
      <c r="A27" s="251" t="s">
        <v>35</v>
      </c>
      <c r="B27" s="11" t="s">
        <v>5</v>
      </c>
      <c r="C27" s="11" t="s">
        <v>5</v>
      </c>
      <c r="D27" s="11">
        <v>4421.0618420000001</v>
      </c>
      <c r="E27" s="11"/>
      <c r="F27" s="8" t="s">
        <v>5</v>
      </c>
      <c r="G27" s="8" t="s">
        <v>5</v>
      </c>
      <c r="H27" s="8">
        <v>3012.2346360000001</v>
      </c>
      <c r="I27" s="8"/>
      <c r="J27" s="9" t="s">
        <v>5</v>
      </c>
      <c r="K27" s="9" t="s">
        <v>5</v>
      </c>
      <c r="L27" s="9">
        <v>850.89721899999995</v>
      </c>
      <c r="M27" s="9"/>
      <c r="N27" s="13" t="s">
        <v>5</v>
      </c>
      <c r="O27" s="13" t="s">
        <v>5</v>
      </c>
      <c r="P27" s="13">
        <v>19.806303</v>
      </c>
      <c r="Q27" s="13"/>
      <c r="R27" s="243" t="s">
        <v>5</v>
      </c>
      <c r="S27" s="243" t="s">
        <v>5</v>
      </c>
      <c r="T27" s="243">
        <v>0</v>
      </c>
      <c r="U27" s="243"/>
      <c r="V27" s="10" t="s">
        <v>5</v>
      </c>
      <c r="W27" s="10" t="s">
        <v>5</v>
      </c>
      <c r="X27" s="10">
        <f>Tabel110[[#This Row],[GW 2014]]+Tabel110[[#This Row],[SP 2014]]+Tabel110[[#This Row],[SFW 2014]]+Tabel110[[#This Row],[OS 2014]]+Tabel110[[#This Row],[I/E WATER 2014]]</f>
        <v>8304</v>
      </c>
      <c r="Y27" s="484">
        <f>Tabel110[[#This Row],[GW 2016]]+Tabel110[[#This Row],[SP 2016]]+Tabel110[[#This Row],[SFW 2016]]+Tabel110[[#This Row],[OS 2016]]+Tabel110[[#This Row],[I/E WATER 2016]]</f>
        <v>0</v>
      </c>
    </row>
    <row r="28" spans="1:25" hidden="1" x14ac:dyDescent="0.25">
      <c r="A28" s="536" t="s">
        <v>15</v>
      </c>
      <c r="B28" s="11">
        <v>268.60820000000001</v>
      </c>
      <c r="C28" s="11">
        <v>243.101248</v>
      </c>
      <c r="D28" s="11">
        <v>473.20265000000001</v>
      </c>
      <c r="E28" s="11">
        <v>344.76100000000002</v>
      </c>
      <c r="F28" s="8">
        <v>59.6907</v>
      </c>
      <c r="G28" s="8">
        <v>53.6676</v>
      </c>
      <c r="H28" s="8">
        <v>55.670900000000003</v>
      </c>
      <c r="I28" s="8">
        <v>51.411000000000001</v>
      </c>
      <c r="J28" s="9">
        <v>32.829900000000002</v>
      </c>
      <c r="K28" s="9">
        <v>27.907152</v>
      </c>
      <c r="L28" s="9">
        <v>27.835450000000002</v>
      </c>
      <c r="M28" s="9">
        <v>30.242149999999999</v>
      </c>
      <c r="N28" s="13">
        <v>235.7783</v>
      </c>
      <c r="O28" s="13">
        <v>212</v>
      </c>
      <c r="P28" s="242">
        <v>0</v>
      </c>
      <c r="Q28" s="242">
        <v>178.42885000000001</v>
      </c>
      <c r="R28" s="243">
        <v>0</v>
      </c>
      <c r="S28" s="243">
        <v>0</v>
      </c>
      <c r="T28" s="243">
        <v>0</v>
      </c>
      <c r="U28" s="243">
        <v>0</v>
      </c>
      <c r="V28" s="10">
        <f>Tabel110[[#This Row],[GW 2010]]+Tabel110[[#This Row],[SP 2010]]+Tabel110[[#This Row],[SFW 2010]]+Tabel110[[#This Row],[OS 2010]]+Tabel110[[#This Row],[I/E WATER 2010]]</f>
        <v>596.90710000000001</v>
      </c>
      <c r="W28" s="10">
        <f>Tabel110[[#This Row],[GW 2012]]+Tabel110[[#This Row],[SP 2012]]+Tabel110[[#This Row],[SFW 2012]]+Tabel110[[#This Row],[OS 2012]]+Tabel110[[#This Row],[I/E WATER 2012]]</f>
        <v>536.67599999999993</v>
      </c>
      <c r="X28" s="10">
        <f>Tabel110[[#This Row],[GW 2014]]+Tabel110[[#This Row],[SP 2014]]+Tabel110[[#This Row],[SFW 2014]]+Tabel110[[#This Row],[OS 2014]]+Tabel110[[#This Row],[I/E WATER 2014]]</f>
        <v>556.70900000000006</v>
      </c>
      <c r="Y28" s="484">
        <f>Tabel110[[#This Row],[GW 2016]]+Tabel110[[#This Row],[SP 2016]]+Tabel110[[#This Row],[SFW 2016]]+Tabel110[[#This Row],[OS 2016]]+Tabel110[[#This Row],[I/E WATER 2016]]</f>
        <v>604.84300000000007</v>
      </c>
    </row>
    <row r="29" spans="1:25" hidden="1" x14ac:dyDescent="0.25">
      <c r="A29" s="251" t="s">
        <v>754</v>
      </c>
      <c r="B29" s="11" t="s">
        <v>5</v>
      </c>
      <c r="C29" s="11" t="s">
        <v>5</v>
      </c>
      <c r="D29" s="11">
        <v>263.86599999999999</v>
      </c>
      <c r="E29" s="11"/>
      <c r="F29" s="8" t="s">
        <v>5</v>
      </c>
      <c r="G29" s="8" t="s">
        <v>5</v>
      </c>
      <c r="H29" s="8">
        <v>0</v>
      </c>
      <c r="I29" s="8"/>
      <c r="J29" s="9" t="s">
        <v>5</v>
      </c>
      <c r="K29" s="9" t="s">
        <v>5</v>
      </c>
      <c r="L29" s="9">
        <v>11.026999999999999</v>
      </c>
      <c r="M29" s="9"/>
      <c r="N29" s="13" t="s">
        <v>5</v>
      </c>
      <c r="O29" s="242" t="s">
        <v>5</v>
      </c>
      <c r="P29" s="13">
        <v>65.456999999999994</v>
      </c>
      <c r="Q29" s="13"/>
      <c r="R29" s="243" t="s">
        <v>5</v>
      </c>
      <c r="S29" s="243" t="s">
        <v>5</v>
      </c>
      <c r="T29" s="243">
        <v>0</v>
      </c>
      <c r="U29" s="243"/>
      <c r="V29" s="10" t="s">
        <v>5</v>
      </c>
      <c r="W29" s="10" t="s">
        <v>5</v>
      </c>
      <c r="X29" s="10">
        <f>Tabel110[[#This Row],[GW 2014]]+Tabel110[[#This Row],[SP 2014]]+Tabel110[[#This Row],[SFW 2014]]+Tabel110[[#This Row],[OS 2014]]+Tabel110[[#This Row],[I/E WATER 2014]]</f>
        <v>340.34999999999997</v>
      </c>
      <c r="Y29" s="484">
        <f>Tabel110[[#This Row],[GW 2016]]+Tabel110[[#This Row],[SP 2016]]+Tabel110[[#This Row],[SFW 2016]]+Tabel110[[#This Row],[OS 2016]]+Tabel110[[#This Row],[I/E WATER 2016]]</f>
        <v>0</v>
      </c>
    </row>
    <row r="30" spans="1:25" hidden="1" x14ac:dyDescent="0.25">
      <c r="A30" s="536" t="s">
        <v>639</v>
      </c>
      <c r="B30" s="11" t="s">
        <v>5</v>
      </c>
      <c r="C30" s="11">
        <v>1.6156E-2</v>
      </c>
      <c r="D30" s="11" t="s">
        <v>5</v>
      </c>
      <c r="E30" s="11" t="s">
        <v>5</v>
      </c>
      <c r="F30" s="8" t="s">
        <v>5</v>
      </c>
      <c r="G30" s="8">
        <v>10.205199</v>
      </c>
      <c r="H30" s="8" t="s">
        <v>5</v>
      </c>
      <c r="I30" s="8" t="s">
        <v>5</v>
      </c>
      <c r="J30" s="9" t="s">
        <v>5</v>
      </c>
      <c r="K30" s="9">
        <v>281.280216</v>
      </c>
      <c r="L30" s="9" t="s">
        <v>5</v>
      </c>
      <c r="M30" s="9" t="s">
        <v>5</v>
      </c>
      <c r="N30" s="13" t="s">
        <v>5</v>
      </c>
      <c r="O30" s="242">
        <v>0</v>
      </c>
      <c r="P30" s="13" t="s">
        <v>5</v>
      </c>
      <c r="Q30" s="13" t="s">
        <v>5</v>
      </c>
      <c r="R30" s="243" t="s">
        <v>5</v>
      </c>
      <c r="S30" s="243">
        <v>0</v>
      </c>
      <c r="T30" s="243" t="s">
        <v>5</v>
      </c>
      <c r="U30" s="243" t="s">
        <v>5</v>
      </c>
      <c r="V30" s="10" t="s">
        <v>5</v>
      </c>
      <c r="W30" s="10">
        <f>Tabel110[[#This Row],[GW 2012]]+Tabel110[[#This Row],[SP 2012]]+Tabel110[[#This Row],[SFW 2012]]+Tabel110[[#This Row],[OS 2012]]+Tabel110[[#This Row],[I/E WATER 2012]]</f>
        <v>291.50157100000001</v>
      </c>
      <c r="X30" s="10" t="s">
        <v>5</v>
      </c>
      <c r="Y30" s="10" t="s">
        <v>5</v>
      </c>
    </row>
    <row r="31" spans="1:25" hidden="1" x14ac:dyDescent="0.25">
      <c r="A31" s="251" t="s">
        <v>466</v>
      </c>
      <c r="B31" s="11">
        <v>4460</v>
      </c>
      <c r="C31" s="11">
        <v>5002.7</v>
      </c>
      <c r="D31" s="11"/>
      <c r="E31" s="11"/>
      <c r="F31" s="239">
        <v>0</v>
      </c>
      <c r="G31" s="239">
        <v>0</v>
      </c>
      <c r="H31" s="239"/>
      <c r="I31" s="239"/>
      <c r="J31" s="9">
        <v>2430</v>
      </c>
      <c r="K31" s="9">
        <v>3961.5</v>
      </c>
      <c r="L31" s="9"/>
      <c r="M31" s="9"/>
      <c r="N31" s="242">
        <v>0</v>
      </c>
      <c r="O31" s="242">
        <v>0</v>
      </c>
      <c r="P31" s="242"/>
      <c r="Q31" s="242"/>
      <c r="R31" s="243">
        <v>0</v>
      </c>
      <c r="S31" s="243">
        <v>300</v>
      </c>
      <c r="T31" s="243"/>
      <c r="U31" s="243"/>
      <c r="V31" s="10">
        <f>Tabel110[[#This Row],[GW 2010]]+Tabel110[[#This Row],[SP 2010]]+Tabel110[[#This Row],[SFW 2010]]+Tabel110[[#This Row],[OS 2010]]+Tabel110[[#This Row],[I/E WATER 2010]]</f>
        <v>6890</v>
      </c>
      <c r="W31" s="10">
        <f>Tabel110[[#This Row],[GW 2012]]+Tabel110[[#This Row],[SP 2012]]+Tabel110[[#This Row],[SFW 2012]]+Tabel110[[#This Row],[OS 2012]]+Tabel110[[#This Row],[I/E WATER 2012]]</f>
        <v>9264.2000000000007</v>
      </c>
      <c r="X31" s="10">
        <f>Tabel110[[#This Row],[GW 2014]]+Tabel110[[#This Row],[SP 2014]]+Tabel110[[#This Row],[SFW 2014]]+Tabel110[[#This Row],[OS 2014]]+Tabel110[[#This Row],[I/E WATER 2014]]</f>
        <v>0</v>
      </c>
      <c r="Y31" s="484">
        <f>Tabel110[[#This Row],[GW 2016]]+Tabel110[[#This Row],[SP 2016]]+Tabel110[[#This Row],[SFW 2016]]+Tabel110[[#This Row],[OS 2016]]+Tabel110[[#This Row],[I/E WATER 2016]]</f>
        <v>0</v>
      </c>
    </row>
    <row r="32" spans="1:25" hidden="1" x14ac:dyDescent="0.25">
      <c r="A32" s="251" t="s">
        <v>16</v>
      </c>
      <c r="B32" s="11">
        <v>834</v>
      </c>
      <c r="C32" s="11">
        <v>864.17100000000005</v>
      </c>
      <c r="D32" s="11"/>
      <c r="E32" s="11"/>
      <c r="F32" s="239">
        <v>0</v>
      </c>
      <c r="G32" s="239">
        <v>0</v>
      </c>
      <c r="H32" s="239"/>
      <c r="I32" s="239"/>
      <c r="J32" s="9">
        <v>479</v>
      </c>
      <c r="K32" s="9">
        <v>354.334</v>
      </c>
      <c r="L32" s="9"/>
      <c r="M32" s="9"/>
      <c r="N32" s="13">
        <v>388</v>
      </c>
      <c r="O32" s="13">
        <v>357.14</v>
      </c>
      <c r="P32" s="13"/>
      <c r="Q32" s="13"/>
      <c r="R32" s="243">
        <v>148</v>
      </c>
      <c r="S32" s="243">
        <v>0</v>
      </c>
      <c r="T32" s="243"/>
      <c r="U32" s="243"/>
      <c r="V32" s="10">
        <f>Tabel110[[#This Row],[GW 2010]]+Tabel110[[#This Row],[SP 2010]]+Tabel110[[#This Row],[SFW 2010]]+Tabel110[[#This Row],[OS 2010]]+Tabel110[[#This Row],[I/E WATER 2010]]</f>
        <v>1849</v>
      </c>
      <c r="W32" s="10">
        <f>Tabel110[[#This Row],[GW 2012]]+Tabel110[[#This Row],[SP 2012]]+Tabel110[[#This Row],[SFW 2012]]+Tabel110[[#This Row],[OS 2012]]+Tabel110[[#This Row],[I/E WATER 2012]]</f>
        <v>1575.645</v>
      </c>
      <c r="X32" s="10">
        <f>Tabel110[[#This Row],[GW 2014]]+Tabel110[[#This Row],[SP 2014]]+Tabel110[[#This Row],[SFW 2014]]+Tabel110[[#This Row],[OS 2014]]+Tabel110[[#This Row],[I/E WATER 2014]]</f>
        <v>0</v>
      </c>
      <c r="Y32" s="484">
        <f>Tabel110[[#This Row],[GW 2016]]+Tabel110[[#This Row],[SP 2016]]+Tabel110[[#This Row],[SFW 2016]]+Tabel110[[#This Row],[OS 2016]]+Tabel110[[#This Row],[I/E WATER 2016]]</f>
        <v>0</v>
      </c>
    </row>
    <row r="33" spans="1:25" hidden="1" x14ac:dyDescent="0.25">
      <c r="A33" s="536" t="s">
        <v>17</v>
      </c>
      <c r="B33" s="11">
        <v>4426.6401180000003</v>
      </c>
      <c r="C33" s="11">
        <v>4539.6480000000001</v>
      </c>
      <c r="D33" s="11" t="s">
        <v>5</v>
      </c>
      <c r="E33" s="11">
        <v>4700</v>
      </c>
      <c r="F33" s="8">
        <v>3452.0506270000001</v>
      </c>
      <c r="G33" s="8">
        <v>3253.64</v>
      </c>
      <c r="H33" s="8" t="s">
        <v>5</v>
      </c>
      <c r="I33" s="8">
        <v>3200</v>
      </c>
      <c r="J33" s="9">
        <v>1211.4056290000001</v>
      </c>
      <c r="K33" s="9">
        <v>1301.405</v>
      </c>
      <c r="L33" s="9" t="s">
        <v>5</v>
      </c>
      <c r="M33" s="9">
        <v>1600</v>
      </c>
      <c r="N33" s="13">
        <v>27.324939000000001</v>
      </c>
      <c r="O33" s="13">
        <v>13.619</v>
      </c>
      <c r="P33" s="13" t="s">
        <v>5</v>
      </c>
      <c r="Q33" s="13">
        <v>0</v>
      </c>
      <c r="R33" s="243">
        <v>0</v>
      </c>
      <c r="S33" s="243">
        <v>0</v>
      </c>
      <c r="T33" s="243" t="s">
        <v>5</v>
      </c>
      <c r="U33" s="243">
        <v>0</v>
      </c>
      <c r="V33" s="10">
        <f>Tabel110[[#This Row],[GW 2010]]+Tabel110[[#This Row],[SP 2010]]+Tabel110[[#This Row],[SFW 2010]]+Tabel110[[#This Row],[OS 2010]]+Tabel110[[#This Row],[I/E WATER 2010]]</f>
        <v>9117.4213130000007</v>
      </c>
      <c r="W33" s="10">
        <f>Tabel110[[#This Row],[GW 2012]]+Tabel110[[#This Row],[SP 2012]]+Tabel110[[#This Row],[SFW 2012]]+Tabel110[[#This Row],[OS 2012]]+Tabel110[[#This Row],[I/E WATER 2012]]</f>
        <v>9108.3120000000017</v>
      </c>
      <c r="X33" s="10" t="s">
        <v>5</v>
      </c>
      <c r="Y33" s="484">
        <f>Tabel110[[#This Row],[GW 2016]]+Tabel110[[#This Row],[SP 2016]]+Tabel110[[#This Row],[SFW 2016]]+Tabel110[[#This Row],[OS 2016]]+Tabel110[[#This Row],[I/E WATER 2016]]</f>
        <v>9500</v>
      </c>
    </row>
    <row r="34" spans="1:25" hidden="1" x14ac:dyDescent="0.25">
      <c r="A34" s="536" t="s">
        <v>18</v>
      </c>
      <c r="B34" s="11">
        <v>3706.8229999999999</v>
      </c>
      <c r="C34" s="11">
        <v>3660.9549999999999</v>
      </c>
      <c r="D34" s="11">
        <v>3573.0569999999998</v>
      </c>
      <c r="E34" s="11">
        <v>3484.1790000000001</v>
      </c>
      <c r="F34" s="8">
        <v>292.42399999999998</v>
      </c>
      <c r="G34" s="8">
        <v>276.28399999999999</v>
      </c>
      <c r="H34" s="8">
        <v>434.84399999999999</v>
      </c>
      <c r="I34" s="8">
        <v>288.86399999999998</v>
      </c>
      <c r="J34" s="9">
        <v>11789.668</v>
      </c>
      <c r="K34" s="9">
        <v>11752.52</v>
      </c>
      <c r="L34" s="9">
        <v>11511.171</v>
      </c>
      <c r="M34" s="9">
        <v>11407.929</v>
      </c>
      <c r="N34" s="13">
        <v>34.398000000000003</v>
      </c>
      <c r="O34" s="13">
        <v>29.053000000000001</v>
      </c>
      <c r="P34" s="13">
        <v>17.234999999999999</v>
      </c>
      <c r="Q34" s="13">
        <v>17.753</v>
      </c>
      <c r="R34" s="243">
        <v>0</v>
      </c>
      <c r="S34" s="243">
        <v>0</v>
      </c>
      <c r="T34" s="243">
        <v>0</v>
      </c>
      <c r="U34" s="243">
        <v>0</v>
      </c>
      <c r="V34" s="10">
        <f>Tabel110[[#This Row],[GW 2010]]+Tabel110[[#This Row],[SP 2010]]+Tabel110[[#This Row],[SFW 2010]]+Tabel110[[#This Row],[OS 2010]]+Tabel110[[#This Row],[I/E WATER 2010]]</f>
        <v>15823.312999999998</v>
      </c>
      <c r="W34" s="10">
        <f>Tabel110[[#This Row],[GW 2012]]+Tabel110[[#This Row],[SP 2012]]+Tabel110[[#This Row],[SFW 2012]]+Tabel110[[#This Row],[OS 2012]]+Tabel110[[#This Row],[I/E WATER 2012]]</f>
        <v>15718.812</v>
      </c>
      <c r="X34" s="10">
        <f>Tabel110[[#This Row],[GW 2014]]+Tabel110[[#This Row],[SP 2014]]+Tabel110[[#This Row],[SFW 2014]]+Tabel110[[#This Row],[OS 2014]]+Tabel110[[#This Row],[I/E WATER 2014]]</f>
        <v>15536.307000000001</v>
      </c>
      <c r="Y34" s="484">
        <f>Tabel110[[#This Row],[GW 2016]]+Tabel110[[#This Row],[SP 2016]]+Tabel110[[#This Row],[SFW 2016]]+Tabel110[[#This Row],[OS 2016]]+Tabel110[[#This Row],[I/E WATER 2016]]</f>
        <v>15198.725</v>
      </c>
    </row>
    <row r="35" spans="1:25" hidden="1" x14ac:dyDescent="0.25">
      <c r="A35" s="251" t="s">
        <v>742</v>
      </c>
      <c r="B35" s="11" t="s">
        <v>5</v>
      </c>
      <c r="C35" s="11" t="s">
        <v>5</v>
      </c>
      <c r="D35" s="11">
        <v>0</v>
      </c>
      <c r="E35" s="11"/>
      <c r="F35" s="8" t="s">
        <v>5</v>
      </c>
      <c r="G35" s="8" t="s">
        <v>5</v>
      </c>
      <c r="H35" s="8">
        <v>0</v>
      </c>
      <c r="I35" s="8"/>
      <c r="J35" s="9" t="s">
        <v>5</v>
      </c>
      <c r="K35" s="9" t="s">
        <v>5</v>
      </c>
      <c r="L35" s="9">
        <v>430.77199999999999</v>
      </c>
      <c r="M35" s="9"/>
      <c r="N35" s="13" t="s">
        <v>5</v>
      </c>
      <c r="O35" s="13" t="s">
        <v>5</v>
      </c>
      <c r="P35" s="13">
        <v>0</v>
      </c>
      <c r="Q35" s="13"/>
      <c r="R35" s="243" t="s">
        <v>5</v>
      </c>
      <c r="S35" s="243" t="s">
        <v>5</v>
      </c>
      <c r="T35" s="243">
        <v>0</v>
      </c>
      <c r="U35" s="243"/>
      <c r="V35" s="10" t="s">
        <v>5</v>
      </c>
      <c r="W35" s="10" t="s">
        <v>5</v>
      </c>
      <c r="X35" s="10">
        <f>Tabel110[[#This Row],[GW 2014]]+Tabel110[[#This Row],[SP 2014]]+Tabel110[[#This Row],[SFW 2014]]+Tabel110[[#This Row],[OS 2014]]+Tabel110[[#This Row],[I/E WATER 2014]]</f>
        <v>430.77199999999999</v>
      </c>
      <c r="Y35" s="484">
        <f>Tabel110[[#This Row],[GW 2016]]+Tabel110[[#This Row],[SP 2016]]+Tabel110[[#This Row],[SFW 2016]]+Tabel110[[#This Row],[OS 2016]]+Tabel110[[#This Row],[I/E WATER 2016]]</f>
        <v>0</v>
      </c>
    </row>
    <row r="36" spans="1:25" hidden="1" x14ac:dyDescent="0.25">
      <c r="A36" s="251" t="s">
        <v>616</v>
      </c>
      <c r="B36" s="11" t="s">
        <v>5</v>
      </c>
      <c r="C36" s="11">
        <v>4912</v>
      </c>
      <c r="D36" s="11"/>
      <c r="E36" s="11"/>
      <c r="F36" s="8" t="s">
        <v>5</v>
      </c>
      <c r="G36" s="8">
        <v>80</v>
      </c>
      <c r="H36" s="8"/>
      <c r="I36" s="8"/>
      <c r="J36" s="9" t="s">
        <v>5</v>
      </c>
      <c r="K36" s="9">
        <v>60</v>
      </c>
      <c r="L36" s="9"/>
      <c r="M36" s="9"/>
      <c r="N36" s="13" t="s">
        <v>5</v>
      </c>
      <c r="O36" s="13">
        <v>76</v>
      </c>
      <c r="P36" s="13"/>
      <c r="Q36" s="13"/>
      <c r="R36" s="243" t="s">
        <v>5</v>
      </c>
      <c r="S36" s="243">
        <v>0</v>
      </c>
      <c r="T36" s="243"/>
      <c r="U36" s="243"/>
      <c r="V36" s="10" t="s">
        <v>5</v>
      </c>
      <c r="W36" s="10">
        <f>Tabel110[[#This Row],[GW 2012]]+Tabel110[[#This Row],[SP 2012]]+Tabel110[[#This Row],[SFW 2012]]+Tabel110[[#This Row],[OS 2012]]+Tabel110[[#This Row],[I/E WATER 2012]]</f>
        <v>5128</v>
      </c>
      <c r="X36" s="10">
        <f>Tabel110[[#This Row],[GW 2014]]+Tabel110[[#This Row],[SP 2014]]+Tabel110[[#This Row],[SFW 2014]]+Tabel110[[#This Row],[OS 2014]]+Tabel110[[#This Row],[I/E WATER 2014]]</f>
        <v>0</v>
      </c>
      <c r="Y36" s="484">
        <f>Tabel110[[#This Row],[GW 2016]]+Tabel110[[#This Row],[SP 2016]]+Tabel110[[#This Row],[SFW 2016]]+Tabel110[[#This Row],[OS 2016]]+Tabel110[[#This Row],[I/E WATER 2016]]</f>
        <v>0</v>
      </c>
    </row>
    <row r="37" spans="1:25" hidden="1" x14ac:dyDescent="0.25">
      <c r="A37" s="251" t="s">
        <v>19</v>
      </c>
      <c r="B37" s="11">
        <v>129.624</v>
      </c>
      <c r="C37" s="11"/>
      <c r="D37" s="11"/>
      <c r="E37" s="11"/>
      <c r="F37" s="239">
        <v>0</v>
      </c>
      <c r="G37" s="239"/>
      <c r="H37" s="239"/>
      <c r="I37" s="239"/>
      <c r="J37" s="241">
        <v>0</v>
      </c>
      <c r="K37" s="241"/>
      <c r="L37" s="241"/>
      <c r="M37" s="241"/>
      <c r="N37" s="242">
        <v>0</v>
      </c>
      <c r="O37" s="242"/>
      <c r="P37" s="242"/>
      <c r="Q37" s="242"/>
      <c r="R37" s="243">
        <v>0</v>
      </c>
      <c r="S37" s="243"/>
      <c r="T37" s="243"/>
      <c r="U37" s="243"/>
      <c r="V37" s="10">
        <f>Tabel110[[#This Row],[GW 2010]]+Tabel110[[#This Row],[SP 2010]]+Tabel110[[#This Row],[SFW 2010]]+Tabel110[[#This Row],[OS 2010]]+Tabel110[[#This Row],[I/E WATER 2010]]</f>
        <v>129.624</v>
      </c>
      <c r="W37" s="10">
        <f>Tabel110[[#This Row],[GW 2012]]+Tabel110[[#This Row],[SP 2012]]+Tabel110[[#This Row],[SFW 2012]]+Tabel110[[#This Row],[OS 2012]]+Tabel110[[#This Row],[I/E WATER 2012]]</f>
        <v>0</v>
      </c>
      <c r="X37" s="10">
        <f>Tabel110[[#This Row],[GW 2014]]+Tabel110[[#This Row],[SP 2014]]+Tabel110[[#This Row],[SFW 2014]]+Tabel110[[#This Row],[OS 2014]]+Tabel110[[#This Row],[I/E WATER 2014]]</f>
        <v>0</v>
      </c>
      <c r="Y37" s="484">
        <f>Tabel110[[#This Row],[GW 2016]]+Tabel110[[#This Row],[SP 2016]]+Tabel110[[#This Row],[SFW 2016]]+Tabel110[[#This Row],[OS 2016]]+Tabel110[[#This Row],[I/E WATER 2016]]</f>
        <v>0</v>
      </c>
    </row>
    <row r="38" spans="1:25" hidden="1" x14ac:dyDescent="0.25">
      <c r="A38" s="251" t="s">
        <v>44</v>
      </c>
      <c r="B38" s="11"/>
      <c r="C38" s="11"/>
      <c r="D38" s="11"/>
      <c r="E38" s="11"/>
      <c r="F38" s="239"/>
      <c r="G38" s="239"/>
      <c r="H38" s="239"/>
      <c r="I38" s="239"/>
      <c r="J38" s="241"/>
      <c r="K38" s="241"/>
      <c r="L38" s="241"/>
      <c r="M38" s="241"/>
      <c r="N38" s="242"/>
      <c r="O38" s="242"/>
      <c r="P38" s="242"/>
      <c r="Q38" s="242"/>
      <c r="R38" s="243"/>
      <c r="S38" s="243"/>
      <c r="T38" s="243"/>
      <c r="U38" s="243"/>
      <c r="V38" s="10">
        <f>Tabel110[[#This Row],[GW 2010]]+Tabel110[[#This Row],[SP 2010]]+Tabel110[[#This Row],[SFW 2010]]+Tabel110[[#This Row],[OS 2010]]+Tabel110[[#This Row],[I/E WATER 2010]]</f>
        <v>0</v>
      </c>
      <c r="W38" s="10">
        <f>Tabel110[[#This Row],[GW 2012]]+Tabel110[[#This Row],[SP 2012]]+Tabel110[[#This Row],[SFW 2012]]+Tabel110[[#This Row],[OS 2012]]+Tabel110[[#This Row],[I/E WATER 2012]]</f>
        <v>0</v>
      </c>
      <c r="X38" s="10">
        <f>Tabel110[[#This Row],[GW 2014]]+Tabel110[[#This Row],[SP 2014]]+Tabel110[[#This Row],[SFW 2014]]+Tabel110[[#This Row],[OS 2014]]+Tabel110[[#This Row],[I/E WATER 2014]]</f>
        <v>0</v>
      </c>
      <c r="Y38" s="484">
        <f>Tabel110[[#This Row],[GW 2016]]+Tabel110[[#This Row],[SP 2016]]+Tabel110[[#This Row],[SFW 2016]]+Tabel110[[#This Row],[OS 2016]]+Tabel110[[#This Row],[I/E WATER 2016]]</f>
        <v>0</v>
      </c>
    </row>
    <row r="39" spans="1:25" hidden="1" x14ac:dyDescent="0.25">
      <c r="A39" s="536" t="s">
        <v>586</v>
      </c>
      <c r="B39" s="240">
        <v>0</v>
      </c>
      <c r="C39" s="240">
        <v>0</v>
      </c>
      <c r="D39" s="11">
        <v>0</v>
      </c>
      <c r="E39" s="11">
        <v>0</v>
      </c>
      <c r="F39" s="239">
        <v>0</v>
      </c>
      <c r="G39" s="239">
        <v>0</v>
      </c>
      <c r="H39" s="8">
        <v>0</v>
      </c>
      <c r="I39" s="8">
        <v>0</v>
      </c>
      <c r="J39" s="9">
        <v>79.410388999999995</v>
      </c>
      <c r="K39" s="9">
        <v>90.281715000000005</v>
      </c>
      <c r="L39" s="9">
        <v>0</v>
      </c>
      <c r="M39" s="9">
        <v>0</v>
      </c>
      <c r="N39" s="242">
        <v>0</v>
      </c>
      <c r="O39" s="242">
        <v>0</v>
      </c>
      <c r="P39" s="13">
        <v>0.72553800000000002</v>
      </c>
      <c r="Q39" s="13">
        <v>1.0735650000000001</v>
      </c>
      <c r="R39" s="243">
        <v>0</v>
      </c>
      <c r="S39" s="243">
        <v>0</v>
      </c>
      <c r="T39" s="243">
        <v>92.871632000000005</v>
      </c>
      <c r="U39" s="243">
        <v>97.023526000000004</v>
      </c>
      <c r="V39" s="10">
        <f>Tabel110[[#This Row],[GW 2010]]+Tabel110[[#This Row],[SP 2010]]+Tabel110[[#This Row],[SFW 2010]]+Tabel110[[#This Row],[OS 2010]]+Tabel110[[#This Row],[I/E WATER 2010]]</f>
        <v>79.410388999999995</v>
      </c>
      <c r="W39" s="10">
        <f>Tabel110[[#This Row],[GW 2012]]+Tabel110[[#This Row],[SP 2012]]+Tabel110[[#This Row],[SFW 2012]]+Tabel110[[#This Row],[OS 2012]]+Tabel110[[#This Row],[I/E WATER 2012]]</f>
        <v>90.281715000000005</v>
      </c>
      <c r="X39" s="10">
        <f>Tabel110[[#This Row],[GW 2014]]+Tabel110[[#This Row],[SP 2014]]+Tabel110[[#This Row],[SFW 2014]]+Tabel110[[#This Row],[OS 2014]]+Tabel110[[#This Row],[I/E WATER 2014]]</f>
        <v>93.597170000000006</v>
      </c>
      <c r="Y39" s="484">
        <f>Tabel110[[#This Row],[GW 2016]]+Tabel110[[#This Row],[SP 2016]]+Tabel110[[#This Row],[SFW 2016]]+Tabel110[[#This Row],[OS 2016]]+Tabel110[[#This Row],[I/E WATER 2016]]</f>
        <v>98.097091000000006</v>
      </c>
    </row>
    <row r="40" spans="1:25" hidden="1" x14ac:dyDescent="0.25">
      <c r="A40" s="251" t="s">
        <v>36</v>
      </c>
      <c r="B40" s="240">
        <v>0</v>
      </c>
      <c r="C40" s="240"/>
      <c r="D40" s="240"/>
      <c r="E40" s="240"/>
      <c r="F40" s="239">
        <v>0</v>
      </c>
      <c r="G40" s="239"/>
      <c r="H40" s="239"/>
      <c r="I40" s="239"/>
      <c r="J40" s="9">
        <v>30.04</v>
      </c>
      <c r="K40" s="9"/>
      <c r="L40" s="9"/>
      <c r="M40" s="9"/>
      <c r="N40" s="242">
        <v>0</v>
      </c>
      <c r="O40" s="242"/>
      <c r="P40" s="242"/>
      <c r="Q40" s="242"/>
      <c r="R40" s="243">
        <v>0</v>
      </c>
      <c r="S40" s="243"/>
      <c r="T40" s="243"/>
      <c r="U40" s="243"/>
      <c r="V40" s="10">
        <f>Tabel110[[#This Row],[GW 2010]]+Tabel110[[#This Row],[SP 2010]]+Tabel110[[#This Row],[SFW 2010]]+Tabel110[[#This Row],[OS 2010]]+Tabel110[[#This Row],[I/E WATER 2010]]</f>
        <v>30.04</v>
      </c>
      <c r="W40" s="10">
        <f>Tabel110[[#This Row],[GW 2012]]+Tabel110[[#This Row],[SP 2012]]+Tabel110[[#This Row],[SFW 2012]]+Tabel110[[#This Row],[OS 2012]]+Tabel110[[#This Row],[I/E WATER 2012]]</f>
        <v>0</v>
      </c>
      <c r="X40" s="10">
        <f>Tabel110[[#This Row],[GW 2014]]+Tabel110[[#This Row],[SP 2014]]+Tabel110[[#This Row],[SFW 2014]]+Tabel110[[#This Row],[OS 2014]]+Tabel110[[#This Row],[I/E WATER 2014]]</f>
        <v>0</v>
      </c>
      <c r="Y40" s="484">
        <f>Tabel110[[#This Row],[GW 2016]]+Tabel110[[#This Row],[SP 2016]]+Tabel110[[#This Row],[SFW 2016]]+Tabel110[[#This Row],[OS 2016]]+Tabel110[[#This Row],[I/E WATER 2016]]</f>
        <v>0</v>
      </c>
    </row>
    <row r="41" spans="1:25" hidden="1" x14ac:dyDescent="0.25">
      <c r="A41" s="536" t="s">
        <v>774</v>
      </c>
      <c r="B41" s="481" t="s">
        <v>5</v>
      </c>
      <c r="C41" s="481" t="s">
        <v>5</v>
      </c>
      <c r="D41" s="240">
        <v>15.675437000000001</v>
      </c>
      <c r="E41" s="240">
        <v>14.682899000000001</v>
      </c>
      <c r="F41" s="469" t="s">
        <v>5</v>
      </c>
      <c r="G41" s="469" t="s">
        <v>5</v>
      </c>
      <c r="H41" s="239">
        <v>0</v>
      </c>
      <c r="I41" s="239">
        <v>0</v>
      </c>
      <c r="J41" s="9" t="s">
        <v>5</v>
      </c>
      <c r="K41" s="9" t="s">
        <v>5</v>
      </c>
      <c r="L41" s="241">
        <v>0</v>
      </c>
      <c r="M41" s="241">
        <v>0</v>
      </c>
      <c r="N41" s="482" t="s">
        <v>5</v>
      </c>
      <c r="O41" s="482" t="s">
        <v>5</v>
      </c>
      <c r="P41" s="242">
        <v>16.512682000000002</v>
      </c>
      <c r="Q41" s="242">
        <v>18.622971</v>
      </c>
      <c r="R41" s="243" t="s">
        <v>5</v>
      </c>
      <c r="S41" s="243" t="s">
        <v>5</v>
      </c>
      <c r="T41" s="243">
        <v>0</v>
      </c>
      <c r="U41" s="243">
        <v>0</v>
      </c>
      <c r="V41" s="10" t="s">
        <v>5</v>
      </c>
      <c r="W41" s="10" t="s">
        <v>5</v>
      </c>
      <c r="X41" s="10">
        <f>Tabel110[[#This Row],[GW 2014]]+Tabel110[[#This Row],[SP 2014]]+Tabel110[[#This Row],[SFW 2014]]+Tabel110[[#This Row],[OS 2014]]+Tabel110[[#This Row],[I/E WATER 2014]]</f>
        <v>32.188119</v>
      </c>
      <c r="Y41" s="484">
        <f>Tabel110[[#This Row],[GW 2016]]+Tabel110[[#This Row],[SP 2016]]+Tabel110[[#This Row],[SFW 2016]]+Tabel110[[#This Row],[OS 2016]]+Tabel110[[#This Row],[I/E WATER 2016]]</f>
        <v>33.305869999999999</v>
      </c>
    </row>
    <row r="42" spans="1:25" hidden="1" x14ac:dyDescent="0.25">
      <c r="A42" s="251" t="s">
        <v>37</v>
      </c>
      <c r="B42" s="11">
        <v>114.3</v>
      </c>
      <c r="C42" s="11">
        <v>110.3</v>
      </c>
      <c r="D42" s="11">
        <v>118.4</v>
      </c>
      <c r="E42" s="11"/>
      <c r="F42" s="239">
        <v>0</v>
      </c>
      <c r="G42" s="239">
        <v>0</v>
      </c>
      <c r="H42" s="239">
        <v>33.4</v>
      </c>
      <c r="I42" s="239"/>
      <c r="J42" s="9">
        <v>109.1</v>
      </c>
      <c r="K42" s="9">
        <v>106.2</v>
      </c>
      <c r="L42" s="9">
        <v>77.8</v>
      </c>
      <c r="M42" s="9"/>
      <c r="N42" s="242">
        <v>0</v>
      </c>
      <c r="O42" s="242">
        <v>0</v>
      </c>
      <c r="P42" s="242">
        <v>0</v>
      </c>
      <c r="Q42" s="242"/>
      <c r="R42" s="243">
        <v>0</v>
      </c>
      <c r="S42" s="243">
        <v>0</v>
      </c>
      <c r="T42" s="243">
        <v>0</v>
      </c>
      <c r="U42" s="243"/>
      <c r="V42" s="10">
        <f>Tabel110[[#This Row],[GW 2010]]+Tabel110[[#This Row],[SP 2010]]+Tabel110[[#This Row],[SFW 2010]]+Tabel110[[#This Row],[OS 2010]]+Tabel110[[#This Row],[I/E WATER 2010]]</f>
        <v>223.39999999999998</v>
      </c>
      <c r="W42" s="10">
        <f>Tabel110[[#This Row],[GW 2012]]+Tabel110[[#This Row],[SP 2012]]+Tabel110[[#This Row],[SFW 2012]]+Tabel110[[#This Row],[OS 2012]]+Tabel110[[#This Row],[I/E WATER 2012]]</f>
        <v>216.5</v>
      </c>
      <c r="X42" s="10">
        <f>Tabel110[[#This Row],[GW 2014]]+Tabel110[[#This Row],[SP 2014]]+Tabel110[[#This Row],[SFW 2014]]+Tabel110[[#This Row],[OS 2014]]+Tabel110[[#This Row],[I/E WATER 2014]]</f>
        <v>229.60000000000002</v>
      </c>
      <c r="Y42" s="484">
        <f>Tabel110[[#This Row],[GW 2016]]+Tabel110[[#This Row],[SP 2016]]+Tabel110[[#This Row],[SFW 2016]]+Tabel110[[#This Row],[OS 2016]]+Tabel110[[#This Row],[I/E WATER 2016]]</f>
        <v>0</v>
      </c>
    </row>
    <row r="43" spans="1:25" hidden="1" x14ac:dyDescent="0.25">
      <c r="A43" s="536" t="s">
        <v>38</v>
      </c>
      <c r="B43" s="11" t="s">
        <v>5</v>
      </c>
      <c r="C43" s="11">
        <v>30.010999999999999</v>
      </c>
      <c r="D43" s="11">
        <v>32.909999999999997</v>
      </c>
      <c r="E43" s="11">
        <v>33.31</v>
      </c>
      <c r="F43" s="239" t="s">
        <v>5</v>
      </c>
      <c r="G43" s="239">
        <v>0</v>
      </c>
      <c r="H43" s="239">
        <v>0</v>
      </c>
      <c r="I43" s="239">
        <v>0</v>
      </c>
      <c r="J43" s="9" t="s">
        <v>5</v>
      </c>
      <c r="K43" s="9">
        <v>50.048000000000002</v>
      </c>
      <c r="L43" s="9">
        <v>52.02</v>
      </c>
      <c r="M43" s="9">
        <v>52.35</v>
      </c>
      <c r="N43" s="242" t="s">
        <v>5</v>
      </c>
      <c r="O43" s="242">
        <v>0</v>
      </c>
      <c r="P43" s="242">
        <v>0</v>
      </c>
      <c r="Q43" s="242">
        <v>0</v>
      </c>
      <c r="R43" s="243" t="s">
        <v>5</v>
      </c>
      <c r="S43" s="243">
        <v>0</v>
      </c>
      <c r="T43" s="243">
        <v>1.1890000000000001</v>
      </c>
      <c r="U43" s="243">
        <v>1.8502000000000001</v>
      </c>
      <c r="V43" s="10" t="s">
        <v>5</v>
      </c>
      <c r="W43" s="10">
        <f>Tabel110[[#This Row],[GW 2012]]+Tabel110[[#This Row],[SP 2012]]+Tabel110[[#This Row],[SFW 2012]]+Tabel110[[#This Row],[OS 2012]]+Tabel110[[#This Row],[I/E WATER 2012]]</f>
        <v>80.058999999999997</v>
      </c>
      <c r="X43" s="10">
        <f>Tabel110[[#This Row],[GW 2014]]+Tabel110[[#This Row],[SP 2014]]+Tabel110[[#This Row],[SFW 2014]]+Tabel110[[#This Row],[OS 2014]]+Tabel110[[#This Row],[I/E WATER 2014]]</f>
        <v>86.119</v>
      </c>
      <c r="Y43" s="484">
        <f>Tabel110[[#This Row],[GW 2016]]+Tabel110[[#This Row],[SP 2016]]+Tabel110[[#This Row],[SFW 2016]]+Tabel110[[#This Row],[OS 2016]]+Tabel110[[#This Row],[I/E WATER 2016]]</f>
        <v>87.510199999999998</v>
      </c>
    </row>
    <row r="44" spans="1:25" hidden="1" x14ac:dyDescent="0.25">
      <c r="A44" s="251" t="s">
        <v>39</v>
      </c>
      <c r="B44" s="11" t="s">
        <v>5</v>
      </c>
      <c r="C44" s="11"/>
      <c r="D44" s="11"/>
      <c r="E44" s="11"/>
      <c r="F44" s="8" t="s">
        <v>5</v>
      </c>
      <c r="G44" s="8"/>
      <c r="H44" s="8"/>
      <c r="I44" s="8"/>
      <c r="J44" s="9" t="s">
        <v>5</v>
      </c>
      <c r="K44" s="9"/>
      <c r="L44" s="9"/>
      <c r="M44" s="9"/>
      <c r="N44" s="13" t="s">
        <v>5</v>
      </c>
      <c r="O44" s="13"/>
      <c r="P44" s="13"/>
      <c r="Q44" s="13"/>
      <c r="R44" s="243" t="s">
        <v>5</v>
      </c>
      <c r="S44" s="243"/>
      <c r="T44" s="243"/>
      <c r="U44" s="243"/>
      <c r="V44" s="10" t="s">
        <v>5</v>
      </c>
      <c r="W44" s="10">
        <f>Tabel110[[#This Row],[GW 2012]]+Tabel110[[#This Row],[SP 2012]]+Tabel110[[#This Row],[SFW 2012]]+Tabel110[[#This Row],[OS 2012]]+Tabel110[[#This Row],[I/E WATER 2012]]</f>
        <v>0</v>
      </c>
      <c r="X44" s="10">
        <f>Tabel110[[#This Row],[GW 2014]]+Tabel110[[#This Row],[SP 2014]]+Tabel110[[#This Row],[SFW 2014]]+Tabel110[[#This Row],[OS 2014]]+Tabel110[[#This Row],[I/E WATER 2014]]</f>
        <v>0</v>
      </c>
      <c r="Y44" s="484">
        <f>Tabel110[[#This Row],[GW 2016]]+Tabel110[[#This Row],[SP 2016]]+Tabel110[[#This Row],[SFW 2016]]+Tabel110[[#This Row],[OS 2016]]+Tabel110[[#This Row],[I/E WATER 2016]]</f>
        <v>0</v>
      </c>
    </row>
    <row r="45" spans="1:25" hidden="1" x14ac:dyDescent="0.25">
      <c r="A45" s="251" t="s">
        <v>734</v>
      </c>
      <c r="B45" s="11" t="s">
        <v>5</v>
      </c>
      <c r="C45" s="11" t="s">
        <v>5</v>
      </c>
      <c r="D45" s="11">
        <v>120</v>
      </c>
      <c r="E45" s="11"/>
      <c r="F45" s="8" t="s">
        <v>5</v>
      </c>
      <c r="G45" s="8" t="s">
        <v>5</v>
      </c>
      <c r="H45" s="8">
        <v>0</v>
      </c>
      <c r="I45" s="8"/>
      <c r="J45" s="9" t="s">
        <v>5</v>
      </c>
      <c r="K45" s="9" t="s">
        <v>5</v>
      </c>
      <c r="L45" s="9">
        <v>140</v>
      </c>
      <c r="M45" s="9"/>
      <c r="N45" s="13" t="s">
        <v>5</v>
      </c>
      <c r="O45" s="13" t="s">
        <v>5</v>
      </c>
      <c r="P45" s="13">
        <v>0</v>
      </c>
      <c r="Q45" s="13"/>
      <c r="R45" s="243" t="s">
        <v>5</v>
      </c>
      <c r="S45" s="243" t="s">
        <v>5</v>
      </c>
      <c r="T45" s="243">
        <v>74</v>
      </c>
      <c r="U45" s="243"/>
      <c r="V45" s="10" t="s">
        <v>5</v>
      </c>
      <c r="W45" s="10" t="s">
        <v>5</v>
      </c>
      <c r="X45" s="10">
        <f>Tabel110[[#This Row],[GW 2014]]+Tabel110[[#This Row],[SP 2014]]+Tabel110[[#This Row],[SFW 2014]]+Tabel110[[#This Row],[OS 2014]]+Tabel110[[#This Row],[I/E WATER 2014]]</f>
        <v>334</v>
      </c>
      <c r="Y45" s="484">
        <f>Tabel110[[#This Row],[GW 2016]]+Tabel110[[#This Row],[SP 2016]]+Tabel110[[#This Row],[SFW 2016]]+Tabel110[[#This Row],[OS 2016]]+Tabel110[[#This Row],[I/E WATER 2016]]</f>
        <v>0</v>
      </c>
    </row>
    <row r="46" spans="1:25" hidden="1" x14ac:dyDescent="0.25">
      <c r="A46" s="536" t="s">
        <v>20</v>
      </c>
      <c r="B46" s="11">
        <v>761</v>
      </c>
      <c r="C46" s="11">
        <v>754</v>
      </c>
      <c r="D46" s="11">
        <v>758</v>
      </c>
      <c r="E46" s="11">
        <v>778</v>
      </c>
      <c r="F46" s="239">
        <v>0</v>
      </c>
      <c r="G46" s="239">
        <v>0</v>
      </c>
      <c r="H46" s="239">
        <v>0</v>
      </c>
      <c r="I46" s="239">
        <v>0</v>
      </c>
      <c r="J46" s="9">
        <v>395</v>
      </c>
      <c r="K46" s="9">
        <v>394</v>
      </c>
      <c r="L46" s="9">
        <v>400</v>
      </c>
      <c r="M46" s="9">
        <v>412</v>
      </c>
      <c r="N46" s="242">
        <v>0</v>
      </c>
      <c r="O46" s="242">
        <v>0</v>
      </c>
      <c r="P46" s="242">
        <v>0</v>
      </c>
      <c r="Q46" s="242">
        <v>0</v>
      </c>
      <c r="R46" s="243">
        <v>10.063178000000001</v>
      </c>
      <c r="S46" s="243">
        <v>12</v>
      </c>
      <c r="T46" s="243">
        <v>11</v>
      </c>
      <c r="U46" s="243">
        <v>11</v>
      </c>
      <c r="V46" s="10">
        <f>Tabel110[[#This Row],[GW 2010]]+Tabel110[[#This Row],[SP 2010]]+Tabel110[[#This Row],[SFW 2010]]+Tabel110[[#This Row],[OS 2010]]+Tabel110[[#This Row],[I/E WATER 2010]]</f>
        <v>1166.0631780000001</v>
      </c>
      <c r="W46" s="10">
        <f>Tabel110[[#This Row],[GW 2012]]+Tabel110[[#This Row],[SP 2012]]+Tabel110[[#This Row],[SFW 2012]]+Tabel110[[#This Row],[OS 2012]]+Tabel110[[#This Row],[I/E WATER 2012]]</f>
        <v>1160</v>
      </c>
      <c r="X46" s="10">
        <f>Tabel110[[#This Row],[GW 2014]]+Tabel110[[#This Row],[SP 2014]]+Tabel110[[#This Row],[SFW 2014]]+Tabel110[[#This Row],[OS 2014]]+Tabel110[[#This Row],[I/E WATER 2014]]</f>
        <v>1169</v>
      </c>
      <c r="Y46" s="484">
        <f>Tabel110[[#This Row],[GW 2016]]+Tabel110[[#This Row],[SP 2016]]+Tabel110[[#This Row],[SFW 2016]]+Tabel110[[#This Row],[OS 2016]]+Tabel110[[#This Row],[I/E WATER 2016]]</f>
        <v>1201</v>
      </c>
    </row>
    <row r="47" spans="1:25" hidden="1" x14ac:dyDescent="0.25">
      <c r="A47" s="251" t="s">
        <v>53</v>
      </c>
      <c r="B47" s="11">
        <v>1.175</v>
      </c>
      <c r="C47" s="11"/>
      <c r="D47" s="11"/>
      <c r="E47" s="11"/>
      <c r="F47" s="8">
        <v>0.14799999999999999</v>
      </c>
      <c r="G47" s="8"/>
      <c r="H47" s="8"/>
      <c r="I47" s="8"/>
      <c r="J47" s="9">
        <v>227.73400000000001</v>
      </c>
      <c r="K47" s="9"/>
      <c r="L47" s="9"/>
      <c r="M47" s="9"/>
      <c r="N47" s="242">
        <v>0</v>
      </c>
      <c r="O47" s="242"/>
      <c r="P47" s="242"/>
      <c r="Q47" s="242"/>
      <c r="R47" s="243">
        <v>0</v>
      </c>
      <c r="S47" s="243"/>
      <c r="T47" s="243"/>
      <c r="U47" s="243"/>
      <c r="V47" s="10">
        <f>Tabel110[[#This Row],[GW 2010]]+Tabel110[[#This Row],[SP 2010]]+Tabel110[[#This Row],[SFW 2010]]+Tabel110[[#This Row],[OS 2010]]+Tabel110[[#This Row],[I/E WATER 2010]]</f>
        <v>229.05700000000002</v>
      </c>
      <c r="W47" s="10">
        <f>Tabel110[[#This Row],[GW 2012]]+Tabel110[[#This Row],[SP 2012]]+Tabel110[[#This Row],[SFW 2012]]+Tabel110[[#This Row],[OS 2012]]+Tabel110[[#This Row],[I/E WATER 2012]]</f>
        <v>0</v>
      </c>
      <c r="X47" s="10">
        <f>Tabel110[[#This Row],[GW 2014]]+Tabel110[[#This Row],[SP 2014]]+Tabel110[[#This Row],[SFW 2014]]+Tabel110[[#This Row],[OS 2014]]+Tabel110[[#This Row],[I/E WATER 2014]]</f>
        <v>0</v>
      </c>
      <c r="Y47" s="484">
        <f>Tabel110[[#This Row],[GW 2016]]+Tabel110[[#This Row],[SP 2016]]+Tabel110[[#This Row],[SFW 2016]]+Tabel110[[#This Row],[OS 2016]]+Tabel110[[#This Row],[I/E WATER 2016]]</f>
        <v>0</v>
      </c>
    </row>
    <row r="48" spans="1:25" hidden="1" x14ac:dyDescent="0.25">
      <c r="A48" s="536" t="s">
        <v>21</v>
      </c>
      <c r="B48" s="11">
        <v>12</v>
      </c>
      <c r="C48" s="11">
        <v>82</v>
      </c>
      <c r="D48" s="11">
        <v>114</v>
      </c>
      <c r="E48" s="11" t="s">
        <v>5</v>
      </c>
      <c r="F48" s="239">
        <v>0</v>
      </c>
      <c r="G48" s="239">
        <v>0.8</v>
      </c>
      <c r="H48" s="239">
        <v>4</v>
      </c>
      <c r="I48" s="239" t="s">
        <v>5</v>
      </c>
      <c r="J48" s="9">
        <v>710</v>
      </c>
      <c r="K48" s="9">
        <v>717</v>
      </c>
      <c r="L48" s="9">
        <v>742</v>
      </c>
      <c r="M48" s="9" t="s">
        <v>5</v>
      </c>
      <c r="N48" s="242">
        <v>0</v>
      </c>
      <c r="O48" s="13">
        <v>0.3</v>
      </c>
      <c r="P48" s="13">
        <v>0.08</v>
      </c>
      <c r="Q48" s="13" t="s">
        <v>5</v>
      </c>
      <c r="R48" s="243">
        <v>0</v>
      </c>
      <c r="S48" s="243">
        <v>0</v>
      </c>
      <c r="T48" s="243">
        <v>0</v>
      </c>
      <c r="U48" s="243" t="s">
        <v>5</v>
      </c>
      <c r="V48" s="10">
        <f>Tabel110[[#This Row],[GW 2010]]+Tabel110[[#This Row],[SP 2010]]+Tabel110[[#This Row],[SFW 2010]]+Tabel110[[#This Row],[OS 2010]]+Tabel110[[#This Row],[I/E WATER 2010]]</f>
        <v>722</v>
      </c>
      <c r="W48" s="10">
        <f>Tabel110[[#This Row],[GW 2012]]+Tabel110[[#This Row],[SP 2012]]+Tabel110[[#This Row],[SFW 2012]]+Tabel110[[#This Row],[OS 2012]]+Tabel110[[#This Row],[I/E WATER 2012]]</f>
        <v>800.09999999999991</v>
      </c>
      <c r="X48" s="10">
        <f>Tabel110[[#This Row],[GW 2014]]+Tabel110[[#This Row],[SP 2014]]+Tabel110[[#This Row],[SFW 2014]]+Tabel110[[#This Row],[OS 2014]]+Tabel110[[#This Row],[I/E WATER 2014]]</f>
        <v>860.08</v>
      </c>
      <c r="Y48" s="10" t="s">
        <v>5</v>
      </c>
    </row>
    <row r="49" spans="1:25" hidden="1" x14ac:dyDescent="0.25">
      <c r="A49" s="536" t="s">
        <v>22</v>
      </c>
      <c r="B49" s="11">
        <v>1625.2</v>
      </c>
      <c r="C49" s="11">
        <v>1629.8</v>
      </c>
      <c r="D49" s="11">
        <v>1619.3</v>
      </c>
      <c r="E49" s="11">
        <v>1685.1</v>
      </c>
      <c r="F49" s="239">
        <v>0</v>
      </c>
      <c r="G49" s="239">
        <v>0</v>
      </c>
      <c r="H49" s="239">
        <v>0</v>
      </c>
      <c r="I49" s="239">
        <v>0</v>
      </c>
      <c r="J49" s="9">
        <v>9172.6</v>
      </c>
      <c r="K49" s="9">
        <v>9142.9</v>
      </c>
      <c r="L49" s="9">
        <v>9011.6</v>
      </c>
      <c r="M49" s="9">
        <v>7800.9</v>
      </c>
      <c r="N49" s="13">
        <v>68.400000000000006</v>
      </c>
      <c r="O49" s="13">
        <v>57.7</v>
      </c>
      <c r="P49" s="13">
        <v>0</v>
      </c>
      <c r="Q49" s="13">
        <v>1042.7</v>
      </c>
      <c r="R49" s="243">
        <v>0</v>
      </c>
      <c r="S49" s="243">
        <v>0</v>
      </c>
      <c r="T49" s="243">
        <v>0</v>
      </c>
      <c r="U49" s="243">
        <v>0</v>
      </c>
      <c r="V49" s="10">
        <f>Tabel110[[#This Row],[GW 2010]]+Tabel110[[#This Row],[SP 2010]]+Tabel110[[#This Row],[SFW 2010]]+Tabel110[[#This Row],[OS 2010]]+Tabel110[[#This Row],[I/E WATER 2010]]</f>
        <v>10866.2</v>
      </c>
      <c r="W49" s="10">
        <f>Tabel110[[#This Row],[GW 2012]]+Tabel110[[#This Row],[SP 2012]]+Tabel110[[#This Row],[SFW 2012]]+Tabel110[[#This Row],[OS 2012]]+Tabel110[[#This Row],[I/E WATER 2012]]</f>
        <v>10830.4</v>
      </c>
      <c r="X49" s="10">
        <f>Tabel110[[#This Row],[GW 2014]]+Tabel110[[#This Row],[SP 2014]]+Tabel110[[#This Row],[SFW 2014]]+Tabel110[[#This Row],[OS 2014]]+Tabel110[[#This Row],[I/E WATER 2014]]</f>
        <v>10630.9</v>
      </c>
      <c r="Y49" s="484">
        <f>Tabel110[[#This Row],[GW 2016]]+Tabel110[[#This Row],[SP 2016]]+Tabel110[[#This Row],[SFW 2016]]+Tabel110[[#This Row],[OS 2016]]+Tabel110[[#This Row],[I/E WATER 2016]]</f>
        <v>10528.7</v>
      </c>
    </row>
    <row r="50" spans="1:25" hidden="1" x14ac:dyDescent="0.25">
      <c r="A50" s="536" t="s">
        <v>23</v>
      </c>
      <c r="B50" s="11">
        <v>378.47944999999999</v>
      </c>
      <c r="C50" s="11">
        <v>312.91519399999999</v>
      </c>
      <c r="D50" s="11">
        <v>279.63087999999999</v>
      </c>
      <c r="E50" s="11">
        <v>239.880787</v>
      </c>
      <c r="F50" s="239">
        <v>0</v>
      </c>
      <c r="G50" s="239">
        <v>0</v>
      </c>
      <c r="H50" s="239">
        <v>0</v>
      </c>
      <c r="I50" s="239" t="s">
        <v>5</v>
      </c>
      <c r="J50" s="9">
        <v>844.58956000000001</v>
      </c>
      <c r="K50" s="9">
        <v>625.42770199999995</v>
      </c>
      <c r="L50" s="9">
        <v>548.68515500000001</v>
      </c>
      <c r="M50" s="9">
        <v>559.15783299999998</v>
      </c>
      <c r="N50" s="242">
        <v>0</v>
      </c>
      <c r="O50" s="242">
        <v>0</v>
      </c>
      <c r="P50" s="13">
        <v>0</v>
      </c>
      <c r="Q50" s="13" t="s">
        <v>5</v>
      </c>
      <c r="R50" s="243">
        <v>0</v>
      </c>
      <c r="S50" s="243">
        <v>0</v>
      </c>
      <c r="T50" s="243">
        <v>0</v>
      </c>
      <c r="U50" s="243" t="s">
        <v>5</v>
      </c>
      <c r="V50" s="10">
        <f>Tabel110[[#This Row],[GW 2010]]+Tabel110[[#This Row],[SP 2010]]+Tabel110[[#This Row],[SFW 2010]]+Tabel110[[#This Row],[OS 2010]]+Tabel110[[#This Row],[I/E WATER 2010]]</f>
        <v>1223.0690099999999</v>
      </c>
      <c r="W50" s="10">
        <f>Tabel110[[#This Row],[GW 2012]]+Tabel110[[#This Row],[SP 2012]]+Tabel110[[#This Row],[SFW 2012]]+Tabel110[[#This Row],[OS 2012]]+Tabel110[[#This Row],[I/E WATER 2012]]</f>
        <v>938.34289599999988</v>
      </c>
      <c r="X50" s="10">
        <f>Tabel110[[#This Row],[GW 2014]]+Tabel110[[#This Row],[SP 2014]]+Tabel110[[#This Row],[SFW 2014]]+Tabel110[[#This Row],[OS 2014]]+Tabel110[[#This Row],[I/E WATER 2014]]</f>
        <v>828.31603500000006</v>
      </c>
      <c r="Y50" s="484">
        <f>Tabel110[[#This Row],[GW 2016]]+Tabel110[[#This Row],[SFW 2016]]</f>
        <v>799.03862000000004</v>
      </c>
    </row>
    <row r="51" spans="1:25" hidden="1" x14ac:dyDescent="0.25">
      <c r="A51" s="536" t="s">
        <v>40</v>
      </c>
      <c r="B51" s="11">
        <v>353.7</v>
      </c>
      <c r="C51" s="11">
        <v>468.82</v>
      </c>
      <c r="D51" s="11">
        <v>396.89299999999997</v>
      </c>
      <c r="E51" s="11">
        <v>444.20800000000003</v>
      </c>
      <c r="F51" s="239">
        <v>0</v>
      </c>
      <c r="G51" s="239">
        <v>0</v>
      </c>
      <c r="H51" s="239">
        <v>0</v>
      </c>
      <c r="I51" s="239">
        <v>0</v>
      </c>
      <c r="J51" s="9">
        <v>825.3</v>
      </c>
      <c r="K51" s="9">
        <v>693.14499999999998</v>
      </c>
      <c r="L51" s="9">
        <v>618.58299999999997</v>
      </c>
      <c r="M51" s="9">
        <v>586.43700000000001</v>
      </c>
      <c r="N51" s="242">
        <v>0</v>
      </c>
      <c r="O51" s="242">
        <v>0</v>
      </c>
      <c r="P51" s="242">
        <v>0</v>
      </c>
      <c r="Q51" s="242">
        <v>0</v>
      </c>
      <c r="R51" s="243">
        <v>0</v>
      </c>
      <c r="S51" s="243">
        <v>0</v>
      </c>
      <c r="T51" s="243">
        <v>0</v>
      </c>
      <c r="U51" s="243">
        <v>0</v>
      </c>
      <c r="V51" s="10">
        <f>Tabel110[[#This Row],[GW 2010]]+Tabel110[[#This Row],[SP 2010]]+Tabel110[[#This Row],[SFW 2010]]+Tabel110[[#This Row],[OS 2010]]+Tabel110[[#This Row],[I/E WATER 2010]]</f>
        <v>1179</v>
      </c>
      <c r="W51" s="10">
        <f>Tabel110[[#This Row],[GW 2012]]+Tabel110[[#This Row],[SP 2012]]+Tabel110[[#This Row],[SFW 2012]]+Tabel110[[#This Row],[OS 2012]]+Tabel110[[#This Row],[I/E WATER 2012]]</f>
        <v>1161.9649999999999</v>
      </c>
      <c r="X51" s="10">
        <f>Tabel110[[#This Row],[GW 2014]]+Tabel110[[#This Row],[SP 2014]]+Tabel110[[#This Row],[SFW 2014]]+Tabel110[[#This Row],[OS 2014]]+Tabel110[[#This Row],[I/E WATER 2014]]</f>
        <v>1015.4759999999999</v>
      </c>
      <c r="Y51" s="484">
        <f>Tabel110[[#This Row],[GW 2016]]+Tabel110[[#This Row],[SP 2016]]+Tabel110[[#This Row],[SFW 2016]]+Tabel110[[#This Row],[OS 2016]]+Tabel110[[#This Row],[I/E WATER 2016]]</f>
        <v>1030.645</v>
      </c>
    </row>
    <row r="52" spans="1:25" hidden="1" x14ac:dyDescent="0.25">
      <c r="A52" s="536" t="s">
        <v>693</v>
      </c>
      <c r="B52" s="11" t="s">
        <v>5</v>
      </c>
      <c r="C52" s="11" t="s">
        <v>5</v>
      </c>
      <c r="D52" s="11">
        <v>8541.19</v>
      </c>
      <c r="E52" s="11">
        <v>11450</v>
      </c>
      <c r="F52" s="469" t="s">
        <v>5</v>
      </c>
      <c r="G52" s="469" t="s">
        <v>5</v>
      </c>
      <c r="H52" s="239">
        <v>0</v>
      </c>
      <c r="I52" s="239">
        <v>0</v>
      </c>
      <c r="J52" s="9" t="s">
        <v>5</v>
      </c>
      <c r="K52" s="9" t="s">
        <v>5</v>
      </c>
      <c r="L52" s="9">
        <v>49285.49</v>
      </c>
      <c r="M52" s="9">
        <v>58120</v>
      </c>
      <c r="N52" s="242" t="s">
        <v>5</v>
      </c>
      <c r="O52" s="242" t="s">
        <v>5</v>
      </c>
      <c r="P52" s="242">
        <v>0</v>
      </c>
      <c r="Q52" s="242">
        <v>0</v>
      </c>
      <c r="R52" s="243" t="s">
        <v>5</v>
      </c>
      <c r="S52" s="243" t="s">
        <v>5</v>
      </c>
      <c r="T52" s="243">
        <v>0</v>
      </c>
      <c r="U52" s="243">
        <v>0</v>
      </c>
      <c r="V52" s="10" t="s">
        <v>5</v>
      </c>
      <c r="W52" s="10" t="s">
        <v>5</v>
      </c>
      <c r="X52" s="10">
        <f>Tabel110[[#This Row],[GW 2014]]+Tabel110[[#This Row],[SP 2014]]+Tabel110[[#This Row],[SFW 2014]]+Tabel110[[#This Row],[OS 2014]]+Tabel110[[#This Row],[I/E WATER 2014]]</f>
        <v>57826.68</v>
      </c>
      <c r="Y52" s="484">
        <f>Tabel110[[#This Row],[GW 2016]]+Tabel110[[#This Row],[SP 2016]]+Tabel110[[#This Row],[SFW 2016]]+Tabel110[[#This Row],[OS 2016]]+Tabel110[[#This Row],[I/E WATER 2016]]</f>
        <v>69570</v>
      </c>
    </row>
    <row r="53" spans="1:25" hidden="1" x14ac:dyDescent="0.25">
      <c r="A53" s="536" t="s">
        <v>47</v>
      </c>
      <c r="B53" s="11">
        <v>18.812297000000001</v>
      </c>
      <c r="C53" s="11">
        <v>25.641249999999999</v>
      </c>
      <c r="D53" s="11">
        <v>25.767175000000002</v>
      </c>
      <c r="E53" s="11">
        <v>19.994700000000002</v>
      </c>
      <c r="F53" s="239">
        <v>0</v>
      </c>
      <c r="G53" s="239">
        <v>0</v>
      </c>
      <c r="H53" s="239">
        <v>0</v>
      </c>
      <c r="I53" s="239">
        <v>0</v>
      </c>
      <c r="J53" s="9">
        <v>716.94930199999999</v>
      </c>
      <c r="K53" s="9">
        <v>645.94889499999999</v>
      </c>
      <c r="L53" s="9">
        <v>633.66883499999994</v>
      </c>
      <c r="M53" s="9">
        <v>646.49530000000004</v>
      </c>
      <c r="N53" s="242">
        <v>0</v>
      </c>
      <c r="O53" s="242">
        <v>0</v>
      </c>
      <c r="P53" s="242">
        <v>0</v>
      </c>
      <c r="Q53" s="242">
        <v>0</v>
      </c>
      <c r="R53" s="243">
        <v>0</v>
      </c>
      <c r="S53" s="243">
        <v>0</v>
      </c>
      <c r="T53" s="243">
        <v>0</v>
      </c>
      <c r="U53" s="243">
        <v>0</v>
      </c>
      <c r="V53" s="10">
        <f>Tabel110[[#This Row],[GW 2010]]+Tabel110[[#This Row],[SP 2010]]+Tabel110[[#This Row],[SFW 2010]]+Tabel110[[#This Row],[OS 2010]]+Tabel110[[#This Row],[I/E WATER 2010]]</f>
        <v>735.76159899999993</v>
      </c>
      <c r="W53" s="10">
        <f>Tabel110[[#This Row],[GW 2012]]+Tabel110[[#This Row],[SP 2012]]+Tabel110[[#This Row],[SFW 2012]]+Tabel110[[#This Row],[OS 2012]]+Tabel110[[#This Row],[I/E WATER 2012]]</f>
        <v>671.59014500000001</v>
      </c>
      <c r="X53" s="10">
        <f>Tabel110[[#This Row],[GW 2014]]+Tabel110[[#This Row],[SP 2014]]+Tabel110[[#This Row],[SFW 2014]]+Tabel110[[#This Row],[OS 2014]]+Tabel110[[#This Row],[I/E WATER 2014]]</f>
        <v>659.4360099999999</v>
      </c>
      <c r="Y53" s="484">
        <f>Tabel110[[#This Row],[GW 2016]]+Tabel110[[#This Row],[SP 2016]]+Tabel110[[#This Row],[SFW 2016]]+Tabel110[[#This Row],[OS 2016]]+Tabel110[[#This Row],[I/E WATER 2016]]</f>
        <v>666.49</v>
      </c>
    </row>
    <row r="54" spans="1:25" hidden="1" x14ac:dyDescent="0.25">
      <c r="A54" s="251" t="s">
        <v>41</v>
      </c>
      <c r="B54" s="11"/>
      <c r="C54" s="11"/>
      <c r="D54" s="11"/>
      <c r="E54" s="11"/>
      <c r="F54" s="239"/>
      <c r="G54" s="239"/>
      <c r="H54" s="239"/>
      <c r="I54" s="239"/>
      <c r="J54" s="9"/>
      <c r="K54" s="9"/>
      <c r="L54" s="9"/>
      <c r="M54" s="9"/>
      <c r="N54" s="242"/>
      <c r="O54" s="242"/>
      <c r="P54" s="242"/>
      <c r="Q54" s="242"/>
      <c r="R54" s="243"/>
      <c r="S54" s="243"/>
      <c r="T54" s="243"/>
      <c r="U54" s="243"/>
      <c r="V54" s="10">
        <f>Tabel110[[#This Row],[GW 2010]]+Tabel110[[#This Row],[SP 2010]]+Tabel110[[#This Row],[SFW 2010]]+Tabel110[[#This Row],[OS 2010]]+Tabel110[[#This Row],[I/E WATER 2010]]</f>
        <v>0</v>
      </c>
      <c r="W54" s="10">
        <f>Tabel110[[#This Row],[GW 2012]]+Tabel110[[#This Row],[SP 2012]]+Tabel110[[#This Row],[SFW 2012]]+Tabel110[[#This Row],[OS 2012]]+Tabel110[[#This Row],[I/E WATER 2012]]</f>
        <v>0</v>
      </c>
      <c r="X54" s="10">
        <f>Tabel110[[#This Row],[GW 2014]]+Tabel110[[#This Row],[SP 2014]]+Tabel110[[#This Row],[SFW 2014]]+Tabel110[[#This Row],[OS 2014]]+Tabel110[[#This Row],[I/E WATER 2014]]</f>
        <v>0</v>
      </c>
      <c r="Y54" s="484">
        <f>Tabel110[[#This Row],[GW 2016]]+Tabel110[[#This Row],[SP 2016]]+Tabel110[[#This Row],[SFW 2016]]+Tabel110[[#This Row],[OS 2016]]+Tabel110[[#This Row],[I/E WATER 2016]]</f>
        <v>0</v>
      </c>
    </row>
    <row r="55" spans="1:25" hidden="1" x14ac:dyDescent="0.25">
      <c r="A55" s="251" t="s">
        <v>42</v>
      </c>
      <c r="B55" s="240">
        <v>0</v>
      </c>
      <c r="C55" s="240"/>
      <c r="D55" s="240"/>
      <c r="E55" s="240"/>
      <c r="F55" s="239">
        <v>0</v>
      </c>
      <c r="G55" s="239"/>
      <c r="H55" s="239"/>
      <c r="I55" s="239"/>
      <c r="J55" s="9">
        <v>151.47303700000001</v>
      </c>
      <c r="K55" s="9"/>
      <c r="L55" s="9"/>
      <c r="M55" s="9"/>
      <c r="N55" s="13">
        <v>49.261944999999997</v>
      </c>
      <c r="O55" s="13"/>
      <c r="P55" s="13"/>
      <c r="Q55" s="13"/>
      <c r="R55" s="243">
        <v>470.64158300000003</v>
      </c>
      <c r="S55" s="243"/>
      <c r="T55" s="243"/>
      <c r="U55" s="243"/>
      <c r="V55" s="10">
        <f>Tabel110[[#This Row],[GW 2010]]+Tabel110[[#This Row],[SP 2010]]+Tabel110[[#This Row],[SFW 2010]]+Tabel110[[#This Row],[OS 2010]]+Tabel110[[#This Row],[I/E WATER 2010]]</f>
        <v>671.37656500000003</v>
      </c>
      <c r="W55" s="10">
        <f>Tabel110[[#This Row],[GW 2012]]+Tabel110[[#This Row],[SP 2012]]+Tabel110[[#This Row],[SFW 2012]]+Tabel110[[#This Row],[OS 2012]]+Tabel110[[#This Row],[I/E WATER 2012]]</f>
        <v>0</v>
      </c>
      <c r="X55" s="10">
        <f>Tabel110[[#This Row],[GW 2014]]+Tabel110[[#This Row],[SP 2014]]+Tabel110[[#This Row],[SFW 2014]]+Tabel110[[#This Row],[OS 2014]]+Tabel110[[#This Row],[I/E WATER 2014]]</f>
        <v>0</v>
      </c>
      <c r="Y55" s="484">
        <f>Tabel110[[#This Row],[GW 2016]]+Tabel110[[#This Row],[SP 2016]]+Tabel110[[#This Row],[SFW 2016]]+Tabel110[[#This Row],[OS 2016]]+Tabel110[[#This Row],[I/E WATER 2016]]</f>
        <v>0</v>
      </c>
    </row>
    <row r="56" spans="1:25" hidden="1" x14ac:dyDescent="0.25">
      <c r="A56" s="251" t="s">
        <v>24</v>
      </c>
      <c r="B56" s="11">
        <v>267</v>
      </c>
      <c r="C56" s="11"/>
      <c r="D56" s="11"/>
      <c r="E56" s="11"/>
      <c r="F56" s="239">
        <v>0</v>
      </c>
      <c r="G56" s="239"/>
      <c r="H56" s="239"/>
      <c r="I56" s="239"/>
      <c r="J56" s="9">
        <v>46</v>
      </c>
      <c r="K56" s="9"/>
      <c r="L56" s="9"/>
      <c r="M56" s="9"/>
      <c r="N56" s="242">
        <v>0</v>
      </c>
      <c r="O56" s="242"/>
      <c r="P56" s="242"/>
      <c r="Q56" s="242"/>
      <c r="R56" s="243">
        <v>0</v>
      </c>
      <c r="S56" s="243"/>
      <c r="T56" s="243"/>
      <c r="U56" s="243"/>
      <c r="V56" s="10">
        <f>Tabel110[[#This Row],[GW 2010]]+Tabel110[[#This Row],[SP 2010]]+Tabel110[[#This Row],[SFW 2010]]+Tabel110[[#This Row],[OS 2010]]+Tabel110[[#This Row],[I/E WATER 2010]]</f>
        <v>313</v>
      </c>
      <c r="W56" s="10">
        <f>Tabel110[[#This Row],[GW 2012]]+Tabel110[[#This Row],[SP 2012]]+Tabel110[[#This Row],[SFW 2012]]+Tabel110[[#This Row],[OS 2012]]+Tabel110[[#This Row],[I/E WATER 2012]]</f>
        <v>0</v>
      </c>
      <c r="X56" s="10">
        <f>Tabel110[[#This Row],[GW 2014]]+Tabel110[[#This Row],[SP 2014]]+Tabel110[[#This Row],[SFW 2014]]+Tabel110[[#This Row],[OS 2014]]+Tabel110[[#This Row],[I/E WATER 2014]]</f>
        <v>0</v>
      </c>
      <c r="Y56" s="484">
        <f>Tabel110[[#This Row],[GW 2016]]+Tabel110[[#This Row],[SP 2016]]+Tabel110[[#This Row],[SFW 2016]]+Tabel110[[#This Row],[OS 2016]]+Tabel110[[#This Row],[I/E WATER 2016]]</f>
        <v>0</v>
      </c>
    </row>
    <row r="57" spans="1:25" hidden="1" x14ac:dyDescent="0.25">
      <c r="A57" s="251" t="s">
        <v>43</v>
      </c>
      <c r="B57" s="11" t="s">
        <v>5</v>
      </c>
      <c r="C57" s="11">
        <v>1.4732190000000001</v>
      </c>
      <c r="D57" s="11"/>
      <c r="E57" s="11"/>
      <c r="F57" s="239" t="s">
        <v>5</v>
      </c>
      <c r="G57" s="239">
        <v>0</v>
      </c>
      <c r="H57" s="239"/>
      <c r="I57" s="239"/>
      <c r="J57" s="9" t="s">
        <v>5</v>
      </c>
      <c r="K57" s="9">
        <v>319.44850400000001</v>
      </c>
      <c r="L57" s="9"/>
      <c r="M57" s="9"/>
      <c r="N57" s="242" t="s">
        <v>5</v>
      </c>
      <c r="O57" s="242">
        <v>0</v>
      </c>
      <c r="P57" s="242"/>
      <c r="Q57" s="242"/>
      <c r="R57" s="243" t="s">
        <v>5</v>
      </c>
      <c r="S57" s="243">
        <v>0</v>
      </c>
      <c r="T57" s="243"/>
      <c r="U57" s="243"/>
      <c r="V57" s="10" t="s">
        <v>5</v>
      </c>
      <c r="W57" s="10">
        <f>Tabel110[[#This Row],[GW 2012]]+Tabel110[[#This Row],[SP 2012]]+Tabel110[[#This Row],[SFW 2012]]+Tabel110[[#This Row],[OS 2012]]+Tabel110[[#This Row],[I/E WATER 2012]]</f>
        <v>320.92172299999999</v>
      </c>
      <c r="X57" s="10">
        <f>Tabel110[[#This Row],[GW 2014]]+Tabel110[[#This Row],[SP 2014]]+Tabel110[[#This Row],[SFW 2014]]+Tabel110[[#This Row],[OS 2014]]+Tabel110[[#This Row],[I/E WATER 2014]]</f>
        <v>0</v>
      </c>
      <c r="Y57" s="484">
        <f>Tabel110[[#This Row],[GW 2016]]+Tabel110[[#This Row],[SP 2016]]+Tabel110[[#This Row],[SFW 2016]]+Tabel110[[#This Row],[OS 2016]]+Tabel110[[#This Row],[I/E WATER 2016]]</f>
        <v>0</v>
      </c>
    </row>
    <row r="58" spans="1:25" hidden="1" x14ac:dyDescent="0.25">
      <c r="A58" s="251" t="s">
        <v>450</v>
      </c>
      <c r="B58" s="240">
        <v>0</v>
      </c>
      <c r="C58" s="240"/>
      <c r="D58" s="240"/>
      <c r="E58" s="240"/>
      <c r="F58" s="239">
        <v>0</v>
      </c>
      <c r="G58" s="239"/>
      <c r="H58" s="239"/>
      <c r="I58" s="239"/>
      <c r="J58" s="9">
        <v>129</v>
      </c>
      <c r="K58" s="9"/>
      <c r="L58" s="9"/>
      <c r="M58" s="9"/>
      <c r="N58" s="242">
        <v>0</v>
      </c>
      <c r="O58" s="242"/>
      <c r="P58" s="242"/>
      <c r="Q58" s="242"/>
      <c r="R58" s="243">
        <v>0</v>
      </c>
      <c r="S58" s="243"/>
      <c r="T58" s="243"/>
      <c r="U58" s="243"/>
      <c r="V58" s="10">
        <f>Tabel110[[#This Row],[GW 2010]]+Tabel110[[#This Row],[SP 2010]]+Tabel110[[#This Row],[SFW 2010]]+Tabel110[[#This Row],[OS 2010]]+Tabel110[[#This Row],[I/E WATER 2010]]</f>
        <v>129</v>
      </c>
      <c r="W58" s="10">
        <f>Tabel110[[#This Row],[GW 2012]]+Tabel110[[#This Row],[SP 2012]]+Tabel110[[#This Row],[SFW 2012]]+Tabel110[[#This Row],[OS 2012]]+Tabel110[[#This Row],[I/E WATER 2012]]</f>
        <v>0</v>
      </c>
      <c r="X58" s="10">
        <f>Tabel110[[#This Row],[GW 2014]]+Tabel110[[#This Row],[SP 2014]]+Tabel110[[#This Row],[SFW 2014]]+Tabel110[[#This Row],[OS 2014]]+Tabel110[[#This Row],[I/E WATER 2014]]</f>
        <v>0</v>
      </c>
      <c r="Y58" s="484">
        <f>Tabel110[[#This Row],[GW 2016]]+Tabel110[[#This Row],[SP 2016]]+Tabel110[[#This Row],[SFW 2016]]+Tabel110[[#This Row],[OS 2016]]+Tabel110[[#This Row],[I/E WATER 2016]]</f>
        <v>0</v>
      </c>
    </row>
    <row r="59" spans="1:25" hidden="1" x14ac:dyDescent="0.25">
      <c r="A59" s="536" t="s">
        <v>25</v>
      </c>
      <c r="B59" s="11">
        <v>555.60073499999999</v>
      </c>
      <c r="C59" s="11">
        <v>97.632086000000001</v>
      </c>
      <c r="D59" s="11">
        <v>102.256828</v>
      </c>
      <c r="E59" s="11">
        <v>145.559923</v>
      </c>
      <c r="F59" s="239">
        <v>0</v>
      </c>
      <c r="G59" s="239">
        <v>0</v>
      </c>
      <c r="H59" s="239">
        <v>0</v>
      </c>
      <c r="I59" s="239">
        <v>0</v>
      </c>
      <c r="J59" s="9">
        <v>6605.9377089999998</v>
      </c>
      <c r="K59" s="9">
        <v>7077.8447420000002</v>
      </c>
      <c r="L59" s="9">
        <v>7177.9778649999998</v>
      </c>
      <c r="M59" s="9">
        <v>6526.1456879999996</v>
      </c>
      <c r="N59" s="242">
        <v>0</v>
      </c>
      <c r="O59" s="242">
        <v>0</v>
      </c>
      <c r="P59" s="242">
        <v>0</v>
      </c>
      <c r="Q59" s="242">
        <v>0</v>
      </c>
      <c r="R59" s="243">
        <v>1.0059999999999999E-2</v>
      </c>
      <c r="S59" s="243">
        <v>0</v>
      </c>
      <c r="T59" s="243">
        <v>0</v>
      </c>
      <c r="U59" s="243">
        <v>0</v>
      </c>
      <c r="V59" s="10">
        <f>Tabel110[[#This Row],[GW 2010]]+Tabel110[[#This Row],[SP 2010]]+Tabel110[[#This Row],[SFW 2010]]+Tabel110[[#This Row],[OS 2010]]+Tabel110[[#This Row],[I/E WATER 2010]]</f>
        <v>7161.5485039999994</v>
      </c>
      <c r="W59" s="10">
        <f>Tabel110[[#This Row],[GW 2012]]+Tabel110[[#This Row],[SP 2012]]+Tabel110[[#This Row],[SFW 2012]]+Tabel110[[#This Row],[OS 2012]]+Tabel110[[#This Row],[I/E WATER 2012]]</f>
        <v>7175.4768279999998</v>
      </c>
      <c r="X59" s="10">
        <f>Tabel110[[#This Row],[GW 2014]]+Tabel110[[#This Row],[SP 2014]]+Tabel110[[#This Row],[SFW 2014]]+Tabel110[[#This Row],[OS 2014]]+Tabel110[[#This Row],[I/E WATER 2014]]</f>
        <v>7280.2346929999994</v>
      </c>
      <c r="Y59" s="484">
        <f>Tabel110[[#This Row],[GW 2016]]+Tabel110[[#This Row],[SP 2016]]+Tabel110[[#This Row],[SFW 2016]]+Tabel110[[#This Row],[OS 2016]]+Tabel110[[#This Row],[I/E WATER 2016]]</f>
        <v>6671.7056109999994</v>
      </c>
    </row>
    <row r="60" spans="1:25" hidden="1" x14ac:dyDescent="0.25">
      <c r="A60" s="536" t="s">
        <v>26</v>
      </c>
      <c r="B60" s="11">
        <v>615.24599999999998</v>
      </c>
      <c r="C60" s="11">
        <v>723.27</v>
      </c>
      <c r="D60" s="11">
        <v>1100.06</v>
      </c>
      <c r="E60" s="11">
        <v>1142.4000000000001</v>
      </c>
      <c r="F60" s="8">
        <v>134.87799999999999</v>
      </c>
      <c r="G60" s="239">
        <v>0</v>
      </c>
      <c r="H60" s="8">
        <v>0</v>
      </c>
      <c r="I60" s="8">
        <v>0</v>
      </c>
      <c r="J60" s="9">
        <v>4156.0240000000003</v>
      </c>
      <c r="K60" s="9">
        <v>3060.73</v>
      </c>
      <c r="L60" s="9">
        <v>3088.63</v>
      </c>
      <c r="M60" s="9">
        <v>2733.6</v>
      </c>
      <c r="N60" s="13">
        <v>151.73599999999999</v>
      </c>
      <c r="O60" s="13">
        <v>204.53</v>
      </c>
      <c r="P60" s="13">
        <v>84.62</v>
      </c>
      <c r="Q60" s="13">
        <v>204</v>
      </c>
      <c r="R60" s="243">
        <v>0</v>
      </c>
      <c r="S60" s="243">
        <v>0</v>
      </c>
      <c r="T60" s="243">
        <v>0</v>
      </c>
      <c r="U60" s="243">
        <v>0</v>
      </c>
      <c r="V60" s="10">
        <f>Tabel110[[#This Row],[GW 2010]]+Tabel110[[#This Row],[SP 2010]]+Tabel110[[#This Row],[SFW 2010]]+Tabel110[[#This Row],[OS 2010]]+Tabel110[[#This Row],[I/E WATER 2010]]</f>
        <v>5057.884</v>
      </c>
      <c r="W60" s="10">
        <f>Tabel110[[#This Row],[GW 2012]]+Tabel110[[#This Row],[SP 2012]]+Tabel110[[#This Row],[SFW 2012]]+Tabel110[[#This Row],[OS 2012]]+Tabel110[[#This Row],[I/E WATER 2012]]</f>
        <v>3988.53</v>
      </c>
      <c r="X60" s="10">
        <f>Tabel110[[#This Row],[GW 2014]]+Tabel110[[#This Row],[SP 2014]]+Tabel110[[#This Row],[SFW 2014]]+Tabel110[[#This Row],[OS 2014]]+Tabel110[[#This Row],[I/E WATER 2014]]</f>
        <v>4273.3100000000004</v>
      </c>
      <c r="Y60" s="484">
        <f>Tabel110[[#This Row],[GW 2016]]+Tabel110[[#This Row],[SP 2016]]+Tabel110[[#This Row],[SFW 2016]]+Tabel110[[#This Row],[OS 2016]]+Tabel110[[#This Row],[I/E WATER 2016]]</f>
        <v>4080</v>
      </c>
    </row>
    <row r="61" spans="1:25" hidden="1" x14ac:dyDescent="0.25">
      <c r="A61" s="536" t="s">
        <v>27</v>
      </c>
      <c r="B61" s="11">
        <v>197</v>
      </c>
      <c r="C61" s="11">
        <v>174</v>
      </c>
      <c r="D61" s="11" t="s">
        <v>5</v>
      </c>
      <c r="E61" s="11">
        <v>221.42599999999999</v>
      </c>
      <c r="F61" s="239">
        <v>0</v>
      </c>
      <c r="G61" s="239">
        <v>0</v>
      </c>
      <c r="H61" s="436" t="s">
        <v>5</v>
      </c>
      <c r="I61" s="436">
        <v>0</v>
      </c>
      <c r="J61" s="437">
        <v>490</v>
      </c>
      <c r="K61" s="437">
        <v>521</v>
      </c>
      <c r="L61" s="437" t="s">
        <v>5</v>
      </c>
      <c r="M61" s="437">
        <v>665</v>
      </c>
      <c r="N61" s="439">
        <v>222</v>
      </c>
      <c r="O61" s="439">
        <v>175</v>
      </c>
      <c r="P61" s="439" t="s">
        <v>5</v>
      </c>
      <c r="Q61" s="439">
        <v>0</v>
      </c>
      <c r="R61" s="243">
        <v>0</v>
      </c>
      <c r="S61" s="243">
        <v>0</v>
      </c>
      <c r="T61" s="243" t="s">
        <v>5</v>
      </c>
      <c r="U61" s="243">
        <v>0</v>
      </c>
      <c r="V61" s="10">
        <f>Tabel110[[#This Row],[GW 2010]]+Tabel110[[#This Row],[SP 2010]]+Tabel110[[#This Row],[SFW 2010]]+Tabel110[[#This Row],[OS 2010]]+Tabel110[[#This Row],[I/E WATER 2010]]</f>
        <v>909</v>
      </c>
      <c r="W61" s="10">
        <f>Tabel110[[#This Row],[GW 2012]]+Tabel110[[#This Row],[SP 2012]]+Tabel110[[#This Row],[SFW 2012]]+Tabel110[[#This Row],[OS 2012]]+Tabel110[[#This Row],[I/E WATER 2012]]</f>
        <v>870</v>
      </c>
      <c r="X61" s="10" t="s">
        <v>5</v>
      </c>
      <c r="Y61" s="484">
        <f>Tabel110[[#This Row],[GW 2016]]+Tabel110[[#This Row],[SP 2016]]+Tabel110[[#This Row],[SFW 2016]]+Tabel110[[#This Row],[OS 2016]]+Tabel110[[#This Row],[I/E WATER 2016]]</f>
        <v>886.42599999999993</v>
      </c>
    </row>
    <row r="62" spans="1:25" hidden="1" x14ac:dyDescent="0.25">
      <c r="A62" s="536" t="s">
        <v>28</v>
      </c>
      <c r="B62" s="11">
        <v>382</v>
      </c>
      <c r="C62" s="11">
        <v>397</v>
      </c>
      <c r="D62" s="11">
        <v>376</v>
      </c>
      <c r="E62" s="11">
        <v>374</v>
      </c>
      <c r="F62" s="8">
        <v>369</v>
      </c>
      <c r="G62" s="8">
        <v>364</v>
      </c>
      <c r="H62" s="8">
        <v>360</v>
      </c>
      <c r="I62" s="8">
        <v>372</v>
      </c>
      <c r="J62" s="9">
        <v>189</v>
      </c>
      <c r="K62" s="9">
        <v>174</v>
      </c>
      <c r="L62" s="9">
        <v>165</v>
      </c>
      <c r="M62" s="9">
        <v>177</v>
      </c>
      <c r="N62" s="242">
        <v>0</v>
      </c>
      <c r="O62" s="242">
        <v>0</v>
      </c>
      <c r="P62" s="242">
        <v>0</v>
      </c>
      <c r="Q62" s="242">
        <v>0</v>
      </c>
      <c r="R62" s="243">
        <v>0</v>
      </c>
      <c r="S62" s="243">
        <v>0</v>
      </c>
      <c r="T62" s="243">
        <v>0</v>
      </c>
      <c r="U62" s="243">
        <v>0</v>
      </c>
      <c r="V62" s="10">
        <f>Tabel110[[#This Row],[GW 2010]]+Tabel110[[#This Row],[SP 2010]]+Tabel110[[#This Row],[SFW 2010]]+Tabel110[[#This Row],[OS 2010]]+Tabel110[[#This Row],[I/E WATER 2010]]</f>
        <v>940</v>
      </c>
      <c r="W62" s="10">
        <f>Tabel110[[#This Row],[GW 2012]]+Tabel110[[#This Row],[SP 2012]]+Tabel110[[#This Row],[SFW 2012]]+Tabel110[[#This Row],[OS 2012]]+Tabel110[[#This Row],[I/E WATER 2012]]</f>
        <v>935</v>
      </c>
      <c r="X62" s="10">
        <f>Tabel110[[#This Row],[GW 2014]]+Tabel110[[#This Row],[SP 2014]]+Tabel110[[#This Row],[SFW 2014]]+Tabel110[[#This Row],[OS 2014]]+Tabel110[[#This Row],[I/E WATER 2014]]</f>
        <v>901</v>
      </c>
      <c r="Y62" s="484">
        <f>Tabel110[[#This Row],[GW 2016]]+Tabel110[[#This Row],[SP 2016]]+Tabel110[[#This Row],[SFW 2016]]+Tabel110[[#This Row],[OS 2016]]+Tabel110[[#This Row],[I/E WATER 2016]]</f>
        <v>923</v>
      </c>
    </row>
    <row r="63" spans="1:25" hidden="1" x14ac:dyDescent="0.25">
      <c r="A63" s="251" t="s">
        <v>706</v>
      </c>
      <c r="B63" s="11" t="s">
        <v>5</v>
      </c>
      <c r="C63" s="11" t="s">
        <v>5</v>
      </c>
      <c r="D63" s="11">
        <v>26</v>
      </c>
      <c r="E63" s="11"/>
      <c r="F63" s="8" t="s">
        <v>5</v>
      </c>
      <c r="G63" s="8" t="s">
        <v>5</v>
      </c>
      <c r="H63" s="8">
        <v>23</v>
      </c>
      <c r="I63" s="8"/>
      <c r="J63" s="9" t="s">
        <v>5</v>
      </c>
      <c r="K63" s="9" t="s">
        <v>5</v>
      </c>
      <c r="L63" s="9">
        <v>89</v>
      </c>
      <c r="M63" s="9"/>
      <c r="N63" s="242" t="s">
        <v>5</v>
      </c>
      <c r="O63" s="242" t="s">
        <v>5</v>
      </c>
      <c r="P63" s="242">
        <v>0</v>
      </c>
      <c r="Q63" s="242"/>
      <c r="R63" s="243">
        <v>0</v>
      </c>
      <c r="S63" s="243">
        <v>0</v>
      </c>
      <c r="T63" s="243">
        <v>0</v>
      </c>
      <c r="U63" s="243"/>
      <c r="V63" s="10" t="s">
        <v>5</v>
      </c>
      <c r="W63" s="10" t="s">
        <v>5</v>
      </c>
      <c r="X63" s="10">
        <f>Tabel110[[#This Row],[GW 2014]]+Tabel110[[#This Row],[SP 2014]]+Tabel110[[#This Row],[SFW 2014]]+Tabel110[[#This Row],[OS 2014]]+Tabel110[[#This Row],[I/E WATER 2014]]</f>
        <v>138</v>
      </c>
      <c r="Y63" s="484">
        <f>Tabel110[[#This Row],[GW 2016]]+Tabel110[[#This Row],[SP 2016]]+Tabel110[[#This Row],[SFW 2016]]+Tabel110[[#This Row],[OS 2016]]+Tabel110[[#This Row],[I/E WATER 2016]]</f>
        <v>0</v>
      </c>
    </row>
    <row r="64" spans="1:25" hidden="1" x14ac:dyDescent="0.25">
      <c r="A64" s="251" t="s">
        <v>737</v>
      </c>
      <c r="B64" s="11" t="s">
        <v>5</v>
      </c>
      <c r="C64" s="11" t="s">
        <v>5</v>
      </c>
      <c r="D64" s="11">
        <v>27.908895999999999</v>
      </c>
      <c r="E64" s="11"/>
      <c r="F64" s="8" t="s">
        <v>5</v>
      </c>
      <c r="G64" s="8" t="s">
        <v>5</v>
      </c>
      <c r="H64" s="8">
        <v>0</v>
      </c>
      <c r="I64" s="8"/>
      <c r="J64" s="9" t="s">
        <v>5</v>
      </c>
      <c r="K64" s="9" t="s">
        <v>5</v>
      </c>
      <c r="L64" s="9">
        <v>1590.644812</v>
      </c>
      <c r="M64" s="9"/>
      <c r="N64" s="242" t="s">
        <v>5</v>
      </c>
      <c r="O64" s="242" t="s">
        <v>5</v>
      </c>
      <c r="P64" s="242">
        <v>4.0565259999999999</v>
      </c>
      <c r="Q64" s="242"/>
      <c r="R64" s="243" t="s">
        <v>5</v>
      </c>
      <c r="S64" s="243" t="s">
        <v>5</v>
      </c>
      <c r="T64" s="243">
        <v>0</v>
      </c>
      <c r="U64" s="243"/>
      <c r="V64" s="10" t="s">
        <v>5</v>
      </c>
      <c r="W64" s="10" t="s">
        <v>5</v>
      </c>
      <c r="X64" s="10">
        <f>Tabel110[[#This Row],[GW 2014]]+Tabel110[[#This Row],[SP 2014]]+Tabel110[[#This Row],[SFW 2014]]+Tabel110[[#This Row],[OS 2014]]+Tabel110[[#This Row],[I/E WATER 2014]]</f>
        <v>1622.610234</v>
      </c>
      <c r="Y64" s="484">
        <f>Tabel110[[#This Row],[GW 2016]]+Tabel110[[#This Row],[SP 2016]]+Tabel110[[#This Row],[SFW 2016]]+Tabel110[[#This Row],[OS 2016]]+Tabel110[[#This Row],[I/E WATER 2016]]</f>
        <v>0</v>
      </c>
    </row>
    <row r="65" spans="1:25" hidden="1" x14ac:dyDescent="0.25">
      <c r="A65" s="251" t="s">
        <v>29</v>
      </c>
      <c r="B65" s="11"/>
      <c r="C65" s="11"/>
      <c r="D65" s="11"/>
      <c r="E65" s="11"/>
      <c r="F65" s="8"/>
      <c r="G65" s="8"/>
      <c r="H65" s="8"/>
      <c r="I65" s="8"/>
      <c r="J65" s="9"/>
      <c r="K65" s="9"/>
      <c r="L65" s="9"/>
      <c r="M65" s="9"/>
      <c r="N65" s="242"/>
      <c r="O65" s="242"/>
      <c r="P65" s="242"/>
      <c r="Q65" s="242"/>
      <c r="R65" s="243"/>
      <c r="S65" s="243"/>
      <c r="T65" s="243"/>
      <c r="U65" s="243"/>
      <c r="V65" s="10">
        <f>Tabel110[[#This Row],[GW 2010]]+Tabel110[[#This Row],[SP 2010]]+Tabel110[[#This Row],[SFW 2010]]+Tabel110[[#This Row],[OS 2010]]+Tabel110[[#This Row],[I/E WATER 2010]]</f>
        <v>0</v>
      </c>
      <c r="W65" s="10">
        <f>Tabel110[[#This Row],[GW 2012]]+Tabel110[[#This Row],[SP 2012]]+Tabel110[[#This Row],[SFW 2012]]+Tabel110[[#This Row],[OS 2012]]+Tabel110[[#This Row],[I/E WATER 2012]]</f>
        <v>0</v>
      </c>
      <c r="X65" s="10">
        <f>Tabel110[[#This Row],[GW 2014]]+Tabel110[[#This Row],[SP 2014]]+Tabel110[[#This Row],[SFW 2014]]+Tabel110[[#This Row],[OS 2014]]+Tabel110[[#This Row],[I/E WATER 2014]]</f>
        <v>0</v>
      </c>
      <c r="Y65" s="484">
        <f>Tabel110[[#This Row],[GW 2016]]+Tabel110[[#This Row],[SP 2016]]+Tabel110[[#This Row],[SFW 2016]]+Tabel110[[#This Row],[OS 2016]]+Tabel110[[#This Row],[I/E WATER 2016]]</f>
        <v>0</v>
      </c>
    </row>
    <row r="66" spans="1:25" hidden="1" x14ac:dyDescent="0.25">
      <c r="A66" s="536" t="s">
        <v>927</v>
      </c>
      <c r="B66" s="11" t="s">
        <v>5</v>
      </c>
      <c r="C66" s="11" t="s">
        <v>5</v>
      </c>
      <c r="D66" s="11" t="s">
        <v>5</v>
      </c>
      <c r="E66" s="11">
        <v>1563.154</v>
      </c>
      <c r="F66" s="8" t="s">
        <v>5</v>
      </c>
      <c r="G66" s="8" t="s">
        <v>5</v>
      </c>
      <c r="H66" s="8" t="s">
        <v>5</v>
      </c>
      <c r="I66" s="8">
        <v>1000.205</v>
      </c>
      <c r="J66" s="9" t="s">
        <v>5</v>
      </c>
      <c r="K66" s="9" t="s">
        <v>5</v>
      </c>
      <c r="L66" s="9" t="s">
        <v>5</v>
      </c>
      <c r="M66" s="9">
        <v>3275.203</v>
      </c>
      <c r="N66" s="242" t="s">
        <v>5</v>
      </c>
      <c r="O66" s="242" t="s">
        <v>5</v>
      </c>
      <c r="P66" s="242" t="s">
        <v>5</v>
      </c>
      <c r="Q66" s="242">
        <v>0</v>
      </c>
      <c r="R66" s="243" t="s">
        <v>5</v>
      </c>
      <c r="S66" s="243" t="s">
        <v>5</v>
      </c>
      <c r="T66" s="243" t="s">
        <v>5</v>
      </c>
      <c r="U66" s="243">
        <v>0</v>
      </c>
      <c r="V66" s="10" t="s">
        <v>5</v>
      </c>
      <c r="W66" s="10" t="s">
        <v>5</v>
      </c>
      <c r="X66" s="10" t="s">
        <v>5</v>
      </c>
      <c r="Y66" s="484">
        <f>Tabel110[[#This Row],[GW 2016]]+Tabel110[[#This Row],[SP 2016]]+Tabel110[[#This Row],[SFW 2016]]+Tabel110[[#This Row],[OS 2016]]+Tabel110[[#This Row],[I/E WATER 2016]]</f>
        <v>5838.5619999999999</v>
      </c>
    </row>
    <row r="67" spans="1:25" hidden="1" x14ac:dyDescent="0.25">
      <c r="A67" s="536" t="s">
        <v>505</v>
      </c>
      <c r="B67" s="11" t="s">
        <v>5</v>
      </c>
      <c r="C67" s="11" t="s">
        <v>5</v>
      </c>
      <c r="D67" s="11">
        <v>2.5301719999999999</v>
      </c>
      <c r="E67" s="11">
        <f>138.522151-112.789568</f>
        <v>25.732583000000005</v>
      </c>
      <c r="F67" s="239">
        <v>0</v>
      </c>
      <c r="G67" s="469" t="s">
        <v>5</v>
      </c>
      <c r="H67" s="239">
        <v>0</v>
      </c>
      <c r="I67" s="239">
        <v>0</v>
      </c>
      <c r="J67" s="9" t="s">
        <v>5</v>
      </c>
      <c r="K67" s="9" t="s">
        <v>5</v>
      </c>
      <c r="L67" s="9">
        <v>97.082893999999996</v>
      </c>
      <c r="M67" s="9">
        <v>112.789568</v>
      </c>
      <c r="N67" s="242">
        <v>0</v>
      </c>
      <c r="O67" s="242" t="s">
        <v>5</v>
      </c>
      <c r="P67" s="242">
        <v>0</v>
      </c>
      <c r="Q67" s="242">
        <v>0</v>
      </c>
      <c r="R67" s="243">
        <v>0</v>
      </c>
      <c r="S67" s="243" t="s">
        <v>5</v>
      </c>
      <c r="T67" s="243">
        <v>0</v>
      </c>
      <c r="U67" s="243">
        <v>0</v>
      </c>
      <c r="V67" s="10">
        <v>72.14</v>
      </c>
      <c r="W67" s="10" t="s">
        <v>5</v>
      </c>
      <c r="X67" s="10">
        <f>Tabel110[[#This Row],[GW 2014]]+Tabel110[[#This Row],[SP 2014]]+Tabel110[[#This Row],[SFW 2014]]+Tabel110[[#This Row],[OS 2014]]+Tabel110[[#This Row],[I/E WATER 2014]]</f>
        <v>99.613065999999989</v>
      </c>
      <c r="Y67" s="484">
        <f>Tabel110[[#This Row],[GW 2016]]+Tabel110[[#This Row],[SP 2016]]+Tabel110[[#This Row],[SFW 2016]]+Tabel110[[#This Row],[OS 2016]]+Tabel110[[#This Row],[I/E WATER 2016]]</f>
        <v>138.52215100000001</v>
      </c>
    </row>
    <row r="68" spans="1:25" hidden="1" x14ac:dyDescent="0.25">
      <c r="A68" s="251" t="s">
        <v>318</v>
      </c>
      <c r="B68" s="11"/>
      <c r="C68" s="11"/>
      <c r="D68" s="11"/>
      <c r="E68" s="11"/>
      <c r="F68" s="239"/>
      <c r="G68" s="239"/>
      <c r="H68" s="239"/>
      <c r="I68" s="239"/>
      <c r="J68" s="9"/>
      <c r="K68" s="9"/>
      <c r="L68" s="9"/>
      <c r="M68" s="9"/>
      <c r="N68" s="242"/>
      <c r="O68" s="242"/>
      <c r="P68" s="242"/>
      <c r="Q68" s="242"/>
      <c r="R68" s="243"/>
      <c r="S68" s="243"/>
      <c r="T68" s="243"/>
      <c r="U68" s="243"/>
      <c r="V68" s="10">
        <f>Tabel110[[#This Row],[GW 2010]]+Tabel110[[#This Row],[SP 2010]]+Tabel110[[#This Row],[SFW 2010]]+Tabel110[[#This Row],[OS 2010]]+Tabel110[[#This Row],[I/E WATER 2010]]</f>
        <v>0</v>
      </c>
      <c r="W68" s="10">
        <f>Tabel110[[#This Row],[GW 2012]]+Tabel110[[#This Row],[SP 2012]]+Tabel110[[#This Row],[SFW 2012]]+Tabel110[[#This Row],[OS 2012]]+Tabel110[[#This Row],[I/E WATER 2012]]</f>
        <v>0</v>
      </c>
      <c r="X68" s="10">
        <f>Tabel110[[#This Row],[GW 2014]]+Tabel110[[#This Row],[SP 2014]]+Tabel110[[#This Row],[SFW 2014]]+Tabel110[[#This Row],[OS 2014]]+Tabel110[[#This Row],[I/E WATER 2014]]</f>
        <v>0</v>
      </c>
      <c r="Y68" s="484">
        <f>Tabel110[[#This Row],[GW 2016]]+Tabel110[[#This Row],[SP 2016]]+Tabel110[[#This Row],[SFW 2016]]+Tabel110[[#This Row],[OS 2016]]+Tabel110[[#This Row],[I/E WATER 2016]]</f>
        <v>0</v>
      </c>
    </row>
    <row r="69" spans="1:25" hidden="1" x14ac:dyDescent="0.25">
      <c r="A69" s="536" t="s">
        <v>31</v>
      </c>
      <c r="B69" s="11">
        <f>52169*29.8/100</f>
        <v>15546.361999999999</v>
      </c>
      <c r="C69" s="11">
        <v>11131.751496000001</v>
      </c>
      <c r="D69" s="11">
        <v>10389.898012</v>
      </c>
      <c r="E69" s="11">
        <v>21357.829862999999</v>
      </c>
      <c r="F69" s="239">
        <v>0</v>
      </c>
      <c r="G69" s="239">
        <v>0</v>
      </c>
      <c r="H69" s="239">
        <v>0</v>
      </c>
      <c r="I69" s="239">
        <v>0</v>
      </c>
      <c r="J69" s="9">
        <f>52169*50.4/100</f>
        <v>26293.175999999999</v>
      </c>
      <c r="K69" s="9">
        <v>36814.395531000002</v>
      </c>
      <c r="L69" s="9">
        <v>29763.211837999999</v>
      </c>
      <c r="M69" s="9">
        <v>28697.865395000001</v>
      </c>
      <c r="N69" s="13">
        <f>52169*19.8/100</f>
        <v>10329.462000000001</v>
      </c>
      <c r="O69" s="242">
        <v>0</v>
      </c>
      <c r="P69" s="13">
        <v>3439.039925</v>
      </c>
      <c r="Q69" s="13">
        <v>176.62464600000001</v>
      </c>
      <c r="R69" s="243">
        <v>0</v>
      </c>
      <c r="S69" s="243">
        <v>6776.3670179999999</v>
      </c>
      <c r="T69" s="243">
        <v>9048.8298049999994</v>
      </c>
      <c r="U69" s="243">
        <v>9201.5600190000005</v>
      </c>
      <c r="V69" s="10">
        <f>Tabel110[[#This Row],[GW 2010]]+Tabel110[[#This Row],[SP 2010]]+Tabel110[[#This Row],[SFW 2010]]+Tabel110[[#This Row],[OS 2010]]+Tabel110[[#This Row],[I/E WATER 2010]]</f>
        <v>52169</v>
      </c>
      <c r="W69" s="10">
        <f>Tabel110[[#This Row],[GW 2012]]+Tabel110[[#This Row],[SP 2012]]+Tabel110[[#This Row],[SFW 2012]]+Tabel110[[#This Row],[OS 2012]]+Tabel110[[#This Row],[I/E WATER 2012]]</f>
        <v>54722.514044999996</v>
      </c>
      <c r="X69" s="10">
        <f>Tabel110[[#This Row],[GW 2014]]+Tabel110[[#This Row],[SP 2014]]+Tabel110[[#This Row],[SFW 2014]]+Tabel110[[#This Row],[OS 2014]]+Tabel110[[#This Row],[I/E WATER 2014]]</f>
        <v>52640.979579999999</v>
      </c>
      <c r="Y69" s="484">
        <f>Tabel110[[#This Row],[GW 2016]]+Tabel110[[#This Row],[SP 2016]]+Tabel110[[#This Row],[SFW 2016]]+Tabel110[[#This Row],[OS 2016]]+Tabel110[[#This Row],[I/E WATER 2016]]</f>
        <v>59433.879923</v>
      </c>
    </row>
    <row r="70" spans="1:25" hidden="1" x14ac:dyDescent="0.25">
      <c r="A70" s="486" t="s">
        <v>718</v>
      </c>
      <c r="B70" s="11" t="s">
        <v>5</v>
      </c>
      <c r="C70" s="11" t="s">
        <v>5</v>
      </c>
      <c r="D70" s="11">
        <v>142.43</v>
      </c>
      <c r="E70" s="11"/>
      <c r="F70" s="239" t="s">
        <v>5</v>
      </c>
      <c r="G70" s="239" t="s">
        <v>5</v>
      </c>
      <c r="H70" s="239">
        <v>0</v>
      </c>
      <c r="I70" s="239"/>
      <c r="J70" s="9" t="s">
        <v>5</v>
      </c>
      <c r="K70" s="9" t="s">
        <v>5</v>
      </c>
      <c r="L70" s="9">
        <v>226.024</v>
      </c>
      <c r="M70" s="9"/>
      <c r="N70" s="242" t="s">
        <v>5</v>
      </c>
      <c r="O70" s="242" t="s">
        <v>5</v>
      </c>
      <c r="P70" s="242">
        <v>0</v>
      </c>
      <c r="Q70" s="242"/>
      <c r="R70" s="243" t="s">
        <v>5</v>
      </c>
      <c r="S70" s="243" t="s">
        <v>5</v>
      </c>
      <c r="T70" s="243">
        <v>0</v>
      </c>
      <c r="U70" s="243"/>
      <c r="V70" s="10" t="s">
        <v>5</v>
      </c>
      <c r="W70" s="10" t="s">
        <v>5</v>
      </c>
      <c r="X70" s="10">
        <f>Tabel110[[#This Row],[GW 2014]]+Tabel110[[#This Row],[SP 2014]]+Tabel110[[#This Row],[SFW 2014]]+Tabel110[[#This Row],[OS 2014]]+Tabel110[[#This Row],[I/E WATER 2014]]</f>
        <v>368.45400000000001</v>
      </c>
      <c r="Y70" s="484">
        <f>Tabel110[[#This Row],[GW 2016]]+Tabel110[[#This Row],[SP 2016]]+Tabel110[[#This Row],[SFW 2016]]+Tabel110[[#This Row],[OS 2016]]+Tabel110[[#This Row],[I/E WATER 2016]]</f>
        <v>0</v>
      </c>
    </row>
    <row r="71" spans="1:25" x14ac:dyDescent="0.25">
      <c r="A71" s="2"/>
      <c r="B71" s="2"/>
      <c r="C71" s="2"/>
      <c r="D71" s="2"/>
      <c r="E71" s="2"/>
    </row>
    <row r="72" spans="1:25" x14ac:dyDescent="0.25">
      <c r="A72" s="22"/>
      <c r="B72" s="2"/>
      <c r="C72" s="2"/>
      <c r="D72" s="2"/>
      <c r="E72" s="2"/>
    </row>
    <row r="73" spans="1:25" ht="37.5" customHeight="1" x14ac:dyDescent="0.25">
      <c r="B73" s="844" t="s">
        <v>649</v>
      </c>
      <c r="C73" s="844"/>
      <c r="D73" s="1737" t="s">
        <v>649</v>
      </c>
      <c r="E73" s="1737"/>
      <c r="F73" s="845"/>
      <c r="G73" s="845"/>
      <c r="H73" s="1738" t="s">
        <v>0</v>
      </c>
      <c r="I73" s="1738"/>
      <c r="J73" s="846"/>
      <c r="K73" s="846"/>
      <c r="L73" s="1739" t="s">
        <v>321</v>
      </c>
      <c r="M73" s="1739"/>
      <c r="N73" s="847"/>
      <c r="O73" s="847"/>
      <c r="P73" s="1740" t="s">
        <v>1</v>
      </c>
      <c r="Q73" s="1740"/>
      <c r="R73" s="848"/>
      <c r="S73" s="848"/>
      <c r="T73" s="1741" t="s">
        <v>1164</v>
      </c>
      <c r="U73" s="1741"/>
      <c r="V73" s="849"/>
      <c r="W73" s="849"/>
      <c r="X73" s="1736" t="s">
        <v>2</v>
      </c>
      <c r="Y73" s="1736"/>
    </row>
    <row r="74" spans="1:25" s="14" customFormat="1" ht="34.15" customHeight="1" thickBot="1" x14ac:dyDescent="0.3">
      <c r="A74" s="14" t="s">
        <v>3</v>
      </c>
      <c r="B74" s="5" t="s">
        <v>221</v>
      </c>
      <c r="C74" s="5" t="s">
        <v>559</v>
      </c>
      <c r="D74" s="861" t="s">
        <v>1169</v>
      </c>
      <c r="E74" s="861" t="s">
        <v>1170</v>
      </c>
      <c r="F74" s="6" t="s">
        <v>222</v>
      </c>
      <c r="G74" s="6" t="s">
        <v>560</v>
      </c>
      <c r="H74" s="862" t="s">
        <v>1171</v>
      </c>
      <c r="I74" s="862" t="s">
        <v>1172</v>
      </c>
      <c r="J74" s="3" t="s">
        <v>223</v>
      </c>
      <c r="K74" s="3" t="s">
        <v>561</v>
      </c>
      <c r="L74" s="863" t="s">
        <v>1173</v>
      </c>
      <c r="M74" s="863" t="s">
        <v>1174</v>
      </c>
      <c r="N74" s="12" t="s">
        <v>224</v>
      </c>
      <c r="O74" s="12" t="s">
        <v>562</v>
      </c>
      <c r="P74" s="864" t="s">
        <v>1175</v>
      </c>
      <c r="Q74" s="864" t="s">
        <v>1176</v>
      </c>
      <c r="R74" s="72" t="s">
        <v>1165</v>
      </c>
      <c r="S74" s="72" t="s">
        <v>1166</v>
      </c>
      <c r="T74" s="865" t="s">
        <v>1177</v>
      </c>
      <c r="U74" s="865" t="s">
        <v>1178</v>
      </c>
      <c r="V74" s="7" t="s">
        <v>225</v>
      </c>
      <c r="W74" s="7" t="s">
        <v>564</v>
      </c>
      <c r="X74" s="7" t="s">
        <v>652</v>
      </c>
      <c r="Y74" s="485" t="s">
        <v>786</v>
      </c>
    </row>
    <row r="75" spans="1:25" x14ac:dyDescent="0.25">
      <c r="A75" s="850" t="s">
        <v>33</v>
      </c>
      <c r="B75" s="15">
        <v>86.086065000000005</v>
      </c>
      <c r="C75" s="15" t="s">
        <v>5</v>
      </c>
      <c r="D75" s="15" t="s">
        <v>5</v>
      </c>
      <c r="E75" s="15">
        <v>3075.575112</v>
      </c>
      <c r="F75" s="239">
        <v>0</v>
      </c>
      <c r="G75" s="16" t="s">
        <v>5</v>
      </c>
      <c r="H75" s="16" t="s">
        <v>5</v>
      </c>
      <c r="I75" s="856">
        <v>0</v>
      </c>
      <c r="J75" s="9">
        <v>1684.5287169999999</v>
      </c>
      <c r="K75" s="9" t="s">
        <v>5</v>
      </c>
      <c r="L75" s="9" t="s">
        <v>5</v>
      </c>
      <c r="M75" s="9">
        <v>2495.3409369999999</v>
      </c>
      <c r="N75" s="242">
        <v>0</v>
      </c>
      <c r="O75" s="13" t="s">
        <v>5</v>
      </c>
      <c r="P75" s="13" t="s">
        <v>5</v>
      </c>
      <c r="Q75" s="242">
        <v>0</v>
      </c>
      <c r="R75" s="243">
        <v>0</v>
      </c>
      <c r="S75" s="243" t="s">
        <v>5</v>
      </c>
      <c r="T75" s="243" t="s">
        <v>5</v>
      </c>
      <c r="U75" s="859">
        <v>0</v>
      </c>
      <c r="V75" s="10">
        <f>Tabel11011[[#This Row],[GW 2010]]+Tabel11011[[#This Row],[SP 2010]]+Tabel11011[[#This Row],[SFW 2010]]+Tabel11011[[#This Row],[OS 2010]]+Tabel11011[[#This Row],[I WATER 2010]]</f>
        <v>1770.6147819999999</v>
      </c>
      <c r="W75" s="10" t="s">
        <v>5</v>
      </c>
      <c r="X75" s="10" t="s">
        <v>5</v>
      </c>
      <c r="Y75" s="484">
        <f>Tabel11011[[#This Row],[groundwater
 2016]]+Tabel11011[[#This Row],[springwater
 2016]]+Tabel11011[[#This Row],[surface water
 2016]]+Tabel11011[[#This Row],[other sources
 2016]]+Tabel11011[[#This Row],[imported water
 2016]]</f>
        <v>5570.9160489999995</v>
      </c>
    </row>
    <row r="76" spans="1:25" x14ac:dyDescent="0.25">
      <c r="A76" s="850" t="s">
        <v>524</v>
      </c>
      <c r="B76" s="15">
        <v>119.20608</v>
      </c>
      <c r="C76" s="15" t="s">
        <v>5</v>
      </c>
      <c r="D76" s="15" t="s">
        <v>5</v>
      </c>
      <c r="E76" s="15" t="s">
        <v>5</v>
      </c>
      <c r="F76" s="16">
        <v>420.661858</v>
      </c>
      <c r="G76" s="16" t="s">
        <v>5</v>
      </c>
      <c r="H76" s="16" t="s">
        <v>5</v>
      </c>
      <c r="I76" s="16">
        <v>460.7</v>
      </c>
      <c r="J76" s="9">
        <v>27.780062000000001</v>
      </c>
      <c r="K76" s="9" t="s">
        <v>5</v>
      </c>
      <c r="L76" s="9" t="s">
        <v>5</v>
      </c>
      <c r="M76" s="9">
        <v>19.100000000000001</v>
      </c>
      <c r="N76" s="242">
        <v>0</v>
      </c>
      <c r="O76" s="13" t="s">
        <v>5</v>
      </c>
      <c r="P76" s="13" t="s">
        <v>5</v>
      </c>
      <c r="Q76" s="13" t="s">
        <v>5</v>
      </c>
      <c r="R76" s="243">
        <v>0</v>
      </c>
      <c r="S76" s="243" t="s">
        <v>5</v>
      </c>
      <c r="T76" s="243" t="s">
        <v>5</v>
      </c>
      <c r="U76" s="243" t="s">
        <v>5</v>
      </c>
      <c r="V76" s="10">
        <f>Tabel11011[[#This Row],[GW 2010]]+Tabel11011[[#This Row],[SP 2010]]+Tabel11011[[#This Row],[SFW 2010]]+Tabel11011[[#This Row],[OS 2010]]+Tabel11011[[#This Row],[I WATER 2010]]</f>
        <v>567.64800000000002</v>
      </c>
      <c r="W76" s="10" t="s">
        <v>5</v>
      </c>
      <c r="X76" s="10" t="s">
        <v>5</v>
      </c>
      <c r="Y76" s="484">
        <v>479.8</v>
      </c>
    </row>
    <row r="77" spans="1:25" x14ac:dyDescent="0.25">
      <c r="A77" s="850" t="s">
        <v>34</v>
      </c>
      <c r="B77" s="15">
        <v>218.33969999999999</v>
      </c>
      <c r="C77" s="15" t="s">
        <v>5</v>
      </c>
      <c r="D77" s="15">
        <v>242.54</v>
      </c>
      <c r="E77" s="15" t="s">
        <v>5</v>
      </c>
      <c r="F77" s="239">
        <v>0</v>
      </c>
      <c r="G77" s="16" t="s">
        <v>5</v>
      </c>
      <c r="H77" s="856">
        <v>0</v>
      </c>
      <c r="I77" s="856" t="s">
        <v>5</v>
      </c>
      <c r="J77" s="9">
        <v>2066.6840000000002</v>
      </c>
      <c r="K77" s="9" t="s">
        <v>5</v>
      </c>
      <c r="L77" s="9">
        <v>2671.81</v>
      </c>
      <c r="M77" s="9" t="s">
        <v>5</v>
      </c>
      <c r="N77" s="13">
        <v>159.54150000000001</v>
      </c>
      <c r="O77" s="13" t="s">
        <v>5</v>
      </c>
      <c r="P77" s="13">
        <v>297.73899999999998</v>
      </c>
      <c r="Q77" s="13" t="s">
        <v>5</v>
      </c>
      <c r="R77" s="243" t="s">
        <v>5</v>
      </c>
      <c r="S77" s="243" t="s">
        <v>5</v>
      </c>
      <c r="T77" s="859">
        <v>0</v>
      </c>
      <c r="U77" s="243" t="s">
        <v>5</v>
      </c>
      <c r="V77" s="10">
        <f>Tabel11011[[#This Row],[GW 2010]]+Tabel11011[[#This Row],[SP 2010]]+Tabel11011[[#This Row],[SFW 2010]]+Tabel11011[[#This Row],[OS 2010]]</f>
        <v>2444.5652</v>
      </c>
      <c r="W77" s="10" t="s">
        <v>5</v>
      </c>
      <c r="X77" s="10">
        <f>Tabel11011[[#This Row],[groundwater
 2014]]+Tabel11011[[#This Row],[springwater
 2014]]+Tabel11011[[#This Row],[surface water
 2014]]+Tabel11011[[#This Row],[other sources
 2014]]+Tabel11011[[#This Row],[imported water
 2014]]</f>
        <v>3212.0889999999999</v>
      </c>
      <c r="Y77" s="10" t="s">
        <v>5</v>
      </c>
    </row>
    <row r="78" spans="1:25" x14ac:dyDescent="0.25">
      <c r="A78" s="251" t="s">
        <v>4</v>
      </c>
      <c r="B78" s="11">
        <v>355</v>
      </c>
      <c r="C78" s="11">
        <v>325</v>
      </c>
      <c r="D78" s="11" t="s">
        <v>5</v>
      </c>
      <c r="E78" s="11">
        <v>319</v>
      </c>
      <c r="F78" s="8">
        <v>446</v>
      </c>
      <c r="G78" s="8">
        <v>472</v>
      </c>
      <c r="H78" s="8" t="s">
        <v>5</v>
      </c>
      <c r="I78" s="8">
        <v>507</v>
      </c>
      <c r="J78" s="241">
        <v>0</v>
      </c>
      <c r="K78" s="241">
        <v>0</v>
      </c>
      <c r="L78" s="855" t="s">
        <v>5</v>
      </c>
      <c r="M78" s="241">
        <v>0</v>
      </c>
      <c r="N78" s="242">
        <v>0</v>
      </c>
      <c r="O78" s="242">
        <v>0</v>
      </c>
      <c r="P78" s="242" t="s">
        <v>5</v>
      </c>
      <c r="Q78" s="242">
        <v>0</v>
      </c>
      <c r="R78" s="243">
        <v>0</v>
      </c>
      <c r="S78" s="243">
        <v>0</v>
      </c>
      <c r="T78" s="243" t="s">
        <v>5</v>
      </c>
      <c r="U78" s="859">
        <v>0</v>
      </c>
      <c r="V78" s="10">
        <f>Tabel11011[[#This Row],[GW 2010]]+Tabel11011[[#This Row],[SP 2010]]+Tabel11011[[#This Row],[SFW 2010]]+Tabel11011[[#This Row],[OS 2010]]+Tabel11011[[#This Row],[I WATER 2010]]</f>
        <v>801</v>
      </c>
      <c r="W78" s="10">
        <f>Tabel11011[[#This Row],[GW 2012]]+Tabel11011[[#This Row],[SP 2012]]+Tabel11011[[#This Row],[SFW 2012]]+Tabel11011[[#This Row],[OS 2012]]+Tabel11011[[#This Row],[I WATER 2012]]</f>
        <v>797</v>
      </c>
      <c r="X78" s="10" t="s">
        <v>5</v>
      </c>
      <c r="Y78" s="484">
        <f>Tabel11011[[#This Row],[groundwater
 2016]]+Tabel11011[[#This Row],[springwater
 2016]]+Tabel11011[[#This Row],[surface water
 2016]]+Tabel11011[[#This Row],[other sources
 2016]]+Tabel11011[[#This Row],[imported water
 2016]]-160</f>
        <v>666</v>
      </c>
    </row>
    <row r="79" spans="1:25" x14ac:dyDescent="0.25">
      <c r="A79" s="251" t="s">
        <v>6</v>
      </c>
      <c r="B79" s="11">
        <v>472.50900000000001</v>
      </c>
      <c r="C79" s="11">
        <v>452.76901199999998</v>
      </c>
      <c r="D79" s="11">
        <v>446.19766299999998</v>
      </c>
      <c r="E79" s="11">
        <v>449.68650700000001</v>
      </c>
      <c r="F79" s="239">
        <v>0</v>
      </c>
      <c r="G79" s="239">
        <v>0</v>
      </c>
      <c r="H79" s="239">
        <v>0</v>
      </c>
      <c r="I79" s="239">
        <v>0</v>
      </c>
      <c r="J79" s="9">
        <v>253.27699999999999</v>
      </c>
      <c r="K79" s="9">
        <v>258.09054700000002</v>
      </c>
      <c r="L79" s="9">
        <v>242.040504</v>
      </c>
      <c r="M79" s="9">
        <v>253.13138599999999</v>
      </c>
      <c r="N79" s="242">
        <v>0</v>
      </c>
      <c r="O79" s="242">
        <v>0</v>
      </c>
      <c r="P79" s="242">
        <v>0</v>
      </c>
      <c r="Q79" s="242">
        <v>0</v>
      </c>
      <c r="R79" s="243">
        <v>0</v>
      </c>
      <c r="S79" s="243">
        <v>3.339343</v>
      </c>
      <c r="T79" s="859">
        <v>2.8199230000000002</v>
      </c>
      <c r="U79" s="859">
        <v>2.8893550000000001</v>
      </c>
      <c r="V79" s="10">
        <f>Tabel11011[[#This Row],[GW 2010]]+Tabel11011[[#This Row],[SP 2010]]+Tabel11011[[#This Row],[SFW 2010]]+Tabel11011[[#This Row],[OS 2010]]+Tabel11011[[#This Row],[I WATER 2010]]</f>
        <v>725.78600000000006</v>
      </c>
      <c r="W79" s="10">
        <f>Tabel11011[[#This Row],[GW 2012]]+Tabel11011[[#This Row],[SP 2012]]+Tabel11011[[#This Row],[SFW 2012]]+Tabel11011[[#This Row],[OS 2012]]+Tabel11011[[#This Row],[I WATER 2012]]</f>
        <v>714.19890199999998</v>
      </c>
      <c r="X79" s="10">
        <f>Tabel11011[[#This Row],[groundwater
 2014]]+Tabel11011[[#This Row],[springwater
 2014]]+Tabel11011[[#This Row],[surface water
 2014]]+Tabel11011[[#This Row],[other sources
 2014]]+Tabel11011[[#This Row],[imported water
 2014]]</f>
        <v>691.05808999999999</v>
      </c>
      <c r="Y79" s="484">
        <f>Tabel11011[[#This Row],[groundwater
 2016]]+Tabel11011[[#This Row],[springwater
 2016]]+Tabel11011[[#This Row],[surface water
 2016]]+Tabel11011[[#This Row],[other sources
 2016]]+Tabel11011[[#This Row],[imported water
 2016]]</f>
        <v>705.70724800000005</v>
      </c>
    </row>
    <row r="80" spans="1:25" x14ac:dyDescent="0.25">
      <c r="A80" s="251" t="s">
        <v>49</v>
      </c>
      <c r="B80" s="11" t="s">
        <v>5</v>
      </c>
      <c r="C80" s="11" t="s">
        <v>5</v>
      </c>
      <c r="D80" s="11" t="s">
        <v>5</v>
      </c>
      <c r="E80" s="11" t="s">
        <v>5</v>
      </c>
      <c r="F80" s="8" t="s">
        <v>5</v>
      </c>
      <c r="G80" s="8" t="s">
        <v>5</v>
      </c>
      <c r="H80" s="8" t="s">
        <v>5</v>
      </c>
      <c r="I80" s="8" t="s">
        <v>5</v>
      </c>
      <c r="J80" s="9" t="s">
        <v>5</v>
      </c>
      <c r="K80" s="9" t="s">
        <v>5</v>
      </c>
      <c r="L80" s="9" t="s">
        <v>5</v>
      </c>
      <c r="M80" s="9" t="s">
        <v>5</v>
      </c>
      <c r="N80" s="13" t="s">
        <v>5</v>
      </c>
      <c r="O80" s="13" t="s">
        <v>5</v>
      </c>
      <c r="P80" s="13" t="s">
        <v>5</v>
      </c>
      <c r="Q80" s="13" t="s">
        <v>5</v>
      </c>
      <c r="R80" s="243">
        <v>0</v>
      </c>
      <c r="S80" s="243">
        <v>0</v>
      </c>
      <c r="T80" s="859">
        <v>0</v>
      </c>
      <c r="U80" s="859">
        <v>0</v>
      </c>
      <c r="V80" s="10">
        <v>14518.11</v>
      </c>
      <c r="W80" s="10">
        <v>15423.936</v>
      </c>
      <c r="X80" s="10">
        <v>15991.237999999999</v>
      </c>
      <c r="Y80" s="484">
        <v>15381.099</v>
      </c>
    </row>
    <row r="81" spans="1:25" x14ac:dyDescent="0.25">
      <c r="A81" s="251" t="s">
        <v>7</v>
      </c>
      <c r="B81" s="11" t="s">
        <v>5</v>
      </c>
      <c r="C81" s="11">
        <v>446.2</v>
      </c>
      <c r="D81" s="11" t="s">
        <v>5</v>
      </c>
      <c r="E81" s="11" t="s">
        <v>5</v>
      </c>
      <c r="F81" s="8" t="s">
        <v>5</v>
      </c>
      <c r="G81" s="239">
        <v>0</v>
      </c>
      <c r="H81" s="239" t="s">
        <v>5</v>
      </c>
      <c r="I81" s="239" t="s">
        <v>5</v>
      </c>
      <c r="J81" s="9" t="s">
        <v>5</v>
      </c>
      <c r="K81" s="9">
        <v>487.62</v>
      </c>
      <c r="L81" s="9" t="s">
        <v>5</v>
      </c>
      <c r="M81" s="9" t="s">
        <v>5</v>
      </c>
      <c r="N81" s="13" t="s">
        <v>5</v>
      </c>
      <c r="O81" s="242">
        <v>0</v>
      </c>
      <c r="P81" s="482" t="s">
        <v>5</v>
      </c>
      <c r="Q81" s="482" t="s">
        <v>5</v>
      </c>
      <c r="R81" s="243" t="s">
        <v>5</v>
      </c>
      <c r="S81" s="243">
        <v>0</v>
      </c>
      <c r="T81" s="243" t="s">
        <v>5</v>
      </c>
      <c r="U81" s="243" t="s">
        <v>5</v>
      </c>
      <c r="V81" s="10">
        <v>800.34833800000001</v>
      </c>
      <c r="W81" s="10">
        <f>Tabel11011[[#This Row],[GW 2012]]+Tabel11011[[#This Row],[SP 2012]]+Tabel11011[[#This Row],[SFW 2012]]+Tabel11011[[#This Row],[OS 2012]]+Tabel11011[[#This Row],[I WATER 2012]]</f>
        <v>933.81999999999994</v>
      </c>
      <c r="X81" s="10" t="s">
        <v>5</v>
      </c>
      <c r="Y81" s="484">
        <v>890.44546300000002</v>
      </c>
    </row>
    <row r="82" spans="1:25" x14ac:dyDescent="0.25">
      <c r="A82" s="251" t="s">
        <v>343</v>
      </c>
      <c r="B82" s="11">
        <v>46.135725999999998</v>
      </c>
      <c r="C82" s="11">
        <v>79.261019000000005</v>
      </c>
      <c r="D82" s="11">
        <v>81.0916</v>
      </c>
      <c r="E82" s="11">
        <v>104.145</v>
      </c>
      <c r="F82" s="239">
        <v>0</v>
      </c>
      <c r="G82" s="239">
        <v>0</v>
      </c>
      <c r="H82" s="239">
        <v>0</v>
      </c>
      <c r="I82" s="239">
        <v>0</v>
      </c>
      <c r="J82" s="9">
        <v>1789.564658</v>
      </c>
      <c r="K82" s="9">
        <v>1260.971528</v>
      </c>
      <c r="L82" s="9">
        <v>1270.8399999999999</v>
      </c>
      <c r="M82" s="9">
        <v>1626.597</v>
      </c>
      <c r="N82" s="242">
        <v>0</v>
      </c>
      <c r="O82" s="242">
        <v>0</v>
      </c>
      <c r="P82" s="242">
        <v>0</v>
      </c>
      <c r="Q82" s="242">
        <v>0</v>
      </c>
      <c r="R82" s="243">
        <v>0</v>
      </c>
      <c r="S82" s="243">
        <v>0</v>
      </c>
      <c r="T82" s="859">
        <v>0</v>
      </c>
      <c r="U82" s="859">
        <v>0</v>
      </c>
      <c r="V82" s="10">
        <f>Tabel11011[[#This Row],[GW 2010]]+Tabel11011[[#This Row],[SP 2010]]+Tabel11011[[#This Row],[SFW 2010]]+Tabel11011[[#This Row],[OS 2010]]+Tabel11011[[#This Row],[I WATER 2010]]</f>
        <v>1835.700384</v>
      </c>
      <c r="W82" s="10">
        <f>Tabel11011[[#This Row],[GW 2012]]+Tabel11011[[#This Row],[SP 2012]]+Tabel11011[[#This Row],[SFW 2012]]+Tabel11011[[#This Row],[OS 2012]]+Tabel11011[[#This Row],[I WATER 2012]]</f>
        <v>1340.2325470000001</v>
      </c>
      <c r="X82" s="10">
        <f>Tabel11011[[#This Row],[groundwater
 2014]]+Tabel11011[[#This Row],[springwater
 2014]]+Tabel11011[[#This Row],[surface water
 2014]]+Tabel11011[[#This Row],[other sources
 2014]]+Tabel11011[[#This Row],[imported water
 2014]]</f>
        <v>1351.9315999999999</v>
      </c>
      <c r="Y82" s="484">
        <f>Tabel11011[[#This Row],[groundwater
 2016]]+Tabel11011[[#This Row],[springwater
 2016]]+Tabel11011[[#This Row],[surface water
 2016]]+Tabel11011[[#This Row],[other sources
 2016]]+Tabel11011[[#This Row],[imported water
 2016]]</f>
        <v>1730.742</v>
      </c>
    </row>
    <row r="83" spans="1:25" x14ac:dyDescent="0.25">
      <c r="A83" s="251" t="s">
        <v>1380</v>
      </c>
      <c r="B83" s="11"/>
      <c r="C83" s="11"/>
      <c r="D83" s="11">
        <v>712.07558800000004</v>
      </c>
      <c r="E83" s="11" t="s">
        <v>5</v>
      </c>
      <c r="F83" s="239">
        <v>0</v>
      </c>
      <c r="G83" s="239" t="s">
        <v>5</v>
      </c>
      <c r="H83" s="239">
        <v>0</v>
      </c>
      <c r="I83" s="239" t="s">
        <v>5</v>
      </c>
      <c r="J83" s="9">
        <v>960</v>
      </c>
      <c r="K83" s="9" t="s">
        <v>5</v>
      </c>
      <c r="L83" s="9">
        <v>938.34711800000002</v>
      </c>
      <c r="M83" s="9" t="s">
        <v>5</v>
      </c>
      <c r="N83" s="242">
        <v>0</v>
      </c>
      <c r="O83" s="242" t="s">
        <v>5</v>
      </c>
      <c r="P83" s="242">
        <v>20.110562000000002</v>
      </c>
      <c r="Q83" s="482" t="s">
        <v>5</v>
      </c>
      <c r="R83" s="243">
        <v>0</v>
      </c>
      <c r="S83" s="243" t="s">
        <v>5</v>
      </c>
      <c r="T83" s="859">
        <v>0</v>
      </c>
      <c r="U83" s="243" t="s">
        <v>5</v>
      </c>
      <c r="V83" s="10">
        <f>Tabel11011[[#This Row],[GW 2010]]+Tabel11011[[#This Row],[SP 2010]]+Tabel11011[[#This Row],[SFW 2010]]+Tabel11011[[#This Row],[OS 2010]]+Tabel11011[[#This Row],[I WATER 2010]]</f>
        <v>960</v>
      </c>
      <c r="W83" s="10" t="e">
        <f>Tabel11011[[#This Row],[GW 2012]]+Tabel11011[[#This Row],[SP 2012]]+Tabel11011[[#This Row],[SFW 2012]]+Tabel11011[[#This Row],[OS 2012]]+Tabel11011[[#This Row],[I WATER 2012]]</f>
        <v>#VALUE!</v>
      </c>
      <c r="X83" s="10">
        <f>Tabel11011[[#This Row],[groundwater
 2014]]+Tabel11011[[#This Row],[springwater
 2014]]+Tabel11011[[#This Row],[surface water
 2014]]+Tabel11011[[#This Row],[other sources
 2014]]+Tabel11011[[#This Row],[imported water
 2014]]</f>
        <v>1670.5332680000001</v>
      </c>
      <c r="Y83" s="10" t="s">
        <v>5</v>
      </c>
    </row>
    <row r="84" spans="1:25" x14ac:dyDescent="0.25">
      <c r="A84" s="251" t="s">
        <v>585</v>
      </c>
      <c r="B84" s="240">
        <v>0</v>
      </c>
      <c r="C84" s="240">
        <v>0</v>
      </c>
      <c r="D84" s="240">
        <v>0</v>
      </c>
      <c r="E84" s="240">
        <v>0</v>
      </c>
      <c r="F84" s="239">
        <v>0</v>
      </c>
      <c r="G84" s="239">
        <v>0</v>
      </c>
      <c r="H84" s="239">
        <v>0</v>
      </c>
      <c r="I84" s="239">
        <v>0</v>
      </c>
      <c r="J84" s="9">
        <v>228.02</v>
      </c>
      <c r="K84" s="9">
        <v>217.22</v>
      </c>
      <c r="L84" s="9">
        <v>228.01</v>
      </c>
      <c r="M84" s="9">
        <v>358.08</v>
      </c>
      <c r="N84" s="242">
        <v>0</v>
      </c>
      <c r="O84" s="242">
        <v>0</v>
      </c>
      <c r="P84" s="242">
        <v>0</v>
      </c>
      <c r="Q84" s="242">
        <v>0</v>
      </c>
      <c r="R84" s="243">
        <v>680.79</v>
      </c>
      <c r="S84" s="243">
        <v>709.2</v>
      </c>
      <c r="T84" s="859">
        <v>724.48</v>
      </c>
      <c r="U84" s="859">
        <v>629.14</v>
      </c>
      <c r="V84" s="10">
        <f>Tabel11011[[#This Row],[GW 2010]]+Tabel11011[[#This Row],[SP 2010]]+Tabel11011[[#This Row],[SFW 2010]]+Tabel11011[[#This Row],[OS 2010]]+Tabel11011[[#This Row],[I WATER 2010]]</f>
        <v>908.81</v>
      </c>
      <c r="W84" s="10">
        <f>Tabel11011[[#This Row],[GW 2012]]+Tabel11011[[#This Row],[SP 2012]]+Tabel11011[[#This Row],[SFW 2012]]+Tabel11011[[#This Row],[OS 2012]]+Tabel11011[[#This Row],[I WATER 2012]]</f>
        <v>926.42000000000007</v>
      </c>
      <c r="X84" s="10">
        <f>Tabel11011[[#This Row],[groundwater
 2014]]+Tabel11011[[#This Row],[springwater
 2014]]+Tabel11011[[#This Row],[surface water
 2014]]+Tabel11011[[#This Row],[other sources
 2014]]+Tabel11011[[#This Row],[imported water
 2014]]</f>
        <v>952.49</v>
      </c>
      <c r="Y84" s="484">
        <f>Tabel11011[[#This Row],[groundwater
 2016]]+Tabel11011[[#This Row],[springwater
 2016]]+Tabel11011[[#This Row],[surface water
 2016]]+Tabel11011[[#This Row],[other sources
 2016]]+Tabel11011[[#This Row],[imported water
 2016]]</f>
        <v>987.22</v>
      </c>
    </row>
    <row r="85" spans="1:25" x14ac:dyDescent="0.25">
      <c r="A85" s="251" t="s">
        <v>9</v>
      </c>
      <c r="B85" s="11">
        <v>464.96</v>
      </c>
      <c r="C85" s="11">
        <v>448.49180000000001</v>
      </c>
      <c r="D85" s="11">
        <v>965.95600000000002</v>
      </c>
      <c r="E85" s="11">
        <v>915.43600000000004</v>
      </c>
      <c r="F85" s="8">
        <v>5.84</v>
      </c>
      <c r="G85" s="8">
        <v>5.84</v>
      </c>
      <c r="H85" s="8">
        <v>5.2359999999999998</v>
      </c>
      <c r="I85" s="8">
        <v>5.6574999999999998</v>
      </c>
      <c r="J85" s="9">
        <v>3954.636</v>
      </c>
      <c r="K85" s="9">
        <v>3507.8493539999999</v>
      </c>
      <c r="L85" s="9">
        <v>4474.3860000000004</v>
      </c>
      <c r="M85" s="9">
        <v>4474.0529999999999</v>
      </c>
      <c r="N85" s="242">
        <v>0</v>
      </c>
      <c r="O85" s="242">
        <v>0</v>
      </c>
      <c r="P85" s="242">
        <v>10.030200000000001</v>
      </c>
      <c r="Q85" s="242">
        <v>20.880700000000001</v>
      </c>
      <c r="R85" s="243">
        <v>0</v>
      </c>
      <c r="S85" s="243">
        <v>0</v>
      </c>
      <c r="T85" s="859">
        <v>3.3456E-2</v>
      </c>
      <c r="U85" s="859">
        <v>0</v>
      </c>
      <c r="V85" s="10">
        <f>Tabel11011[[#This Row],[GW 2010]]+Tabel11011[[#This Row],[SP 2010]]+Tabel11011[[#This Row],[SFW 2010]]+Tabel11011[[#This Row],[OS 2010]]+Tabel11011[[#This Row],[I WATER 2010]]</f>
        <v>4425.4359999999997</v>
      </c>
      <c r="W85" s="10">
        <f>Tabel11011[[#This Row],[GW 2012]]+Tabel11011[[#This Row],[SP 2012]]+Tabel11011[[#This Row],[SFW 2012]]+Tabel11011[[#This Row],[OS 2012]]+Tabel11011[[#This Row],[I WATER 2012]]</f>
        <v>3962.1811539999999</v>
      </c>
      <c r="X85" s="10">
        <f>Tabel11011[[#This Row],[groundwater
 2014]]+Tabel11011[[#This Row],[springwater
 2014]]+Tabel11011[[#This Row],[surface water
 2014]]+Tabel11011[[#This Row],[other sources
 2014]]+Tabel11011[[#This Row],[imported water
 2014]]</f>
        <v>5455.6416560000007</v>
      </c>
      <c r="Y85" s="484">
        <f>Tabel11011[[#This Row],[groundwater
 2016]]+Tabel11011[[#This Row],[springwater
 2016]]+Tabel11011[[#This Row],[surface water
 2016]]+Tabel11011[[#This Row],[other sources
 2016]]+Tabel11011[[#This Row],[imported water
 2016]]</f>
        <v>5416.0271999999995</v>
      </c>
    </row>
    <row r="86" spans="1:25" x14ac:dyDescent="0.25">
      <c r="A86" s="251" t="s">
        <v>10</v>
      </c>
      <c r="B86" s="11">
        <v>17.899999999999999</v>
      </c>
      <c r="C86" s="11">
        <v>149.69999999999999</v>
      </c>
      <c r="D86" s="11">
        <v>135</v>
      </c>
      <c r="E86" s="11">
        <v>155</v>
      </c>
      <c r="F86" s="239"/>
      <c r="G86" s="239">
        <v>0</v>
      </c>
      <c r="H86" s="239">
        <v>0</v>
      </c>
      <c r="I86" s="239">
        <v>0</v>
      </c>
      <c r="J86" s="9">
        <v>21.4</v>
      </c>
      <c r="K86" s="9">
        <v>94.5</v>
      </c>
      <c r="L86" s="9">
        <v>86.8</v>
      </c>
      <c r="M86" s="9">
        <v>62.8</v>
      </c>
      <c r="N86" s="13">
        <v>52.8</v>
      </c>
      <c r="O86" s="13">
        <v>24.6</v>
      </c>
      <c r="P86" s="13">
        <v>52.85</v>
      </c>
      <c r="Q86" s="13">
        <v>86.7</v>
      </c>
      <c r="R86" s="243">
        <v>0</v>
      </c>
      <c r="S86" s="243">
        <v>0</v>
      </c>
      <c r="T86" s="859">
        <v>0</v>
      </c>
      <c r="U86" s="859">
        <v>0</v>
      </c>
      <c r="V86" s="10">
        <f>Tabel11011[[#This Row],[GW 2010]]+Tabel11011[[#This Row],[SP 2010]]+Tabel11011[[#This Row],[SFW 2010]]+Tabel11011[[#This Row],[OS 2010]]+Tabel11011[[#This Row],[I WATER 2010]]</f>
        <v>92.1</v>
      </c>
      <c r="W86" s="10">
        <f>Tabel11011[[#This Row],[GW 2012]]+Tabel11011[[#This Row],[SP 2012]]+Tabel11011[[#This Row],[SFW 2012]]+Tabel11011[[#This Row],[OS 2012]]+Tabel11011[[#This Row],[I WATER 2012]]</f>
        <v>268.8</v>
      </c>
      <c r="X86" s="10">
        <f>Tabel11011[[#This Row],[groundwater
 2014]]+Tabel11011[[#This Row],[springwater
 2014]]+Tabel11011[[#This Row],[surface water
 2014]]+Tabel11011[[#This Row],[other sources
 2014]]+Tabel11011[[#This Row],[imported water
 2014]]</f>
        <v>274.65000000000003</v>
      </c>
      <c r="Y86" s="484">
        <f>Tabel11011[[#This Row],[groundwater
 2016]]+Tabel11011[[#This Row],[springwater
 2016]]+Tabel11011[[#This Row],[surface water
 2016]]+Tabel11011[[#This Row],[other sources
 2016]]+Tabel11011[[#This Row],[imported water
 2016]]</f>
        <v>304.5</v>
      </c>
    </row>
    <row r="87" spans="1:25" x14ac:dyDescent="0.25">
      <c r="A87" s="251" t="s">
        <v>910</v>
      </c>
      <c r="B87" s="11" t="s">
        <v>5</v>
      </c>
      <c r="C87" s="11" t="s">
        <v>5</v>
      </c>
      <c r="D87" s="11" t="s">
        <v>5</v>
      </c>
      <c r="E87" s="11">
        <v>362.8</v>
      </c>
      <c r="F87" s="239" t="s">
        <v>5</v>
      </c>
      <c r="G87" s="239" t="s">
        <v>5</v>
      </c>
      <c r="H87" s="469" t="s">
        <v>5</v>
      </c>
      <c r="I87" s="239">
        <v>0</v>
      </c>
      <c r="J87" s="9" t="s">
        <v>5</v>
      </c>
      <c r="K87" s="9" t="s">
        <v>5</v>
      </c>
      <c r="L87" s="9" t="s">
        <v>5</v>
      </c>
      <c r="M87" s="9">
        <v>1272.2</v>
      </c>
      <c r="N87" s="13" t="s">
        <v>5</v>
      </c>
      <c r="O87" s="13" t="s">
        <v>5</v>
      </c>
      <c r="P87" s="13" t="s">
        <v>5</v>
      </c>
      <c r="Q87" s="242">
        <v>0</v>
      </c>
      <c r="R87" s="243" t="s">
        <v>5</v>
      </c>
      <c r="S87" s="243" t="s">
        <v>5</v>
      </c>
      <c r="T87" s="243" t="s">
        <v>5</v>
      </c>
      <c r="U87" s="859">
        <v>0</v>
      </c>
      <c r="V87" s="10" t="s">
        <v>5</v>
      </c>
      <c r="W87" s="10" t="s">
        <v>5</v>
      </c>
      <c r="X87" s="10" t="s">
        <v>5</v>
      </c>
      <c r="Y87" s="484">
        <f>Tabel11011[[#This Row],[groundwater
 2016]]+Tabel11011[[#This Row],[springwater
 2016]]+Tabel11011[[#This Row],[surface water
 2016]]+Tabel11011[[#This Row],[other sources
 2016]]+Tabel11011[[#This Row],[imported water
 2016]]</f>
        <v>1635</v>
      </c>
    </row>
    <row r="88" spans="1:25" x14ac:dyDescent="0.25">
      <c r="A88" s="251" t="s">
        <v>11</v>
      </c>
      <c r="B88" s="11">
        <v>397.66300000000001</v>
      </c>
      <c r="C88" s="11">
        <v>380.911</v>
      </c>
      <c r="D88" s="11">
        <v>388</v>
      </c>
      <c r="E88" s="11">
        <v>359</v>
      </c>
      <c r="F88" s="239">
        <v>0</v>
      </c>
      <c r="G88" s="239">
        <v>0</v>
      </c>
      <c r="H88" s="239">
        <v>0</v>
      </c>
      <c r="I88" s="239">
        <v>0</v>
      </c>
      <c r="J88" s="241">
        <v>0</v>
      </c>
      <c r="K88" s="241">
        <v>0</v>
      </c>
      <c r="L88" s="241">
        <v>0</v>
      </c>
      <c r="M88" s="241">
        <v>0</v>
      </c>
      <c r="N88" s="242">
        <v>0</v>
      </c>
      <c r="O88" s="242">
        <v>0</v>
      </c>
      <c r="P88" s="242">
        <v>0</v>
      </c>
      <c r="Q88" s="242">
        <v>0</v>
      </c>
      <c r="R88" s="243">
        <v>0</v>
      </c>
      <c r="S88" s="243">
        <v>0</v>
      </c>
      <c r="T88" s="859">
        <v>0</v>
      </c>
      <c r="U88" s="859">
        <v>0</v>
      </c>
      <c r="V88" s="10">
        <f>Tabel11011[[#This Row],[GW 2010]]+Tabel11011[[#This Row],[SP 2010]]+Tabel11011[[#This Row],[SFW 2010]]+Tabel11011[[#This Row],[OS 2010]]+Tabel11011[[#This Row],[I WATER 2010]]</f>
        <v>397.66300000000001</v>
      </c>
      <c r="W88" s="10">
        <f>Tabel11011[[#This Row],[GW 2012]]+Tabel11011[[#This Row],[SP 2012]]+Tabel11011[[#This Row],[SFW 2012]]+Tabel11011[[#This Row],[OS 2012]]+Tabel11011[[#This Row],[I WATER 2012]]</f>
        <v>380.911</v>
      </c>
      <c r="X88" s="10">
        <f>Tabel11011[[#This Row],[groundwater
 2014]]+Tabel11011[[#This Row],[springwater
 2014]]+Tabel11011[[#This Row],[surface water
 2014]]+Tabel11011[[#This Row],[other sources
 2014]]+Tabel11011[[#This Row],[imported water
 2014]]</f>
        <v>388</v>
      </c>
      <c r="Y88" s="484">
        <f>Tabel11011[[#This Row],[groundwater
 2016]]+Tabel11011[[#This Row],[springwater
 2016]]+Tabel11011[[#This Row],[surface water
 2016]]+Tabel11011[[#This Row],[other sources
 2016]]+Tabel11011[[#This Row],[imported water
 2016]]</f>
        <v>359</v>
      </c>
    </row>
    <row r="89" spans="1:25" x14ac:dyDescent="0.25">
      <c r="A89" s="251" t="s">
        <v>456</v>
      </c>
      <c r="B89" s="11">
        <v>1786.513385</v>
      </c>
      <c r="C89" s="11">
        <v>1684</v>
      </c>
      <c r="D89" s="11">
        <v>1679</v>
      </c>
      <c r="E89" s="11">
        <v>1677.956938</v>
      </c>
      <c r="F89" s="239">
        <v>0</v>
      </c>
      <c r="G89" s="239">
        <v>0</v>
      </c>
      <c r="H89" s="239">
        <v>0</v>
      </c>
      <c r="I89" s="239">
        <v>0</v>
      </c>
      <c r="J89" s="9">
        <v>4071.959265</v>
      </c>
      <c r="K89" s="9">
        <v>4144</v>
      </c>
      <c r="L89" s="9">
        <v>4075</v>
      </c>
      <c r="M89" s="9">
        <v>4281.7375359999996</v>
      </c>
      <c r="N89" s="242">
        <v>0</v>
      </c>
      <c r="O89" s="242">
        <v>16</v>
      </c>
      <c r="P89" s="242">
        <v>8</v>
      </c>
      <c r="Q89" s="242">
        <v>9</v>
      </c>
      <c r="R89" s="243">
        <v>0</v>
      </c>
      <c r="S89" s="243">
        <v>0</v>
      </c>
      <c r="T89" s="859">
        <v>0</v>
      </c>
      <c r="U89" s="859">
        <v>0</v>
      </c>
      <c r="V89" s="10">
        <f>Tabel11011[[#This Row],[GW 2010]]+Tabel11011[[#This Row],[SP 2010]]+Tabel11011[[#This Row],[SFW 2010]]+Tabel11011[[#This Row],[OS 2010]]+Tabel11011[[#This Row],[I WATER 2010]]</f>
        <v>5858.4726499999997</v>
      </c>
      <c r="W89" s="10">
        <f>Tabel11011[[#This Row],[GW 2012]]+Tabel11011[[#This Row],[SP 2012]]+Tabel11011[[#This Row],[SFW 2012]]+Tabel11011[[#This Row],[OS 2012]]+Tabel11011[[#This Row],[I WATER 2012]]</f>
        <v>5844</v>
      </c>
      <c r="X89" s="10">
        <f>Tabel11011[[#This Row],[groundwater
 2014]]+Tabel11011[[#This Row],[springwater
 2014]]+Tabel11011[[#This Row],[surface water
 2014]]+Tabel11011[[#This Row],[other sources
 2014]]+Tabel11011[[#This Row],[imported water
 2014]]</f>
        <v>5762</v>
      </c>
      <c r="Y89" s="484">
        <f>Tabel11011[[#This Row],[groundwater
 2016]]+Tabel11011[[#This Row],[springwater
 2016]]+Tabel11011[[#This Row],[surface water
 2016]]+Tabel11011[[#This Row],[other sources
 2016]]+Tabel11011[[#This Row],[imported water
 2016]]</f>
        <v>5968.6944739999999</v>
      </c>
    </row>
    <row r="90" spans="1:25" x14ac:dyDescent="0.25">
      <c r="A90" s="251" t="s">
        <v>12</v>
      </c>
      <c r="B90" s="11">
        <v>261.45</v>
      </c>
      <c r="C90" s="11">
        <v>261.45</v>
      </c>
      <c r="D90" s="11">
        <v>151.74350000000001</v>
      </c>
      <c r="E90" s="11">
        <v>151.74350000000001</v>
      </c>
      <c r="F90" s="239">
        <v>0</v>
      </c>
      <c r="G90" s="239">
        <v>0</v>
      </c>
      <c r="H90" s="239">
        <v>0</v>
      </c>
      <c r="I90" s="239">
        <v>0</v>
      </c>
      <c r="J90" s="9">
        <v>183.64500000000001</v>
      </c>
      <c r="K90" s="9">
        <v>183.64500000000001</v>
      </c>
      <c r="L90" s="9">
        <v>259.74151000000001</v>
      </c>
      <c r="M90" s="9">
        <v>259.74151000000001</v>
      </c>
      <c r="N90" s="242">
        <v>0</v>
      </c>
      <c r="O90" s="242">
        <v>0</v>
      </c>
      <c r="P90" s="242">
        <v>0</v>
      </c>
      <c r="Q90" s="242">
        <v>0</v>
      </c>
      <c r="R90" s="243">
        <v>0</v>
      </c>
      <c r="S90" s="243">
        <v>0</v>
      </c>
      <c r="T90" s="859">
        <v>0</v>
      </c>
      <c r="U90" s="859">
        <v>0</v>
      </c>
      <c r="V90" s="10">
        <f>Tabel11011[[#This Row],[GW 2010]]+Tabel11011[[#This Row],[SP 2010]]+Tabel11011[[#This Row],[SFW 2010]]+Tabel11011[[#This Row],[OS 2010]]+Tabel11011[[#This Row],[I WATER 2010]]</f>
        <v>445.09500000000003</v>
      </c>
      <c r="W90" s="10">
        <f>Tabel11011[[#This Row],[GW 2012]]+Tabel11011[[#This Row],[SP 2012]]+Tabel11011[[#This Row],[SFW 2012]]+Tabel11011[[#This Row],[OS 2012]]+Tabel11011[[#This Row],[I WATER 2012]]</f>
        <v>445.09500000000003</v>
      </c>
      <c r="X90" s="10">
        <f>Tabel11011[[#This Row],[groundwater
 2014]]+Tabel11011[[#This Row],[springwater
 2014]]+Tabel11011[[#This Row],[surface water
 2014]]+Tabel11011[[#This Row],[other sources
 2014]]+Tabel11011[[#This Row],[imported water
 2014]]</f>
        <v>411.48500999999999</v>
      </c>
      <c r="Y90" s="484">
        <f>Tabel11011[[#This Row],[groundwater
 2016]]+Tabel11011[[#This Row],[springwater
 2016]]+Tabel11011[[#This Row],[surface water
 2016]]+Tabel11011[[#This Row],[other sources
 2016]]+Tabel11011[[#This Row],[imported water
 2016]]</f>
        <v>411.48500999999999</v>
      </c>
    </row>
    <row r="91" spans="1:25" x14ac:dyDescent="0.25">
      <c r="A91" s="251" t="s">
        <v>13</v>
      </c>
      <c r="B91" s="11" t="s">
        <v>5</v>
      </c>
      <c r="C91" s="11">
        <v>3630</v>
      </c>
      <c r="D91" s="11">
        <v>3700</v>
      </c>
      <c r="E91" s="11">
        <v>3633.92</v>
      </c>
      <c r="F91" s="239" t="s">
        <v>5</v>
      </c>
      <c r="G91" s="239">
        <v>0</v>
      </c>
      <c r="H91" s="239">
        <v>0</v>
      </c>
      <c r="I91" s="239">
        <v>0</v>
      </c>
      <c r="J91" s="9" t="s">
        <v>5</v>
      </c>
      <c r="K91" s="9">
        <v>1870</v>
      </c>
      <c r="L91" s="9">
        <v>1866</v>
      </c>
      <c r="M91" s="9">
        <v>2045</v>
      </c>
      <c r="N91" s="242" t="s">
        <v>5</v>
      </c>
      <c r="O91" s="242">
        <v>0</v>
      </c>
      <c r="P91" s="242">
        <v>0</v>
      </c>
      <c r="Q91" s="242">
        <v>0</v>
      </c>
      <c r="R91" s="243" t="s">
        <v>5</v>
      </c>
      <c r="S91" s="243">
        <v>0</v>
      </c>
      <c r="T91" s="859">
        <v>0</v>
      </c>
      <c r="U91" s="859">
        <v>0</v>
      </c>
      <c r="V91" s="10" t="s">
        <v>5</v>
      </c>
      <c r="W91" s="10">
        <f>Tabel11011[[#This Row],[GW 2012]]+Tabel11011[[#This Row],[SP 2012]]+Tabel11011[[#This Row],[SFW 2012]]+Tabel11011[[#This Row],[OS 2012]]+Tabel11011[[#This Row],[I WATER 2012]]</f>
        <v>5500</v>
      </c>
      <c r="X91" s="10">
        <f>Tabel11011[[#This Row],[groundwater
 2014]]+Tabel11011[[#This Row],[springwater
 2014]]+Tabel11011[[#This Row],[surface water
 2014]]+Tabel11011[[#This Row],[other sources
 2014]]+Tabel11011[[#This Row],[imported water
 2014]]</f>
        <v>5566</v>
      </c>
      <c r="Y91" s="484">
        <f>Tabel11011[[#This Row],[groundwater
 2016]]+Tabel11011[[#This Row],[springwater
 2016]]+Tabel11011[[#This Row],[surface water
 2016]]+Tabel11011[[#This Row],[other sources
 2016]]+Tabel11011[[#This Row],[imported water
 2016]]</f>
        <v>5678.92</v>
      </c>
    </row>
    <row r="92" spans="1:25" x14ac:dyDescent="0.25">
      <c r="A92" s="251" t="s">
        <v>14</v>
      </c>
      <c r="B92" s="11">
        <v>3079</v>
      </c>
      <c r="C92" s="11">
        <v>3081</v>
      </c>
      <c r="D92" s="11">
        <v>3114</v>
      </c>
      <c r="E92" s="11">
        <v>3229</v>
      </c>
      <c r="F92" s="8">
        <v>422</v>
      </c>
      <c r="G92" s="8">
        <v>419</v>
      </c>
      <c r="H92" s="8">
        <v>408</v>
      </c>
      <c r="I92" s="8">
        <v>412</v>
      </c>
      <c r="J92" s="9">
        <v>1537</v>
      </c>
      <c r="K92" s="9">
        <v>1569</v>
      </c>
      <c r="L92" s="9">
        <v>1555</v>
      </c>
      <c r="M92" s="9">
        <v>1545</v>
      </c>
      <c r="N92" s="242">
        <v>0</v>
      </c>
      <c r="O92" s="242">
        <v>0</v>
      </c>
      <c r="P92" s="242">
        <v>0</v>
      </c>
      <c r="Q92" s="242">
        <v>0</v>
      </c>
      <c r="R92" s="243">
        <v>0</v>
      </c>
      <c r="S92" s="243">
        <v>0</v>
      </c>
      <c r="T92" s="859">
        <v>0</v>
      </c>
      <c r="U92" s="859">
        <v>0</v>
      </c>
      <c r="V92" s="10">
        <f>Tabel11011[[#This Row],[GW 2010]]+Tabel11011[[#This Row],[SP 2010]]+Tabel11011[[#This Row],[SFW 2010]]+Tabel11011[[#This Row],[OS 2010]]+Tabel11011[[#This Row],[I WATER 2010]]</f>
        <v>5038</v>
      </c>
      <c r="W92" s="10">
        <f>Tabel11011[[#This Row],[GW 2012]]+Tabel11011[[#This Row],[SP 2012]]+Tabel11011[[#This Row],[SFW 2012]]+Tabel11011[[#This Row],[OS 2012]]+Tabel11011[[#This Row],[I WATER 2012]]</f>
        <v>5069</v>
      </c>
      <c r="X92" s="10">
        <f>Tabel11011[[#This Row],[groundwater
 2014]]+Tabel11011[[#This Row],[springwater
 2014]]+Tabel11011[[#This Row],[surface water
 2014]]+Tabel11011[[#This Row],[other sources
 2014]]+Tabel11011[[#This Row],[imported water
 2014]]</f>
        <v>5077</v>
      </c>
      <c r="Y92" s="484">
        <f>Tabel11011[[#This Row],[groundwater
 2016]]+Tabel11011[[#This Row],[springwater
 2016]]+Tabel11011[[#This Row],[surface water
 2016]]+Tabel11011[[#This Row],[other sources
 2016]]+Tabel11011[[#This Row],[imported water
 2016]]</f>
        <v>5186</v>
      </c>
    </row>
    <row r="93" spans="1:25" x14ac:dyDescent="0.25">
      <c r="A93" s="251" t="s">
        <v>35</v>
      </c>
      <c r="B93" s="11"/>
      <c r="C93" s="11"/>
      <c r="D93" s="11">
        <v>4421.0618420000001</v>
      </c>
      <c r="E93" s="11" t="s">
        <v>5</v>
      </c>
      <c r="F93" s="8" t="s">
        <v>5</v>
      </c>
      <c r="G93" s="8" t="s">
        <v>5</v>
      </c>
      <c r="H93" s="8">
        <v>3012.2346360000001</v>
      </c>
      <c r="I93" s="8" t="s">
        <v>5</v>
      </c>
      <c r="J93" s="9" t="s">
        <v>5</v>
      </c>
      <c r="K93" s="9" t="s">
        <v>5</v>
      </c>
      <c r="L93" s="9">
        <v>850.89721899999995</v>
      </c>
      <c r="M93" s="9" t="s">
        <v>5</v>
      </c>
      <c r="N93" s="242" t="s">
        <v>5</v>
      </c>
      <c r="O93" s="242" t="s">
        <v>5</v>
      </c>
      <c r="P93" s="242">
        <v>19.806303</v>
      </c>
      <c r="Q93" s="482" t="s">
        <v>5</v>
      </c>
      <c r="R93" s="243" t="s">
        <v>5</v>
      </c>
      <c r="S93" s="243" t="s">
        <v>5</v>
      </c>
      <c r="T93" s="859">
        <v>0</v>
      </c>
      <c r="U93" s="243" t="s">
        <v>5</v>
      </c>
      <c r="V93" s="10" t="e">
        <f>Tabel11011[[#This Row],[GW 2010]]+Tabel11011[[#This Row],[SP 2010]]+Tabel11011[[#This Row],[SFW 2010]]+Tabel11011[[#This Row],[OS 2010]]+Tabel11011[[#This Row],[I WATER 2010]]</f>
        <v>#VALUE!</v>
      </c>
      <c r="W93" s="10" t="e">
        <f>Tabel11011[[#This Row],[GW 2012]]+Tabel11011[[#This Row],[SP 2012]]+Tabel11011[[#This Row],[SFW 2012]]+Tabel11011[[#This Row],[OS 2012]]+Tabel11011[[#This Row],[I WATER 2012]]</f>
        <v>#VALUE!</v>
      </c>
      <c r="X93" s="10">
        <f>Tabel11011[[#This Row],[groundwater
 2014]]+Tabel11011[[#This Row],[springwater
 2014]]+Tabel11011[[#This Row],[surface water
 2014]]+Tabel11011[[#This Row],[other sources
 2014]]+Tabel11011[[#This Row],[imported water
 2014]]</f>
        <v>8304</v>
      </c>
      <c r="Y93" s="10" t="s">
        <v>5</v>
      </c>
    </row>
    <row r="94" spans="1:25" x14ac:dyDescent="0.25">
      <c r="A94" s="251" t="s">
        <v>15</v>
      </c>
      <c r="B94" s="11">
        <v>268.60820000000001</v>
      </c>
      <c r="C94" s="11">
        <v>243.101248</v>
      </c>
      <c r="D94" s="11">
        <v>473.20265000000001</v>
      </c>
      <c r="E94" s="11">
        <v>344.76100000000002</v>
      </c>
      <c r="F94" s="8">
        <v>59.6907</v>
      </c>
      <c r="G94" s="8">
        <v>53.6676</v>
      </c>
      <c r="H94" s="8">
        <v>55.670900000000003</v>
      </c>
      <c r="I94" s="8">
        <v>51.411000000000001</v>
      </c>
      <c r="J94" s="9">
        <v>32.829900000000002</v>
      </c>
      <c r="K94" s="9">
        <v>27.907152</v>
      </c>
      <c r="L94" s="9">
        <v>27.835450000000002</v>
      </c>
      <c r="M94" s="9">
        <v>30.242149999999999</v>
      </c>
      <c r="N94" s="13">
        <v>235.7783</v>
      </c>
      <c r="O94" s="13">
        <v>212</v>
      </c>
      <c r="P94" s="242">
        <v>0</v>
      </c>
      <c r="Q94" s="242">
        <v>178.42885000000001</v>
      </c>
      <c r="R94" s="243">
        <v>0</v>
      </c>
      <c r="S94" s="243">
        <v>0</v>
      </c>
      <c r="T94" s="859">
        <v>0</v>
      </c>
      <c r="U94" s="859">
        <v>0</v>
      </c>
      <c r="V94" s="10">
        <f>Tabel11011[[#This Row],[GW 2010]]+Tabel11011[[#This Row],[SP 2010]]+Tabel11011[[#This Row],[SFW 2010]]+Tabel11011[[#This Row],[OS 2010]]+Tabel11011[[#This Row],[I WATER 2010]]</f>
        <v>596.90710000000001</v>
      </c>
      <c r="W94" s="10">
        <f>Tabel11011[[#This Row],[GW 2012]]+Tabel11011[[#This Row],[SP 2012]]+Tabel11011[[#This Row],[SFW 2012]]+Tabel11011[[#This Row],[OS 2012]]+Tabel11011[[#This Row],[I WATER 2012]]</f>
        <v>536.67599999999993</v>
      </c>
      <c r="X94" s="10">
        <f>Tabel11011[[#This Row],[groundwater
 2014]]+Tabel11011[[#This Row],[springwater
 2014]]+Tabel11011[[#This Row],[surface water
 2014]]+Tabel11011[[#This Row],[other sources
 2014]]+Tabel11011[[#This Row],[imported water
 2014]]</f>
        <v>556.70900000000006</v>
      </c>
      <c r="Y94" s="484">
        <f>Tabel11011[[#This Row],[groundwater
 2016]]+Tabel11011[[#This Row],[springwater
 2016]]+Tabel11011[[#This Row],[surface water
 2016]]+Tabel11011[[#This Row],[other sources
 2016]]+Tabel11011[[#This Row],[imported water
 2016]]</f>
        <v>604.84300000000007</v>
      </c>
    </row>
    <row r="95" spans="1:25" x14ac:dyDescent="0.25">
      <c r="A95" s="251" t="s">
        <v>754</v>
      </c>
      <c r="B95" s="11"/>
      <c r="C95" s="11"/>
      <c r="D95" s="11">
        <v>263.86599999999999</v>
      </c>
      <c r="E95" s="11" t="s">
        <v>5</v>
      </c>
      <c r="F95" s="8" t="s">
        <v>5</v>
      </c>
      <c r="G95" s="8" t="s">
        <v>5</v>
      </c>
      <c r="H95" s="239">
        <v>0</v>
      </c>
      <c r="I95" s="8" t="s">
        <v>5</v>
      </c>
      <c r="J95" s="9" t="s">
        <v>5</v>
      </c>
      <c r="K95" s="9" t="s">
        <v>5</v>
      </c>
      <c r="L95" s="9">
        <v>11.026999999999999</v>
      </c>
      <c r="M95" s="9" t="s">
        <v>5</v>
      </c>
      <c r="N95" s="13" t="s">
        <v>5</v>
      </c>
      <c r="O95" s="13" t="s">
        <v>5</v>
      </c>
      <c r="P95" s="13">
        <v>65.456999999999994</v>
      </c>
      <c r="Q95" s="482" t="s">
        <v>5</v>
      </c>
      <c r="R95" s="243" t="s">
        <v>5</v>
      </c>
      <c r="S95" s="243" t="s">
        <v>5</v>
      </c>
      <c r="T95" s="859">
        <v>0</v>
      </c>
      <c r="U95" s="243" t="s">
        <v>5</v>
      </c>
      <c r="V95" s="10" t="e">
        <f>Tabel11011[[#This Row],[GW 2010]]+Tabel11011[[#This Row],[SP 2010]]+Tabel11011[[#This Row],[SFW 2010]]+Tabel11011[[#This Row],[OS 2010]]+Tabel11011[[#This Row],[I WATER 2010]]</f>
        <v>#VALUE!</v>
      </c>
      <c r="W95" s="10" t="e">
        <f>Tabel11011[[#This Row],[GW 2012]]+Tabel11011[[#This Row],[SP 2012]]+Tabel11011[[#This Row],[SFW 2012]]+Tabel11011[[#This Row],[OS 2012]]+Tabel11011[[#This Row],[I WATER 2012]]</f>
        <v>#VALUE!</v>
      </c>
      <c r="X95" s="10">
        <f>Tabel11011[[#This Row],[groundwater
 2014]]+Tabel11011[[#This Row],[springwater
 2014]]+Tabel11011[[#This Row],[surface water
 2014]]+Tabel11011[[#This Row],[other sources
 2014]]+Tabel11011[[#This Row],[imported water
 2014]]</f>
        <v>340.34999999999997</v>
      </c>
      <c r="Y95" s="10" t="s">
        <v>5</v>
      </c>
    </row>
    <row r="96" spans="1:25" x14ac:dyDescent="0.25">
      <c r="A96" s="251" t="s">
        <v>17</v>
      </c>
      <c r="B96" s="11">
        <v>4426.6401180000003</v>
      </c>
      <c r="C96" s="11">
        <v>4539.6480000000001</v>
      </c>
      <c r="D96" s="11" t="s">
        <v>5</v>
      </c>
      <c r="E96" s="11">
        <v>4700</v>
      </c>
      <c r="F96" s="8">
        <v>3452.0506270000001</v>
      </c>
      <c r="G96" s="8">
        <v>3253.64</v>
      </c>
      <c r="H96" s="8" t="s">
        <v>5</v>
      </c>
      <c r="I96" s="8">
        <v>3200</v>
      </c>
      <c r="J96" s="9">
        <v>1211.4056290000001</v>
      </c>
      <c r="K96" s="9">
        <v>1301.405</v>
      </c>
      <c r="L96" s="9" t="s">
        <v>5</v>
      </c>
      <c r="M96" s="9">
        <v>1600</v>
      </c>
      <c r="N96" s="13">
        <v>27.324939000000001</v>
      </c>
      <c r="O96" s="13">
        <v>13.619</v>
      </c>
      <c r="P96" s="13" t="s">
        <v>5</v>
      </c>
      <c r="Q96" s="242">
        <v>0</v>
      </c>
      <c r="R96" s="243">
        <v>0</v>
      </c>
      <c r="S96" s="243">
        <v>0</v>
      </c>
      <c r="T96" s="243" t="s">
        <v>5</v>
      </c>
      <c r="U96" s="859">
        <v>0</v>
      </c>
      <c r="V96" s="10">
        <f>Tabel11011[[#This Row],[GW 2010]]+Tabel11011[[#This Row],[SP 2010]]+Tabel11011[[#This Row],[SFW 2010]]+Tabel11011[[#This Row],[OS 2010]]+Tabel11011[[#This Row],[I WATER 2010]]</f>
        <v>9117.4213130000007</v>
      </c>
      <c r="W96" s="10">
        <f>Tabel11011[[#This Row],[GW 2012]]+Tabel11011[[#This Row],[SP 2012]]+Tabel11011[[#This Row],[SFW 2012]]+Tabel11011[[#This Row],[OS 2012]]+Tabel11011[[#This Row],[I WATER 2012]]</f>
        <v>9108.3120000000017</v>
      </c>
      <c r="X96" s="10" t="s">
        <v>5</v>
      </c>
      <c r="Y96" s="484">
        <f>Tabel11011[[#This Row],[groundwater
 2016]]+Tabel11011[[#This Row],[springwater
 2016]]+Tabel11011[[#This Row],[surface water
 2016]]+Tabel11011[[#This Row],[other sources
 2016]]+Tabel11011[[#This Row],[imported water
 2016]]</f>
        <v>9500</v>
      </c>
    </row>
    <row r="97" spans="1:25" x14ac:dyDescent="0.25">
      <c r="A97" s="251" t="s">
        <v>18</v>
      </c>
      <c r="B97" s="11">
        <v>3706.8229999999999</v>
      </c>
      <c r="C97" s="11">
        <v>3660.9549999999999</v>
      </c>
      <c r="D97" s="11">
        <v>3573.0569999999998</v>
      </c>
      <c r="E97" s="11">
        <v>3484.1790000000001</v>
      </c>
      <c r="F97" s="8">
        <v>292.42399999999998</v>
      </c>
      <c r="G97" s="8">
        <v>276.28399999999999</v>
      </c>
      <c r="H97" s="8">
        <v>434.84399999999999</v>
      </c>
      <c r="I97" s="8">
        <v>288.86399999999998</v>
      </c>
      <c r="J97" s="9">
        <v>11789.668</v>
      </c>
      <c r="K97" s="9">
        <v>11752.52</v>
      </c>
      <c r="L97" s="9">
        <v>11511.171</v>
      </c>
      <c r="M97" s="9">
        <v>11407.929</v>
      </c>
      <c r="N97" s="13">
        <v>34.398000000000003</v>
      </c>
      <c r="O97" s="13">
        <v>29.053000000000001</v>
      </c>
      <c r="P97" s="13">
        <v>17.234999999999999</v>
      </c>
      <c r="Q97" s="13">
        <v>17.753</v>
      </c>
      <c r="R97" s="243">
        <v>0</v>
      </c>
      <c r="S97" s="243">
        <v>0</v>
      </c>
      <c r="T97" s="859">
        <v>0</v>
      </c>
      <c r="U97" s="859">
        <v>0</v>
      </c>
      <c r="V97" s="10">
        <f>Tabel11011[[#This Row],[GW 2010]]+Tabel11011[[#This Row],[SP 2010]]+Tabel11011[[#This Row],[SFW 2010]]+Tabel11011[[#This Row],[OS 2010]]+Tabel11011[[#This Row],[I WATER 2010]]</f>
        <v>15823.312999999998</v>
      </c>
      <c r="W97" s="10">
        <f>Tabel11011[[#This Row],[GW 2012]]+Tabel11011[[#This Row],[SP 2012]]+Tabel11011[[#This Row],[SFW 2012]]+Tabel11011[[#This Row],[OS 2012]]+Tabel11011[[#This Row],[I WATER 2012]]</f>
        <v>15718.812</v>
      </c>
      <c r="X97" s="10">
        <f>Tabel11011[[#This Row],[groundwater
 2014]]+Tabel11011[[#This Row],[springwater
 2014]]+Tabel11011[[#This Row],[surface water
 2014]]+Tabel11011[[#This Row],[other sources
 2014]]+Tabel11011[[#This Row],[imported water
 2014]]</f>
        <v>15536.307000000001</v>
      </c>
      <c r="Y97" s="484">
        <f>Tabel11011[[#This Row],[groundwater
 2016]]+Tabel11011[[#This Row],[springwater
 2016]]+Tabel11011[[#This Row],[surface water
 2016]]+Tabel11011[[#This Row],[other sources
 2016]]+Tabel11011[[#This Row],[imported water
 2016]]</f>
        <v>15198.725</v>
      </c>
    </row>
    <row r="98" spans="1:25" x14ac:dyDescent="0.25">
      <c r="A98" s="251" t="s">
        <v>742</v>
      </c>
      <c r="B98" s="11"/>
      <c r="C98" s="11"/>
      <c r="D98" s="240">
        <v>0</v>
      </c>
      <c r="E98" s="11" t="s">
        <v>5</v>
      </c>
      <c r="F98" s="8" t="s">
        <v>5</v>
      </c>
      <c r="G98" s="8" t="s">
        <v>5</v>
      </c>
      <c r="H98" s="239">
        <v>0</v>
      </c>
      <c r="I98" s="8" t="s">
        <v>5</v>
      </c>
      <c r="J98" s="9" t="s">
        <v>5</v>
      </c>
      <c r="K98" s="9" t="s">
        <v>5</v>
      </c>
      <c r="L98" s="9">
        <v>430.77199999999999</v>
      </c>
      <c r="M98" s="9" t="s">
        <v>5</v>
      </c>
      <c r="N98" s="13" t="s">
        <v>5</v>
      </c>
      <c r="O98" s="13" t="s">
        <v>5</v>
      </c>
      <c r="P98" s="242">
        <v>0</v>
      </c>
      <c r="Q98" s="13" t="s">
        <v>5</v>
      </c>
      <c r="R98" s="243" t="s">
        <v>5</v>
      </c>
      <c r="S98" s="243" t="s">
        <v>5</v>
      </c>
      <c r="T98" s="859">
        <v>0</v>
      </c>
      <c r="U98" s="243" t="s">
        <v>5</v>
      </c>
      <c r="V98" s="10" t="e">
        <f>Tabel11011[[#This Row],[GW 2010]]+Tabel11011[[#This Row],[SP 2010]]+Tabel11011[[#This Row],[SFW 2010]]+Tabel11011[[#This Row],[OS 2010]]+Tabel11011[[#This Row],[I WATER 2010]]</f>
        <v>#VALUE!</v>
      </c>
      <c r="W98" s="10" t="e">
        <f>Tabel11011[[#This Row],[GW 2012]]+Tabel11011[[#This Row],[SP 2012]]+Tabel11011[[#This Row],[SFW 2012]]+Tabel11011[[#This Row],[OS 2012]]+Tabel11011[[#This Row],[I WATER 2012]]</f>
        <v>#VALUE!</v>
      </c>
      <c r="X98" s="10">
        <f>Tabel11011[[#This Row],[groundwater
 2014]]+Tabel11011[[#This Row],[springwater
 2014]]+Tabel11011[[#This Row],[surface water
 2014]]+Tabel11011[[#This Row],[other sources
 2014]]+Tabel11011[[#This Row],[imported water
 2014]]</f>
        <v>430.77199999999999</v>
      </c>
      <c r="Y98" s="10" t="s">
        <v>5</v>
      </c>
    </row>
    <row r="99" spans="1:25" x14ac:dyDescent="0.25">
      <c r="A99" s="251" t="s">
        <v>586</v>
      </c>
      <c r="B99" s="240">
        <v>0</v>
      </c>
      <c r="C99" s="240">
        <v>0</v>
      </c>
      <c r="D99" s="240">
        <v>0</v>
      </c>
      <c r="E99" s="240">
        <v>0</v>
      </c>
      <c r="F99" s="239">
        <v>0</v>
      </c>
      <c r="G99" s="239">
        <v>0</v>
      </c>
      <c r="H99" s="239">
        <v>0</v>
      </c>
      <c r="I99" s="239">
        <v>0</v>
      </c>
      <c r="J99" s="241">
        <v>79.410388999999995</v>
      </c>
      <c r="K99" s="241">
        <v>90.281715000000005</v>
      </c>
      <c r="L99" s="241">
        <v>0</v>
      </c>
      <c r="M99" s="241">
        <v>0</v>
      </c>
      <c r="N99" s="242">
        <v>0</v>
      </c>
      <c r="O99" s="242">
        <v>0</v>
      </c>
      <c r="P99" s="13">
        <v>0.72553800000000002</v>
      </c>
      <c r="Q99" s="13">
        <v>1.0735650000000001</v>
      </c>
      <c r="R99" s="243">
        <v>0</v>
      </c>
      <c r="S99" s="243">
        <v>0</v>
      </c>
      <c r="T99" s="859">
        <v>92.871632000000005</v>
      </c>
      <c r="U99" s="859">
        <v>97.023526000000004</v>
      </c>
      <c r="V99" s="10">
        <f>Tabel11011[[#This Row],[GW 2010]]+Tabel11011[[#This Row],[SP 2010]]+Tabel11011[[#This Row],[SFW 2010]]+Tabel11011[[#This Row],[OS 2010]]+Tabel11011[[#This Row],[I WATER 2010]]</f>
        <v>79.410388999999995</v>
      </c>
      <c r="W99" s="10">
        <f>Tabel11011[[#This Row],[GW 2012]]+Tabel11011[[#This Row],[SP 2012]]+Tabel11011[[#This Row],[SFW 2012]]+Tabel11011[[#This Row],[OS 2012]]+Tabel11011[[#This Row],[I WATER 2012]]</f>
        <v>90.281715000000005</v>
      </c>
      <c r="X99" s="10">
        <f>Tabel11011[[#This Row],[groundwater
 2014]]+Tabel11011[[#This Row],[springwater
 2014]]+Tabel11011[[#This Row],[surface water
 2014]]+Tabel11011[[#This Row],[other sources
 2014]]+Tabel11011[[#This Row],[imported water
 2014]]</f>
        <v>93.597170000000006</v>
      </c>
      <c r="Y99" s="484">
        <f>Tabel11011[[#This Row],[groundwater
 2016]]+Tabel11011[[#This Row],[springwater
 2016]]+Tabel11011[[#This Row],[surface water
 2016]]+Tabel11011[[#This Row],[other sources
 2016]]+Tabel11011[[#This Row],[imported water
 2016]]</f>
        <v>98.097091000000006</v>
      </c>
    </row>
    <row r="100" spans="1:25" x14ac:dyDescent="0.25">
      <c r="A100" s="251" t="s">
        <v>774</v>
      </c>
      <c r="B100" s="481" t="s">
        <v>5</v>
      </c>
      <c r="C100" s="481" t="s">
        <v>5</v>
      </c>
      <c r="D100" s="240">
        <v>15.675437000000001</v>
      </c>
      <c r="E100" s="240">
        <v>14.682899000000001</v>
      </c>
      <c r="F100" s="469" t="s">
        <v>5</v>
      </c>
      <c r="G100" s="469" t="s">
        <v>5</v>
      </c>
      <c r="H100" s="239">
        <v>0</v>
      </c>
      <c r="I100" s="239">
        <v>0</v>
      </c>
      <c r="J100" s="9" t="s">
        <v>5</v>
      </c>
      <c r="K100" s="9" t="s">
        <v>5</v>
      </c>
      <c r="L100" s="241">
        <v>0</v>
      </c>
      <c r="M100" s="241">
        <v>0</v>
      </c>
      <c r="N100" s="482" t="s">
        <v>5</v>
      </c>
      <c r="O100" s="482" t="s">
        <v>5</v>
      </c>
      <c r="P100" s="242">
        <v>16.512682000000002</v>
      </c>
      <c r="Q100" s="242">
        <v>18.622971</v>
      </c>
      <c r="R100" s="243" t="s">
        <v>5</v>
      </c>
      <c r="S100" s="243" t="s">
        <v>5</v>
      </c>
      <c r="T100" s="859">
        <v>0</v>
      </c>
      <c r="U100" s="859">
        <v>0</v>
      </c>
      <c r="V100" s="10" t="s">
        <v>5</v>
      </c>
      <c r="W100" s="10" t="s">
        <v>5</v>
      </c>
      <c r="X100" s="10">
        <f>Tabel11011[[#This Row],[groundwater
 2014]]+Tabel11011[[#This Row],[springwater
 2014]]+Tabel11011[[#This Row],[surface water
 2014]]+Tabel11011[[#This Row],[other sources
 2014]]+Tabel11011[[#This Row],[imported water
 2014]]</f>
        <v>32.188119</v>
      </c>
      <c r="Y100" s="484">
        <f>Tabel11011[[#This Row],[groundwater
 2016]]+Tabel11011[[#This Row],[springwater
 2016]]+Tabel11011[[#This Row],[surface water
 2016]]+Tabel11011[[#This Row],[other sources
 2016]]+Tabel11011[[#This Row],[imported water
 2016]]</f>
        <v>33.305869999999999</v>
      </c>
    </row>
    <row r="101" spans="1:25" x14ac:dyDescent="0.25">
      <c r="A101" s="251" t="s">
        <v>37</v>
      </c>
      <c r="B101" s="481"/>
      <c r="C101" s="481"/>
      <c r="D101" s="240">
        <v>118.4</v>
      </c>
      <c r="E101" s="481" t="s">
        <v>5</v>
      </c>
      <c r="F101" s="469">
        <v>0</v>
      </c>
      <c r="G101" s="469">
        <v>0</v>
      </c>
      <c r="H101" s="239">
        <v>33.4</v>
      </c>
      <c r="I101" s="469" t="s">
        <v>5</v>
      </c>
      <c r="J101" s="9">
        <v>109.1</v>
      </c>
      <c r="K101" s="9">
        <v>106.2</v>
      </c>
      <c r="L101" s="241">
        <v>77.8</v>
      </c>
      <c r="M101" s="855" t="s">
        <v>5</v>
      </c>
      <c r="N101" s="482">
        <v>0</v>
      </c>
      <c r="O101" s="482">
        <v>0</v>
      </c>
      <c r="P101" s="242">
        <v>0</v>
      </c>
      <c r="Q101" s="482" t="s">
        <v>5</v>
      </c>
      <c r="R101" s="243">
        <v>0</v>
      </c>
      <c r="S101" s="243">
        <v>0</v>
      </c>
      <c r="T101" s="859">
        <v>0</v>
      </c>
      <c r="U101" s="243" t="s">
        <v>5</v>
      </c>
      <c r="V101" s="10">
        <f>Tabel11011[[#This Row],[GW 2010]]+Tabel11011[[#This Row],[SP 2010]]+Tabel11011[[#This Row],[SFW 2010]]+Tabel11011[[#This Row],[OS 2010]]+Tabel11011[[#This Row],[I WATER 2010]]</f>
        <v>109.1</v>
      </c>
      <c r="W101" s="10">
        <f>Tabel11011[[#This Row],[GW 2012]]+Tabel11011[[#This Row],[SP 2012]]+Tabel11011[[#This Row],[SFW 2012]]+Tabel11011[[#This Row],[OS 2012]]+Tabel11011[[#This Row],[I WATER 2012]]</f>
        <v>106.2</v>
      </c>
      <c r="X101" s="10">
        <f>Tabel11011[[#This Row],[groundwater
 2014]]+Tabel11011[[#This Row],[springwater
 2014]]+Tabel11011[[#This Row],[surface water
 2014]]+Tabel11011[[#This Row],[other sources
 2014]]+Tabel11011[[#This Row],[imported water
 2014]]</f>
        <v>229.60000000000002</v>
      </c>
      <c r="Y101" s="10" t="s">
        <v>5</v>
      </c>
    </row>
    <row r="102" spans="1:25" x14ac:dyDescent="0.25">
      <c r="A102" s="251" t="s">
        <v>38</v>
      </c>
      <c r="B102" s="11" t="s">
        <v>5</v>
      </c>
      <c r="C102" s="11">
        <v>30.010999999999999</v>
      </c>
      <c r="D102" s="11">
        <v>32.909999999999997</v>
      </c>
      <c r="E102" s="11">
        <v>33.31</v>
      </c>
      <c r="F102" s="239" t="s">
        <v>5</v>
      </c>
      <c r="G102" s="239">
        <v>0</v>
      </c>
      <c r="H102" s="239">
        <v>0</v>
      </c>
      <c r="I102" s="239">
        <v>0</v>
      </c>
      <c r="J102" s="9" t="s">
        <v>5</v>
      </c>
      <c r="K102" s="9">
        <v>50.048000000000002</v>
      </c>
      <c r="L102" s="9">
        <v>52.02</v>
      </c>
      <c r="M102" s="9">
        <v>52.35</v>
      </c>
      <c r="N102" s="242" t="s">
        <v>5</v>
      </c>
      <c r="O102" s="242">
        <v>0</v>
      </c>
      <c r="P102" s="242">
        <v>0</v>
      </c>
      <c r="Q102" s="242">
        <v>0</v>
      </c>
      <c r="R102" s="243" t="s">
        <v>5</v>
      </c>
      <c r="S102" s="243">
        <v>0</v>
      </c>
      <c r="T102" s="859">
        <v>1.1890000000000001</v>
      </c>
      <c r="U102" s="860">
        <v>1.8502000000000001</v>
      </c>
      <c r="V102" s="10" t="s">
        <v>5</v>
      </c>
      <c r="W102" s="10">
        <f>Tabel11011[[#This Row],[GW 2012]]+Tabel11011[[#This Row],[SP 2012]]+Tabel11011[[#This Row],[SFW 2012]]+Tabel11011[[#This Row],[OS 2012]]+Tabel11011[[#This Row],[I WATER 2012]]</f>
        <v>80.058999999999997</v>
      </c>
      <c r="X102" s="10">
        <f>Tabel11011[[#This Row],[groundwater
 2014]]+Tabel11011[[#This Row],[springwater
 2014]]+Tabel11011[[#This Row],[surface water
 2014]]+Tabel11011[[#This Row],[other sources
 2014]]+Tabel11011[[#This Row],[imported water
 2014]]</f>
        <v>86.119</v>
      </c>
      <c r="Y102" s="484">
        <f>Tabel11011[[#This Row],[groundwater
 2016]]+Tabel11011[[#This Row],[springwater
 2016]]+Tabel11011[[#This Row],[surface water
 2016]]+Tabel11011[[#This Row],[other sources
 2016]]+Tabel11011[[#This Row],[imported water
 2016]]</f>
        <v>87.510199999999998</v>
      </c>
    </row>
    <row r="103" spans="1:25" x14ac:dyDescent="0.25">
      <c r="A103" s="251" t="s">
        <v>734</v>
      </c>
      <c r="B103" s="11"/>
      <c r="C103" s="11"/>
      <c r="D103" s="11">
        <v>120</v>
      </c>
      <c r="E103" s="11" t="s">
        <v>5</v>
      </c>
      <c r="F103" s="239" t="s">
        <v>5</v>
      </c>
      <c r="G103" s="239" t="s">
        <v>5</v>
      </c>
      <c r="H103" s="239">
        <v>0</v>
      </c>
      <c r="I103" s="469" t="s">
        <v>5</v>
      </c>
      <c r="J103" s="9" t="s">
        <v>5</v>
      </c>
      <c r="K103" s="9" t="s">
        <v>5</v>
      </c>
      <c r="L103" s="9">
        <v>140</v>
      </c>
      <c r="M103" s="9" t="s">
        <v>5</v>
      </c>
      <c r="N103" s="242" t="s">
        <v>5</v>
      </c>
      <c r="O103" s="242" t="s">
        <v>5</v>
      </c>
      <c r="P103" s="242">
        <v>0</v>
      </c>
      <c r="Q103" s="482" t="s">
        <v>5</v>
      </c>
      <c r="R103" s="243" t="s">
        <v>5</v>
      </c>
      <c r="S103" s="243" t="s">
        <v>5</v>
      </c>
      <c r="T103" s="859">
        <v>74</v>
      </c>
      <c r="U103" s="73" t="s">
        <v>5</v>
      </c>
      <c r="V103" s="10" t="e">
        <f>Tabel11011[[#This Row],[GW 2010]]+Tabel11011[[#This Row],[SP 2010]]+Tabel11011[[#This Row],[SFW 2010]]+Tabel11011[[#This Row],[OS 2010]]+Tabel11011[[#This Row],[I WATER 2010]]</f>
        <v>#VALUE!</v>
      </c>
      <c r="W103" s="10" t="e">
        <f>Tabel11011[[#This Row],[GW 2012]]+Tabel11011[[#This Row],[SP 2012]]+Tabel11011[[#This Row],[SFW 2012]]+Tabel11011[[#This Row],[OS 2012]]+Tabel11011[[#This Row],[I WATER 2012]]</f>
        <v>#VALUE!</v>
      </c>
      <c r="X103" s="10">
        <f>Tabel11011[[#This Row],[groundwater
 2014]]+Tabel11011[[#This Row],[springwater
 2014]]+Tabel11011[[#This Row],[surface water
 2014]]+Tabel11011[[#This Row],[other sources
 2014]]+Tabel11011[[#This Row],[imported water
 2014]]</f>
        <v>334</v>
      </c>
      <c r="Y103" s="10" t="s">
        <v>5</v>
      </c>
    </row>
    <row r="104" spans="1:25" x14ac:dyDescent="0.25">
      <c r="A104" s="251" t="s">
        <v>20</v>
      </c>
      <c r="B104" s="11">
        <v>761</v>
      </c>
      <c r="C104" s="11">
        <v>754</v>
      </c>
      <c r="D104" s="11">
        <v>758</v>
      </c>
      <c r="E104" s="11">
        <v>778</v>
      </c>
      <c r="F104" s="239">
        <v>0</v>
      </c>
      <c r="G104" s="239">
        <v>0</v>
      </c>
      <c r="H104" s="239">
        <v>0</v>
      </c>
      <c r="I104" s="239">
        <v>0</v>
      </c>
      <c r="J104" s="9">
        <v>395</v>
      </c>
      <c r="K104" s="9">
        <v>394</v>
      </c>
      <c r="L104" s="9">
        <v>400</v>
      </c>
      <c r="M104" s="9">
        <v>412</v>
      </c>
      <c r="N104" s="242">
        <v>0</v>
      </c>
      <c r="O104" s="242">
        <v>0</v>
      </c>
      <c r="P104" s="242">
        <v>0</v>
      </c>
      <c r="Q104" s="242">
        <v>0</v>
      </c>
      <c r="R104" s="243">
        <v>10.063178000000001</v>
      </c>
      <c r="S104" s="243">
        <v>12</v>
      </c>
      <c r="T104" s="859">
        <v>11</v>
      </c>
      <c r="U104" s="859">
        <v>11</v>
      </c>
      <c r="V104" s="10">
        <f>Tabel11011[[#This Row],[GW 2010]]+Tabel11011[[#This Row],[SP 2010]]+Tabel11011[[#This Row],[SFW 2010]]+Tabel11011[[#This Row],[OS 2010]]+Tabel11011[[#This Row],[I WATER 2010]]</f>
        <v>1166.0631780000001</v>
      </c>
      <c r="W104" s="10">
        <f>Tabel11011[[#This Row],[GW 2012]]+Tabel11011[[#This Row],[SP 2012]]+Tabel11011[[#This Row],[SFW 2012]]+Tabel11011[[#This Row],[OS 2012]]+Tabel11011[[#This Row],[I WATER 2012]]</f>
        <v>1160</v>
      </c>
      <c r="X104" s="10">
        <f>Tabel11011[[#This Row],[groundwater
 2014]]+Tabel11011[[#This Row],[springwater
 2014]]+Tabel11011[[#This Row],[surface water
 2014]]+Tabel11011[[#This Row],[other sources
 2014]]+Tabel11011[[#This Row],[imported water
 2014]]</f>
        <v>1169</v>
      </c>
      <c r="Y104" s="484">
        <f>Tabel11011[[#This Row],[groundwater
 2016]]+Tabel11011[[#This Row],[springwater
 2016]]+Tabel11011[[#This Row],[surface water
 2016]]+Tabel11011[[#This Row],[other sources
 2016]]+Tabel11011[[#This Row],[imported water
 2016]]</f>
        <v>1201</v>
      </c>
    </row>
    <row r="105" spans="1:25" x14ac:dyDescent="0.25">
      <c r="A105" s="251" t="s">
        <v>22</v>
      </c>
      <c r="B105" s="11">
        <v>1625.2</v>
      </c>
      <c r="C105" s="11">
        <v>1629.8</v>
      </c>
      <c r="D105" s="11">
        <v>1619.3</v>
      </c>
      <c r="E105" s="11">
        <v>1685.1</v>
      </c>
      <c r="F105" s="239">
        <v>0</v>
      </c>
      <c r="G105" s="239">
        <v>0</v>
      </c>
      <c r="H105" s="239">
        <v>0</v>
      </c>
      <c r="I105" s="239">
        <v>0</v>
      </c>
      <c r="J105" s="9">
        <v>9172.6</v>
      </c>
      <c r="K105" s="9">
        <v>9142.9</v>
      </c>
      <c r="L105" s="9">
        <v>9011.6</v>
      </c>
      <c r="M105" s="9">
        <v>7800.9</v>
      </c>
      <c r="N105" s="13">
        <v>68.400000000000006</v>
      </c>
      <c r="O105" s="13">
        <v>57.7</v>
      </c>
      <c r="P105" s="242">
        <v>0</v>
      </c>
      <c r="Q105" s="1697">
        <v>1042.7</v>
      </c>
      <c r="R105" s="243">
        <v>0</v>
      </c>
      <c r="S105" s="243">
        <v>0</v>
      </c>
      <c r="T105" s="859">
        <v>0</v>
      </c>
      <c r="U105" s="859">
        <v>0</v>
      </c>
      <c r="V105" s="10">
        <f>Tabel11011[[#This Row],[GW 2010]]+Tabel11011[[#This Row],[SP 2010]]+Tabel11011[[#This Row],[SFW 2010]]+Tabel11011[[#This Row],[OS 2010]]+Tabel11011[[#This Row],[I WATER 2010]]</f>
        <v>10866.2</v>
      </c>
      <c r="W105" s="10">
        <f>Tabel11011[[#This Row],[GW 2012]]+Tabel11011[[#This Row],[SP 2012]]+Tabel11011[[#This Row],[SFW 2012]]+Tabel11011[[#This Row],[OS 2012]]+Tabel11011[[#This Row],[I WATER 2012]]</f>
        <v>10830.4</v>
      </c>
      <c r="X105" s="10">
        <f>Tabel11011[[#This Row],[groundwater
 2014]]+Tabel11011[[#This Row],[springwater
 2014]]+Tabel11011[[#This Row],[surface water
 2014]]+Tabel11011[[#This Row],[other sources
 2014]]+Tabel11011[[#This Row],[imported water
 2014]]</f>
        <v>10630.9</v>
      </c>
      <c r="Y105" s="484">
        <f>Tabel11011[[#This Row],[groundwater
 2016]]+Tabel11011[[#This Row],[springwater
 2016]]+Tabel11011[[#This Row],[surface water
 2016]]+Tabel11011[[#This Row],[other sources
 2016]]+Tabel11011[[#This Row],[imported water
 2016]]</f>
        <v>10528.7</v>
      </c>
    </row>
    <row r="106" spans="1:25" x14ac:dyDescent="0.25">
      <c r="A106" s="251" t="s">
        <v>23</v>
      </c>
      <c r="B106" s="11">
        <v>378.47944999999999</v>
      </c>
      <c r="C106" s="11">
        <v>312.91519399999999</v>
      </c>
      <c r="D106" s="11">
        <v>279.63087999999999</v>
      </c>
      <c r="E106" s="11">
        <v>239.880787</v>
      </c>
      <c r="F106" s="239">
        <v>0</v>
      </c>
      <c r="G106" s="239">
        <v>0</v>
      </c>
      <c r="H106" s="239">
        <v>0</v>
      </c>
      <c r="I106" s="1695" t="s">
        <v>5</v>
      </c>
      <c r="J106" s="9">
        <v>844.58956000000001</v>
      </c>
      <c r="K106" s="9">
        <v>625.42770199999995</v>
      </c>
      <c r="L106" s="9">
        <v>548.68515500000001</v>
      </c>
      <c r="M106" s="9">
        <v>559.15783299999998</v>
      </c>
      <c r="N106" s="242">
        <v>0</v>
      </c>
      <c r="O106" s="242">
        <v>0</v>
      </c>
      <c r="P106" s="242">
        <v>0</v>
      </c>
      <c r="Q106" s="13" t="s">
        <v>5</v>
      </c>
      <c r="R106" s="243">
        <v>0</v>
      </c>
      <c r="S106" s="243">
        <v>0</v>
      </c>
      <c r="T106" s="859">
        <v>0</v>
      </c>
      <c r="U106" s="243" t="s">
        <v>5</v>
      </c>
      <c r="V106" s="10">
        <f>Tabel11011[[#This Row],[GW 2010]]+Tabel11011[[#This Row],[SP 2010]]+Tabel11011[[#This Row],[SFW 2010]]+Tabel11011[[#This Row],[OS 2010]]+Tabel11011[[#This Row],[I WATER 2010]]</f>
        <v>1223.0690099999999</v>
      </c>
      <c r="W106" s="10">
        <f>Tabel11011[[#This Row],[GW 2012]]+Tabel11011[[#This Row],[SP 2012]]+Tabel11011[[#This Row],[SFW 2012]]+Tabel11011[[#This Row],[OS 2012]]+Tabel11011[[#This Row],[I WATER 2012]]</f>
        <v>938.34289599999988</v>
      </c>
      <c r="X106" s="10">
        <f>Tabel11011[[#This Row],[groundwater
 2014]]+Tabel11011[[#This Row],[springwater
 2014]]+Tabel11011[[#This Row],[surface water
 2014]]+Tabel11011[[#This Row],[other sources
 2014]]+Tabel11011[[#This Row],[imported water
 2014]]</f>
        <v>828.31603500000006</v>
      </c>
      <c r="Y106" s="484">
        <f>Tabel11011[[#This Row],[groundwater
 2016]]+Tabel11011[[#This Row],[surface water
 2016]]</f>
        <v>799.03862000000004</v>
      </c>
    </row>
    <row r="107" spans="1:25" x14ac:dyDescent="0.25">
      <c r="A107" s="251" t="s">
        <v>40</v>
      </c>
      <c r="B107" s="11">
        <v>353.7</v>
      </c>
      <c r="C107" s="11">
        <v>468.82</v>
      </c>
      <c r="D107" s="11">
        <v>396.89299999999997</v>
      </c>
      <c r="E107" s="11">
        <v>444.20800000000003</v>
      </c>
      <c r="F107" s="239">
        <v>0</v>
      </c>
      <c r="G107" s="239">
        <v>0</v>
      </c>
      <c r="H107" s="239">
        <v>0</v>
      </c>
      <c r="I107" s="239">
        <v>0</v>
      </c>
      <c r="J107" s="9">
        <v>825.3</v>
      </c>
      <c r="K107" s="9">
        <v>693.14499999999998</v>
      </c>
      <c r="L107" s="9">
        <v>618.58299999999997</v>
      </c>
      <c r="M107" s="9">
        <v>586.43700000000001</v>
      </c>
      <c r="N107" s="242">
        <v>0</v>
      </c>
      <c r="O107" s="242">
        <v>0</v>
      </c>
      <c r="P107" s="242">
        <v>0</v>
      </c>
      <c r="Q107" s="242">
        <v>0</v>
      </c>
      <c r="R107" s="243">
        <v>0</v>
      </c>
      <c r="S107" s="243">
        <v>0</v>
      </c>
      <c r="T107" s="859">
        <v>0</v>
      </c>
      <c r="U107" s="859">
        <v>0</v>
      </c>
      <c r="V107" s="10">
        <f>Tabel11011[[#This Row],[GW 2010]]+Tabel11011[[#This Row],[SP 2010]]+Tabel11011[[#This Row],[SFW 2010]]+Tabel11011[[#This Row],[OS 2010]]+Tabel11011[[#This Row],[I WATER 2010]]</f>
        <v>1179</v>
      </c>
      <c r="W107" s="10">
        <f>Tabel11011[[#This Row],[GW 2012]]+Tabel11011[[#This Row],[SP 2012]]+Tabel11011[[#This Row],[SFW 2012]]+Tabel11011[[#This Row],[OS 2012]]+Tabel11011[[#This Row],[I WATER 2012]]</f>
        <v>1161.9649999999999</v>
      </c>
      <c r="X107" s="10">
        <f>Tabel11011[[#This Row],[groundwater
 2014]]+Tabel11011[[#This Row],[springwater
 2014]]+Tabel11011[[#This Row],[surface water
 2014]]+Tabel11011[[#This Row],[other sources
 2014]]+Tabel11011[[#This Row],[imported water
 2014]]</f>
        <v>1015.4759999999999</v>
      </c>
      <c r="Y107" s="484">
        <f>Tabel11011[[#This Row],[groundwater
 2016]]+Tabel11011[[#This Row],[springwater
 2016]]+Tabel11011[[#This Row],[surface water
 2016]]+Tabel11011[[#This Row],[other sources
 2016]]+Tabel11011[[#This Row],[imported water
 2016]]</f>
        <v>1030.645</v>
      </c>
    </row>
    <row r="108" spans="1:25" x14ac:dyDescent="0.25">
      <c r="A108" s="251" t="s">
        <v>693</v>
      </c>
      <c r="B108" s="11" t="s">
        <v>5</v>
      </c>
      <c r="C108" s="11" t="s">
        <v>5</v>
      </c>
      <c r="D108" s="11">
        <v>8541.19</v>
      </c>
      <c r="E108" s="11">
        <v>11450</v>
      </c>
      <c r="F108" s="469" t="s">
        <v>5</v>
      </c>
      <c r="G108" s="469" t="s">
        <v>5</v>
      </c>
      <c r="H108" s="239">
        <v>0</v>
      </c>
      <c r="I108" s="239">
        <v>0</v>
      </c>
      <c r="J108" s="9" t="s">
        <v>5</v>
      </c>
      <c r="K108" s="9" t="s">
        <v>5</v>
      </c>
      <c r="L108" s="9">
        <v>49285.49</v>
      </c>
      <c r="M108" s="9">
        <v>58120</v>
      </c>
      <c r="N108" s="242" t="s">
        <v>5</v>
      </c>
      <c r="O108" s="242" t="s">
        <v>5</v>
      </c>
      <c r="P108" s="242">
        <v>0</v>
      </c>
      <c r="Q108" s="242">
        <v>0</v>
      </c>
      <c r="R108" s="243" t="s">
        <v>5</v>
      </c>
      <c r="S108" s="243" t="s">
        <v>5</v>
      </c>
      <c r="T108" s="859">
        <v>0</v>
      </c>
      <c r="U108" s="859">
        <v>0</v>
      </c>
      <c r="V108" s="10" t="s">
        <v>5</v>
      </c>
      <c r="W108" s="10" t="s">
        <v>5</v>
      </c>
      <c r="X108" s="10">
        <f>Tabel11011[[#This Row],[groundwater
 2014]]+Tabel11011[[#This Row],[springwater
 2014]]+Tabel11011[[#This Row],[surface water
 2014]]+Tabel11011[[#This Row],[other sources
 2014]]+Tabel11011[[#This Row],[imported water
 2014]]</f>
        <v>57826.68</v>
      </c>
      <c r="Y108" s="484">
        <f>Tabel11011[[#This Row],[groundwater
 2016]]+Tabel11011[[#This Row],[springwater
 2016]]+Tabel11011[[#This Row],[surface water
 2016]]+Tabel11011[[#This Row],[other sources
 2016]]+Tabel11011[[#This Row],[imported water
 2016]]</f>
        <v>69570</v>
      </c>
    </row>
    <row r="109" spans="1:25" x14ac:dyDescent="0.25">
      <c r="A109" s="251" t="s">
        <v>47</v>
      </c>
      <c r="B109" s="11">
        <v>18.812297000000001</v>
      </c>
      <c r="C109" s="11">
        <v>25.641249999999999</v>
      </c>
      <c r="D109" s="11">
        <v>25.767175000000002</v>
      </c>
      <c r="E109" s="11">
        <v>19.994700000000002</v>
      </c>
      <c r="F109" s="239">
        <v>0</v>
      </c>
      <c r="G109" s="239">
        <v>0</v>
      </c>
      <c r="H109" s="239">
        <v>0</v>
      </c>
      <c r="I109" s="239">
        <v>0</v>
      </c>
      <c r="J109" s="9">
        <v>716.94930199999999</v>
      </c>
      <c r="K109" s="9">
        <v>645.94889499999999</v>
      </c>
      <c r="L109" s="9">
        <v>633.66883499999994</v>
      </c>
      <c r="M109" s="9">
        <v>646.49530000000004</v>
      </c>
      <c r="N109" s="242">
        <v>0</v>
      </c>
      <c r="O109" s="242">
        <v>0</v>
      </c>
      <c r="P109" s="242">
        <v>0</v>
      </c>
      <c r="Q109" s="242">
        <v>0</v>
      </c>
      <c r="R109" s="243">
        <v>0</v>
      </c>
      <c r="S109" s="243">
        <v>0</v>
      </c>
      <c r="T109" s="859">
        <v>0</v>
      </c>
      <c r="U109" s="859">
        <v>0</v>
      </c>
      <c r="V109" s="10">
        <f>Tabel11011[[#This Row],[GW 2010]]+Tabel11011[[#This Row],[SP 2010]]+Tabel11011[[#This Row],[SFW 2010]]+Tabel11011[[#This Row],[OS 2010]]+Tabel11011[[#This Row],[I WATER 2010]]</f>
        <v>735.76159899999993</v>
      </c>
      <c r="W109" s="10">
        <f>Tabel11011[[#This Row],[GW 2012]]+Tabel11011[[#This Row],[SP 2012]]+Tabel11011[[#This Row],[SFW 2012]]+Tabel11011[[#This Row],[OS 2012]]+Tabel11011[[#This Row],[I WATER 2012]]</f>
        <v>671.59014500000001</v>
      </c>
      <c r="X109" s="10">
        <f>Tabel11011[[#This Row],[groundwater
 2014]]+Tabel11011[[#This Row],[springwater
 2014]]+Tabel11011[[#This Row],[surface water
 2014]]+Tabel11011[[#This Row],[other sources
 2014]]+Tabel11011[[#This Row],[imported water
 2014]]</f>
        <v>659.4360099999999</v>
      </c>
      <c r="Y109" s="484">
        <f>Tabel11011[[#This Row],[groundwater
 2016]]+Tabel11011[[#This Row],[springwater
 2016]]+Tabel11011[[#This Row],[surface water
 2016]]+Tabel11011[[#This Row],[other sources
 2016]]+Tabel11011[[#This Row],[imported water
 2016]]</f>
        <v>666.49</v>
      </c>
    </row>
    <row r="110" spans="1:25" x14ac:dyDescent="0.25">
      <c r="A110" s="251" t="s">
        <v>25</v>
      </c>
      <c r="B110" s="11">
        <v>555.60073499999999</v>
      </c>
      <c r="C110" s="11">
        <v>97.632086000000001</v>
      </c>
      <c r="D110" s="11">
        <v>102.256828</v>
      </c>
      <c r="E110" s="11">
        <v>145.559923</v>
      </c>
      <c r="F110" s="239">
        <v>0</v>
      </c>
      <c r="G110" s="239">
        <v>0</v>
      </c>
      <c r="H110" s="239">
        <v>0</v>
      </c>
      <c r="I110" s="239">
        <v>0</v>
      </c>
      <c r="J110" s="9">
        <v>6605.9377089999998</v>
      </c>
      <c r="K110" s="9">
        <v>7077.8447420000002</v>
      </c>
      <c r="L110" s="9">
        <v>7177.9778649999998</v>
      </c>
      <c r="M110" s="9">
        <v>6526.1456879999996</v>
      </c>
      <c r="N110" s="242">
        <v>0</v>
      </c>
      <c r="O110" s="242">
        <v>0</v>
      </c>
      <c r="P110" s="242">
        <v>0</v>
      </c>
      <c r="Q110" s="242">
        <v>0</v>
      </c>
      <c r="R110" s="243">
        <v>1.0059999999999999E-2</v>
      </c>
      <c r="S110" s="243">
        <v>0</v>
      </c>
      <c r="T110" s="859">
        <v>0</v>
      </c>
      <c r="U110" s="859">
        <v>0</v>
      </c>
      <c r="V110" s="10">
        <f>Tabel11011[[#This Row],[GW 2010]]+Tabel11011[[#This Row],[SP 2010]]+Tabel11011[[#This Row],[SFW 2010]]+Tabel11011[[#This Row],[OS 2010]]+Tabel11011[[#This Row],[I WATER 2010]]</f>
        <v>7161.5485039999994</v>
      </c>
      <c r="W110" s="10">
        <f>Tabel11011[[#This Row],[GW 2012]]+Tabel11011[[#This Row],[SP 2012]]+Tabel11011[[#This Row],[SFW 2012]]+Tabel11011[[#This Row],[OS 2012]]+Tabel11011[[#This Row],[I WATER 2012]]</f>
        <v>7175.4768279999998</v>
      </c>
      <c r="X110" s="10">
        <f>Tabel11011[[#This Row],[groundwater
 2014]]+Tabel11011[[#This Row],[springwater
 2014]]+Tabel11011[[#This Row],[surface water
 2014]]+Tabel11011[[#This Row],[other sources
 2014]]+Tabel11011[[#This Row],[imported water
 2014]]</f>
        <v>7280.2346929999994</v>
      </c>
      <c r="Y110" s="484">
        <f>Tabel11011[[#This Row],[groundwater
 2016]]+Tabel11011[[#This Row],[springwater
 2016]]+Tabel11011[[#This Row],[surface water
 2016]]+Tabel11011[[#This Row],[other sources
 2016]]+Tabel11011[[#This Row],[imported water
 2016]]</f>
        <v>6671.7056109999994</v>
      </c>
    </row>
    <row r="111" spans="1:25" x14ac:dyDescent="0.25">
      <c r="A111" s="251" t="s">
        <v>26</v>
      </c>
      <c r="B111" s="11">
        <v>615.24599999999998</v>
      </c>
      <c r="C111" s="11">
        <v>723.27</v>
      </c>
      <c r="D111" s="11">
        <v>1100.06</v>
      </c>
      <c r="E111" s="11">
        <v>1142.4000000000001</v>
      </c>
      <c r="F111" s="8">
        <v>134.87799999999999</v>
      </c>
      <c r="G111" s="239">
        <v>0</v>
      </c>
      <c r="H111" s="239">
        <v>0</v>
      </c>
      <c r="I111" s="239">
        <v>0</v>
      </c>
      <c r="J111" s="9">
        <v>4156.0240000000003</v>
      </c>
      <c r="K111" s="9">
        <v>3060.73</v>
      </c>
      <c r="L111" s="9">
        <v>3088.63</v>
      </c>
      <c r="M111" s="9">
        <v>2733.6</v>
      </c>
      <c r="N111" s="13">
        <v>151.73599999999999</v>
      </c>
      <c r="O111" s="13">
        <v>204.53</v>
      </c>
      <c r="P111" s="13">
        <v>84.62</v>
      </c>
      <c r="Q111" s="13">
        <v>204</v>
      </c>
      <c r="R111" s="243">
        <v>0</v>
      </c>
      <c r="S111" s="243">
        <v>0</v>
      </c>
      <c r="T111" s="859">
        <v>0</v>
      </c>
      <c r="U111" s="859">
        <v>0</v>
      </c>
      <c r="V111" s="10">
        <f>Tabel11011[[#This Row],[GW 2010]]+Tabel11011[[#This Row],[SP 2010]]+Tabel11011[[#This Row],[SFW 2010]]+Tabel11011[[#This Row],[OS 2010]]+Tabel11011[[#This Row],[I WATER 2010]]</f>
        <v>5057.884</v>
      </c>
      <c r="W111" s="10">
        <f>Tabel11011[[#This Row],[GW 2012]]+Tabel11011[[#This Row],[SP 2012]]+Tabel11011[[#This Row],[SFW 2012]]+Tabel11011[[#This Row],[OS 2012]]+Tabel11011[[#This Row],[I WATER 2012]]</f>
        <v>3988.53</v>
      </c>
      <c r="X111" s="10">
        <f>Tabel11011[[#This Row],[groundwater
 2014]]+Tabel11011[[#This Row],[springwater
 2014]]+Tabel11011[[#This Row],[surface water
 2014]]+Tabel11011[[#This Row],[other sources
 2014]]+Tabel11011[[#This Row],[imported water
 2014]]</f>
        <v>4273.3100000000004</v>
      </c>
      <c r="Y111" s="484">
        <f>Tabel11011[[#This Row],[groundwater
 2016]]+Tabel11011[[#This Row],[springwater
 2016]]+Tabel11011[[#This Row],[surface water
 2016]]+Tabel11011[[#This Row],[other sources
 2016]]+Tabel11011[[#This Row],[imported water
 2016]]</f>
        <v>4080</v>
      </c>
    </row>
    <row r="112" spans="1:25" x14ac:dyDescent="0.25">
      <c r="A112" s="251" t="s">
        <v>27</v>
      </c>
      <c r="B112" s="11">
        <v>197</v>
      </c>
      <c r="C112" s="11">
        <v>174</v>
      </c>
      <c r="D112" s="11" t="s">
        <v>5</v>
      </c>
      <c r="E112" s="11">
        <v>221.42599999999999</v>
      </c>
      <c r="F112" s="239">
        <v>0</v>
      </c>
      <c r="G112" s="239">
        <v>0</v>
      </c>
      <c r="H112" s="436" t="s">
        <v>5</v>
      </c>
      <c r="I112" s="857">
        <v>0</v>
      </c>
      <c r="J112" s="437">
        <v>490</v>
      </c>
      <c r="K112" s="437">
        <v>521</v>
      </c>
      <c r="L112" s="437" t="s">
        <v>5</v>
      </c>
      <c r="M112" s="437">
        <v>665</v>
      </c>
      <c r="N112" s="439">
        <v>222</v>
      </c>
      <c r="O112" s="439">
        <v>175</v>
      </c>
      <c r="P112" s="858" t="s">
        <v>5</v>
      </c>
      <c r="Q112" s="439">
        <v>0</v>
      </c>
      <c r="R112" s="243">
        <v>0</v>
      </c>
      <c r="S112" s="243">
        <v>0</v>
      </c>
      <c r="T112" s="243" t="s">
        <v>5</v>
      </c>
      <c r="U112" s="859">
        <v>0</v>
      </c>
      <c r="V112" s="10">
        <f>Tabel11011[[#This Row],[GW 2010]]+Tabel11011[[#This Row],[SP 2010]]+Tabel11011[[#This Row],[SFW 2010]]+Tabel11011[[#This Row],[OS 2010]]+Tabel11011[[#This Row],[I WATER 2010]]</f>
        <v>909</v>
      </c>
      <c r="W112" s="10">
        <f>Tabel11011[[#This Row],[GW 2012]]+Tabel11011[[#This Row],[SP 2012]]+Tabel11011[[#This Row],[SFW 2012]]+Tabel11011[[#This Row],[OS 2012]]+Tabel11011[[#This Row],[I WATER 2012]]</f>
        <v>870</v>
      </c>
      <c r="X112" s="10" t="s">
        <v>5</v>
      </c>
      <c r="Y112" s="484">
        <f>Tabel11011[[#This Row],[groundwater
 2016]]+Tabel11011[[#This Row],[springwater
 2016]]+Tabel11011[[#This Row],[surface water
 2016]]+Tabel11011[[#This Row],[other sources
 2016]]+Tabel11011[[#This Row],[imported water
 2016]]</f>
        <v>886.42599999999993</v>
      </c>
    </row>
    <row r="113" spans="1:25" x14ac:dyDescent="0.25">
      <c r="A113" s="251" t="s">
        <v>28</v>
      </c>
      <c r="B113" s="11">
        <v>382</v>
      </c>
      <c r="C113" s="11">
        <v>397</v>
      </c>
      <c r="D113" s="11">
        <v>376</v>
      </c>
      <c r="E113" s="11">
        <v>374</v>
      </c>
      <c r="F113" s="8">
        <v>369</v>
      </c>
      <c r="G113" s="8">
        <v>364</v>
      </c>
      <c r="H113" s="8">
        <v>360</v>
      </c>
      <c r="I113" s="8">
        <v>372</v>
      </c>
      <c r="J113" s="9">
        <v>189</v>
      </c>
      <c r="K113" s="9">
        <v>174</v>
      </c>
      <c r="L113" s="9">
        <v>165</v>
      </c>
      <c r="M113" s="9">
        <v>177</v>
      </c>
      <c r="N113" s="242">
        <v>0</v>
      </c>
      <c r="O113" s="242">
        <v>0</v>
      </c>
      <c r="P113" s="242">
        <v>0</v>
      </c>
      <c r="Q113" s="242">
        <v>0</v>
      </c>
      <c r="R113" s="243">
        <v>0</v>
      </c>
      <c r="S113" s="243">
        <v>0</v>
      </c>
      <c r="T113" s="859">
        <v>0</v>
      </c>
      <c r="U113" s="859">
        <v>0</v>
      </c>
      <c r="V113" s="10">
        <f>Tabel11011[[#This Row],[GW 2010]]+Tabel11011[[#This Row],[SP 2010]]+Tabel11011[[#This Row],[SFW 2010]]+Tabel11011[[#This Row],[OS 2010]]+Tabel11011[[#This Row],[I WATER 2010]]</f>
        <v>940</v>
      </c>
      <c r="W113" s="10">
        <f>Tabel11011[[#This Row],[GW 2012]]+Tabel11011[[#This Row],[SP 2012]]+Tabel11011[[#This Row],[SFW 2012]]+Tabel11011[[#This Row],[OS 2012]]+Tabel11011[[#This Row],[I WATER 2012]]</f>
        <v>935</v>
      </c>
      <c r="X113" s="10">
        <f>Tabel11011[[#This Row],[groundwater
 2014]]+Tabel11011[[#This Row],[springwater
 2014]]+Tabel11011[[#This Row],[surface water
 2014]]+Tabel11011[[#This Row],[other sources
 2014]]+Tabel11011[[#This Row],[imported water
 2014]]</f>
        <v>901</v>
      </c>
      <c r="Y113" s="484">
        <f>Tabel11011[[#This Row],[groundwater
 2016]]+Tabel11011[[#This Row],[springwater
 2016]]+Tabel11011[[#This Row],[surface water
 2016]]+Tabel11011[[#This Row],[other sources
 2016]]+Tabel11011[[#This Row],[imported water
 2016]]</f>
        <v>923</v>
      </c>
    </row>
    <row r="114" spans="1:25" x14ac:dyDescent="0.25">
      <c r="A114" s="251" t="s">
        <v>706</v>
      </c>
      <c r="B114" s="11"/>
      <c r="C114" s="11"/>
      <c r="D114" s="11">
        <v>26</v>
      </c>
      <c r="E114" s="11" t="s">
        <v>5</v>
      </c>
      <c r="F114" s="8" t="s">
        <v>5</v>
      </c>
      <c r="G114" s="8" t="s">
        <v>5</v>
      </c>
      <c r="H114" s="8">
        <v>23</v>
      </c>
      <c r="I114" s="8" t="s">
        <v>5</v>
      </c>
      <c r="J114" s="9" t="s">
        <v>5</v>
      </c>
      <c r="K114" s="9" t="s">
        <v>5</v>
      </c>
      <c r="L114" s="9">
        <v>89</v>
      </c>
      <c r="M114" s="9" t="s">
        <v>5</v>
      </c>
      <c r="N114" s="242" t="s">
        <v>5</v>
      </c>
      <c r="O114" s="242" t="s">
        <v>5</v>
      </c>
      <c r="P114" s="242">
        <v>0</v>
      </c>
      <c r="Q114" s="482" t="s">
        <v>5</v>
      </c>
      <c r="R114" s="243">
        <v>0</v>
      </c>
      <c r="S114" s="243">
        <v>0</v>
      </c>
      <c r="T114" s="859">
        <v>0</v>
      </c>
      <c r="U114" s="243" t="s">
        <v>5</v>
      </c>
      <c r="V114" s="10" t="e">
        <f>Tabel11011[[#This Row],[GW 2010]]+Tabel11011[[#This Row],[SP 2010]]+Tabel11011[[#This Row],[SFW 2010]]+Tabel11011[[#This Row],[OS 2010]]+Tabel11011[[#This Row],[I WATER 2010]]</f>
        <v>#VALUE!</v>
      </c>
      <c r="W114" s="10" t="e">
        <f>Tabel11011[[#This Row],[GW 2012]]+Tabel11011[[#This Row],[SP 2012]]+Tabel11011[[#This Row],[SFW 2012]]+Tabel11011[[#This Row],[OS 2012]]+Tabel11011[[#This Row],[I WATER 2012]]</f>
        <v>#VALUE!</v>
      </c>
      <c r="X114" s="10">
        <f>Tabel11011[[#This Row],[groundwater
 2014]]+Tabel11011[[#This Row],[springwater
 2014]]+Tabel11011[[#This Row],[surface water
 2014]]+Tabel11011[[#This Row],[other sources
 2014]]+Tabel11011[[#This Row],[imported water
 2014]]</f>
        <v>138</v>
      </c>
      <c r="Y114" s="10" t="s">
        <v>5</v>
      </c>
    </row>
    <row r="115" spans="1:25" x14ac:dyDescent="0.25">
      <c r="A115" s="251" t="s">
        <v>737</v>
      </c>
      <c r="B115" s="11"/>
      <c r="C115" s="11"/>
      <c r="D115" s="11">
        <v>27.908895999999999</v>
      </c>
      <c r="E115" s="11" t="s">
        <v>5</v>
      </c>
      <c r="F115" s="8" t="s">
        <v>5</v>
      </c>
      <c r="G115" s="8" t="s">
        <v>5</v>
      </c>
      <c r="H115" s="239">
        <v>0</v>
      </c>
      <c r="I115" s="8" t="s">
        <v>5</v>
      </c>
      <c r="J115" s="9" t="s">
        <v>5</v>
      </c>
      <c r="K115" s="9" t="s">
        <v>5</v>
      </c>
      <c r="L115" s="9">
        <v>1590.644812</v>
      </c>
      <c r="M115" s="9" t="s">
        <v>5</v>
      </c>
      <c r="N115" s="242" t="s">
        <v>5</v>
      </c>
      <c r="O115" s="242" t="s">
        <v>5</v>
      </c>
      <c r="P115" s="242">
        <v>4.0565259999999999</v>
      </c>
      <c r="Q115" s="482" t="s">
        <v>5</v>
      </c>
      <c r="R115" s="243" t="s">
        <v>5</v>
      </c>
      <c r="S115" s="243" t="s">
        <v>5</v>
      </c>
      <c r="T115" s="859">
        <v>0</v>
      </c>
      <c r="U115" s="243" t="s">
        <v>5</v>
      </c>
      <c r="V115" s="10" t="e">
        <f>Tabel11011[[#This Row],[GW 2010]]+Tabel11011[[#This Row],[SP 2010]]+Tabel11011[[#This Row],[SFW 2010]]+Tabel11011[[#This Row],[OS 2010]]+Tabel11011[[#This Row],[I WATER 2010]]</f>
        <v>#VALUE!</v>
      </c>
      <c r="W115" s="10" t="e">
        <f>Tabel11011[[#This Row],[GW 2012]]+Tabel11011[[#This Row],[SP 2012]]+Tabel11011[[#This Row],[SFW 2012]]+Tabel11011[[#This Row],[OS 2012]]+Tabel11011[[#This Row],[I WATER 2012]]</f>
        <v>#VALUE!</v>
      </c>
      <c r="X115" s="10">
        <f>Tabel11011[[#This Row],[groundwater
 2014]]+Tabel11011[[#This Row],[springwater
 2014]]+Tabel11011[[#This Row],[surface water
 2014]]+Tabel11011[[#This Row],[other sources
 2014]]+Tabel11011[[#This Row],[imported water
 2014]]</f>
        <v>1622.610234</v>
      </c>
      <c r="Y115" s="10" t="s">
        <v>5</v>
      </c>
    </row>
    <row r="116" spans="1:25" x14ac:dyDescent="0.25">
      <c r="A116" s="251" t="s">
        <v>927</v>
      </c>
      <c r="B116" s="11" t="s">
        <v>5</v>
      </c>
      <c r="C116" s="11" t="s">
        <v>5</v>
      </c>
      <c r="D116" s="11" t="s">
        <v>5</v>
      </c>
      <c r="E116" s="11">
        <v>1563.154</v>
      </c>
      <c r="F116" s="8" t="s">
        <v>5</v>
      </c>
      <c r="G116" s="8" t="s">
        <v>5</v>
      </c>
      <c r="H116" s="8" t="s">
        <v>5</v>
      </c>
      <c r="I116" s="8">
        <v>1000.205</v>
      </c>
      <c r="J116" s="9" t="s">
        <v>5</v>
      </c>
      <c r="K116" s="9" t="s">
        <v>5</v>
      </c>
      <c r="L116" s="9" t="s">
        <v>5</v>
      </c>
      <c r="M116" s="9">
        <v>3275.203</v>
      </c>
      <c r="N116" s="242" t="s">
        <v>5</v>
      </c>
      <c r="O116" s="242" t="s">
        <v>5</v>
      </c>
      <c r="P116" s="482" t="s">
        <v>5</v>
      </c>
      <c r="Q116" s="242">
        <v>0</v>
      </c>
      <c r="R116" s="243" t="s">
        <v>5</v>
      </c>
      <c r="S116" s="243" t="s">
        <v>5</v>
      </c>
      <c r="T116" s="243" t="s">
        <v>5</v>
      </c>
      <c r="U116" s="859">
        <v>0</v>
      </c>
      <c r="V116" s="10" t="s">
        <v>5</v>
      </c>
      <c r="W116" s="10" t="s">
        <v>5</v>
      </c>
      <c r="X116" s="10" t="s">
        <v>5</v>
      </c>
      <c r="Y116" s="484">
        <f>Tabel11011[[#This Row],[groundwater
 2016]]+Tabel11011[[#This Row],[springwater
 2016]]+Tabel11011[[#This Row],[surface water
 2016]]+Tabel11011[[#This Row],[other sources
 2016]]+Tabel11011[[#This Row],[imported water
 2016]]</f>
        <v>5838.5619999999999</v>
      </c>
    </row>
    <row r="117" spans="1:25" x14ac:dyDescent="0.25">
      <c r="A117" s="251" t="s">
        <v>505</v>
      </c>
      <c r="B117" s="11" t="s">
        <v>5</v>
      </c>
      <c r="C117" s="11" t="s">
        <v>5</v>
      </c>
      <c r="D117" s="11">
        <v>2.5301719999999999</v>
      </c>
      <c r="E117" s="11">
        <f>138.522151-112.789568</f>
        <v>25.732583000000005</v>
      </c>
      <c r="F117" s="239">
        <v>0</v>
      </c>
      <c r="G117" s="469" t="s">
        <v>5</v>
      </c>
      <c r="H117" s="239">
        <v>0</v>
      </c>
      <c r="I117" s="239">
        <v>0</v>
      </c>
      <c r="J117" s="9" t="s">
        <v>5</v>
      </c>
      <c r="K117" s="9" t="s">
        <v>5</v>
      </c>
      <c r="L117" s="9">
        <v>97.082893999999996</v>
      </c>
      <c r="M117" s="9">
        <v>112.789568</v>
      </c>
      <c r="N117" s="242">
        <v>0</v>
      </c>
      <c r="O117" s="242" t="s">
        <v>5</v>
      </c>
      <c r="P117" s="242">
        <v>0</v>
      </c>
      <c r="Q117" s="242">
        <v>0</v>
      </c>
      <c r="R117" s="243">
        <v>0</v>
      </c>
      <c r="S117" s="243" t="s">
        <v>5</v>
      </c>
      <c r="T117" s="859">
        <v>0</v>
      </c>
      <c r="U117" s="859">
        <v>0</v>
      </c>
      <c r="V117" s="10">
        <v>72.14</v>
      </c>
      <c r="W117" s="10" t="s">
        <v>5</v>
      </c>
      <c r="X117" s="10">
        <f>Tabel11011[[#This Row],[groundwater
 2014]]+Tabel11011[[#This Row],[springwater
 2014]]+Tabel11011[[#This Row],[surface water
 2014]]+Tabel11011[[#This Row],[other sources
 2014]]+Tabel11011[[#This Row],[imported water
 2014]]</f>
        <v>99.613065999999989</v>
      </c>
      <c r="Y117" s="484">
        <f>Tabel11011[[#This Row],[groundwater
 2016]]+Tabel11011[[#This Row],[springwater
 2016]]+Tabel11011[[#This Row],[surface water
 2016]]+Tabel11011[[#This Row],[other sources
 2016]]+Tabel11011[[#This Row],[imported water
 2016]]</f>
        <v>138.52215100000001</v>
      </c>
    </row>
    <row r="118" spans="1:25" x14ac:dyDescent="0.25">
      <c r="A118" s="251" t="s">
        <v>31</v>
      </c>
      <c r="B118" s="11">
        <f>52169*29.8/100</f>
        <v>15546.361999999999</v>
      </c>
      <c r="C118" s="11">
        <v>11131.751496000001</v>
      </c>
      <c r="D118" s="11">
        <v>10389.898012</v>
      </c>
      <c r="E118" s="11">
        <v>21357.829862999999</v>
      </c>
      <c r="F118" s="239">
        <v>0</v>
      </c>
      <c r="G118" s="239">
        <v>0</v>
      </c>
      <c r="H118" s="239">
        <v>0</v>
      </c>
      <c r="I118" s="239">
        <v>0</v>
      </c>
      <c r="J118" s="9">
        <f>52169*50.4/100</f>
        <v>26293.175999999999</v>
      </c>
      <c r="K118" s="9">
        <v>36814.395531000002</v>
      </c>
      <c r="L118" s="9">
        <v>29763.211837999999</v>
      </c>
      <c r="M118" s="9">
        <v>28697.865395000001</v>
      </c>
      <c r="N118" s="13">
        <f>52169*19.8/100</f>
        <v>10329.462000000001</v>
      </c>
      <c r="O118" s="242">
        <v>0</v>
      </c>
      <c r="P118" s="13">
        <v>3439.039925</v>
      </c>
      <c r="Q118" s="13">
        <v>176.62464600000001</v>
      </c>
      <c r="R118" s="243">
        <v>0</v>
      </c>
      <c r="S118" s="243">
        <v>6776.3670179999999</v>
      </c>
      <c r="T118" s="860">
        <v>9048.8298049999994</v>
      </c>
      <c r="U118" s="860">
        <v>9201.5600190000005</v>
      </c>
      <c r="V118" s="10">
        <f>Tabel11011[[#This Row],[GW 2010]]+Tabel11011[[#This Row],[SP 2010]]+Tabel11011[[#This Row],[SFW 2010]]+Tabel11011[[#This Row],[OS 2010]]+Tabel11011[[#This Row],[I WATER 2010]]</f>
        <v>52169</v>
      </c>
      <c r="W118" s="10">
        <f>Tabel11011[[#This Row],[GW 2012]]+Tabel11011[[#This Row],[SP 2012]]+Tabel11011[[#This Row],[SFW 2012]]+Tabel11011[[#This Row],[OS 2012]]+Tabel11011[[#This Row],[I WATER 2012]]</f>
        <v>54722.514044999996</v>
      </c>
      <c r="X118" s="10">
        <f>Tabel11011[[#This Row],[groundwater
 2014]]+Tabel11011[[#This Row],[springwater
 2014]]+Tabel11011[[#This Row],[surface water
 2014]]+Tabel11011[[#This Row],[other sources
 2014]]+Tabel11011[[#This Row],[imported water
 2014]]</f>
        <v>52640.979579999999</v>
      </c>
      <c r="Y118" s="484">
        <f>Tabel11011[[#This Row],[groundwater
 2016]]+Tabel11011[[#This Row],[springwater
 2016]]+Tabel11011[[#This Row],[surface water
 2016]]+Tabel11011[[#This Row],[other sources
 2016]]+Tabel11011[[#This Row],[imported water
 2016]]</f>
        <v>59433.879923</v>
      </c>
    </row>
    <row r="119" spans="1:25" x14ac:dyDescent="0.25">
      <c r="A119" s="1686" t="s">
        <v>718</v>
      </c>
      <c r="B119" s="1687">
        <f>52169*29.8/100</f>
        <v>15546.361999999999</v>
      </c>
      <c r="C119" s="1687">
        <v>11131.751496000001</v>
      </c>
      <c r="D119" s="1687">
        <v>142.43</v>
      </c>
      <c r="E119" s="1687" t="s">
        <v>5</v>
      </c>
      <c r="F119" s="1688" t="s">
        <v>5</v>
      </c>
      <c r="G119" s="1688" t="s">
        <v>5</v>
      </c>
      <c r="H119" s="1688">
        <v>0</v>
      </c>
      <c r="I119" s="1694" t="s">
        <v>5</v>
      </c>
      <c r="J119" s="1689" t="s">
        <v>5</v>
      </c>
      <c r="K119" s="1689" t="s">
        <v>5</v>
      </c>
      <c r="L119" s="1689">
        <v>226.024</v>
      </c>
      <c r="M119" s="1689" t="s">
        <v>5</v>
      </c>
      <c r="N119" s="1690" t="s">
        <v>5</v>
      </c>
      <c r="O119" s="1690" t="s">
        <v>5</v>
      </c>
      <c r="P119" s="1690">
        <v>0</v>
      </c>
      <c r="Q119" s="1696" t="s">
        <v>5</v>
      </c>
      <c r="R119" s="1691" t="s">
        <v>5</v>
      </c>
      <c r="S119" s="1691" t="s">
        <v>5</v>
      </c>
      <c r="T119" s="1698">
        <v>0</v>
      </c>
      <c r="U119" s="1691" t="s">
        <v>5</v>
      </c>
      <c r="V119" s="1692" t="e">
        <f>Tabel11011[[#This Row],[GW 2010]]+Tabel11011[[#This Row],[SP 2010]]+Tabel11011[[#This Row],[SFW 2010]]+Tabel11011[[#This Row],[OS 2010]]+Tabel11011[[#This Row],[I WATER 2010]]</f>
        <v>#VALUE!</v>
      </c>
      <c r="W119" s="1693" t="e">
        <f>Tabel11011[[#This Row],[GW 2012]]+Tabel11011[[#This Row],[SP 2012]]+Tabel11011[[#This Row],[SFW 2012]]+Tabel11011[[#This Row],[OS 2012]]+Tabel11011[[#This Row],[I WATER 2012]]</f>
        <v>#VALUE!</v>
      </c>
      <c r="X119" s="1692">
        <f>Tabel11011[[#This Row],[groundwater
 2014]]+Tabel11011[[#This Row],[springwater
 2014]]+Tabel11011[[#This Row],[surface water
 2014]]+Tabel11011[[#This Row],[other sources
 2014]]+Tabel11011[[#This Row],[imported water
 2014]]</f>
        <v>368.45400000000001</v>
      </c>
      <c r="Y119" s="1692" t="s">
        <v>5</v>
      </c>
    </row>
  </sheetData>
  <mergeCells count="12">
    <mergeCell ref="T73:U73"/>
    <mergeCell ref="X73:Y73"/>
    <mergeCell ref="D73:E73"/>
    <mergeCell ref="H73:I73"/>
    <mergeCell ref="L73:M73"/>
    <mergeCell ref="P73:Q73"/>
    <mergeCell ref="V4:Y4"/>
    <mergeCell ref="B4:E4"/>
    <mergeCell ref="F4:I4"/>
    <mergeCell ref="J4:M4"/>
    <mergeCell ref="N4:Q4"/>
    <mergeCell ref="R4:U4"/>
  </mergeCells>
  <pageMargins left="0.7" right="0.7" top="0.75" bottom="0.75" header="0.3" footer="0.3"/>
  <pageSetup paperSize="9" orientation="portrait" r:id="rId1"/>
  <legacyDrawing r:id="rId2"/>
  <tableParts count="2">
    <tablePart r:id="rId3"/>
    <tablePart r:id="rId4"/>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W121"/>
  <sheetViews>
    <sheetView topLeftCell="F1" zoomScaleNormal="100" workbookViewId="0">
      <selection activeCell="G77" activeCellId="1" sqref="A104 A1:XFD1048576"/>
    </sheetView>
  </sheetViews>
  <sheetFormatPr defaultColWidth="9.140625" defaultRowHeight="15.75" x14ac:dyDescent="0.25"/>
  <cols>
    <col min="1" max="1" width="28.85546875" style="1" customWidth="1"/>
    <col min="2" max="2" width="14.28515625" style="1" customWidth="1"/>
    <col min="3" max="5" width="16.42578125" style="1" customWidth="1"/>
    <col min="6" max="6" width="14.140625" style="1" customWidth="1"/>
    <col min="7" max="10" width="15.7109375" style="1" customWidth="1"/>
    <col min="11" max="13" width="16.85546875" style="1" customWidth="1"/>
    <col min="14" max="14" width="13.42578125" style="1" customWidth="1"/>
    <col min="15" max="17" width="15.42578125" style="1" customWidth="1"/>
    <col min="18" max="18" width="21.28515625" style="1" bestFit="1" customWidth="1"/>
    <col min="19" max="19" width="23.7109375" style="1" bestFit="1" customWidth="1"/>
    <col min="20" max="21" width="23.7109375" style="1" customWidth="1"/>
    <col min="22" max="22" width="21.7109375" style="1" customWidth="1"/>
    <col min="23" max="23" width="13.7109375" style="1" customWidth="1"/>
    <col min="24" max="16384" width="9.140625" style="1"/>
  </cols>
  <sheetData>
    <row r="1" spans="1:23" ht="18.75" customHeight="1" x14ac:dyDescent="0.3">
      <c r="A1" s="253" t="s">
        <v>1168</v>
      </c>
      <c r="B1" s="252"/>
      <c r="C1" s="252"/>
      <c r="D1" s="254"/>
      <c r="E1" s="488"/>
      <c r="F1"/>
      <c r="G1"/>
      <c r="H1"/>
      <c r="I1"/>
      <c r="J1"/>
      <c r="K1"/>
      <c r="L1"/>
      <c r="M1"/>
      <c r="N1" s="489"/>
      <c r="O1" s="190"/>
      <c r="P1" s="190"/>
      <c r="Q1" s="190"/>
      <c r="R1" s="190"/>
      <c r="S1" s="190"/>
      <c r="T1" s="190"/>
      <c r="U1" s="190"/>
      <c r="V1" s="190"/>
      <c r="W1" s="190"/>
    </row>
    <row r="2" spans="1:23" ht="15" customHeight="1" thickBot="1" x14ac:dyDescent="0.3">
      <c r="A2" s="464" t="s">
        <v>1167</v>
      </c>
      <c r="B2" s="418"/>
      <c r="C2" s="418"/>
      <c r="D2" s="487"/>
      <c r="E2" s="407"/>
      <c r="F2" s="2"/>
      <c r="J2" s="191"/>
      <c r="K2" s="191"/>
      <c r="L2" s="191"/>
      <c r="M2" s="191"/>
      <c r="N2" s="191"/>
      <c r="O2" s="191"/>
      <c r="P2" s="191"/>
      <c r="Q2" s="191"/>
      <c r="R2" s="191"/>
      <c r="S2" s="191"/>
      <c r="T2" s="191"/>
      <c r="U2" s="191"/>
      <c r="V2" s="191"/>
      <c r="W2" s="191"/>
    </row>
    <row r="3" spans="1:23" ht="15" customHeight="1" x14ac:dyDescent="0.25">
      <c r="A3" s="4"/>
      <c r="B3" s="4"/>
      <c r="C3" s="4"/>
      <c r="D3" s="4"/>
      <c r="E3" s="4"/>
    </row>
    <row r="4" spans="1:23" ht="37.5" hidden="1" customHeight="1" x14ac:dyDescent="0.25">
      <c r="B4" s="1737" t="s">
        <v>509</v>
      </c>
      <c r="C4" s="1737"/>
      <c r="D4" s="1737"/>
      <c r="E4" s="1737"/>
      <c r="F4" s="1738" t="s">
        <v>0</v>
      </c>
      <c r="G4" s="1738"/>
      <c r="H4" s="1738"/>
      <c r="I4" s="1738"/>
      <c r="J4" s="1739" t="s">
        <v>321</v>
      </c>
      <c r="K4" s="1739"/>
      <c r="L4" s="1739"/>
      <c r="M4" s="1739"/>
      <c r="N4" s="1740" t="s">
        <v>1</v>
      </c>
      <c r="O4" s="1740"/>
      <c r="P4" s="1740"/>
      <c r="Q4" s="1740"/>
      <c r="R4" s="1741" t="s">
        <v>322</v>
      </c>
      <c r="S4" s="1741"/>
      <c r="T4" s="1741"/>
      <c r="U4" s="1741"/>
      <c r="V4" s="1742" t="s">
        <v>2</v>
      </c>
      <c r="W4" s="1742"/>
    </row>
    <row r="5" spans="1:23" s="14" customFormat="1" hidden="1" x14ac:dyDescent="0.25">
      <c r="A5" s="14" t="s">
        <v>3</v>
      </c>
      <c r="B5" s="5" t="s">
        <v>646</v>
      </c>
      <c r="C5" s="5" t="s">
        <v>653</v>
      </c>
      <c r="D5" s="5" t="s">
        <v>781</v>
      </c>
      <c r="E5" s="5" t="s">
        <v>787</v>
      </c>
      <c r="F5" s="6" t="s">
        <v>647</v>
      </c>
      <c r="G5" s="6" t="s">
        <v>654</v>
      </c>
      <c r="H5" s="6" t="s">
        <v>782</v>
      </c>
      <c r="I5" s="6" t="s">
        <v>788</v>
      </c>
      <c r="J5" s="3" t="s">
        <v>648</v>
      </c>
      <c r="K5" s="3" t="s">
        <v>655</v>
      </c>
      <c r="L5" s="3" t="s">
        <v>783</v>
      </c>
      <c r="M5" s="3" t="s">
        <v>789</v>
      </c>
      <c r="N5" s="12" t="s">
        <v>650</v>
      </c>
      <c r="O5" s="12" t="s">
        <v>656</v>
      </c>
      <c r="P5" s="12" t="s">
        <v>784</v>
      </c>
      <c r="Q5" s="12" t="s">
        <v>790</v>
      </c>
      <c r="R5" s="72" t="s">
        <v>651</v>
      </c>
      <c r="S5" s="72" t="s">
        <v>657</v>
      </c>
      <c r="T5" s="72" t="s">
        <v>785</v>
      </c>
      <c r="U5" s="72" t="s">
        <v>791</v>
      </c>
      <c r="V5" s="7" t="s">
        <v>652</v>
      </c>
      <c r="W5" s="7" t="s">
        <v>786</v>
      </c>
    </row>
    <row r="6" spans="1:23" hidden="1" x14ac:dyDescent="0.25">
      <c r="A6" s="33" t="s">
        <v>33</v>
      </c>
      <c r="B6" s="15" t="e">
        <f>#REF!</f>
        <v>#REF!</v>
      </c>
      <c r="C6" s="15" t="s">
        <v>5</v>
      </c>
      <c r="D6" s="15" t="e">
        <f>#REF!</f>
        <v>#REF!</v>
      </c>
      <c r="E6" s="15" t="e">
        <f>Tabel11219[[#This Row],[GW 2016]]/Tabel11219[[#This Row],[TOTAL 2016]]*100</f>
        <v>#REF!</v>
      </c>
      <c r="F6" s="16" t="e">
        <f>#REF!</f>
        <v>#REF!</v>
      </c>
      <c r="G6" s="16" t="s">
        <v>5</v>
      </c>
      <c r="H6" s="16" t="e">
        <f>#REF!</f>
        <v>#REF!</v>
      </c>
      <c r="I6" s="16" t="e">
        <f>Tabel11219[[#This Row],[SP 2016]]/Tabel11219[[#This Row],[TOTAL 2016]]*100</f>
        <v>#REF!</v>
      </c>
      <c r="J6" s="9" t="e">
        <f>#REF!</f>
        <v>#REF!</v>
      </c>
      <c r="K6" s="9" t="s">
        <v>5</v>
      </c>
      <c r="L6" s="9" t="e">
        <f>#REF!</f>
        <v>#REF!</v>
      </c>
      <c r="M6" s="9" t="e">
        <f>Tabel11219[[#This Row],[SFW 2016]]/Tabel11219[[#This Row],[TOTAL 2016]]*100</f>
        <v>#REF!</v>
      </c>
      <c r="N6" s="13" t="e">
        <f>#REF!</f>
        <v>#REF!</v>
      </c>
      <c r="O6" s="13" t="s">
        <v>5</v>
      </c>
      <c r="P6" s="13" t="e">
        <f>#REF!</f>
        <v>#REF!</v>
      </c>
      <c r="Q6" s="13" t="e">
        <f>Tabel11219[[#This Row],[OS 2016]]/Tabel11219[[#This Row],[TOTAL 2016]]*100</f>
        <v>#REF!</v>
      </c>
      <c r="R6" s="73" t="e">
        <f>#REF!</f>
        <v>#REF!</v>
      </c>
      <c r="S6" s="73" t="s">
        <v>5</v>
      </c>
      <c r="T6" s="73" t="e">
        <f>#REF!</f>
        <v>#REF!</v>
      </c>
      <c r="U6" s="73" t="e">
        <f>Tabel11219[[#This Row],[I/E WATER 2016]]/Tabel11219[[#This Row],[TOTAL 2016]]*100</f>
        <v>#REF!</v>
      </c>
      <c r="V6" s="10" t="s">
        <v>5</v>
      </c>
      <c r="W6" s="10" t="e">
        <f>Tabel11219[[#This Row],[GW 2016]]+Tabel11219[[#This Row],[SP 2016]]+Tabel11219[[#This Row],[SFW 2016]]+Tabel11219[[#This Row],[OS 2016]]+Tabel11219[[#This Row],[I/E WATER 2016]]</f>
        <v>#REF!</v>
      </c>
    </row>
    <row r="7" spans="1:23" hidden="1" x14ac:dyDescent="0.25">
      <c r="A7" s="33" t="s">
        <v>524</v>
      </c>
      <c r="B7" s="15" t="e">
        <f>#REF!</f>
        <v>#REF!</v>
      </c>
      <c r="C7" s="15" t="s">
        <v>5</v>
      </c>
      <c r="D7" s="15" t="e">
        <f>#REF!</f>
        <v>#REF!</v>
      </c>
      <c r="E7" s="15" t="s">
        <v>5</v>
      </c>
      <c r="F7" s="16" t="e">
        <f>#REF!</f>
        <v>#REF!</v>
      </c>
      <c r="G7" s="16" t="s">
        <v>5</v>
      </c>
      <c r="H7" s="16" t="e">
        <f>#REF!</f>
        <v>#REF!</v>
      </c>
      <c r="I7" s="16" t="e">
        <f>Tabel11219[[#This Row],[SP 2016]]/Tabel11219[[#This Row],[TOTAL 2016]]*100</f>
        <v>#REF!</v>
      </c>
      <c r="J7" s="9" t="e">
        <f>#REF!</f>
        <v>#REF!</v>
      </c>
      <c r="K7" s="9" t="s">
        <v>5</v>
      </c>
      <c r="L7" s="9" t="e">
        <f>#REF!</f>
        <v>#REF!</v>
      </c>
      <c r="M7" s="9" t="e">
        <f>Tabel11219[[#This Row],[SFW 2016]]/Tabel11219[[#This Row],[TOTAL 2016]]*100</f>
        <v>#REF!</v>
      </c>
      <c r="N7" s="13" t="e">
        <f>#REF!</f>
        <v>#REF!</v>
      </c>
      <c r="O7" s="13" t="s">
        <v>5</v>
      </c>
      <c r="P7" s="13" t="e">
        <f>#REF!</f>
        <v>#REF!</v>
      </c>
      <c r="Q7" s="13" t="s">
        <v>5</v>
      </c>
      <c r="R7" s="73" t="e">
        <f>#REF!</f>
        <v>#REF!</v>
      </c>
      <c r="S7" s="73" t="s">
        <v>5</v>
      </c>
      <c r="T7" s="73" t="e">
        <f>#REF!</f>
        <v>#REF!</v>
      </c>
      <c r="U7" s="73" t="s">
        <v>5</v>
      </c>
      <c r="V7" s="10" t="s">
        <v>5</v>
      </c>
      <c r="W7" s="10" t="e">
        <f>Tabel11219[[#This Row],[SP 2016]]+Tabel11219[[#This Row],[SFW 2016]]</f>
        <v>#REF!</v>
      </c>
    </row>
    <row r="8" spans="1:23" hidden="1" x14ac:dyDescent="0.25">
      <c r="A8" s="33" t="s">
        <v>34</v>
      </c>
      <c r="B8" s="15" t="e">
        <f>#REF!</f>
        <v>#REF!</v>
      </c>
      <c r="C8" s="15" t="e">
        <f>Tabel11219[[#This Row],[GW 2014]]/Tabel11219[[#This Row],[TOTAL 2014]]*100</f>
        <v>#REF!</v>
      </c>
      <c r="D8" s="15" t="e">
        <f>#REF!</f>
        <v>#REF!</v>
      </c>
      <c r="E8" s="15" t="e">
        <f>Tabel11219[[#This Row],[GW 2016]]/Tabel11219[[#This Row],[TOTAL 2016]]*100</f>
        <v>#REF!</v>
      </c>
      <c r="F8" s="16" t="e">
        <f>#REF!</f>
        <v>#REF!</v>
      </c>
      <c r="G8" s="16" t="e">
        <f>Tabel11219[[#This Row],[SP 2014]]/Tabel11219[[#This Row],[TOTAL 2014]]*100</f>
        <v>#REF!</v>
      </c>
      <c r="H8" s="16" t="e">
        <f>#REF!</f>
        <v>#REF!</v>
      </c>
      <c r="I8" s="16" t="e">
        <f>Tabel11219[[#This Row],[SP 2016]]/Tabel11219[[#This Row],[TOTAL 2016]]*100</f>
        <v>#REF!</v>
      </c>
      <c r="J8" s="9" t="e">
        <f>#REF!</f>
        <v>#REF!</v>
      </c>
      <c r="K8" s="9" t="e">
        <f>Tabel11219[[#This Row],[SFW 2014]]/Tabel11219[[#This Row],[TOTAL 2014]]*100</f>
        <v>#REF!</v>
      </c>
      <c r="L8" s="9" t="e">
        <f>#REF!</f>
        <v>#REF!</v>
      </c>
      <c r="M8" s="9" t="e">
        <f>Tabel11219[[#This Row],[SFW 2016]]/Tabel11219[[#This Row],[TOTAL 2016]]*100</f>
        <v>#REF!</v>
      </c>
      <c r="N8" s="13" t="e">
        <f>#REF!</f>
        <v>#REF!</v>
      </c>
      <c r="O8" s="13" t="e">
        <f>Tabel11219[[#This Row],[OS 2014]]/Tabel11219[[#This Row],[TOTAL 2014]]*100</f>
        <v>#REF!</v>
      </c>
      <c r="P8" s="13" t="e">
        <f>#REF!</f>
        <v>#REF!</v>
      </c>
      <c r="Q8" s="13" t="e">
        <f>Tabel11219[[#This Row],[OS 2016]]/Tabel11219[[#This Row],[TOTAL 2016]]*100</f>
        <v>#REF!</v>
      </c>
      <c r="R8" s="73" t="e">
        <f>#REF!</f>
        <v>#REF!</v>
      </c>
      <c r="S8" s="73" t="e">
        <f>Tabel11219[[#This Row],[I/E WATER 2014]]/Tabel11219[[#This Row],[TOTAL 2014]]*100</f>
        <v>#REF!</v>
      </c>
      <c r="T8" s="73" t="e">
        <f>#REF!</f>
        <v>#REF!</v>
      </c>
      <c r="U8" s="73" t="e">
        <f>Tabel11219[[#This Row],[I/E WATER 2016]]/Tabel11219[[#This Row],[TOTAL 2016]]*100</f>
        <v>#REF!</v>
      </c>
      <c r="V8" s="10" t="e">
        <f>Tabel11219[[#This Row],[GW 2014]]+Tabel11219[[#This Row],[SP 2014]]+Tabel11219[[#This Row],[SFW 2014]]+Tabel11219[[#This Row],[OS 2014]]+Tabel11219[[#This Row],[I/E WATER 2014]]</f>
        <v>#REF!</v>
      </c>
      <c r="W8" s="10" t="e">
        <f>Tabel11219[[#This Row],[GW 2016]]+Tabel11219[[#This Row],[SP 2016]]+Tabel11219[[#This Row],[SFW 2016]]+Tabel11219[[#This Row],[OS 2016]]+Tabel11219[[#This Row],[I/E WATER 2016]]</f>
        <v>#REF!</v>
      </c>
    </row>
    <row r="9" spans="1:23" hidden="1" x14ac:dyDescent="0.25">
      <c r="A9" s="536" t="s">
        <v>4</v>
      </c>
      <c r="B9" s="15" t="e">
        <f>#REF!</f>
        <v>#REF!</v>
      </c>
      <c r="C9" s="11" t="s">
        <v>5</v>
      </c>
      <c r="D9" s="11" t="e">
        <f>#REF!</f>
        <v>#REF!</v>
      </c>
      <c r="E9" s="11" t="e">
        <f>Tabel11219[[#This Row],[GW 2016]]/Tabel11219[[#This Row],[TOTAL 2016]]*100</f>
        <v>#REF!</v>
      </c>
      <c r="F9" s="16" t="e">
        <f>#REF!</f>
        <v>#REF!</v>
      </c>
      <c r="G9" s="8" t="s">
        <v>5</v>
      </c>
      <c r="H9" s="8" t="e">
        <f>#REF!</f>
        <v>#REF!</v>
      </c>
      <c r="I9" s="8" t="e">
        <f>Tabel11219[[#This Row],[SP 2016]]/Tabel11219[[#This Row],[TOTAL 2016]]*100</f>
        <v>#REF!</v>
      </c>
      <c r="J9" s="9" t="e">
        <f>#REF!</f>
        <v>#REF!</v>
      </c>
      <c r="K9" s="9" t="s">
        <v>5</v>
      </c>
      <c r="L9" s="9" t="e">
        <f>#REF!</f>
        <v>#REF!</v>
      </c>
      <c r="M9" s="9" t="e">
        <f>Tabel11219[[#This Row],[SFW 2016]]/Tabel11219[[#This Row],[TOTAL 2016]]*100</f>
        <v>#REF!</v>
      </c>
      <c r="N9" s="13" t="e">
        <f>#REF!</f>
        <v>#REF!</v>
      </c>
      <c r="O9" s="13" t="s">
        <v>5</v>
      </c>
      <c r="P9" s="13" t="e">
        <f>#REF!</f>
        <v>#REF!</v>
      </c>
      <c r="Q9" s="13" t="e">
        <f>Tabel11219[[#This Row],[OS 2016]]/Tabel11219[[#This Row],[TOTAL 2016]]*100</f>
        <v>#REF!</v>
      </c>
      <c r="R9" s="73" t="e">
        <f>#REF!</f>
        <v>#REF!</v>
      </c>
      <c r="S9" s="73" t="s">
        <v>5</v>
      </c>
      <c r="T9" s="73" t="e">
        <f>#REF!</f>
        <v>#REF!</v>
      </c>
      <c r="U9" s="73" t="e">
        <f>Tabel11219[[#This Row],[I/E WATER 2016]]/Tabel11219[[#This Row],[TOTAL 2016]]*100</f>
        <v>#REF!</v>
      </c>
      <c r="V9" s="10" t="s">
        <v>5</v>
      </c>
      <c r="W9" s="10" t="e">
        <f>Tabel11219[[#This Row],[GW 2016]]+Tabel11219[[#This Row],[SP 2016]]+Tabel11219[[#This Row],[SFW 2016]]+Tabel11219[[#This Row],[OS 2016]]+Tabel11219[[#This Row],[I/E WATER 2016]]</f>
        <v>#REF!</v>
      </c>
    </row>
    <row r="10" spans="1:23" hidden="1" x14ac:dyDescent="0.25">
      <c r="A10" s="536" t="s">
        <v>6</v>
      </c>
      <c r="B10" s="15" t="e">
        <f>#REF!</f>
        <v>#REF!</v>
      </c>
      <c r="C10" s="11" t="e">
        <f>Tabel11219[[#This Row],[GW 2014]]/Tabel11219[[#This Row],[TOTAL 2014]]*100</f>
        <v>#REF!</v>
      </c>
      <c r="D10" s="11" t="e">
        <f>#REF!</f>
        <v>#REF!</v>
      </c>
      <c r="E10" s="11" t="e">
        <f>Tabel11219[[#This Row],[GW 2016]]/Tabel11219[[#This Row],[TOTAL 2016]]*100</f>
        <v>#REF!</v>
      </c>
      <c r="F10" s="16" t="e">
        <f>#REF!</f>
        <v>#REF!</v>
      </c>
      <c r="G10" s="8" t="e">
        <f>Tabel11219[[#This Row],[SP 2014]]/Tabel11219[[#This Row],[TOTAL 2014]]*100</f>
        <v>#REF!</v>
      </c>
      <c r="H10" s="8" t="e">
        <f>#REF!</f>
        <v>#REF!</v>
      </c>
      <c r="I10" s="8" t="e">
        <f>Tabel11219[[#This Row],[SP 2016]]/Tabel11219[[#This Row],[TOTAL 2016]]*100</f>
        <v>#REF!</v>
      </c>
      <c r="J10" s="9" t="e">
        <f>#REF!</f>
        <v>#REF!</v>
      </c>
      <c r="K10" s="9" t="e">
        <f>Tabel11219[[#This Row],[SFW 2014]]/Tabel11219[[#This Row],[TOTAL 2014]]*100</f>
        <v>#REF!</v>
      </c>
      <c r="L10" s="9" t="e">
        <f>#REF!</f>
        <v>#REF!</v>
      </c>
      <c r="M10" s="9" t="e">
        <f>Tabel11219[[#This Row],[SFW 2016]]/Tabel11219[[#This Row],[TOTAL 2016]]*100</f>
        <v>#REF!</v>
      </c>
      <c r="N10" s="13" t="e">
        <f>#REF!</f>
        <v>#REF!</v>
      </c>
      <c r="O10" s="13" t="e">
        <f>Tabel11219[[#This Row],[OS 2014]]/Tabel11219[[#This Row],[TOTAL 2014]]*100</f>
        <v>#REF!</v>
      </c>
      <c r="P10" s="13" t="e">
        <f>#REF!</f>
        <v>#REF!</v>
      </c>
      <c r="Q10" s="13" t="e">
        <f>Tabel11219[[#This Row],[OS 2016]]/Tabel11219[[#This Row],[TOTAL 2016]]*100</f>
        <v>#REF!</v>
      </c>
      <c r="R10" s="73" t="e">
        <f>#REF!</f>
        <v>#REF!</v>
      </c>
      <c r="S10" s="73" t="e">
        <f>Tabel11219[[#This Row],[I/E WATER 2014]]/Tabel11219[[#This Row],[TOTAL 2014]]*100</f>
        <v>#REF!</v>
      </c>
      <c r="T10" s="73" t="e">
        <f>#REF!</f>
        <v>#REF!</v>
      </c>
      <c r="U10" s="73" t="e">
        <f>Tabel11219[[#This Row],[I/E WATER 2016]]/Tabel11219[[#This Row],[TOTAL 2016]]*100</f>
        <v>#REF!</v>
      </c>
      <c r="V10" s="10" t="e">
        <f>Tabel11219[[#This Row],[GW 2014]]+Tabel11219[[#This Row],[SP 2014]]+Tabel11219[[#This Row],[SFW 2014]]+Tabel11219[[#This Row],[OS 2014]]+Tabel11219[[#This Row],[I/E WATER 2014]]</f>
        <v>#REF!</v>
      </c>
      <c r="W10" s="10" t="e">
        <f>Tabel11219[[#This Row],[GW 2016]]+Tabel11219[[#This Row],[SP 2016]]+Tabel11219[[#This Row],[SFW 2016]]+Tabel11219[[#This Row],[OS 2016]]+Tabel11219[[#This Row],[I/E WATER 2016]]</f>
        <v>#REF!</v>
      </c>
    </row>
    <row r="11" spans="1:23" hidden="1" x14ac:dyDescent="0.25">
      <c r="A11" s="536" t="s">
        <v>49</v>
      </c>
      <c r="B11" s="15" t="e">
        <f>#REF!</f>
        <v>#REF!</v>
      </c>
      <c r="C11" s="11" t="s">
        <v>5</v>
      </c>
      <c r="D11" s="11" t="e">
        <f>#REF!</f>
        <v>#REF!</v>
      </c>
      <c r="E11" s="11" t="s">
        <v>5</v>
      </c>
      <c r="F11" s="16" t="e">
        <f>#REF!</f>
        <v>#REF!</v>
      </c>
      <c r="G11" s="8" t="s">
        <v>5</v>
      </c>
      <c r="H11" s="8" t="e">
        <f>#REF!</f>
        <v>#REF!</v>
      </c>
      <c r="I11" s="8" t="s">
        <v>5</v>
      </c>
      <c r="J11" s="9" t="e">
        <f>#REF!</f>
        <v>#REF!</v>
      </c>
      <c r="K11" s="9" t="s">
        <v>5</v>
      </c>
      <c r="L11" s="9" t="e">
        <f>#REF!</f>
        <v>#REF!</v>
      </c>
      <c r="M11" s="9" t="s">
        <v>5</v>
      </c>
      <c r="N11" s="13" t="e">
        <f>#REF!</f>
        <v>#REF!</v>
      </c>
      <c r="O11" s="13" t="s">
        <v>5</v>
      </c>
      <c r="P11" s="13" t="e">
        <f>#REF!</f>
        <v>#REF!</v>
      </c>
      <c r="Q11" s="13" t="s">
        <v>5</v>
      </c>
      <c r="R11" s="73" t="e">
        <f>#REF!</f>
        <v>#REF!</v>
      </c>
      <c r="S11" s="73" t="s">
        <v>5</v>
      </c>
      <c r="T11" s="73" t="e">
        <f>#REF!</f>
        <v>#REF!</v>
      </c>
      <c r="U11" s="73">
        <v>0</v>
      </c>
      <c r="V11" s="10">
        <v>15991.237999999999</v>
      </c>
      <c r="W11" s="10">
        <v>15381.099</v>
      </c>
    </row>
    <row r="12" spans="1:23" hidden="1" x14ac:dyDescent="0.25">
      <c r="A12" s="536" t="s">
        <v>7</v>
      </c>
      <c r="B12" s="15" t="e">
        <f>#REF!</f>
        <v>#REF!</v>
      </c>
      <c r="C12" s="11" t="s">
        <v>5</v>
      </c>
      <c r="D12" s="11" t="e">
        <f>#REF!</f>
        <v>#REF!</v>
      </c>
      <c r="E12" s="11" t="s">
        <v>5</v>
      </c>
      <c r="F12" s="16" t="e">
        <f>#REF!</f>
        <v>#REF!</v>
      </c>
      <c r="G12" s="8" t="s">
        <v>5</v>
      </c>
      <c r="H12" s="8" t="e">
        <f>#REF!</f>
        <v>#REF!</v>
      </c>
      <c r="I12" s="8" t="s">
        <v>5</v>
      </c>
      <c r="J12" s="9" t="e">
        <f>#REF!</f>
        <v>#REF!</v>
      </c>
      <c r="K12" s="9" t="s">
        <v>5</v>
      </c>
      <c r="L12" s="9" t="e">
        <f>#REF!</f>
        <v>#REF!</v>
      </c>
      <c r="M12" s="9" t="s">
        <v>5</v>
      </c>
      <c r="N12" s="13" t="e">
        <f>#REF!</f>
        <v>#REF!</v>
      </c>
      <c r="O12" s="13" t="s">
        <v>5</v>
      </c>
      <c r="P12" s="13" t="e">
        <f>#REF!</f>
        <v>#REF!</v>
      </c>
      <c r="Q12" s="13" t="s">
        <v>5</v>
      </c>
      <c r="R12" s="73" t="e">
        <f>#REF!</f>
        <v>#REF!</v>
      </c>
      <c r="S12" s="73" t="s">
        <v>5</v>
      </c>
      <c r="T12" s="73" t="e">
        <f>#REF!</f>
        <v>#REF!</v>
      </c>
      <c r="U12" s="73" t="s">
        <v>5</v>
      </c>
      <c r="V12" s="10" t="s">
        <v>5</v>
      </c>
      <c r="W12" s="10">
        <v>890.44546300000002</v>
      </c>
    </row>
    <row r="13" spans="1:23" hidden="1" x14ac:dyDescent="0.25">
      <c r="A13" s="251" t="s">
        <v>501</v>
      </c>
      <c r="B13" s="15" t="e">
        <f>#REF!</f>
        <v>#REF!</v>
      </c>
      <c r="C13" s="11" t="e">
        <f>Tabel11219[[#This Row],[GW 2014]]/Tabel11219[[#This Row],[TOTAL 2014]]*100</f>
        <v>#REF!</v>
      </c>
      <c r="D13" s="11" t="e">
        <f>#REF!</f>
        <v>#REF!</v>
      </c>
      <c r="E13" s="11" t="e">
        <f>Tabel11219[[#This Row],[GW 2016]]/Tabel11219[[#This Row],[TOTAL 2016]]*100</f>
        <v>#REF!</v>
      </c>
      <c r="F13" s="16" t="e">
        <f>#REF!</f>
        <v>#REF!</v>
      </c>
      <c r="G13" s="8" t="e">
        <f>Tabel11219[[#This Row],[SP 2014]]/Tabel11219[[#This Row],[TOTAL 2014]]*100</f>
        <v>#REF!</v>
      </c>
      <c r="H13" s="8" t="e">
        <f>#REF!</f>
        <v>#REF!</v>
      </c>
      <c r="I13" s="8" t="e">
        <f>Tabel11219[[#This Row],[SP 2016]]/Tabel11219[[#This Row],[TOTAL 2016]]*100</f>
        <v>#REF!</v>
      </c>
      <c r="J13" s="9" t="e">
        <f>#REF!</f>
        <v>#REF!</v>
      </c>
      <c r="K13" s="9" t="e">
        <f>Tabel11219[[#This Row],[SFW 2014]]/Tabel11219[[#This Row],[TOTAL 2014]]*100</f>
        <v>#REF!</v>
      </c>
      <c r="L13" s="9" t="e">
        <f>#REF!</f>
        <v>#REF!</v>
      </c>
      <c r="M13" s="9" t="e">
        <f>Tabel11219[[#This Row],[SFW 2016]]/Tabel11219[[#This Row],[TOTAL 2016]]*100</f>
        <v>#REF!</v>
      </c>
      <c r="N13" s="13" t="e">
        <f>#REF!</f>
        <v>#REF!</v>
      </c>
      <c r="O13" s="13" t="e">
        <f>Tabel11219[[#This Row],[OS 2014]]/Tabel11219[[#This Row],[TOTAL 2014]]*100</f>
        <v>#REF!</v>
      </c>
      <c r="P13" s="13" t="e">
        <f>#REF!</f>
        <v>#REF!</v>
      </c>
      <c r="Q13" s="13" t="e">
        <f>Tabel11219[[#This Row],[OS 2016]]/Tabel11219[[#This Row],[TOTAL 2016]]*100</f>
        <v>#REF!</v>
      </c>
      <c r="R13" s="73" t="e">
        <f>#REF!</f>
        <v>#REF!</v>
      </c>
      <c r="S13" s="73" t="e">
        <f>Tabel11219[[#This Row],[I/E WATER 2014]]/Tabel11219[[#This Row],[TOTAL 2014]]*100</f>
        <v>#REF!</v>
      </c>
      <c r="T13" s="73" t="e">
        <f>#REF!</f>
        <v>#REF!</v>
      </c>
      <c r="U13" s="73" t="e">
        <f>Tabel11219[[#This Row],[I/E WATER 2016]]/Tabel11219[[#This Row],[TOTAL 2016]]*100</f>
        <v>#REF!</v>
      </c>
      <c r="V13" s="10" t="e">
        <f>Tabel11219[[#This Row],[GW 2014]]+Tabel11219[[#This Row],[SP 2014]]+Tabel11219[[#This Row],[SFW 2014]]+Tabel11219[[#This Row],[OS 2014]]+Tabel11219[[#This Row],[I/E WATER 2014]]</f>
        <v>#REF!</v>
      </c>
      <c r="W13" s="10" t="e">
        <f>Tabel11219[[#This Row],[GW 2016]]+Tabel11219[[#This Row],[SP 2016]]+Tabel11219[[#This Row],[SFW 2016]]+Tabel11219[[#This Row],[OS 2016]]+Tabel11219[[#This Row],[I/E WATER 2016]]</f>
        <v>#REF!</v>
      </c>
    </row>
    <row r="14" spans="1:23" hidden="1" x14ac:dyDescent="0.25">
      <c r="A14" s="536" t="s">
        <v>343</v>
      </c>
      <c r="B14" s="15" t="e">
        <f>#REF!</f>
        <v>#REF!</v>
      </c>
      <c r="C14" s="11" t="e">
        <f>Tabel11219[[#This Row],[GW 2014]]/Tabel11219[[#This Row],[TOTAL 2014]]*100</f>
        <v>#REF!</v>
      </c>
      <c r="D14" s="11" t="e">
        <f>#REF!</f>
        <v>#REF!</v>
      </c>
      <c r="E14" s="11" t="e">
        <f>Tabel11219[[#This Row],[GW 2016]]/Tabel11219[[#This Row],[TOTAL 2016]]*100</f>
        <v>#REF!</v>
      </c>
      <c r="F14" s="16" t="e">
        <f>#REF!</f>
        <v>#REF!</v>
      </c>
      <c r="G14" s="8" t="e">
        <f>Tabel11219[[#This Row],[SP 2014]]/Tabel11219[[#This Row],[TOTAL 2014]]*100</f>
        <v>#REF!</v>
      </c>
      <c r="H14" s="8" t="e">
        <f>#REF!</f>
        <v>#REF!</v>
      </c>
      <c r="I14" s="8" t="e">
        <f>Tabel11219[[#This Row],[SP 2016]]/Tabel11219[[#This Row],[TOTAL 2016]]*100</f>
        <v>#REF!</v>
      </c>
      <c r="J14" s="9" t="e">
        <f>#REF!</f>
        <v>#REF!</v>
      </c>
      <c r="K14" s="9" t="e">
        <f>Tabel11219[[#This Row],[SFW 2014]]/Tabel11219[[#This Row],[TOTAL 2014]]*100</f>
        <v>#REF!</v>
      </c>
      <c r="L14" s="9" t="e">
        <f>#REF!</f>
        <v>#REF!</v>
      </c>
      <c r="M14" s="9" t="e">
        <f>Tabel11219[[#This Row],[SFW 2016]]/Tabel11219[[#This Row],[TOTAL 2016]]*100</f>
        <v>#REF!</v>
      </c>
      <c r="N14" s="13" t="e">
        <f>#REF!</f>
        <v>#REF!</v>
      </c>
      <c r="O14" s="13" t="e">
        <f>Tabel11219[[#This Row],[OS 2014]]/Tabel11219[[#This Row],[TOTAL 2014]]*100</f>
        <v>#REF!</v>
      </c>
      <c r="P14" s="13" t="e">
        <f>#REF!</f>
        <v>#REF!</v>
      </c>
      <c r="Q14" s="13" t="e">
        <f>Tabel11219[[#This Row],[OS 2016]]/Tabel11219[[#This Row],[TOTAL 2016]]*100</f>
        <v>#REF!</v>
      </c>
      <c r="R14" s="73" t="e">
        <f>#REF!</f>
        <v>#REF!</v>
      </c>
      <c r="S14" s="73" t="e">
        <f>Tabel11219[[#This Row],[I/E WATER 2014]]/Tabel11219[[#This Row],[TOTAL 2014]]*100</f>
        <v>#REF!</v>
      </c>
      <c r="T14" s="73" t="e">
        <f>#REF!</f>
        <v>#REF!</v>
      </c>
      <c r="U14" s="73" t="e">
        <f>Tabel11219[[#This Row],[I/E WATER 2016]]/Tabel11219[[#This Row],[TOTAL 2016]]*100</f>
        <v>#REF!</v>
      </c>
      <c r="V14" s="10" t="e">
        <f>Tabel11219[[#This Row],[GW 2014]]+Tabel11219[[#This Row],[SP 2014]]+Tabel11219[[#This Row],[SFW 2014]]+Tabel11219[[#This Row],[OS 2014]]+Tabel11219[[#This Row],[I/E WATER 2014]]</f>
        <v>#REF!</v>
      </c>
      <c r="W14" s="10" t="e">
        <f>Tabel11219[[#This Row],[GW 2016]]+Tabel11219[[#This Row],[SP 2016]]+Tabel11219[[#This Row],[SFW 2016]]+Tabel11219[[#This Row],[OS 2016]]+Tabel11219[[#This Row],[I/E WATER 2016]]</f>
        <v>#REF!</v>
      </c>
    </row>
    <row r="15" spans="1:23" hidden="1" x14ac:dyDescent="0.25">
      <c r="A15" s="251" t="s">
        <v>489</v>
      </c>
      <c r="B15" s="15" t="e">
        <f>#REF!</f>
        <v>#REF!</v>
      </c>
      <c r="C15" s="11" t="e">
        <f>Tabel11219[[#This Row],[GW 2014]]/Tabel11219[[#This Row],[TOTAL 2014]]*100</f>
        <v>#REF!</v>
      </c>
      <c r="D15" s="11" t="e">
        <f>#REF!</f>
        <v>#REF!</v>
      </c>
      <c r="E15" s="11" t="e">
        <f>Tabel11219[[#This Row],[GW 2016]]/Tabel11219[[#This Row],[TOTAL 2016]]*100</f>
        <v>#REF!</v>
      </c>
      <c r="F15" s="16" t="e">
        <f>#REF!</f>
        <v>#REF!</v>
      </c>
      <c r="G15" s="8" t="e">
        <f>Tabel11219[[#This Row],[SP 2014]]/Tabel11219[[#This Row],[TOTAL 2014]]*100</f>
        <v>#REF!</v>
      </c>
      <c r="H15" s="8" t="e">
        <f>#REF!</f>
        <v>#REF!</v>
      </c>
      <c r="I15" s="8" t="e">
        <f>Tabel11219[[#This Row],[SP 2016]]/Tabel11219[[#This Row],[TOTAL 2016]]*100</f>
        <v>#REF!</v>
      </c>
      <c r="J15" s="9" t="e">
        <f>#REF!</f>
        <v>#REF!</v>
      </c>
      <c r="K15" s="9" t="e">
        <f>Tabel11219[[#This Row],[SFW 2014]]/Tabel11219[[#This Row],[TOTAL 2014]]*100</f>
        <v>#REF!</v>
      </c>
      <c r="L15" s="9" t="e">
        <f>#REF!</f>
        <v>#REF!</v>
      </c>
      <c r="M15" s="9" t="e">
        <f>Tabel11219[[#This Row],[SFW 2016]]/Tabel11219[[#This Row],[TOTAL 2016]]*100</f>
        <v>#REF!</v>
      </c>
      <c r="N15" s="13" t="e">
        <f>#REF!</f>
        <v>#REF!</v>
      </c>
      <c r="O15" s="13" t="e">
        <f>Tabel11219[[#This Row],[OS 2014]]/Tabel11219[[#This Row],[TOTAL 2014]]*100</f>
        <v>#REF!</v>
      </c>
      <c r="P15" s="13" t="e">
        <f>#REF!</f>
        <v>#REF!</v>
      </c>
      <c r="Q15" s="13" t="e">
        <f>Tabel11219[[#This Row],[OS 2016]]/Tabel11219[[#This Row],[TOTAL 2016]]*100</f>
        <v>#REF!</v>
      </c>
      <c r="R15" s="73" t="e">
        <f>#REF!</f>
        <v>#REF!</v>
      </c>
      <c r="S15" s="73" t="e">
        <f>Tabel11219[[#This Row],[I/E WATER 2014]]/Tabel11219[[#This Row],[TOTAL 2014]]*100</f>
        <v>#REF!</v>
      </c>
      <c r="T15" s="73" t="e">
        <f>#REF!</f>
        <v>#REF!</v>
      </c>
      <c r="U15" s="73" t="e">
        <f>Tabel11219[[#This Row],[I/E WATER 2016]]/Tabel11219[[#This Row],[TOTAL 2016]]*100</f>
        <v>#REF!</v>
      </c>
      <c r="V15" s="10" t="e">
        <f>Tabel11219[[#This Row],[GW 2014]]+Tabel11219[[#This Row],[SP 2014]]+Tabel11219[[#This Row],[SFW 2014]]+Tabel11219[[#This Row],[OS 2014]]+Tabel11219[[#This Row],[I/E WATER 2014]]</f>
        <v>#REF!</v>
      </c>
      <c r="W15" s="10" t="e">
        <f>Tabel11219[[#This Row],[GW 2016]]+Tabel11219[[#This Row],[SP 2016]]+Tabel11219[[#This Row],[SFW 2016]]+Tabel11219[[#This Row],[OS 2016]]+Tabel11219[[#This Row],[I/E WATER 2016]]</f>
        <v>#REF!</v>
      </c>
    </row>
    <row r="16" spans="1:23" hidden="1" x14ac:dyDescent="0.25">
      <c r="A16" s="536" t="s">
        <v>8</v>
      </c>
      <c r="B16" s="15" t="e">
        <f>#REF!</f>
        <v>#REF!</v>
      </c>
      <c r="C16" s="11" t="s">
        <v>5</v>
      </c>
      <c r="D16" s="11" t="e">
        <f>#REF!</f>
        <v>#REF!</v>
      </c>
      <c r="E16" s="11" t="s">
        <v>5</v>
      </c>
      <c r="F16" s="16" t="e">
        <f>#REF!</f>
        <v>#REF!</v>
      </c>
      <c r="G16" s="8" t="s">
        <v>5</v>
      </c>
      <c r="H16" s="8" t="e">
        <f>#REF!</f>
        <v>#REF!</v>
      </c>
      <c r="I16" s="8" t="s">
        <v>5</v>
      </c>
      <c r="J16" s="9" t="e">
        <f>#REF!</f>
        <v>#REF!</v>
      </c>
      <c r="K16" s="9" t="s">
        <v>5</v>
      </c>
      <c r="L16" s="9" t="e">
        <f>#REF!</f>
        <v>#REF!</v>
      </c>
      <c r="M16" s="9" t="s">
        <v>5</v>
      </c>
      <c r="N16" s="13" t="e">
        <f>#REF!</f>
        <v>#REF!</v>
      </c>
      <c r="O16" s="13" t="s">
        <v>5</v>
      </c>
      <c r="P16" s="13" t="e">
        <f>#REF!</f>
        <v>#REF!</v>
      </c>
      <c r="Q16" s="13" t="s">
        <v>5</v>
      </c>
      <c r="R16" s="73" t="e">
        <f>#REF!</f>
        <v>#REF!</v>
      </c>
      <c r="S16" s="73" t="s">
        <v>5</v>
      </c>
      <c r="T16" s="73" t="e">
        <f>#REF!</f>
        <v>#REF!</v>
      </c>
      <c r="U16" s="73" t="s">
        <v>5</v>
      </c>
      <c r="V16" s="10" t="s">
        <v>5</v>
      </c>
      <c r="W16" s="10" t="s">
        <v>5</v>
      </c>
    </row>
    <row r="17" spans="1:23" hidden="1" x14ac:dyDescent="0.25">
      <c r="A17" s="536" t="s">
        <v>585</v>
      </c>
      <c r="B17" s="15" t="e">
        <f>#REF!</f>
        <v>#REF!</v>
      </c>
      <c r="C17" s="11" t="e">
        <f>Tabel11219[[#This Row],[GW 2014]]/Tabel11219[[#This Row],[TOTAL 2014]]*100</f>
        <v>#REF!</v>
      </c>
      <c r="D17" s="11" t="e">
        <f>#REF!</f>
        <v>#REF!</v>
      </c>
      <c r="E17" s="11" t="e">
        <f>Tabel11219[[#This Row],[GW 2016]]/Tabel11219[[#This Row],[TOTAL 2016]]*100</f>
        <v>#REF!</v>
      </c>
      <c r="F17" s="16" t="e">
        <f>#REF!</f>
        <v>#REF!</v>
      </c>
      <c r="G17" s="8" t="e">
        <f>Tabel11219[[#This Row],[SP 2014]]/Tabel11219[[#This Row],[TOTAL 2014]]*100</f>
        <v>#REF!</v>
      </c>
      <c r="H17" s="8" t="e">
        <f>#REF!</f>
        <v>#REF!</v>
      </c>
      <c r="I17" s="8" t="e">
        <f>Tabel11219[[#This Row],[SP 2016]]/Tabel11219[[#This Row],[TOTAL 2016]]*100</f>
        <v>#REF!</v>
      </c>
      <c r="J17" s="9" t="e">
        <f>#REF!</f>
        <v>#REF!</v>
      </c>
      <c r="K17" s="9" t="e">
        <f>Tabel11219[[#This Row],[SFW 2014]]/Tabel11219[[#This Row],[TOTAL 2014]]*100</f>
        <v>#REF!</v>
      </c>
      <c r="L17" s="9" t="e">
        <f>#REF!</f>
        <v>#REF!</v>
      </c>
      <c r="M17" s="9" t="e">
        <f>Tabel11219[[#This Row],[SFW 2016]]/Tabel11219[[#This Row],[TOTAL 2016]]*100</f>
        <v>#REF!</v>
      </c>
      <c r="N17" s="13" t="e">
        <f>#REF!</f>
        <v>#REF!</v>
      </c>
      <c r="O17" s="13" t="e">
        <f>Tabel11219[[#This Row],[OS 2014]]/Tabel11219[[#This Row],[TOTAL 2014]]*100</f>
        <v>#REF!</v>
      </c>
      <c r="P17" s="13" t="e">
        <f>#REF!</f>
        <v>#REF!</v>
      </c>
      <c r="Q17" s="13" t="e">
        <f>Tabel11219[[#This Row],[OS 2016]]/Tabel11219[[#This Row],[TOTAL 2016]]*100</f>
        <v>#REF!</v>
      </c>
      <c r="R17" s="73" t="e">
        <f>#REF!</f>
        <v>#REF!</v>
      </c>
      <c r="S17" s="73" t="e">
        <f>Tabel11219[[#This Row],[I/E WATER 2014]]/Tabel11219[[#This Row],[TOTAL 2014]]*100</f>
        <v>#REF!</v>
      </c>
      <c r="T17" s="73" t="e">
        <f>#REF!</f>
        <v>#REF!</v>
      </c>
      <c r="U17" s="73" t="e">
        <f>Tabel11219[[#This Row],[I/E WATER 2016]]/Tabel11219[[#This Row],[TOTAL 2016]]*100</f>
        <v>#REF!</v>
      </c>
      <c r="V17" s="10" t="e">
        <f>Tabel11219[[#This Row],[GW 2014]]+Tabel11219[[#This Row],[SP 2014]]+Tabel11219[[#This Row],[SFW 2014]]+Tabel11219[[#This Row],[OS 2014]]+Tabel11219[[#This Row],[I/E WATER 2014]]</f>
        <v>#REF!</v>
      </c>
      <c r="W17" s="10" t="e">
        <f>Tabel11219[[#This Row],[GW 2016]]+Tabel11219[[#This Row],[SP 2016]]+Tabel11219[[#This Row],[SFW 2016]]+Tabel11219[[#This Row],[OS 2016]]+Tabel11219[[#This Row],[I/E WATER 2016]]</f>
        <v>#REF!</v>
      </c>
    </row>
    <row r="18" spans="1:23" hidden="1" x14ac:dyDescent="0.25">
      <c r="A18" s="536" t="s">
        <v>9</v>
      </c>
      <c r="B18" s="15" t="e">
        <f>#REF!</f>
        <v>#REF!</v>
      </c>
      <c r="C18" s="11" t="e">
        <f>Tabel11219[[#This Row],[GW 2014]]/Tabel11219[[#This Row],[TOTAL 2014]]*100</f>
        <v>#REF!</v>
      </c>
      <c r="D18" s="11">
        <v>915.43600000000004</v>
      </c>
      <c r="E18" s="11" t="e">
        <f>Tabel11219[[#This Row],[GW 2016]]/Tabel11219[[#This Row],[TOTAL 2016]]*100</f>
        <v>#REF!</v>
      </c>
      <c r="F18" s="16" t="e">
        <f>#REF!</f>
        <v>#REF!</v>
      </c>
      <c r="G18" s="8" t="e">
        <f>Tabel11219[[#This Row],[SP 2014]]/Tabel11219[[#This Row],[TOTAL 2014]]*100</f>
        <v>#REF!</v>
      </c>
      <c r="H18" s="8">
        <v>5.6574999999999998</v>
      </c>
      <c r="I18" s="8" t="e">
        <f>Tabel11219[[#This Row],[SP 2016]]/Tabel11219[[#This Row],[TOTAL 2016]]*100</f>
        <v>#REF!</v>
      </c>
      <c r="J18" s="9" t="e">
        <f>#REF!</f>
        <v>#REF!</v>
      </c>
      <c r="K18" s="9" t="e">
        <f>Tabel11219[[#This Row],[SFW 2014]]/Tabel11219[[#This Row],[TOTAL 2014]]*100</f>
        <v>#REF!</v>
      </c>
      <c r="L18" s="9">
        <v>4474.0529999999999</v>
      </c>
      <c r="M18" s="9" t="e">
        <f>Tabel11219[[#This Row],[SFW 2016]]/Tabel11219[[#This Row],[TOTAL 2016]]*100</f>
        <v>#REF!</v>
      </c>
      <c r="N18" s="13" t="e">
        <f>#REF!</f>
        <v>#REF!</v>
      </c>
      <c r="O18" s="13" t="e">
        <f>Tabel11219[[#This Row],[OS 2014]]/Tabel11219[[#This Row],[TOTAL 2014]]*100</f>
        <v>#REF!</v>
      </c>
      <c r="P18" s="13">
        <v>20.880700000000001</v>
      </c>
      <c r="Q18" s="13" t="e">
        <f>Tabel11219[[#This Row],[OS 2016]]/Tabel11219[[#This Row],[TOTAL 2016]]*100</f>
        <v>#REF!</v>
      </c>
      <c r="R18" s="73" t="e">
        <f>#REF!</f>
        <v>#REF!</v>
      </c>
      <c r="S18" s="73" t="e">
        <f>Tabel11219[[#This Row],[I/E WATER 2014]]/Tabel11219[[#This Row],[TOTAL 2014]]*100</f>
        <v>#REF!</v>
      </c>
      <c r="T18" s="73" t="e">
        <f>#REF!</f>
        <v>#REF!</v>
      </c>
      <c r="U18" s="73" t="e">
        <f>Tabel11219[[#This Row],[I/E WATER 2016]]/Tabel11219[[#This Row],[TOTAL 2016]]*100</f>
        <v>#REF!</v>
      </c>
      <c r="V18" s="10" t="e">
        <f>Tabel11219[[#This Row],[GW 2014]]+Tabel11219[[#This Row],[SP 2014]]+Tabel11219[[#This Row],[SFW 2014]]+Tabel11219[[#This Row],[OS 2014]]+Tabel11219[[#This Row],[I/E WATER 2014]]</f>
        <v>#REF!</v>
      </c>
      <c r="W18" s="10" t="e">
        <f>Tabel11219[[#This Row],[GW 2016]]+Tabel11219[[#This Row],[SP 2016]]+Tabel11219[[#This Row],[SFW 2016]]+Tabel11219[[#This Row],[OS 2016]]+Tabel11219[[#This Row],[I/E WATER 2016]]</f>
        <v>#REF!</v>
      </c>
    </row>
    <row r="19" spans="1:23" hidden="1" x14ac:dyDescent="0.25">
      <c r="A19" s="536" t="s">
        <v>10</v>
      </c>
      <c r="B19" s="15" t="e">
        <f>#REF!</f>
        <v>#REF!</v>
      </c>
      <c r="C19" s="11" t="e">
        <f>Tabel11219[[#This Row],[GW 2014]]/Tabel11219[[#This Row],[TOTAL 2014]]*100</f>
        <v>#REF!</v>
      </c>
      <c r="D19" s="11" t="e">
        <f>#REF!</f>
        <v>#REF!</v>
      </c>
      <c r="E19" s="11" t="e">
        <f>Tabel11219[[#This Row],[GW 2016]]/Tabel11219[[#This Row],[TOTAL 2016]]*100</f>
        <v>#REF!</v>
      </c>
      <c r="F19" s="16" t="e">
        <f>#REF!</f>
        <v>#REF!</v>
      </c>
      <c r="G19" s="8" t="e">
        <f>Tabel11219[[#This Row],[SP 2014]]/Tabel11219[[#This Row],[TOTAL 2014]]*100</f>
        <v>#REF!</v>
      </c>
      <c r="H19" s="8" t="e">
        <f>#REF!</f>
        <v>#REF!</v>
      </c>
      <c r="I19" s="8" t="e">
        <f>Tabel11219[[#This Row],[SP 2016]]/Tabel11219[[#This Row],[TOTAL 2016]]*100</f>
        <v>#REF!</v>
      </c>
      <c r="J19" s="9" t="e">
        <f>#REF!</f>
        <v>#REF!</v>
      </c>
      <c r="K19" s="9" t="e">
        <f>Tabel11219[[#This Row],[SFW 2014]]/Tabel11219[[#This Row],[TOTAL 2014]]*100</f>
        <v>#REF!</v>
      </c>
      <c r="L19" s="9" t="e">
        <f>#REF!</f>
        <v>#REF!</v>
      </c>
      <c r="M19" s="9" t="e">
        <f>Tabel11219[[#This Row],[SFW 2016]]/Tabel11219[[#This Row],[TOTAL 2016]]*100</f>
        <v>#REF!</v>
      </c>
      <c r="N19" s="13" t="e">
        <f>#REF!</f>
        <v>#REF!</v>
      </c>
      <c r="O19" s="13" t="e">
        <f>Tabel11219[[#This Row],[OS 2014]]/Tabel11219[[#This Row],[TOTAL 2014]]*100</f>
        <v>#REF!</v>
      </c>
      <c r="P19" s="13" t="e">
        <f>#REF!</f>
        <v>#REF!</v>
      </c>
      <c r="Q19" s="13" t="e">
        <f>Tabel11219[[#This Row],[OS 2016]]/Tabel11219[[#This Row],[TOTAL 2016]]*100</f>
        <v>#REF!</v>
      </c>
      <c r="R19" s="73" t="e">
        <f>#REF!</f>
        <v>#REF!</v>
      </c>
      <c r="S19" s="73" t="e">
        <f>Tabel11219[[#This Row],[I/E WATER 2014]]/Tabel11219[[#This Row],[TOTAL 2014]]*100</f>
        <v>#REF!</v>
      </c>
      <c r="T19" s="73" t="e">
        <f>#REF!</f>
        <v>#REF!</v>
      </c>
      <c r="U19" s="73" t="e">
        <f>Tabel11219[[#This Row],[I/E WATER 2016]]/Tabel11219[[#This Row],[TOTAL 2016]]*100</f>
        <v>#REF!</v>
      </c>
      <c r="V19" s="10" t="e">
        <f>Tabel11219[[#This Row],[GW 2014]]+Tabel11219[[#This Row],[SP 2014]]+Tabel11219[[#This Row],[SFW 2014]]+Tabel11219[[#This Row],[OS 2014]]+Tabel11219[[#This Row],[I/E WATER 2014]]</f>
        <v>#REF!</v>
      </c>
      <c r="W19" s="10" t="e">
        <f>Tabel11219[[#This Row],[GW 2016]]+Tabel11219[[#This Row],[SP 2016]]+Tabel11219[[#This Row],[SFW 2016]]+Tabel11219[[#This Row],[OS 2016]]+Tabel11219[[#This Row],[I/E WATER 2016]]</f>
        <v>#REF!</v>
      </c>
    </row>
    <row r="20" spans="1:23" hidden="1" x14ac:dyDescent="0.25">
      <c r="A20" s="536" t="s">
        <v>910</v>
      </c>
      <c r="B20" s="15" t="e">
        <f>#REF!</f>
        <v>#REF!</v>
      </c>
      <c r="C20" s="11" t="s">
        <v>5</v>
      </c>
      <c r="D20" s="11" t="e">
        <f>#REF!</f>
        <v>#REF!</v>
      </c>
      <c r="E20" s="11" t="e">
        <f>Tabel11219[[#This Row],[GW 2016]]/Tabel11219[[#This Row],[TOTAL 2016]]*100</f>
        <v>#REF!</v>
      </c>
      <c r="F20" s="16" t="e">
        <f>#REF!</f>
        <v>#REF!</v>
      </c>
      <c r="G20" s="8" t="s">
        <v>5</v>
      </c>
      <c r="H20" s="8" t="e">
        <f>#REF!</f>
        <v>#REF!</v>
      </c>
      <c r="I20" s="8" t="e">
        <f>Tabel11219[[#This Row],[SP 2016]]/Tabel11219[[#This Row],[TOTAL 2016]]*100</f>
        <v>#REF!</v>
      </c>
      <c r="J20" s="9" t="e">
        <f>#REF!</f>
        <v>#REF!</v>
      </c>
      <c r="K20" s="9" t="s">
        <v>5</v>
      </c>
      <c r="L20" s="9" t="e">
        <f>#REF!</f>
        <v>#REF!</v>
      </c>
      <c r="M20" s="9" t="e">
        <f>Tabel11219[[#This Row],[SFW 2016]]/Tabel11219[[#This Row],[TOTAL 2016]]*100</f>
        <v>#REF!</v>
      </c>
      <c r="N20" s="13" t="e">
        <f>#REF!</f>
        <v>#REF!</v>
      </c>
      <c r="O20" s="13" t="s">
        <v>5</v>
      </c>
      <c r="P20" s="13" t="e">
        <f>#REF!</f>
        <v>#REF!</v>
      </c>
      <c r="Q20" s="13" t="e">
        <f>Tabel11219[[#This Row],[OS 2016]]/Tabel11219[[#This Row],[TOTAL 2016]]*100</f>
        <v>#REF!</v>
      </c>
      <c r="R20" s="73" t="e">
        <f>#REF!</f>
        <v>#REF!</v>
      </c>
      <c r="S20" s="73" t="s">
        <v>5</v>
      </c>
      <c r="T20" s="73" t="e">
        <f>#REF!</f>
        <v>#REF!</v>
      </c>
      <c r="U20" s="73" t="e">
        <f>Tabel11219[[#This Row],[I/E WATER 2016]]/Tabel11219[[#This Row],[TOTAL 2016]]*100</f>
        <v>#REF!</v>
      </c>
      <c r="V20" s="10" t="s">
        <v>5</v>
      </c>
      <c r="W20" s="10" t="e">
        <f>Tabel11219[[#This Row],[GW 2016]]+Tabel11219[[#This Row],[SP 2016]]+Tabel11219[[#This Row],[SFW 2016]]+Tabel11219[[#This Row],[OS 2016]]+Tabel11219[[#This Row],[I/E WATER 2016]]</f>
        <v>#REF!</v>
      </c>
    </row>
    <row r="21" spans="1:23" hidden="1" x14ac:dyDescent="0.25">
      <c r="A21" s="536" t="s">
        <v>11</v>
      </c>
      <c r="B21" s="15" t="e">
        <f>#REF!</f>
        <v>#REF!</v>
      </c>
      <c r="C21" s="11" t="e">
        <f>Tabel11219[[#This Row],[GW 2014]]/Tabel11219[[#This Row],[TOTAL 2014]]*100</f>
        <v>#REF!</v>
      </c>
      <c r="D21" s="11" t="e">
        <f>#REF!</f>
        <v>#REF!</v>
      </c>
      <c r="E21" s="11" t="e">
        <f>Tabel11219[[#This Row],[GW 2016]]/Tabel11219[[#This Row],[TOTAL 2016]]*100</f>
        <v>#REF!</v>
      </c>
      <c r="F21" s="16" t="e">
        <f>#REF!</f>
        <v>#REF!</v>
      </c>
      <c r="G21" s="8" t="e">
        <f>Tabel11219[[#This Row],[SP 2014]]/Tabel11219[[#This Row],[TOTAL 2014]]*100</f>
        <v>#REF!</v>
      </c>
      <c r="H21" s="8" t="e">
        <f>#REF!</f>
        <v>#REF!</v>
      </c>
      <c r="I21" s="8" t="e">
        <f>Tabel11219[[#This Row],[SP 2016]]/Tabel11219[[#This Row],[TOTAL 2016]]*100</f>
        <v>#REF!</v>
      </c>
      <c r="J21" s="9" t="e">
        <f>#REF!</f>
        <v>#REF!</v>
      </c>
      <c r="K21" s="9" t="e">
        <f>Tabel11219[[#This Row],[SFW 2014]]/Tabel11219[[#This Row],[TOTAL 2014]]*100</f>
        <v>#REF!</v>
      </c>
      <c r="L21" s="9" t="e">
        <f>#REF!</f>
        <v>#REF!</v>
      </c>
      <c r="M21" s="9" t="e">
        <f>Tabel11219[[#This Row],[SFW 2016]]/Tabel11219[[#This Row],[TOTAL 2016]]*100</f>
        <v>#REF!</v>
      </c>
      <c r="N21" s="13" t="e">
        <f>#REF!</f>
        <v>#REF!</v>
      </c>
      <c r="O21" s="13" t="e">
        <f>Tabel11219[[#This Row],[OS 2014]]/Tabel11219[[#This Row],[TOTAL 2014]]*100</f>
        <v>#REF!</v>
      </c>
      <c r="P21" s="13" t="e">
        <f>#REF!</f>
        <v>#REF!</v>
      </c>
      <c r="Q21" s="13" t="e">
        <f>Tabel11219[[#This Row],[OS 2016]]/Tabel11219[[#This Row],[TOTAL 2016]]*100</f>
        <v>#REF!</v>
      </c>
      <c r="R21" s="73" t="e">
        <f>#REF!</f>
        <v>#REF!</v>
      </c>
      <c r="S21" s="73" t="e">
        <f>Tabel11219[[#This Row],[I/E WATER 2014]]/Tabel11219[[#This Row],[TOTAL 2014]]*100</f>
        <v>#REF!</v>
      </c>
      <c r="T21" s="73" t="e">
        <f>#REF!</f>
        <v>#REF!</v>
      </c>
      <c r="U21" s="73" t="e">
        <f>Tabel11219[[#This Row],[I/E WATER 2016]]/Tabel11219[[#This Row],[TOTAL 2016]]*100</f>
        <v>#REF!</v>
      </c>
      <c r="V21" s="10" t="e">
        <f>Tabel11219[[#This Row],[GW 2014]]+Tabel11219[[#This Row],[SP 2014]]+Tabel11219[[#This Row],[SFW 2014]]+Tabel11219[[#This Row],[OS 2014]]+Tabel11219[[#This Row],[I/E WATER 2014]]</f>
        <v>#REF!</v>
      </c>
      <c r="W21" s="10" t="e">
        <f>Tabel11219[[#This Row],[GW 2016]]+Tabel11219[[#This Row],[SP 2016]]+Tabel11219[[#This Row],[SFW 2016]]+Tabel11219[[#This Row],[OS 2016]]+Tabel11219[[#This Row],[I/E WATER 2016]]</f>
        <v>#REF!</v>
      </c>
    </row>
    <row r="22" spans="1:23" hidden="1" x14ac:dyDescent="0.25">
      <c r="A22" s="536" t="s">
        <v>456</v>
      </c>
      <c r="B22" s="15" t="e">
        <f>#REF!</f>
        <v>#REF!</v>
      </c>
      <c r="C22" s="11" t="e">
        <f>Tabel11219[[#This Row],[GW 2014]]/Tabel11219[[#This Row],[TOTAL 2014]]*100</f>
        <v>#REF!</v>
      </c>
      <c r="D22" s="11" t="e">
        <f>#REF!</f>
        <v>#REF!</v>
      </c>
      <c r="E22" s="11" t="e">
        <f>Tabel11219[[#This Row],[GW 2016]]/Tabel11219[[#This Row],[TOTAL 2016]]*100</f>
        <v>#REF!</v>
      </c>
      <c r="F22" s="16" t="e">
        <f>#REF!</f>
        <v>#REF!</v>
      </c>
      <c r="G22" s="8" t="e">
        <f>Tabel11219[[#This Row],[SP 2014]]/Tabel11219[[#This Row],[TOTAL 2014]]*100</f>
        <v>#REF!</v>
      </c>
      <c r="H22" s="8" t="e">
        <f>#REF!</f>
        <v>#REF!</v>
      </c>
      <c r="I22" s="8" t="e">
        <f>Tabel11219[[#This Row],[SP 2016]]/Tabel11219[[#This Row],[TOTAL 2016]]*100</f>
        <v>#REF!</v>
      </c>
      <c r="J22" s="9" t="e">
        <f>#REF!</f>
        <v>#REF!</v>
      </c>
      <c r="K22" s="9" t="e">
        <f>Tabel11219[[#This Row],[SFW 2014]]/Tabel11219[[#This Row],[TOTAL 2014]]*100</f>
        <v>#REF!</v>
      </c>
      <c r="L22" s="9" t="e">
        <f>#REF!</f>
        <v>#REF!</v>
      </c>
      <c r="M22" s="9" t="e">
        <f>Tabel11219[[#This Row],[SFW 2016]]/Tabel11219[[#This Row],[TOTAL 2016]]*100</f>
        <v>#REF!</v>
      </c>
      <c r="N22" s="13" t="e">
        <f>#REF!</f>
        <v>#REF!</v>
      </c>
      <c r="O22" s="13" t="e">
        <f>Tabel11219[[#This Row],[OS 2014]]/Tabel11219[[#This Row],[TOTAL 2014]]*100</f>
        <v>#REF!</v>
      </c>
      <c r="P22" s="13" t="e">
        <f>#REF!</f>
        <v>#REF!</v>
      </c>
      <c r="Q22" s="13" t="e">
        <f>Tabel11219[[#This Row],[OS 2016]]/Tabel11219[[#This Row],[TOTAL 2016]]*100</f>
        <v>#REF!</v>
      </c>
      <c r="R22" s="73" t="e">
        <f>#REF!</f>
        <v>#REF!</v>
      </c>
      <c r="S22" s="73" t="e">
        <f>Tabel11219[[#This Row],[I/E WATER 2014]]/Tabel11219[[#This Row],[TOTAL 2014]]*100</f>
        <v>#REF!</v>
      </c>
      <c r="T22" s="73" t="e">
        <f>#REF!</f>
        <v>#REF!</v>
      </c>
      <c r="U22" s="73" t="e">
        <f>Tabel11219[[#This Row],[I/E WATER 2016]]/Tabel11219[[#This Row],[TOTAL 2016]]*100</f>
        <v>#REF!</v>
      </c>
      <c r="V22" s="10" t="e">
        <f>Tabel11219[[#This Row],[GW 2014]]+Tabel11219[[#This Row],[SP 2014]]+Tabel11219[[#This Row],[SFW 2014]]+Tabel11219[[#This Row],[OS 2014]]+Tabel11219[[#This Row],[I/E WATER 2014]]</f>
        <v>#REF!</v>
      </c>
      <c r="W22" s="10" t="e">
        <f>Tabel11219[[#This Row],[GW 2016]]+Tabel11219[[#This Row],[SP 2016]]+Tabel11219[[#This Row],[SFW 2016]]+Tabel11219[[#This Row],[OS 2016]]+Tabel11219[[#This Row],[I/E WATER 2016]]</f>
        <v>#REF!</v>
      </c>
    </row>
    <row r="23" spans="1:23" hidden="1" x14ac:dyDescent="0.25">
      <c r="A23" s="536" t="s">
        <v>12</v>
      </c>
      <c r="B23" s="15" t="e">
        <f>#REF!</f>
        <v>#REF!</v>
      </c>
      <c r="C23" s="11" t="e">
        <f>Tabel11219[[#This Row],[GW 2014]]/Tabel11219[[#This Row],[TOTAL 2014]]*100</f>
        <v>#REF!</v>
      </c>
      <c r="D23" s="11" t="e">
        <f>#REF!</f>
        <v>#REF!</v>
      </c>
      <c r="E23" s="11" t="e">
        <f>Tabel11219[[#This Row],[GW 2016]]/Tabel11219[[#This Row],[TOTAL 2016]]*100</f>
        <v>#REF!</v>
      </c>
      <c r="F23" s="16" t="e">
        <f>#REF!</f>
        <v>#REF!</v>
      </c>
      <c r="G23" s="8" t="e">
        <f>Tabel11219[[#This Row],[SP 2014]]/Tabel11219[[#This Row],[TOTAL 2014]]*100</f>
        <v>#REF!</v>
      </c>
      <c r="H23" s="8" t="e">
        <f>#REF!</f>
        <v>#REF!</v>
      </c>
      <c r="I23" s="8" t="e">
        <f>Tabel11219[[#This Row],[SP 2016]]/Tabel11219[[#This Row],[TOTAL 2016]]*100</f>
        <v>#REF!</v>
      </c>
      <c r="J23" s="9" t="e">
        <f>#REF!</f>
        <v>#REF!</v>
      </c>
      <c r="K23" s="9" t="e">
        <f>Tabel11219[[#This Row],[SFW 2014]]/Tabel11219[[#This Row],[TOTAL 2014]]*100</f>
        <v>#REF!</v>
      </c>
      <c r="L23" s="9" t="e">
        <f>#REF!</f>
        <v>#REF!</v>
      </c>
      <c r="M23" s="9" t="e">
        <f>Tabel11219[[#This Row],[SFW 2016]]/Tabel11219[[#This Row],[TOTAL 2016]]*100</f>
        <v>#REF!</v>
      </c>
      <c r="N23" s="13" t="e">
        <f>#REF!</f>
        <v>#REF!</v>
      </c>
      <c r="O23" s="13" t="e">
        <f>Tabel11219[[#This Row],[OS 2014]]/Tabel11219[[#This Row],[TOTAL 2014]]*100</f>
        <v>#REF!</v>
      </c>
      <c r="P23" s="13" t="e">
        <f>#REF!</f>
        <v>#REF!</v>
      </c>
      <c r="Q23" s="13" t="e">
        <f>Tabel11219[[#This Row],[OS 2016]]/Tabel11219[[#This Row],[TOTAL 2016]]*100</f>
        <v>#REF!</v>
      </c>
      <c r="R23" s="73" t="e">
        <f>#REF!</f>
        <v>#REF!</v>
      </c>
      <c r="S23" s="73" t="e">
        <f>Tabel11219[[#This Row],[I/E WATER 2014]]/Tabel11219[[#This Row],[TOTAL 2014]]*100</f>
        <v>#REF!</v>
      </c>
      <c r="T23" s="73" t="e">
        <f>#REF!</f>
        <v>#REF!</v>
      </c>
      <c r="U23" s="73" t="e">
        <f>Tabel11219[[#This Row],[I/E WATER 2016]]/Tabel11219[[#This Row],[TOTAL 2016]]*100</f>
        <v>#REF!</v>
      </c>
      <c r="V23" s="10" t="e">
        <f>Tabel11219[[#This Row],[GW 2014]]+Tabel11219[[#This Row],[SP 2014]]+Tabel11219[[#This Row],[SFW 2014]]+Tabel11219[[#This Row],[OS 2014]]+Tabel11219[[#This Row],[I/E WATER 2014]]</f>
        <v>#REF!</v>
      </c>
      <c r="W23" s="10" t="e">
        <f>Tabel11219[[#This Row],[GW 2016]]+Tabel11219[[#This Row],[SP 2016]]+Tabel11219[[#This Row],[SFW 2016]]+Tabel11219[[#This Row],[OS 2016]]+Tabel11219[[#This Row],[I/E WATER 2016]]</f>
        <v>#REF!</v>
      </c>
    </row>
    <row r="24" spans="1:23" hidden="1" x14ac:dyDescent="0.25">
      <c r="A24" s="536" t="s">
        <v>13</v>
      </c>
      <c r="B24" s="15" t="e">
        <f>#REF!</f>
        <v>#REF!</v>
      </c>
      <c r="C24" s="11" t="e">
        <f>Tabel11219[[#This Row],[GW 2014]]/Tabel11219[[#This Row],[TOTAL 2014]]*100</f>
        <v>#REF!</v>
      </c>
      <c r="D24" s="11" t="e">
        <f>#REF!</f>
        <v>#REF!</v>
      </c>
      <c r="E24" s="11" t="e">
        <f>Tabel11219[[#This Row],[GW 2016]]/Tabel11219[[#This Row],[TOTAL 2016]]*100</f>
        <v>#REF!</v>
      </c>
      <c r="F24" s="16" t="e">
        <f>#REF!</f>
        <v>#REF!</v>
      </c>
      <c r="G24" s="8" t="e">
        <f>Tabel11219[[#This Row],[SP 2014]]/Tabel11219[[#This Row],[TOTAL 2014]]*100</f>
        <v>#REF!</v>
      </c>
      <c r="H24" s="8" t="e">
        <f>#REF!</f>
        <v>#REF!</v>
      </c>
      <c r="I24" s="8" t="e">
        <f>Tabel11219[[#This Row],[SP 2016]]/Tabel11219[[#This Row],[TOTAL 2016]]*100</f>
        <v>#REF!</v>
      </c>
      <c r="J24" s="9" t="e">
        <f>#REF!</f>
        <v>#REF!</v>
      </c>
      <c r="K24" s="9" t="e">
        <f>Tabel11219[[#This Row],[SFW 2014]]/Tabel11219[[#This Row],[TOTAL 2014]]*100</f>
        <v>#REF!</v>
      </c>
      <c r="L24" s="9" t="e">
        <f>#REF!</f>
        <v>#REF!</v>
      </c>
      <c r="M24" s="9" t="e">
        <f>Tabel11219[[#This Row],[SFW 2016]]/Tabel11219[[#This Row],[TOTAL 2016]]*100</f>
        <v>#REF!</v>
      </c>
      <c r="N24" s="13" t="e">
        <f>#REF!</f>
        <v>#REF!</v>
      </c>
      <c r="O24" s="13" t="e">
        <f>Tabel11219[[#This Row],[OS 2014]]/Tabel11219[[#This Row],[TOTAL 2014]]*100</f>
        <v>#REF!</v>
      </c>
      <c r="P24" s="13" t="e">
        <f>#REF!</f>
        <v>#REF!</v>
      </c>
      <c r="Q24" s="13" t="e">
        <f>Tabel11219[[#This Row],[OS 2016]]/Tabel11219[[#This Row],[TOTAL 2016]]*100</f>
        <v>#REF!</v>
      </c>
      <c r="R24" s="73" t="e">
        <f>#REF!</f>
        <v>#REF!</v>
      </c>
      <c r="S24" s="73" t="e">
        <f>Tabel11219[[#This Row],[I/E WATER 2014]]/Tabel11219[[#This Row],[TOTAL 2014]]*100</f>
        <v>#REF!</v>
      </c>
      <c r="T24" s="73" t="e">
        <f>#REF!</f>
        <v>#REF!</v>
      </c>
      <c r="U24" s="73" t="e">
        <f>Tabel11219[[#This Row],[I/E WATER 2016]]/Tabel11219[[#This Row],[TOTAL 2016]]*100</f>
        <v>#REF!</v>
      </c>
      <c r="V24" s="10" t="e">
        <f>Tabel11219[[#This Row],[GW 2014]]+Tabel11219[[#This Row],[SP 2014]]+Tabel11219[[#This Row],[SFW 2014]]+Tabel11219[[#This Row],[OS 2014]]+Tabel11219[[#This Row],[I/E WATER 2014]]</f>
        <v>#REF!</v>
      </c>
      <c r="W24" s="10" t="e">
        <f>Tabel11219[[#This Row],[GW 2016]]+Tabel11219[[#This Row],[SP 2016]]+Tabel11219[[#This Row],[SFW 2016]]+Tabel11219[[#This Row],[OS 2016]]+Tabel11219[[#This Row],[I/E WATER 2016]]</f>
        <v>#REF!</v>
      </c>
    </row>
    <row r="25" spans="1:23" hidden="1" x14ac:dyDescent="0.25">
      <c r="A25" s="251" t="s">
        <v>521</v>
      </c>
      <c r="B25" s="15" t="e">
        <f>#REF!</f>
        <v>#REF!</v>
      </c>
      <c r="C25" s="11" t="e">
        <f>Tabel11219[[#This Row],[GW 2014]]/Tabel11219[[#This Row],[TOTAL 2014]]*100</f>
        <v>#REF!</v>
      </c>
      <c r="D25" s="11" t="e">
        <f>#REF!</f>
        <v>#REF!</v>
      </c>
      <c r="E25" s="11" t="e">
        <f>Tabel11219[[#This Row],[GW 2016]]/Tabel11219[[#This Row],[TOTAL 2016]]*100</f>
        <v>#REF!</v>
      </c>
      <c r="F25" s="16" t="e">
        <f>#REF!</f>
        <v>#REF!</v>
      </c>
      <c r="G25" s="8" t="e">
        <f>Tabel11219[[#This Row],[SP 2014]]/Tabel11219[[#This Row],[TOTAL 2014]]*100</f>
        <v>#REF!</v>
      </c>
      <c r="H25" s="8" t="e">
        <f>#REF!</f>
        <v>#REF!</v>
      </c>
      <c r="I25" s="8" t="e">
        <f>Tabel11219[[#This Row],[SP 2016]]/Tabel11219[[#This Row],[TOTAL 2016]]*100</f>
        <v>#REF!</v>
      </c>
      <c r="J25" s="9" t="e">
        <f>#REF!</f>
        <v>#REF!</v>
      </c>
      <c r="K25" s="9" t="e">
        <f>Tabel11219[[#This Row],[SFW 2014]]/Tabel11219[[#This Row],[TOTAL 2014]]*100</f>
        <v>#REF!</v>
      </c>
      <c r="L25" s="9" t="e">
        <f>#REF!</f>
        <v>#REF!</v>
      </c>
      <c r="M25" s="9" t="e">
        <f>Tabel11219[[#This Row],[SFW 2016]]/Tabel11219[[#This Row],[TOTAL 2016]]*100</f>
        <v>#REF!</v>
      </c>
      <c r="N25" s="13" t="e">
        <f>#REF!</f>
        <v>#REF!</v>
      </c>
      <c r="O25" s="13" t="e">
        <f>Tabel11219[[#This Row],[OS 2014]]/Tabel11219[[#This Row],[TOTAL 2014]]*100</f>
        <v>#REF!</v>
      </c>
      <c r="P25" s="13" t="e">
        <f>#REF!</f>
        <v>#REF!</v>
      </c>
      <c r="Q25" s="13" t="e">
        <f>Tabel11219[[#This Row],[OS 2016]]/Tabel11219[[#This Row],[TOTAL 2016]]*100</f>
        <v>#REF!</v>
      </c>
      <c r="R25" s="73" t="e">
        <f>#REF!</f>
        <v>#REF!</v>
      </c>
      <c r="S25" s="73" t="e">
        <f>Tabel11219[[#This Row],[I/E WATER 2014]]/Tabel11219[[#This Row],[TOTAL 2014]]*100</f>
        <v>#REF!</v>
      </c>
      <c r="T25" s="73" t="e">
        <f>#REF!</f>
        <v>#REF!</v>
      </c>
      <c r="U25" s="73" t="e">
        <f>Tabel11219[[#This Row],[I/E WATER 2016]]/Tabel11219[[#This Row],[TOTAL 2016]]*100</f>
        <v>#REF!</v>
      </c>
      <c r="V25" s="10" t="e">
        <f>Tabel11219[[#This Row],[GW 2014]]+Tabel11219[[#This Row],[SP 2014]]+Tabel11219[[#This Row],[SFW 2014]]+Tabel11219[[#This Row],[OS 2014]]+Tabel11219[[#This Row],[I/E WATER 2014]]</f>
        <v>#REF!</v>
      </c>
      <c r="W25" s="10" t="e">
        <f>Tabel11219[[#This Row],[GW 2016]]+Tabel11219[[#This Row],[SP 2016]]+Tabel11219[[#This Row],[SFW 2016]]+Tabel11219[[#This Row],[OS 2016]]+Tabel11219[[#This Row],[I/E WATER 2016]]</f>
        <v>#REF!</v>
      </c>
    </row>
    <row r="26" spans="1:23" hidden="1" x14ac:dyDescent="0.25">
      <c r="A26" s="536" t="s">
        <v>14</v>
      </c>
      <c r="B26" s="15" t="e">
        <f>#REF!</f>
        <v>#REF!</v>
      </c>
      <c r="C26" s="11" t="e">
        <f>Tabel11219[[#This Row],[GW 2014]]/Tabel11219[[#This Row],[TOTAL 2014]]*100</f>
        <v>#REF!</v>
      </c>
      <c r="D26" s="11" t="e">
        <f>#REF!</f>
        <v>#REF!</v>
      </c>
      <c r="E26" s="11" t="e">
        <f>Tabel11219[[#This Row],[GW 2016]]/Tabel11219[[#This Row],[TOTAL 2016]]*100</f>
        <v>#REF!</v>
      </c>
      <c r="F26" s="16" t="e">
        <f>#REF!</f>
        <v>#REF!</v>
      </c>
      <c r="G26" s="8" t="e">
        <f>Tabel11219[[#This Row],[SP 2014]]/Tabel11219[[#This Row],[TOTAL 2014]]*100</f>
        <v>#REF!</v>
      </c>
      <c r="H26" s="8" t="e">
        <f>#REF!</f>
        <v>#REF!</v>
      </c>
      <c r="I26" s="8" t="e">
        <f>Tabel11219[[#This Row],[SP 2016]]/Tabel11219[[#This Row],[TOTAL 2016]]*100</f>
        <v>#REF!</v>
      </c>
      <c r="J26" s="9" t="e">
        <f>#REF!</f>
        <v>#REF!</v>
      </c>
      <c r="K26" s="9" t="e">
        <f>Tabel11219[[#This Row],[SFW 2014]]/Tabel11219[[#This Row],[TOTAL 2014]]*100</f>
        <v>#REF!</v>
      </c>
      <c r="L26" s="9" t="e">
        <f>#REF!</f>
        <v>#REF!</v>
      </c>
      <c r="M26" s="9" t="e">
        <f>Tabel11219[[#This Row],[SFW 2016]]/Tabel11219[[#This Row],[TOTAL 2016]]*100</f>
        <v>#REF!</v>
      </c>
      <c r="N26" s="13" t="e">
        <f>#REF!</f>
        <v>#REF!</v>
      </c>
      <c r="O26" s="13" t="e">
        <f>Tabel11219[[#This Row],[OS 2014]]/Tabel11219[[#This Row],[TOTAL 2014]]*100</f>
        <v>#REF!</v>
      </c>
      <c r="P26" s="13" t="e">
        <f>#REF!</f>
        <v>#REF!</v>
      </c>
      <c r="Q26" s="13" t="e">
        <f>Tabel11219[[#This Row],[OS 2016]]/Tabel11219[[#This Row],[TOTAL 2016]]*100</f>
        <v>#REF!</v>
      </c>
      <c r="R26" s="73" t="e">
        <f>#REF!</f>
        <v>#REF!</v>
      </c>
      <c r="S26" s="73" t="e">
        <f>Tabel11219[[#This Row],[I/E WATER 2014]]/Tabel11219[[#This Row],[TOTAL 2014]]*100</f>
        <v>#REF!</v>
      </c>
      <c r="T26" s="73" t="e">
        <f>#REF!</f>
        <v>#REF!</v>
      </c>
      <c r="U26" s="73" t="e">
        <f>Tabel11219[[#This Row],[I/E WATER 2016]]/Tabel11219[[#This Row],[TOTAL 2016]]*100</f>
        <v>#REF!</v>
      </c>
      <c r="V26" s="10" t="e">
        <f>Tabel11219[[#This Row],[GW 2014]]+Tabel11219[[#This Row],[SP 2014]]+Tabel11219[[#This Row],[SFW 2014]]+Tabel11219[[#This Row],[OS 2014]]+Tabel11219[[#This Row],[I/E WATER 2014]]</f>
        <v>#REF!</v>
      </c>
      <c r="W26" s="10" t="e">
        <f>Tabel11219[[#This Row],[GW 2016]]+Tabel11219[[#This Row],[SP 2016]]+Tabel11219[[#This Row],[SFW 2016]]+Tabel11219[[#This Row],[OS 2016]]+Tabel11219[[#This Row],[I/E WATER 2016]]</f>
        <v>#REF!</v>
      </c>
    </row>
    <row r="27" spans="1:23" hidden="1" x14ac:dyDescent="0.25">
      <c r="A27" s="251" t="s">
        <v>35</v>
      </c>
      <c r="B27" s="15" t="e">
        <f>#REF!</f>
        <v>#REF!</v>
      </c>
      <c r="C27" s="11" t="e">
        <f>Tabel11219[[#This Row],[GW 2014]]/Tabel11219[[#This Row],[TOTAL 2014]]*100</f>
        <v>#REF!</v>
      </c>
      <c r="D27" s="11" t="e">
        <f>#REF!</f>
        <v>#REF!</v>
      </c>
      <c r="E27" s="11" t="e">
        <f>Tabel11219[[#This Row],[GW 2016]]/Tabel11219[[#This Row],[TOTAL 2016]]*100</f>
        <v>#REF!</v>
      </c>
      <c r="F27" s="16" t="e">
        <f>#REF!</f>
        <v>#REF!</v>
      </c>
      <c r="G27" s="8" t="e">
        <f>Tabel11219[[#This Row],[SP 2014]]/Tabel11219[[#This Row],[TOTAL 2014]]*100</f>
        <v>#REF!</v>
      </c>
      <c r="H27" s="8" t="e">
        <f>#REF!</f>
        <v>#REF!</v>
      </c>
      <c r="I27" s="8" t="e">
        <f>Tabel11219[[#This Row],[SP 2016]]/Tabel11219[[#This Row],[TOTAL 2016]]*100</f>
        <v>#REF!</v>
      </c>
      <c r="J27" s="9" t="e">
        <f>#REF!</f>
        <v>#REF!</v>
      </c>
      <c r="K27" s="9" t="e">
        <f>Tabel11219[[#This Row],[SFW 2014]]/Tabel11219[[#This Row],[TOTAL 2014]]*100</f>
        <v>#REF!</v>
      </c>
      <c r="L27" s="9" t="e">
        <f>#REF!</f>
        <v>#REF!</v>
      </c>
      <c r="M27" s="9" t="e">
        <f>Tabel11219[[#This Row],[SFW 2016]]/Tabel11219[[#This Row],[TOTAL 2016]]*100</f>
        <v>#REF!</v>
      </c>
      <c r="N27" s="13" t="e">
        <f>#REF!</f>
        <v>#REF!</v>
      </c>
      <c r="O27" s="13" t="e">
        <f>Tabel11219[[#This Row],[OS 2014]]/Tabel11219[[#This Row],[TOTAL 2014]]*100</f>
        <v>#REF!</v>
      </c>
      <c r="P27" s="13" t="e">
        <f>#REF!</f>
        <v>#REF!</v>
      </c>
      <c r="Q27" s="13" t="e">
        <f>Tabel11219[[#This Row],[OS 2016]]/Tabel11219[[#This Row],[TOTAL 2016]]*100</f>
        <v>#REF!</v>
      </c>
      <c r="R27" s="73" t="e">
        <f>#REF!</f>
        <v>#REF!</v>
      </c>
      <c r="S27" s="73" t="e">
        <f>Tabel11219[[#This Row],[I/E WATER 2014]]/Tabel11219[[#This Row],[TOTAL 2014]]*100</f>
        <v>#REF!</v>
      </c>
      <c r="T27" s="73" t="e">
        <f>#REF!</f>
        <v>#REF!</v>
      </c>
      <c r="U27" s="73" t="e">
        <f>Tabel11219[[#This Row],[I/E WATER 2016]]/Tabel11219[[#This Row],[TOTAL 2016]]*100</f>
        <v>#REF!</v>
      </c>
      <c r="V27" s="10" t="e">
        <f>Tabel11219[[#This Row],[GW 2014]]+Tabel11219[[#This Row],[SP 2014]]+Tabel11219[[#This Row],[SFW 2014]]+Tabel11219[[#This Row],[OS 2014]]+Tabel11219[[#This Row],[I/E WATER 2014]]</f>
        <v>#REF!</v>
      </c>
      <c r="W27" s="10" t="e">
        <f>Tabel11219[[#This Row],[GW 2016]]+Tabel11219[[#This Row],[SP 2016]]+Tabel11219[[#This Row],[SFW 2016]]+Tabel11219[[#This Row],[OS 2016]]+Tabel11219[[#This Row],[I/E WATER 2016]]</f>
        <v>#REF!</v>
      </c>
    </row>
    <row r="28" spans="1:23" hidden="1" x14ac:dyDescent="0.25">
      <c r="A28" s="536" t="s">
        <v>15</v>
      </c>
      <c r="B28" s="15" t="e">
        <f>#REF!</f>
        <v>#REF!</v>
      </c>
      <c r="C28" s="214" t="e">
        <f>Tabel11219[[#This Row],[GW 2014]]/Tabel11219[[#This Row],[TOTAL 2014]]*100</f>
        <v>#REF!</v>
      </c>
      <c r="D28" s="214" t="e">
        <f>#REF!</f>
        <v>#REF!</v>
      </c>
      <c r="E28" s="214" t="e">
        <f>Tabel11219[[#This Row],[GW 2016]]/Tabel11219[[#This Row],[TOTAL 2016]]*100</f>
        <v>#REF!</v>
      </c>
      <c r="F28" s="16" t="e">
        <f>#REF!</f>
        <v>#REF!</v>
      </c>
      <c r="G28" s="213" t="e">
        <f>Tabel11219[[#This Row],[SP 2014]]/Tabel11219[[#This Row],[TOTAL 2014]]*100</f>
        <v>#REF!</v>
      </c>
      <c r="H28" s="213" t="e">
        <f>#REF!</f>
        <v>#REF!</v>
      </c>
      <c r="I28" s="213" t="e">
        <f>Tabel11219[[#This Row],[SP 2016]]/Tabel11219[[#This Row],[TOTAL 2016]]*100</f>
        <v>#REF!</v>
      </c>
      <c r="J28" s="9" t="e">
        <f>#REF!</f>
        <v>#REF!</v>
      </c>
      <c r="K28" s="212" t="e">
        <f>Tabel11219[[#This Row],[SFW 2014]]/Tabel11219[[#This Row],[TOTAL 2014]]*100</f>
        <v>#REF!</v>
      </c>
      <c r="L28" s="212" t="e">
        <f>#REF!</f>
        <v>#REF!</v>
      </c>
      <c r="M28" s="212" t="e">
        <f>Tabel11219[[#This Row],[SFW 2016]]/Tabel11219[[#This Row],[TOTAL 2016]]*100</f>
        <v>#REF!</v>
      </c>
      <c r="N28" s="13" t="e">
        <f>#REF!</f>
        <v>#REF!</v>
      </c>
      <c r="O28" s="211" t="e">
        <f>Tabel11219[[#This Row],[OS 2014]]/Tabel11219[[#This Row],[TOTAL 2014]]*100</f>
        <v>#REF!</v>
      </c>
      <c r="P28" s="211" t="e">
        <f>#REF!</f>
        <v>#REF!</v>
      </c>
      <c r="Q28" s="211" t="e">
        <f>Tabel11219[[#This Row],[OS 2016]]/Tabel11219[[#This Row],[TOTAL 2016]]*100</f>
        <v>#REF!</v>
      </c>
      <c r="R28" s="73" t="e">
        <f>#REF!</f>
        <v>#REF!</v>
      </c>
      <c r="S28" s="73" t="e">
        <f>Tabel11219[[#This Row],[I/E WATER 2014]]/Tabel11219[[#This Row],[TOTAL 2014]]*100</f>
        <v>#REF!</v>
      </c>
      <c r="T28" s="73" t="e">
        <f>#REF!</f>
        <v>#REF!</v>
      </c>
      <c r="U28" s="73" t="e">
        <f>Tabel11219[[#This Row],[I/E WATER 2016]]/Tabel11219[[#This Row],[TOTAL 2016]]*100</f>
        <v>#REF!</v>
      </c>
      <c r="V28" s="10" t="e">
        <f>Tabel11219[[#This Row],[GW 2014]]+Tabel11219[[#This Row],[SP 2014]]+Tabel11219[[#This Row],[SFW 2014]]+Tabel11219[[#This Row],[OS 2014]]+Tabel11219[[#This Row],[I/E WATER 2014]]</f>
        <v>#REF!</v>
      </c>
      <c r="W28" s="10" t="e">
        <f>Tabel11219[[#This Row],[GW 2016]]+Tabel11219[[#This Row],[SP 2016]]+Tabel11219[[#This Row],[SFW 2016]]+Tabel11219[[#This Row],[OS 2016]]+Tabel11219[[#This Row],[I/E WATER 2016]]</f>
        <v>#REF!</v>
      </c>
    </row>
    <row r="29" spans="1:23" hidden="1" x14ac:dyDescent="0.25">
      <c r="A29" s="251" t="s">
        <v>754</v>
      </c>
      <c r="B29" s="15" t="e">
        <f>#REF!</f>
        <v>#REF!</v>
      </c>
      <c r="C29" s="214" t="e">
        <f>Tabel11219[[#This Row],[GW 2014]]/Tabel11219[[#This Row],[TOTAL 2014]]*100</f>
        <v>#REF!</v>
      </c>
      <c r="D29" s="214" t="e">
        <f>#REF!</f>
        <v>#REF!</v>
      </c>
      <c r="E29" s="214" t="e">
        <f>Tabel11219[[#This Row],[GW 2016]]/Tabel11219[[#This Row],[TOTAL 2016]]*100</f>
        <v>#REF!</v>
      </c>
      <c r="F29" s="16" t="e">
        <f>#REF!</f>
        <v>#REF!</v>
      </c>
      <c r="G29" s="213" t="e">
        <f>Tabel11219[[#This Row],[SP 2014]]/Tabel11219[[#This Row],[TOTAL 2014]]*100</f>
        <v>#REF!</v>
      </c>
      <c r="H29" s="213" t="e">
        <f>#REF!</f>
        <v>#REF!</v>
      </c>
      <c r="I29" s="213" t="e">
        <f>Tabel11219[[#This Row],[SP 2016]]/Tabel11219[[#This Row],[TOTAL 2016]]*100</f>
        <v>#REF!</v>
      </c>
      <c r="J29" s="9" t="e">
        <f>#REF!</f>
        <v>#REF!</v>
      </c>
      <c r="K29" s="212" t="e">
        <f>Tabel11219[[#This Row],[SFW 2014]]/Tabel11219[[#This Row],[TOTAL 2014]]*100</f>
        <v>#REF!</v>
      </c>
      <c r="L29" s="212" t="e">
        <f>#REF!</f>
        <v>#REF!</v>
      </c>
      <c r="M29" s="212" t="e">
        <f>Tabel11219[[#This Row],[SFW 2016]]/Tabel11219[[#This Row],[TOTAL 2016]]*100</f>
        <v>#REF!</v>
      </c>
      <c r="N29" s="13" t="e">
        <f>#REF!</f>
        <v>#REF!</v>
      </c>
      <c r="O29" s="211" t="e">
        <f>Tabel11219[[#This Row],[OS 2014]]/Tabel11219[[#This Row],[TOTAL 2014]]*100</f>
        <v>#REF!</v>
      </c>
      <c r="P29" s="211" t="e">
        <f>#REF!</f>
        <v>#REF!</v>
      </c>
      <c r="Q29" s="211" t="e">
        <f>Tabel11219[[#This Row],[OS 2016]]/Tabel11219[[#This Row],[TOTAL 2016]]*100</f>
        <v>#REF!</v>
      </c>
      <c r="R29" s="73" t="e">
        <f>#REF!</f>
        <v>#REF!</v>
      </c>
      <c r="S29" s="73" t="e">
        <f>Tabel11219[[#This Row],[I/E WATER 2014]]/Tabel11219[[#This Row],[TOTAL 2014]]*100</f>
        <v>#REF!</v>
      </c>
      <c r="T29" s="73" t="e">
        <f>#REF!</f>
        <v>#REF!</v>
      </c>
      <c r="U29" s="73" t="e">
        <f>Tabel11219[[#This Row],[I/E WATER 2016]]/Tabel11219[[#This Row],[TOTAL 2016]]*100</f>
        <v>#REF!</v>
      </c>
      <c r="V29" s="10" t="e">
        <f>Tabel11219[[#This Row],[GW 2014]]+Tabel11219[[#This Row],[SP 2014]]+Tabel11219[[#This Row],[SFW 2014]]+Tabel11219[[#This Row],[OS 2014]]+Tabel11219[[#This Row],[I/E WATER 2014]]</f>
        <v>#REF!</v>
      </c>
      <c r="W29" s="10" t="e">
        <f>Tabel11219[[#This Row],[GW 2016]]+Tabel11219[[#This Row],[SP 2016]]+Tabel11219[[#This Row],[SFW 2016]]+Tabel11219[[#This Row],[OS 2016]]+Tabel11219[[#This Row],[I/E WATER 2016]]</f>
        <v>#REF!</v>
      </c>
    </row>
    <row r="30" spans="1:23" hidden="1" x14ac:dyDescent="0.25">
      <c r="A30" s="536" t="s">
        <v>639</v>
      </c>
      <c r="B30" s="15" t="e">
        <f>#REF!</f>
        <v>#REF!</v>
      </c>
      <c r="C30" s="214" t="s">
        <v>5</v>
      </c>
      <c r="D30" s="214" t="e">
        <f>#REF!</f>
        <v>#REF!</v>
      </c>
      <c r="E30" s="214" t="s">
        <v>5</v>
      </c>
      <c r="F30" s="16" t="e">
        <f>#REF!</f>
        <v>#REF!</v>
      </c>
      <c r="G30" s="213" t="s">
        <v>5</v>
      </c>
      <c r="H30" s="213" t="e">
        <f>#REF!</f>
        <v>#REF!</v>
      </c>
      <c r="I30" s="213" t="s">
        <v>5</v>
      </c>
      <c r="J30" s="9" t="e">
        <f>#REF!</f>
        <v>#REF!</v>
      </c>
      <c r="K30" s="212" t="s">
        <v>5</v>
      </c>
      <c r="L30" s="212" t="e">
        <f>#REF!</f>
        <v>#REF!</v>
      </c>
      <c r="M30" s="212" t="s">
        <v>5</v>
      </c>
      <c r="N30" s="13" t="e">
        <f>#REF!</f>
        <v>#REF!</v>
      </c>
      <c r="O30" s="211" t="s">
        <v>5</v>
      </c>
      <c r="P30" s="211" t="e">
        <f>#REF!</f>
        <v>#REF!</v>
      </c>
      <c r="Q30" s="211" t="s">
        <v>5</v>
      </c>
      <c r="R30" s="73" t="e">
        <f>#REF!</f>
        <v>#REF!</v>
      </c>
      <c r="S30" s="73" t="s">
        <v>5</v>
      </c>
      <c r="T30" s="73" t="e">
        <f>#REF!</f>
        <v>#REF!</v>
      </c>
      <c r="U30" s="73" t="s">
        <v>5</v>
      </c>
      <c r="V30" s="10" t="s">
        <v>5</v>
      </c>
      <c r="W30" s="10" t="s">
        <v>5</v>
      </c>
    </row>
    <row r="31" spans="1:23" hidden="1" x14ac:dyDescent="0.25">
      <c r="A31" s="251" t="s">
        <v>466</v>
      </c>
      <c r="B31" s="15" t="e">
        <f>#REF!</f>
        <v>#REF!</v>
      </c>
      <c r="C31" s="214" t="e">
        <f>Tabel11219[[#This Row],[GW 2014]]/Tabel11219[[#This Row],[TOTAL 2014]]*100</f>
        <v>#REF!</v>
      </c>
      <c r="D31" s="214" t="e">
        <f>#REF!</f>
        <v>#REF!</v>
      </c>
      <c r="E31" s="214" t="e">
        <f>Tabel11219[[#This Row],[GW 2016]]/Tabel11219[[#This Row],[TOTAL 2016]]*100</f>
        <v>#REF!</v>
      </c>
      <c r="F31" s="16" t="e">
        <f>#REF!</f>
        <v>#REF!</v>
      </c>
      <c r="G31" s="213" t="e">
        <f>Tabel11219[[#This Row],[SP 2014]]/Tabel11219[[#This Row],[TOTAL 2014]]*100</f>
        <v>#REF!</v>
      </c>
      <c r="H31" s="213" t="e">
        <f>#REF!</f>
        <v>#REF!</v>
      </c>
      <c r="I31" s="213" t="e">
        <f>Tabel11219[[#This Row],[SP 2016]]/Tabel11219[[#This Row],[TOTAL 2016]]*100</f>
        <v>#REF!</v>
      </c>
      <c r="J31" s="9" t="e">
        <f>#REF!</f>
        <v>#REF!</v>
      </c>
      <c r="K31" s="212" t="e">
        <f>Tabel11219[[#This Row],[SFW 2014]]/Tabel11219[[#This Row],[TOTAL 2014]]*100</f>
        <v>#REF!</v>
      </c>
      <c r="L31" s="212" t="e">
        <f>#REF!</f>
        <v>#REF!</v>
      </c>
      <c r="M31" s="212" t="e">
        <f>Tabel11219[[#This Row],[SFW 2016]]/Tabel11219[[#This Row],[TOTAL 2016]]*100</f>
        <v>#REF!</v>
      </c>
      <c r="N31" s="13" t="e">
        <f>#REF!</f>
        <v>#REF!</v>
      </c>
      <c r="O31" s="211" t="e">
        <f>Tabel11219[[#This Row],[OS 2014]]/Tabel11219[[#This Row],[TOTAL 2014]]*100</f>
        <v>#REF!</v>
      </c>
      <c r="P31" s="211" t="e">
        <f>#REF!</f>
        <v>#REF!</v>
      </c>
      <c r="Q31" s="211" t="e">
        <f>Tabel11219[[#This Row],[OS 2016]]/Tabel11219[[#This Row],[TOTAL 2016]]*100</f>
        <v>#REF!</v>
      </c>
      <c r="R31" s="73" t="e">
        <f>#REF!</f>
        <v>#REF!</v>
      </c>
      <c r="S31" s="73" t="e">
        <f>Tabel11219[[#This Row],[I/E WATER 2014]]/Tabel11219[[#This Row],[TOTAL 2014]]*100</f>
        <v>#REF!</v>
      </c>
      <c r="T31" s="73" t="e">
        <f>#REF!</f>
        <v>#REF!</v>
      </c>
      <c r="U31" s="73" t="e">
        <f>Tabel11219[[#This Row],[I/E WATER 2016]]/Tabel11219[[#This Row],[TOTAL 2016]]*100</f>
        <v>#REF!</v>
      </c>
      <c r="V31" s="10" t="e">
        <f>Tabel11219[[#This Row],[GW 2014]]+Tabel11219[[#This Row],[SP 2014]]+Tabel11219[[#This Row],[SFW 2014]]+Tabel11219[[#This Row],[OS 2014]]+Tabel11219[[#This Row],[I/E WATER 2014]]</f>
        <v>#REF!</v>
      </c>
      <c r="W31" s="10" t="e">
        <f>Tabel11219[[#This Row],[GW 2016]]+Tabel11219[[#This Row],[SP 2016]]+Tabel11219[[#This Row],[SFW 2016]]+Tabel11219[[#This Row],[OS 2016]]+Tabel11219[[#This Row],[I/E WATER 2016]]</f>
        <v>#REF!</v>
      </c>
    </row>
    <row r="32" spans="1:23" hidden="1" x14ac:dyDescent="0.25">
      <c r="A32" s="251" t="s">
        <v>16</v>
      </c>
      <c r="B32" s="15" t="e">
        <f>#REF!</f>
        <v>#REF!</v>
      </c>
      <c r="C32" s="11" t="e">
        <f>Tabel11219[[#This Row],[GW 2014]]/Tabel11219[[#This Row],[TOTAL 2014]]*100</f>
        <v>#REF!</v>
      </c>
      <c r="D32" s="11" t="e">
        <f>#REF!</f>
        <v>#REF!</v>
      </c>
      <c r="E32" s="11" t="e">
        <f>Tabel11219[[#This Row],[GW 2016]]/Tabel11219[[#This Row],[TOTAL 2016]]*100</f>
        <v>#REF!</v>
      </c>
      <c r="F32" s="16" t="e">
        <f>#REF!</f>
        <v>#REF!</v>
      </c>
      <c r="G32" s="8" t="e">
        <f>Tabel11219[[#This Row],[SP 2014]]/Tabel11219[[#This Row],[TOTAL 2014]]*100</f>
        <v>#REF!</v>
      </c>
      <c r="H32" s="8" t="e">
        <f>#REF!</f>
        <v>#REF!</v>
      </c>
      <c r="I32" s="8" t="e">
        <f>Tabel11219[[#This Row],[SP 2016]]/Tabel11219[[#This Row],[TOTAL 2016]]*100</f>
        <v>#REF!</v>
      </c>
      <c r="J32" s="9" t="e">
        <f>#REF!</f>
        <v>#REF!</v>
      </c>
      <c r="K32" s="9" t="e">
        <f>Tabel11219[[#This Row],[SFW 2014]]/Tabel11219[[#This Row],[TOTAL 2014]]*100</f>
        <v>#REF!</v>
      </c>
      <c r="L32" s="9" t="e">
        <f>#REF!</f>
        <v>#REF!</v>
      </c>
      <c r="M32" s="9" t="e">
        <f>Tabel11219[[#This Row],[SFW 2016]]/Tabel11219[[#This Row],[TOTAL 2016]]*100</f>
        <v>#REF!</v>
      </c>
      <c r="N32" s="13" t="e">
        <f>#REF!</f>
        <v>#REF!</v>
      </c>
      <c r="O32" s="13" t="e">
        <f>Tabel11219[[#This Row],[OS 2014]]/Tabel11219[[#This Row],[TOTAL 2014]]*100</f>
        <v>#REF!</v>
      </c>
      <c r="P32" s="13" t="e">
        <f>#REF!</f>
        <v>#REF!</v>
      </c>
      <c r="Q32" s="13" t="e">
        <f>Tabel11219[[#This Row],[OS 2016]]/Tabel11219[[#This Row],[TOTAL 2016]]*100</f>
        <v>#REF!</v>
      </c>
      <c r="R32" s="73" t="e">
        <f>#REF!</f>
        <v>#REF!</v>
      </c>
      <c r="S32" s="73" t="e">
        <f>Tabel11219[[#This Row],[I/E WATER 2014]]/Tabel11219[[#This Row],[TOTAL 2014]]*100</f>
        <v>#REF!</v>
      </c>
      <c r="T32" s="73" t="e">
        <f>#REF!</f>
        <v>#REF!</v>
      </c>
      <c r="U32" s="73" t="e">
        <f>Tabel11219[[#This Row],[I/E WATER 2016]]/Tabel11219[[#This Row],[TOTAL 2016]]*100</f>
        <v>#REF!</v>
      </c>
      <c r="V32" s="10" t="e">
        <f>Tabel11219[[#This Row],[GW 2014]]+Tabel11219[[#This Row],[SP 2014]]+Tabel11219[[#This Row],[SFW 2014]]+Tabel11219[[#This Row],[OS 2014]]+Tabel11219[[#This Row],[I/E WATER 2014]]</f>
        <v>#REF!</v>
      </c>
      <c r="W32" s="10" t="e">
        <f>Tabel11219[[#This Row],[GW 2016]]+Tabel11219[[#This Row],[SP 2016]]+Tabel11219[[#This Row],[SFW 2016]]+Tabel11219[[#This Row],[OS 2016]]+Tabel11219[[#This Row],[I/E WATER 2016]]</f>
        <v>#REF!</v>
      </c>
    </row>
    <row r="33" spans="1:23" hidden="1" x14ac:dyDescent="0.25">
      <c r="A33" s="536" t="s">
        <v>17</v>
      </c>
      <c r="B33" s="15" t="e">
        <f>#REF!</f>
        <v>#REF!</v>
      </c>
      <c r="C33" s="214" t="s">
        <v>5</v>
      </c>
      <c r="D33" s="214" t="e">
        <f>#REF!</f>
        <v>#REF!</v>
      </c>
      <c r="E33" s="214" t="e">
        <f>Tabel11219[[#This Row],[GW 2016]]/Tabel11219[[#This Row],[TOTAL 2016]]*100</f>
        <v>#REF!</v>
      </c>
      <c r="F33" s="16" t="e">
        <f>#REF!</f>
        <v>#REF!</v>
      </c>
      <c r="G33" s="213" t="s">
        <v>5</v>
      </c>
      <c r="H33" s="213" t="e">
        <f>#REF!</f>
        <v>#REF!</v>
      </c>
      <c r="I33" s="213" t="e">
        <f>Tabel11219[[#This Row],[SP 2016]]/Tabel11219[[#This Row],[TOTAL 2016]]*100</f>
        <v>#REF!</v>
      </c>
      <c r="J33" s="9" t="e">
        <f>#REF!</f>
        <v>#REF!</v>
      </c>
      <c r="K33" s="212" t="s">
        <v>5</v>
      </c>
      <c r="L33" s="212" t="e">
        <f>#REF!</f>
        <v>#REF!</v>
      </c>
      <c r="M33" s="212" t="e">
        <f>Tabel11219[[#This Row],[SFW 2016]]/Tabel11219[[#This Row],[TOTAL 2016]]*100</f>
        <v>#REF!</v>
      </c>
      <c r="N33" s="13" t="e">
        <f>#REF!</f>
        <v>#REF!</v>
      </c>
      <c r="O33" s="211" t="s">
        <v>5</v>
      </c>
      <c r="P33" s="211" t="e">
        <f>#REF!</f>
        <v>#REF!</v>
      </c>
      <c r="Q33" s="211" t="e">
        <f>Tabel11219[[#This Row],[OS 2016]]/Tabel11219[[#This Row],[TOTAL 2016]]*100</f>
        <v>#REF!</v>
      </c>
      <c r="R33" s="73" t="e">
        <f>#REF!</f>
        <v>#REF!</v>
      </c>
      <c r="S33" s="73" t="s">
        <v>5</v>
      </c>
      <c r="T33" s="73" t="e">
        <f>#REF!</f>
        <v>#REF!</v>
      </c>
      <c r="U33" s="73" t="e">
        <f>Tabel11219[[#This Row],[I/E WATER 2016]]/Tabel11219[[#This Row],[TOTAL 2016]]*100</f>
        <v>#REF!</v>
      </c>
      <c r="V33" s="10" t="s">
        <v>5</v>
      </c>
      <c r="W33" s="10" t="e">
        <f>Tabel11219[[#This Row],[GW 2016]]+Tabel11219[[#This Row],[SP 2016]]+Tabel11219[[#This Row],[SFW 2016]]+Tabel11219[[#This Row],[OS 2016]]+Tabel11219[[#This Row],[I/E WATER 2016]]</f>
        <v>#REF!</v>
      </c>
    </row>
    <row r="34" spans="1:23" hidden="1" x14ac:dyDescent="0.25">
      <c r="A34" s="536" t="s">
        <v>18</v>
      </c>
      <c r="B34" s="15" t="e">
        <f>#REF!</f>
        <v>#REF!</v>
      </c>
      <c r="C34" s="214" t="e">
        <f>Tabel11219[[#This Row],[GW 2014]]/Tabel11219[[#This Row],[TOTAL 2014]]*100</f>
        <v>#REF!</v>
      </c>
      <c r="D34" s="214" t="e">
        <f>#REF!</f>
        <v>#REF!</v>
      </c>
      <c r="E34" s="214" t="e">
        <f>Tabel11219[[#This Row],[GW 2016]]/Tabel11219[[#This Row],[TOTAL 2016]]*100</f>
        <v>#REF!</v>
      </c>
      <c r="F34" s="16" t="e">
        <f>#REF!</f>
        <v>#REF!</v>
      </c>
      <c r="G34" s="213" t="e">
        <f>Tabel11219[[#This Row],[SP 2014]]/Tabel11219[[#This Row],[TOTAL 2014]]*100</f>
        <v>#REF!</v>
      </c>
      <c r="H34" s="213" t="e">
        <f>#REF!</f>
        <v>#REF!</v>
      </c>
      <c r="I34" s="213" t="e">
        <f>Tabel11219[[#This Row],[SP 2016]]/Tabel11219[[#This Row],[TOTAL 2016]]*100</f>
        <v>#REF!</v>
      </c>
      <c r="J34" s="9" t="e">
        <f>#REF!</f>
        <v>#REF!</v>
      </c>
      <c r="K34" s="212" t="e">
        <f>Tabel11219[[#This Row],[SFW 2014]]/Tabel11219[[#This Row],[TOTAL 2014]]*100</f>
        <v>#REF!</v>
      </c>
      <c r="L34" s="212" t="e">
        <f>#REF!</f>
        <v>#REF!</v>
      </c>
      <c r="M34" s="212" t="e">
        <f>Tabel11219[[#This Row],[SFW 2016]]/Tabel11219[[#This Row],[TOTAL 2016]]*100</f>
        <v>#REF!</v>
      </c>
      <c r="N34" s="13" t="e">
        <f>#REF!</f>
        <v>#REF!</v>
      </c>
      <c r="O34" s="211" t="e">
        <f>Tabel11219[[#This Row],[OS 2014]]/Tabel11219[[#This Row],[TOTAL 2014]]*100</f>
        <v>#REF!</v>
      </c>
      <c r="P34" s="211" t="e">
        <f>#REF!</f>
        <v>#REF!</v>
      </c>
      <c r="Q34" s="211" t="e">
        <f>Tabel11219[[#This Row],[OS 2016]]/Tabel11219[[#This Row],[TOTAL 2016]]*100</f>
        <v>#REF!</v>
      </c>
      <c r="R34" s="73" t="e">
        <f>#REF!</f>
        <v>#REF!</v>
      </c>
      <c r="S34" s="73" t="e">
        <f>Tabel11219[[#This Row],[I/E WATER 2014]]/Tabel11219[[#This Row],[TOTAL 2014]]*100</f>
        <v>#REF!</v>
      </c>
      <c r="T34" s="73" t="e">
        <f>#REF!</f>
        <v>#REF!</v>
      </c>
      <c r="U34" s="73" t="e">
        <f>Tabel11219[[#This Row],[I/E WATER 2016]]/Tabel11219[[#This Row],[TOTAL 2016]]*100</f>
        <v>#REF!</v>
      </c>
      <c r="V34" s="10" t="e">
        <f>Tabel11219[[#This Row],[GW 2014]]+Tabel11219[[#This Row],[SP 2014]]+Tabel11219[[#This Row],[SFW 2014]]+Tabel11219[[#This Row],[OS 2014]]+Tabel11219[[#This Row],[I/E WATER 2014]]</f>
        <v>#REF!</v>
      </c>
      <c r="W34" s="10" t="e">
        <f>Tabel11219[[#This Row],[GW 2016]]+Tabel11219[[#This Row],[SP 2016]]+Tabel11219[[#This Row],[SFW 2016]]+Tabel11219[[#This Row],[OS 2016]]+Tabel11219[[#This Row],[I/E WATER 2016]]</f>
        <v>#REF!</v>
      </c>
    </row>
    <row r="35" spans="1:23" hidden="1" x14ac:dyDescent="0.25">
      <c r="A35" s="251" t="s">
        <v>742</v>
      </c>
      <c r="B35" s="15" t="e">
        <f>#REF!</f>
        <v>#REF!</v>
      </c>
      <c r="C35" s="214" t="e">
        <f>Tabel11219[[#This Row],[GW 2014]]/Tabel11219[[#This Row],[TOTAL 2014]]*100</f>
        <v>#REF!</v>
      </c>
      <c r="D35" s="214" t="e">
        <f>#REF!</f>
        <v>#REF!</v>
      </c>
      <c r="E35" s="214" t="e">
        <f>Tabel11219[[#This Row],[GW 2016]]/Tabel11219[[#This Row],[TOTAL 2016]]*100</f>
        <v>#REF!</v>
      </c>
      <c r="F35" s="16" t="e">
        <f>#REF!</f>
        <v>#REF!</v>
      </c>
      <c r="G35" s="213" t="e">
        <f>Tabel11219[[#This Row],[SP 2014]]/Tabel11219[[#This Row],[TOTAL 2014]]*100</f>
        <v>#REF!</v>
      </c>
      <c r="H35" s="213" t="e">
        <f>#REF!</f>
        <v>#REF!</v>
      </c>
      <c r="I35" s="213" t="e">
        <f>Tabel11219[[#This Row],[SP 2016]]/Tabel11219[[#This Row],[TOTAL 2016]]*100</f>
        <v>#REF!</v>
      </c>
      <c r="J35" s="9" t="e">
        <f>#REF!</f>
        <v>#REF!</v>
      </c>
      <c r="K35" s="212" t="e">
        <f>Tabel11219[[#This Row],[SFW 2014]]/Tabel11219[[#This Row],[TOTAL 2014]]*100</f>
        <v>#REF!</v>
      </c>
      <c r="L35" s="212" t="e">
        <f>#REF!</f>
        <v>#REF!</v>
      </c>
      <c r="M35" s="212" t="e">
        <f>Tabel11219[[#This Row],[SFW 2016]]/Tabel11219[[#This Row],[TOTAL 2016]]*100</f>
        <v>#REF!</v>
      </c>
      <c r="N35" s="13" t="e">
        <f>#REF!</f>
        <v>#REF!</v>
      </c>
      <c r="O35" s="211" t="e">
        <f>Tabel11219[[#This Row],[OS 2014]]/Tabel11219[[#This Row],[TOTAL 2014]]*100</f>
        <v>#REF!</v>
      </c>
      <c r="P35" s="211" t="e">
        <f>#REF!</f>
        <v>#REF!</v>
      </c>
      <c r="Q35" s="211" t="e">
        <f>Tabel11219[[#This Row],[OS 2016]]/Tabel11219[[#This Row],[TOTAL 2016]]*100</f>
        <v>#REF!</v>
      </c>
      <c r="R35" s="73" t="e">
        <f>#REF!</f>
        <v>#REF!</v>
      </c>
      <c r="S35" s="73" t="e">
        <f>Tabel11219[[#This Row],[I/E WATER 2014]]/Tabel11219[[#This Row],[TOTAL 2014]]*100</f>
        <v>#REF!</v>
      </c>
      <c r="T35" s="73" t="e">
        <f>#REF!</f>
        <v>#REF!</v>
      </c>
      <c r="U35" s="73" t="e">
        <f>Tabel11219[[#This Row],[I/E WATER 2016]]/Tabel11219[[#This Row],[TOTAL 2016]]*100</f>
        <v>#REF!</v>
      </c>
      <c r="V35" s="10" t="e">
        <f>Tabel11219[[#This Row],[GW 2014]]+Tabel11219[[#This Row],[SP 2014]]+Tabel11219[[#This Row],[SFW 2014]]+Tabel11219[[#This Row],[OS 2014]]+Tabel11219[[#This Row],[I/E WATER 2014]]</f>
        <v>#REF!</v>
      </c>
      <c r="W35" s="10" t="e">
        <f>Tabel11219[[#This Row],[GW 2016]]+Tabel11219[[#This Row],[SP 2016]]+Tabel11219[[#This Row],[SFW 2016]]+Tabel11219[[#This Row],[OS 2016]]+Tabel11219[[#This Row],[I/E WATER 2016]]</f>
        <v>#REF!</v>
      </c>
    </row>
    <row r="36" spans="1:23" hidden="1" x14ac:dyDescent="0.25">
      <c r="A36" s="251" t="s">
        <v>616</v>
      </c>
      <c r="B36" s="15" t="e">
        <f>#REF!</f>
        <v>#REF!</v>
      </c>
      <c r="C36" s="214" t="e">
        <f>Tabel11219[[#This Row],[GW 2014]]/Tabel11219[[#This Row],[TOTAL 2014]]*100</f>
        <v>#REF!</v>
      </c>
      <c r="D36" s="214" t="e">
        <f>#REF!</f>
        <v>#REF!</v>
      </c>
      <c r="E36" s="214" t="e">
        <f>Tabel11219[[#This Row],[GW 2016]]/Tabel11219[[#This Row],[TOTAL 2016]]*100</f>
        <v>#REF!</v>
      </c>
      <c r="F36" s="16" t="e">
        <f>#REF!</f>
        <v>#REF!</v>
      </c>
      <c r="G36" s="213" t="e">
        <f>Tabel11219[[#This Row],[SP 2014]]/Tabel11219[[#This Row],[TOTAL 2014]]*100</f>
        <v>#REF!</v>
      </c>
      <c r="H36" s="213" t="e">
        <f>#REF!</f>
        <v>#REF!</v>
      </c>
      <c r="I36" s="213" t="e">
        <f>Tabel11219[[#This Row],[SP 2016]]/Tabel11219[[#This Row],[TOTAL 2016]]*100</f>
        <v>#REF!</v>
      </c>
      <c r="J36" s="9" t="e">
        <f>#REF!</f>
        <v>#REF!</v>
      </c>
      <c r="K36" s="212" t="e">
        <f>Tabel11219[[#This Row],[SFW 2014]]/Tabel11219[[#This Row],[TOTAL 2014]]*100</f>
        <v>#REF!</v>
      </c>
      <c r="L36" s="212" t="e">
        <f>#REF!</f>
        <v>#REF!</v>
      </c>
      <c r="M36" s="212" t="e">
        <f>Tabel11219[[#This Row],[SFW 2016]]/Tabel11219[[#This Row],[TOTAL 2016]]*100</f>
        <v>#REF!</v>
      </c>
      <c r="N36" s="13" t="e">
        <f>#REF!</f>
        <v>#REF!</v>
      </c>
      <c r="O36" s="211" t="e">
        <f>Tabel11219[[#This Row],[OS 2014]]/Tabel11219[[#This Row],[TOTAL 2014]]*100</f>
        <v>#REF!</v>
      </c>
      <c r="P36" s="211" t="e">
        <f>#REF!</f>
        <v>#REF!</v>
      </c>
      <c r="Q36" s="211" t="e">
        <f>Tabel11219[[#This Row],[OS 2016]]/Tabel11219[[#This Row],[TOTAL 2016]]*100</f>
        <v>#REF!</v>
      </c>
      <c r="R36" s="73" t="e">
        <f>#REF!</f>
        <v>#REF!</v>
      </c>
      <c r="S36" s="73" t="e">
        <f>Tabel11219[[#This Row],[I/E WATER 2014]]/Tabel11219[[#This Row],[TOTAL 2014]]*100</f>
        <v>#REF!</v>
      </c>
      <c r="T36" s="73" t="e">
        <f>#REF!</f>
        <v>#REF!</v>
      </c>
      <c r="U36" s="73" t="e">
        <f>Tabel11219[[#This Row],[I/E WATER 2016]]/Tabel11219[[#This Row],[TOTAL 2016]]*100</f>
        <v>#REF!</v>
      </c>
      <c r="V36" s="10" t="e">
        <f>Tabel11219[[#This Row],[GW 2014]]+Tabel11219[[#This Row],[SP 2014]]+Tabel11219[[#This Row],[SFW 2014]]+Tabel11219[[#This Row],[OS 2014]]+Tabel11219[[#This Row],[I/E WATER 2014]]</f>
        <v>#REF!</v>
      </c>
      <c r="W36" s="10" t="e">
        <f>Tabel11219[[#This Row],[GW 2016]]+Tabel11219[[#This Row],[SP 2016]]+Tabel11219[[#This Row],[SFW 2016]]+Tabel11219[[#This Row],[OS 2016]]+Tabel11219[[#This Row],[I/E WATER 2016]]</f>
        <v>#REF!</v>
      </c>
    </row>
    <row r="37" spans="1:23" hidden="1" x14ac:dyDescent="0.25">
      <c r="A37" s="251" t="s">
        <v>19</v>
      </c>
      <c r="B37" s="15" t="e">
        <f>#REF!</f>
        <v>#REF!</v>
      </c>
      <c r="C37" s="11" t="e">
        <f>Tabel11219[[#This Row],[GW 2014]]/Tabel11219[[#This Row],[TOTAL 2014]]*100</f>
        <v>#REF!</v>
      </c>
      <c r="D37" s="11" t="e">
        <f>#REF!</f>
        <v>#REF!</v>
      </c>
      <c r="E37" s="11" t="e">
        <f>Tabel11219[[#This Row],[GW 2016]]/Tabel11219[[#This Row],[TOTAL 2016]]*100</f>
        <v>#REF!</v>
      </c>
      <c r="F37" s="16" t="e">
        <f>#REF!</f>
        <v>#REF!</v>
      </c>
      <c r="G37" s="8" t="e">
        <f>Tabel11219[[#This Row],[SP 2014]]/Tabel11219[[#This Row],[TOTAL 2014]]*100</f>
        <v>#REF!</v>
      </c>
      <c r="H37" s="8" t="e">
        <f>#REF!</f>
        <v>#REF!</v>
      </c>
      <c r="I37" s="8" t="e">
        <f>Tabel11219[[#This Row],[SP 2016]]/Tabel11219[[#This Row],[TOTAL 2016]]*100</f>
        <v>#REF!</v>
      </c>
      <c r="J37" s="9" t="e">
        <f>#REF!</f>
        <v>#REF!</v>
      </c>
      <c r="K37" s="9" t="e">
        <f>Tabel11219[[#This Row],[SFW 2014]]/Tabel11219[[#This Row],[TOTAL 2014]]*100</f>
        <v>#REF!</v>
      </c>
      <c r="L37" s="9" t="e">
        <f>#REF!</f>
        <v>#REF!</v>
      </c>
      <c r="M37" s="9" t="e">
        <f>Tabel11219[[#This Row],[SFW 2016]]/Tabel11219[[#This Row],[TOTAL 2016]]*100</f>
        <v>#REF!</v>
      </c>
      <c r="N37" s="13" t="e">
        <f>#REF!</f>
        <v>#REF!</v>
      </c>
      <c r="O37" s="13" t="e">
        <f>Tabel11219[[#This Row],[OS 2014]]/Tabel11219[[#This Row],[TOTAL 2014]]*100</f>
        <v>#REF!</v>
      </c>
      <c r="P37" s="13" t="e">
        <f>#REF!</f>
        <v>#REF!</v>
      </c>
      <c r="Q37" s="13" t="e">
        <f>Tabel11219[[#This Row],[OS 2016]]/Tabel11219[[#This Row],[TOTAL 2016]]*100</f>
        <v>#REF!</v>
      </c>
      <c r="R37" s="73" t="e">
        <f>#REF!</f>
        <v>#REF!</v>
      </c>
      <c r="S37" s="73" t="e">
        <f>Tabel11219[[#This Row],[I/E WATER 2014]]/Tabel11219[[#This Row],[TOTAL 2014]]*100</f>
        <v>#REF!</v>
      </c>
      <c r="T37" s="73" t="e">
        <f>#REF!</f>
        <v>#REF!</v>
      </c>
      <c r="U37" s="73" t="e">
        <f>Tabel11219[[#This Row],[I/E WATER 2016]]/Tabel11219[[#This Row],[TOTAL 2016]]*100</f>
        <v>#REF!</v>
      </c>
      <c r="V37" s="10" t="e">
        <f>Tabel11219[[#This Row],[GW 2014]]+Tabel11219[[#This Row],[SP 2014]]+Tabel11219[[#This Row],[SFW 2014]]+Tabel11219[[#This Row],[OS 2014]]+Tabel11219[[#This Row],[I/E WATER 2014]]</f>
        <v>#REF!</v>
      </c>
      <c r="W37" s="10" t="e">
        <f>Tabel11219[[#This Row],[GW 2016]]+Tabel11219[[#This Row],[SP 2016]]+Tabel11219[[#This Row],[SFW 2016]]+Tabel11219[[#This Row],[OS 2016]]+Tabel11219[[#This Row],[I/E WATER 2016]]</f>
        <v>#REF!</v>
      </c>
    </row>
    <row r="38" spans="1:23" hidden="1" x14ac:dyDescent="0.25">
      <c r="A38" s="251" t="s">
        <v>44</v>
      </c>
      <c r="B38" s="15" t="e">
        <f>#REF!</f>
        <v>#REF!</v>
      </c>
      <c r="C38" s="11" t="e">
        <f>Tabel11219[[#This Row],[GW 2014]]/Tabel11219[[#This Row],[TOTAL 2014]]*100</f>
        <v>#REF!</v>
      </c>
      <c r="D38" s="11" t="e">
        <f>#REF!</f>
        <v>#REF!</v>
      </c>
      <c r="E38" s="11" t="e">
        <f>Tabel11219[[#This Row],[GW 2016]]/Tabel11219[[#This Row],[TOTAL 2016]]*100</f>
        <v>#REF!</v>
      </c>
      <c r="F38" s="16" t="e">
        <f>#REF!</f>
        <v>#REF!</v>
      </c>
      <c r="G38" s="8" t="e">
        <f>Tabel11219[[#This Row],[SP 2014]]/Tabel11219[[#This Row],[TOTAL 2014]]*100</f>
        <v>#REF!</v>
      </c>
      <c r="H38" s="8" t="e">
        <f>#REF!</f>
        <v>#REF!</v>
      </c>
      <c r="I38" s="8" t="e">
        <f>Tabel11219[[#This Row],[SP 2016]]/Tabel11219[[#This Row],[TOTAL 2016]]*100</f>
        <v>#REF!</v>
      </c>
      <c r="J38" s="9" t="e">
        <f>#REF!</f>
        <v>#REF!</v>
      </c>
      <c r="K38" s="9" t="e">
        <f>Tabel11219[[#This Row],[SFW 2014]]/Tabel11219[[#This Row],[TOTAL 2014]]*100</f>
        <v>#REF!</v>
      </c>
      <c r="L38" s="9" t="e">
        <f>#REF!</f>
        <v>#REF!</v>
      </c>
      <c r="M38" s="9" t="e">
        <f>Tabel11219[[#This Row],[SFW 2016]]/Tabel11219[[#This Row],[TOTAL 2016]]*100</f>
        <v>#REF!</v>
      </c>
      <c r="N38" s="13" t="e">
        <f>#REF!</f>
        <v>#REF!</v>
      </c>
      <c r="O38" s="13" t="e">
        <f>Tabel11219[[#This Row],[OS 2014]]/Tabel11219[[#This Row],[TOTAL 2014]]*100</f>
        <v>#REF!</v>
      </c>
      <c r="P38" s="13" t="e">
        <f>#REF!</f>
        <v>#REF!</v>
      </c>
      <c r="Q38" s="13" t="e">
        <f>Tabel11219[[#This Row],[OS 2016]]/Tabel11219[[#This Row],[TOTAL 2016]]*100</f>
        <v>#REF!</v>
      </c>
      <c r="R38" s="73" t="e">
        <f>#REF!</f>
        <v>#REF!</v>
      </c>
      <c r="S38" s="73" t="e">
        <f>Tabel11219[[#This Row],[I/E WATER 2014]]/Tabel11219[[#This Row],[TOTAL 2014]]*100</f>
        <v>#REF!</v>
      </c>
      <c r="T38" s="73" t="e">
        <f>#REF!</f>
        <v>#REF!</v>
      </c>
      <c r="U38" s="73" t="e">
        <f>Tabel11219[[#This Row],[I/E WATER 2016]]/Tabel11219[[#This Row],[TOTAL 2016]]*100</f>
        <v>#REF!</v>
      </c>
      <c r="V38" s="10" t="e">
        <f>Tabel11219[[#This Row],[GW 2014]]+Tabel11219[[#This Row],[SP 2014]]+Tabel11219[[#This Row],[SFW 2014]]+Tabel11219[[#This Row],[OS 2014]]+Tabel11219[[#This Row],[I/E WATER 2014]]</f>
        <v>#REF!</v>
      </c>
      <c r="W38" s="10" t="e">
        <f>Tabel11219[[#This Row],[GW 2016]]+Tabel11219[[#This Row],[SP 2016]]+Tabel11219[[#This Row],[SFW 2016]]+Tabel11219[[#This Row],[OS 2016]]+Tabel11219[[#This Row],[I/E WATER 2016]]</f>
        <v>#REF!</v>
      </c>
    </row>
    <row r="39" spans="1:23" hidden="1" x14ac:dyDescent="0.25">
      <c r="A39" s="536" t="s">
        <v>586</v>
      </c>
      <c r="B39" s="15" t="e">
        <f>#REF!</f>
        <v>#REF!</v>
      </c>
      <c r="C39" s="11" t="e">
        <f>Tabel11219[[#This Row],[GW 2014]]/Tabel11219[[#This Row],[TOTAL 2014]]*100</f>
        <v>#REF!</v>
      </c>
      <c r="D39" s="11" t="e">
        <f>#REF!</f>
        <v>#REF!</v>
      </c>
      <c r="E39" s="11" t="e">
        <f>Tabel11219[[#This Row],[GW 2016]]/Tabel11219[[#This Row],[TOTAL 2016]]*100</f>
        <v>#REF!</v>
      </c>
      <c r="F39" s="16" t="e">
        <f>#REF!</f>
        <v>#REF!</v>
      </c>
      <c r="G39" s="8" t="e">
        <f>Tabel11219[[#This Row],[SP 2014]]/Tabel11219[[#This Row],[TOTAL 2014]]*100</f>
        <v>#REF!</v>
      </c>
      <c r="H39" s="8" t="e">
        <f>#REF!</f>
        <v>#REF!</v>
      </c>
      <c r="I39" s="8" t="e">
        <f>Tabel11219[[#This Row],[SP 2016]]/Tabel11219[[#This Row],[TOTAL 2016]]*100</f>
        <v>#REF!</v>
      </c>
      <c r="J39" s="9" t="e">
        <f>#REF!</f>
        <v>#REF!</v>
      </c>
      <c r="K39" s="9" t="e">
        <f>Tabel11219[[#This Row],[SFW 2014]]/Tabel11219[[#This Row],[TOTAL 2014]]*100</f>
        <v>#REF!</v>
      </c>
      <c r="L39" s="9" t="e">
        <f>#REF!</f>
        <v>#REF!</v>
      </c>
      <c r="M39" s="9" t="e">
        <f>Tabel11219[[#This Row],[SFW 2016]]/Tabel11219[[#This Row],[TOTAL 2016]]*100</f>
        <v>#REF!</v>
      </c>
      <c r="N39" s="13" t="e">
        <f>#REF!</f>
        <v>#REF!</v>
      </c>
      <c r="O39" s="13" t="e">
        <f>Tabel11219[[#This Row],[OS 2014]]/Tabel11219[[#This Row],[TOTAL 2014]]*100</f>
        <v>#REF!</v>
      </c>
      <c r="P39" s="13" t="e">
        <f>#REF!</f>
        <v>#REF!</v>
      </c>
      <c r="Q39" s="13" t="e">
        <f>Tabel11219[[#This Row],[OS 2016]]/Tabel11219[[#This Row],[TOTAL 2016]]*100</f>
        <v>#REF!</v>
      </c>
      <c r="R39" s="73" t="e">
        <f>#REF!</f>
        <v>#REF!</v>
      </c>
      <c r="S39" s="73" t="e">
        <f>Tabel11219[[#This Row],[I/E WATER 2014]]/Tabel11219[[#This Row],[TOTAL 2014]]*100</f>
        <v>#REF!</v>
      </c>
      <c r="T39" s="73" t="e">
        <f>#REF!</f>
        <v>#REF!</v>
      </c>
      <c r="U39" s="73" t="e">
        <f>Tabel11219[[#This Row],[I/E WATER 2016]]/Tabel11219[[#This Row],[TOTAL 2016]]*100</f>
        <v>#REF!</v>
      </c>
      <c r="V39" s="10" t="e">
        <f>Tabel11219[[#This Row],[GW 2014]]+Tabel11219[[#This Row],[SP 2014]]+Tabel11219[[#This Row],[SFW 2014]]+Tabel11219[[#This Row],[OS 2014]]+Tabel11219[[#This Row],[I/E WATER 2014]]</f>
        <v>#REF!</v>
      </c>
      <c r="W39" s="10" t="e">
        <f>Tabel11219[[#This Row],[GW 2016]]+Tabel11219[[#This Row],[SP 2016]]+Tabel11219[[#This Row],[SFW 2016]]+Tabel11219[[#This Row],[OS 2016]]+Tabel11219[[#This Row],[I/E WATER 2016]]</f>
        <v>#REF!</v>
      </c>
    </row>
    <row r="40" spans="1:23" hidden="1" x14ac:dyDescent="0.25">
      <c r="A40" s="251" t="s">
        <v>36</v>
      </c>
      <c r="B40" s="15" t="e">
        <f>#REF!</f>
        <v>#REF!</v>
      </c>
      <c r="C40" s="11" t="e">
        <f>Tabel11219[[#This Row],[GW 2014]]/Tabel11219[[#This Row],[TOTAL 2014]]*100</f>
        <v>#REF!</v>
      </c>
      <c r="D40" s="11" t="e">
        <f>#REF!</f>
        <v>#REF!</v>
      </c>
      <c r="E40" s="11" t="e">
        <f>Tabel11219[[#This Row],[GW 2016]]/Tabel11219[[#This Row],[TOTAL 2016]]*100</f>
        <v>#REF!</v>
      </c>
      <c r="F40" s="16" t="e">
        <f>#REF!</f>
        <v>#REF!</v>
      </c>
      <c r="G40" s="8" t="e">
        <f>Tabel11219[[#This Row],[SP 2014]]/Tabel11219[[#This Row],[TOTAL 2014]]*100</f>
        <v>#REF!</v>
      </c>
      <c r="H40" s="8" t="e">
        <f>#REF!</f>
        <v>#REF!</v>
      </c>
      <c r="I40" s="8" t="e">
        <f>Tabel11219[[#This Row],[SP 2016]]/Tabel11219[[#This Row],[TOTAL 2016]]*100</f>
        <v>#REF!</v>
      </c>
      <c r="J40" s="9" t="e">
        <f>#REF!</f>
        <v>#REF!</v>
      </c>
      <c r="K40" s="9" t="e">
        <f>Tabel11219[[#This Row],[SFW 2014]]/Tabel11219[[#This Row],[TOTAL 2014]]*100</f>
        <v>#REF!</v>
      </c>
      <c r="L40" s="9" t="e">
        <f>#REF!</f>
        <v>#REF!</v>
      </c>
      <c r="M40" s="9" t="e">
        <f>Tabel11219[[#This Row],[SFW 2016]]/Tabel11219[[#This Row],[TOTAL 2016]]*100</f>
        <v>#REF!</v>
      </c>
      <c r="N40" s="13" t="e">
        <f>#REF!</f>
        <v>#REF!</v>
      </c>
      <c r="O40" s="13" t="e">
        <f>Tabel11219[[#This Row],[OS 2014]]/Tabel11219[[#This Row],[TOTAL 2014]]*100</f>
        <v>#REF!</v>
      </c>
      <c r="P40" s="13" t="e">
        <f>#REF!</f>
        <v>#REF!</v>
      </c>
      <c r="Q40" s="13" t="e">
        <f>Tabel11219[[#This Row],[OS 2016]]/Tabel11219[[#This Row],[TOTAL 2016]]*100</f>
        <v>#REF!</v>
      </c>
      <c r="R40" s="73" t="e">
        <f>#REF!</f>
        <v>#REF!</v>
      </c>
      <c r="S40" s="73" t="e">
        <f>Tabel11219[[#This Row],[I/E WATER 2014]]/Tabel11219[[#This Row],[TOTAL 2014]]*100</f>
        <v>#REF!</v>
      </c>
      <c r="T40" s="73" t="e">
        <f>#REF!</f>
        <v>#REF!</v>
      </c>
      <c r="U40" s="73" t="e">
        <f>Tabel11219[[#This Row],[I/E WATER 2016]]/Tabel11219[[#This Row],[TOTAL 2016]]*100</f>
        <v>#REF!</v>
      </c>
      <c r="V40" s="10" t="e">
        <f>Tabel11219[[#This Row],[GW 2014]]+Tabel11219[[#This Row],[SP 2014]]+Tabel11219[[#This Row],[SFW 2014]]+Tabel11219[[#This Row],[OS 2014]]+Tabel11219[[#This Row],[I/E WATER 2014]]</f>
        <v>#REF!</v>
      </c>
      <c r="W40" s="10" t="e">
        <f>Tabel11219[[#This Row],[GW 2016]]+Tabel11219[[#This Row],[SP 2016]]+Tabel11219[[#This Row],[SFW 2016]]+Tabel11219[[#This Row],[OS 2016]]+Tabel11219[[#This Row],[I/E WATER 2016]]</f>
        <v>#REF!</v>
      </c>
    </row>
    <row r="41" spans="1:23" hidden="1" x14ac:dyDescent="0.25">
      <c r="A41" s="536" t="s">
        <v>774</v>
      </c>
      <c r="B41" s="15" t="e">
        <f>#REF!</f>
        <v>#REF!</v>
      </c>
      <c r="C41" s="11" t="e">
        <f>Tabel11219[[#This Row],[GW 2014]]/Tabel11219[[#This Row],[TOTAL 2014]]*100</f>
        <v>#REF!</v>
      </c>
      <c r="D41" s="11" t="e">
        <f>#REF!</f>
        <v>#REF!</v>
      </c>
      <c r="E41" s="11" t="e">
        <f>Tabel11219[[#This Row],[GW 2016]]/Tabel11219[[#This Row],[TOTAL 2016]]*100</f>
        <v>#REF!</v>
      </c>
      <c r="F41" s="16" t="e">
        <f>#REF!</f>
        <v>#REF!</v>
      </c>
      <c r="G41" s="8" t="e">
        <f>Tabel11219[[#This Row],[SP 2014]]/Tabel11219[[#This Row],[TOTAL 2014]]*100</f>
        <v>#REF!</v>
      </c>
      <c r="H41" s="8" t="e">
        <f>#REF!</f>
        <v>#REF!</v>
      </c>
      <c r="I41" s="8" t="e">
        <f>Tabel11219[[#This Row],[SP 2016]]/Tabel11219[[#This Row],[TOTAL 2016]]*100</f>
        <v>#REF!</v>
      </c>
      <c r="J41" s="9" t="e">
        <f>#REF!</f>
        <v>#REF!</v>
      </c>
      <c r="K41" s="9" t="e">
        <f>Tabel11219[[#This Row],[SFW 2014]]/Tabel11219[[#This Row],[TOTAL 2014]]*100</f>
        <v>#REF!</v>
      </c>
      <c r="L41" s="9" t="e">
        <f>#REF!</f>
        <v>#REF!</v>
      </c>
      <c r="M41" s="9" t="e">
        <f>Tabel11219[[#This Row],[SFW 2016]]/Tabel11219[[#This Row],[TOTAL 2016]]*100</f>
        <v>#REF!</v>
      </c>
      <c r="N41" s="13" t="e">
        <f>#REF!</f>
        <v>#REF!</v>
      </c>
      <c r="O41" s="13" t="e">
        <f>Tabel11219[[#This Row],[OS 2014]]/Tabel11219[[#This Row],[TOTAL 2014]]*100</f>
        <v>#REF!</v>
      </c>
      <c r="P41" s="13" t="e">
        <f>#REF!</f>
        <v>#REF!</v>
      </c>
      <c r="Q41" s="13" t="e">
        <f>Tabel11219[[#This Row],[OS 2016]]/Tabel11219[[#This Row],[TOTAL 2016]]*100</f>
        <v>#REF!</v>
      </c>
      <c r="R41" s="73" t="e">
        <f>#REF!</f>
        <v>#REF!</v>
      </c>
      <c r="S41" s="73" t="e">
        <f>Tabel11219[[#This Row],[I/E WATER 2014]]/Tabel11219[[#This Row],[TOTAL 2014]]*100</f>
        <v>#REF!</v>
      </c>
      <c r="T41" s="73" t="e">
        <f>#REF!</f>
        <v>#REF!</v>
      </c>
      <c r="U41" s="73" t="e">
        <f>Tabel11219[[#This Row],[I/E WATER 2016]]/Tabel11219[[#This Row],[TOTAL 2016]]*100</f>
        <v>#REF!</v>
      </c>
      <c r="V41" s="10" t="e">
        <f>Tabel11219[[#This Row],[GW 2014]]+Tabel11219[[#This Row],[SP 2014]]+Tabel11219[[#This Row],[SFW 2014]]+Tabel11219[[#This Row],[OS 2014]]+Tabel11219[[#This Row],[I/E WATER 2014]]</f>
        <v>#REF!</v>
      </c>
      <c r="W41" s="10" t="e">
        <f>Tabel11219[[#This Row],[GW 2016]]+Tabel11219[[#This Row],[SP 2016]]+Tabel11219[[#This Row],[SFW 2016]]+Tabel11219[[#This Row],[OS 2016]]+Tabel11219[[#This Row],[I/E WATER 2016]]</f>
        <v>#REF!</v>
      </c>
    </row>
    <row r="42" spans="1:23" hidden="1" x14ac:dyDescent="0.25">
      <c r="A42" s="251" t="s">
        <v>37</v>
      </c>
      <c r="B42" s="15" t="e">
        <f>#REF!</f>
        <v>#REF!</v>
      </c>
      <c r="C42" s="11" t="e">
        <f>Tabel11219[[#This Row],[GW 2014]]/Tabel11219[[#This Row],[TOTAL 2014]]*100</f>
        <v>#REF!</v>
      </c>
      <c r="D42" s="11" t="e">
        <f>#REF!</f>
        <v>#REF!</v>
      </c>
      <c r="E42" s="11" t="e">
        <f>Tabel11219[[#This Row],[GW 2016]]/Tabel11219[[#This Row],[TOTAL 2016]]*100</f>
        <v>#REF!</v>
      </c>
      <c r="F42" s="16" t="e">
        <f>#REF!</f>
        <v>#REF!</v>
      </c>
      <c r="G42" s="8" t="e">
        <f>Tabel11219[[#This Row],[SP 2014]]/Tabel11219[[#This Row],[TOTAL 2014]]*100</f>
        <v>#REF!</v>
      </c>
      <c r="H42" s="8" t="e">
        <f>#REF!</f>
        <v>#REF!</v>
      </c>
      <c r="I42" s="8" t="e">
        <f>Tabel11219[[#This Row],[SP 2016]]/Tabel11219[[#This Row],[TOTAL 2016]]*100</f>
        <v>#REF!</v>
      </c>
      <c r="J42" s="9" t="e">
        <f>#REF!</f>
        <v>#REF!</v>
      </c>
      <c r="K42" s="9" t="e">
        <f>Tabel11219[[#This Row],[SFW 2014]]/Tabel11219[[#This Row],[TOTAL 2014]]*100</f>
        <v>#REF!</v>
      </c>
      <c r="L42" s="9" t="e">
        <f>#REF!</f>
        <v>#REF!</v>
      </c>
      <c r="M42" s="9" t="e">
        <f>Tabel11219[[#This Row],[SFW 2016]]/Tabel11219[[#This Row],[TOTAL 2016]]*100</f>
        <v>#REF!</v>
      </c>
      <c r="N42" s="13" t="e">
        <f>#REF!</f>
        <v>#REF!</v>
      </c>
      <c r="O42" s="13" t="e">
        <f>Tabel11219[[#This Row],[OS 2014]]/Tabel11219[[#This Row],[TOTAL 2014]]*100</f>
        <v>#REF!</v>
      </c>
      <c r="P42" s="13" t="e">
        <f>#REF!</f>
        <v>#REF!</v>
      </c>
      <c r="Q42" s="13" t="e">
        <f>Tabel11219[[#This Row],[OS 2016]]/Tabel11219[[#This Row],[TOTAL 2016]]*100</f>
        <v>#REF!</v>
      </c>
      <c r="R42" s="73" t="e">
        <f>#REF!</f>
        <v>#REF!</v>
      </c>
      <c r="S42" s="73" t="e">
        <f>Tabel11219[[#This Row],[I/E WATER 2014]]/Tabel11219[[#This Row],[TOTAL 2014]]*100</f>
        <v>#REF!</v>
      </c>
      <c r="T42" s="73" t="e">
        <f>#REF!</f>
        <v>#REF!</v>
      </c>
      <c r="U42" s="73" t="e">
        <f>Tabel11219[[#This Row],[I/E WATER 2016]]/Tabel11219[[#This Row],[TOTAL 2016]]*100</f>
        <v>#REF!</v>
      </c>
      <c r="V42" s="10" t="e">
        <f>Tabel11219[[#This Row],[GW 2014]]+Tabel11219[[#This Row],[SP 2014]]+Tabel11219[[#This Row],[SFW 2014]]+Tabel11219[[#This Row],[OS 2014]]+Tabel11219[[#This Row],[I/E WATER 2014]]</f>
        <v>#REF!</v>
      </c>
      <c r="W42" s="10" t="e">
        <f>Tabel11219[[#This Row],[GW 2016]]+Tabel11219[[#This Row],[SP 2016]]+Tabel11219[[#This Row],[SFW 2016]]+Tabel11219[[#This Row],[OS 2016]]+Tabel11219[[#This Row],[I/E WATER 2016]]</f>
        <v>#REF!</v>
      </c>
    </row>
    <row r="43" spans="1:23" hidden="1" x14ac:dyDescent="0.25">
      <c r="A43" s="536" t="s">
        <v>38</v>
      </c>
      <c r="B43" s="15" t="e">
        <f>#REF!</f>
        <v>#REF!</v>
      </c>
      <c r="C43" s="11" t="e">
        <f>Tabel11219[[#This Row],[GW 2014]]/Tabel11219[[#This Row],[TOTAL 2014]]*100</f>
        <v>#REF!</v>
      </c>
      <c r="D43" s="11" t="e">
        <f>#REF!</f>
        <v>#REF!</v>
      </c>
      <c r="E43" s="11" t="e">
        <f>Tabel11219[[#This Row],[GW 2016]]/Tabel11219[[#This Row],[TOTAL 2016]]*100</f>
        <v>#REF!</v>
      </c>
      <c r="F43" s="16" t="e">
        <f>#REF!</f>
        <v>#REF!</v>
      </c>
      <c r="G43" s="8" t="e">
        <f>Tabel11219[[#This Row],[SP 2014]]/Tabel11219[[#This Row],[TOTAL 2014]]*100</f>
        <v>#REF!</v>
      </c>
      <c r="H43" s="8" t="e">
        <f>#REF!</f>
        <v>#REF!</v>
      </c>
      <c r="I43" s="8" t="e">
        <f>Tabel11219[[#This Row],[SP 2016]]/Tabel11219[[#This Row],[TOTAL 2016]]*100</f>
        <v>#REF!</v>
      </c>
      <c r="J43" s="9" t="e">
        <f>#REF!</f>
        <v>#REF!</v>
      </c>
      <c r="K43" s="212" t="e">
        <f>Tabel11219[[#This Row],[SFW 2014]]/Tabel11219[[#This Row],[TOTAL 2014]]*100</f>
        <v>#REF!</v>
      </c>
      <c r="L43" s="212" t="e">
        <f>#REF!</f>
        <v>#REF!</v>
      </c>
      <c r="M43" s="212" t="e">
        <f>Tabel11219[[#This Row],[SFW 2016]]/Tabel11219[[#This Row],[TOTAL 2016]]*100</f>
        <v>#REF!</v>
      </c>
      <c r="N43" s="13" t="e">
        <f>#REF!</f>
        <v>#REF!</v>
      </c>
      <c r="O43" s="13" t="e">
        <f>Tabel11219[[#This Row],[OS 2014]]/Tabel11219[[#This Row],[TOTAL 2014]]*100</f>
        <v>#REF!</v>
      </c>
      <c r="P43" s="13" t="e">
        <f>#REF!</f>
        <v>#REF!</v>
      </c>
      <c r="Q43" s="13" t="e">
        <f>Tabel11219[[#This Row],[OS 2016]]/Tabel11219[[#This Row],[TOTAL 2016]]*100</f>
        <v>#REF!</v>
      </c>
      <c r="R43" s="73" t="e">
        <f>#REF!</f>
        <v>#REF!</v>
      </c>
      <c r="S43" s="73" t="e">
        <f>Tabel11219[[#This Row],[I/E WATER 2014]]/Tabel11219[[#This Row],[TOTAL 2014]]*100</f>
        <v>#REF!</v>
      </c>
      <c r="T43" s="73" t="e">
        <f>#REF!</f>
        <v>#REF!</v>
      </c>
      <c r="U43" s="73" t="e">
        <f>Tabel11219[[#This Row],[I/E WATER 2016]]/Tabel11219[[#This Row],[TOTAL 2016]]*100</f>
        <v>#REF!</v>
      </c>
      <c r="V43" s="10" t="e">
        <f>Tabel11219[[#This Row],[GW 2014]]+Tabel11219[[#This Row],[SP 2014]]+Tabel11219[[#This Row],[SFW 2014]]+Tabel11219[[#This Row],[OS 2014]]+Tabel11219[[#This Row],[I/E WATER 2014]]</f>
        <v>#REF!</v>
      </c>
      <c r="W43" s="10" t="e">
        <f>Tabel11219[[#This Row],[GW 2016]]+Tabel11219[[#This Row],[SP 2016]]+Tabel11219[[#This Row],[SFW 2016]]+Tabel11219[[#This Row],[OS 2016]]+Tabel11219[[#This Row],[I/E WATER 2016]]</f>
        <v>#REF!</v>
      </c>
    </row>
    <row r="44" spans="1:23" hidden="1" x14ac:dyDescent="0.25">
      <c r="A44" s="251" t="s">
        <v>39</v>
      </c>
      <c r="B44" s="15" t="e">
        <f>#REF!</f>
        <v>#REF!</v>
      </c>
      <c r="C44" s="11" t="e">
        <f>Tabel11219[[#This Row],[GW 2014]]/Tabel11219[[#This Row],[TOTAL 2014]]*100</f>
        <v>#REF!</v>
      </c>
      <c r="D44" s="11" t="e">
        <f>#REF!</f>
        <v>#REF!</v>
      </c>
      <c r="E44" s="11" t="e">
        <f>Tabel11219[[#This Row],[GW 2016]]/Tabel11219[[#This Row],[TOTAL 2016]]*100</f>
        <v>#REF!</v>
      </c>
      <c r="F44" s="16" t="e">
        <f>#REF!</f>
        <v>#REF!</v>
      </c>
      <c r="G44" s="8" t="e">
        <f>Tabel11219[[#This Row],[SP 2014]]/Tabel11219[[#This Row],[TOTAL 2014]]*100</f>
        <v>#REF!</v>
      </c>
      <c r="H44" s="8" t="e">
        <f>#REF!</f>
        <v>#REF!</v>
      </c>
      <c r="I44" s="8" t="e">
        <f>Tabel11219[[#This Row],[SP 2016]]/Tabel11219[[#This Row],[TOTAL 2016]]*100</f>
        <v>#REF!</v>
      </c>
      <c r="J44" s="9" t="e">
        <f>#REF!</f>
        <v>#REF!</v>
      </c>
      <c r="K44" s="9" t="e">
        <f>Tabel11219[[#This Row],[SFW 2014]]/Tabel11219[[#This Row],[TOTAL 2014]]*100</f>
        <v>#REF!</v>
      </c>
      <c r="L44" s="9" t="e">
        <f>#REF!</f>
        <v>#REF!</v>
      </c>
      <c r="M44" s="9" t="e">
        <f>Tabel11219[[#This Row],[SFW 2016]]/Tabel11219[[#This Row],[TOTAL 2016]]*100</f>
        <v>#REF!</v>
      </c>
      <c r="N44" s="13" t="e">
        <f>#REF!</f>
        <v>#REF!</v>
      </c>
      <c r="O44" s="13" t="e">
        <f>Tabel11219[[#This Row],[OS 2014]]/Tabel11219[[#This Row],[TOTAL 2014]]*100</f>
        <v>#REF!</v>
      </c>
      <c r="P44" s="13" t="e">
        <f>#REF!</f>
        <v>#REF!</v>
      </c>
      <c r="Q44" s="13" t="e">
        <f>Tabel11219[[#This Row],[OS 2016]]/Tabel11219[[#This Row],[TOTAL 2016]]*100</f>
        <v>#REF!</v>
      </c>
      <c r="R44" s="73" t="e">
        <f>#REF!</f>
        <v>#REF!</v>
      </c>
      <c r="S44" s="73" t="e">
        <f>Tabel11219[[#This Row],[I/E WATER 2014]]/Tabel11219[[#This Row],[TOTAL 2014]]*100</f>
        <v>#REF!</v>
      </c>
      <c r="T44" s="73" t="e">
        <f>#REF!</f>
        <v>#REF!</v>
      </c>
      <c r="U44" s="73" t="e">
        <f>Tabel11219[[#This Row],[I/E WATER 2016]]/Tabel11219[[#This Row],[TOTAL 2016]]*100</f>
        <v>#REF!</v>
      </c>
      <c r="V44" s="10" t="e">
        <f>Tabel11219[[#This Row],[GW 2014]]+Tabel11219[[#This Row],[SP 2014]]+Tabel11219[[#This Row],[SFW 2014]]+Tabel11219[[#This Row],[OS 2014]]+Tabel11219[[#This Row],[I/E WATER 2014]]</f>
        <v>#REF!</v>
      </c>
      <c r="W44" s="10" t="e">
        <f>Tabel11219[[#This Row],[GW 2016]]+Tabel11219[[#This Row],[SP 2016]]+Tabel11219[[#This Row],[SFW 2016]]+Tabel11219[[#This Row],[OS 2016]]+Tabel11219[[#This Row],[I/E WATER 2016]]</f>
        <v>#REF!</v>
      </c>
    </row>
    <row r="45" spans="1:23" hidden="1" x14ac:dyDescent="0.25">
      <c r="A45" s="251" t="s">
        <v>734</v>
      </c>
      <c r="B45" s="15" t="e">
        <f>#REF!</f>
        <v>#REF!</v>
      </c>
      <c r="C45" s="11" t="e">
        <f>Tabel11219[[#This Row],[GW 2014]]/Tabel11219[[#This Row],[TOTAL 2014]]*100</f>
        <v>#REF!</v>
      </c>
      <c r="D45" s="11" t="e">
        <f>#REF!</f>
        <v>#REF!</v>
      </c>
      <c r="E45" s="11" t="e">
        <f>Tabel11219[[#This Row],[GW 2016]]/Tabel11219[[#This Row],[TOTAL 2016]]*100</f>
        <v>#REF!</v>
      </c>
      <c r="F45" s="16" t="e">
        <f>#REF!</f>
        <v>#REF!</v>
      </c>
      <c r="G45" s="8" t="e">
        <f>Tabel11219[[#This Row],[SP 2014]]/Tabel11219[[#This Row],[TOTAL 2014]]*100</f>
        <v>#REF!</v>
      </c>
      <c r="H45" s="8" t="e">
        <f>#REF!</f>
        <v>#REF!</v>
      </c>
      <c r="I45" s="8" t="e">
        <f>Tabel11219[[#This Row],[SP 2016]]/Tabel11219[[#This Row],[TOTAL 2016]]*100</f>
        <v>#REF!</v>
      </c>
      <c r="J45" s="9" t="e">
        <f>#REF!</f>
        <v>#REF!</v>
      </c>
      <c r="K45" s="9" t="e">
        <f>Tabel11219[[#This Row],[SFW 2014]]/Tabel11219[[#This Row],[TOTAL 2014]]*100</f>
        <v>#REF!</v>
      </c>
      <c r="L45" s="9" t="e">
        <f>#REF!</f>
        <v>#REF!</v>
      </c>
      <c r="M45" s="9" t="e">
        <f>Tabel11219[[#This Row],[SFW 2016]]/Tabel11219[[#This Row],[TOTAL 2016]]*100</f>
        <v>#REF!</v>
      </c>
      <c r="N45" s="13" t="e">
        <f>#REF!</f>
        <v>#REF!</v>
      </c>
      <c r="O45" s="13" t="e">
        <f>Tabel11219[[#This Row],[OS 2014]]/Tabel11219[[#This Row],[TOTAL 2014]]*100</f>
        <v>#REF!</v>
      </c>
      <c r="P45" s="13" t="e">
        <f>#REF!</f>
        <v>#REF!</v>
      </c>
      <c r="Q45" s="13" t="e">
        <f>Tabel11219[[#This Row],[OS 2016]]/Tabel11219[[#This Row],[TOTAL 2016]]*100</f>
        <v>#REF!</v>
      </c>
      <c r="R45" s="73" t="e">
        <f>#REF!</f>
        <v>#REF!</v>
      </c>
      <c r="S45" s="73" t="e">
        <f>Tabel11219[[#This Row],[I/E WATER 2014]]/Tabel11219[[#This Row],[TOTAL 2014]]*100</f>
        <v>#REF!</v>
      </c>
      <c r="T45" s="73" t="e">
        <f>#REF!</f>
        <v>#REF!</v>
      </c>
      <c r="U45" s="73" t="e">
        <f>Tabel11219[[#This Row],[I/E WATER 2016]]/Tabel11219[[#This Row],[TOTAL 2016]]*100</f>
        <v>#REF!</v>
      </c>
      <c r="V45" s="10" t="e">
        <f>Tabel11219[[#This Row],[GW 2014]]+Tabel11219[[#This Row],[SP 2014]]+Tabel11219[[#This Row],[SFW 2014]]+Tabel11219[[#This Row],[OS 2014]]+Tabel11219[[#This Row],[I/E WATER 2014]]</f>
        <v>#REF!</v>
      </c>
      <c r="W45" s="10" t="e">
        <f>Tabel11219[[#This Row],[GW 2016]]+Tabel11219[[#This Row],[SP 2016]]+Tabel11219[[#This Row],[SFW 2016]]+Tabel11219[[#This Row],[OS 2016]]+Tabel11219[[#This Row],[I/E WATER 2016]]</f>
        <v>#REF!</v>
      </c>
    </row>
    <row r="46" spans="1:23" hidden="1" x14ac:dyDescent="0.25">
      <c r="A46" s="536" t="s">
        <v>20</v>
      </c>
      <c r="B46" s="15" t="e">
        <f>#REF!</f>
        <v>#REF!</v>
      </c>
      <c r="C46" s="11" t="e">
        <f>Tabel11219[[#This Row],[GW 2014]]/Tabel11219[[#This Row],[TOTAL 2014]]*100</f>
        <v>#REF!</v>
      </c>
      <c r="D46" s="11" t="e">
        <f>#REF!</f>
        <v>#REF!</v>
      </c>
      <c r="E46" s="11" t="e">
        <f>Tabel11219[[#This Row],[GW 2016]]/Tabel11219[[#This Row],[TOTAL 2016]]*100</f>
        <v>#REF!</v>
      </c>
      <c r="F46" s="16" t="e">
        <f>#REF!</f>
        <v>#REF!</v>
      </c>
      <c r="G46" s="8" t="e">
        <f>Tabel11219[[#This Row],[SP 2014]]/Tabel11219[[#This Row],[TOTAL 2014]]*100</f>
        <v>#REF!</v>
      </c>
      <c r="H46" s="8" t="e">
        <f>#REF!</f>
        <v>#REF!</v>
      </c>
      <c r="I46" s="8" t="e">
        <f>Tabel11219[[#This Row],[SP 2016]]/Tabel11219[[#This Row],[TOTAL 2016]]*100</f>
        <v>#REF!</v>
      </c>
      <c r="J46" s="9" t="e">
        <f>#REF!</f>
        <v>#REF!</v>
      </c>
      <c r="K46" s="9" t="e">
        <f>Tabel11219[[#This Row],[SFW 2014]]/Tabel11219[[#This Row],[TOTAL 2014]]*100</f>
        <v>#REF!</v>
      </c>
      <c r="L46" s="9" t="e">
        <f>#REF!</f>
        <v>#REF!</v>
      </c>
      <c r="M46" s="9" t="e">
        <f>Tabel11219[[#This Row],[SFW 2016]]/Tabel11219[[#This Row],[TOTAL 2016]]*100</f>
        <v>#REF!</v>
      </c>
      <c r="N46" s="13" t="e">
        <f>#REF!</f>
        <v>#REF!</v>
      </c>
      <c r="O46" s="13" t="e">
        <f>Tabel11219[[#This Row],[OS 2014]]/Tabel11219[[#This Row],[TOTAL 2014]]*100</f>
        <v>#REF!</v>
      </c>
      <c r="P46" s="13" t="e">
        <f>#REF!</f>
        <v>#REF!</v>
      </c>
      <c r="Q46" s="13" t="e">
        <f>Tabel11219[[#This Row],[OS 2016]]/Tabel11219[[#This Row],[TOTAL 2016]]*100</f>
        <v>#REF!</v>
      </c>
      <c r="R46" s="73" t="e">
        <f>#REF!</f>
        <v>#REF!</v>
      </c>
      <c r="S46" s="73" t="e">
        <f>Tabel11219[[#This Row],[I/E WATER 2014]]/Tabel11219[[#This Row],[TOTAL 2014]]*100</f>
        <v>#REF!</v>
      </c>
      <c r="T46" s="73" t="e">
        <f>#REF!</f>
        <v>#REF!</v>
      </c>
      <c r="U46" s="73" t="e">
        <f>Tabel11219[[#This Row],[I/E WATER 2016]]/Tabel11219[[#This Row],[TOTAL 2016]]*100</f>
        <v>#REF!</v>
      </c>
      <c r="V46" s="10" t="e">
        <f>Tabel11219[[#This Row],[GW 2014]]+Tabel11219[[#This Row],[SP 2014]]+Tabel11219[[#This Row],[SFW 2014]]+Tabel11219[[#This Row],[OS 2014]]+Tabel11219[[#This Row],[I/E WATER 2014]]</f>
        <v>#REF!</v>
      </c>
      <c r="W46" s="10" t="e">
        <f>Tabel11219[[#This Row],[GW 2016]]+Tabel11219[[#This Row],[SP 2016]]+Tabel11219[[#This Row],[SFW 2016]]+Tabel11219[[#This Row],[OS 2016]]+Tabel11219[[#This Row],[I/E WATER 2016]]</f>
        <v>#REF!</v>
      </c>
    </row>
    <row r="47" spans="1:23" hidden="1" x14ac:dyDescent="0.25">
      <c r="A47" s="251" t="s">
        <v>53</v>
      </c>
      <c r="B47" s="15" t="e">
        <f>#REF!</f>
        <v>#REF!</v>
      </c>
      <c r="C47" s="225" t="e">
        <f>Tabel11219[[#This Row],[GW 2014]]/Tabel11219[[#This Row],[TOTAL 2014]]*100</f>
        <v>#REF!</v>
      </c>
      <c r="D47" s="225" t="e">
        <f>#REF!</f>
        <v>#REF!</v>
      </c>
      <c r="E47" s="225" t="e">
        <f>Tabel11219[[#This Row],[GW 2016]]/Tabel11219[[#This Row],[TOTAL 2016]]*100</f>
        <v>#REF!</v>
      </c>
      <c r="F47" s="16" t="e">
        <f>#REF!</f>
        <v>#REF!</v>
      </c>
      <c r="G47" s="226" t="e">
        <f>Tabel11219[[#This Row],[SP 2014]]/Tabel11219[[#This Row],[TOTAL 2014]]*100</f>
        <v>#REF!</v>
      </c>
      <c r="H47" s="226" t="e">
        <f>#REF!</f>
        <v>#REF!</v>
      </c>
      <c r="I47" s="226" t="e">
        <f>Tabel11219[[#This Row],[SP 2016]]/Tabel11219[[#This Row],[TOTAL 2016]]*100</f>
        <v>#REF!</v>
      </c>
      <c r="J47" s="9" t="e">
        <f>#REF!</f>
        <v>#REF!</v>
      </c>
      <c r="K47" s="65" t="e">
        <f>Tabel11219[[#This Row],[SFW 2014]]/Tabel11219[[#This Row],[TOTAL 2014]]*100</f>
        <v>#REF!</v>
      </c>
      <c r="L47" s="65" t="e">
        <f>#REF!</f>
        <v>#REF!</v>
      </c>
      <c r="M47" s="65" t="e">
        <f>Tabel11219[[#This Row],[SFW 2016]]/Tabel11219[[#This Row],[TOTAL 2016]]*100</f>
        <v>#REF!</v>
      </c>
      <c r="N47" s="13" t="e">
        <f>#REF!</f>
        <v>#REF!</v>
      </c>
      <c r="O47" s="13" t="e">
        <f>Tabel11219[[#This Row],[OS 2014]]/Tabel11219[[#This Row],[TOTAL 2014]]*100</f>
        <v>#REF!</v>
      </c>
      <c r="P47" s="13" t="e">
        <f>#REF!</f>
        <v>#REF!</v>
      </c>
      <c r="Q47" s="13" t="e">
        <f>Tabel11219[[#This Row],[OS 2016]]/Tabel11219[[#This Row],[TOTAL 2016]]*100</f>
        <v>#REF!</v>
      </c>
      <c r="R47" s="73" t="e">
        <f>#REF!</f>
        <v>#REF!</v>
      </c>
      <c r="S47" s="73" t="e">
        <f>Tabel11219[[#This Row],[I/E WATER 2014]]/Tabel11219[[#This Row],[TOTAL 2014]]*100</f>
        <v>#REF!</v>
      </c>
      <c r="T47" s="73" t="e">
        <f>#REF!</f>
        <v>#REF!</v>
      </c>
      <c r="U47" s="73" t="e">
        <f>Tabel11219[[#This Row],[I/E WATER 2016]]/Tabel11219[[#This Row],[TOTAL 2016]]*100</f>
        <v>#REF!</v>
      </c>
      <c r="V47" s="10" t="e">
        <f>Tabel11219[[#This Row],[GW 2014]]+Tabel11219[[#This Row],[SP 2014]]+Tabel11219[[#This Row],[SFW 2014]]+Tabel11219[[#This Row],[OS 2014]]+Tabel11219[[#This Row],[I/E WATER 2014]]</f>
        <v>#REF!</v>
      </c>
      <c r="W47" s="10" t="e">
        <f>Tabel11219[[#This Row],[GW 2016]]+Tabel11219[[#This Row],[SP 2016]]+Tabel11219[[#This Row],[SFW 2016]]+Tabel11219[[#This Row],[OS 2016]]+Tabel11219[[#This Row],[I/E WATER 2016]]</f>
        <v>#REF!</v>
      </c>
    </row>
    <row r="48" spans="1:23" hidden="1" x14ac:dyDescent="0.25">
      <c r="A48" s="536" t="s">
        <v>21</v>
      </c>
      <c r="B48" s="15" t="e">
        <f>#REF!</f>
        <v>#REF!</v>
      </c>
      <c r="C48" s="11" t="e">
        <f>Tabel11219[[#This Row],[GW 2014]]/Tabel11219[[#This Row],[TOTAL 2014]]*100</f>
        <v>#REF!</v>
      </c>
      <c r="D48" s="11" t="e">
        <f>#REF!</f>
        <v>#REF!</v>
      </c>
      <c r="E48" s="11" t="s">
        <v>5</v>
      </c>
      <c r="F48" s="16" t="e">
        <f>#REF!</f>
        <v>#REF!</v>
      </c>
      <c r="G48" s="8" t="e">
        <f>Tabel11219[[#This Row],[SP 2014]]/Tabel11219[[#This Row],[TOTAL 2014]]*100</f>
        <v>#REF!</v>
      </c>
      <c r="H48" s="8" t="e">
        <f>#REF!</f>
        <v>#REF!</v>
      </c>
      <c r="I48" s="8" t="s">
        <v>5</v>
      </c>
      <c r="J48" s="9" t="e">
        <f>#REF!</f>
        <v>#REF!</v>
      </c>
      <c r="K48" s="9" t="e">
        <f>Tabel11219[[#This Row],[SFW 2014]]/Tabel11219[[#This Row],[TOTAL 2014]]*100</f>
        <v>#REF!</v>
      </c>
      <c r="L48" s="9" t="e">
        <f>#REF!</f>
        <v>#REF!</v>
      </c>
      <c r="M48" s="9" t="s">
        <v>5</v>
      </c>
      <c r="N48" s="13" t="e">
        <f>#REF!</f>
        <v>#REF!</v>
      </c>
      <c r="O48" s="13" t="e">
        <f>Tabel11219[[#This Row],[OS 2014]]/Tabel11219[[#This Row],[TOTAL 2014]]*100</f>
        <v>#REF!</v>
      </c>
      <c r="P48" s="13" t="e">
        <f>#REF!</f>
        <v>#REF!</v>
      </c>
      <c r="Q48" s="13" t="s">
        <v>5</v>
      </c>
      <c r="R48" s="73" t="e">
        <f>#REF!</f>
        <v>#REF!</v>
      </c>
      <c r="S48" s="73" t="e">
        <f>Tabel11219[[#This Row],[I/E WATER 2014]]/Tabel11219[[#This Row],[TOTAL 2014]]*100</f>
        <v>#REF!</v>
      </c>
      <c r="T48" s="73" t="e">
        <f>#REF!</f>
        <v>#REF!</v>
      </c>
      <c r="U48" s="73" t="s">
        <v>5</v>
      </c>
      <c r="V48" s="10" t="e">
        <f>Tabel11219[[#This Row],[GW 2014]]+Tabel11219[[#This Row],[SP 2014]]+Tabel11219[[#This Row],[SFW 2014]]+Tabel11219[[#This Row],[OS 2014]]+Tabel11219[[#This Row],[I/E WATER 2014]]</f>
        <v>#REF!</v>
      </c>
      <c r="W48" s="10" t="s">
        <v>5</v>
      </c>
    </row>
    <row r="49" spans="1:23" hidden="1" x14ac:dyDescent="0.25">
      <c r="A49" s="536" t="s">
        <v>22</v>
      </c>
      <c r="B49" s="15" t="e">
        <f>#REF!</f>
        <v>#REF!</v>
      </c>
      <c r="C49" s="214" t="e">
        <f>Tabel11219[[#This Row],[GW 2014]]/Tabel11219[[#This Row],[TOTAL 2014]]*100</f>
        <v>#REF!</v>
      </c>
      <c r="D49" s="11">
        <v>1685.1</v>
      </c>
      <c r="E49" s="214" t="e">
        <f>Tabel11219[[#This Row],[GW 2016]]/Tabel11219[[#This Row],[TOTAL 2016]]*100</f>
        <v>#REF!</v>
      </c>
      <c r="F49" s="16" t="e">
        <f>#REF!</f>
        <v>#REF!</v>
      </c>
      <c r="G49" s="8" t="e">
        <f>Tabel11219[[#This Row],[SP 2014]]/Tabel11219[[#This Row],[TOTAL 2014]]*100</f>
        <v>#REF!</v>
      </c>
      <c r="H49" s="8" t="e">
        <f>#REF!</f>
        <v>#REF!</v>
      </c>
      <c r="I49" s="8" t="e">
        <f>Tabel11219[[#This Row],[SP 2016]]/Tabel11219[[#This Row],[TOTAL 2016]]*100</f>
        <v>#REF!</v>
      </c>
      <c r="J49" s="9" t="e">
        <f>#REF!</f>
        <v>#REF!</v>
      </c>
      <c r="K49" s="212" t="e">
        <f>Tabel11219[[#This Row],[SFW 2014]]/Tabel11219[[#This Row],[TOTAL 2014]]*100</f>
        <v>#REF!</v>
      </c>
      <c r="L49" s="9">
        <v>7800.9</v>
      </c>
      <c r="M49" s="212" t="e">
        <f>Tabel11219[[#This Row],[SFW 2016]]/Tabel11219[[#This Row],[TOTAL 2016]]*100</f>
        <v>#REF!</v>
      </c>
      <c r="N49" s="13" t="e">
        <f>#REF!</f>
        <v>#REF!</v>
      </c>
      <c r="O49" s="211" t="e">
        <f>Tabel11219[[#This Row],[OS 2014]]/Tabel11219[[#This Row],[TOTAL 2014]]*100</f>
        <v>#REF!</v>
      </c>
      <c r="P49" s="13">
        <v>1042.7</v>
      </c>
      <c r="Q49" s="211" t="e">
        <f>Tabel11219[[#This Row],[OS 2016]]/Tabel11219[[#This Row],[TOTAL 2016]]*100</f>
        <v>#REF!</v>
      </c>
      <c r="R49" s="73" t="e">
        <f>#REF!</f>
        <v>#REF!</v>
      </c>
      <c r="S49" s="73" t="e">
        <f>Tabel11219[[#This Row],[I/E WATER 2014]]/Tabel11219[[#This Row],[TOTAL 2014]]*100</f>
        <v>#REF!</v>
      </c>
      <c r="T49" s="73" t="e">
        <f>#REF!</f>
        <v>#REF!</v>
      </c>
      <c r="U49" s="73" t="e">
        <f>Tabel11219[[#This Row],[I/E WATER 2016]]/Tabel11219[[#This Row],[TOTAL 2016]]*100</f>
        <v>#REF!</v>
      </c>
      <c r="V49" s="10" t="e">
        <f>Tabel11219[[#This Row],[GW 2014]]+Tabel11219[[#This Row],[SP 2014]]+Tabel11219[[#This Row],[SFW 2014]]+Tabel11219[[#This Row],[OS 2014]]+Tabel11219[[#This Row],[I/E WATER 2014]]</f>
        <v>#REF!</v>
      </c>
      <c r="W49" s="10" t="e">
        <f>Tabel11219[[#This Row],[GW 2016]]+Tabel11219[[#This Row],[SP 2016]]+Tabel11219[[#This Row],[SFW 2016]]+Tabel11219[[#This Row],[OS 2016]]+Tabel11219[[#This Row],[I/E WATER 2016]]</f>
        <v>#REF!</v>
      </c>
    </row>
    <row r="50" spans="1:23" hidden="1" x14ac:dyDescent="0.25">
      <c r="A50" s="536" t="s">
        <v>23</v>
      </c>
      <c r="B50" s="15" t="e">
        <f>#REF!</f>
        <v>#REF!</v>
      </c>
      <c r="C50" s="11" t="e">
        <f>Tabel11219[[#This Row],[GW 2014]]/Tabel11219[[#This Row],[TOTAL 2014]]*100</f>
        <v>#REF!</v>
      </c>
      <c r="D50" s="11" t="e">
        <f>#REF!</f>
        <v>#REF!</v>
      </c>
      <c r="E50" s="11" t="s">
        <v>5</v>
      </c>
      <c r="F50" s="16" t="e">
        <f>#REF!</f>
        <v>#REF!</v>
      </c>
      <c r="G50" s="8" t="e">
        <f>Tabel11219[[#This Row],[SP 2014]]/Tabel11219[[#This Row],[TOTAL 2014]]*100</f>
        <v>#REF!</v>
      </c>
      <c r="H50" s="8" t="e">
        <f>#REF!</f>
        <v>#REF!</v>
      </c>
      <c r="I50" s="8" t="s">
        <v>5</v>
      </c>
      <c r="J50" s="9" t="e">
        <f>#REF!</f>
        <v>#REF!</v>
      </c>
      <c r="K50" s="9" t="e">
        <f>Tabel11219[[#This Row],[SFW 2014]]/Tabel11219[[#This Row],[TOTAL 2014]]*100</f>
        <v>#REF!</v>
      </c>
      <c r="L50" s="9" t="e">
        <f>#REF!</f>
        <v>#REF!</v>
      </c>
      <c r="M50" s="9" t="s">
        <v>5</v>
      </c>
      <c r="N50" s="13" t="e">
        <f>#REF!</f>
        <v>#REF!</v>
      </c>
      <c r="O50" s="13" t="e">
        <f>Tabel11219[[#This Row],[OS 2014]]/Tabel11219[[#This Row],[TOTAL 2014]]*100</f>
        <v>#REF!</v>
      </c>
      <c r="P50" s="13" t="e">
        <f>#REF!</f>
        <v>#REF!</v>
      </c>
      <c r="Q50" s="13" t="s">
        <v>5</v>
      </c>
      <c r="R50" s="73" t="e">
        <f>#REF!</f>
        <v>#REF!</v>
      </c>
      <c r="S50" s="73" t="e">
        <f>Tabel11219[[#This Row],[I/E WATER 2014]]/Tabel11219[[#This Row],[TOTAL 2014]]*100</f>
        <v>#REF!</v>
      </c>
      <c r="T50" s="73" t="e">
        <f>#REF!</f>
        <v>#REF!</v>
      </c>
      <c r="U50" s="73" t="s">
        <v>5</v>
      </c>
      <c r="V50" s="10" t="e">
        <f>Tabel11219[[#This Row],[GW 2014]]+Tabel11219[[#This Row],[SP 2014]]+Tabel11219[[#This Row],[SFW 2014]]+Tabel11219[[#This Row],[OS 2014]]+Tabel11219[[#This Row],[I/E WATER 2014]]</f>
        <v>#REF!</v>
      </c>
      <c r="W50" s="10">
        <v>799.03862000000004</v>
      </c>
    </row>
    <row r="51" spans="1:23" hidden="1" x14ac:dyDescent="0.25">
      <c r="A51" s="536" t="s">
        <v>40</v>
      </c>
      <c r="B51" s="15" t="e">
        <f>#REF!</f>
        <v>#REF!</v>
      </c>
      <c r="C51" s="11" t="e">
        <f>Tabel11219[[#This Row],[GW 2014]]/Tabel11219[[#This Row],[TOTAL 2014]]*100</f>
        <v>#REF!</v>
      </c>
      <c r="D51" s="11" t="e">
        <f>#REF!</f>
        <v>#REF!</v>
      </c>
      <c r="E51" s="11" t="e">
        <f>Tabel11219[[#This Row],[GW 2016]]/Tabel11219[[#This Row],[TOTAL 2016]]*100</f>
        <v>#REF!</v>
      </c>
      <c r="F51" s="16" t="e">
        <f>#REF!</f>
        <v>#REF!</v>
      </c>
      <c r="G51" s="8" t="e">
        <f>Tabel11219[[#This Row],[SP 2014]]/Tabel11219[[#This Row],[TOTAL 2014]]*100</f>
        <v>#REF!</v>
      </c>
      <c r="H51" s="8" t="e">
        <f>#REF!</f>
        <v>#REF!</v>
      </c>
      <c r="I51" s="8" t="e">
        <f>Tabel11219[[#This Row],[SP 2016]]/Tabel11219[[#This Row],[TOTAL 2016]]*100</f>
        <v>#REF!</v>
      </c>
      <c r="J51" s="9" t="e">
        <f>#REF!</f>
        <v>#REF!</v>
      </c>
      <c r="K51" s="9" t="e">
        <f>Tabel11219[[#This Row],[SFW 2014]]/Tabel11219[[#This Row],[TOTAL 2014]]*100</f>
        <v>#REF!</v>
      </c>
      <c r="L51" s="9" t="e">
        <f>#REF!</f>
        <v>#REF!</v>
      </c>
      <c r="M51" s="9" t="e">
        <f>Tabel11219[[#This Row],[SFW 2016]]/Tabel11219[[#This Row],[TOTAL 2016]]*100</f>
        <v>#REF!</v>
      </c>
      <c r="N51" s="13" t="e">
        <f>#REF!</f>
        <v>#REF!</v>
      </c>
      <c r="O51" s="13" t="e">
        <f>Tabel11219[[#This Row],[OS 2014]]/Tabel11219[[#This Row],[TOTAL 2014]]*100</f>
        <v>#REF!</v>
      </c>
      <c r="P51" s="13" t="e">
        <f>#REF!</f>
        <v>#REF!</v>
      </c>
      <c r="Q51" s="13" t="e">
        <f>Tabel11219[[#This Row],[OS 2016]]/Tabel11219[[#This Row],[TOTAL 2016]]*100</f>
        <v>#REF!</v>
      </c>
      <c r="R51" s="73" t="e">
        <f>#REF!</f>
        <v>#REF!</v>
      </c>
      <c r="S51" s="73" t="e">
        <f>Tabel11219[[#This Row],[I/E WATER 2014]]/Tabel11219[[#This Row],[TOTAL 2014]]*100</f>
        <v>#REF!</v>
      </c>
      <c r="T51" s="73" t="e">
        <f>#REF!</f>
        <v>#REF!</v>
      </c>
      <c r="U51" s="73" t="e">
        <f>Tabel11219[[#This Row],[I/E WATER 2016]]/Tabel11219[[#This Row],[TOTAL 2016]]*100</f>
        <v>#REF!</v>
      </c>
      <c r="V51" s="10" t="e">
        <f>Tabel11219[[#This Row],[GW 2014]]+Tabel11219[[#This Row],[SP 2014]]+Tabel11219[[#This Row],[SFW 2014]]+Tabel11219[[#This Row],[OS 2014]]+Tabel11219[[#This Row],[I/E WATER 2014]]</f>
        <v>#REF!</v>
      </c>
      <c r="W51" s="10" t="e">
        <f>Tabel11219[[#This Row],[GW 2016]]+Tabel11219[[#This Row],[SP 2016]]+Tabel11219[[#This Row],[SFW 2016]]+Tabel11219[[#This Row],[OS 2016]]+Tabel11219[[#This Row],[I/E WATER 2016]]</f>
        <v>#REF!</v>
      </c>
    </row>
    <row r="52" spans="1:23" hidden="1" x14ac:dyDescent="0.25">
      <c r="A52" s="536" t="s">
        <v>693</v>
      </c>
      <c r="B52" s="15" t="e">
        <f>#REF!</f>
        <v>#REF!</v>
      </c>
      <c r="C52" s="11" t="e">
        <f>Tabel11219[[#This Row],[GW 2014]]/Tabel11219[[#This Row],[TOTAL 2014]]*100</f>
        <v>#REF!</v>
      </c>
      <c r="D52" s="11" t="e">
        <f>#REF!</f>
        <v>#REF!</v>
      </c>
      <c r="E52" s="11" t="e">
        <f>Tabel11219[[#This Row],[GW 2016]]/Tabel11219[[#This Row],[TOTAL 2016]]*100</f>
        <v>#REF!</v>
      </c>
      <c r="F52" s="16" t="e">
        <f>#REF!</f>
        <v>#REF!</v>
      </c>
      <c r="G52" s="8" t="e">
        <f>Tabel11219[[#This Row],[SP 2014]]/Tabel11219[[#This Row],[TOTAL 2014]]*100</f>
        <v>#REF!</v>
      </c>
      <c r="H52" s="8" t="e">
        <f>#REF!</f>
        <v>#REF!</v>
      </c>
      <c r="I52" s="8" t="e">
        <f>Tabel11219[[#This Row],[SP 2016]]/Tabel11219[[#This Row],[TOTAL 2016]]*100</f>
        <v>#REF!</v>
      </c>
      <c r="J52" s="9" t="e">
        <f>#REF!</f>
        <v>#REF!</v>
      </c>
      <c r="K52" s="9" t="e">
        <f>Tabel11219[[#This Row],[SFW 2014]]/Tabel11219[[#This Row],[TOTAL 2014]]*100</f>
        <v>#REF!</v>
      </c>
      <c r="L52" s="9" t="e">
        <f>#REF!</f>
        <v>#REF!</v>
      </c>
      <c r="M52" s="9" t="e">
        <f>Tabel11219[[#This Row],[SFW 2016]]/Tabel11219[[#This Row],[TOTAL 2016]]*100</f>
        <v>#REF!</v>
      </c>
      <c r="N52" s="13" t="e">
        <f>#REF!</f>
        <v>#REF!</v>
      </c>
      <c r="O52" s="13" t="e">
        <f>Tabel11219[[#This Row],[OS 2014]]/Tabel11219[[#This Row],[TOTAL 2014]]*100</f>
        <v>#REF!</v>
      </c>
      <c r="P52" s="13" t="e">
        <f>#REF!</f>
        <v>#REF!</v>
      </c>
      <c r="Q52" s="13" t="e">
        <f>Tabel11219[[#This Row],[OS 2016]]/Tabel11219[[#This Row],[TOTAL 2016]]*100</f>
        <v>#REF!</v>
      </c>
      <c r="R52" s="73" t="e">
        <f>#REF!</f>
        <v>#REF!</v>
      </c>
      <c r="S52" s="73" t="e">
        <f>Tabel11219[[#This Row],[I/E WATER 2014]]/Tabel11219[[#This Row],[TOTAL 2014]]*100</f>
        <v>#REF!</v>
      </c>
      <c r="T52" s="73" t="e">
        <f>#REF!</f>
        <v>#REF!</v>
      </c>
      <c r="U52" s="73" t="e">
        <f>Tabel11219[[#This Row],[I/E WATER 2016]]/Tabel11219[[#This Row],[TOTAL 2016]]*100</f>
        <v>#REF!</v>
      </c>
      <c r="V52" s="10" t="e">
        <f>Tabel11219[[#This Row],[GW 2014]]+Tabel11219[[#This Row],[SP 2014]]+Tabel11219[[#This Row],[SFW 2014]]+Tabel11219[[#This Row],[OS 2014]]+Tabel11219[[#This Row],[I/E WATER 2014]]</f>
        <v>#REF!</v>
      </c>
      <c r="W52" s="10" t="e">
        <f>Tabel11219[[#This Row],[GW 2016]]+Tabel11219[[#This Row],[SP 2016]]+Tabel11219[[#This Row],[SFW 2016]]+Tabel11219[[#This Row],[OS 2016]]+Tabel11219[[#This Row],[I/E WATER 2016]]</f>
        <v>#REF!</v>
      </c>
    </row>
    <row r="53" spans="1:23" hidden="1" x14ac:dyDescent="0.25">
      <c r="A53" s="536" t="s">
        <v>47</v>
      </c>
      <c r="B53" s="15" t="e">
        <f>#REF!</f>
        <v>#REF!</v>
      </c>
      <c r="C53" s="11" t="e">
        <f>Tabel11219[[#This Row],[GW 2014]]/Tabel11219[[#This Row],[TOTAL 2014]]*100</f>
        <v>#REF!</v>
      </c>
      <c r="D53" s="11" t="e">
        <f>#REF!</f>
        <v>#REF!</v>
      </c>
      <c r="E53" s="11" t="e">
        <f>Tabel11219[[#This Row],[GW 2016]]/Tabel11219[[#This Row],[TOTAL 2016]]*100</f>
        <v>#REF!</v>
      </c>
      <c r="F53" s="16" t="e">
        <f>#REF!</f>
        <v>#REF!</v>
      </c>
      <c r="G53" s="8" t="e">
        <f>Tabel11219[[#This Row],[SP 2014]]/Tabel11219[[#This Row],[TOTAL 2014]]*100</f>
        <v>#REF!</v>
      </c>
      <c r="H53" s="8" t="e">
        <f>#REF!</f>
        <v>#REF!</v>
      </c>
      <c r="I53" s="8" t="e">
        <f>Tabel11219[[#This Row],[SP 2016]]/Tabel11219[[#This Row],[TOTAL 2016]]*100</f>
        <v>#REF!</v>
      </c>
      <c r="J53" s="9" t="e">
        <f>#REF!</f>
        <v>#REF!</v>
      </c>
      <c r="K53" s="9" t="e">
        <f>Tabel11219[[#This Row],[SFW 2014]]/Tabel11219[[#This Row],[TOTAL 2014]]*100</f>
        <v>#REF!</v>
      </c>
      <c r="L53" s="9" t="e">
        <f>#REF!</f>
        <v>#REF!</v>
      </c>
      <c r="M53" s="9" t="e">
        <f>Tabel11219[[#This Row],[SFW 2016]]/Tabel11219[[#This Row],[TOTAL 2016]]*100</f>
        <v>#REF!</v>
      </c>
      <c r="N53" s="13" t="e">
        <f>#REF!</f>
        <v>#REF!</v>
      </c>
      <c r="O53" s="13" t="e">
        <f>Tabel11219[[#This Row],[OS 2014]]/Tabel11219[[#This Row],[TOTAL 2014]]*100</f>
        <v>#REF!</v>
      </c>
      <c r="P53" s="13" t="e">
        <f>#REF!</f>
        <v>#REF!</v>
      </c>
      <c r="Q53" s="13" t="e">
        <f>Tabel11219[[#This Row],[OS 2016]]/Tabel11219[[#This Row],[TOTAL 2016]]*100</f>
        <v>#REF!</v>
      </c>
      <c r="R53" s="73" t="e">
        <f>#REF!</f>
        <v>#REF!</v>
      </c>
      <c r="S53" s="73" t="e">
        <f>Tabel11219[[#This Row],[I/E WATER 2014]]/Tabel11219[[#This Row],[TOTAL 2014]]*100</f>
        <v>#REF!</v>
      </c>
      <c r="T53" s="73" t="e">
        <f>#REF!</f>
        <v>#REF!</v>
      </c>
      <c r="U53" s="73" t="e">
        <f>Tabel11219[[#This Row],[I/E WATER 2016]]/Tabel11219[[#This Row],[TOTAL 2016]]*100</f>
        <v>#REF!</v>
      </c>
      <c r="V53" s="10" t="e">
        <f>Tabel11219[[#This Row],[GW 2014]]+Tabel11219[[#This Row],[SP 2014]]+Tabel11219[[#This Row],[SFW 2014]]+Tabel11219[[#This Row],[OS 2014]]+Tabel11219[[#This Row],[I/E WATER 2014]]</f>
        <v>#REF!</v>
      </c>
      <c r="W53" s="10" t="e">
        <f>Tabel11219[[#This Row],[GW 2016]]+Tabel11219[[#This Row],[SP 2016]]+Tabel11219[[#This Row],[SFW 2016]]+Tabel11219[[#This Row],[OS 2016]]+Tabel11219[[#This Row],[I/E WATER 2016]]</f>
        <v>#REF!</v>
      </c>
    </row>
    <row r="54" spans="1:23" hidden="1" x14ac:dyDescent="0.25">
      <c r="A54" s="251" t="s">
        <v>41</v>
      </c>
      <c r="B54" s="15" t="e">
        <f>#REF!</f>
        <v>#REF!</v>
      </c>
      <c r="C54" s="11" t="e">
        <f>Tabel11219[[#This Row],[GW 2014]]/Tabel11219[[#This Row],[TOTAL 2014]]*100</f>
        <v>#REF!</v>
      </c>
      <c r="D54" s="11" t="e">
        <f>#REF!</f>
        <v>#REF!</v>
      </c>
      <c r="E54" s="11" t="e">
        <f>Tabel11219[[#This Row],[GW 2016]]/Tabel11219[[#This Row],[TOTAL 2016]]*100</f>
        <v>#REF!</v>
      </c>
      <c r="F54" s="16" t="e">
        <f>#REF!</f>
        <v>#REF!</v>
      </c>
      <c r="G54" s="8" t="e">
        <f>Tabel11219[[#This Row],[SP 2014]]/Tabel11219[[#This Row],[TOTAL 2014]]*100</f>
        <v>#REF!</v>
      </c>
      <c r="H54" s="8" t="e">
        <f>#REF!</f>
        <v>#REF!</v>
      </c>
      <c r="I54" s="8" t="e">
        <f>Tabel11219[[#This Row],[SP 2016]]/Tabel11219[[#This Row],[TOTAL 2016]]*100</f>
        <v>#REF!</v>
      </c>
      <c r="J54" s="9" t="e">
        <f>#REF!</f>
        <v>#REF!</v>
      </c>
      <c r="K54" s="9" t="e">
        <f>Tabel11219[[#This Row],[SFW 2014]]/Tabel11219[[#This Row],[TOTAL 2014]]*100</f>
        <v>#REF!</v>
      </c>
      <c r="L54" s="9" t="e">
        <f>#REF!</f>
        <v>#REF!</v>
      </c>
      <c r="M54" s="9" t="e">
        <f>Tabel11219[[#This Row],[SFW 2016]]/Tabel11219[[#This Row],[TOTAL 2016]]*100</f>
        <v>#REF!</v>
      </c>
      <c r="N54" s="13" t="e">
        <f>#REF!</f>
        <v>#REF!</v>
      </c>
      <c r="O54" s="13" t="e">
        <f>Tabel11219[[#This Row],[OS 2014]]/Tabel11219[[#This Row],[TOTAL 2014]]*100</f>
        <v>#REF!</v>
      </c>
      <c r="P54" s="13" t="e">
        <f>#REF!</f>
        <v>#REF!</v>
      </c>
      <c r="Q54" s="13" t="e">
        <f>Tabel11219[[#This Row],[OS 2016]]/Tabel11219[[#This Row],[TOTAL 2016]]*100</f>
        <v>#REF!</v>
      </c>
      <c r="R54" s="73" t="e">
        <f>#REF!</f>
        <v>#REF!</v>
      </c>
      <c r="S54" s="73" t="e">
        <f>Tabel11219[[#This Row],[I/E WATER 2014]]/Tabel11219[[#This Row],[TOTAL 2014]]*100</f>
        <v>#REF!</v>
      </c>
      <c r="T54" s="73" t="e">
        <f>#REF!</f>
        <v>#REF!</v>
      </c>
      <c r="U54" s="73" t="e">
        <f>Tabel11219[[#This Row],[I/E WATER 2016]]/Tabel11219[[#This Row],[TOTAL 2016]]*100</f>
        <v>#REF!</v>
      </c>
      <c r="V54" s="10" t="e">
        <f>Tabel11219[[#This Row],[GW 2014]]+Tabel11219[[#This Row],[SP 2014]]+Tabel11219[[#This Row],[SFW 2014]]+Tabel11219[[#This Row],[OS 2014]]+Tabel11219[[#This Row],[I/E WATER 2014]]</f>
        <v>#REF!</v>
      </c>
      <c r="W54" s="10" t="e">
        <f>Tabel11219[[#This Row],[GW 2016]]+Tabel11219[[#This Row],[SP 2016]]+Tabel11219[[#This Row],[SFW 2016]]+Tabel11219[[#This Row],[OS 2016]]+Tabel11219[[#This Row],[I/E WATER 2016]]</f>
        <v>#REF!</v>
      </c>
    </row>
    <row r="55" spans="1:23" hidden="1" x14ac:dyDescent="0.25">
      <c r="A55" s="251" t="s">
        <v>42</v>
      </c>
      <c r="B55" s="15" t="e">
        <f>#REF!</f>
        <v>#REF!</v>
      </c>
      <c r="C55" s="11" t="e">
        <f>Tabel11219[[#This Row],[GW 2014]]/Tabel11219[[#This Row],[TOTAL 2014]]*100</f>
        <v>#REF!</v>
      </c>
      <c r="D55" s="11" t="e">
        <f>#REF!</f>
        <v>#REF!</v>
      </c>
      <c r="E55" s="11" t="e">
        <f>Tabel11219[[#This Row],[GW 2016]]/Tabel11219[[#This Row],[TOTAL 2016]]*100</f>
        <v>#REF!</v>
      </c>
      <c r="F55" s="16" t="e">
        <f>#REF!</f>
        <v>#REF!</v>
      </c>
      <c r="G55" s="8" t="e">
        <f>Tabel11219[[#This Row],[SP 2014]]/Tabel11219[[#This Row],[TOTAL 2014]]*100</f>
        <v>#REF!</v>
      </c>
      <c r="H55" s="8" t="e">
        <f>#REF!</f>
        <v>#REF!</v>
      </c>
      <c r="I55" s="8" t="e">
        <f>Tabel11219[[#This Row],[SP 2016]]/Tabel11219[[#This Row],[TOTAL 2016]]*100</f>
        <v>#REF!</v>
      </c>
      <c r="J55" s="9" t="e">
        <f>#REF!</f>
        <v>#REF!</v>
      </c>
      <c r="K55" s="9" t="e">
        <f>Tabel11219[[#This Row],[SFW 2014]]/Tabel11219[[#This Row],[TOTAL 2014]]*100</f>
        <v>#REF!</v>
      </c>
      <c r="L55" s="9" t="e">
        <f>#REF!</f>
        <v>#REF!</v>
      </c>
      <c r="M55" s="9" t="e">
        <f>Tabel11219[[#This Row],[SFW 2016]]/Tabel11219[[#This Row],[TOTAL 2016]]*100</f>
        <v>#REF!</v>
      </c>
      <c r="N55" s="13" t="e">
        <f>#REF!</f>
        <v>#REF!</v>
      </c>
      <c r="O55" s="13" t="e">
        <f>Tabel11219[[#This Row],[OS 2014]]/Tabel11219[[#This Row],[TOTAL 2014]]*100</f>
        <v>#REF!</v>
      </c>
      <c r="P55" s="13" t="e">
        <f>#REF!</f>
        <v>#REF!</v>
      </c>
      <c r="Q55" s="13" t="e">
        <f>Tabel11219[[#This Row],[OS 2016]]/Tabel11219[[#This Row],[TOTAL 2016]]*100</f>
        <v>#REF!</v>
      </c>
      <c r="R55" s="73" t="e">
        <f>#REF!</f>
        <v>#REF!</v>
      </c>
      <c r="S55" s="73" t="e">
        <f>Tabel11219[[#This Row],[I/E WATER 2014]]/Tabel11219[[#This Row],[TOTAL 2014]]*100</f>
        <v>#REF!</v>
      </c>
      <c r="T55" s="73" t="e">
        <f>#REF!</f>
        <v>#REF!</v>
      </c>
      <c r="U55" s="73" t="e">
        <f>Tabel11219[[#This Row],[I/E WATER 2016]]/Tabel11219[[#This Row],[TOTAL 2016]]*100</f>
        <v>#REF!</v>
      </c>
      <c r="V55" s="10" t="e">
        <f>Tabel11219[[#This Row],[GW 2014]]+Tabel11219[[#This Row],[SP 2014]]+Tabel11219[[#This Row],[SFW 2014]]+Tabel11219[[#This Row],[OS 2014]]+Tabel11219[[#This Row],[I/E WATER 2014]]</f>
        <v>#REF!</v>
      </c>
      <c r="W55" s="10" t="e">
        <f>Tabel11219[[#This Row],[GW 2016]]+Tabel11219[[#This Row],[SP 2016]]+Tabel11219[[#This Row],[SFW 2016]]+Tabel11219[[#This Row],[OS 2016]]+Tabel11219[[#This Row],[I/E WATER 2016]]</f>
        <v>#REF!</v>
      </c>
    </row>
    <row r="56" spans="1:23" hidden="1" x14ac:dyDescent="0.25">
      <c r="A56" s="251" t="s">
        <v>24</v>
      </c>
      <c r="B56" s="15" t="e">
        <f>#REF!</f>
        <v>#REF!</v>
      </c>
      <c r="C56" s="11" t="e">
        <f>Tabel11219[[#This Row],[GW 2014]]/Tabel11219[[#This Row],[TOTAL 2014]]*100</f>
        <v>#REF!</v>
      </c>
      <c r="D56" s="11" t="e">
        <f>#REF!</f>
        <v>#REF!</v>
      </c>
      <c r="E56" s="11" t="e">
        <f>Tabel11219[[#This Row],[GW 2016]]/Tabel11219[[#This Row],[TOTAL 2016]]*100</f>
        <v>#REF!</v>
      </c>
      <c r="F56" s="16" t="e">
        <f>#REF!</f>
        <v>#REF!</v>
      </c>
      <c r="G56" s="8" t="e">
        <f>Tabel11219[[#This Row],[SP 2014]]/Tabel11219[[#This Row],[TOTAL 2014]]*100</f>
        <v>#REF!</v>
      </c>
      <c r="H56" s="8" t="e">
        <f>#REF!</f>
        <v>#REF!</v>
      </c>
      <c r="I56" s="8" t="e">
        <f>Tabel11219[[#This Row],[SP 2016]]/Tabel11219[[#This Row],[TOTAL 2016]]*100</f>
        <v>#REF!</v>
      </c>
      <c r="J56" s="9" t="e">
        <f>#REF!</f>
        <v>#REF!</v>
      </c>
      <c r="K56" s="9" t="e">
        <f>Tabel11219[[#This Row],[SFW 2014]]/Tabel11219[[#This Row],[TOTAL 2014]]*100</f>
        <v>#REF!</v>
      </c>
      <c r="L56" s="9" t="e">
        <f>#REF!</f>
        <v>#REF!</v>
      </c>
      <c r="M56" s="9" t="e">
        <f>Tabel11219[[#This Row],[SFW 2016]]/Tabel11219[[#This Row],[TOTAL 2016]]*100</f>
        <v>#REF!</v>
      </c>
      <c r="N56" s="13" t="e">
        <f>#REF!</f>
        <v>#REF!</v>
      </c>
      <c r="O56" s="13" t="e">
        <f>Tabel11219[[#This Row],[OS 2014]]/Tabel11219[[#This Row],[TOTAL 2014]]*100</f>
        <v>#REF!</v>
      </c>
      <c r="P56" s="13" t="e">
        <f>#REF!</f>
        <v>#REF!</v>
      </c>
      <c r="Q56" s="13" t="e">
        <f>Tabel11219[[#This Row],[OS 2016]]/Tabel11219[[#This Row],[TOTAL 2016]]*100</f>
        <v>#REF!</v>
      </c>
      <c r="R56" s="73" t="e">
        <f>#REF!</f>
        <v>#REF!</v>
      </c>
      <c r="S56" s="73" t="e">
        <f>Tabel11219[[#This Row],[I/E WATER 2014]]/Tabel11219[[#This Row],[TOTAL 2014]]*100</f>
        <v>#REF!</v>
      </c>
      <c r="T56" s="73" t="e">
        <f>#REF!</f>
        <v>#REF!</v>
      </c>
      <c r="U56" s="73" t="e">
        <f>Tabel11219[[#This Row],[I/E WATER 2016]]/Tabel11219[[#This Row],[TOTAL 2016]]*100</f>
        <v>#REF!</v>
      </c>
      <c r="V56" s="10" t="e">
        <f>Tabel11219[[#This Row],[GW 2014]]+Tabel11219[[#This Row],[SP 2014]]+Tabel11219[[#This Row],[SFW 2014]]+Tabel11219[[#This Row],[OS 2014]]+Tabel11219[[#This Row],[I/E WATER 2014]]</f>
        <v>#REF!</v>
      </c>
      <c r="W56" s="10" t="e">
        <f>Tabel11219[[#This Row],[GW 2016]]+Tabel11219[[#This Row],[SP 2016]]+Tabel11219[[#This Row],[SFW 2016]]+Tabel11219[[#This Row],[OS 2016]]+Tabel11219[[#This Row],[I/E WATER 2016]]</f>
        <v>#REF!</v>
      </c>
    </row>
    <row r="57" spans="1:23" hidden="1" x14ac:dyDescent="0.25">
      <c r="A57" s="251" t="s">
        <v>43</v>
      </c>
      <c r="B57" s="15" t="e">
        <f>#REF!</f>
        <v>#REF!</v>
      </c>
      <c r="C57" s="214" t="e">
        <f>Tabel11219[[#This Row],[GW 2014]]/Tabel11219[[#This Row],[TOTAL 2014]]*100</f>
        <v>#REF!</v>
      </c>
      <c r="D57" s="214" t="e">
        <f>#REF!</f>
        <v>#REF!</v>
      </c>
      <c r="E57" s="214" t="e">
        <f>Tabel11219[[#This Row],[GW 2016]]/Tabel11219[[#This Row],[TOTAL 2016]]*100</f>
        <v>#REF!</v>
      </c>
      <c r="F57" s="16" t="e">
        <f>#REF!</f>
        <v>#REF!</v>
      </c>
      <c r="G57" s="8" t="e">
        <f>Tabel11219[[#This Row],[SP 2014]]/Tabel11219[[#This Row],[TOTAL 2014]]*100</f>
        <v>#REF!</v>
      </c>
      <c r="H57" s="8" t="e">
        <f>#REF!</f>
        <v>#REF!</v>
      </c>
      <c r="I57" s="8" t="e">
        <f>Tabel11219[[#This Row],[SP 2016]]/Tabel11219[[#This Row],[TOTAL 2016]]*100</f>
        <v>#REF!</v>
      </c>
      <c r="J57" s="9" t="e">
        <f>#REF!</f>
        <v>#REF!</v>
      </c>
      <c r="K57" s="212" t="e">
        <f>Tabel11219[[#This Row],[SFW 2014]]/Tabel11219[[#This Row],[TOTAL 2014]]*100</f>
        <v>#REF!</v>
      </c>
      <c r="L57" s="212" t="e">
        <f>#REF!</f>
        <v>#REF!</v>
      </c>
      <c r="M57" s="212" t="e">
        <f>Tabel11219[[#This Row],[SFW 2016]]/Tabel11219[[#This Row],[TOTAL 2016]]*100</f>
        <v>#REF!</v>
      </c>
      <c r="N57" s="13" t="e">
        <f>#REF!</f>
        <v>#REF!</v>
      </c>
      <c r="O57" s="13" t="e">
        <f>Tabel11219[[#This Row],[OS 2014]]/Tabel11219[[#This Row],[TOTAL 2014]]*100</f>
        <v>#REF!</v>
      </c>
      <c r="P57" s="13" t="e">
        <f>#REF!</f>
        <v>#REF!</v>
      </c>
      <c r="Q57" s="13" t="e">
        <f>Tabel11219[[#This Row],[OS 2016]]/Tabel11219[[#This Row],[TOTAL 2016]]*100</f>
        <v>#REF!</v>
      </c>
      <c r="R57" s="73" t="e">
        <f>#REF!</f>
        <v>#REF!</v>
      </c>
      <c r="S57" s="73" t="e">
        <f>Tabel11219[[#This Row],[I/E WATER 2014]]/Tabel11219[[#This Row],[TOTAL 2014]]*100</f>
        <v>#REF!</v>
      </c>
      <c r="T57" s="73" t="e">
        <f>#REF!</f>
        <v>#REF!</v>
      </c>
      <c r="U57" s="73" t="e">
        <f>Tabel11219[[#This Row],[I/E WATER 2016]]/Tabel11219[[#This Row],[TOTAL 2016]]*100</f>
        <v>#REF!</v>
      </c>
      <c r="V57" s="10" t="e">
        <f>Tabel11219[[#This Row],[GW 2014]]+Tabel11219[[#This Row],[SP 2014]]+Tabel11219[[#This Row],[SFW 2014]]+Tabel11219[[#This Row],[OS 2014]]+Tabel11219[[#This Row],[I/E WATER 2014]]</f>
        <v>#REF!</v>
      </c>
      <c r="W57" s="10" t="e">
        <f>Tabel11219[[#This Row],[GW 2016]]+Tabel11219[[#This Row],[SP 2016]]+Tabel11219[[#This Row],[SFW 2016]]+Tabel11219[[#This Row],[OS 2016]]+Tabel11219[[#This Row],[I/E WATER 2016]]</f>
        <v>#REF!</v>
      </c>
    </row>
    <row r="58" spans="1:23" hidden="1" x14ac:dyDescent="0.25">
      <c r="A58" s="251" t="s">
        <v>450</v>
      </c>
      <c r="B58" s="15" t="e">
        <f>#REF!</f>
        <v>#REF!</v>
      </c>
      <c r="C58" s="11" t="e">
        <f>Tabel11219[[#This Row],[GW 2014]]/Tabel11219[[#This Row],[TOTAL 2014]]*100</f>
        <v>#REF!</v>
      </c>
      <c r="D58" s="11" t="e">
        <f>#REF!</f>
        <v>#REF!</v>
      </c>
      <c r="E58" s="11" t="e">
        <f>Tabel11219[[#This Row],[GW 2016]]/Tabel11219[[#This Row],[TOTAL 2016]]*100</f>
        <v>#REF!</v>
      </c>
      <c r="F58" s="16" t="e">
        <f>#REF!</f>
        <v>#REF!</v>
      </c>
      <c r="G58" s="8" t="e">
        <f>Tabel11219[[#This Row],[SP 2014]]/Tabel11219[[#This Row],[TOTAL 2014]]*100</f>
        <v>#REF!</v>
      </c>
      <c r="H58" s="8" t="e">
        <f>#REF!</f>
        <v>#REF!</v>
      </c>
      <c r="I58" s="8" t="e">
        <f>Tabel11219[[#This Row],[SP 2016]]/Tabel11219[[#This Row],[TOTAL 2016]]*100</f>
        <v>#REF!</v>
      </c>
      <c r="J58" s="9" t="e">
        <f>#REF!</f>
        <v>#REF!</v>
      </c>
      <c r="K58" s="9" t="e">
        <f>Tabel11219[[#This Row],[SFW 2014]]/Tabel11219[[#This Row],[TOTAL 2014]]*100</f>
        <v>#REF!</v>
      </c>
      <c r="L58" s="9" t="e">
        <f>#REF!</f>
        <v>#REF!</v>
      </c>
      <c r="M58" s="9" t="e">
        <f>Tabel11219[[#This Row],[SFW 2016]]/Tabel11219[[#This Row],[TOTAL 2016]]*100</f>
        <v>#REF!</v>
      </c>
      <c r="N58" s="13" t="e">
        <f>#REF!</f>
        <v>#REF!</v>
      </c>
      <c r="O58" s="13" t="e">
        <f>Tabel11219[[#This Row],[OS 2014]]/Tabel11219[[#This Row],[TOTAL 2014]]*100</f>
        <v>#REF!</v>
      </c>
      <c r="P58" s="13" t="e">
        <f>#REF!</f>
        <v>#REF!</v>
      </c>
      <c r="Q58" s="13" t="e">
        <f>Tabel11219[[#This Row],[OS 2016]]/Tabel11219[[#This Row],[TOTAL 2016]]*100</f>
        <v>#REF!</v>
      </c>
      <c r="R58" s="73" t="e">
        <f>#REF!</f>
        <v>#REF!</v>
      </c>
      <c r="S58" s="73" t="e">
        <f>Tabel11219[[#This Row],[I/E WATER 2014]]/Tabel11219[[#This Row],[TOTAL 2014]]*100</f>
        <v>#REF!</v>
      </c>
      <c r="T58" s="73" t="e">
        <f>#REF!</f>
        <v>#REF!</v>
      </c>
      <c r="U58" s="73" t="e">
        <f>Tabel11219[[#This Row],[I/E WATER 2016]]/Tabel11219[[#This Row],[TOTAL 2016]]*100</f>
        <v>#REF!</v>
      </c>
      <c r="V58" s="10" t="e">
        <f>Tabel11219[[#This Row],[GW 2014]]+Tabel11219[[#This Row],[SP 2014]]+Tabel11219[[#This Row],[SFW 2014]]+Tabel11219[[#This Row],[OS 2014]]+Tabel11219[[#This Row],[I/E WATER 2014]]</f>
        <v>#REF!</v>
      </c>
      <c r="W58" s="10" t="e">
        <f>Tabel11219[[#This Row],[GW 2016]]+Tabel11219[[#This Row],[SP 2016]]+Tabel11219[[#This Row],[SFW 2016]]+Tabel11219[[#This Row],[OS 2016]]+Tabel11219[[#This Row],[I/E WATER 2016]]</f>
        <v>#REF!</v>
      </c>
    </row>
    <row r="59" spans="1:23" hidden="1" x14ac:dyDescent="0.25">
      <c r="A59" s="536" t="s">
        <v>25</v>
      </c>
      <c r="B59" s="15" t="e">
        <f>#REF!</f>
        <v>#REF!</v>
      </c>
      <c r="C59" s="11" t="e">
        <f>Tabel11219[[#This Row],[GW 2014]]/Tabel11219[[#This Row],[TOTAL 2014]]*100</f>
        <v>#REF!</v>
      </c>
      <c r="D59" s="11" t="e">
        <f>#REF!</f>
        <v>#REF!</v>
      </c>
      <c r="E59" s="11" t="e">
        <f>Tabel11219[[#This Row],[GW 2016]]/Tabel11219[[#This Row],[TOTAL 2016]]*100</f>
        <v>#REF!</v>
      </c>
      <c r="F59" s="16" t="e">
        <f>#REF!</f>
        <v>#REF!</v>
      </c>
      <c r="G59" s="8" t="e">
        <f>Tabel11219[[#This Row],[SP 2014]]/Tabel11219[[#This Row],[TOTAL 2014]]*100</f>
        <v>#REF!</v>
      </c>
      <c r="H59" s="8" t="e">
        <f>#REF!</f>
        <v>#REF!</v>
      </c>
      <c r="I59" s="8" t="e">
        <f>Tabel11219[[#This Row],[SP 2016]]/Tabel11219[[#This Row],[TOTAL 2016]]*100</f>
        <v>#REF!</v>
      </c>
      <c r="J59" s="9" t="e">
        <f>#REF!</f>
        <v>#REF!</v>
      </c>
      <c r="K59" s="9" t="e">
        <f>Tabel11219[[#This Row],[SFW 2014]]/Tabel11219[[#This Row],[TOTAL 2014]]*100</f>
        <v>#REF!</v>
      </c>
      <c r="L59" s="9" t="e">
        <f>#REF!</f>
        <v>#REF!</v>
      </c>
      <c r="M59" s="9" t="e">
        <f>Tabel11219[[#This Row],[SFW 2016]]/Tabel11219[[#This Row],[TOTAL 2016]]*100</f>
        <v>#REF!</v>
      </c>
      <c r="N59" s="13" t="e">
        <f>#REF!</f>
        <v>#REF!</v>
      </c>
      <c r="O59" s="13" t="e">
        <f>Tabel11219[[#This Row],[OS 2014]]/Tabel11219[[#This Row],[TOTAL 2014]]*100</f>
        <v>#REF!</v>
      </c>
      <c r="P59" s="13" t="e">
        <f>#REF!</f>
        <v>#REF!</v>
      </c>
      <c r="Q59" s="13" t="e">
        <f>Tabel11219[[#This Row],[OS 2016]]/Tabel11219[[#This Row],[TOTAL 2016]]*100</f>
        <v>#REF!</v>
      </c>
      <c r="R59" s="73" t="e">
        <f>#REF!</f>
        <v>#REF!</v>
      </c>
      <c r="S59" s="229" t="e">
        <f>Tabel11219[[#This Row],[I/E WATER 2014]]/Tabel11219[[#This Row],[TOTAL 2014]]*100</f>
        <v>#REF!</v>
      </c>
      <c r="T59" s="229" t="e">
        <f>#REF!</f>
        <v>#REF!</v>
      </c>
      <c r="U59" s="229" t="e">
        <f>Tabel11219[[#This Row],[I/E WATER 2016]]/Tabel11219[[#This Row],[TOTAL 2016]]*100</f>
        <v>#REF!</v>
      </c>
      <c r="V59" s="10" t="e">
        <f>Tabel11219[[#This Row],[GW 2014]]+Tabel11219[[#This Row],[SP 2014]]+Tabel11219[[#This Row],[SFW 2014]]+Tabel11219[[#This Row],[OS 2014]]+Tabel11219[[#This Row],[I/E WATER 2014]]</f>
        <v>#REF!</v>
      </c>
      <c r="W59" s="10" t="e">
        <f>Tabel11219[[#This Row],[GW 2016]]+Tabel11219[[#This Row],[SP 2016]]+Tabel11219[[#This Row],[SFW 2016]]+Tabel11219[[#This Row],[OS 2016]]+Tabel11219[[#This Row],[I/E WATER 2016]]</f>
        <v>#REF!</v>
      </c>
    </row>
    <row r="60" spans="1:23" hidden="1" x14ac:dyDescent="0.25">
      <c r="A60" s="536" t="s">
        <v>26</v>
      </c>
      <c r="B60" s="15" t="e">
        <f>#REF!</f>
        <v>#REF!</v>
      </c>
      <c r="C60" s="11" t="e">
        <f>Tabel11219[[#This Row],[GW 2014]]/Tabel11219[[#This Row],[TOTAL 2014]]*100</f>
        <v>#REF!</v>
      </c>
      <c r="D60" s="11" t="e">
        <f>#REF!</f>
        <v>#REF!</v>
      </c>
      <c r="E60" s="11" t="e">
        <f>Tabel11219[[#This Row],[GW 2016]]/Tabel11219[[#This Row],[TOTAL 2016]]*100</f>
        <v>#REF!</v>
      </c>
      <c r="F60" s="16" t="e">
        <f>#REF!</f>
        <v>#REF!</v>
      </c>
      <c r="G60" s="8" t="e">
        <f>Tabel11219[[#This Row],[SP 2014]]/Tabel11219[[#This Row],[TOTAL 2014]]*100</f>
        <v>#REF!</v>
      </c>
      <c r="H60" s="8" t="e">
        <f>#REF!</f>
        <v>#REF!</v>
      </c>
      <c r="I60" s="8" t="e">
        <f>Tabel11219[[#This Row],[SP 2016]]/Tabel11219[[#This Row],[TOTAL 2016]]*100</f>
        <v>#REF!</v>
      </c>
      <c r="J60" s="9" t="e">
        <f>#REF!</f>
        <v>#REF!</v>
      </c>
      <c r="K60" s="9" t="e">
        <f>Tabel11219[[#This Row],[SFW 2014]]/Tabel11219[[#This Row],[TOTAL 2014]]*100</f>
        <v>#REF!</v>
      </c>
      <c r="L60" s="9" t="e">
        <f>#REF!</f>
        <v>#REF!</v>
      </c>
      <c r="M60" s="9" t="e">
        <f>Tabel11219[[#This Row],[SFW 2016]]/Tabel11219[[#This Row],[TOTAL 2016]]*100</f>
        <v>#REF!</v>
      </c>
      <c r="N60" s="13" t="e">
        <f>#REF!</f>
        <v>#REF!</v>
      </c>
      <c r="O60" s="13" t="e">
        <f>Tabel11219[[#This Row],[OS 2014]]/Tabel11219[[#This Row],[TOTAL 2014]]*100</f>
        <v>#REF!</v>
      </c>
      <c r="P60" s="13" t="e">
        <f>#REF!</f>
        <v>#REF!</v>
      </c>
      <c r="Q60" s="13" t="e">
        <f>Tabel11219[[#This Row],[OS 2016]]/Tabel11219[[#This Row],[TOTAL 2016]]*100</f>
        <v>#REF!</v>
      </c>
      <c r="R60" s="73" t="e">
        <f>#REF!</f>
        <v>#REF!</v>
      </c>
      <c r="S60" s="73" t="e">
        <f>Tabel11219[[#This Row],[I/E WATER 2014]]/Tabel11219[[#This Row],[TOTAL 2014]]*100</f>
        <v>#REF!</v>
      </c>
      <c r="T60" s="73" t="e">
        <f>#REF!</f>
        <v>#REF!</v>
      </c>
      <c r="U60" s="73" t="e">
        <f>Tabel11219[[#This Row],[I/E WATER 2016]]/Tabel11219[[#This Row],[TOTAL 2016]]*100</f>
        <v>#REF!</v>
      </c>
      <c r="V60" s="10" t="e">
        <f>Tabel11219[[#This Row],[GW 2014]]+Tabel11219[[#This Row],[SP 2014]]+Tabel11219[[#This Row],[SFW 2014]]+Tabel11219[[#This Row],[OS 2014]]+Tabel11219[[#This Row],[I/E WATER 2014]]</f>
        <v>#REF!</v>
      </c>
      <c r="W60" s="10" t="e">
        <f>Tabel11219[[#This Row],[GW 2016]]+Tabel11219[[#This Row],[SP 2016]]+Tabel11219[[#This Row],[SFW 2016]]+Tabel11219[[#This Row],[OS 2016]]+Tabel11219[[#This Row],[I/E WATER 2016]]</f>
        <v>#REF!</v>
      </c>
    </row>
    <row r="61" spans="1:23" hidden="1" x14ac:dyDescent="0.25">
      <c r="A61" s="536" t="s">
        <v>27</v>
      </c>
      <c r="B61" s="15" t="e">
        <f>#REF!</f>
        <v>#REF!</v>
      </c>
      <c r="C61" s="11" t="s">
        <v>5</v>
      </c>
      <c r="D61" s="11" t="e">
        <f>#REF!</f>
        <v>#REF!</v>
      </c>
      <c r="E61" s="11" t="e">
        <f>Tabel11219[[#This Row],[GW 2016]]/Tabel11219[[#This Row],[TOTAL 2016]]*100</f>
        <v>#REF!</v>
      </c>
      <c r="F61" s="16" t="e">
        <f>#REF!</f>
        <v>#REF!</v>
      </c>
      <c r="G61" s="436" t="s">
        <v>5</v>
      </c>
      <c r="H61" s="436" t="e">
        <f>#REF!</f>
        <v>#REF!</v>
      </c>
      <c r="I61" s="436" t="e">
        <f>Tabel11219[[#This Row],[SP 2016]]/Tabel11219[[#This Row],[TOTAL 2016]]*100</f>
        <v>#REF!</v>
      </c>
      <c r="J61" s="9" t="e">
        <f>#REF!</f>
        <v>#REF!</v>
      </c>
      <c r="K61" s="437" t="s">
        <v>5</v>
      </c>
      <c r="L61" s="437" t="e">
        <f>#REF!</f>
        <v>#REF!</v>
      </c>
      <c r="M61" s="437" t="e">
        <f>Tabel11219[[#This Row],[SFW 2016]]/Tabel11219[[#This Row],[TOTAL 2016]]*100</f>
        <v>#REF!</v>
      </c>
      <c r="N61" s="13" t="e">
        <f>#REF!</f>
        <v>#REF!</v>
      </c>
      <c r="O61" s="438" t="s">
        <v>5</v>
      </c>
      <c r="P61" s="438" t="e">
        <f>#REF!</f>
        <v>#REF!</v>
      </c>
      <c r="Q61" s="438" t="e">
        <f>Tabel11219[[#This Row],[OS 2016]]/Tabel11219[[#This Row],[TOTAL 2016]]*100</f>
        <v>#REF!</v>
      </c>
      <c r="R61" s="73" t="e">
        <f>#REF!</f>
        <v>#REF!</v>
      </c>
      <c r="S61" s="440" t="s">
        <v>5</v>
      </c>
      <c r="T61" s="440" t="e">
        <f>#REF!</f>
        <v>#REF!</v>
      </c>
      <c r="U61" s="440" t="e">
        <f>Tabel11219[[#This Row],[I/E WATER 2016]]/Tabel11219[[#This Row],[TOTAL 2016]]*100</f>
        <v>#REF!</v>
      </c>
      <c r="V61" s="10" t="s">
        <v>5</v>
      </c>
      <c r="W61" s="10" t="e">
        <f>Tabel11219[[#This Row],[GW 2016]]+Tabel11219[[#This Row],[SP 2016]]+Tabel11219[[#This Row],[SFW 2016]]+Tabel11219[[#This Row],[OS 2016]]+Tabel11219[[#This Row],[I/E WATER 2016]]</f>
        <v>#REF!</v>
      </c>
    </row>
    <row r="62" spans="1:23" hidden="1" x14ac:dyDescent="0.25">
      <c r="A62" s="536" t="s">
        <v>28</v>
      </c>
      <c r="B62" s="15" t="e">
        <f>#REF!</f>
        <v>#REF!</v>
      </c>
      <c r="C62" s="11" t="e">
        <f>Tabel11219[[#This Row],[GW 2014]]/Tabel11219[[#This Row],[TOTAL 2014]]*100</f>
        <v>#REF!</v>
      </c>
      <c r="D62" s="11" t="e">
        <f>#REF!</f>
        <v>#REF!</v>
      </c>
      <c r="E62" s="11" t="e">
        <f>Tabel11219[[#This Row],[GW 2016]]/Tabel11219[[#This Row],[TOTAL 2016]]*100</f>
        <v>#REF!</v>
      </c>
      <c r="F62" s="16" t="e">
        <f>#REF!</f>
        <v>#REF!</v>
      </c>
      <c r="G62" s="8" t="e">
        <f>Tabel11219[[#This Row],[SP 2014]]/Tabel11219[[#This Row],[TOTAL 2014]]*100</f>
        <v>#REF!</v>
      </c>
      <c r="H62" s="8" t="e">
        <f>#REF!</f>
        <v>#REF!</v>
      </c>
      <c r="I62" s="8" t="e">
        <f>Tabel11219[[#This Row],[SP 2016]]/Tabel11219[[#This Row],[TOTAL 2016]]*100</f>
        <v>#REF!</v>
      </c>
      <c r="J62" s="9" t="e">
        <f>#REF!</f>
        <v>#REF!</v>
      </c>
      <c r="K62" s="9" t="e">
        <f>Tabel11219[[#This Row],[SFW 2014]]/Tabel11219[[#This Row],[TOTAL 2014]]*100</f>
        <v>#REF!</v>
      </c>
      <c r="L62" s="9" t="e">
        <f>#REF!</f>
        <v>#REF!</v>
      </c>
      <c r="M62" s="9" t="e">
        <f>Tabel11219[[#This Row],[SFW 2016]]/Tabel11219[[#This Row],[TOTAL 2016]]*100</f>
        <v>#REF!</v>
      </c>
      <c r="N62" s="13" t="e">
        <f>#REF!</f>
        <v>#REF!</v>
      </c>
      <c r="O62" s="13" t="e">
        <f>Tabel11219[[#This Row],[OS 2014]]/Tabel11219[[#This Row],[TOTAL 2014]]*100</f>
        <v>#REF!</v>
      </c>
      <c r="P62" s="13" t="e">
        <f>#REF!</f>
        <v>#REF!</v>
      </c>
      <c r="Q62" s="13" t="e">
        <f>Tabel11219[[#This Row],[OS 2016]]/Tabel11219[[#This Row],[TOTAL 2016]]*100</f>
        <v>#REF!</v>
      </c>
      <c r="R62" s="73" t="e">
        <f>#REF!</f>
        <v>#REF!</v>
      </c>
      <c r="S62" s="73" t="e">
        <f>Tabel11219[[#This Row],[I/E WATER 2014]]/Tabel11219[[#This Row],[TOTAL 2014]]*100</f>
        <v>#REF!</v>
      </c>
      <c r="T62" s="73" t="e">
        <f>#REF!</f>
        <v>#REF!</v>
      </c>
      <c r="U62" s="73" t="e">
        <f>Tabel11219[[#This Row],[I/E WATER 2016]]/Tabel11219[[#This Row],[TOTAL 2016]]*100</f>
        <v>#REF!</v>
      </c>
      <c r="V62" s="10" t="e">
        <f>Tabel11219[[#This Row],[GW 2014]]+Tabel11219[[#This Row],[SP 2014]]+Tabel11219[[#This Row],[SFW 2014]]+Tabel11219[[#This Row],[OS 2014]]+Tabel11219[[#This Row],[I/E WATER 2014]]</f>
        <v>#REF!</v>
      </c>
      <c r="W62" s="10" t="e">
        <f>Tabel11219[[#This Row],[GW 2016]]+Tabel11219[[#This Row],[SP 2016]]+Tabel11219[[#This Row],[SFW 2016]]+Tabel11219[[#This Row],[OS 2016]]+Tabel11219[[#This Row],[I/E WATER 2016]]</f>
        <v>#REF!</v>
      </c>
    </row>
    <row r="63" spans="1:23" hidden="1" x14ac:dyDescent="0.25">
      <c r="A63" s="251" t="s">
        <v>706</v>
      </c>
      <c r="B63" s="15" t="e">
        <f>#REF!</f>
        <v>#REF!</v>
      </c>
      <c r="C63" s="11" t="e">
        <f>Tabel11219[[#This Row],[GW 2014]]/Tabel11219[[#This Row],[TOTAL 2014]]*100</f>
        <v>#REF!</v>
      </c>
      <c r="D63" s="11" t="e">
        <f>#REF!</f>
        <v>#REF!</v>
      </c>
      <c r="E63" s="11" t="e">
        <f>Tabel11219[[#This Row],[GW 2016]]/Tabel11219[[#This Row],[TOTAL 2016]]*100</f>
        <v>#REF!</v>
      </c>
      <c r="F63" s="16" t="e">
        <f>#REF!</f>
        <v>#REF!</v>
      </c>
      <c r="G63" s="8" t="e">
        <f>Tabel11219[[#This Row],[SP 2014]]/Tabel11219[[#This Row],[TOTAL 2014]]*100</f>
        <v>#REF!</v>
      </c>
      <c r="H63" s="8" t="e">
        <f>#REF!</f>
        <v>#REF!</v>
      </c>
      <c r="I63" s="8" t="e">
        <f>Tabel11219[[#This Row],[SP 2016]]/Tabel11219[[#This Row],[TOTAL 2016]]*100</f>
        <v>#REF!</v>
      </c>
      <c r="J63" s="9" t="e">
        <f>#REF!</f>
        <v>#REF!</v>
      </c>
      <c r="K63" s="9" t="e">
        <f>Tabel11219[[#This Row],[SFW 2014]]/Tabel11219[[#This Row],[TOTAL 2014]]*100</f>
        <v>#REF!</v>
      </c>
      <c r="L63" s="9" t="e">
        <f>#REF!</f>
        <v>#REF!</v>
      </c>
      <c r="M63" s="9" t="e">
        <f>Tabel11219[[#This Row],[SFW 2016]]/Tabel11219[[#This Row],[TOTAL 2016]]*100</f>
        <v>#REF!</v>
      </c>
      <c r="N63" s="13" t="e">
        <f>#REF!</f>
        <v>#REF!</v>
      </c>
      <c r="O63" s="13" t="e">
        <f>Tabel11219[[#This Row],[OS 2014]]/Tabel11219[[#This Row],[TOTAL 2014]]*100</f>
        <v>#REF!</v>
      </c>
      <c r="P63" s="13" t="e">
        <f>#REF!</f>
        <v>#REF!</v>
      </c>
      <c r="Q63" s="13" t="e">
        <f>Tabel11219[[#This Row],[OS 2016]]/Tabel11219[[#This Row],[TOTAL 2016]]*100</f>
        <v>#REF!</v>
      </c>
      <c r="R63" s="73" t="e">
        <f>#REF!</f>
        <v>#REF!</v>
      </c>
      <c r="S63" s="73" t="e">
        <f>Tabel11219[[#This Row],[I/E WATER 2014]]/Tabel11219[[#This Row],[TOTAL 2014]]*100</f>
        <v>#REF!</v>
      </c>
      <c r="T63" s="73" t="e">
        <f>#REF!</f>
        <v>#REF!</v>
      </c>
      <c r="U63" s="73" t="e">
        <f>Tabel11219[[#This Row],[I/E WATER 2016]]/Tabel11219[[#This Row],[TOTAL 2016]]*100</f>
        <v>#REF!</v>
      </c>
      <c r="V63" s="10" t="e">
        <f>Tabel11219[[#This Row],[GW 2014]]+Tabel11219[[#This Row],[SP 2014]]+Tabel11219[[#This Row],[SFW 2014]]+Tabel11219[[#This Row],[OS 2014]]+Tabel11219[[#This Row],[I/E WATER 2014]]</f>
        <v>#REF!</v>
      </c>
      <c r="W63" s="10" t="e">
        <f>Tabel11219[[#This Row],[GW 2016]]+Tabel11219[[#This Row],[SP 2016]]+Tabel11219[[#This Row],[SFW 2016]]+Tabel11219[[#This Row],[OS 2016]]+Tabel11219[[#This Row],[I/E WATER 2016]]</f>
        <v>#REF!</v>
      </c>
    </row>
    <row r="64" spans="1:23" hidden="1" x14ac:dyDescent="0.25">
      <c r="A64" s="251" t="s">
        <v>737</v>
      </c>
      <c r="B64" s="15" t="e">
        <f>#REF!</f>
        <v>#REF!</v>
      </c>
      <c r="C64" s="11" t="e">
        <f>Tabel11219[[#This Row],[GW 2014]]/Tabel11219[[#This Row],[TOTAL 2014]]*100</f>
        <v>#REF!</v>
      </c>
      <c r="D64" s="11" t="e">
        <f>#REF!</f>
        <v>#REF!</v>
      </c>
      <c r="E64" s="11" t="e">
        <f>Tabel11219[[#This Row],[GW 2016]]/Tabel11219[[#This Row],[TOTAL 2016]]*100</f>
        <v>#REF!</v>
      </c>
      <c r="F64" s="16" t="e">
        <f>#REF!</f>
        <v>#REF!</v>
      </c>
      <c r="G64" s="8" t="e">
        <f>Tabel11219[[#This Row],[SP 2014]]/Tabel11219[[#This Row],[TOTAL 2014]]*100</f>
        <v>#REF!</v>
      </c>
      <c r="H64" s="8" t="e">
        <f>#REF!</f>
        <v>#REF!</v>
      </c>
      <c r="I64" s="8" t="e">
        <f>Tabel11219[[#This Row],[SP 2016]]/Tabel11219[[#This Row],[TOTAL 2016]]*100</f>
        <v>#REF!</v>
      </c>
      <c r="J64" s="9" t="e">
        <f>#REF!</f>
        <v>#REF!</v>
      </c>
      <c r="K64" s="9" t="e">
        <f>Tabel11219[[#This Row],[SFW 2014]]/Tabel11219[[#This Row],[TOTAL 2014]]*100</f>
        <v>#REF!</v>
      </c>
      <c r="L64" s="9" t="e">
        <f>#REF!</f>
        <v>#REF!</v>
      </c>
      <c r="M64" s="9" t="e">
        <f>Tabel11219[[#This Row],[SFW 2016]]/Tabel11219[[#This Row],[TOTAL 2016]]*100</f>
        <v>#REF!</v>
      </c>
      <c r="N64" s="13" t="e">
        <f>#REF!</f>
        <v>#REF!</v>
      </c>
      <c r="O64" s="13" t="e">
        <f>Tabel11219[[#This Row],[OS 2014]]/Tabel11219[[#This Row],[TOTAL 2014]]*100</f>
        <v>#REF!</v>
      </c>
      <c r="P64" s="13" t="e">
        <f>#REF!</f>
        <v>#REF!</v>
      </c>
      <c r="Q64" s="13" t="e">
        <f>Tabel11219[[#This Row],[OS 2016]]/Tabel11219[[#This Row],[TOTAL 2016]]*100</f>
        <v>#REF!</v>
      </c>
      <c r="R64" s="73" t="e">
        <f>#REF!</f>
        <v>#REF!</v>
      </c>
      <c r="S64" s="73" t="e">
        <f>Tabel11219[[#This Row],[I/E WATER 2014]]/Tabel11219[[#This Row],[TOTAL 2014]]*100</f>
        <v>#REF!</v>
      </c>
      <c r="T64" s="73" t="e">
        <f>#REF!</f>
        <v>#REF!</v>
      </c>
      <c r="U64" s="73" t="e">
        <f>Tabel11219[[#This Row],[I/E WATER 2016]]/Tabel11219[[#This Row],[TOTAL 2016]]*100</f>
        <v>#REF!</v>
      </c>
      <c r="V64" s="10" t="e">
        <f>Tabel11219[[#This Row],[GW 2014]]+Tabel11219[[#This Row],[SP 2014]]+Tabel11219[[#This Row],[SFW 2014]]+Tabel11219[[#This Row],[OS 2014]]+Tabel11219[[#This Row],[I/E WATER 2014]]</f>
        <v>#REF!</v>
      </c>
      <c r="W64" s="10" t="e">
        <f>Tabel11219[[#This Row],[GW 2016]]+Tabel11219[[#This Row],[SP 2016]]+Tabel11219[[#This Row],[SFW 2016]]+Tabel11219[[#This Row],[OS 2016]]+Tabel11219[[#This Row],[I/E WATER 2016]]</f>
        <v>#REF!</v>
      </c>
    </row>
    <row r="65" spans="1:23" hidden="1" x14ac:dyDescent="0.25">
      <c r="A65" s="251" t="s">
        <v>29</v>
      </c>
      <c r="B65" s="15" t="e">
        <f>#REF!</f>
        <v>#REF!</v>
      </c>
      <c r="C65" s="11" t="e">
        <f>Tabel11219[[#This Row],[GW 2014]]/Tabel11219[[#This Row],[TOTAL 2014]]*100</f>
        <v>#REF!</v>
      </c>
      <c r="D65" s="11" t="e">
        <f>#REF!</f>
        <v>#REF!</v>
      </c>
      <c r="E65" s="11" t="e">
        <f>Tabel11219[[#This Row],[GW 2016]]/Tabel11219[[#This Row],[TOTAL 2016]]*100</f>
        <v>#REF!</v>
      </c>
      <c r="F65" s="16" t="e">
        <f>#REF!</f>
        <v>#REF!</v>
      </c>
      <c r="G65" s="8" t="e">
        <f>Tabel11219[[#This Row],[SP 2014]]/Tabel11219[[#This Row],[TOTAL 2014]]*100</f>
        <v>#REF!</v>
      </c>
      <c r="H65" s="8" t="e">
        <f>#REF!</f>
        <v>#REF!</v>
      </c>
      <c r="I65" s="8" t="e">
        <f>Tabel11219[[#This Row],[SP 2016]]/Tabel11219[[#This Row],[TOTAL 2016]]*100</f>
        <v>#REF!</v>
      </c>
      <c r="J65" s="9" t="e">
        <f>#REF!</f>
        <v>#REF!</v>
      </c>
      <c r="K65" s="9" t="e">
        <f>Tabel11219[[#This Row],[SFW 2014]]/Tabel11219[[#This Row],[TOTAL 2014]]*100</f>
        <v>#REF!</v>
      </c>
      <c r="L65" s="9" t="e">
        <f>#REF!</f>
        <v>#REF!</v>
      </c>
      <c r="M65" s="9" t="e">
        <f>Tabel11219[[#This Row],[SFW 2016]]/Tabel11219[[#This Row],[TOTAL 2016]]*100</f>
        <v>#REF!</v>
      </c>
      <c r="N65" s="13" t="e">
        <f>#REF!</f>
        <v>#REF!</v>
      </c>
      <c r="O65" s="13" t="e">
        <f>Tabel11219[[#This Row],[OS 2014]]/Tabel11219[[#This Row],[TOTAL 2014]]*100</f>
        <v>#REF!</v>
      </c>
      <c r="P65" s="13" t="e">
        <f>#REF!</f>
        <v>#REF!</v>
      </c>
      <c r="Q65" s="13" t="e">
        <f>Tabel11219[[#This Row],[OS 2016]]/Tabel11219[[#This Row],[TOTAL 2016]]*100</f>
        <v>#REF!</v>
      </c>
      <c r="R65" s="73" t="e">
        <f>#REF!</f>
        <v>#REF!</v>
      </c>
      <c r="S65" s="73" t="e">
        <f>Tabel11219[[#This Row],[I/E WATER 2014]]/Tabel11219[[#This Row],[TOTAL 2014]]*100</f>
        <v>#REF!</v>
      </c>
      <c r="T65" s="73" t="e">
        <f>#REF!</f>
        <v>#REF!</v>
      </c>
      <c r="U65" s="73" t="e">
        <f>Tabel11219[[#This Row],[I/E WATER 2016]]/Tabel11219[[#This Row],[TOTAL 2016]]*100</f>
        <v>#REF!</v>
      </c>
      <c r="V65" s="10" t="e">
        <f>Tabel11219[[#This Row],[GW 2014]]+Tabel11219[[#This Row],[SP 2014]]+Tabel11219[[#This Row],[SFW 2014]]+Tabel11219[[#This Row],[OS 2014]]+Tabel11219[[#This Row],[I/E WATER 2014]]</f>
        <v>#REF!</v>
      </c>
      <c r="W65" s="10" t="e">
        <f>Tabel11219[[#This Row],[GW 2016]]+Tabel11219[[#This Row],[SP 2016]]+Tabel11219[[#This Row],[SFW 2016]]+Tabel11219[[#This Row],[OS 2016]]+Tabel11219[[#This Row],[I/E WATER 2016]]</f>
        <v>#REF!</v>
      </c>
    </row>
    <row r="66" spans="1:23" hidden="1" x14ac:dyDescent="0.25">
      <c r="A66" s="536" t="s">
        <v>927</v>
      </c>
      <c r="B66" s="15" t="e">
        <f>#REF!</f>
        <v>#REF!</v>
      </c>
      <c r="C66" s="11" t="s">
        <v>5</v>
      </c>
      <c r="D66" s="11" t="e">
        <f>#REF!</f>
        <v>#REF!</v>
      </c>
      <c r="E66" s="11" t="e">
        <f>Tabel11219[[#This Row],[GW 2016]]/Tabel11219[[#This Row],[TOTAL 2016]]*100</f>
        <v>#REF!</v>
      </c>
      <c r="F66" s="16" t="e">
        <f>#REF!</f>
        <v>#REF!</v>
      </c>
      <c r="G66" s="8" t="s">
        <v>5</v>
      </c>
      <c r="H66" s="8" t="e">
        <f>#REF!</f>
        <v>#REF!</v>
      </c>
      <c r="I66" s="8" t="e">
        <f>Tabel11219[[#This Row],[SP 2016]]/Tabel11219[[#This Row],[TOTAL 2016]]*100</f>
        <v>#REF!</v>
      </c>
      <c r="J66" s="9" t="e">
        <f>#REF!</f>
        <v>#REF!</v>
      </c>
      <c r="K66" s="9" t="s">
        <v>5</v>
      </c>
      <c r="L66" s="9" t="e">
        <f>#REF!</f>
        <v>#REF!</v>
      </c>
      <c r="M66" s="9" t="e">
        <f>Tabel11219[[#This Row],[SFW 2016]]/Tabel11219[[#This Row],[TOTAL 2016]]*100</f>
        <v>#REF!</v>
      </c>
      <c r="N66" s="13" t="e">
        <f>#REF!</f>
        <v>#REF!</v>
      </c>
      <c r="O66" s="13" t="s">
        <v>5</v>
      </c>
      <c r="P66" s="13" t="e">
        <f>#REF!</f>
        <v>#REF!</v>
      </c>
      <c r="Q66" s="13" t="e">
        <f>Tabel11219[[#This Row],[OS 2016]]/Tabel11219[[#This Row],[TOTAL 2016]]*100</f>
        <v>#REF!</v>
      </c>
      <c r="R66" s="73" t="e">
        <f>#REF!</f>
        <v>#REF!</v>
      </c>
      <c r="S66" s="73" t="s">
        <v>5</v>
      </c>
      <c r="T66" s="73" t="e">
        <f>#REF!</f>
        <v>#REF!</v>
      </c>
      <c r="U66" s="73" t="e">
        <f>Tabel11219[[#This Row],[I/E WATER 2016]]/Tabel11219[[#This Row],[TOTAL 2016]]*100</f>
        <v>#REF!</v>
      </c>
      <c r="V66" s="10" t="s">
        <v>5</v>
      </c>
      <c r="W66" s="10" t="e">
        <f>Tabel11219[[#This Row],[GW 2016]]+Tabel11219[[#This Row],[SP 2016]]+Tabel11219[[#This Row],[SFW 2016]]+Tabel11219[[#This Row],[OS 2016]]+Tabel11219[[#This Row],[I/E WATER 2016]]</f>
        <v>#REF!</v>
      </c>
    </row>
    <row r="67" spans="1:23" hidden="1" x14ac:dyDescent="0.25">
      <c r="A67" s="536" t="s">
        <v>505</v>
      </c>
      <c r="B67" s="15" t="e">
        <f>#REF!</f>
        <v>#REF!</v>
      </c>
      <c r="C67" s="11" t="e">
        <f>Tabel11219[[#This Row],[GW 2014]]/Tabel11219[[#This Row],[TOTAL 2014]]*100</f>
        <v>#REF!</v>
      </c>
      <c r="D67" s="11" t="e">
        <f>#REF!</f>
        <v>#REF!</v>
      </c>
      <c r="E67" s="11" t="e">
        <f>Tabel11219[[#This Row],[GW 2016]]/Tabel11219[[#This Row],[TOTAL 2016]]*100</f>
        <v>#REF!</v>
      </c>
      <c r="F67" s="16" t="e">
        <f>#REF!</f>
        <v>#REF!</v>
      </c>
      <c r="G67" s="8" t="e">
        <f>Tabel11219[[#This Row],[SP 2014]]/Tabel11219[[#This Row],[TOTAL 2014]]*100</f>
        <v>#REF!</v>
      </c>
      <c r="H67" s="8" t="e">
        <f>#REF!</f>
        <v>#REF!</v>
      </c>
      <c r="I67" s="8" t="e">
        <f>Tabel11219[[#This Row],[SP 2016]]/Tabel11219[[#This Row],[TOTAL 2016]]*100</f>
        <v>#REF!</v>
      </c>
      <c r="J67" s="9" t="e">
        <f>#REF!</f>
        <v>#REF!</v>
      </c>
      <c r="K67" s="9" t="e">
        <f>Tabel11219[[#This Row],[SFW 2014]]/Tabel11219[[#This Row],[TOTAL 2014]]*100</f>
        <v>#REF!</v>
      </c>
      <c r="L67" s="9" t="e">
        <f>#REF!</f>
        <v>#REF!</v>
      </c>
      <c r="M67" s="9" t="e">
        <f>Tabel11219[[#This Row],[SFW 2016]]/Tabel11219[[#This Row],[TOTAL 2016]]*100</f>
        <v>#REF!</v>
      </c>
      <c r="N67" s="13" t="e">
        <f>#REF!</f>
        <v>#REF!</v>
      </c>
      <c r="O67" s="13" t="e">
        <f>Tabel11219[[#This Row],[OS 2014]]/Tabel11219[[#This Row],[TOTAL 2014]]*100</f>
        <v>#REF!</v>
      </c>
      <c r="P67" s="13" t="e">
        <f>#REF!</f>
        <v>#REF!</v>
      </c>
      <c r="Q67" s="13" t="e">
        <f>Tabel11219[[#This Row],[OS 2016]]/Tabel11219[[#This Row],[TOTAL 2016]]*100</f>
        <v>#REF!</v>
      </c>
      <c r="R67" s="73" t="e">
        <f>#REF!</f>
        <v>#REF!</v>
      </c>
      <c r="S67" s="73" t="e">
        <f>Tabel11219[[#This Row],[I/E WATER 2014]]/Tabel11219[[#This Row],[TOTAL 2014]]*100</f>
        <v>#REF!</v>
      </c>
      <c r="T67" s="73" t="e">
        <f>#REF!</f>
        <v>#REF!</v>
      </c>
      <c r="U67" s="73" t="e">
        <f>Tabel11219[[#This Row],[I/E WATER 2016]]/Tabel11219[[#This Row],[TOTAL 2016]]*100</f>
        <v>#REF!</v>
      </c>
      <c r="V67" s="10" t="e">
        <f>Tabel11219[[#This Row],[GW 2014]]+Tabel11219[[#This Row],[SP 2014]]+Tabel11219[[#This Row],[SFW 2014]]+Tabel11219[[#This Row],[OS 2014]]+Tabel11219[[#This Row],[I/E WATER 2014]]</f>
        <v>#REF!</v>
      </c>
      <c r="W67" s="10" t="e">
        <f>Tabel11219[[#This Row],[GW 2016]]+Tabel11219[[#This Row],[SP 2016]]+Tabel11219[[#This Row],[SFW 2016]]+Tabel11219[[#This Row],[OS 2016]]+Tabel11219[[#This Row],[I/E WATER 2016]]</f>
        <v>#REF!</v>
      </c>
    </row>
    <row r="68" spans="1:23" hidden="1" x14ac:dyDescent="0.25">
      <c r="A68" s="251" t="s">
        <v>30</v>
      </c>
      <c r="B68" s="15" t="e">
        <f>#REF!</f>
        <v>#REF!</v>
      </c>
      <c r="C68" s="11" t="e">
        <f>Tabel11219[[#This Row],[GW 2014]]/Tabel11219[[#This Row],[TOTAL 2014]]*100</f>
        <v>#REF!</v>
      </c>
      <c r="D68" s="11" t="e">
        <f>#REF!</f>
        <v>#REF!</v>
      </c>
      <c r="E68" s="11" t="e">
        <f>Tabel11219[[#This Row],[GW 2016]]/Tabel11219[[#This Row],[TOTAL 2016]]*100</f>
        <v>#REF!</v>
      </c>
      <c r="F68" s="16" t="e">
        <f>#REF!</f>
        <v>#REF!</v>
      </c>
      <c r="G68" s="8" t="e">
        <f>Tabel11219[[#This Row],[SP 2014]]/Tabel11219[[#This Row],[TOTAL 2014]]*100</f>
        <v>#REF!</v>
      </c>
      <c r="H68" s="8" t="e">
        <f>#REF!</f>
        <v>#REF!</v>
      </c>
      <c r="I68" s="8" t="e">
        <f>Tabel11219[[#This Row],[SP 2016]]/Tabel11219[[#This Row],[TOTAL 2016]]*100</f>
        <v>#REF!</v>
      </c>
      <c r="J68" s="9" t="e">
        <f>#REF!</f>
        <v>#REF!</v>
      </c>
      <c r="K68" s="9" t="e">
        <f>Tabel11219[[#This Row],[SFW 2014]]/Tabel11219[[#This Row],[TOTAL 2014]]*100</f>
        <v>#REF!</v>
      </c>
      <c r="L68" s="9" t="e">
        <f>#REF!</f>
        <v>#REF!</v>
      </c>
      <c r="M68" s="9" t="e">
        <f>Tabel11219[[#This Row],[SFW 2016]]/Tabel11219[[#This Row],[TOTAL 2016]]*100</f>
        <v>#REF!</v>
      </c>
      <c r="N68" s="13" t="e">
        <f>#REF!</f>
        <v>#REF!</v>
      </c>
      <c r="O68" s="13" t="e">
        <f>Tabel11219[[#This Row],[OS 2014]]/Tabel11219[[#This Row],[TOTAL 2014]]*100</f>
        <v>#REF!</v>
      </c>
      <c r="P68" s="13" t="e">
        <f>#REF!</f>
        <v>#REF!</v>
      </c>
      <c r="Q68" s="13" t="e">
        <f>Tabel11219[[#This Row],[OS 2016]]/Tabel11219[[#This Row],[TOTAL 2016]]*100</f>
        <v>#REF!</v>
      </c>
      <c r="R68" s="73" t="e">
        <f>#REF!</f>
        <v>#REF!</v>
      </c>
      <c r="S68" s="73" t="e">
        <f>Tabel11219[[#This Row],[I/E WATER 2014]]/Tabel11219[[#This Row],[TOTAL 2014]]*100</f>
        <v>#REF!</v>
      </c>
      <c r="T68" s="73" t="e">
        <f>#REF!</f>
        <v>#REF!</v>
      </c>
      <c r="U68" s="73" t="e">
        <f>Tabel11219[[#This Row],[I/E WATER 2016]]/Tabel11219[[#This Row],[TOTAL 2016]]*100</f>
        <v>#REF!</v>
      </c>
      <c r="V68" s="10" t="e">
        <f>Tabel11219[[#This Row],[GW 2014]]+Tabel11219[[#This Row],[SP 2014]]+Tabel11219[[#This Row],[SFW 2014]]+Tabel11219[[#This Row],[OS 2014]]+Tabel11219[[#This Row],[I/E WATER 2014]]</f>
        <v>#REF!</v>
      </c>
      <c r="W68" s="10" t="e">
        <f>Tabel11219[[#This Row],[GW 2016]]+Tabel11219[[#This Row],[SP 2016]]+Tabel11219[[#This Row],[SFW 2016]]+Tabel11219[[#This Row],[OS 2016]]+Tabel11219[[#This Row],[I/E WATER 2016]]</f>
        <v>#REF!</v>
      </c>
    </row>
    <row r="69" spans="1:23" hidden="1" x14ac:dyDescent="0.25">
      <c r="A69" s="536" t="s">
        <v>31</v>
      </c>
      <c r="B69" s="15" t="e">
        <f>#REF!</f>
        <v>#REF!</v>
      </c>
      <c r="C69" s="230" t="e">
        <f>Tabel11219[[#This Row],[GW 2014]]/Tabel11219[[#This Row],[TOTAL 2014]]*100</f>
        <v>#REF!</v>
      </c>
      <c r="D69" s="230" t="e">
        <f>#REF!</f>
        <v>#REF!</v>
      </c>
      <c r="E69" s="230" t="e">
        <f>Tabel11219[[#This Row],[GW 2016]]/Tabel11219[[#This Row],[TOTAL 2016]]*100</f>
        <v>#REF!</v>
      </c>
      <c r="F69" s="16" t="e">
        <f>#REF!</f>
        <v>#REF!</v>
      </c>
      <c r="G69" s="8" t="e">
        <f>Tabel11219[[#This Row],[SP 2014]]/Tabel11219[[#This Row],[TOTAL 2014]]*100</f>
        <v>#REF!</v>
      </c>
      <c r="H69" s="8" t="e">
        <f>#REF!</f>
        <v>#REF!</v>
      </c>
      <c r="I69" s="8" t="e">
        <f>Tabel11219[[#This Row],[SP 2016]]/Tabel11219[[#This Row],[TOTAL 2016]]*100</f>
        <v>#REF!</v>
      </c>
      <c r="J69" s="9" t="e">
        <f>#REF!</f>
        <v>#REF!</v>
      </c>
      <c r="K69" s="231" t="e">
        <f>Tabel11219[[#This Row],[SFW 2014]]/Tabel11219[[#This Row],[TOTAL 2014]]*100</f>
        <v>#REF!</v>
      </c>
      <c r="L69" s="231" t="e">
        <f>#REF!</f>
        <v>#REF!</v>
      </c>
      <c r="M69" s="231" t="e">
        <f>Tabel11219[[#This Row],[SFW 2016]]/Tabel11219[[#This Row],[TOTAL 2016]]*100</f>
        <v>#REF!</v>
      </c>
      <c r="N69" s="13" t="e">
        <f>#REF!</f>
        <v>#REF!</v>
      </c>
      <c r="O69" s="232" t="e">
        <f>Tabel11219[[#This Row],[OS 2014]]/Tabel11219[[#This Row],[TOTAL 2014]]*100</f>
        <v>#REF!</v>
      </c>
      <c r="P69" s="232" t="e">
        <f>#REF!</f>
        <v>#REF!</v>
      </c>
      <c r="Q69" s="232" t="e">
        <f>Tabel11219[[#This Row],[OS 2016]]/Tabel11219[[#This Row],[TOTAL 2016]]*100</f>
        <v>#REF!</v>
      </c>
      <c r="R69" s="73" t="e">
        <f>#REF!</f>
        <v>#REF!</v>
      </c>
      <c r="S69" s="73" t="e">
        <f>Tabel11219[[#This Row],[I/E WATER 2014]]/Tabel11219[[#This Row],[TOTAL 2014]]*100</f>
        <v>#REF!</v>
      </c>
      <c r="T69" s="73" t="e">
        <f>#REF!</f>
        <v>#REF!</v>
      </c>
      <c r="U69" s="73" t="e">
        <f>Tabel11219[[#This Row],[I/E WATER 2016]]/Tabel11219[[#This Row],[TOTAL 2016]]*100</f>
        <v>#REF!</v>
      </c>
      <c r="V69" s="10" t="e">
        <f>Tabel11219[[#This Row],[GW 2014]]+Tabel11219[[#This Row],[SP 2014]]+Tabel11219[[#This Row],[SFW 2014]]+Tabel11219[[#This Row],[OS 2014]]+Tabel11219[[#This Row],[I/E WATER 2014]]</f>
        <v>#REF!</v>
      </c>
      <c r="W69" s="10" t="e">
        <f>Tabel11219[[#This Row],[GW 2016]]+Tabel11219[[#This Row],[SP 2016]]+Tabel11219[[#This Row],[SFW 2016]]+Tabel11219[[#This Row],[OS 2016]]+Tabel11219[[#This Row],[I/E WATER 2016]]</f>
        <v>#REF!</v>
      </c>
    </row>
    <row r="70" spans="1:23" hidden="1" x14ac:dyDescent="0.25">
      <c r="A70" s="486" t="s">
        <v>718</v>
      </c>
      <c r="B70" s="471" t="e">
        <f>#REF!</f>
        <v>#REF!</v>
      </c>
      <c r="C70" s="11" t="e">
        <f>Tabel11219[[#This Row],[GW 2014]]/Tabel11219[[#This Row],[TOTAL 2014]]*100</f>
        <v>#REF!</v>
      </c>
      <c r="D70" s="11" t="e">
        <f>#REF!</f>
        <v>#REF!</v>
      </c>
      <c r="E70" s="11" t="e">
        <f>Tabel11219[[#This Row],[GW 2016]]/Tabel11219[[#This Row],[TOTAL 2016]]*100</f>
        <v>#REF!</v>
      </c>
      <c r="F70" s="8" t="e">
        <f>#REF!</f>
        <v>#REF!</v>
      </c>
      <c r="G70" s="8" t="e">
        <f>Tabel11219[[#This Row],[SP 2014]]/Tabel11219[[#This Row],[TOTAL 2014]]*100</f>
        <v>#REF!</v>
      </c>
      <c r="H70" s="8" t="e">
        <f>#REF!</f>
        <v>#REF!</v>
      </c>
      <c r="I70" s="8" t="e">
        <f>Tabel11219[[#This Row],[SP 2016]]/Tabel11219[[#This Row],[TOTAL 2016]]*100</f>
        <v>#REF!</v>
      </c>
      <c r="J70" s="9" t="e">
        <f>#REF!</f>
        <v>#REF!</v>
      </c>
      <c r="K70" s="9" t="e">
        <f>Tabel11219[[#This Row],[SFW 2014]]/Tabel11219[[#This Row],[TOTAL 2014]]*100</f>
        <v>#REF!</v>
      </c>
      <c r="L70" s="9" t="e">
        <f>#REF!</f>
        <v>#REF!</v>
      </c>
      <c r="M70" s="9" t="e">
        <f>Tabel11219[[#This Row],[SFW 2016]]/Tabel11219[[#This Row],[TOTAL 2016]]*100</f>
        <v>#REF!</v>
      </c>
      <c r="N70" s="13" t="e">
        <f>#REF!</f>
        <v>#REF!</v>
      </c>
      <c r="O70" s="13" t="e">
        <f>Tabel11219[[#This Row],[OS 2014]]/Tabel11219[[#This Row],[TOTAL 2014]]*100</f>
        <v>#REF!</v>
      </c>
      <c r="P70" s="13" t="e">
        <f>#REF!</f>
        <v>#REF!</v>
      </c>
      <c r="Q70" s="13" t="e">
        <f>Tabel11219[[#This Row],[OS 2016]]/Tabel11219[[#This Row],[TOTAL 2016]]*100</f>
        <v>#REF!</v>
      </c>
      <c r="R70" s="73" t="e">
        <f>#REF!</f>
        <v>#REF!</v>
      </c>
      <c r="S70" s="73" t="e">
        <f>Tabel11219[[#This Row],[I/E WATER 2014]]/Tabel11219[[#This Row],[TOTAL 2014]]*100</f>
        <v>#REF!</v>
      </c>
      <c r="T70" s="73" t="e">
        <f>#REF!</f>
        <v>#REF!</v>
      </c>
      <c r="U70" s="73" t="e">
        <f>Tabel11219[[#This Row],[I/E WATER 2016]]/Tabel11219[[#This Row],[TOTAL 2016]]*100</f>
        <v>#REF!</v>
      </c>
      <c r="V70" s="10" t="e">
        <f>Tabel11219[[#This Row],[GW 2014]]+Tabel11219[[#This Row],[SP 2014]]+Tabel11219[[#This Row],[SFW 2014]]+Tabel11219[[#This Row],[OS 2014]]+Tabel11219[[#This Row],[I/E WATER 2014]]</f>
        <v>#REF!</v>
      </c>
      <c r="W70" s="10" t="e">
        <f>Tabel11219[[#This Row],[GW 2016]]+Tabel11219[[#This Row],[SP 2016]]+Tabel11219[[#This Row],[SFW 2016]]+Tabel11219[[#This Row],[OS 2016]]+Tabel11219[[#This Row],[I/E WATER 2016]]</f>
        <v>#REF!</v>
      </c>
    </row>
    <row r="71" spans="1:23" x14ac:dyDescent="0.25">
      <c r="A71" s="2"/>
      <c r="B71" s="2"/>
      <c r="C71" s="2"/>
      <c r="D71" s="2"/>
      <c r="E71" s="2"/>
    </row>
    <row r="72" spans="1:23" x14ac:dyDescent="0.25">
      <c r="A72" s="22"/>
      <c r="B72" s="2"/>
      <c r="C72" s="2"/>
      <c r="D72" s="2"/>
      <c r="E72" s="2"/>
    </row>
    <row r="73" spans="1:23" x14ac:dyDescent="0.25">
      <c r="A73" s="22"/>
      <c r="B73" s="2"/>
      <c r="C73" s="2"/>
      <c r="D73" s="2"/>
      <c r="E73" s="2"/>
    </row>
    <row r="74" spans="1:23" x14ac:dyDescent="0.25">
      <c r="A74" s="2"/>
      <c r="B74" s="2"/>
      <c r="C74" s="2"/>
      <c r="D74" s="2"/>
      <c r="E74" s="2"/>
    </row>
    <row r="75" spans="1:23" ht="35.450000000000003" customHeight="1" thickBot="1" x14ac:dyDescent="0.3">
      <c r="A75" s="459"/>
      <c r="B75" s="861" t="s">
        <v>1169</v>
      </c>
      <c r="C75" s="861" t="s">
        <v>1170</v>
      </c>
      <c r="D75" s="862" t="s">
        <v>1171</v>
      </c>
      <c r="E75" s="862" t="s">
        <v>1172</v>
      </c>
      <c r="F75" s="863" t="s">
        <v>1173</v>
      </c>
      <c r="G75" s="863" t="s">
        <v>1174</v>
      </c>
      <c r="H75" s="864" t="s">
        <v>1175</v>
      </c>
      <c r="I75" s="864" t="s">
        <v>1176</v>
      </c>
      <c r="J75" s="865" t="s">
        <v>1177</v>
      </c>
      <c r="K75" s="865" t="s">
        <v>1178</v>
      </c>
    </row>
    <row r="76" spans="1:23" x14ac:dyDescent="0.25">
      <c r="A76" s="866" t="s">
        <v>33</v>
      </c>
      <c r="B76" s="1117" t="s">
        <v>5</v>
      </c>
      <c r="C76" s="1117">
        <v>55.20770883905309</v>
      </c>
      <c r="D76" s="1118" t="s">
        <v>5</v>
      </c>
      <c r="E76" s="1118">
        <v>0</v>
      </c>
      <c r="F76" s="841" t="s">
        <v>5</v>
      </c>
      <c r="G76" s="841">
        <v>44.792291160946917</v>
      </c>
      <c r="H76" s="842" t="s">
        <v>5</v>
      </c>
      <c r="I76" s="842">
        <v>0</v>
      </c>
      <c r="J76" s="1119" t="s">
        <v>5</v>
      </c>
      <c r="K76" s="1119">
        <v>0</v>
      </c>
    </row>
    <row r="77" spans="1:23" x14ac:dyDescent="0.25">
      <c r="A77" s="866" t="s">
        <v>524</v>
      </c>
      <c r="B77" s="1117" t="s">
        <v>5</v>
      </c>
      <c r="C77" s="1117" t="s">
        <v>5</v>
      </c>
      <c r="D77" s="1118" t="s">
        <v>5</v>
      </c>
      <c r="E77" s="1118">
        <v>96.019174656106713</v>
      </c>
      <c r="F77" s="841" t="s">
        <v>5</v>
      </c>
      <c r="G77" s="841">
        <v>3.9808253438932892</v>
      </c>
      <c r="H77" s="842" t="s">
        <v>5</v>
      </c>
      <c r="I77" s="842" t="s">
        <v>5</v>
      </c>
      <c r="J77" s="1119" t="s">
        <v>5</v>
      </c>
      <c r="K77" s="1119" t="s">
        <v>5</v>
      </c>
    </row>
    <row r="78" spans="1:23" x14ac:dyDescent="0.25">
      <c r="A78" s="866" t="s">
        <v>34</v>
      </c>
      <c r="B78" s="1117">
        <v>7.5508493071020126</v>
      </c>
      <c r="C78" s="1117">
        <v>15.644141798002789</v>
      </c>
      <c r="D78" s="1118">
        <v>0</v>
      </c>
      <c r="E78" s="1118">
        <v>0</v>
      </c>
      <c r="F78" s="841">
        <v>83.179824718430908</v>
      </c>
      <c r="G78" s="841">
        <v>66.764919590784288</v>
      </c>
      <c r="H78" s="842">
        <v>9.2693259744670833</v>
      </c>
      <c r="I78" s="842">
        <v>17.590938611212923</v>
      </c>
      <c r="J78" s="1119">
        <v>0</v>
      </c>
      <c r="K78" s="1119">
        <v>0</v>
      </c>
    </row>
    <row r="79" spans="1:23" x14ac:dyDescent="0.25">
      <c r="A79" s="867" t="s">
        <v>4</v>
      </c>
      <c r="B79" s="839" t="s">
        <v>5</v>
      </c>
      <c r="C79" s="839">
        <v>38.619854721549636</v>
      </c>
      <c r="D79" s="840" t="s">
        <v>5</v>
      </c>
      <c r="E79" s="840">
        <v>61.380145278450357</v>
      </c>
      <c r="F79" s="841" t="s">
        <v>5</v>
      </c>
      <c r="G79" s="841">
        <v>0</v>
      </c>
      <c r="H79" s="842" t="s">
        <v>5</v>
      </c>
      <c r="I79" s="842">
        <v>0</v>
      </c>
      <c r="J79" s="1119" t="s">
        <v>5</v>
      </c>
      <c r="K79" s="1119">
        <v>0</v>
      </c>
    </row>
    <row r="80" spans="1:23" x14ac:dyDescent="0.25">
      <c r="A80" s="867" t="s">
        <v>6</v>
      </c>
      <c r="B80" s="839">
        <v>64.567316330816709</v>
      </c>
      <c r="C80" s="839">
        <v>63.721395560896944</v>
      </c>
      <c r="D80" s="840">
        <v>0</v>
      </c>
      <c r="E80" s="840">
        <v>0</v>
      </c>
      <c r="F80" s="841">
        <v>35.024624919737214</v>
      </c>
      <c r="G80" s="841">
        <v>35.869177582826808</v>
      </c>
      <c r="H80" s="842">
        <v>0</v>
      </c>
      <c r="I80" s="842">
        <v>0</v>
      </c>
      <c r="J80" s="1119">
        <v>0.40805874944608489</v>
      </c>
      <c r="K80" s="1119">
        <v>0.40942685627624442</v>
      </c>
    </row>
    <row r="81" spans="1:12" x14ac:dyDescent="0.25">
      <c r="A81" s="867" t="s">
        <v>343</v>
      </c>
      <c r="B81" s="839">
        <v>5.9982028676598738</v>
      </c>
      <c r="C81" s="839">
        <v>6.0173613398184136</v>
      </c>
      <c r="D81" s="840">
        <v>0</v>
      </c>
      <c r="E81" s="840">
        <v>0</v>
      </c>
      <c r="F81" s="841">
        <v>94.00179713234013</v>
      </c>
      <c r="G81" s="841">
        <v>93.982638660181578</v>
      </c>
      <c r="H81" s="842">
        <v>0</v>
      </c>
      <c r="I81" s="842">
        <v>0</v>
      </c>
      <c r="J81" s="1119">
        <v>0</v>
      </c>
      <c r="K81" s="1119">
        <v>0</v>
      </c>
    </row>
    <row r="82" spans="1:12" x14ac:dyDescent="0.25">
      <c r="A82" s="867" t="s">
        <v>489</v>
      </c>
      <c r="B82" s="839">
        <v>42.62564545347324</v>
      </c>
      <c r="C82" s="839" t="s">
        <v>5</v>
      </c>
      <c r="D82" s="840">
        <v>0</v>
      </c>
      <c r="E82" s="840" t="s">
        <v>5</v>
      </c>
      <c r="F82" s="841">
        <v>56.170513690123045</v>
      </c>
      <c r="G82" s="841" t="s">
        <v>5</v>
      </c>
      <c r="H82" s="842">
        <v>1.2038408564037051</v>
      </c>
      <c r="I82" s="842" t="s">
        <v>5</v>
      </c>
      <c r="J82" s="1119">
        <v>0</v>
      </c>
      <c r="K82" s="1119" t="s">
        <v>5</v>
      </c>
    </row>
    <row r="83" spans="1:12" x14ac:dyDescent="0.25">
      <c r="A83" s="867" t="s">
        <v>8</v>
      </c>
      <c r="B83" s="839" t="s">
        <v>5</v>
      </c>
      <c r="C83" s="839" t="s">
        <v>5</v>
      </c>
      <c r="D83" s="840" t="s">
        <v>5</v>
      </c>
      <c r="E83" s="840" t="s">
        <v>5</v>
      </c>
      <c r="F83" s="841" t="s">
        <v>5</v>
      </c>
      <c r="G83" s="841" t="s">
        <v>5</v>
      </c>
      <c r="H83" s="842" t="s">
        <v>5</v>
      </c>
      <c r="I83" s="842" t="s">
        <v>5</v>
      </c>
      <c r="J83" s="1119" t="s">
        <v>5</v>
      </c>
      <c r="K83" s="1119" t="s">
        <v>5</v>
      </c>
    </row>
    <row r="84" spans="1:12" x14ac:dyDescent="0.25">
      <c r="A84" s="867" t="s">
        <v>585</v>
      </c>
      <c r="B84" s="839">
        <v>0</v>
      </c>
      <c r="C84" s="839">
        <v>0</v>
      </c>
      <c r="D84" s="840">
        <v>0</v>
      </c>
      <c r="E84" s="840">
        <v>0</v>
      </c>
      <c r="F84" s="841">
        <v>23.938309063612216</v>
      </c>
      <c r="G84" s="841">
        <v>36.271550414294687</v>
      </c>
      <c r="H84" s="842">
        <v>0</v>
      </c>
      <c r="I84" s="842">
        <v>0</v>
      </c>
      <c r="J84" s="1119">
        <v>76.061690936387777</v>
      </c>
      <c r="K84" s="1119">
        <v>63.728449585705313</v>
      </c>
    </row>
    <row r="85" spans="1:12" x14ac:dyDescent="0.25">
      <c r="A85" s="867" t="s">
        <v>9</v>
      </c>
      <c r="B85" s="839">
        <v>17.705635027140424</v>
      </c>
      <c r="C85" s="839">
        <v>16.90235233678295</v>
      </c>
      <c r="D85" s="840">
        <v>9.5974045403835431E-2</v>
      </c>
      <c r="E85" s="840">
        <v>0.10445848573286337</v>
      </c>
      <c r="F85" s="841">
        <v>82.013927639091989</v>
      </c>
      <c r="G85" s="841">
        <v>82.607653816805055</v>
      </c>
      <c r="H85" s="842">
        <v>0.18385005160610204</v>
      </c>
      <c r="I85" s="842">
        <v>0.38553536067913402</v>
      </c>
      <c r="J85" s="1119">
        <v>6.132367576452861E-4</v>
      </c>
      <c r="K85" s="1119">
        <v>0</v>
      </c>
      <c r="L85" s="445"/>
    </row>
    <row r="86" spans="1:12" x14ac:dyDescent="0.25">
      <c r="A86" s="867" t="s">
        <v>10</v>
      </c>
      <c r="B86" s="839">
        <v>49.153468050245763</v>
      </c>
      <c r="C86" s="839">
        <v>50.903119868637113</v>
      </c>
      <c r="D86" s="840">
        <v>0</v>
      </c>
      <c r="E86" s="840">
        <v>0</v>
      </c>
      <c r="F86" s="841">
        <v>31.603859457491346</v>
      </c>
      <c r="G86" s="841">
        <v>20.623973727422001</v>
      </c>
      <c r="H86" s="842">
        <v>19.242672492262876</v>
      </c>
      <c r="I86" s="842">
        <v>28.47290640394089</v>
      </c>
      <c r="J86" s="1119">
        <v>0</v>
      </c>
      <c r="K86" s="1119">
        <v>0</v>
      </c>
    </row>
    <row r="87" spans="1:12" x14ac:dyDescent="0.25">
      <c r="A87" s="867" t="s">
        <v>910</v>
      </c>
      <c r="B87" s="839" t="s">
        <v>5</v>
      </c>
      <c r="C87" s="839">
        <v>22.189602446483182</v>
      </c>
      <c r="D87" s="840" t="s">
        <v>5</v>
      </c>
      <c r="E87" s="840">
        <v>0</v>
      </c>
      <c r="F87" s="841" t="s">
        <v>5</v>
      </c>
      <c r="G87" s="841">
        <v>77.810397553516822</v>
      </c>
      <c r="H87" s="842" t="s">
        <v>5</v>
      </c>
      <c r="I87" s="842">
        <v>0</v>
      </c>
      <c r="J87" s="1119" t="s">
        <v>5</v>
      </c>
      <c r="K87" s="1119">
        <v>0</v>
      </c>
    </row>
    <row r="88" spans="1:12" x14ac:dyDescent="0.25">
      <c r="A88" s="867" t="s">
        <v>11</v>
      </c>
      <c r="B88" s="839">
        <v>100</v>
      </c>
      <c r="C88" s="839">
        <v>100</v>
      </c>
      <c r="D88" s="840">
        <v>0</v>
      </c>
      <c r="E88" s="840">
        <v>0</v>
      </c>
      <c r="F88" s="841">
        <v>0</v>
      </c>
      <c r="G88" s="841">
        <v>0</v>
      </c>
      <c r="H88" s="842">
        <v>0</v>
      </c>
      <c r="I88" s="842">
        <v>0</v>
      </c>
      <c r="J88" s="1119">
        <v>0</v>
      </c>
      <c r="K88" s="1119">
        <v>0</v>
      </c>
    </row>
    <row r="89" spans="1:12" x14ac:dyDescent="0.25">
      <c r="A89" s="867" t="s">
        <v>456</v>
      </c>
      <c r="B89" s="839">
        <v>29.13918778202013</v>
      </c>
      <c r="C89" s="839">
        <v>28.112629073397599</v>
      </c>
      <c r="D89" s="840">
        <v>0</v>
      </c>
      <c r="E89" s="840">
        <v>0</v>
      </c>
      <c r="F89" s="841">
        <v>70.721971537660536</v>
      </c>
      <c r="G89" s="841">
        <v>71.736584183551557</v>
      </c>
      <c r="H89" s="842">
        <v>0.13884068031933355</v>
      </c>
      <c r="I89" s="842">
        <v>0.15078674305083889</v>
      </c>
      <c r="J89" s="1119">
        <v>0</v>
      </c>
      <c r="K89" s="1119">
        <v>0</v>
      </c>
    </row>
    <row r="90" spans="1:12" x14ac:dyDescent="0.25">
      <c r="A90" s="867" t="s">
        <v>12</v>
      </c>
      <c r="B90" s="839">
        <v>36.877042009379643</v>
      </c>
      <c r="C90" s="839">
        <v>36.877042009379643</v>
      </c>
      <c r="D90" s="840">
        <v>0</v>
      </c>
      <c r="E90" s="840">
        <v>0</v>
      </c>
      <c r="F90" s="841">
        <v>63.122957990620364</v>
      </c>
      <c r="G90" s="841">
        <v>63.122957990620364</v>
      </c>
      <c r="H90" s="842">
        <v>0</v>
      </c>
      <c r="I90" s="842">
        <v>0</v>
      </c>
      <c r="J90" s="1119">
        <v>0</v>
      </c>
      <c r="K90" s="1119">
        <v>0</v>
      </c>
    </row>
    <row r="91" spans="1:12" x14ac:dyDescent="0.25">
      <c r="A91" s="867" t="s">
        <v>13</v>
      </c>
      <c r="B91" s="839">
        <v>66.475026949335245</v>
      </c>
      <c r="C91" s="839">
        <v>63.989631831404559</v>
      </c>
      <c r="D91" s="840">
        <v>0</v>
      </c>
      <c r="E91" s="840">
        <v>0</v>
      </c>
      <c r="F91" s="841">
        <v>33.524973050664755</v>
      </c>
      <c r="G91" s="841">
        <v>36.010368168595434</v>
      </c>
      <c r="H91" s="842">
        <v>0</v>
      </c>
      <c r="I91" s="842">
        <v>0</v>
      </c>
      <c r="J91" s="1119">
        <v>0</v>
      </c>
      <c r="K91" s="1119">
        <v>0</v>
      </c>
    </row>
    <row r="92" spans="1:12" x14ac:dyDescent="0.25">
      <c r="A92" s="867" t="s">
        <v>14</v>
      </c>
      <c r="B92" s="839">
        <v>61.335434311601347</v>
      </c>
      <c r="C92" s="839">
        <v>62.263787119166992</v>
      </c>
      <c r="D92" s="840">
        <v>8.0362418751231033</v>
      </c>
      <c r="E92" s="840">
        <v>7.9444658696490551</v>
      </c>
      <c r="F92" s="841">
        <v>30.628323813275554</v>
      </c>
      <c r="G92" s="841">
        <v>29.791747011183954</v>
      </c>
      <c r="H92" s="842">
        <v>0</v>
      </c>
      <c r="I92" s="842">
        <v>0</v>
      </c>
      <c r="J92" s="1119">
        <v>0</v>
      </c>
      <c r="K92" s="1119">
        <v>0</v>
      </c>
    </row>
    <row r="93" spans="1:12" x14ac:dyDescent="0.25">
      <c r="A93" s="867" t="s">
        <v>35</v>
      </c>
      <c r="B93" s="839">
        <v>53.240147422928707</v>
      </c>
      <c r="C93" s="839" t="s">
        <v>5</v>
      </c>
      <c r="D93" s="840">
        <v>36.274501878612718</v>
      </c>
      <c r="E93" s="840" t="s">
        <v>5</v>
      </c>
      <c r="F93" s="841">
        <v>10.246835488921</v>
      </c>
      <c r="G93" s="841" t="s">
        <v>5</v>
      </c>
      <c r="H93" s="842">
        <v>0.23851520953757227</v>
      </c>
      <c r="I93" s="842" t="s">
        <v>5</v>
      </c>
      <c r="J93" s="1119">
        <v>0</v>
      </c>
      <c r="K93" s="1119" t="s">
        <v>5</v>
      </c>
    </row>
    <row r="94" spans="1:12" x14ac:dyDescent="0.25">
      <c r="A94" s="867" t="s">
        <v>15</v>
      </c>
      <c r="B94" s="839">
        <v>84.999999999999986</v>
      </c>
      <c r="C94" s="839">
        <v>57.000081012758677</v>
      </c>
      <c r="D94" s="840">
        <v>10</v>
      </c>
      <c r="E94" s="840">
        <v>8.4998917074348217</v>
      </c>
      <c r="F94" s="841">
        <v>5</v>
      </c>
      <c r="G94" s="841">
        <v>4.9999999999999991</v>
      </c>
      <c r="H94" s="842">
        <v>0</v>
      </c>
      <c r="I94" s="842">
        <v>29.500027279806496</v>
      </c>
      <c r="J94" s="1119">
        <v>0</v>
      </c>
      <c r="K94" s="1119">
        <v>0</v>
      </c>
    </row>
    <row r="95" spans="1:12" x14ac:dyDescent="0.25">
      <c r="A95" s="867" t="s">
        <v>754</v>
      </c>
      <c r="B95" s="839">
        <v>77.52783898927575</v>
      </c>
      <c r="C95" s="839" t="s">
        <v>5</v>
      </c>
      <c r="D95" s="840">
        <v>0</v>
      </c>
      <c r="E95" s="840" t="s">
        <v>5</v>
      </c>
      <c r="F95" s="841">
        <v>3.2399001028353163</v>
      </c>
      <c r="G95" s="841" t="s">
        <v>5</v>
      </c>
      <c r="H95" s="842">
        <v>19.232260907888936</v>
      </c>
      <c r="I95" s="842" t="s">
        <v>5</v>
      </c>
      <c r="J95" s="1119">
        <v>0</v>
      </c>
      <c r="K95" s="1119" t="s">
        <v>5</v>
      </c>
    </row>
    <row r="96" spans="1:12" x14ac:dyDescent="0.25">
      <c r="A96" s="867" t="s">
        <v>639</v>
      </c>
      <c r="B96" s="839" t="s">
        <v>5</v>
      </c>
      <c r="C96" s="839" t="s">
        <v>5</v>
      </c>
      <c r="D96" s="840" t="s">
        <v>5</v>
      </c>
      <c r="E96" s="840" t="s">
        <v>5</v>
      </c>
      <c r="F96" s="841" t="s">
        <v>5</v>
      </c>
      <c r="G96" s="841" t="s">
        <v>5</v>
      </c>
      <c r="H96" s="842" t="s">
        <v>5</v>
      </c>
      <c r="I96" s="842" t="s">
        <v>5</v>
      </c>
      <c r="J96" s="1119" t="s">
        <v>5</v>
      </c>
      <c r="K96" s="1119" t="s">
        <v>5</v>
      </c>
    </row>
    <row r="97" spans="1:12" x14ac:dyDescent="0.25">
      <c r="A97" s="867" t="s">
        <v>17</v>
      </c>
      <c r="B97" s="839" t="s">
        <v>5</v>
      </c>
      <c r="C97" s="839">
        <v>49.473684210526315</v>
      </c>
      <c r="D97" s="840" t="s">
        <v>5</v>
      </c>
      <c r="E97" s="840">
        <v>33.684210526315788</v>
      </c>
      <c r="F97" s="841" t="s">
        <v>5</v>
      </c>
      <c r="G97" s="841">
        <v>16.842105263157894</v>
      </c>
      <c r="H97" s="842" t="s">
        <v>5</v>
      </c>
      <c r="I97" s="842">
        <v>0</v>
      </c>
      <c r="J97" s="1119" t="s">
        <v>5</v>
      </c>
      <c r="K97" s="1119">
        <v>0</v>
      </c>
    </row>
    <row r="98" spans="1:12" x14ac:dyDescent="0.25">
      <c r="A98" s="867" t="s">
        <v>18</v>
      </c>
      <c r="B98" s="839">
        <v>22.998110168652047</v>
      </c>
      <c r="C98" s="839">
        <v>22.924153177322442</v>
      </c>
      <c r="D98" s="840">
        <v>2.7988890796249071</v>
      </c>
      <c r="E98" s="840">
        <v>1.9005804763228491</v>
      </c>
      <c r="F98" s="841">
        <v>74.092067053000434</v>
      </c>
      <c r="G98" s="841">
        <v>75.058460495863969</v>
      </c>
      <c r="H98" s="842">
        <v>0.1109336987226115</v>
      </c>
      <c r="I98" s="842">
        <v>0.11680585049074839</v>
      </c>
      <c r="J98" s="1119">
        <v>0</v>
      </c>
      <c r="K98" s="1119">
        <v>0</v>
      </c>
    </row>
    <row r="99" spans="1:12" x14ac:dyDescent="0.25">
      <c r="A99" s="867" t="s">
        <v>742</v>
      </c>
      <c r="B99" s="839">
        <v>0</v>
      </c>
      <c r="C99" s="839" t="s">
        <v>5</v>
      </c>
      <c r="D99" s="840">
        <v>0</v>
      </c>
      <c r="E99" s="840" t="s">
        <v>5</v>
      </c>
      <c r="F99" s="841">
        <v>100</v>
      </c>
      <c r="G99" s="841" t="s">
        <v>5</v>
      </c>
      <c r="H99" s="842">
        <v>0</v>
      </c>
      <c r="I99" s="842" t="s">
        <v>5</v>
      </c>
      <c r="J99" s="1119">
        <v>0</v>
      </c>
      <c r="K99" s="1119" t="s">
        <v>5</v>
      </c>
    </row>
    <row r="100" spans="1:12" x14ac:dyDescent="0.25">
      <c r="A100" s="867" t="s">
        <v>586</v>
      </c>
      <c r="B100" s="839">
        <v>0</v>
      </c>
      <c r="C100" s="839">
        <v>0</v>
      </c>
      <c r="D100" s="840">
        <v>0</v>
      </c>
      <c r="E100" s="840">
        <v>0</v>
      </c>
      <c r="F100" s="841">
        <v>0</v>
      </c>
      <c r="G100" s="841">
        <v>0</v>
      </c>
      <c r="H100" s="842">
        <v>0.77517087322191469</v>
      </c>
      <c r="I100" s="842">
        <v>1.0943902505732814</v>
      </c>
      <c r="J100" s="1119">
        <v>99.224829126778076</v>
      </c>
      <c r="K100" s="1119">
        <v>98.905609749426716</v>
      </c>
    </row>
    <row r="101" spans="1:12" x14ac:dyDescent="0.25">
      <c r="A101" s="867" t="s">
        <v>774</v>
      </c>
      <c r="B101" s="839">
        <v>48.699450253679004</v>
      </c>
      <c r="C101" s="839">
        <v>44.085018646863155</v>
      </c>
      <c r="D101" s="840">
        <v>0</v>
      </c>
      <c r="E101" s="840">
        <v>0</v>
      </c>
      <c r="F101" s="841">
        <v>0</v>
      </c>
      <c r="G101" s="841">
        <v>0</v>
      </c>
      <c r="H101" s="842">
        <v>51.300549746321003</v>
      </c>
      <c r="I101" s="842">
        <v>55.914981353136852</v>
      </c>
      <c r="J101" s="1119">
        <v>0</v>
      </c>
      <c r="K101" s="1119">
        <v>0</v>
      </c>
    </row>
    <row r="102" spans="1:12" x14ac:dyDescent="0.25">
      <c r="A102" s="867" t="s">
        <v>37</v>
      </c>
      <c r="B102" s="839">
        <v>51.567944250871079</v>
      </c>
      <c r="C102" s="839" t="s">
        <v>5</v>
      </c>
      <c r="D102" s="840">
        <v>14.547038327526129</v>
      </c>
      <c r="E102" s="840" t="s">
        <v>5</v>
      </c>
      <c r="F102" s="841">
        <v>33.885017421602782</v>
      </c>
      <c r="G102" s="841" t="s">
        <v>5</v>
      </c>
      <c r="H102" s="842">
        <v>0</v>
      </c>
      <c r="I102" s="842" t="s">
        <v>5</v>
      </c>
      <c r="J102" s="1119">
        <v>0</v>
      </c>
      <c r="K102" s="1119" t="s">
        <v>5</v>
      </c>
    </row>
    <row r="103" spans="1:12" x14ac:dyDescent="0.25">
      <c r="A103" s="867" t="s">
        <v>38</v>
      </c>
      <c r="B103" s="839">
        <v>38.214563569014963</v>
      </c>
      <c r="C103" s="839">
        <v>38.064134238065968</v>
      </c>
      <c r="D103" s="840">
        <v>0</v>
      </c>
      <c r="E103" s="840">
        <v>0</v>
      </c>
      <c r="F103" s="841">
        <v>60.40478872258155</v>
      </c>
      <c r="G103" s="841">
        <v>59.82159793944021</v>
      </c>
      <c r="H103" s="842">
        <v>0</v>
      </c>
      <c r="I103" s="842">
        <v>0</v>
      </c>
      <c r="J103" s="1119">
        <v>1.3806477084034883</v>
      </c>
      <c r="K103" s="1119">
        <v>2.1142678224938352</v>
      </c>
    </row>
    <row r="104" spans="1:12" x14ac:dyDescent="0.25">
      <c r="A104" s="867" t="s">
        <v>734</v>
      </c>
      <c r="B104" s="839">
        <v>35.928143712574851</v>
      </c>
      <c r="C104" s="839" t="s">
        <v>5</v>
      </c>
      <c r="D104" s="840">
        <v>0</v>
      </c>
      <c r="E104" s="840" t="s">
        <v>5</v>
      </c>
      <c r="F104" s="841">
        <v>41.916167664670652</v>
      </c>
      <c r="G104" s="841" t="s">
        <v>5</v>
      </c>
      <c r="H104" s="842">
        <v>0</v>
      </c>
      <c r="I104" s="842" t="s">
        <v>5</v>
      </c>
      <c r="J104" s="1119">
        <v>22.155688622754489</v>
      </c>
      <c r="K104" s="1119" t="s">
        <v>5</v>
      </c>
    </row>
    <row r="105" spans="1:12" x14ac:dyDescent="0.25">
      <c r="A105" s="867" t="s">
        <v>20</v>
      </c>
      <c r="B105" s="839">
        <v>64.841745081266041</v>
      </c>
      <c r="C105" s="839">
        <v>64.779350541215649</v>
      </c>
      <c r="D105" s="840">
        <v>0</v>
      </c>
      <c r="E105" s="840">
        <v>0</v>
      </c>
      <c r="F105" s="841">
        <v>34.217279726261765</v>
      </c>
      <c r="G105" s="841">
        <v>34.304746044962528</v>
      </c>
      <c r="H105" s="842">
        <v>0</v>
      </c>
      <c r="I105" s="842">
        <v>0</v>
      </c>
      <c r="J105" s="1119">
        <v>0.94097519247219841</v>
      </c>
      <c r="K105" s="1119">
        <v>0.91590341382181517</v>
      </c>
    </row>
    <row r="106" spans="1:12" x14ac:dyDescent="0.25">
      <c r="A106" s="867" t="s">
        <v>21</v>
      </c>
      <c r="B106" s="839">
        <v>13.254580969212165</v>
      </c>
      <c r="C106" s="839" t="s">
        <v>5</v>
      </c>
      <c r="D106" s="840">
        <v>0.46507301646358479</v>
      </c>
      <c r="E106" s="840" t="s">
        <v>5</v>
      </c>
      <c r="F106" s="841">
        <v>86.271044553994969</v>
      </c>
      <c r="G106" s="841" t="s">
        <v>5</v>
      </c>
      <c r="H106" s="842">
        <v>9.301460329271696E-3</v>
      </c>
      <c r="I106" s="842" t="s">
        <v>5</v>
      </c>
      <c r="J106" s="1119">
        <v>0</v>
      </c>
      <c r="K106" s="1119" t="s">
        <v>5</v>
      </c>
    </row>
    <row r="107" spans="1:12" x14ac:dyDescent="0.25">
      <c r="A107" s="867" t="s">
        <v>22</v>
      </c>
      <c r="B107" s="839">
        <v>15.232012341382198</v>
      </c>
      <c r="C107" s="839">
        <v>16.004824907158525</v>
      </c>
      <c r="D107" s="840">
        <v>0</v>
      </c>
      <c r="E107" s="840">
        <v>0</v>
      </c>
      <c r="F107" s="841">
        <v>84.767987658617798</v>
      </c>
      <c r="G107" s="841">
        <v>74.09176821449941</v>
      </c>
      <c r="H107" s="842">
        <v>0</v>
      </c>
      <c r="I107" s="842">
        <v>9.9034068783420555</v>
      </c>
      <c r="J107" s="1119">
        <v>0</v>
      </c>
      <c r="K107" s="1119">
        <v>0</v>
      </c>
      <c r="L107" s="1116"/>
    </row>
    <row r="108" spans="1:12" x14ac:dyDescent="0.25">
      <c r="A108" s="867" t="s">
        <v>23</v>
      </c>
      <c r="B108" s="839">
        <v>33.75896012926998</v>
      </c>
      <c r="C108" s="839">
        <v>30.021175572214521</v>
      </c>
      <c r="D108" s="840">
        <v>0</v>
      </c>
      <c r="E108" s="840" t="s">
        <v>5</v>
      </c>
      <c r="F108" s="841">
        <v>66.241039870730006</v>
      </c>
      <c r="G108" s="841">
        <v>69.978824427785483</v>
      </c>
      <c r="H108" s="842">
        <v>0</v>
      </c>
      <c r="I108" s="842" t="s">
        <v>5</v>
      </c>
      <c r="J108" s="1119">
        <v>0</v>
      </c>
      <c r="K108" s="1119" t="s">
        <v>5</v>
      </c>
    </row>
    <row r="109" spans="1:12" x14ac:dyDescent="0.25">
      <c r="A109" s="867" t="s">
        <v>40</v>
      </c>
      <c r="B109" s="839">
        <v>39.084429371053574</v>
      </c>
      <c r="C109" s="839">
        <v>43.100000485133101</v>
      </c>
      <c r="D109" s="840">
        <v>0</v>
      </c>
      <c r="E109" s="840">
        <v>0</v>
      </c>
      <c r="F109" s="841">
        <v>60.915570628946426</v>
      </c>
      <c r="G109" s="841">
        <v>56.899999514866906</v>
      </c>
      <c r="H109" s="842">
        <v>0</v>
      </c>
      <c r="I109" s="842">
        <v>0</v>
      </c>
      <c r="J109" s="1119">
        <v>0</v>
      </c>
      <c r="K109" s="1119">
        <v>0</v>
      </c>
    </row>
    <row r="110" spans="1:12" x14ac:dyDescent="0.25">
      <c r="A110" s="867" t="s">
        <v>693</v>
      </c>
      <c r="B110" s="839">
        <v>14.77032746822055</v>
      </c>
      <c r="C110" s="839">
        <v>16.458243495759667</v>
      </c>
      <c r="D110" s="840">
        <v>0</v>
      </c>
      <c r="E110" s="840">
        <v>0</v>
      </c>
      <c r="F110" s="841">
        <v>85.229672531779443</v>
      </c>
      <c r="G110" s="841">
        <v>83.54175650424034</v>
      </c>
      <c r="H110" s="842">
        <v>0</v>
      </c>
      <c r="I110" s="842">
        <v>0</v>
      </c>
      <c r="J110" s="1119">
        <v>0</v>
      </c>
      <c r="K110" s="1119">
        <v>0</v>
      </c>
    </row>
    <row r="111" spans="1:12" x14ac:dyDescent="0.25">
      <c r="A111" s="867" t="s">
        <v>47</v>
      </c>
      <c r="B111" s="839">
        <v>3.9074564641988543</v>
      </c>
      <c r="C111" s="839">
        <v>3.0000000000000004</v>
      </c>
      <c r="D111" s="840">
        <v>0</v>
      </c>
      <c r="E111" s="840">
        <v>0</v>
      </c>
      <c r="F111" s="841">
        <v>96.092543535801155</v>
      </c>
      <c r="G111" s="841">
        <v>97.000000000000014</v>
      </c>
      <c r="H111" s="842">
        <v>0</v>
      </c>
      <c r="I111" s="842">
        <v>0</v>
      </c>
      <c r="J111" s="1119">
        <v>0</v>
      </c>
      <c r="K111" s="1119">
        <v>0</v>
      </c>
    </row>
    <row r="112" spans="1:12" x14ac:dyDescent="0.25">
      <c r="A112" s="867" t="s">
        <v>25</v>
      </c>
      <c r="B112" s="839">
        <v>1.4045814772746368</v>
      </c>
      <c r="C112" s="839">
        <v>2.1817497876406229</v>
      </c>
      <c r="D112" s="840">
        <v>0</v>
      </c>
      <c r="E112" s="840">
        <v>0</v>
      </c>
      <c r="F112" s="841">
        <v>98.595418522725367</v>
      </c>
      <c r="G112" s="841">
        <v>97.818250212359388</v>
      </c>
      <c r="H112" s="842">
        <v>0</v>
      </c>
      <c r="I112" s="842">
        <v>0</v>
      </c>
      <c r="J112" s="1119">
        <v>0</v>
      </c>
      <c r="K112" s="1119">
        <v>0</v>
      </c>
    </row>
    <row r="113" spans="1:11" x14ac:dyDescent="0.25">
      <c r="A113" s="867" t="s">
        <v>26</v>
      </c>
      <c r="B113" s="839">
        <v>25.742574257425737</v>
      </c>
      <c r="C113" s="839">
        <v>28.000000000000004</v>
      </c>
      <c r="D113" s="840">
        <v>0</v>
      </c>
      <c r="E113" s="840">
        <v>0</v>
      </c>
      <c r="F113" s="841">
        <v>72.277227722772281</v>
      </c>
      <c r="G113" s="841">
        <v>67</v>
      </c>
      <c r="H113" s="842">
        <v>1.9801980198019802</v>
      </c>
      <c r="I113" s="842">
        <v>5</v>
      </c>
      <c r="J113" s="1119">
        <v>0</v>
      </c>
      <c r="K113" s="1119">
        <v>0</v>
      </c>
    </row>
    <row r="114" spans="1:11" x14ac:dyDescent="0.25">
      <c r="A114" s="867" t="s">
        <v>27</v>
      </c>
      <c r="B114" s="839" t="s">
        <v>5</v>
      </c>
      <c r="C114" s="839">
        <v>24.979637330132466</v>
      </c>
      <c r="D114" s="1120" t="s">
        <v>5</v>
      </c>
      <c r="E114" s="1120">
        <v>0</v>
      </c>
      <c r="F114" s="1121" t="s">
        <v>5</v>
      </c>
      <c r="G114" s="1121">
        <v>75.020362669867552</v>
      </c>
      <c r="H114" s="1122" t="s">
        <v>5</v>
      </c>
      <c r="I114" s="1122">
        <v>0</v>
      </c>
      <c r="J114" s="1123" t="s">
        <v>5</v>
      </c>
      <c r="K114" s="1123">
        <v>0</v>
      </c>
    </row>
    <row r="115" spans="1:11" x14ac:dyDescent="0.25">
      <c r="A115" s="867" t="s">
        <v>28</v>
      </c>
      <c r="B115" s="839">
        <v>41.731409544950054</v>
      </c>
      <c r="C115" s="839">
        <v>40.520043336944745</v>
      </c>
      <c r="D115" s="840">
        <v>39.955604883462819</v>
      </c>
      <c r="E115" s="840">
        <v>40.303358613217767</v>
      </c>
      <c r="F115" s="841">
        <v>18.312985571587127</v>
      </c>
      <c r="G115" s="841">
        <v>19.176598049837487</v>
      </c>
      <c r="H115" s="842">
        <v>0</v>
      </c>
      <c r="I115" s="842">
        <v>0</v>
      </c>
      <c r="J115" s="1119">
        <v>0</v>
      </c>
      <c r="K115" s="1119">
        <v>0</v>
      </c>
    </row>
    <row r="116" spans="1:11" x14ac:dyDescent="0.25">
      <c r="A116" s="867" t="s">
        <v>706</v>
      </c>
      <c r="B116" s="839">
        <v>18.840579710144929</v>
      </c>
      <c r="C116" s="839" t="s">
        <v>5</v>
      </c>
      <c r="D116" s="840">
        <v>16.666666666666664</v>
      </c>
      <c r="E116" s="840" t="s">
        <v>5</v>
      </c>
      <c r="F116" s="841">
        <v>64.492753623188406</v>
      </c>
      <c r="G116" s="841" t="s">
        <v>5</v>
      </c>
      <c r="H116" s="842">
        <v>0</v>
      </c>
      <c r="I116" s="842" t="s">
        <v>5</v>
      </c>
      <c r="J116" s="1119">
        <v>0</v>
      </c>
      <c r="K116" s="1119" t="s">
        <v>5</v>
      </c>
    </row>
    <row r="117" spans="1:11" x14ac:dyDescent="0.25">
      <c r="A117" s="867" t="s">
        <v>737</v>
      </c>
      <c r="B117" s="839">
        <v>1.7199999984715983</v>
      </c>
      <c r="C117" s="839" t="s">
        <v>5</v>
      </c>
      <c r="D117" s="840">
        <v>0</v>
      </c>
      <c r="E117" s="840" t="s">
        <v>5</v>
      </c>
      <c r="F117" s="841">
        <v>98.029999975952336</v>
      </c>
      <c r="G117" s="841" t="s">
        <v>5</v>
      </c>
      <c r="H117" s="842">
        <v>0.25000002557607431</v>
      </c>
      <c r="I117" s="842" t="s">
        <v>5</v>
      </c>
      <c r="J117" s="1119">
        <v>0</v>
      </c>
      <c r="K117" s="1119" t="s">
        <v>5</v>
      </c>
    </row>
    <row r="118" spans="1:11" x14ac:dyDescent="0.25">
      <c r="A118" s="867" t="s">
        <v>927</v>
      </c>
      <c r="B118" s="839" t="s">
        <v>5</v>
      </c>
      <c r="C118" s="839">
        <v>26.772927991515722</v>
      </c>
      <c r="D118" s="840" t="s">
        <v>5</v>
      </c>
      <c r="E118" s="840">
        <v>17.131016164596694</v>
      </c>
      <c r="F118" s="841" t="s">
        <v>5</v>
      </c>
      <c r="G118" s="841">
        <v>56.096055843887591</v>
      </c>
      <c r="H118" s="842" t="s">
        <v>5</v>
      </c>
      <c r="I118" s="842">
        <v>0</v>
      </c>
      <c r="J118" s="1119" t="s">
        <v>5</v>
      </c>
      <c r="K118" s="1119">
        <v>0</v>
      </c>
    </row>
    <row r="119" spans="1:11" x14ac:dyDescent="0.25">
      <c r="A119" s="867" t="s">
        <v>505</v>
      </c>
      <c r="B119" s="839">
        <v>2.5400001240801084</v>
      </c>
      <c r="C119" s="839">
        <v>18.576511275803107</v>
      </c>
      <c r="D119" s="840">
        <v>0</v>
      </c>
      <c r="E119" s="840">
        <v>0</v>
      </c>
      <c r="F119" s="841">
        <v>97.459999875919905</v>
      </c>
      <c r="G119" s="841">
        <v>81.423488724196886</v>
      </c>
      <c r="H119" s="842">
        <v>0</v>
      </c>
      <c r="I119" s="842">
        <v>0</v>
      </c>
      <c r="J119" s="1119">
        <v>0</v>
      </c>
      <c r="K119" s="1119">
        <v>0</v>
      </c>
    </row>
    <row r="120" spans="1:11" x14ac:dyDescent="0.25">
      <c r="A120" s="867" t="s">
        <v>31</v>
      </c>
      <c r="B120" s="839">
        <v>19.737280907187859</v>
      </c>
      <c r="C120" s="839">
        <v>35.935446063205518</v>
      </c>
      <c r="D120" s="840">
        <v>0</v>
      </c>
      <c r="E120" s="840">
        <v>0</v>
      </c>
      <c r="F120" s="841">
        <v>56.540003767916204</v>
      </c>
      <c r="G120" s="841">
        <v>48.285364226901777</v>
      </c>
      <c r="H120" s="842">
        <v>6.5330089835687666</v>
      </c>
      <c r="I120" s="842">
        <v>0.29717838752716019</v>
      </c>
      <c r="J120" s="1119">
        <v>17.189706341327167</v>
      </c>
      <c r="K120" s="1119">
        <v>15.48201132236554</v>
      </c>
    </row>
    <row r="121" spans="1:11" x14ac:dyDescent="0.25">
      <c r="A121" s="867" t="s">
        <v>718</v>
      </c>
      <c r="B121" s="839">
        <v>38.656114467477629</v>
      </c>
      <c r="C121" s="839" t="s">
        <v>5</v>
      </c>
      <c r="D121" s="840">
        <v>0</v>
      </c>
      <c r="E121" s="840" t="s">
        <v>5</v>
      </c>
      <c r="F121" s="841">
        <v>61.343885532522378</v>
      </c>
      <c r="G121" s="841" t="s">
        <v>5</v>
      </c>
      <c r="H121" s="842">
        <v>0</v>
      </c>
      <c r="I121" s="842" t="s">
        <v>5</v>
      </c>
      <c r="J121" s="1119">
        <v>0</v>
      </c>
      <c r="K121" s="1119" t="s">
        <v>5</v>
      </c>
    </row>
  </sheetData>
  <mergeCells count="6">
    <mergeCell ref="V4:W4"/>
    <mergeCell ref="B4:E4"/>
    <mergeCell ref="F4:I4"/>
    <mergeCell ref="J4:M4"/>
    <mergeCell ref="N4:Q4"/>
    <mergeCell ref="R4:U4"/>
  </mergeCells>
  <pageMargins left="0.7" right="0.7" top="0.75" bottom="0.75" header="0.3" footer="0.3"/>
  <pageSetup paperSize="9" orientation="portrait" r:id="rId1"/>
  <drawing r:id="rId2"/>
  <legacyDrawing r:id="rId3"/>
  <tableParts count="1">
    <tablePart r:id="rId4"/>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pageSetUpPr fitToPage="1"/>
  </sheetPr>
  <dimension ref="A1:Q155"/>
  <sheetViews>
    <sheetView workbookViewId="0">
      <selection activeCell="A120" sqref="A1:XFD1048576"/>
    </sheetView>
  </sheetViews>
  <sheetFormatPr defaultRowHeight="15" x14ac:dyDescent="0.25"/>
  <cols>
    <col min="1" max="1" width="31.42578125" customWidth="1"/>
    <col min="2" max="2" width="19.5703125" bestFit="1" customWidth="1"/>
    <col min="3" max="5" width="19.5703125" customWidth="1"/>
    <col min="6" max="6" width="14.5703125" bestFit="1" customWidth="1"/>
    <col min="7" max="9" width="14.5703125" customWidth="1"/>
    <col min="10" max="10" width="19.85546875" bestFit="1" customWidth="1"/>
    <col min="11" max="13" width="19.85546875" customWidth="1"/>
    <col min="14" max="14" width="20.5703125" bestFit="1" customWidth="1"/>
    <col min="15" max="15" width="21" bestFit="1" customWidth="1"/>
    <col min="16" max="16" width="21.5703125" customWidth="1"/>
    <col min="17" max="17" width="21.28515625" bestFit="1" customWidth="1"/>
  </cols>
  <sheetData>
    <row r="1" spans="1:17" ht="18.75" x14ac:dyDescent="0.3">
      <c r="A1" s="843" t="s">
        <v>1180</v>
      </c>
      <c r="B1" s="853"/>
      <c r="D1" t="s">
        <v>1179</v>
      </c>
    </row>
    <row r="2" spans="1:17" ht="19.5" thickBot="1" x14ac:dyDescent="0.35">
      <c r="A2" s="530" t="s">
        <v>55</v>
      </c>
      <c r="B2" s="903"/>
    </row>
    <row r="3" spans="1:17" x14ac:dyDescent="0.25">
      <c r="N3" t="s">
        <v>672</v>
      </c>
    </row>
    <row r="4" spans="1:17" ht="18.75" hidden="1" x14ac:dyDescent="0.25">
      <c r="B4" s="1736" t="s">
        <v>2</v>
      </c>
      <c r="C4" s="1736"/>
      <c r="D4" s="1736"/>
      <c r="E4" s="1736"/>
      <c r="F4" s="1743" t="s">
        <v>52</v>
      </c>
      <c r="G4" s="1743"/>
      <c r="H4" s="1743"/>
      <c r="I4" s="1743"/>
      <c r="J4" s="1737" t="s">
        <v>54</v>
      </c>
      <c r="K4" s="1737"/>
      <c r="L4" s="1737"/>
      <c r="M4" s="1737"/>
      <c r="N4" s="1744" t="s">
        <v>56</v>
      </c>
      <c r="O4" s="1744"/>
      <c r="P4" s="1744"/>
      <c r="Q4" s="1744"/>
    </row>
    <row r="5" spans="1:17" ht="27.75" hidden="1" customHeight="1" thickBot="1" x14ac:dyDescent="0.3">
      <c r="A5" s="35" t="s">
        <v>3</v>
      </c>
      <c r="B5" s="38" t="s">
        <v>235</v>
      </c>
      <c r="C5" s="38" t="s">
        <v>573</v>
      </c>
      <c r="D5" s="38" t="s">
        <v>670</v>
      </c>
      <c r="E5" s="38" t="s">
        <v>800</v>
      </c>
      <c r="F5" s="32" t="s">
        <v>233</v>
      </c>
      <c r="G5" s="32" t="s">
        <v>571</v>
      </c>
      <c r="H5" s="32" t="s">
        <v>665</v>
      </c>
      <c r="I5" s="32" t="s">
        <v>797</v>
      </c>
      <c r="J5" s="33" t="s">
        <v>234</v>
      </c>
      <c r="K5" s="33" t="s">
        <v>572</v>
      </c>
      <c r="L5" s="33" t="s">
        <v>666</v>
      </c>
      <c r="M5" s="33" t="s">
        <v>798</v>
      </c>
      <c r="N5" s="39" t="s">
        <v>236</v>
      </c>
      <c r="O5" s="39" t="s">
        <v>574</v>
      </c>
      <c r="P5" s="39" t="s">
        <v>671</v>
      </c>
      <c r="Q5" s="39" t="s">
        <v>801</v>
      </c>
    </row>
    <row r="6" spans="1:17" ht="15.75" hidden="1" x14ac:dyDescent="0.25">
      <c r="A6" s="538" t="s">
        <v>33</v>
      </c>
      <c r="B6" s="10" t="e">
        <f>#REF!</f>
        <v>#REF!</v>
      </c>
      <c r="C6" s="10" t="e">
        <f>#REF!</f>
        <v>#REF!</v>
      </c>
      <c r="D6" s="10" t="e">
        <f>#REF!</f>
        <v>#REF!</v>
      </c>
      <c r="E6" s="10" t="e">
        <f>#REF!</f>
        <v>#REF!</v>
      </c>
      <c r="F6" s="36" t="e">
        <f>#REF!</f>
        <v>#REF!</v>
      </c>
      <c r="G6" s="36" t="e">
        <f>#REF!</f>
        <v>#REF!</v>
      </c>
      <c r="H6" s="36" t="e">
        <f>#REF!</f>
        <v>#REF!</v>
      </c>
      <c r="I6" s="36" t="e">
        <f>#REF!</f>
        <v>#REF!</v>
      </c>
      <c r="J6" s="192" t="e">
        <f>#REF!</f>
        <v>#REF!</v>
      </c>
      <c r="K6" s="192" t="e">
        <f>#REF!</f>
        <v>#REF!</v>
      </c>
      <c r="L6" s="192" t="e">
        <f>#REF!</f>
        <v>#REF!</v>
      </c>
      <c r="M6" s="192" t="e">
        <f>#REF!</f>
        <v>#REF!</v>
      </c>
      <c r="N6" s="40" t="e">
        <f>Tabel6520[[#This Row],[Total Abs 2010]]/Tabel6520[[#This Row],[Pop 2010]]/Tabel6520[[#This Row],[Supply % 2010]]</f>
        <v>#REF!</v>
      </c>
      <c r="O6" s="40" t="s">
        <v>5</v>
      </c>
      <c r="P6" s="40" t="s">
        <v>5</v>
      </c>
      <c r="Q6" s="40" t="e">
        <f>Tabel6520[[#This Row],[Total Abs 2016]]/Tabel6520[[#This Row],[Pop 2016]]/Tabel6520[[#This Row],[Supply % 2016]]</f>
        <v>#REF!</v>
      </c>
    </row>
    <row r="7" spans="1:17" ht="15.75" hidden="1" x14ac:dyDescent="0.25">
      <c r="A7" s="538" t="s">
        <v>524</v>
      </c>
      <c r="B7" s="10" t="e">
        <f>#REF!</f>
        <v>#REF!</v>
      </c>
      <c r="C7" s="10" t="e">
        <f>#REF!</f>
        <v>#REF!</v>
      </c>
      <c r="D7" s="10" t="e">
        <f>#REF!</f>
        <v>#REF!</v>
      </c>
      <c r="E7" s="10" t="e">
        <f>#REF!</f>
        <v>#REF!</v>
      </c>
      <c r="F7" s="36" t="e">
        <f>#REF!</f>
        <v>#REF!</v>
      </c>
      <c r="G7" s="36" t="e">
        <f>#REF!</f>
        <v>#REF!</v>
      </c>
      <c r="H7" s="36" t="e">
        <f>#REF!</f>
        <v>#REF!</v>
      </c>
      <c r="I7" s="36" t="e">
        <f>#REF!</f>
        <v>#REF!</v>
      </c>
      <c r="J7" s="192" t="e">
        <f>#REF!</f>
        <v>#REF!</v>
      </c>
      <c r="K7" s="192" t="e">
        <f>#REF!</f>
        <v>#REF!</v>
      </c>
      <c r="L7" s="192" t="e">
        <f>#REF!</f>
        <v>#REF!</v>
      </c>
      <c r="M7" s="192" t="e">
        <f>#REF!</f>
        <v>#REF!</v>
      </c>
      <c r="N7" s="40" t="e">
        <f>Tabel6520[[#This Row],[Total Abs 2010]]/Tabel6520[[#This Row],[Pop 2010]]/Tabel6520[[#This Row],[Supply % 2010]]</f>
        <v>#REF!</v>
      </c>
      <c r="O7" s="40" t="s">
        <v>5</v>
      </c>
      <c r="P7" s="40" t="s">
        <v>5</v>
      </c>
      <c r="Q7" s="40" t="e">
        <f>Tabel6520[[#This Row],[Total Abs 2016]]/Tabel6520[[#This Row],[Pop 2016]]/Tabel6520[[#This Row],[Supply % 2016]]</f>
        <v>#REF!</v>
      </c>
    </row>
    <row r="8" spans="1:17" ht="15.75" hidden="1" x14ac:dyDescent="0.25">
      <c r="A8" s="540" t="s">
        <v>34</v>
      </c>
      <c r="B8" s="10" t="e">
        <f>#REF!</f>
        <v>#REF!</v>
      </c>
      <c r="C8" s="10" t="e">
        <f>#REF!</f>
        <v>#REF!</v>
      </c>
      <c r="D8" s="10" t="e">
        <f>#REF!</f>
        <v>#REF!</v>
      </c>
      <c r="E8" s="10" t="e">
        <f>#REF!</f>
        <v>#REF!</v>
      </c>
      <c r="F8" s="36" t="e">
        <f>#REF!</f>
        <v>#REF!</v>
      </c>
      <c r="G8" s="36" t="e">
        <f>#REF!</f>
        <v>#REF!</v>
      </c>
      <c r="H8" s="36" t="e">
        <f>#REF!</f>
        <v>#REF!</v>
      </c>
      <c r="I8" s="36" t="e">
        <f>#REF!</f>
        <v>#REF!</v>
      </c>
      <c r="J8" s="192" t="e">
        <f>#REF!</f>
        <v>#REF!</v>
      </c>
      <c r="K8" s="192" t="e">
        <f>#REF!</f>
        <v>#REF!</v>
      </c>
      <c r="L8" s="192" t="e">
        <f>#REF!</f>
        <v>#REF!</v>
      </c>
      <c r="M8" s="192" t="e">
        <f>#REF!</f>
        <v>#REF!</v>
      </c>
      <c r="N8" s="40" t="e">
        <f>Tabel6520[[#This Row],[Total Abs 2010]]/Tabel6520[[#This Row],[Pop 2010]]/Tabel6520[[#This Row],[Supply % 2010]]</f>
        <v>#REF!</v>
      </c>
      <c r="O8" s="40" t="s">
        <v>5</v>
      </c>
      <c r="P8" s="40" t="e">
        <f>Tabel6520[[#This Row],[Total Abs 2014]]/Tabel6520[[#This Row],[Pop 2014]]/Tabel6520[[#This Row],[Supply % 2014]]</f>
        <v>#REF!</v>
      </c>
      <c r="Q8" s="40" t="e">
        <f>Tabel6520[[#This Row],[Total Abs 2016]]/Tabel6520[[#This Row],[Pop 2016]]/Tabel6520[[#This Row],[Supply % 2016]]</f>
        <v>#REF!</v>
      </c>
    </row>
    <row r="9" spans="1:17" ht="15.75" hidden="1" x14ac:dyDescent="0.25">
      <c r="A9" s="611" t="s">
        <v>4</v>
      </c>
      <c r="B9" s="10" t="e">
        <f>#REF!</f>
        <v>#REF!</v>
      </c>
      <c r="C9" s="10" t="e">
        <f>#REF!</f>
        <v>#REF!</v>
      </c>
      <c r="D9" s="10" t="e">
        <f>#REF!</f>
        <v>#REF!</v>
      </c>
      <c r="E9" s="10" t="e">
        <f>#REF!</f>
        <v>#REF!</v>
      </c>
      <c r="F9" s="36" t="e">
        <f>#REF!</f>
        <v>#REF!</v>
      </c>
      <c r="G9" s="36" t="e">
        <f>#REF!</f>
        <v>#REF!</v>
      </c>
      <c r="H9" s="36" t="e">
        <f>#REF!</f>
        <v>#REF!</v>
      </c>
      <c r="I9" s="36" t="e">
        <f>#REF!</f>
        <v>#REF!</v>
      </c>
      <c r="J9" s="192" t="e">
        <f>#REF!</f>
        <v>#REF!</v>
      </c>
      <c r="K9" s="192" t="e">
        <f>#REF!</f>
        <v>#REF!</v>
      </c>
      <c r="L9" s="192" t="e">
        <f>#REF!</f>
        <v>#REF!</v>
      </c>
      <c r="M9" s="192" t="e">
        <f>#REF!</f>
        <v>#REF!</v>
      </c>
      <c r="N9" s="40" t="e">
        <f>Tabel6520[[#This Row],[Total Abs 2010]]/Tabel6520[[#This Row],[Pop 2010]]/Tabel6520[[#This Row],[Supply % 2010]]</f>
        <v>#REF!</v>
      </c>
      <c r="O9" s="40" t="e">
        <f>Tabel6520[[#This Row],[Total Abs 2012]]/Tabel6520[[#This Row],[Pop 2012]]/Tabel6520[[#This Row],[Supply % 2012]]</f>
        <v>#REF!</v>
      </c>
      <c r="P9" s="40" t="s">
        <v>5</v>
      </c>
      <c r="Q9" s="40" t="e">
        <f>Tabel6520[[#This Row],[Total Abs 2016]]/Tabel6520[[#This Row],[Pop 2016]]/Tabel6520[[#This Row],[Supply % 2016]]</f>
        <v>#REF!</v>
      </c>
    </row>
    <row r="10" spans="1:17" ht="15.75" hidden="1" x14ac:dyDescent="0.25">
      <c r="A10" s="611" t="s">
        <v>6</v>
      </c>
      <c r="B10" s="10" t="e">
        <f>#REF!</f>
        <v>#REF!</v>
      </c>
      <c r="C10" s="10" t="e">
        <f>#REF!</f>
        <v>#REF!</v>
      </c>
      <c r="D10" s="10" t="e">
        <f>#REF!</f>
        <v>#REF!</v>
      </c>
      <c r="E10" s="10" t="e">
        <f>#REF!</f>
        <v>#REF!</v>
      </c>
      <c r="F10" s="36" t="e">
        <f>#REF!</f>
        <v>#REF!</v>
      </c>
      <c r="G10" s="36" t="e">
        <f>#REF!</f>
        <v>#REF!</v>
      </c>
      <c r="H10" s="36" t="e">
        <f>#REF!</f>
        <v>#REF!</v>
      </c>
      <c r="I10" s="36" t="e">
        <f>#REF!</f>
        <v>#REF!</v>
      </c>
      <c r="J10" s="192" t="e">
        <f>#REF!</f>
        <v>#REF!</v>
      </c>
      <c r="K10" s="192" t="e">
        <f>#REF!</f>
        <v>#REF!</v>
      </c>
      <c r="L10" s="192" t="e">
        <f>#REF!</f>
        <v>#REF!</v>
      </c>
      <c r="M10" s="192" t="e">
        <f>#REF!</f>
        <v>#REF!</v>
      </c>
      <c r="N10" s="40" t="e">
        <f>Tabel6520[[#This Row],[Total Abs 2010]]/Tabel6520[[#This Row],[Pop 2010]]/Tabel6520[[#This Row],[Supply % 2010]]</f>
        <v>#REF!</v>
      </c>
      <c r="O10" s="40" t="e">
        <f>Tabel6520[[#This Row],[Total Abs 2012]]/Tabel6520[[#This Row],[Pop 2012]]/Tabel6520[[#This Row],[Supply % 2012]]</f>
        <v>#REF!</v>
      </c>
      <c r="P10" s="40" t="e">
        <f>Tabel6520[[#This Row],[Total Abs 2014]]/Tabel6520[[#This Row],[Pop 2014]]/Tabel6520[[#This Row],[Supply % 2014]]</f>
        <v>#REF!</v>
      </c>
      <c r="Q10" s="40" t="e">
        <f>Tabel6520[[#This Row],[Total Abs 2016]]/Tabel6520[[#This Row],[Pop 2016]]/Tabel6520[[#This Row],[Supply % 2016]]</f>
        <v>#REF!</v>
      </c>
    </row>
    <row r="11" spans="1:17" ht="15.75" hidden="1" x14ac:dyDescent="0.25">
      <c r="A11" s="688" t="s">
        <v>49</v>
      </c>
      <c r="B11" s="10" t="e">
        <f>#REF!</f>
        <v>#REF!</v>
      </c>
      <c r="C11" s="10" t="e">
        <f>#REF!</f>
        <v>#REF!</v>
      </c>
      <c r="D11" s="10" t="e">
        <f>#REF!</f>
        <v>#REF!</v>
      </c>
      <c r="E11" s="10" t="e">
        <f>#REF!</f>
        <v>#REF!</v>
      </c>
      <c r="F11" s="36" t="e">
        <f>#REF!</f>
        <v>#REF!</v>
      </c>
      <c r="G11" s="36" t="e">
        <f>#REF!</f>
        <v>#REF!</v>
      </c>
      <c r="H11" s="36" t="e">
        <f>#REF!</f>
        <v>#REF!</v>
      </c>
      <c r="I11" s="36" t="e">
        <f>#REF!</f>
        <v>#REF!</v>
      </c>
      <c r="J11" s="192" t="e">
        <f>#REF!</f>
        <v>#REF!</v>
      </c>
      <c r="K11" s="192" t="e">
        <f>#REF!</f>
        <v>#REF!</v>
      </c>
      <c r="L11" s="192" t="e">
        <f>#REF!</f>
        <v>#REF!</v>
      </c>
      <c r="M11" s="192" t="e">
        <f>#REF!</f>
        <v>#REF!</v>
      </c>
      <c r="N11" s="40" t="e">
        <f>Tabel6520[[#This Row],[Total Abs 2010]]/Tabel6520[[#This Row],[Pop 2010]]/Tabel6520[[#This Row],[Supply % 2010]]</f>
        <v>#REF!</v>
      </c>
      <c r="O11" s="40" t="e">
        <f>Tabel6520[[#This Row],[Total Abs 2012]]/Tabel6520[[#This Row],[Pop 2012]]/Tabel6520[[#This Row],[Supply % 2012]]</f>
        <v>#REF!</v>
      </c>
      <c r="P11" s="40" t="e">
        <f>Tabel6520[[#This Row],[Total Abs 2014]]/Tabel6520[[#This Row],[Pop 2014]]/Tabel6520[[#This Row],[Supply % 2014]]</f>
        <v>#REF!</v>
      </c>
      <c r="Q11" s="40" t="e">
        <f>Tabel6520[[#This Row],[Total Abs 2016]]/Tabel6520[[#This Row],[Pop 2016]]/Tabel6520[[#This Row],[Supply % 2016]]</f>
        <v>#REF!</v>
      </c>
    </row>
    <row r="12" spans="1:17" ht="15.75" hidden="1" x14ac:dyDescent="0.25">
      <c r="A12" s="611" t="s">
        <v>7</v>
      </c>
      <c r="B12" s="10" t="e">
        <f>#REF!</f>
        <v>#REF!</v>
      </c>
      <c r="C12" s="10" t="e">
        <f>#REF!</f>
        <v>#REF!</v>
      </c>
      <c r="D12" s="10" t="e">
        <f>#REF!</f>
        <v>#REF!</v>
      </c>
      <c r="E12" s="10" t="e">
        <f>#REF!</f>
        <v>#REF!</v>
      </c>
      <c r="F12" s="36" t="e">
        <f>#REF!</f>
        <v>#REF!</v>
      </c>
      <c r="G12" s="36" t="e">
        <f>#REF!</f>
        <v>#REF!</v>
      </c>
      <c r="H12" s="36" t="e">
        <f>#REF!</f>
        <v>#REF!</v>
      </c>
      <c r="I12" s="36" t="e">
        <f>#REF!</f>
        <v>#REF!</v>
      </c>
      <c r="J12" s="192" t="e">
        <f>#REF!</f>
        <v>#REF!</v>
      </c>
      <c r="K12" s="192" t="e">
        <f>#REF!</f>
        <v>#REF!</v>
      </c>
      <c r="L12" s="192" t="e">
        <f>#REF!</f>
        <v>#REF!</v>
      </c>
      <c r="M12" s="192" t="e">
        <f>#REF!</f>
        <v>#REF!</v>
      </c>
      <c r="N12" s="40" t="e">
        <f>Tabel6520[[#This Row],[Total Abs 2010]]/Tabel6520[[#This Row],[Pop 2010]]/Tabel6520[[#This Row],[Supply % 2010]]</f>
        <v>#REF!</v>
      </c>
      <c r="O12" s="40" t="e">
        <f>Tabel6520[[#This Row],[Total Abs 2012]]/Tabel6520[[#This Row],[Pop 2012]]/Tabel6520[[#This Row],[Supply % 2012]]</f>
        <v>#REF!</v>
      </c>
      <c r="P12" s="40" t="s">
        <v>5</v>
      </c>
      <c r="Q12" s="40" t="e">
        <f>Tabel6520[[#This Row],[Total Abs 2016]]/Tabel6520[[#This Row],[Pop 2016]]/Tabel6520[[#This Row],[Supply % 2016]]</f>
        <v>#REF!</v>
      </c>
    </row>
    <row r="13" spans="1:17" ht="15.75" hidden="1" x14ac:dyDescent="0.25">
      <c r="A13" s="256" t="s">
        <v>558</v>
      </c>
      <c r="B13" s="10" t="e">
        <f>#REF!</f>
        <v>#REF!</v>
      </c>
      <c r="C13" s="10" t="e">
        <f>#REF!</f>
        <v>#REF!</v>
      </c>
      <c r="D13" s="10" t="e">
        <f>#REF!</f>
        <v>#REF!</v>
      </c>
      <c r="E13" s="10" t="e">
        <f>#REF!</f>
        <v>#REF!</v>
      </c>
      <c r="F13" s="36" t="e">
        <f>#REF!</f>
        <v>#REF!</v>
      </c>
      <c r="G13" s="36" t="e">
        <f>#REF!</f>
        <v>#REF!</v>
      </c>
      <c r="H13" s="36" t="e">
        <f>#REF!</f>
        <v>#REF!</v>
      </c>
      <c r="I13" s="36" t="e">
        <f>#REF!</f>
        <v>#REF!</v>
      </c>
      <c r="J13" s="192" t="e">
        <f>#REF!</f>
        <v>#REF!</v>
      </c>
      <c r="K13" s="192" t="e">
        <f>#REF!</f>
        <v>#REF!</v>
      </c>
      <c r="L13" s="192" t="e">
        <f>#REF!</f>
        <v>#REF!</v>
      </c>
      <c r="M13" s="192" t="e">
        <f>#REF!</f>
        <v>#REF!</v>
      </c>
      <c r="N13" s="40" t="e">
        <f>Tabel6520[[#This Row],[Total Abs 2010]]/Tabel6520[[#This Row],[Pop 2010]]/Tabel6520[[#This Row],[Supply % 2010]]</f>
        <v>#REF!</v>
      </c>
      <c r="O13" s="40" t="s">
        <v>5</v>
      </c>
      <c r="P13" s="40" t="s">
        <v>5</v>
      </c>
      <c r="Q13" s="40" t="e">
        <f>Tabel6520[[#This Row],[Total Abs 2016]]/Tabel6520[[#This Row],[Pop 2016]]/Tabel6520[[#This Row],[Supply % 2016]]</f>
        <v>#REF!</v>
      </c>
    </row>
    <row r="14" spans="1:17" ht="15.75" hidden="1" x14ac:dyDescent="0.25">
      <c r="A14" s="688" t="s">
        <v>343</v>
      </c>
      <c r="B14" s="10" t="e">
        <f>#REF!</f>
        <v>#REF!</v>
      </c>
      <c r="C14" s="10" t="e">
        <f>#REF!</f>
        <v>#REF!</v>
      </c>
      <c r="D14" s="10" t="e">
        <f>#REF!</f>
        <v>#REF!</v>
      </c>
      <c r="E14" s="10" t="e">
        <f>#REF!</f>
        <v>#REF!</v>
      </c>
      <c r="F14" s="36" t="e">
        <f>#REF!</f>
        <v>#REF!</v>
      </c>
      <c r="G14" s="36" t="e">
        <f>#REF!</f>
        <v>#REF!</v>
      </c>
      <c r="H14" s="36" t="e">
        <f>#REF!</f>
        <v>#REF!</v>
      </c>
      <c r="I14" s="36" t="e">
        <f>#REF!</f>
        <v>#REF!</v>
      </c>
      <c r="J14" s="192" t="e">
        <f>#REF!</f>
        <v>#REF!</v>
      </c>
      <c r="K14" s="192" t="e">
        <f>#REF!</f>
        <v>#REF!</v>
      </c>
      <c r="L14" s="192" t="e">
        <f>#REF!</f>
        <v>#REF!</v>
      </c>
      <c r="M14" s="192" t="e">
        <f>#REF!</f>
        <v>#REF!</v>
      </c>
      <c r="N14" s="40" t="e">
        <f>Tabel6520[[#This Row],[Total Abs 2010]]/Tabel6520[[#This Row],[Pop 2010]]/Tabel6520[[#This Row],[Supply % 2010]]</f>
        <v>#REF!</v>
      </c>
      <c r="O14" s="40" t="e">
        <f>Tabel6520[[#This Row],[Total Abs 2012]]/Tabel6520[[#This Row],[Pop 2012]]/Tabel6520[[#This Row],[Supply % 2012]]</f>
        <v>#REF!</v>
      </c>
      <c r="P14" s="40" t="e">
        <f>Tabel6520[[#This Row],[Total Abs 2014]]/Tabel6520[[#This Row],[Pop 2014]]/Tabel6520[[#This Row],[Supply % 2014]]</f>
        <v>#REF!</v>
      </c>
      <c r="Q14" s="40" t="e">
        <f>Tabel6520[[#This Row],[Total Abs 2016]]/Tabel6520[[#This Row],[Pop 2016]]/Tabel6520[[#This Row],[Supply % 2016]]</f>
        <v>#REF!</v>
      </c>
    </row>
    <row r="15" spans="1:17" ht="15.75" hidden="1" x14ac:dyDescent="0.25">
      <c r="A15" s="258" t="s">
        <v>489</v>
      </c>
      <c r="B15" s="10" t="e">
        <f>#REF!</f>
        <v>#REF!</v>
      </c>
      <c r="C15" s="10" t="e">
        <f>#REF!</f>
        <v>#REF!</v>
      </c>
      <c r="D15" s="10" t="e">
        <f>#REF!</f>
        <v>#REF!</v>
      </c>
      <c r="E15" s="10" t="e">
        <f>#REF!</f>
        <v>#REF!</v>
      </c>
      <c r="F15" s="36" t="e">
        <f>#REF!</f>
        <v>#REF!</v>
      </c>
      <c r="G15" s="36" t="e">
        <f>#REF!</f>
        <v>#REF!</v>
      </c>
      <c r="H15" s="36" t="e">
        <f>#REF!</f>
        <v>#REF!</v>
      </c>
      <c r="I15" s="36" t="e">
        <f>#REF!</f>
        <v>#REF!</v>
      </c>
      <c r="J15" s="192" t="e">
        <f>#REF!</f>
        <v>#REF!</v>
      </c>
      <c r="K15" s="192" t="e">
        <f>#REF!</f>
        <v>#REF!</v>
      </c>
      <c r="L15" s="192" t="e">
        <f>#REF!</f>
        <v>#REF!</v>
      </c>
      <c r="M15" s="192" t="e">
        <f>#REF!</f>
        <v>#REF!</v>
      </c>
      <c r="N15" s="40" t="e">
        <f>Tabel6520[[#This Row],[Total Abs 2010]]/Tabel6520[[#This Row],[Pop 2010]]/Tabel6520[[#This Row],[Supply % 2010]]</f>
        <v>#REF!</v>
      </c>
      <c r="O15" s="40" t="s">
        <v>5</v>
      </c>
      <c r="P15" s="40" t="e">
        <f>Tabel6520[[#This Row],[Total Abs 2014]]/Tabel6520[[#This Row],[Pop 2014]]/Tabel6520[[#This Row],[Supply % 2014]]</f>
        <v>#REF!</v>
      </c>
      <c r="Q15" s="40" t="e">
        <f>Tabel6520[[#This Row],[Total Abs 2016]]/Tabel6520[[#This Row],[Pop 2016]]/Tabel6520[[#This Row],[Supply % 2016]]</f>
        <v>#REF!</v>
      </c>
    </row>
    <row r="16" spans="1:17" ht="15.75" hidden="1" x14ac:dyDescent="0.25">
      <c r="A16" s="611" t="s">
        <v>8</v>
      </c>
      <c r="B16" s="10" t="e">
        <f>#REF!</f>
        <v>#REF!</v>
      </c>
      <c r="C16" s="10" t="e">
        <f>#REF!</f>
        <v>#REF!</v>
      </c>
      <c r="D16" s="10" t="e">
        <f>#REF!</f>
        <v>#REF!</v>
      </c>
      <c r="E16" s="10" t="e">
        <f>#REF!</f>
        <v>#REF!</v>
      </c>
      <c r="F16" s="36" t="e">
        <f>#REF!</f>
        <v>#REF!</v>
      </c>
      <c r="G16" s="36" t="e">
        <f>#REF!</f>
        <v>#REF!</v>
      </c>
      <c r="H16" s="36" t="e">
        <f>#REF!</f>
        <v>#REF!</v>
      </c>
      <c r="I16" s="36" t="e">
        <f>#REF!</f>
        <v>#REF!</v>
      </c>
      <c r="J16" s="192" t="e">
        <f>#REF!</f>
        <v>#REF!</v>
      </c>
      <c r="K16" s="192" t="e">
        <f>#REF!</f>
        <v>#REF!</v>
      </c>
      <c r="L16" s="192" t="e">
        <f>#REF!</f>
        <v>#REF!</v>
      </c>
      <c r="M16" s="192" t="e">
        <f>#REF!</f>
        <v>#REF!</v>
      </c>
      <c r="N16" s="40" t="s">
        <v>5</v>
      </c>
      <c r="O16" s="40" t="s">
        <v>5</v>
      </c>
      <c r="P16" s="40" t="s">
        <v>5</v>
      </c>
      <c r="Q16" s="40" t="s">
        <v>5</v>
      </c>
    </row>
    <row r="17" spans="1:17" ht="15.75" hidden="1" x14ac:dyDescent="0.25">
      <c r="A17" s="688" t="s">
        <v>585</v>
      </c>
      <c r="B17" s="10" t="e">
        <f>#REF!</f>
        <v>#REF!</v>
      </c>
      <c r="C17" s="10" t="e">
        <f>#REF!</f>
        <v>#REF!</v>
      </c>
      <c r="D17" s="10" t="e">
        <f>#REF!</f>
        <v>#REF!</v>
      </c>
      <c r="E17" s="10" t="e">
        <f>#REF!</f>
        <v>#REF!</v>
      </c>
      <c r="F17" s="36" t="e">
        <f>#REF!</f>
        <v>#REF!</v>
      </c>
      <c r="G17" s="36" t="e">
        <f>#REF!</f>
        <v>#REF!</v>
      </c>
      <c r="H17" s="36" t="e">
        <f>#REF!</f>
        <v>#REF!</v>
      </c>
      <c r="I17" s="36" t="e">
        <f>#REF!</f>
        <v>#REF!</v>
      </c>
      <c r="J17" s="192" t="e">
        <f>#REF!</f>
        <v>#REF!</v>
      </c>
      <c r="K17" s="192" t="e">
        <f>#REF!</f>
        <v>#REF!</v>
      </c>
      <c r="L17" s="192" t="e">
        <f>#REF!</f>
        <v>#REF!</v>
      </c>
      <c r="M17" s="192" t="e">
        <f>#REF!</f>
        <v>#REF!</v>
      </c>
      <c r="N17" s="40" t="e">
        <f>Tabel6520[[#This Row],[Total Abs 2010]]/Tabel6520[[#This Row],[Pop 2010]]/Tabel6520[[#This Row],[Supply % 2010]]</f>
        <v>#REF!</v>
      </c>
      <c r="O17" s="40" t="e">
        <f>Tabel6520[[#This Row],[Total Abs 2012]]/Tabel6520[[#This Row],[Pop 2012]]/Tabel6520[[#This Row],[Supply % 2012]]</f>
        <v>#REF!</v>
      </c>
      <c r="P17" s="40" t="e">
        <f>Tabel6520[[#This Row],[Total Abs 2014]]/Tabel6520[[#This Row],[Pop 2014]]/Tabel6520[[#This Row],[Supply % 2014]]</f>
        <v>#REF!</v>
      </c>
      <c r="Q17" s="40" t="e">
        <f>Tabel6520[[#This Row],[Total Abs 2016]]/Tabel6520[[#This Row],[Pop 2016]]/Tabel6520[[#This Row],[Supply % 2016]]</f>
        <v>#REF!</v>
      </c>
    </row>
    <row r="18" spans="1:17" ht="15.75" hidden="1" x14ac:dyDescent="0.25">
      <c r="A18" s="540" t="s">
        <v>9</v>
      </c>
      <c r="B18" s="10" t="e">
        <f>#REF!</f>
        <v>#REF!</v>
      </c>
      <c r="C18" s="10" t="e">
        <f>#REF!</f>
        <v>#REF!</v>
      </c>
      <c r="D18" s="10" t="e">
        <f>#REF!</f>
        <v>#REF!</v>
      </c>
      <c r="E18" s="10" t="e">
        <f>#REF!</f>
        <v>#REF!</v>
      </c>
      <c r="F18" s="36" t="e">
        <f>#REF!</f>
        <v>#REF!</v>
      </c>
      <c r="G18" s="36" t="e">
        <f>#REF!</f>
        <v>#REF!</v>
      </c>
      <c r="H18" s="36" t="e">
        <f>#REF!</f>
        <v>#REF!</v>
      </c>
      <c r="I18" s="36" t="e">
        <f>#REF!</f>
        <v>#REF!</v>
      </c>
      <c r="J18" s="192" t="e">
        <f>#REF!</f>
        <v>#REF!</v>
      </c>
      <c r="K18" s="192" t="e">
        <f>#REF!</f>
        <v>#REF!</v>
      </c>
      <c r="L18" s="192" t="e">
        <f>#REF!</f>
        <v>#REF!</v>
      </c>
      <c r="M18" s="192" t="e">
        <f>#REF!</f>
        <v>#REF!</v>
      </c>
      <c r="N18" s="40" t="e">
        <f>Tabel6520[[#This Row],[Total Abs 2010]]/Tabel6520[[#This Row],[Pop 2010]]/Tabel6520[[#This Row],[Supply % 2010]]</f>
        <v>#REF!</v>
      </c>
      <c r="O18" s="40" t="e">
        <f>Tabel6520[[#This Row],[Total Abs 2012]]/Tabel6520[[#This Row],[Pop 2012]]/Tabel6520[[#This Row],[Supply % 2012]]</f>
        <v>#REF!</v>
      </c>
      <c r="P18" s="40" t="e">
        <f>Tabel6520[[#This Row],[Total Abs 2014]]/Tabel6520[[#This Row],[Pop 2014]]/Tabel6520[[#This Row],[Supply % 2014]]</f>
        <v>#REF!</v>
      </c>
      <c r="Q18" s="40" t="e">
        <f>Tabel6520[[#This Row],[Total Abs 2016]]/Tabel6520[[#This Row],[Pop 2016]]/Tabel6520[[#This Row],[Supply % 2016]]</f>
        <v>#REF!</v>
      </c>
    </row>
    <row r="19" spans="1:17" ht="15.75" hidden="1" x14ac:dyDescent="0.25">
      <c r="A19" s="540" t="s">
        <v>10</v>
      </c>
      <c r="B19" s="10" t="e">
        <f>#REF!</f>
        <v>#REF!</v>
      </c>
      <c r="C19" s="10" t="e">
        <f>#REF!</f>
        <v>#REF!</v>
      </c>
      <c r="D19" s="10" t="e">
        <f>#REF!</f>
        <v>#REF!</v>
      </c>
      <c r="E19" s="10" t="e">
        <f>#REF!</f>
        <v>#REF!</v>
      </c>
      <c r="F19" s="36" t="e">
        <f>#REF!</f>
        <v>#REF!</v>
      </c>
      <c r="G19" s="36" t="e">
        <f>#REF!</f>
        <v>#REF!</v>
      </c>
      <c r="H19" s="36" t="e">
        <f>#REF!</f>
        <v>#REF!</v>
      </c>
      <c r="I19" s="36" t="e">
        <f>#REF!</f>
        <v>#REF!</v>
      </c>
      <c r="J19" s="192" t="e">
        <f>#REF!</f>
        <v>#REF!</v>
      </c>
      <c r="K19" s="209" t="e">
        <f>#REF!</f>
        <v>#REF!</v>
      </c>
      <c r="L19" s="192" t="e">
        <f>#REF!</f>
        <v>#REF!</v>
      </c>
      <c r="M19" s="192" t="e">
        <f>#REF!</f>
        <v>#REF!</v>
      </c>
      <c r="N19" s="40" t="e">
        <f>Tabel6520[[#This Row],[Total Abs 2010]]/Tabel6520[[#This Row],[Pop 2010]]/Tabel6520[[#This Row],[Supply % 2010]]</f>
        <v>#REF!</v>
      </c>
      <c r="O19" s="40" t="e">
        <f>Tabel6520[[#This Row],[Total Abs 2012]]/Tabel6520[[#This Row],[Pop 2012]]/Tabel6520[[#This Row],[Supply % 2012]]</f>
        <v>#REF!</v>
      </c>
      <c r="P19" s="40" t="e">
        <f>Tabel6520[[#This Row],[Total Abs 2014]]/Tabel6520[[#This Row],[Pop 2014]]/Tabel6520[[#This Row],[Supply % 2014]]</f>
        <v>#REF!</v>
      </c>
      <c r="Q19" s="40" t="e">
        <f>Tabel6520[[#This Row],[Total Abs 2016]]/Tabel6520[[#This Row],[Pop 2016]]/Tabel6520[[#This Row],[Supply % 2016]]</f>
        <v>#REF!</v>
      </c>
    </row>
    <row r="20" spans="1:17" ht="15.75" hidden="1" x14ac:dyDescent="0.25">
      <c r="A20" s="540" t="s">
        <v>910</v>
      </c>
      <c r="B20" s="10" t="e">
        <f>#REF!</f>
        <v>#REF!</v>
      </c>
      <c r="C20" s="10" t="e">
        <f>#REF!</f>
        <v>#REF!</v>
      </c>
      <c r="D20" s="10" t="e">
        <f>#REF!</f>
        <v>#REF!</v>
      </c>
      <c r="E20" s="10" t="e">
        <f>#REF!</f>
        <v>#REF!</v>
      </c>
      <c r="F20" s="36" t="e">
        <f>#REF!</f>
        <v>#REF!</v>
      </c>
      <c r="G20" s="36" t="e">
        <f>#REF!</f>
        <v>#REF!</v>
      </c>
      <c r="H20" s="36" t="e">
        <f>#REF!</f>
        <v>#REF!</v>
      </c>
      <c r="I20" s="36" t="e">
        <f>#REF!</f>
        <v>#REF!</v>
      </c>
      <c r="J20" s="192" t="e">
        <f>#REF!</f>
        <v>#REF!</v>
      </c>
      <c r="K20" s="209" t="e">
        <f>#REF!</f>
        <v>#REF!</v>
      </c>
      <c r="L20" s="192" t="e">
        <f>#REF!</f>
        <v>#REF!</v>
      </c>
      <c r="M20" s="192" t="e">
        <f>#REF!</f>
        <v>#REF!</v>
      </c>
      <c r="N20" s="40" t="s">
        <v>5</v>
      </c>
      <c r="O20" s="40" t="s">
        <v>5</v>
      </c>
      <c r="P20" s="40" t="s">
        <v>5</v>
      </c>
      <c r="Q20" s="40" t="e">
        <f>Tabel6520[[#This Row],[Total Abs 2016]]/Tabel6520[[#This Row],[Pop 2016]]/Tabel6520[[#This Row],[Supply % 2016]]</f>
        <v>#REF!</v>
      </c>
    </row>
    <row r="21" spans="1:17" ht="15.75" hidden="1" x14ac:dyDescent="0.25">
      <c r="A21" s="540" t="s">
        <v>11</v>
      </c>
      <c r="B21" s="10" t="e">
        <f>#REF!</f>
        <v>#REF!</v>
      </c>
      <c r="C21" s="10" t="e">
        <f>#REF!</f>
        <v>#REF!</v>
      </c>
      <c r="D21" s="10" t="e">
        <f>#REF!</f>
        <v>#REF!</v>
      </c>
      <c r="E21" s="10" t="e">
        <f>#REF!</f>
        <v>#REF!</v>
      </c>
      <c r="F21" s="36" t="e">
        <f>#REF!</f>
        <v>#REF!</v>
      </c>
      <c r="G21" s="36" t="e">
        <f>#REF!</f>
        <v>#REF!</v>
      </c>
      <c r="H21" s="36" t="e">
        <f>#REF!</f>
        <v>#REF!</v>
      </c>
      <c r="I21" s="36" t="e">
        <f>#REF!</f>
        <v>#REF!</v>
      </c>
      <c r="J21" s="192" t="e">
        <f>#REF!</f>
        <v>#REF!</v>
      </c>
      <c r="K21" s="192" t="e">
        <f>#REF!</f>
        <v>#REF!</v>
      </c>
      <c r="L21" s="192" t="e">
        <f>#REF!</f>
        <v>#REF!</v>
      </c>
      <c r="M21" s="192" t="e">
        <f>#REF!</f>
        <v>#REF!</v>
      </c>
      <c r="N21" s="40" t="e">
        <f>Tabel6520[[#This Row],[Total Abs 2010]]/Tabel6520[[#This Row],[Pop 2010]]/Tabel6520[[#This Row],[Supply % 2010]]</f>
        <v>#REF!</v>
      </c>
      <c r="O21" s="40" t="e">
        <f>Tabel6520[[#This Row],[Total Abs 2012]]/Tabel6520[[#This Row],[Pop 2012]]/Tabel6520[[#This Row],[Supply % 2012]]</f>
        <v>#REF!</v>
      </c>
      <c r="P21" s="40" t="e">
        <f>Tabel6520[[#This Row],[Total Abs 2014]]/Tabel6520[[#This Row],[Pop 2014]]/Tabel6520[[#This Row],[Supply % 2014]]</f>
        <v>#REF!</v>
      </c>
      <c r="Q21" s="40" t="e">
        <f>Tabel6520[[#This Row],[Total Abs 2016]]/Tabel6520[[#This Row],[Pop 2016]]/Tabel6520[[#This Row],[Supply % 2016]]</f>
        <v>#REF!</v>
      </c>
    </row>
    <row r="22" spans="1:17" ht="15.75" hidden="1" x14ac:dyDescent="0.25">
      <c r="A22" s="688" t="s">
        <v>456</v>
      </c>
      <c r="B22" s="10" t="e">
        <f>#REF!</f>
        <v>#REF!</v>
      </c>
      <c r="C22" s="10" t="e">
        <f>#REF!</f>
        <v>#REF!</v>
      </c>
      <c r="D22" s="10" t="e">
        <f>#REF!</f>
        <v>#REF!</v>
      </c>
      <c r="E22" s="10" t="e">
        <f>#REF!</f>
        <v>#REF!</v>
      </c>
      <c r="F22" s="36" t="e">
        <f>#REF!</f>
        <v>#REF!</v>
      </c>
      <c r="G22" s="36" t="e">
        <f>#REF!</f>
        <v>#REF!</v>
      </c>
      <c r="H22" s="36" t="e">
        <f>#REF!</f>
        <v>#REF!</v>
      </c>
      <c r="I22" s="36" t="e">
        <f>#REF!</f>
        <v>#REF!</v>
      </c>
      <c r="J22" s="192" t="e">
        <f>#REF!</f>
        <v>#REF!</v>
      </c>
      <c r="K22" s="192" t="e">
        <f>#REF!</f>
        <v>#REF!</v>
      </c>
      <c r="L22" s="192" t="e">
        <f>#REF!</f>
        <v>#REF!</v>
      </c>
      <c r="M22" s="192" t="e">
        <f>#REF!</f>
        <v>#REF!</v>
      </c>
      <c r="N22" s="40" t="e">
        <f>Tabel6520[[#This Row],[Total Abs 2010]]/Tabel6520[[#This Row],[Pop 2010]]/Tabel6520[[#This Row],[Supply % 2010]]</f>
        <v>#REF!</v>
      </c>
      <c r="O22" s="40" t="e">
        <f>Tabel6520[[#This Row],[Total Abs 2012]]/Tabel6520[[#This Row],[Pop 2012]]/Tabel6520[[#This Row],[Supply % 2012]]</f>
        <v>#REF!</v>
      </c>
      <c r="P22" s="40" t="e">
        <f>Tabel6520[[#This Row],[Total Abs 2014]]/Tabel6520[[#This Row],[Pop 2014]]/Tabel6520[[#This Row],[Supply % 2014]]</f>
        <v>#REF!</v>
      </c>
      <c r="Q22" s="40" t="e">
        <f>Tabel6520[[#This Row],[Total Abs 2016]]/Tabel6520[[#This Row],[Pop 2016]]/Tabel6520[[#This Row],[Supply % 2016]]</f>
        <v>#REF!</v>
      </c>
    </row>
    <row r="23" spans="1:17" ht="15.75" hidden="1" x14ac:dyDescent="0.25">
      <c r="A23" s="540" t="s">
        <v>12</v>
      </c>
      <c r="B23" s="10" t="e">
        <f>#REF!</f>
        <v>#REF!</v>
      </c>
      <c r="C23" s="10" t="e">
        <f>#REF!</f>
        <v>#REF!</v>
      </c>
      <c r="D23" s="10" t="e">
        <f>#REF!</f>
        <v>#REF!</v>
      </c>
      <c r="E23" s="10" t="e">
        <f>#REF!</f>
        <v>#REF!</v>
      </c>
      <c r="F23" s="36" t="e">
        <f>#REF!</f>
        <v>#REF!</v>
      </c>
      <c r="G23" s="36" t="e">
        <f>#REF!</f>
        <v>#REF!</v>
      </c>
      <c r="H23" s="36" t="e">
        <f>#REF!</f>
        <v>#REF!</v>
      </c>
      <c r="I23" s="36" t="e">
        <f>#REF!</f>
        <v>#REF!</v>
      </c>
      <c r="J23" s="192" t="e">
        <f>#REF!</f>
        <v>#REF!</v>
      </c>
      <c r="K23" s="192" t="e">
        <f>#REF!</f>
        <v>#REF!</v>
      </c>
      <c r="L23" s="192" t="e">
        <f>#REF!</f>
        <v>#REF!</v>
      </c>
      <c r="M23" s="192" t="e">
        <f>#REF!</f>
        <v>#REF!</v>
      </c>
      <c r="N23" s="40" t="e">
        <f>Tabel6520[[#This Row],[Total Abs 2010]]/Tabel6520[[#This Row],[Pop 2010]]/Tabel6520[[#This Row],[Supply % 2010]]</f>
        <v>#REF!</v>
      </c>
      <c r="O23" s="40" t="e">
        <f>Tabel6520[[#This Row],[Total Abs 2012]]/Tabel6520[[#This Row],[Pop 2012]]/Tabel6520[[#This Row],[Supply % 2012]]</f>
        <v>#REF!</v>
      </c>
      <c r="P23" s="40" t="e">
        <f>Tabel6520[[#This Row],[Total Abs 2014]]/Tabel6520[[#This Row],[Pop 2014]]/Tabel6520[[#This Row],[Supply % 2014]]</f>
        <v>#REF!</v>
      </c>
      <c r="Q23" s="40" t="e">
        <f>Tabel6520[[#This Row],[Total Abs 2016]]/Tabel6520[[#This Row],[Pop 2016]]/Tabel6520[[#This Row],[Supply % 2016]]</f>
        <v>#REF!</v>
      </c>
    </row>
    <row r="24" spans="1:17" ht="15.75" hidden="1" x14ac:dyDescent="0.25">
      <c r="A24" s="540" t="s">
        <v>13</v>
      </c>
      <c r="B24" s="10" t="e">
        <f>#REF!</f>
        <v>#REF!</v>
      </c>
      <c r="C24" s="10" t="e">
        <f>#REF!</f>
        <v>#REF!</v>
      </c>
      <c r="D24" s="10" t="e">
        <f>#REF!</f>
        <v>#REF!</v>
      </c>
      <c r="E24" s="10" t="e">
        <f>#REF!</f>
        <v>#REF!</v>
      </c>
      <c r="F24" s="36" t="e">
        <f>#REF!</f>
        <v>#REF!</v>
      </c>
      <c r="G24" s="36" t="e">
        <f>#REF!</f>
        <v>#REF!</v>
      </c>
      <c r="H24" s="36" t="e">
        <f>#REF!</f>
        <v>#REF!</v>
      </c>
      <c r="I24" s="36" t="e">
        <f>#REF!</f>
        <v>#REF!</v>
      </c>
      <c r="J24" s="192" t="e">
        <f>#REF!</f>
        <v>#REF!</v>
      </c>
      <c r="K24" s="192" t="e">
        <f>#REF!</f>
        <v>#REF!</v>
      </c>
      <c r="L24" s="192" t="e">
        <f>#REF!</f>
        <v>#REF!</v>
      </c>
      <c r="M24" s="192" t="e">
        <f>#REF!</f>
        <v>#REF!</v>
      </c>
      <c r="N24" s="40" t="s">
        <v>5</v>
      </c>
      <c r="O24" s="40" t="e">
        <f>Tabel6520[[#This Row],[Total Abs 2012]]/Tabel6520[[#This Row],[Pop 2012]]/Tabel6520[[#This Row],[Supply % 2012]]</f>
        <v>#REF!</v>
      </c>
      <c r="P24" s="40" t="e">
        <f>Tabel6520[[#This Row],[Total Abs 2014]]/Tabel6520[[#This Row],[Pop 2014]]/Tabel6520[[#This Row],[Supply % 2014]]</f>
        <v>#REF!</v>
      </c>
      <c r="Q24" s="40" t="e">
        <f>Tabel6520[[#This Row],[Total Abs 2016]]/Tabel6520[[#This Row],[Pop 2016]]/Tabel6520[[#This Row],[Supply % 2016]]</f>
        <v>#REF!</v>
      </c>
    </row>
    <row r="25" spans="1:17" ht="15.75" hidden="1" x14ac:dyDescent="0.25">
      <c r="A25" s="255" t="s">
        <v>557</v>
      </c>
      <c r="B25" s="10" t="e">
        <f>#REF!</f>
        <v>#REF!</v>
      </c>
      <c r="C25" s="10" t="e">
        <f>#REF!</f>
        <v>#REF!</v>
      </c>
      <c r="D25" s="10" t="e">
        <f>#REF!</f>
        <v>#REF!</v>
      </c>
      <c r="E25" s="10" t="e">
        <f>#REF!</f>
        <v>#REF!</v>
      </c>
      <c r="F25" s="36" t="e">
        <f>#REF!</f>
        <v>#REF!</v>
      </c>
      <c r="G25" s="36" t="e">
        <f>#REF!</f>
        <v>#REF!</v>
      </c>
      <c r="H25" s="36" t="e">
        <f>#REF!</f>
        <v>#REF!</v>
      </c>
      <c r="I25" s="36" t="e">
        <f>#REF!</f>
        <v>#REF!</v>
      </c>
      <c r="J25" s="192" t="e">
        <f>#REF!</f>
        <v>#REF!</v>
      </c>
      <c r="K25" s="192" t="e">
        <f>#REF!</f>
        <v>#REF!</v>
      </c>
      <c r="L25" s="192" t="e">
        <f>#REF!</f>
        <v>#REF!</v>
      </c>
      <c r="M25" s="192" t="e">
        <f>#REF!</f>
        <v>#REF!</v>
      </c>
      <c r="N25" s="40" t="e">
        <f>Tabel6520[[#This Row],[Total Abs 2010]]/Tabel6520[[#This Row],[Pop 2010]]/Tabel6520[[#This Row],[Supply % 2010]]</f>
        <v>#REF!</v>
      </c>
      <c r="O25" s="40" t="s">
        <v>5</v>
      </c>
      <c r="P25" s="40" t="s">
        <v>5</v>
      </c>
      <c r="Q25" s="40" t="e">
        <f>Tabel6520[[#This Row],[Total Abs 2016]]/Tabel6520[[#This Row],[Pop 2016]]/Tabel6520[[#This Row],[Supply % 2016]]</f>
        <v>#REF!</v>
      </c>
    </row>
    <row r="26" spans="1:17" ht="15.75" hidden="1" x14ac:dyDescent="0.25">
      <c r="A26" s="540" t="s">
        <v>14</v>
      </c>
      <c r="B26" s="10" t="e">
        <f>#REF!</f>
        <v>#REF!</v>
      </c>
      <c r="C26" s="10" t="e">
        <f>#REF!</f>
        <v>#REF!</v>
      </c>
      <c r="D26" s="10" t="e">
        <f>#REF!</f>
        <v>#REF!</v>
      </c>
      <c r="E26" s="10" t="e">
        <f>#REF!</f>
        <v>#REF!</v>
      </c>
      <c r="F26" s="36" t="e">
        <f>#REF!</f>
        <v>#REF!</v>
      </c>
      <c r="G26" s="36" t="e">
        <f>#REF!</f>
        <v>#REF!</v>
      </c>
      <c r="H26" s="36" t="e">
        <f>#REF!</f>
        <v>#REF!</v>
      </c>
      <c r="I26" s="36" t="e">
        <f>#REF!</f>
        <v>#REF!</v>
      </c>
      <c r="J26" s="192" t="e">
        <f>#REF!</f>
        <v>#REF!</v>
      </c>
      <c r="K26" s="192" t="e">
        <f>#REF!</f>
        <v>#REF!</v>
      </c>
      <c r="L26" s="192" t="e">
        <f>#REF!</f>
        <v>#REF!</v>
      </c>
      <c r="M26" s="192" t="e">
        <f>#REF!</f>
        <v>#REF!</v>
      </c>
      <c r="N26" s="40" t="e">
        <f>Tabel6520[[#This Row],[Total Abs 2010]]/Tabel6520[[#This Row],[Pop 2010]]/Tabel6520[[#This Row],[Supply % 2010]]</f>
        <v>#REF!</v>
      </c>
      <c r="O26" s="40" t="e">
        <f>Tabel6520[[#This Row],[Total Abs 2012]]/Tabel6520[[#This Row],[Pop 2012]]/Tabel6520[[#This Row],[Supply % 2012]]</f>
        <v>#REF!</v>
      </c>
      <c r="P26" s="40" t="e">
        <f>Tabel6520[[#This Row],[Total Abs 2014]]/Tabel6520[[#This Row],[Pop 2014]]/Tabel6520[[#This Row],[Supply % 2014]]</f>
        <v>#REF!</v>
      </c>
      <c r="Q26" s="40" t="e">
        <f>Tabel6520[[#This Row],[Total Abs 2016]]/Tabel6520[[#This Row],[Pop 2016]]/Tabel6520[[#This Row],[Supply % 2016]]</f>
        <v>#REF!</v>
      </c>
    </row>
    <row r="27" spans="1:17" ht="15.75" hidden="1" x14ac:dyDescent="0.25">
      <c r="A27" s="257" t="s">
        <v>35</v>
      </c>
      <c r="B27" s="10" t="e">
        <f>#REF!</f>
        <v>#REF!</v>
      </c>
      <c r="C27" s="10" t="e">
        <f>#REF!</f>
        <v>#REF!</v>
      </c>
      <c r="D27" s="10" t="e">
        <f>#REF!</f>
        <v>#REF!</v>
      </c>
      <c r="E27" s="10" t="e">
        <f>#REF!</f>
        <v>#REF!</v>
      </c>
      <c r="F27" s="36" t="e">
        <f>#REF!</f>
        <v>#REF!</v>
      </c>
      <c r="G27" s="36" t="e">
        <f>#REF!</f>
        <v>#REF!</v>
      </c>
      <c r="H27" s="36" t="e">
        <f>#REF!</f>
        <v>#REF!</v>
      </c>
      <c r="I27" s="36" t="e">
        <f>#REF!</f>
        <v>#REF!</v>
      </c>
      <c r="J27" s="192" t="e">
        <f>#REF!</f>
        <v>#REF!</v>
      </c>
      <c r="K27" s="37" t="e">
        <f>#REF!</f>
        <v>#REF!</v>
      </c>
      <c r="L27" s="192" t="e">
        <f>#REF!</f>
        <v>#REF!</v>
      </c>
      <c r="M27" s="192" t="e">
        <f>#REF!</f>
        <v>#REF!</v>
      </c>
      <c r="N27" s="40" t="s">
        <v>5</v>
      </c>
      <c r="O27" s="40" t="s">
        <v>5</v>
      </c>
      <c r="P27" s="40" t="e">
        <f>Tabel6520[[#This Row],[Total Abs 2014]]/Tabel6520[[#This Row],[Pop 2014]]/Tabel6520[[#This Row],[Supply % 2014]]</f>
        <v>#REF!</v>
      </c>
      <c r="Q27" s="40" t="e">
        <f>Tabel6520[[#This Row],[Total Abs 2016]]/Tabel6520[[#This Row],[Pop 2016]]/Tabel6520[[#This Row],[Supply % 2016]]</f>
        <v>#REF!</v>
      </c>
    </row>
    <row r="28" spans="1:17" ht="15.75" hidden="1" x14ac:dyDescent="0.25">
      <c r="A28" s="540" t="s">
        <v>45</v>
      </c>
      <c r="B28" s="10" t="e">
        <f>#REF!</f>
        <v>#REF!</v>
      </c>
      <c r="C28" s="10" t="e">
        <f>#REF!</f>
        <v>#REF!</v>
      </c>
      <c r="D28" s="10" t="e">
        <f>#REF!</f>
        <v>#REF!</v>
      </c>
      <c r="E28" s="10" t="e">
        <f>#REF!</f>
        <v>#REF!</v>
      </c>
      <c r="F28" s="36" t="e">
        <f>#REF!</f>
        <v>#REF!</v>
      </c>
      <c r="G28" s="36" t="e">
        <f>#REF!</f>
        <v>#REF!</v>
      </c>
      <c r="H28" s="36" t="e">
        <f>#REF!</f>
        <v>#REF!</v>
      </c>
      <c r="I28" s="36" t="e">
        <f>#REF!</f>
        <v>#REF!</v>
      </c>
      <c r="J28" s="192" t="e">
        <f>#REF!</f>
        <v>#REF!</v>
      </c>
      <c r="K28" s="192" t="e">
        <f>#REF!</f>
        <v>#REF!</v>
      </c>
      <c r="L28" s="192" t="e">
        <f>#REF!</f>
        <v>#REF!</v>
      </c>
      <c r="M28" s="192" t="e">
        <f>#REF!</f>
        <v>#REF!</v>
      </c>
      <c r="N28" s="40" t="e">
        <f>Tabel6520[[#This Row],[Total Abs 2010]]/Tabel6520[[#This Row],[Pop 2010]]/Tabel6520[[#This Row],[Supply % 2010]]</f>
        <v>#REF!</v>
      </c>
      <c r="O28" s="40" t="e">
        <f>Tabel6520[[#This Row],[Total Abs 2012]]/Tabel6520[[#This Row],[Pop 2012]]/Tabel6520[[#This Row],[Supply % 2012]]</f>
        <v>#REF!</v>
      </c>
      <c r="P28" s="40" t="e">
        <f>Tabel6520[[#This Row],[Total Abs 2014]]/Tabel6520[[#This Row],[Pop 2014]]/Tabel6520[[#This Row],[Supply % 2014]]</f>
        <v>#REF!</v>
      </c>
      <c r="Q28" s="40" t="e">
        <f>Tabel6520[[#This Row],[Total Abs 2016]]/Tabel6520[[#This Row],[Pop 2016]]/Tabel6520[[#This Row],[Supply % 2016]]</f>
        <v>#REF!</v>
      </c>
    </row>
    <row r="29" spans="1:17" ht="15.75" hidden="1" x14ac:dyDescent="0.25">
      <c r="A29" s="257" t="s">
        <v>754</v>
      </c>
      <c r="B29" s="10" t="e">
        <f>#REF!</f>
        <v>#REF!</v>
      </c>
      <c r="C29" s="10" t="e">
        <f>#REF!</f>
        <v>#REF!</v>
      </c>
      <c r="D29" s="10" t="e">
        <f>#REF!</f>
        <v>#REF!</v>
      </c>
      <c r="E29" s="10" t="e">
        <f>#REF!</f>
        <v>#REF!</v>
      </c>
      <c r="F29" s="36" t="e">
        <f>#REF!</f>
        <v>#REF!</v>
      </c>
      <c r="G29" s="36" t="e">
        <f>#REF!</f>
        <v>#REF!</v>
      </c>
      <c r="H29" s="36" t="e">
        <f>#REF!</f>
        <v>#REF!</v>
      </c>
      <c r="I29" s="36" t="e">
        <f>#REF!</f>
        <v>#REF!</v>
      </c>
      <c r="J29" s="192" t="e">
        <f>#REF!</f>
        <v>#REF!</v>
      </c>
      <c r="K29" s="192" t="e">
        <f>#REF!</f>
        <v>#REF!</v>
      </c>
      <c r="L29" s="192" t="e">
        <f>#REF!</f>
        <v>#REF!</v>
      </c>
      <c r="M29" s="192" t="e">
        <f>#REF!</f>
        <v>#REF!</v>
      </c>
      <c r="N29" s="40" t="s">
        <v>5</v>
      </c>
      <c r="O29" s="40" t="s">
        <v>5</v>
      </c>
      <c r="P29" s="40" t="s">
        <v>5</v>
      </c>
      <c r="Q29" s="40" t="e">
        <f>Tabel6520[[#This Row],[Total Abs 2016]]/Tabel6520[[#This Row],[Pop 2016]]/Tabel6520[[#This Row],[Supply % 2016]]</f>
        <v>#REF!</v>
      </c>
    </row>
    <row r="30" spans="1:17" ht="15.75" hidden="1" x14ac:dyDescent="0.25">
      <c r="A30" s="699" t="s">
        <v>639</v>
      </c>
      <c r="B30" s="10" t="e">
        <f>#REF!</f>
        <v>#REF!</v>
      </c>
      <c r="C30" s="10" t="e">
        <f>#REF!</f>
        <v>#REF!</v>
      </c>
      <c r="D30" s="10" t="e">
        <f>#REF!</f>
        <v>#REF!</v>
      </c>
      <c r="E30" s="10" t="e">
        <f>#REF!</f>
        <v>#REF!</v>
      </c>
      <c r="F30" s="36" t="e">
        <f>#REF!</f>
        <v>#REF!</v>
      </c>
      <c r="G30" s="36" t="e">
        <f>#REF!</f>
        <v>#REF!</v>
      </c>
      <c r="H30" s="36" t="e">
        <f>#REF!</f>
        <v>#REF!</v>
      </c>
      <c r="I30" s="36" t="e">
        <f>#REF!</f>
        <v>#REF!</v>
      </c>
      <c r="J30" s="37" t="e">
        <f>#REF!</f>
        <v>#REF!</v>
      </c>
      <c r="K30" s="192" t="e">
        <f>#REF!</f>
        <v>#REF!</v>
      </c>
      <c r="L30" s="192" t="e">
        <f>#REF!</f>
        <v>#REF!</v>
      </c>
      <c r="M30" s="192" t="e">
        <f>#REF!</f>
        <v>#REF!</v>
      </c>
      <c r="N30" s="40" t="s">
        <v>5</v>
      </c>
      <c r="O30" s="40" t="e">
        <f>Tabel6520[[#This Row],[Total Abs 2012]]/Tabel6520[[#This Row],[Pop 2012]]/Tabel6520[[#This Row],[Supply % 2012]]</f>
        <v>#REF!</v>
      </c>
      <c r="P30" s="40" t="s">
        <v>5</v>
      </c>
      <c r="Q30" s="40" t="s">
        <v>5</v>
      </c>
    </row>
    <row r="31" spans="1:17" ht="15.75" hidden="1" x14ac:dyDescent="0.25">
      <c r="A31" s="257" t="s">
        <v>466</v>
      </c>
      <c r="B31" s="10" t="e">
        <f>#REF!</f>
        <v>#REF!</v>
      </c>
      <c r="C31" s="10" t="e">
        <f>#REF!</f>
        <v>#REF!</v>
      </c>
      <c r="D31" s="10" t="e">
        <f>#REF!</f>
        <v>#REF!</v>
      </c>
      <c r="E31" s="10" t="e">
        <f>#REF!</f>
        <v>#REF!</v>
      </c>
      <c r="F31" s="36" t="e">
        <f>#REF!</f>
        <v>#REF!</v>
      </c>
      <c r="G31" s="36" t="e">
        <f>#REF!</f>
        <v>#REF!</v>
      </c>
      <c r="H31" s="36" t="e">
        <f>#REF!</f>
        <v>#REF!</v>
      </c>
      <c r="I31" s="36" t="e">
        <f>#REF!</f>
        <v>#REF!</v>
      </c>
      <c r="J31" s="192" t="e">
        <f>#REF!</f>
        <v>#REF!</v>
      </c>
      <c r="K31" s="192" t="e">
        <f>#REF!</f>
        <v>#REF!</v>
      </c>
      <c r="L31" s="192" t="e">
        <f>#REF!</f>
        <v>#REF!</v>
      </c>
      <c r="M31" s="192" t="e">
        <f>#REF!</f>
        <v>#REF!</v>
      </c>
      <c r="N31" s="40" t="e">
        <f>Tabel6520[[#This Row],[Total Abs 2010]]/Tabel6520[[#This Row],[Pop 2010]]/Tabel6520[[#This Row],[Supply % 2010]]</f>
        <v>#REF!</v>
      </c>
      <c r="O31" s="40" t="e">
        <f>Tabel6520[[#This Row],[Total Abs 2012]]/Tabel6520[[#This Row],[Pop 2012]]/Tabel6520[[#This Row],[Supply % 2012]]</f>
        <v>#REF!</v>
      </c>
      <c r="P31" s="40" t="s">
        <v>5</v>
      </c>
      <c r="Q31" s="40" t="e">
        <f>Tabel6520[[#This Row],[Total Abs 2016]]/Tabel6520[[#This Row],[Pop 2016]]/Tabel6520[[#This Row],[Supply % 2016]]</f>
        <v>#REF!</v>
      </c>
    </row>
    <row r="32" spans="1:17" ht="15.75" hidden="1" x14ac:dyDescent="0.25">
      <c r="A32" s="257" t="s">
        <v>16</v>
      </c>
      <c r="B32" s="10" t="e">
        <f>#REF!</f>
        <v>#REF!</v>
      </c>
      <c r="C32" s="10" t="e">
        <f>#REF!</f>
        <v>#REF!</v>
      </c>
      <c r="D32" s="10" t="e">
        <f>#REF!</f>
        <v>#REF!</v>
      </c>
      <c r="E32" s="10" t="e">
        <f>#REF!</f>
        <v>#REF!</v>
      </c>
      <c r="F32" s="36" t="e">
        <f>#REF!</f>
        <v>#REF!</v>
      </c>
      <c r="G32" s="36" t="e">
        <f>#REF!</f>
        <v>#REF!</v>
      </c>
      <c r="H32" s="36" t="e">
        <f>#REF!</f>
        <v>#REF!</v>
      </c>
      <c r="I32" s="36" t="e">
        <f>#REF!</f>
        <v>#REF!</v>
      </c>
      <c r="J32" s="192" t="e">
        <f>#REF!</f>
        <v>#REF!</v>
      </c>
      <c r="K32" s="209" t="e">
        <f>#REF!</f>
        <v>#REF!</v>
      </c>
      <c r="L32" s="192" t="e">
        <f>#REF!</f>
        <v>#REF!</v>
      </c>
      <c r="M32" s="192" t="e">
        <f>#REF!</f>
        <v>#REF!</v>
      </c>
      <c r="N32" s="40" t="e">
        <f>Tabel6520[[#This Row],[Total Abs 2010]]/Tabel6520[[#This Row],[Pop 2010]]/Tabel6520[[#This Row],[Supply % 2010]]</f>
        <v>#REF!</v>
      </c>
      <c r="O32" s="40" t="e">
        <f>Tabel6520[[#This Row],[Total Abs 2012]]/Tabel6520[[#This Row],[Pop 2012]]/Tabel6520[[#This Row],[Supply % 2012]]</f>
        <v>#REF!</v>
      </c>
      <c r="P32" s="40" t="s">
        <v>5</v>
      </c>
      <c r="Q32" s="40" t="e">
        <f>Tabel6520[[#This Row],[Total Abs 2016]]/Tabel6520[[#This Row],[Pop 2016]]/Tabel6520[[#This Row],[Supply % 2016]]</f>
        <v>#REF!</v>
      </c>
    </row>
    <row r="33" spans="1:17" ht="15.75" hidden="1" x14ac:dyDescent="0.25">
      <c r="A33" s="540" t="s">
        <v>17</v>
      </c>
      <c r="B33" s="10" t="e">
        <f>#REF!</f>
        <v>#REF!</v>
      </c>
      <c r="C33" s="10" t="e">
        <f>#REF!</f>
        <v>#REF!</v>
      </c>
      <c r="D33" s="10" t="e">
        <f>#REF!</f>
        <v>#REF!</v>
      </c>
      <c r="E33" s="10" t="e">
        <f>#REF!</f>
        <v>#REF!</v>
      </c>
      <c r="F33" s="36" t="e">
        <f>#REF!</f>
        <v>#REF!</v>
      </c>
      <c r="G33" s="36" t="e">
        <f>#REF!</f>
        <v>#REF!</v>
      </c>
      <c r="H33" s="36" t="e">
        <f>#REF!</f>
        <v>#REF!</v>
      </c>
      <c r="I33" s="36" t="e">
        <f>#REF!</f>
        <v>#REF!</v>
      </c>
      <c r="J33" s="192" t="e">
        <f>#REF!</f>
        <v>#REF!</v>
      </c>
      <c r="K33" s="192" t="e">
        <f>#REF!</f>
        <v>#REF!</v>
      </c>
      <c r="L33" s="192" t="e">
        <f>#REF!</f>
        <v>#REF!</v>
      </c>
      <c r="M33" s="192" t="e">
        <f>#REF!</f>
        <v>#REF!</v>
      </c>
      <c r="N33" s="40" t="e">
        <f>Tabel6520[[#This Row],[Total Abs 2010]]/Tabel6520[[#This Row],[Pop 2010]]/Tabel6520[[#This Row],[Supply % 2010]]</f>
        <v>#REF!</v>
      </c>
      <c r="O33" s="40" t="e">
        <f>Tabel6520[[#This Row],[Total Abs 2012]]/Tabel6520[[#This Row],[Pop 2012]]/Tabel6520[[#This Row],[Supply % 2012]]</f>
        <v>#REF!</v>
      </c>
      <c r="P33" s="40" t="s">
        <v>5</v>
      </c>
      <c r="Q33" s="40" t="e">
        <f>Tabel6520[[#This Row],[Total Abs 2016]]/Tabel6520[[#This Row],[Pop 2016]]/Tabel6520[[#This Row],[Supply % 2016]]</f>
        <v>#REF!</v>
      </c>
    </row>
    <row r="34" spans="1:17" ht="15.75" hidden="1" x14ac:dyDescent="0.25">
      <c r="A34" s="540" t="s">
        <v>18</v>
      </c>
      <c r="B34" s="10" t="e">
        <f>#REF!</f>
        <v>#REF!</v>
      </c>
      <c r="C34" s="10" t="e">
        <f>#REF!</f>
        <v>#REF!</v>
      </c>
      <c r="D34" s="10" t="e">
        <f>#REF!</f>
        <v>#REF!</v>
      </c>
      <c r="E34" s="10" t="e">
        <f>#REF!</f>
        <v>#REF!</v>
      </c>
      <c r="F34" s="36" t="e">
        <f>#REF!</f>
        <v>#REF!</v>
      </c>
      <c r="G34" s="36" t="e">
        <f>#REF!</f>
        <v>#REF!</v>
      </c>
      <c r="H34" s="36" t="e">
        <f>#REF!</f>
        <v>#REF!</v>
      </c>
      <c r="I34" s="36" t="e">
        <f>#REF!</f>
        <v>#REF!</v>
      </c>
      <c r="J34" s="192" t="e">
        <f>#REF!</f>
        <v>#REF!</v>
      </c>
      <c r="K34" s="192" t="e">
        <f>#REF!</f>
        <v>#REF!</v>
      </c>
      <c r="L34" s="192" t="e">
        <f>#REF!</f>
        <v>#REF!</v>
      </c>
      <c r="M34" s="192" t="e">
        <f>#REF!</f>
        <v>#REF!</v>
      </c>
      <c r="N34" s="40" t="e">
        <f>Tabel6520[[#This Row],[Total Abs 2010]]/Tabel6520[[#This Row],[Pop 2010]]/Tabel6520[[#This Row],[Supply % 2010]]</f>
        <v>#REF!</v>
      </c>
      <c r="O34" s="40" t="e">
        <f>Tabel6520[[#This Row],[Total Abs 2012]]/Tabel6520[[#This Row],[Pop 2012]]/Tabel6520[[#This Row],[Supply % 2012]]</f>
        <v>#REF!</v>
      </c>
      <c r="P34" s="40" t="e">
        <f>Tabel6520[[#This Row],[Total Abs 2014]]/Tabel6520[[#This Row],[Pop 2014]]/Tabel6520[[#This Row],[Supply % 2014]]</f>
        <v>#REF!</v>
      </c>
      <c r="Q34" s="40" t="e">
        <f>Tabel6520[[#This Row],[Total Abs 2016]]/Tabel6520[[#This Row],[Pop 2016]]/Tabel6520[[#This Row],[Supply % 2016]]</f>
        <v>#REF!</v>
      </c>
    </row>
    <row r="35" spans="1:17" ht="15.75" hidden="1" x14ac:dyDescent="0.25">
      <c r="A35" s="257" t="s">
        <v>742</v>
      </c>
      <c r="B35" s="10" t="e">
        <f>#REF!</f>
        <v>#REF!</v>
      </c>
      <c r="C35" s="10" t="e">
        <f>#REF!</f>
        <v>#REF!</v>
      </c>
      <c r="D35" s="10" t="e">
        <f>#REF!</f>
        <v>#REF!</v>
      </c>
      <c r="E35" s="10" t="e">
        <f>#REF!</f>
        <v>#REF!</v>
      </c>
      <c r="F35" s="36" t="e">
        <f>#REF!</f>
        <v>#REF!</v>
      </c>
      <c r="G35" s="36" t="e">
        <f>#REF!</f>
        <v>#REF!</v>
      </c>
      <c r="H35" s="36" t="e">
        <f>#REF!</f>
        <v>#REF!</v>
      </c>
      <c r="I35" s="36" t="e">
        <f>#REF!</f>
        <v>#REF!</v>
      </c>
      <c r="J35" s="192" t="e">
        <f>#REF!</f>
        <v>#REF!</v>
      </c>
      <c r="K35" s="192" t="e">
        <f>#REF!</f>
        <v>#REF!</v>
      </c>
      <c r="L35" s="192" t="e">
        <f>#REF!</f>
        <v>#REF!</v>
      </c>
      <c r="M35" s="192" t="e">
        <f>#REF!</f>
        <v>#REF!</v>
      </c>
      <c r="N35" s="40" t="s">
        <v>5</v>
      </c>
      <c r="O35" s="40" t="s">
        <v>5</v>
      </c>
      <c r="P35" s="40" t="e">
        <f>Tabel6520[[#This Row],[Total Abs 2014]]/Tabel6520[[#This Row],[Pop 2014]]/Tabel6520[[#This Row],[Supply % 2014]]</f>
        <v>#REF!</v>
      </c>
      <c r="Q35" s="40" t="e">
        <f>Tabel6520[[#This Row],[Total Abs 2016]]/Tabel6520[[#This Row],[Pop 2016]]/Tabel6520[[#This Row],[Supply % 2016]]</f>
        <v>#REF!</v>
      </c>
    </row>
    <row r="36" spans="1:17" ht="15.75" hidden="1" x14ac:dyDescent="0.25">
      <c r="A36" s="257" t="s">
        <v>616</v>
      </c>
      <c r="B36" s="10" t="e">
        <f>#REF!</f>
        <v>#REF!</v>
      </c>
      <c r="C36" s="10" t="e">
        <f>#REF!</f>
        <v>#REF!</v>
      </c>
      <c r="D36" s="10" t="e">
        <f>#REF!</f>
        <v>#REF!</v>
      </c>
      <c r="E36" s="10" t="e">
        <f>#REF!</f>
        <v>#REF!</v>
      </c>
      <c r="F36" s="36" t="e">
        <f>#REF!</f>
        <v>#REF!</v>
      </c>
      <c r="G36" s="36" t="e">
        <f>#REF!</f>
        <v>#REF!</v>
      </c>
      <c r="H36" s="36" t="e">
        <f>#REF!</f>
        <v>#REF!</v>
      </c>
      <c r="I36" s="36" t="e">
        <f>#REF!</f>
        <v>#REF!</v>
      </c>
      <c r="J36" s="37" t="e">
        <f>#REF!</f>
        <v>#REF!</v>
      </c>
      <c r="K36" s="192" t="e">
        <f>#REF!</f>
        <v>#REF!</v>
      </c>
      <c r="L36" s="192" t="e">
        <f>#REF!</f>
        <v>#REF!</v>
      </c>
      <c r="M36" s="192" t="e">
        <f>#REF!</f>
        <v>#REF!</v>
      </c>
      <c r="N36" s="40" t="s">
        <v>5</v>
      </c>
      <c r="O36" s="40" t="e">
        <f>Tabel6520[[#This Row],[Total Abs 2012]]/Tabel6520[[#This Row],[Pop 2012]]/Tabel6520[[#This Row],[Supply % 2012]]</f>
        <v>#REF!</v>
      </c>
      <c r="P36" s="40" t="s">
        <v>5</v>
      </c>
      <c r="Q36" s="40" t="e">
        <f>Tabel6520[[#This Row],[Total Abs 2016]]/Tabel6520[[#This Row],[Pop 2016]]/Tabel6520[[#This Row],[Supply % 2016]]</f>
        <v>#REF!</v>
      </c>
    </row>
    <row r="37" spans="1:17" ht="15.75" hidden="1" x14ac:dyDescent="0.25">
      <c r="A37" s="257" t="s">
        <v>19</v>
      </c>
      <c r="B37" s="10" t="e">
        <f>#REF!</f>
        <v>#REF!</v>
      </c>
      <c r="C37" s="10" t="e">
        <f>#REF!</f>
        <v>#REF!</v>
      </c>
      <c r="D37" s="10" t="e">
        <f>#REF!</f>
        <v>#REF!</v>
      </c>
      <c r="E37" s="10" t="e">
        <f>#REF!</f>
        <v>#REF!</v>
      </c>
      <c r="F37" s="36" t="e">
        <f>#REF!</f>
        <v>#REF!</v>
      </c>
      <c r="G37" s="36" t="e">
        <f>#REF!</f>
        <v>#REF!</v>
      </c>
      <c r="H37" s="36" t="e">
        <f>#REF!</f>
        <v>#REF!</v>
      </c>
      <c r="I37" s="36" t="e">
        <f>#REF!</f>
        <v>#REF!</v>
      </c>
      <c r="J37" s="192" t="e">
        <f>#REF!</f>
        <v>#REF!</v>
      </c>
      <c r="K37" s="192" t="e">
        <f>#REF!</f>
        <v>#REF!</v>
      </c>
      <c r="L37" s="192" t="e">
        <f>#REF!</f>
        <v>#REF!</v>
      </c>
      <c r="M37" s="192" t="e">
        <f>#REF!</f>
        <v>#REF!</v>
      </c>
      <c r="N37" s="40" t="e">
        <f>Tabel6520[[#This Row],[Total Abs 2010]]/Tabel6520[[#This Row],[Pop 2010]]/Tabel6520[[#This Row],[Supply % 2010]]</f>
        <v>#REF!</v>
      </c>
      <c r="O37" s="40" t="s">
        <v>5</v>
      </c>
      <c r="P37" s="40" t="s">
        <v>5</v>
      </c>
      <c r="Q37" s="40" t="e">
        <f>Tabel6520[[#This Row],[Total Abs 2016]]/Tabel6520[[#This Row],[Pop 2016]]/Tabel6520[[#This Row],[Supply % 2016]]</f>
        <v>#REF!</v>
      </c>
    </row>
    <row r="38" spans="1:17" ht="15.75" hidden="1" x14ac:dyDescent="0.25">
      <c r="A38" s="257" t="s">
        <v>50</v>
      </c>
      <c r="B38" s="10" t="e">
        <f>#REF!</f>
        <v>#REF!</v>
      </c>
      <c r="C38" s="10" t="e">
        <f>#REF!</f>
        <v>#REF!</v>
      </c>
      <c r="D38" s="10" t="e">
        <f>#REF!</f>
        <v>#REF!</v>
      </c>
      <c r="E38" s="10" t="e">
        <f>#REF!</f>
        <v>#REF!</v>
      </c>
      <c r="F38" s="36" t="e">
        <f>#REF!</f>
        <v>#REF!</v>
      </c>
      <c r="G38" s="36" t="e">
        <f>#REF!</f>
        <v>#REF!</v>
      </c>
      <c r="H38" s="36" t="e">
        <f>#REF!</f>
        <v>#REF!</v>
      </c>
      <c r="I38" s="36" t="e">
        <f>#REF!</f>
        <v>#REF!</v>
      </c>
      <c r="J38" s="192" t="e">
        <f>#REF!</f>
        <v>#REF!</v>
      </c>
      <c r="K38" s="37" t="e">
        <f>#REF!</f>
        <v>#REF!</v>
      </c>
      <c r="L38" s="192" t="e">
        <f>#REF!</f>
        <v>#REF!</v>
      </c>
      <c r="M38" s="192" t="e">
        <f>#REF!</f>
        <v>#REF!</v>
      </c>
      <c r="N38" s="40" t="s">
        <v>5</v>
      </c>
      <c r="O38" s="40" t="s">
        <v>5</v>
      </c>
      <c r="P38" s="40" t="s">
        <v>5</v>
      </c>
      <c r="Q38" s="40" t="e">
        <f>Tabel6520[[#This Row],[Total Abs 2016]]/Tabel6520[[#This Row],[Pop 2016]]/Tabel6520[[#This Row],[Supply % 2016]]</f>
        <v>#REF!</v>
      </c>
    </row>
    <row r="39" spans="1:17" ht="15.75" hidden="1" x14ac:dyDescent="0.25">
      <c r="A39" s="688" t="s">
        <v>586</v>
      </c>
      <c r="B39" s="10" t="e">
        <f>#REF!</f>
        <v>#REF!</v>
      </c>
      <c r="C39" s="10" t="e">
        <f>#REF!</f>
        <v>#REF!</v>
      </c>
      <c r="D39" s="10" t="e">
        <f>#REF!</f>
        <v>#REF!</v>
      </c>
      <c r="E39" s="10" t="e">
        <f>#REF!</f>
        <v>#REF!</v>
      </c>
      <c r="F39" s="36" t="e">
        <f>#REF!</f>
        <v>#REF!</v>
      </c>
      <c r="G39" s="36" t="e">
        <f>#REF!</f>
        <v>#REF!</v>
      </c>
      <c r="H39" s="36" t="e">
        <f>#REF!</f>
        <v>#REF!</v>
      </c>
      <c r="I39" s="36" t="e">
        <f>#REF!</f>
        <v>#REF!</v>
      </c>
      <c r="J39" s="192" t="e">
        <f>#REF!</f>
        <v>#REF!</v>
      </c>
      <c r="K39" s="209" t="e">
        <f>#REF!</f>
        <v>#REF!</v>
      </c>
      <c r="L39" s="192" t="e">
        <f>#REF!</f>
        <v>#REF!</v>
      </c>
      <c r="M39" s="192" t="e">
        <f>#REF!</f>
        <v>#REF!</v>
      </c>
      <c r="N39" s="40" t="e">
        <f>Tabel6520[[#This Row],[Total Abs 2010]]/Tabel6520[[#This Row],[Pop 2010]]/Tabel6520[[#This Row],[Supply % 2010]]</f>
        <v>#REF!</v>
      </c>
      <c r="O39" s="40" t="e">
        <f>Tabel6520[[#This Row],[Total Abs 2012]]/Tabel6520[[#This Row],[Pop 2012]]/Tabel6520[[#This Row],[Supply % 2012]]</f>
        <v>#REF!</v>
      </c>
      <c r="P39" s="40" t="e">
        <f>Tabel6520[[#This Row],[Total Abs 2014]]/Tabel6520[[#This Row],[Pop 2014]]/Tabel6520[[#This Row],[Supply % 2014]]</f>
        <v>#REF!</v>
      </c>
      <c r="Q39" s="40" t="e">
        <f>Tabel6520[[#This Row],[Total Abs 2016]]/Tabel6520[[#This Row],[Pop 2016]]/Tabel6520[[#This Row],[Supply % 2016]]</f>
        <v>#REF!</v>
      </c>
    </row>
    <row r="40" spans="1:17" ht="15.75" hidden="1" x14ac:dyDescent="0.25">
      <c r="A40" s="258" t="s">
        <v>36</v>
      </c>
      <c r="B40" s="10" t="e">
        <f>#REF!</f>
        <v>#REF!</v>
      </c>
      <c r="C40" s="10" t="e">
        <f>#REF!</f>
        <v>#REF!</v>
      </c>
      <c r="D40" s="10" t="e">
        <f>#REF!</f>
        <v>#REF!</v>
      </c>
      <c r="E40" s="10" t="e">
        <f>#REF!</f>
        <v>#REF!</v>
      </c>
      <c r="F40" s="36" t="e">
        <f>#REF!</f>
        <v>#REF!</v>
      </c>
      <c r="G40" s="36" t="e">
        <f>#REF!</f>
        <v>#REF!</v>
      </c>
      <c r="H40" s="36" t="e">
        <f>#REF!</f>
        <v>#REF!</v>
      </c>
      <c r="I40" s="36" t="e">
        <f>#REF!</f>
        <v>#REF!</v>
      </c>
      <c r="J40" s="192" t="e">
        <f>#REF!</f>
        <v>#REF!</v>
      </c>
      <c r="K40" s="192" t="e">
        <f>#REF!</f>
        <v>#REF!</v>
      </c>
      <c r="L40" s="192" t="e">
        <f>#REF!</f>
        <v>#REF!</v>
      </c>
      <c r="M40" s="192" t="e">
        <f>#REF!</f>
        <v>#REF!</v>
      </c>
      <c r="N40" s="40" t="e">
        <f>Tabel6520[[#This Row],[Total Abs 2010]]/Tabel6520[[#This Row],[Pop 2010]]/Tabel6520[[#This Row],[Supply % 2010]]</f>
        <v>#REF!</v>
      </c>
      <c r="O40" s="40" t="s">
        <v>5</v>
      </c>
      <c r="P40" s="40" t="s">
        <v>5</v>
      </c>
      <c r="Q40" s="40" t="e">
        <f>Tabel6520[[#This Row],[Total Abs 2016]]/Tabel6520[[#This Row],[Pop 2016]]/Tabel6520[[#This Row],[Supply % 2016]]</f>
        <v>#REF!</v>
      </c>
    </row>
    <row r="41" spans="1:17" ht="15.75" hidden="1" x14ac:dyDescent="0.25">
      <c r="A41" s="611" t="s">
        <v>774</v>
      </c>
      <c r="B41" s="10" t="e">
        <f>#REF!</f>
        <v>#REF!</v>
      </c>
      <c r="C41" s="10" t="e">
        <f>#REF!</f>
        <v>#REF!</v>
      </c>
      <c r="D41" s="10" t="e">
        <f>#REF!</f>
        <v>#REF!</v>
      </c>
      <c r="E41" s="10" t="e">
        <f>#REF!</f>
        <v>#REF!</v>
      </c>
      <c r="F41" s="36" t="e">
        <f>#REF!</f>
        <v>#REF!</v>
      </c>
      <c r="G41" s="36" t="e">
        <f>#REF!</f>
        <v>#REF!</v>
      </c>
      <c r="H41" s="36" t="e">
        <f>#REF!</f>
        <v>#REF!</v>
      </c>
      <c r="I41" s="36" t="e">
        <f>#REF!</f>
        <v>#REF!</v>
      </c>
      <c r="J41" s="192" t="e">
        <f>#REF!</f>
        <v>#REF!</v>
      </c>
      <c r="K41" s="192" t="e">
        <f>#REF!</f>
        <v>#REF!</v>
      </c>
      <c r="L41" s="192" t="e">
        <f>#REF!</f>
        <v>#REF!</v>
      </c>
      <c r="M41" s="192" t="e">
        <f>#REF!</f>
        <v>#REF!</v>
      </c>
      <c r="N41" s="40" t="s">
        <v>5</v>
      </c>
      <c r="O41" s="40" t="s">
        <v>5</v>
      </c>
      <c r="P41" s="40" t="e">
        <f>Tabel6520[[#This Row],[Total Abs 2014]]/Tabel6520[[#This Row],[Pop 2014]]/Tabel6520[[#This Row],[Supply % 2014]]</f>
        <v>#REF!</v>
      </c>
      <c r="Q41" s="40" t="e">
        <f>Tabel6520[[#This Row],[Total Abs 2016]]/Tabel6520[[#This Row],[Pop 2016]]/Tabel6520[[#This Row],[Supply % 2016]]</f>
        <v>#REF!</v>
      </c>
    </row>
    <row r="42" spans="1:17" ht="15.75" hidden="1" x14ac:dyDescent="0.25">
      <c r="A42" s="258" t="s">
        <v>37</v>
      </c>
      <c r="B42" s="10" t="e">
        <f>#REF!</f>
        <v>#REF!</v>
      </c>
      <c r="C42" s="10" t="e">
        <f>#REF!</f>
        <v>#REF!</v>
      </c>
      <c r="D42" s="10" t="e">
        <f>#REF!</f>
        <v>#REF!</v>
      </c>
      <c r="E42" s="10" t="e">
        <f>#REF!</f>
        <v>#REF!</v>
      </c>
      <c r="F42" s="36" t="e">
        <f>#REF!</f>
        <v>#REF!</v>
      </c>
      <c r="G42" s="36" t="e">
        <f>#REF!</f>
        <v>#REF!</v>
      </c>
      <c r="H42" s="36" t="e">
        <f>#REF!</f>
        <v>#REF!</v>
      </c>
      <c r="I42" s="36" t="e">
        <f>#REF!</f>
        <v>#REF!</v>
      </c>
      <c r="J42" s="192" t="e">
        <f>#REF!</f>
        <v>#REF!</v>
      </c>
      <c r="K42" s="209" t="e">
        <f>#REF!</f>
        <v>#REF!</v>
      </c>
      <c r="L42" s="192" t="e">
        <f>#REF!</f>
        <v>#REF!</v>
      </c>
      <c r="M42" s="192" t="e">
        <f>#REF!</f>
        <v>#REF!</v>
      </c>
      <c r="N42" s="40" t="e">
        <f>Tabel6520[[#This Row],[Total Abs 2010]]/Tabel6520[[#This Row],[Pop 2010]]/Tabel6520[[#This Row],[Supply % 2010]]</f>
        <v>#REF!</v>
      </c>
      <c r="O42" s="40" t="e">
        <f>Tabel6520[[#This Row],[Total Abs 2012]]/Tabel6520[[#This Row],[Pop 2012]]/Tabel6520[[#This Row],[Supply % 2012]]</f>
        <v>#REF!</v>
      </c>
      <c r="P42" s="40" t="e">
        <f>Tabel6520[[#This Row],[Total Abs 2014]]/Tabel6520[[#This Row],[Pop 2014]]/Tabel6520[[#This Row],[Supply % 2014]]</f>
        <v>#REF!</v>
      </c>
      <c r="Q42" s="40" t="e">
        <f>Tabel6520[[#This Row],[Total Abs 2016]]/Tabel6520[[#This Row],[Pop 2016]]/Tabel6520[[#This Row],[Supply % 2016]]</f>
        <v>#REF!</v>
      </c>
    </row>
    <row r="43" spans="1:17" ht="15.75" hidden="1" x14ac:dyDescent="0.25">
      <c r="A43" s="611" t="s">
        <v>38</v>
      </c>
      <c r="B43" s="10" t="e">
        <f>#REF!</f>
        <v>#REF!</v>
      </c>
      <c r="C43" s="10" t="e">
        <f>#REF!</f>
        <v>#REF!</v>
      </c>
      <c r="D43" s="10" t="e">
        <f>#REF!</f>
        <v>#REF!</v>
      </c>
      <c r="E43" s="10" t="e">
        <f>#REF!</f>
        <v>#REF!</v>
      </c>
      <c r="F43" s="36" t="e">
        <f>#REF!</f>
        <v>#REF!</v>
      </c>
      <c r="G43" s="36" t="e">
        <f>#REF!</f>
        <v>#REF!</v>
      </c>
      <c r="H43" s="36" t="e">
        <f>#REF!</f>
        <v>#REF!</v>
      </c>
      <c r="I43" s="36" t="e">
        <f>#REF!</f>
        <v>#REF!</v>
      </c>
      <c r="J43" s="37" t="e">
        <f>#REF!</f>
        <v>#REF!</v>
      </c>
      <c r="K43" s="192" t="e">
        <f>#REF!</f>
        <v>#REF!</v>
      </c>
      <c r="L43" s="192" t="e">
        <f>#REF!</f>
        <v>#REF!</v>
      </c>
      <c r="M43" s="192" t="e">
        <f>#REF!</f>
        <v>#REF!</v>
      </c>
      <c r="N43" s="40" t="s">
        <v>5</v>
      </c>
      <c r="O43" s="40" t="e">
        <f>Tabel6520[[#This Row],[Total Abs 2012]]/Tabel6520[[#This Row],[Pop 2012]]/Tabel6520[[#This Row],[Supply % 2012]]</f>
        <v>#REF!</v>
      </c>
      <c r="P43" s="40" t="e">
        <f>Tabel6520[[#This Row],[Total Abs 2014]]/Tabel6520[[#This Row],[Pop 2014]]/Tabel6520[[#This Row],[Supply % 2014]]</f>
        <v>#REF!</v>
      </c>
      <c r="Q43" s="40" t="e">
        <f>Tabel6520[[#This Row],[Total Abs 2016]]/Tabel6520[[#This Row],[Pop 2016]]/Tabel6520[[#This Row],[Supply % 2016]]</f>
        <v>#REF!</v>
      </c>
    </row>
    <row r="44" spans="1:17" ht="15.75" hidden="1" x14ac:dyDescent="0.25">
      <c r="A44" s="258" t="s">
        <v>39</v>
      </c>
      <c r="B44" s="10" t="e">
        <f>#REF!</f>
        <v>#REF!</v>
      </c>
      <c r="C44" s="10" t="e">
        <f>#REF!</f>
        <v>#REF!</v>
      </c>
      <c r="D44" s="10" t="e">
        <f>#REF!</f>
        <v>#REF!</v>
      </c>
      <c r="E44" s="10" t="e">
        <f>#REF!</f>
        <v>#REF!</v>
      </c>
      <c r="F44" s="36" t="e">
        <f>#REF!</f>
        <v>#REF!</v>
      </c>
      <c r="G44" s="36" t="e">
        <f>#REF!</f>
        <v>#REF!</v>
      </c>
      <c r="H44" s="36" t="e">
        <f>#REF!</f>
        <v>#REF!</v>
      </c>
      <c r="I44" s="36" t="e">
        <f>#REF!</f>
        <v>#REF!</v>
      </c>
      <c r="J44" s="192" t="e">
        <f>#REF!</f>
        <v>#REF!</v>
      </c>
      <c r="K44" s="192" t="e">
        <f>#REF!</f>
        <v>#REF!</v>
      </c>
      <c r="L44" s="192" t="e">
        <f>#REF!</f>
        <v>#REF!</v>
      </c>
      <c r="M44" s="192" t="e">
        <f>#REF!</f>
        <v>#REF!</v>
      </c>
      <c r="N44" s="40" t="s">
        <v>5</v>
      </c>
      <c r="O44" s="40" t="s">
        <v>5</v>
      </c>
      <c r="P44" s="40" t="s">
        <v>5</v>
      </c>
      <c r="Q44" s="40" t="e">
        <f>Tabel6520[[#This Row],[Total Abs 2016]]/Tabel6520[[#This Row],[Pop 2016]]/Tabel6520[[#This Row],[Supply % 2016]]</f>
        <v>#REF!</v>
      </c>
    </row>
    <row r="45" spans="1:17" ht="15.75" hidden="1" x14ac:dyDescent="0.25">
      <c r="A45" s="258" t="s">
        <v>734</v>
      </c>
      <c r="B45" s="10" t="e">
        <f>#REF!</f>
        <v>#REF!</v>
      </c>
      <c r="C45" s="10" t="e">
        <f>#REF!</f>
        <v>#REF!</v>
      </c>
      <c r="D45" s="10" t="e">
        <f>#REF!</f>
        <v>#REF!</v>
      </c>
      <c r="E45" s="10" t="e">
        <f>#REF!</f>
        <v>#REF!</v>
      </c>
      <c r="F45" s="36" t="e">
        <f>#REF!</f>
        <v>#REF!</v>
      </c>
      <c r="G45" s="36" t="e">
        <f>#REF!</f>
        <v>#REF!</v>
      </c>
      <c r="H45" s="36" t="e">
        <f>#REF!</f>
        <v>#REF!</v>
      </c>
      <c r="I45" s="36" t="e">
        <f>#REF!</f>
        <v>#REF!</v>
      </c>
      <c r="J45" s="192" t="e">
        <f>#REF!</f>
        <v>#REF!</v>
      </c>
      <c r="K45" s="192" t="e">
        <f>#REF!</f>
        <v>#REF!</v>
      </c>
      <c r="L45" s="192" t="e">
        <f>#REF!</f>
        <v>#REF!</v>
      </c>
      <c r="M45" s="192" t="e">
        <f>#REF!</f>
        <v>#REF!</v>
      </c>
      <c r="N45" s="40" t="s">
        <v>5</v>
      </c>
      <c r="O45" s="40" t="s">
        <v>5</v>
      </c>
      <c r="P45" s="40" t="s">
        <v>5</v>
      </c>
      <c r="Q45" s="40" t="e">
        <f>Tabel6520[[#This Row],[Total Abs 2016]]/Tabel6520[[#This Row],[Pop 2016]]/Tabel6520[[#This Row],[Supply % 2016]]</f>
        <v>#REF!</v>
      </c>
    </row>
    <row r="46" spans="1:17" ht="15.75" hidden="1" x14ac:dyDescent="0.25">
      <c r="A46" s="611" t="s">
        <v>20</v>
      </c>
      <c r="B46" s="10" t="e">
        <f>#REF!</f>
        <v>#REF!</v>
      </c>
      <c r="C46" s="10" t="e">
        <f>#REF!</f>
        <v>#REF!</v>
      </c>
      <c r="D46" s="10" t="e">
        <f>#REF!</f>
        <v>#REF!</v>
      </c>
      <c r="E46" s="10" t="e">
        <f>#REF!</f>
        <v>#REF!</v>
      </c>
      <c r="F46" s="36" t="e">
        <f>#REF!</f>
        <v>#REF!</v>
      </c>
      <c r="G46" s="36" t="e">
        <f>#REF!</f>
        <v>#REF!</v>
      </c>
      <c r="H46" s="36" t="e">
        <f>#REF!</f>
        <v>#REF!</v>
      </c>
      <c r="I46" s="36" t="e">
        <f>#REF!</f>
        <v>#REF!</v>
      </c>
      <c r="J46" s="192" t="e">
        <f>#REF!</f>
        <v>#REF!</v>
      </c>
      <c r="K46" s="209" t="e">
        <f>#REF!</f>
        <v>#REF!</v>
      </c>
      <c r="L46" s="192" t="e">
        <f>#REF!</f>
        <v>#REF!</v>
      </c>
      <c r="M46" s="192" t="e">
        <f>#REF!</f>
        <v>#REF!</v>
      </c>
      <c r="N46" s="40" t="e">
        <f>Tabel6520[[#This Row],[Total Abs 2010]]/Tabel6520[[#This Row],[Pop 2010]]/Tabel6520[[#This Row],[Supply % 2010]]</f>
        <v>#REF!</v>
      </c>
      <c r="O46" s="40" t="e">
        <f>Tabel6520[[#This Row],[Total Abs 2012]]/Tabel6520[[#This Row],[Pop 2012]]/Tabel6520[[#This Row],[Supply % 2012]]</f>
        <v>#REF!</v>
      </c>
      <c r="P46" s="40" t="e">
        <f>Tabel6520[[#This Row],[Total Abs 2014]]/Tabel6520[[#This Row],[Pop 2014]]/Tabel6520[[#This Row],[Supply % 2014]]</f>
        <v>#REF!</v>
      </c>
      <c r="Q46" s="40" t="e">
        <f>Tabel6520[[#This Row],[Total Abs 2016]]/Tabel6520[[#This Row],[Pop 2016]]/Tabel6520[[#This Row],[Supply % 2016]]</f>
        <v>#REF!</v>
      </c>
    </row>
    <row r="47" spans="1:17" ht="15.75" hidden="1" x14ac:dyDescent="0.25">
      <c r="A47" s="258" t="s">
        <v>46</v>
      </c>
      <c r="B47" s="10" t="e">
        <f>#REF!</f>
        <v>#REF!</v>
      </c>
      <c r="C47" s="10" t="e">
        <f>#REF!</f>
        <v>#REF!</v>
      </c>
      <c r="D47" s="10" t="e">
        <f>#REF!</f>
        <v>#REF!</v>
      </c>
      <c r="E47" s="10" t="e">
        <f>#REF!</f>
        <v>#REF!</v>
      </c>
      <c r="F47" s="36" t="e">
        <f>#REF!</f>
        <v>#REF!</v>
      </c>
      <c r="G47" s="36" t="e">
        <f>#REF!</f>
        <v>#REF!</v>
      </c>
      <c r="H47" s="36" t="e">
        <f>#REF!</f>
        <v>#REF!</v>
      </c>
      <c r="I47" s="36" t="e">
        <f>#REF!</f>
        <v>#REF!</v>
      </c>
      <c r="J47" s="192" t="e">
        <f>#REF!</f>
        <v>#REF!</v>
      </c>
      <c r="K47" s="192" t="e">
        <f>#REF!</f>
        <v>#REF!</v>
      </c>
      <c r="L47" s="192" t="e">
        <f>#REF!</f>
        <v>#REF!</v>
      </c>
      <c r="M47" s="192" t="e">
        <f>#REF!</f>
        <v>#REF!</v>
      </c>
      <c r="N47" s="40" t="e">
        <f>Tabel6520[[#This Row],[Total Abs 2010]]/Tabel6520[[#This Row],[Pop 2010]]/Tabel6520[[#This Row],[Supply % 2010]]</f>
        <v>#REF!</v>
      </c>
      <c r="O47" s="40" t="s">
        <v>5</v>
      </c>
      <c r="P47" s="40" t="s">
        <v>5</v>
      </c>
      <c r="Q47" s="40" t="e">
        <f>Tabel6520[[#This Row],[Total Abs 2016]]/Tabel6520[[#This Row],[Pop 2016]]/Tabel6520[[#This Row],[Supply % 2016]]</f>
        <v>#REF!</v>
      </c>
    </row>
    <row r="48" spans="1:17" ht="15.75" hidden="1" x14ac:dyDescent="0.25">
      <c r="A48" s="611" t="s">
        <v>21</v>
      </c>
      <c r="B48" s="10" t="e">
        <f>#REF!</f>
        <v>#REF!</v>
      </c>
      <c r="C48" s="10" t="e">
        <f>#REF!</f>
        <v>#REF!</v>
      </c>
      <c r="D48" s="10" t="e">
        <f>#REF!</f>
        <v>#REF!</v>
      </c>
      <c r="E48" s="10" t="e">
        <f>#REF!</f>
        <v>#REF!</v>
      </c>
      <c r="F48" s="36" t="e">
        <f>#REF!</f>
        <v>#REF!</v>
      </c>
      <c r="G48" s="36" t="e">
        <f>#REF!</f>
        <v>#REF!</v>
      </c>
      <c r="H48" s="36" t="e">
        <f>#REF!</f>
        <v>#REF!</v>
      </c>
      <c r="I48" s="36" t="e">
        <f>#REF!</f>
        <v>#REF!</v>
      </c>
      <c r="J48" s="192" t="e">
        <f>#REF!</f>
        <v>#REF!</v>
      </c>
      <c r="K48" s="192" t="e">
        <f>#REF!</f>
        <v>#REF!</v>
      </c>
      <c r="L48" s="192" t="e">
        <f>#REF!</f>
        <v>#REF!</v>
      </c>
      <c r="M48" s="192" t="e">
        <f>#REF!</f>
        <v>#REF!</v>
      </c>
      <c r="N48" s="40" t="e">
        <f>Tabel6520[[#This Row],[Total Abs 2010]]/Tabel6520[[#This Row],[Pop 2010]]/Tabel6520[[#This Row],[Supply % 2010]]</f>
        <v>#REF!</v>
      </c>
      <c r="O48" s="40" t="e">
        <f>Tabel6520[[#This Row],[Total Abs 2012]]/Tabel6520[[#This Row],[Pop 2012]]/Tabel6520[[#This Row],[Supply % 2012]]</f>
        <v>#REF!</v>
      </c>
      <c r="P48" s="40" t="e">
        <f>Tabel6520[[#This Row],[Total Abs 2014]]/Tabel6520[[#This Row],[Pop 2014]]/Tabel6520[[#This Row],[Supply % 2014]]</f>
        <v>#REF!</v>
      </c>
      <c r="Q48" s="40" t="s">
        <v>5</v>
      </c>
    </row>
    <row r="49" spans="1:17" ht="15.75" hidden="1" x14ac:dyDescent="0.25">
      <c r="A49" s="611" t="s">
        <v>22</v>
      </c>
      <c r="B49" s="10" t="e">
        <f>#REF!</f>
        <v>#REF!</v>
      </c>
      <c r="C49" s="10" t="e">
        <f>#REF!</f>
        <v>#REF!</v>
      </c>
      <c r="D49" s="10" t="e">
        <f>#REF!</f>
        <v>#REF!</v>
      </c>
      <c r="E49" s="10" t="e">
        <f>#REF!</f>
        <v>#REF!</v>
      </c>
      <c r="F49" s="36" t="e">
        <f>#REF!</f>
        <v>#REF!</v>
      </c>
      <c r="G49" s="36" t="e">
        <f>#REF!</f>
        <v>#REF!</v>
      </c>
      <c r="H49" s="36" t="e">
        <f>#REF!</f>
        <v>#REF!</v>
      </c>
      <c r="I49" s="36" t="e">
        <f>#REF!</f>
        <v>#REF!</v>
      </c>
      <c r="J49" s="192" t="e">
        <f>#REF!</f>
        <v>#REF!</v>
      </c>
      <c r="K49" s="192" t="e">
        <f>#REF!</f>
        <v>#REF!</v>
      </c>
      <c r="L49" s="192" t="e">
        <f>#REF!</f>
        <v>#REF!</v>
      </c>
      <c r="M49" s="192" t="e">
        <f>#REF!</f>
        <v>#REF!</v>
      </c>
      <c r="N49" s="40" t="e">
        <f>Tabel6520[[#This Row],[Total Abs 2010]]/Tabel6520[[#This Row],[Pop 2010]]/Tabel6520[[#This Row],[Supply % 2010]]</f>
        <v>#REF!</v>
      </c>
      <c r="O49" s="40" t="e">
        <f>Tabel6520[[#This Row],[Total Abs 2012]]/Tabel6520[[#This Row],[Pop 2012]]/Tabel6520[[#This Row],[Supply % 2012]]</f>
        <v>#REF!</v>
      </c>
      <c r="P49" s="40" t="e">
        <f>Tabel6520[[#This Row],[Total Abs 2014]]/Tabel6520[[#This Row],[Pop 2014]]/Tabel6520[[#This Row],[Supply % 2014]]</f>
        <v>#REF!</v>
      </c>
      <c r="Q49" s="40" t="e">
        <f>Tabel6520[[#This Row],[Total Abs 2016]]/Tabel6520[[#This Row],[Pop 2016]]/Tabel6520[[#This Row],[Supply % 2016]]</f>
        <v>#REF!</v>
      </c>
    </row>
    <row r="50" spans="1:17" ht="15.75" hidden="1" x14ac:dyDescent="0.25">
      <c r="A50" s="611" t="s">
        <v>23</v>
      </c>
      <c r="B50" s="10" t="e">
        <f>#REF!</f>
        <v>#REF!</v>
      </c>
      <c r="C50" s="10" t="e">
        <f>#REF!</f>
        <v>#REF!</v>
      </c>
      <c r="D50" s="10" t="e">
        <f>#REF!</f>
        <v>#REF!</v>
      </c>
      <c r="E50" s="10" t="e">
        <f>#REF!</f>
        <v>#REF!</v>
      </c>
      <c r="F50" s="36" t="e">
        <f>#REF!</f>
        <v>#REF!</v>
      </c>
      <c r="G50" s="36" t="e">
        <f>#REF!</f>
        <v>#REF!</v>
      </c>
      <c r="H50" s="36" t="e">
        <f>#REF!</f>
        <v>#REF!</v>
      </c>
      <c r="I50" s="36" t="e">
        <f>#REF!</f>
        <v>#REF!</v>
      </c>
      <c r="J50" s="192" t="e">
        <f>#REF!</f>
        <v>#REF!</v>
      </c>
      <c r="K50" s="192" t="e">
        <f>#REF!</f>
        <v>#REF!</v>
      </c>
      <c r="L50" s="192" t="e">
        <f>#REF!</f>
        <v>#REF!</v>
      </c>
      <c r="M50" s="192" t="e">
        <f>#REF!</f>
        <v>#REF!</v>
      </c>
      <c r="N50" s="40" t="e">
        <f>Tabel6520[[#This Row],[Total Abs 2010]]/Tabel6520[[#This Row],[Pop 2010]]/Tabel6520[[#This Row],[Supply % 2010]]</f>
        <v>#REF!</v>
      </c>
      <c r="O50" s="40" t="e">
        <f>Tabel6520[[#This Row],[Total Abs 2012]]/Tabel6520[[#This Row],[Pop 2012]]/Tabel6520[[#This Row],[Supply % 2012]]</f>
        <v>#REF!</v>
      </c>
      <c r="P50" s="40" t="e">
        <f>Tabel6520[[#This Row],[Total Abs 2014]]/Tabel6520[[#This Row],[Pop 2014]]/Tabel6520[[#This Row],[Supply % 2014]]</f>
        <v>#REF!</v>
      </c>
      <c r="Q50" s="40" t="e">
        <f>Tabel6520[[#This Row],[Total Abs 2016]]/Tabel6520[[#This Row],[Pop 2016]]/Tabel6520[[#This Row],[Supply % 2016]]</f>
        <v>#REF!</v>
      </c>
    </row>
    <row r="51" spans="1:17" ht="15.75" hidden="1" x14ac:dyDescent="0.25">
      <c r="A51" s="611" t="s">
        <v>40</v>
      </c>
      <c r="B51" s="10" t="e">
        <f>#REF!</f>
        <v>#REF!</v>
      </c>
      <c r="C51" s="10" t="e">
        <f>#REF!</f>
        <v>#REF!</v>
      </c>
      <c r="D51" s="10" t="e">
        <f>#REF!</f>
        <v>#REF!</v>
      </c>
      <c r="E51" s="10" t="e">
        <f>#REF!</f>
        <v>#REF!</v>
      </c>
      <c r="F51" s="36" t="e">
        <f>#REF!</f>
        <v>#REF!</v>
      </c>
      <c r="G51" s="36" t="e">
        <f>#REF!</f>
        <v>#REF!</v>
      </c>
      <c r="H51" s="36" t="e">
        <f>#REF!</f>
        <v>#REF!</v>
      </c>
      <c r="I51" s="36" t="e">
        <f>#REF!</f>
        <v>#REF!</v>
      </c>
      <c r="J51" s="192" t="e">
        <f>#REF!</f>
        <v>#REF!</v>
      </c>
      <c r="K51" s="192" t="e">
        <f>#REF!</f>
        <v>#REF!</v>
      </c>
      <c r="L51" s="192" t="e">
        <f>#REF!</f>
        <v>#REF!</v>
      </c>
      <c r="M51" s="192" t="e">
        <f>#REF!</f>
        <v>#REF!</v>
      </c>
      <c r="N51" s="40" t="e">
        <f>Tabel6520[[#This Row],[Total Abs 2010]]/Tabel6520[[#This Row],[Pop 2010]]/Tabel6520[[#This Row],[Supply % 2010]]</f>
        <v>#REF!</v>
      </c>
      <c r="O51" s="40" t="e">
        <f>Tabel6520[[#This Row],[Total Abs 2012]]/Tabel6520[[#This Row],[Pop 2012]]/Tabel6520[[#This Row],[Supply % 2012]]</f>
        <v>#REF!</v>
      </c>
      <c r="P51" s="40" t="e">
        <f>Tabel6520[[#This Row],[Total Abs 2014]]/Tabel6520[[#This Row],[Pop 2014]]/Tabel6520[[#This Row],[Supply % 2014]]</f>
        <v>#REF!</v>
      </c>
      <c r="Q51" s="40" t="e">
        <f>Tabel6520[[#This Row],[Total Abs 2016]]/Tabel6520[[#This Row],[Pop 2016]]/Tabel6520[[#This Row],[Supply % 2016]]</f>
        <v>#REF!</v>
      </c>
    </row>
    <row r="52" spans="1:17" ht="15.75" hidden="1" x14ac:dyDescent="0.25">
      <c r="A52" s="611" t="s">
        <v>693</v>
      </c>
      <c r="B52" s="10" t="e">
        <f>#REF!</f>
        <v>#REF!</v>
      </c>
      <c r="C52" s="10" t="e">
        <f>#REF!</f>
        <v>#REF!</v>
      </c>
      <c r="D52" s="10" t="e">
        <f>#REF!</f>
        <v>#REF!</v>
      </c>
      <c r="E52" s="10" t="e">
        <f>#REF!</f>
        <v>#REF!</v>
      </c>
      <c r="F52" s="36" t="e">
        <f>#REF!</f>
        <v>#REF!</v>
      </c>
      <c r="G52" s="36" t="e">
        <f>#REF!</f>
        <v>#REF!</v>
      </c>
      <c r="H52" s="36" t="e">
        <f>#REF!</f>
        <v>#REF!</v>
      </c>
      <c r="I52" s="36" t="e">
        <f>#REF!</f>
        <v>#REF!</v>
      </c>
      <c r="J52" s="192" t="e">
        <f>#REF!</f>
        <v>#REF!</v>
      </c>
      <c r="K52" s="192" t="e">
        <f>#REF!</f>
        <v>#REF!</v>
      </c>
      <c r="L52" s="192" t="e">
        <f>#REF!</f>
        <v>#REF!</v>
      </c>
      <c r="M52" s="192" t="e">
        <f>#REF!</f>
        <v>#REF!</v>
      </c>
      <c r="N52" s="40" t="s">
        <v>5</v>
      </c>
      <c r="O52" s="40" t="s">
        <v>5</v>
      </c>
      <c r="P52" s="40" t="e">
        <f>Tabel6520[[#This Row],[Total Abs 2014]]/Tabel6520[[#This Row],[Pop 2014]]/Tabel6520[[#This Row],[Supply % 2014]]</f>
        <v>#REF!</v>
      </c>
      <c r="Q52" s="40" t="e">
        <f>Tabel6520[[#This Row],[Total Abs 2016]]/Tabel6520[[#This Row],[Pop 2016]]/Tabel6520[[#This Row],[Supply % 2016]]</f>
        <v>#REF!</v>
      </c>
    </row>
    <row r="53" spans="1:17" ht="15.75" hidden="1" x14ac:dyDescent="0.25">
      <c r="A53" s="611" t="s">
        <v>47</v>
      </c>
      <c r="B53" s="10" t="e">
        <f>#REF!</f>
        <v>#REF!</v>
      </c>
      <c r="C53" s="10" t="e">
        <f>#REF!</f>
        <v>#REF!</v>
      </c>
      <c r="D53" s="10" t="e">
        <f>#REF!</f>
        <v>#REF!</v>
      </c>
      <c r="E53" s="10" t="e">
        <f>#REF!</f>
        <v>#REF!</v>
      </c>
      <c r="F53" s="36" t="e">
        <f>#REF!</f>
        <v>#REF!</v>
      </c>
      <c r="G53" s="36" t="e">
        <f>#REF!</f>
        <v>#REF!</v>
      </c>
      <c r="H53" s="36" t="e">
        <f>#REF!</f>
        <v>#REF!</v>
      </c>
      <c r="I53" s="36" t="e">
        <f>#REF!</f>
        <v>#REF!</v>
      </c>
      <c r="J53" s="192" t="e">
        <f>#REF!</f>
        <v>#REF!</v>
      </c>
      <c r="K53" s="192" t="e">
        <f>#REF!</f>
        <v>#REF!</v>
      </c>
      <c r="L53" s="192" t="e">
        <f>#REF!</f>
        <v>#REF!</v>
      </c>
      <c r="M53" s="192" t="e">
        <f>#REF!</f>
        <v>#REF!</v>
      </c>
      <c r="N53" s="40" t="e">
        <f>Tabel6520[[#This Row],[Total Abs 2010]]/Tabel6520[[#This Row],[Pop 2010]]/Tabel6520[[#This Row],[Supply % 2010]]</f>
        <v>#REF!</v>
      </c>
      <c r="O53" s="40" t="e">
        <f>Tabel6520[[#This Row],[Total Abs 2012]]/Tabel6520[[#This Row],[Pop 2012]]/Tabel6520[[#This Row],[Supply % 2012]]</f>
        <v>#REF!</v>
      </c>
      <c r="P53" s="40" t="e">
        <f>Tabel6520[[#This Row],[Total Abs 2014]]/Tabel6520[[#This Row],[Pop 2014]]/Tabel6520[[#This Row],[Supply % 2014]]</f>
        <v>#REF!</v>
      </c>
      <c r="Q53" s="40" t="e">
        <f>Tabel6520[[#This Row],[Total Abs 2016]]/Tabel6520[[#This Row],[Pop 2016]]/Tabel6520[[#This Row],[Supply % 2016]]</f>
        <v>#REF!</v>
      </c>
    </row>
    <row r="54" spans="1:17" ht="15.75" hidden="1" x14ac:dyDescent="0.25">
      <c r="A54" s="258" t="s">
        <v>41</v>
      </c>
      <c r="B54" s="10" t="e">
        <f>#REF!</f>
        <v>#REF!</v>
      </c>
      <c r="C54" s="10" t="e">
        <f>#REF!</f>
        <v>#REF!</v>
      </c>
      <c r="D54" s="10" t="e">
        <f>#REF!</f>
        <v>#REF!</v>
      </c>
      <c r="E54" s="10" t="e">
        <f>#REF!</f>
        <v>#REF!</v>
      </c>
      <c r="F54" s="36" t="e">
        <f>#REF!</f>
        <v>#REF!</v>
      </c>
      <c r="G54" s="36" t="e">
        <f>#REF!</f>
        <v>#REF!</v>
      </c>
      <c r="H54" s="36" t="e">
        <f>#REF!</f>
        <v>#REF!</v>
      </c>
      <c r="I54" s="36" t="e">
        <f>#REF!</f>
        <v>#REF!</v>
      </c>
      <c r="J54" s="192" t="e">
        <f>#REF!</f>
        <v>#REF!</v>
      </c>
      <c r="K54" s="37" t="e">
        <f>#REF!</f>
        <v>#REF!</v>
      </c>
      <c r="L54" s="192" t="e">
        <f>#REF!</f>
        <v>#REF!</v>
      </c>
      <c r="M54" s="192" t="e">
        <f>#REF!</f>
        <v>#REF!</v>
      </c>
      <c r="N54" s="40" t="s">
        <v>5</v>
      </c>
      <c r="O54" s="40" t="s">
        <v>5</v>
      </c>
      <c r="P54" s="40" t="s">
        <v>5</v>
      </c>
      <c r="Q54" s="40" t="e">
        <f>Tabel6520[[#This Row],[Total Abs 2016]]/Tabel6520[[#This Row],[Pop 2016]]/Tabel6520[[#This Row],[Supply % 2016]]</f>
        <v>#REF!</v>
      </c>
    </row>
    <row r="55" spans="1:17" ht="15.75" hidden="1" x14ac:dyDescent="0.25">
      <c r="A55" s="258" t="s">
        <v>42</v>
      </c>
      <c r="B55" s="10" t="e">
        <f>#REF!</f>
        <v>#REF!</v>
      </c>
      <c r="C55" s="10" t="e">
        <f>#REF!</f>
        <v>#REF!</v>
      </c>
      <c r="D55" s="10" t="e">
        <f>#REF!</f>
        <v>#REF!</v>
      </c>
      <c r="E55" s="10" t="e">
        <f>#REF!</f>
        <v>#REF!</v>
      </c>
      <c r="F55" s="36" t="e">
        <f>#REF!</f>
        <v>#REF!</v>
      </c>
      <c r="G55" s="36" t="e">
        <f>#REF!</f>
        <v>#REF!</v>
      </c>
      <c r="H55" s="36" t="e">
        <f>#REF!</f>
        <v>#REF!</v>
      </c>
      <c r="I55" s="36" t="e">
        <f>#REF!</f>
        <v>#REF!</v>
      </c>
      <c r="J55" s="192" t="e">
        <f>#REF!</f>
        <v>#REF!</v>
      </c>
      <c r="K55" s="209" t="e">
        <f>#REF!</f>
        <v>#REF!</v>
      </c>
      <c r="L55" s="192" t="e">
        <f>#REF!</f>
        <v>#REF!</v>
      </c>
      <c r="M55" s="192" t="e">
        <f>#REF!</f>
        <v>#REF!</v>
      </c>
      <c r="N55" s="40" t="e">
        <f>Tabel6520[[#This Row],[Total Abs 2010]]/Tabel6520[[#This Row],[Pop 2010]]/Tabel6520[[#This Row],[Supply % 2010]]</f>
        <v>#REF!</v>
      </c>
      <c r="O55" s="40" t="s">
        <v>5</v>
      </c>
      <c r="P55" s="40" t="s">
        <v>5</v>
      </c>
      <c r="Q55" s="40" t="e">
        <f>Tabel6520[[#This Row],[Total Abs 2016]]/Tabel6520[[#This Row],[Pop 2016]]/Tabel6520[[#This Row],[Supply % 2016]]</f>
        <v>#REF!</v>
      </c>
    </row>
    <row r="56" spans="1:17" ht="15.75" hidden="1" x14ac:dyDescent="0.25">
      <c r="A56" s="258" t="s">
        <v>24</v>
      </c>
      <c r="B56" s="10" t="e">
        <f>#REF!</f>
        <v>#REF!</v>
      </c>
      <c r="C56" s="10" t="e">
        <f>#REF!</f>
        <v>#REF!</v>
      </c>
      <c r="D56" s="10" t="e">
        <f>#REF!</f>
        <v>#REF!</v>
      </c>
      <c r="E56" s="10" t="e">
        <f>#REF!</f>
        <v>#REF!</v>
      </c>
      <c r="F56" s="36" t="e">
        <f>#REF!</f>
        <v>#REF!</v>
      </c>
      <c r="G56" s="36" t="e">
        <f>#REF!</f>
        <v>#REF!</v>
      </c>
      <c r="H56" s="36" t="e">
        <f>#REF!</f>
        <v>#REF!</v>
      </c>
      <c r="I56" s="36" t="e">
        <f>#REF!</f>
        <v>#REF!</v>
      </c>
      <c r="J56" s="192" t="e">
        <f>#REF!</f>
        <v>#REF!</v>
      </c>
      <c r="K56" s="192" t="e">
        <f>#REF!</f>
        <v>#REF!</v>
      </c>
      <c r="L56" s="192" t="e">
        <f>#REF!</f>
        <v>#REF!</v>
      </c>
      <c r="M56" s="192" t="e">
        <f>#REF!</f>
        <v>#REF!</v>
      </c>
      <c r="N56" s="40" t="e">
        <f>Tabel6520[[#This Row],[Total Abs 2010]]/Tabel6520[[#This Row],[Pop 2010]]/Tabel6520[[#This Row],[Supply % 2010]]</f>
        <v>#REF!</v>
      </c>
      <c r="O56" s="40" t="s">
        <v>5</v>
      </c>
      <c r="P56" s="40" t="s">
        <v>5</v>
      </c>
      <c r="Q56" s="40" t="e">
        <f>Tabel6520[[#This Row],[Total Abs 2016]]/Tabel6520[[#This Row],[Pop 2016]]/Tabel6520[[#This Row],[Supply % 2016]]</f>
        <v>#REF!</v>
      </c>
    </row>
    <row r="57" spans="1:17" ht="15.75" hidden="1" x14ac:dyDescent="0.25">
      <c r="A57" s="258" t="s">
        <v>43</v>
      </c>
      <c r="B57" s="10" t="e">
        <f>#REF!</f>
        <v>#REF!</v>
      </c>
      <c r="C57" s="10" t="e">
        <f>#REF!</f>
        <v>#REF!</v>
      </c>
      <c r="D57" s="10" t="e">
        <f>#REF!</f>
        <v>#REF!</v>
      </c>
      <c r="E57" s="10" t="e">
        <f>#REF!</f>
        <v>#REF!</v>
      </c>
      <c r="F57" s="36" t="e">
        <f>#REF!</f>
        <v>#REF!</v>
      </c>
      <c r="G57" s="36" t="e">
        <f>#REF!</f>
        <v>#REF!</v>
      </c>
      <c r="H57" s="36" t="e">
        <f>#REF!</f>
        <v>#REF!</v>
      </c>
      <c r="I57" s="36" t="e">
        <f>#REF!</f>
        <v>#REF!</v>
      </c>
      <c r="J57" s="37" t="e">
        <f>#REF!</f>
        <v>#REF!</v>
      </c>
      <c r="K57" s="192" t="e">
        <f>#REF!</f>
        <v>#REF!</v>
      </c>
      <c r="L57" s="192" t="e">
        <f>#REF!</f>
        <v>#REF!</v>
      </c>
      <c r="M57" s="192" t="e">
        <f>#REF!</f>
        <v>#REF!</v>
      </c>
      <c r="N57" s="40" t="s">
        <v>5</v>
      </c>
      <c r="O57" s="40" t="e">
        <f>Tabel6520[[#This Row],[Total Abs 2012]]/Tabel6520[[#This Row],[Pop 2012]]/Tabel6520[[#This Row],[Supply % 2012]]</f>
        <v>#REF!</v>
      </c>
      <c r="P57" s="40" t="s">
        <v>5</v>
      </c>
      <c r="Q57" s="40" t="e">
        <f>Tabel6520[[#This Row],[Total Abs 2016]]/Tabel6520[[#This Row],[Pop 2016]]/Tabel6520[[#This Row],[Supply % 2016]]</f>
        <v>#REF!</v>
      </c>
    </row>
    <row r="58" spans="1:17" ht="15.75" hidden="1" x14ac:dyDescent="0.25">
      <c r="A58" s="28" t="s">
        <v>450</v>
      </c>
      <c r="B58" s="10" t="e">
        <f>#REF!</f>
        <v>#REF!</v>
      </c>
      <c r="C58" s="10" t="e">
        <f>#REF!</f>
        <v>#REF!</v>
      </c>
      <c r="D58" s="10" t="e">
        <f>#REF!</f>
        <v>#REF!</v>
      </c>
      <c r="E58" s="10" t="e">
        <f>#REF!</f>
        <v>#REF!</v>
      </c>
      <c r="F58" s="36" t="e">
        <f>#REF!</f>
        <v>#REF!</v>
      </c>
      <c r="G58" s="36" t="e">
        <f>#REF!</f>
        <v>#REF!</v>
      </c>
      <c r="H58" s="36" t="e">
        <f>#REF!</f>
        <v>#REF!</v>
      </c>
      <c r="I58" s="36" t="e">
        <f>#REF!</f>
        <v>#REF!</v>
      </c>
      <c r="J58" s="192" t="e">
        <f>#REF!</f>
        <v>#REF!</v>
      </c>
      <c r="K58" s="192" t="e">
        <f>#REF!</f>
        <v>#REF!</v>
      </c>
      <c r="L58" s="192" t="e">
        <f>#REF!</f>
        <v>#REF!</v>
      </c>
      <c r="M58" s="192" t="e">
        <f>#REF!</f>
        <v>#REF!</v>
      </c>
      <c r="N58" s="40" t="e">
        <f>Tabel6520[[#This Row],[Total Abs 2010]]/Tabel6520[[#This Row],[Pop 2010]]/Tabel6520[[#This Row],[Supply % 2010]]</f>
        <v>#REF!</v>
      </c>
      <c r="O58" s="40" t="s">
        <v>5</v>
      </c>
      <c r="P58" s="40" t="s">
        <v>5</v>
      </c>
      <c r="Q58" s="40" t="e">
        <f>Tabel6520[[#This Row],[Total Abs 2016]]/Tabel6520[[#This Row],[Pop 2016]]/Tabel6520[[#This Row],[Supply % 2016]]</f>
        <v>#REF!</v>
      </c>
    </row>
    <row r="59" spans="1:17" ht="15.75" hidden="1" x14ac:dyDescent="0.25">
      <c r="A59" s="611" t="s">
        <v>25</v>
      </c>
      <c r="B59" s="10" t="e">
        <f>#REF!</f>
        <v>#REF!</v>
      </c>
      <c r="C59" s="10" t="e">
        <f>#REF!</f>
        <v>#REF!</v>
      </c>
      <c r="D59" s="10" t="e">
        <f>#REF!</f>
        <v>#REF!</v>
      </c>
      <c r="E59" s="10" t="e">
        <f>#REF!</f>
        <v>#REF!</v>
      </c>
      <c r="F59" s="36" t="e">
        <f>#REF!</f>
        <v>#REF!</v>
      </c>
      <c r="G59" s="36" t="e">
        <f>#REF!</f>
        <v>#REF!</v>
      </c>
      <c r="H59" s="36" t="e">
        <f>#REF!</f>
        <v>#REF!</v>
      </c>
      <c r="I59" s="36" t="e">
        <f>#REF!</f>
        <v>#REF!</v>
      </c>
      <c r="J59" s="192" t="e">
        <f>#REF!</f>
        <v>#REF!</v>
      </c>
      <c r="K59" s="192" t="e">
        <f>#REF!</f>
        <v>#REF!</v>
      </c>
      <c r="L59" s="192" t="e">
        <f>#REF!</f>
        <v>#REF!</v>
      </c>
      <c r="M59" s="192" t="e">
        <f>#REF!</f>
        <v>#REF!</v>
      </c>
      <c r="N59" s="40" t="e">
        <f>Tabel6520[[#This Row],[Total Abs 2010]]/Tabel6520[[#This Row],[Pop 2010]]/Tabel6520[[#This Row],[Supply % 2010]]</f>
        <v>#REF!</v>
      </c>
      <c r="O59" s="40" t="e">
        <f>Tabel6520[[#This Row],[Total Abs 2012]]/Tabel6520[[#This Row],[Pop 2012]]/Tabel6520[[#This Row],[Supply % 2012]]</f>
        <v>#REF!</v>
      </c>
      <c r="P59" s="40" t="e">
        <f>Tabel6520[[#This Row],[Total Abs 2014]]/Tabel6520[[#This Row],[Pop 2014]]/Tabel6520[[#This Row],[Supply % 2014]]</f>
        <v>#REF!</v>
      </c>
      <c r="Q59" s="40" t="e">
        <f>Tabel6520[[#This Row],[Total Abs 2016]]/Tabel6520[[#This Row],[Pop 2016]]/Tabel6520[[#This Row],[Supply % 2016]]</f>
        <v>#REF!</v>
      </c>
    </row>
    <row r="60" spans="1:17" ht="15.75" hidden="1" x14ac:dyDescent="0.25">
      <c r="A60" s="611" t="s">
        <v>26</v>
      </c>
      <c r="B60" s="10" t="e">
        <f>#REF!</f>
        <v>#REF!</v>
      </c>
      <c r="C60" s="10" t="e">
        <f>#REF!</f>
        <v>#REF!</v>
      </c>
      <c r="D60" s="10" t="e">
        <f>#REF!</f>
        <v>#REF!</v>
      </c>
      <c r="E60" s="10" t="e">
        <f>#REF!</f>
        <v>#REF!</v>
      </c>
      <c r="F60" s="36" t="e">
        <f>#REF!</f>
        <v>#REF!</v>
      </c>
      <c r="G60" s="36" t="e">
        <f>#REF!</f>
        <v>#REF!</v>
      </c>
      <c r="H60" s="36" t="e">
        <f>#REF!</f>
        <v>#REF!</v>
      </c>
      <c r="I60" s="36" t="e">
        <f>#REF!</f>
        <v>#REF!</v>
      </c>
      <c r="J60" s="192" t="e">
        <f>#REF!</f>
        <v>#REF!</v>
      </c>
      <c r="K60" s="192" t="e">
        <f>#REF!</f>
        <v>#REF!</v>
      </c>
      <c r="L60" s="192" t="e">
        <f>#REF!</f>
        <v>#REF!</v>
      </c>
      <c r="M60" s="192" t="e">
        <f>#REF!</f>
        <v>#REF!</v>
      </c>
      <c r="N60" s="40" t="e">
        <f>Tabel6520[[#This Row],[Total Abs 2010]]/Tabel6520[[#This Row],[Pop 2010]]/Tabel6520[[#This Row],[Supply % 2010]]</f>
        <v>#REF!</v>
      </c>
      <c r="O60" s="40" t="e">
        <f>Tabel6520[[#This Row],[Total Abs 2012]]/Tabel6520[[#This Row],[Pop 2012]]/Tabel6520[[#This Row],[Supply % 2012]]</f>
        <v>#REF!</v>
      </c>
      <c r="P60" s="40" t="e">
        <f>Tabel6520[[#This Row],[Total Abs 2014]]/Tabel6520[[#This Row],[Pop 2014]]/Tabel6520[[#This Row],[Supply % 2014]]</f>
        <v>#REF!</v>
      </c>
      <c r="Q60" s="40" t="e">
        <f>Tabel6520[[#This Row],[Total Abs 2016]]/Tabel6520[[#This Row],[Pop 2016]]/Tabel6520[[#This Row],[Supply % 2016]]</f>
        <v>#REF!</v>
      </c>
    </row>
    <row r="61" spans="1:17" ht="15.75" hidden="1" x14ac:dyDescent="0.25">
      <c r="A61" s="611" t="s">
        <v>48</v>
      </c>
      <c r="B61" s="10" t="e">
        <f>#REF!</f>
        <v>#REF!</v>
      </c>
      <c r="C61" s="10" t="e">
        <f>#REF!</f>
        <v>#REF!</v>
      </c>
      <c r="D61" s="10" t="e">
        <f>#REF!</f>
        <v>#REF!</v>
      </c>
      <c r="E61" s="10" t="e">
        <f>#REF!</f>
        <v>#REF!</v>
      </c>
      <c r="F61" s="36" t="e">
        <f>#REF!</f>
        <v>#REF!</v>
      </c>
      <c r="G61" s="36" t="e">
        <f>#REF!</f>
        <v>#REF!</v>
      </c>
      <c r="H61" s="36" t="e">
        <f>#REF!</f>
        <v>#REF!</v>
      </c>
      <c r="I61" s="36" t="e">
        <f>#REF!</f>
        <v>#REF!</v>
      </c>
      <c r="J61" s="192" t="e">
        <f>#REF!</f>
        <v>#REF!</v>
      </c>
      <c r="K61" s="192" t="e">
        <f>#REF!</f>
        <v>#REF!</v>
      </c>
      <c r="L61" s="192" t="e">
        <f>#REF!</f>
        <v>#REF!</v>
      </c>
      <c r="M61" s="192" t="e">
        <f>#REF!</f>
        <v>#REF!</v>
      </c>
      <c r="N61" s="40" t="e">
        <f>Tabel6520[[#This Row],[Total Abs 2010]]/Tabel6520[[#This Row],[Pop 2010]]/Tabel6520[[#This Row],[Supply % 2010]]</f>
        <v>#REF!</v>
      </c>
      <c r="O61" s="40" t="e">
        <f>Tabel6520[[#This Row],[Total Abs 2012]]/Tabel6520[[#This Row],[Pop 2012]]/Tabel6520[[#This Row],[Supply % 2012]]</f>
        <v>#REF!</v>
      </c>
      <c r="P61" s="40" t="s">
        <v>5</v>
      </c>
      <c r="Q61" s="40" t="e">
        <f>Tabel6520[[#This Row],[Total Abs 2016]]/Tabel6520[[#This Row],[Pop 2016]]/Tabel6520[[#This Row],[Supply % 2016]]</f>
        <v>#REF!</v>
      </c>
    </row>
    <row r="62" spans="1:17" ht="15.75" hidden="1" x14ac:dyDescent="0.25">
      <c r="A62" s="611" t="s">
        <v>28</v>
      </c>
      <c r="B62" s="10" t="e">
        <f>#REF!</f>
        <v>#REF!</v>
      </c>
      <c r="C62" s="10" t="e">
        <f>#REF!</f>
        <v>#REF!</v>
      </c>
      <c r="D62" s="10" t="e">
        <f>#REF!</f>
        <v>#REF!</v>
      </c>
      <c r="E62" s="10" t="e">
        <f>#REF!</f>
        <v>#REF!</v>
      </c>
      <c r="F62" s="36" t="e">
        <f>#REF!</f>
        <v>#REF!</v>
      </c>
      <c r="G62" s="36" t="e">
        <f>#REF!</f>
        <v>#REF!</v>
      </c>
      <c r="H62" s="36" t="e">
        <f>#REF!</f>
        <v>#REF!</v>
      </c>
      <c r="I62" s="36" t="e">
        <f>#REF!</f>
        <v>#REF!</v>
      </c>
      <c r="J62" s="192" t="e">
        <f>#REF!</f>
        <v>#REF!</v>
      </c>
      <c r="K62" s="192" t="e">
        <f>#REF!</f>
        <v>#REF!</v>
      </c>
      <c r="L62" s="192" t="e">
        <f>#REF!</f>
        <v>#REF!</v>
      </c>
      <c r="M62" s="192" t="e">
        <f>#REF!</f>
        <v>#REF!</v>
      </c>
      <c r="N62" s="40" t="e">
        <f>Tabel6520[[#This Row],[Total Abs 2010]]/Tabel6520[[#This Row],[Pop 2010]]/Tabel6520[[#This Row],[Supply % 2010]]</f>
        <v>#REF!</v>
      </c>
      <c r="O62" s="40" t="e">
        <f>Tabel6520[[#This Row],[Total Abs 2012]]/Tabel6520[[#This Row],[Pop 2012]]/Tabel6520[[#This Row],[Supply % 2012]]</f>
        <v>#REF!</v>
      </c>
      <c r="P62" s="40" t="e">
        <f>Tabel6520[[#This Row],[Total Abs 2014]]/Tabel6520[[#This Row],[Pop 2014]]/Tabel6520[[#This Row],[Supply % 2014]]</f>
        <v>#REF!</v>
      </c>
      <c r="Q62" s="40" t="e">
        <f>Tabel6520[[#This Row],[Total Abs 2016]]/Tabel6520[[#This Row],[Pop 2016]]/Tabel6520[[#This Row],[Supply % 2016]]</f>
        <v>#REF!</v>
      </c>
    </row>
    <row r="63" spans="1:17" ht="15.75" hidden="1" x14ac:dyDescent="0.25">
      <c r="A63" s="258" t="s">
        <v>706</v>
      </c>
      <c r="B63" s="10" t="e">
        <f>#REF!</f>
        <v>#REF!</v>
      </c>
      <c r="C63" s="10" t="e">
        <f>#REF!</f>
        <v>#REF!</v>
      </c>
      <c r="D63" s="10" t="e">
        <f>#REF!</f>
        <v>#REF!</v>
      </c>
      <c r="E63" s="10" t="e">
        <f>#REF!</f>
        <v>#REF!</v>
      </c>
      <c r="F63" s="36" t="e">
        <f>#REF!</f>
        <v>#REF!</v>
      </c>
      <c r="G63" s="36" t="e">
        <f>#REF!</f>
        <v>#REF!</v>
      </c>
      <c r="H63" s="36" t="e">
        <f>#REF!</f>
        <v>#REF!</v>
      </c>
      <c r="I63" s="36" t="e">
        <f>#REF!</f>
        <v>#REF!</v>
      </c>
      <c r="J63" s="192" t="e">
        <f>#REF!</f>
        <v>#REF!</v>
      </c>
      <c r="K63" s="192" t="e">
        <f>#REF!</f>
        <v>#REF!</v>
      </c>
      <c r="L63" s="192" t="e">
        <f>#REF!</f>
        <v>#REF!</v>
      </c>
      <c r="M63" s="192" t="e">
        <f>#REF!</f>
        <v>#REF!</v>
      </c>
      <c r="N63" s="40" t="s">
        <v>5</v>
      </c>
      <c r="O63" s="40" t="s">
        <v>5</v>
      </c>
      <c r="P63" s="40" t="e">
        <f>Tabel6520[[#This Row],[Total Abs 2014]]/Tabel6520[[#This Row],[Pop 2014]]/Tabel6520[[#This Row],[Supply % 2014]]</f>
        <v>#REF!</v>
      </c>
      <c r="Q63" s="40" t="e">
        <f>Tabel6520[[#This Row],[Total Abs 2016]]/Tabel6520[[#This Row],[Pop 2016]]/Tabel6520[[#This Row],[Supply % 2016]]</f>
        <v>#REF!</v>
      </c>
    </row>
    <row r="64" spans="1:17" ht="15.75" hidden="1" x14ac:dyDescent="0.25">
      <c r="A64" s="258" t="s">
        <v>737</v>
      </c>
      <c r="B64" s="10" t="e">
        <f>#REF!</f>
        <v>#REF!</v>
      </c>
      <c r="C64" s="10" t="e">
        <f>#REF!</f>
        <v>#REF!</v>
      </c>
      <c r="D64" s="10" t="e">
        <f>#REF!</f>
        <v>#REF!</v>
      </c>
      <c r="E64" s="10" t="e">
        <f>#REF!</f>
        <v>#REF!</v>
      </c>
      <c r="F64" s="36" t="e">
        <f>#REF!</f>
        <v>#REF!</v>
      </c>
      <c r="G64" s="36" t="e">
        <f>#REF!</f>
        <v>#REF!</v>
      </c>
      <c r="H64" s="36" t="e">
        <f>#REF!</f>
        <v>#REF!</v>
      </c>
      <c r="I64" s="36" t="e">
        <f>#REF!</f>
        <v>#REF!</v>
      </c>
      <c r="J64" s="192" t="e">
        <f>#REF!</f>
        <v>#REF!</v>
      </c>
      <c r="K64" s="192" t="e">
        <f>#REF!</f>
        <v>#REF!</v>
      </c>
      <c r="L64" s="192" t="e">
        <f>#REF!</f>
        <v>#REF!</v>
      </c>
      <c r="M64" s="192" t="e">
        <f>#REF!</f>
        <v>#REF!</v>
      </c>
      <c r="N64" s="40" t="s">
        <v>5</v>
      </c>
      <c r="O64" s="40" t="s">
        <v>5</v>
      </c>
      <c r="P64" s="40" t="e">
        <f>Tabel6520[[#This Row],[Total Abs 2014]]/Tabel6520[[#This Row],[Pop 2014]]/Tabel6520[[#This Row],[Supply % 2014]]</f>
        <v>#REF!</v>
      </c>
      <c r="Q64" s="40" t="e">
        <f>Tabel6520[[#This Row],[Total Abs 2016]]/Tabel6520[[#This Row],[Pop 2016]]/Tabel6520[[#This Row],[Supply % 2016]]</f>
        <v>#REF!</v>
      </c>
    </row>
    <row r="65" spans="1:17" ht="15.75" hidden="1" x14ac:dyDescent="0.25">
      <c r="A65" s="258" t="s">
        <v>29</v>
      </c>
      <c r="B65" s="10" t="e">
        <f>#REF!</f>
        <v>#REF!</v>
      </c>
      <c r="C65" s="10" t="e">
        <f>#REF!</f>
        <v>#REF!</v>
      </c>
      <c r="D65" s="10" t="e">
        <f>#REF!</f>
        <v>#REF!</v>
      </c>
      <c r="E65" s="10" t="e">
        <f>#REF!</f>
        <v>#REF!</v>
      </c>
      <c r="F65" s="36" t="e">
        <f>#REF!</f>
        <v>#REF!</v>
      </c>
      <c r="G65" s="36" t="e">
        <f>#REF!</f>
        <v>#REF!</v>
      </c>
      <c r="H65" s="36" t="e">
        <f>#REF!</f>
        <v>#REF!</v>
      </c>
      <c r="I65" s="36" t="e">
        <f>#REF!</f>
        <v>#REF!</v>
      </c>
      <c r="J65" s="192" t="e">
        <f>#REF!</f>
        <v>#REF!</v>
      </c>
      <c r="K65" s="37" t="e">
        <f>#REF!</f>
        <v>#REF!</v>
      </c>
      <c r="L65" s="192" t="e">
        <f>#REF!</f>
        <v>#REF!</v>
      </c>
      <c r="M65" s="192" t="e">
        <f>#REF!</f>
        <v>#REF!</v>
      </c>
      <c r="N65" s="40" t="s">
        <v>5</v>
      </c>
      <c r="O65" s="40" t="s">
        <v>5</v>
      </c>
      <c r="P65" s="40" t="s">
        <v>5</v>
      </c>
      <c r="Q65" s="40" t="e">
        <f>Tabel6520[[#This Row],[Total Abs 2016]]/Tabel6520[[#This Row],[Pop 2016]]/Tabel6520[[#This Row],[Supply % 2016]]</f>
        <v>#REF!</v>
      </c>
    </row>
    <row r="66" spans="1:17" ht="15.75" hidden="1" x14ac:dyDescent="0.25">
      <c r="A66" s="713" t="s">
        <v>927</v>
      </c>
      <c r="B66" s="10" t="e">
        <f>#REF!</f>
        <v>#REF!</v>
      </c>
      <c r="C66" s="10" t="e">
        <f>#REF!</f>
        <v>#REF!</v>
      </c>
      <c r="D66" s="10" t="e">
        <f>#REF!</f>
        <v>#REF!</v>
      </c>
      <c r="E66" s="10" t="e">
        <f>#REF!</f>
        <v>#REF!</v>
      </c>
      <c r="F66" s="36" t="e">
        <f>#REF!</f>
        <v>#REF!</v>
      </c>
      <c r="G66" s="36" t="e">
        <f>#REF!</f>
        <v>#REF!</v>
      </c>
      <c r="H66" s="36" t="e">
        <f>#REF!</f>
        <v>#REF!</v>
      </c>
      <c r="I66" s="36" t="e">
        <f>#REF!</f>
        <v>#REF!</v>
      </c>
      <c r="J66" s="192" t="e">
        <f>#REF!</f>
        <v>#REF!</v>
      </c>
      <c r="K66" s="37" t="e">
        <f>#REF!</f>
        <v>#REF!</v>
      </c>
      <c r="L66" s="192" t="e">
        <f>#REF!</f>
        <v>#REF!</v>
      </c>
      <c r="M66" s="192" t="e">
        <f>#REF!</f>
        <v>#REF!</v>
      </c>
      <c r="N66" s="40" t="s">
        <v>5</v>
      </c>
      <c r="O66" s="40" t="s">
        <v>5</v>
      </c>
      <c r="P66" s="40" t="s">
        <v>5</v>
      </c>
      <c r="Q66" s="40" t="e">
        <f>Tabel6520[[#This Row],[Total Abs 2016]]/Tabel6520[[#This Row],[Pop 2016]]/Tabel6520[[#This Row],[Supply % 2016]]</f>
        <v>#REF!</v>
      </c>
    </row>
    <row r="67" spans="1:17" ht="15.75" hidden="1" x14ac:dyDescent="0.25">
      <c r="A67" s="688" t="s">
        <v>505</v>
      </c>
      <c r="B67" s="10" t="e">
        <f>#REF!</f>
        <v>#REF!</v>
      </c>
      <c r="C67" s="10" t="e">
        <f>#REF!</f>
        <v>#REF!</v>
      </c>
      <c r="D67" s="10" t="e">
        <f>#REF!</f>
        <v>#REF!</v>
      </c>
      <c r="E67" s="10" t="e">
        <f>#REF!</f>
        <v>#REF!</v>
      </c>
      <c r="F67" s="36" t="e">
        <f>#REF!</f>
        <v>#REF!</v>
      </c>
      <c r="G67" s="36" t="e">
        <f>#REF!</f>
        <v>#REF!</v>
      </c>
      <c r="H67" s="36" t="e">
        <f>#REF!</f>
        <v>#REF!</v>
      </c>
      <c r="I67" s="36" t="e">
        <f>#REF!</f>
        <v>#REF!</v>
      </c>
      <c r="J67" s="192" t="e">
        <f>#REF!</f>
        <v>#REF!</v>
      </c>
      <c r="K67" s="192" t="e">
        <f>#REF!</f>
        <v>#REF!</v>
      </c>
      <c r="L67" s="192" t="e">
        <f>#REF!</f>
        <v>#REF!</v>
      </c>
      <c r="M67" s="192" t="e">
        <f>#REF!</f>
        <v>#REF!</v>
      </c>
      <c r="N67" s="40" t="e">
        <f>Tabel6520[[#This Row],[Total Abs 2010]]/Tabel6520[[#This Row],[Pop 2010]]/Tabel6520[[#This Row],[Supply % 2010]]</f>
        <v>#REF!</v>
      </c>
      <c r="O67" s="40" t="s">
        <v>5</v>
      </c>
      <c r="P67" s="40" t="e">
        <f>Tabel6520[[#This Row],[Total Abs 2014]]/Tabel6520[[#This Row],[Pop 2014]]/Tabel6520[[#This Row],[Supply % 2014]]</f>
        <v>#REF!</v>
      </c>
      <c r="Q67" s="40" t="e">
        <f>Tabel6520[[#This Row],[Total Abs 2016]]/Tabel6520[[#This Row],[Pop 2016]]/Tabel6520[[#This Row],[Supply % 2016]]</f>
        <v>#REF!</v>
      </c>
    </row>
    <row r="68" spans="1:17" ht="15.75" hidden="1" x14ac:dyDescent="0.25">
      <c r="A68" s="258" t="s">
        <v>51</v>
      </c>
      <c r="B68" s="10" t="e">
        <f>#REF!</f>
        <v>#REF!</v>
      </c>
      <c r="C68" s="10" t="e">
        <f>#REF!</f>
        <v>#REF!</v>
      </c>
      <c r="D68" s="10" t="e">
        <f>#REF!</f>
        <v>#REF!</v>
      </c>
      <c r="E68" s="10" t="e">
        <f>#REF!</f>
        <v>#REF!</v>
      </c>
      <c r="F68" s="36" t="e">
        <f>#REF!</f>
        <v>#REF!</v>
      </c>
      <c r="G68" s="36" t="e">
        <f>#REF!</f>
        <v>#REF!</v>
      </c>
      <c r="H68" s="36" t="e">
        <f>#REF!</f>
        <v>#REF!</v>
      </c>
      <c r="I68" s="36" t="e">
        <f>#REF!</f>
        <v>#REF!</v>
      </c>
      <c r="J68" s="192" t="e">
        <f>#REF!</f>
        <v>#REF!</v>
      </c>
      <c r="K68" s="37" t="e">
        <f>#REF!</f>
        <v>#REF!</v>
      </c>
      <c r="L68" s="192" t="e">
        <f>#REF!</f>
        <v>#REF!</v>
      </c>
      <c r="M68" s="192" t="e">
        <f>#REF!</f>
        <v>#REF!</v>
      </c>
      <c r="N68" s="40" t="s">
        <v>5</v>
      </c>
      <c r="O68" s="40" t="s">
        <v>5</v>
      </c>
      <c r="P68" s="40" t="s">
        <v>5</v>
      </c>
      <c r="Q68" s="40" t="e">
        <f>Tabel6520[[#This Row],[Total Abs 2016]]/Tabel6520[[#This Row],[Pop 2016]]/Tabel6520[[#This Row],[Supply % 2016]]</f>
        <v>#REF!</v>
      </c>
    </row>
    <row r="69" spans="1:17" ht="15.75" hidden="1" x14ac:dyDescent="0.25">
      <c r="A69" s="611" t="s">
        <v>31</v>
      </c>
      <c r="B69" s="10" t="e">
        <f>#REF!</f>
        <v>#REF!</v>
      </c>
      <c r="C69" s="10" t="e">
        <f>#REF!</f>
        <v>#REF!</v>
      </c>
      <c r="D69" s="10" t="e">
        <f>#REF!</f>
        <v>#REF!</v>
      </c>
      <c r="E69" s="10" t="e">
        <f>#REF!</f>
        <v>#REF!</v>
      </c>
      <c r="F69" s="36" t="e">
        <f>#REF!</f>
        <v>#REF!</v>
      </c>
      <c r="G69" s="36" t="e">
        <f>#REF!</f>
        <v>#REF!</v>
      </c>
      <c r="H69" s="36" t="e">
        <f>#REF!</f>
        <v>#REF!</v>
      </c>
      <c r="I69" s="36" t="e">
        <f>#REF!</f>
        <v>#REF!</v>
      </c>
      <c r="J69" s="37" t="e">
        <f>#REF!</f>
        <v>#REF!</v>
      </c>
      <c r="K69" s="37" t="e">
        <f>#REF!</f>
        <v>#REF!</v>
      </c>
      <c r="L69" s="192" t="e">
        <f>#REF!</f>
        <v>#REF!</v>
      </c>
      <c r="M69" s="192" t="e">
        <f>#REF!</f>
        <v>#REF!</v>
      </c>
      <c r="N69" s="40" t="s">
        <v>5</v>
      </c>
      <c r="O69" s="40" t="s">
        <v>5</v>
      </c>
      <c r="P69" s="40" t="s">
        <v>5</v>
      </c>
      <c r="Q69" s="40" t="s">
        <v>5</v>
      </c>
    </row>
    <row r="70" spans="1:17" ht="15.75" hidden="1" x14ac:dyDescent="0.25">
      <c r="A70" s="259" t="s">
        <v>718</v>
      </c>
      <c r="B70" s="10" t="e">
        <f>#REF!</f>
        <v>#REF!</v>
      </c>
      <c r="C70" s="10" t="e">
        <f>#REF!</f>
        <v>#REF!</v>
      </c>
      <c r="D70" s="10" t="e">
        <f>#REF!</f>
        <v>#REF!</v>
      </c>
      <c r="E70" s="10" t="e">
        <f>#REF!</f>
        <v>#REF!</v>
      </c>
      <c r="F70" s="36" t="e">
        <f>#REF!</f>
        <v>#REF!</v>
      </c>
      <c r="G70" s="474" t="e">
        <f>#REF!</f>
        <v>#REF!</v>
      </c>
      <c r="H70" s="36" t="e">
        <f>#REF!</f>
        <v>#REF!</v>
      </c>
      <c r="I70" s="36" t="e">
        <f>#REF!</f>
        <v>#REF!</v>
      </c>
      <c r="J70" s="37" t="e">
        <f>#REF!</f>
        <v>#REF!</v>
      </c>
      <c r="K70" s="37" t="e">
        <f>#REF!</f>
        <v>#REF!</v>
      </c>
      <c r="L70" s="192" t="e">
        <f>#REF!</f>
        <v>#REF!</v>
      </c>
      <c r="M70" s="192" t="e">
        <f>#REF!</f>
        <v>#REF!</v>
      </c>
      <c r="N70" s="40" t="s">
        <v>5</v>
      </c>
      <c r="O70" s="475" t="s">
        <v>5</v>
      </c>
      <c r="P70" s="40" t="e">
        <f>Tabel6520[[#This Row],[Total Abs 2014]]/Tabel6520[[#This Row],[Pop 2014]]/Tabel6520[[#This Row],[Supply % 2014]]</f>
        <v>#REF!</v>
      </c>
      <c r="Q70" s="40" t="e">
        <f>Tabel6520[[#This Row],[Total Abs 2016]]/Tabel6520[[#This Row],[Pop 2016]]/Tabel6520[[#This Row],[Supply % 2016]]</f>
        <v>#REF!</v>
      </c>
    </row>
    <row r="71" spans="1:17" ht="15.75" x14ac:dyDescent="0.25">
      <c r="A71" s="23"/>
    </row>
    <row r="72" spans="1:17" ht="15.75" x14ac:dyDescent="0.25">
      <c r="A72" s="22"/>
    </row>
    <row r="74" spans="1:17" ht="16.5" thickBot="1" x14ac:dyDescent="0.3">
      <c r="A74" s="909" t="s">
        <v>3</v>
      </c>
      <c r="B74" s="910" t="s">
        <v>671</v>
      </c>
      <c r="C74" s="911" t="s">
        <v>801</v>
      </c>
    </row>
    <row r="75" spans="1:17" ht="15.75" x14ac:dyDescent="0.25">
      <c r="A75" s="1217" t="s">
        <v>505</v>
      </c>
      <c r="B75" s="904">
        <v>14.230437999999999</v>
      </c>
      <c r="C75" s="904">
        <v>15.190444665618017</v>
      </c>
    </row>
    <row r="76" spans="1:17" ht="15.75" x14ac:dyDescent="0.25">
      <c r="A76" s="907" t="s">
        <v>6</v>
      </c>
      <c r="B76" s="906">
        <v>61.895037169726827</v>
      </c>
      <c r="C76" s="906">
        <v>62.479614696768493</v>
      </c>
    </row>
    <row r="77" spans="1:17" ht="15.75" x14ac:dyDescent="0.25">
      <c r="A77" s="905" t="s">
        <v>14</v>
      </c>
      <c r="B77" s="906">
        <v>62.935415891905294</v>
      </c>
      <c r="C77" s="906">
        <v>63.243902439024389</v>
      </c>
    </row>
    <row r="78" spans="1:17" ht="15.75" x14ac:dyDescent="0.25">
      <c r="A78" s="905" t="s">
        <v>45</v>
      </c>
      <c r="B78" s="906">
        <v>57.233371029094279</v>
      </c>
      <c r="C78" s="906">
        <v>63.38089566515135</v>
      </c>
    </row>
    <row r="79" spans="1:17" ht="15.75" x14ac:dyDescent="0.25">
      <c r="A79" s="905" t="s">
        <v>11</v>
      </c>
      <c r="B79" s="906">
        <v>71.508043825584494</v>
      </c>
      <c r="C79" s="906">
        <v>65.189592762974641</v>
      </c>
    </row>
    <row r="80" spans="1:17" ht="15.75" x14ac:dyDescent="0.25">
      <c r="A80" s="907" t="s">
        <v>20</v>
      </c>
      <c r="B80" s="906">
        <v>68.793696355334674</v>
      </c>
      <c r="C80" s="906">
        <v>70.3099556731148</v>
      </c>
    </row>
    <row r="81" spans="1:3" ht="15.75" x14ac:dyDescent="0.25">
      <c r="A81" s="907" t="s">
        <v>774</v>
      </c>
      <c r="B81" s="906">
        <v>74.970464243124397</v>
      </c>
      <c r="C81" s="906">
        <v>72.357347538654381</v>
      </c>
    </row>
    <row r="82" spans="1:3" ht="15.75" x14ac:dyDescent="0.25">
      <c r="A82" s="907" t="s">
        <v>927</v>
      </c>
      <c r="B82" s="906" t="s">
        <v>5</v>
      </c>
      <c r="C82" s="906">
        <v>79.34122411262706</v>
      </c>
    </row>
    <row r="83" spans="1:3" ht="15.75" x14ac:dyDescent="0.25">
      <c r="A83" s="907" t="s">
        <v>40</v>
      </c>
      <c r="B83" s="906">
        <v>81.532189436309807</v>
      </c>
      <c r="C83" s="906">
        <v>80.187115848440044</v>
      </c>
    </row>
    <row r="84" spans="1:3" ht="15.75" x14ac:dyDescent="0.25">
      <c r="A84" s="907" t="s">
        <v>23</v>
      </c>
      <c r="B84" s="906">
        <v>83.609362876284067</v>
      </c>
      <c r="C84" s="906">
        <v>81.066526225782809</v>
      </c>
    </row>
    <row r="85" spans="1:3" ht="15.75" x14ac:dyDescent="0.25">
      <c r="A85" s="905" t="s">
        <v>12</v>
      </c>
      <c r="B85" s="906">
        <v>82.960687499999992</v>
      </c>
      <c r="C85" s="906">
        <v>82.297001999999992</v>
      </c>
    </row>
    <row r="86" spans="1:3" ht="15.75" x14ac:dyDescent="0.25">
      <c r="A86" s="907" t="s">
        <v>4</v>
      </c>
      <c r="B86" s="906" t="s">
        <v>5</v>
      </c>
      <c r="C86" s="906">
        <v>82.743197912784197</v>
      </c>
    </row>
    <row r="87" spans="1:3" ht="15.75" x14ac:dyDescent="0.25">
      <c r="A87" s="905" t="s">
        <v>13</v>
      </c>
      <c r="B87" s="906">
        <v>84.757118927973195</v>
      </c>
      <c r="C87" s="906">
        <v>85.224281533728515</v>
      </c>
    </row>
    <row r="88" spans="1:3" ht="15.75" x14ac:dyDescent="0.25">
      <c r="A88" s="908" t="s">
        <v>49</v>
      </c>
      <c r="B88" s="906">
        <v>92.15523987897997</v>
      </c>
      <c r="C88" s="906">
        <v>87.395818757750504</v>
      </c>
    </row>
    <row r="89" spans="1:3" ht="15.75" x14ac:dyDescent="0.25">
      <c r="A89" s="907" t="s">
        <v>26</v>
      </c>
      <c r="B89" s="906">
        <v>92.514011781831982</v>
      </c>
      <c r="C89" s="906">
        <v>87.634497474579973</v>
      </c>
    </row>
    <row r="90" spans="1:3" ht="15.75" x14ac:dyDescent="0.25">
      <c r="A90" s="907" t="s">
        <v>48</v>
      </c>
      <c r="B90" s="906" t="s">
        <v>5</v>
      </c>
      <c r="C90" s="906">
        <v>100.65016464176222</v>
      </c>
    </row>
    <row r="91" spans="1:3" ht="15.75" x14ac:dyDescent="0.25">
      <c r="A91" s="908" t="s">
        <v>456</v>
      </c>
      <c r="B91" s="906">
        <v>101.0692289487811</v>
      </c>
      <c r="C91" s="906">
        <v>102.9258932709904</v>
      </c>
    </row>
    <row r="92" spans="1:3" ht="15.75" x14ac:dyDescent="0.25">
      <c r="A92" s="907" t="s">
        <v>28</v>
      </c>
      <c r="B92" s="906">
        <v>109.34466019417475</v>
      </c>
      <c r="C92" s="906">
        <v>109.36018957345972</v>
      </c>
    </row>
    <row r="93" spans="1:3" ht="15.75" x14ac:dyDescent="0.25">
      <c r="A93" s="905" t="s">
        <v>18</v>
      </c>
      <c r="B93" s="906">
        <v>124.92053117450222</v>
      </c>
      <c r="C93" s="906">
        <v>122.17274284426267</v>
      </c>
    </row>
    <row r="94" spans="1:3" ht="15.75" x14ac:dyDescent="0.25">
      <c r="A94" s="907" t="s">
        <v>7</v>
      </c>
      <c r="B94" s="906" t="s">
        <v>5</v>
      </c>
      <c r="C94" s="906">
        <v>125.3820250444285</v>
      </c>
    </row>
    <row r="95" spans="1:3" ht="15.75" x14ac:dyDescent="0.25">
      <c r="A95" s="907" t="s">
        <v>25</v>
      </c>
      <c r="B95" s="906">
        <v>145.86818431341638</v>
      </c>
      <c r="C95" s="906">
        <v>127.66608936289607</v>
      </c>
    </row>
    <row r="96" spans="1:3" ht="15.75" x14ac:dyDescent="0.25">
      <c r="A96" s="907" t="s">
        <v>47</v>
      </c>
      <c r="B96" s="906">
        <v>127.01486112143719</v>
      </c>
      <c r="C96" s="906">
        <v>128.17115384615386</v>
      </c>
    </row>
    <row r="97" spans="1:3" ht="15.75" x14ac:dyDescent="0.25">
      <c r="A97" s="908" t="s">
        <v>585</v>
      </c>
      <c r="B97" s="906">
        <v>131.23131398024276</v>
      </c>
      <c r="C97" s="906">
        <v>134.57931184906482</v>
      </c>
    </row>
    <row r="98" spans="1:3" ht="15.75" x14ac:dyDescent="0.25">
      <c r="A98" s="908" t="s">
        <v>343</v>
      </c>
      <c r="B98" s="906">
        <v>109.34065543010578</v>
      </c>
      <c r="C98" s="906">
        <v>137.31252578464662</v>
      </c>
    </row>
    <row r="99" spans="1:3" ht="15.75" x14ac:dyDescent="0.25">
      <c r="A99" s="908" t="s">
        <v>586</v>
      </c>
      <c r="B99" s="906">
        <v>147.11909776799749</v>
      </c>
      <c r="C99" s="906">
        <v>151.45451752354484</v>
      </c>
    </row>
    <row r="100" spans="1:3" ht="15.75" x14ac:dyDescent="0.25">
      <c r="A100" s="905" t="s">
        <v>33</v>
      </c>
      <c r="B100" s="906" t="s">
        <v>5</v>
      </c>
      <c r="C100" s="906">
        <v>158.51536243585699</v>
      </c>
    </row>
    <row r="101" spans="1:3" ht="15.75" x14ac:dyDescent="0.25">
      <c r="A101" s="905" t="s">
        <v>17</v>
      </c>
      <c r="B101" s="906" t="s">
        <v>5</v>
      </c>
      <c r="C101" s="906">
        <v>159.98652745031995</v>
      </c>
    </row>
    <row r="102" spans="1:3" ht="15.75" x14ac:dyDescent="0.25">
      <c r="A102" s="905" t="s">
        <v>910</v>
      </c>
      <c r="B102" s="906" t="s">
        <v>5</v>
      </c>
      <c r="C102" s="906">
        <v>163.95908543922985</v>
      </c>
    </row>
    <row r="103" spans="1:3" ht="15.75" x14ac:dyDescent="0.25">
      <c r="A103" s="905" t="s">
        <v>524</v>
      </c>
      <c r="B103" s="906" t="s">
        <v>5</v>
      </c>
      <c r="C103" s="906">
        <v>199.91666666666669</v>
      </c>
    </row>
    <row r="104" spans="1:3" ht="15.75" x14ac:dyDescent="0.25">
      <c r="A104" s="905" t="s">
        <v>9</v>
      </c>
      <c r="B104" s="906">
        <v>249.96091382659171</v>
      </c>
      <c r="C104" s="906">
        <v>248.34814236201461</v>
      </c>
    </row>
    <row r="105" spans="1:3" ht="15.75" x14ac:dyDescent="0.25">
      <c r="A105" s="907" t="s">
        <v>22</v>
      </c>
      <c r="B105" s="906">
        <v>301.61662387992749</v>
      </c>
      <c r="C105" s="1131">
        <v>298.09524212776626</v>
      </c>
    </row>
    <row r="106" spans="1:3" ht="15.75" x14ac:dyDescent="0.25">
      <c r="A106" s="905" t="s">
        <v>10</v>
      </c>
      <c r="B106" s="906">
        <v>326.96428571428578</v>
      </c>
      <c r="C106" s="906">
        <v>362.5</v>
      </c>
    </row>
    <row r="107" spans="1:3" ht="15.75" x14ac:dyDescent="0.25">
      <c r="A107" s="907" t="s">
        <v>693</v>
      </c>
      <c r="B107" s="906">
        <v>499.36683937823841</v>
      </c>
      <c r="C107" s="906">
        <v>585.60606060606062</v>
      </c>
    </row>
    <row r="108" spans="1:3" ht="15.75" x14ac:dyDescent="0.25">
      <c r="A108" s="907" t="s">
        <v>38</v>
      </c>
      <c r="B108" s="906" t="s">
        <v>5</v>
      </c>
      <c r="C108" s="906" t="s">
        <v>5</v>
      </c>
    </row>
    <row r="109" spans="1:3" ht="15.75" x14ac:dyDescent="0.25">
      <c r="A109" s="905" t="s">
        <v>34</v>
      </c>
      <c r="B109" s="906" t="s">
        <v>5</v>
      </c>
      <c r="C109" s="906" t="s">
        <v>5</v>
      </c>
    </row>
    <row r="110" spans="1:3" ht="15.75" x14ac:dyDescent="0.25">
      <c r="A110" s="907" t="s">
        <v>489</v>
      </c>
      <c r="B110" s="906">
        <v>101.81371490277488</v>
      </c>
      <c r="C110" s="906" t="s">
        <v>5</v>
      </c>
    </row>
    <row r="111" spans="1:3" ht="15.75" x14ac:dyDescent="0.25">
      <c r="A111" s="905" t="s">
        <v>35</v>
      </c>
      <c r="B111" s="906">
        <v>741.42857142857144</v>
      </c>
      <c r="C111" s="906" t="s">
        <v>5</v>
      </c>
    </row>
    <row r="112" spans="1:3" ht="15.75" x14ac:dyDescent="0.25">
      <c r="A112" s="905" t="s">
        <v>742</v>
      </c>
      <c r="B112" s="906">
        <v>41.041129066448931</v>
      </c>
      <c r="C112" s="906" t="s">
        <v>5</v>
      </c>
    </row>
    <row r="113" spans="1:3" ht="15.75" x14ac:dyDescent="0.25">
      <c r="A113" s="907" t="s">
        <v>37</v>
      </c>
      <c r="B113" s="906">
        <v>188.81578947368422</v>
      </c>
      <c r="C113" s="906" t="s">
        <v>5</v>
      </c>
    </row>
    <row r="114" spans="1:3" ht="15.75" x14ac:dyDescent="0.25">
      <c r="A114" s="907" t="s">
        <v>21</v>
      </c>
      <c r="B114" s="906">
        <v>187.63880707725201</v>
      </c>
      <c r="C114" s="906" t="s">
        <v>5</v>
      </c>
    </row>
    <row r="115" spans="1:3" ht="15.75" x14ac:dyDescent="0.25">
      <c r="A115" s="907" t="s">
        <v>706</v>
      </c>
      <c r="B115" s="906">
        <v>4.6905394504448426</v>
      </c>
      <c r="C115" s="906" t="s">
        <v>5</v>
      </c>
    </row>
    <row r="116" spans="1:3" ht="15.75" x14ac:dyDescent="0.25">
      <c r="A116" s="907" t="s">
        <v>737</v>
      </c>
      <c r="B116" s="906">
        <v>30.048337666666665</v>
      </c>
      <c r="C116" s="906" t="s">
        <v>5</v>
      </c>
    </row>
    <row r="117" spans="1:3" ht="15.75" x14ac:dyDescent="0.25">
      <c r="A117" s="907" t="s">
        <v>718</v>
      </c>
      <c r="B117" s="906">
        <v>72.52870162533786</v>
      </c>
      <c r="C117" s="906" t="s">
        <v>5</v>
      </c>
    </row>
    <row r="120" spans="1:3" ht="16.5" thickBot="1" x14ac:dyDescent="0.3">
      <c r="A120" s="909" t="s">
        <v>3</v>
      </c>
      <c r="B120" s="911" t="s">
        <v>801</v>
      </c>
    </row>
    <row r="121" spans="1:3" ht="15.75" x14ac:dyDescent="0.25">
      <c r="A121" s="1217" t="s">
        <v>505</v>
      </c>
      <c r="B121" s="904">
        <v>15.190444665618017</v>
      </c>
    </row>
    <row r="122" spans="1:3" ht="15.75" x14ac:dyDescent="0.25">
      <c r="A122" s="907" t="s">
        <v>6</v>
      </c>
      <c r="B122" s="906">
        <v>62.479614696768493</v>
      </c>
    </row>
    <row r="123" spans="1:3" ht="15.75" x14ac:dyDescent="0.25">
      <c r="A123" s="905" t="s">
        <v>14</v>
      </c>
      <c r="B123" s="906">
        <v>63.243902439024389</v>
      </c>
    </row>
    <row r="124" spans="1:3" ht="15.75" x14ac:dyDescent="0.25">
      <c r="A124" s="905" t="s">
        <v>45</v>
      </c>
      <c r="B124" s="906">
        <v>63.38089566515135</v>
      </c>
    </row>
    <row r="125" spans="1:3" ht="15.75" x14ac:dyDescent="0.25">
      <c r="A125" s="905" t="s">
        <v>11</v>
      </c>
      <c r="B125" s="906">
        <v>65.189592762974641</v>
      </c>
    </row>
    <row r="126" spans="1:3" ht="15.75" x14ac:dyDescent="0.25">
      <c r="A126" s="907" t="s">
        <v>20</v>
      </c>
      <c r="B126" s="906">
        <v>70.3099556731148</v>
      </c>
    </row>
    <row r="127" spans="1:3" ht="15.75" x14ac:dyDescent="0.25">
      <c r="A127" s="907" t="s">
        <v>774</v>
      </c>
      <c r="B127" s="906">
        <v>72.357347538654381</v>
      </c>
    </row>
    <row r="128" spans="1:3" ht="15.75" x14ac:dyDescent="0.25">
      <c r="A128" s="907" t="s">
        <v>927</v>
      </c>
      <c r="B128" s="906">
        <v>79.34122411262706</v>
      </c>
    </row>
    <row r="129" spans="1:2" ht="15.75" x14ac:dyDescent="0.25">
      <c r="A129" s="907" t="s">
        <v>40</v>
      </c>
      <c r="B129" s="906">
        <v>80.187115848440044</v>
      </c>
    </row>
    <row r="130" spans="1:2" ht="15.75" x14ac:dyDescent="0.25">
      <c r="A130" s="907" t="s">
        <v>23</v>
      </c>
      <c r="B130" s="906">
        <v>81.066526225782809</v>
      </c>
    </row>
    <row r="131" spans="1:2" ht="15.75" x14ac:dyDescent="0.25">
      <c r="A131" s="905" t="s">
        <v>12</v>
      </c>
      <c r="B131" s="906">
        <v>82.297001999999992</v>
      </c>
    </row>
    <row r="132" spans="1:2" ht="15.75" x14ac:dyDescent="0.25">
      <c r="A132" s="907" t="s">
        <v>4</v>
      </c>
      <c r="B132" s="906">
        <v>82.743197912784197</v>
      </c>
    </row>
    <row r="133" spans="1:2" ht="15.75" x14ac:dyDescent="0.25">
      <c r="A133" s="905" t="s">
        <v>13</v>
      </c>
      <c r="B133" s="906">
        <v>85.224281533728515</v>
      </c>
    </row>
    <row r="134" spans="1:2" ht="15.75" x14ac:dyDescent="0.25">
      <c r="A134" s="908" t="s">
        <v>49</v>
      </c>
      <c r="B134" s="906">
        <v>87.395818757750504</v>
      </c>
    </row>
    <row r="135" spans="1:2" ht="15.75" x14ac:dyDescent="0.25">
      <c r="A135" s="907" t="s">
        <v>26</v>
      </c>
      <c r="B135" s="906">
        <v>87.634497474579973</v>
      </c>
    </row>
    <row r="136" spans="1:2" ht="15.75" x14ac:dyDescent="0.25">
      <c r="A136" s="907" t="s">
        <v>48</v>
      </c>
      <c r="B136" s="906">
        <v>100.65016464176222</v>
      </c>
    </row>
    <row r="137" spans="1:2" ht="15.75" x14ac:dyDescent="0.25">
      <c r="A137" s="908" t="s">
        <v>456</v>
      </c>
      <c r="B137" s="906">
        <v>102.9258932709904</v>
      </c>
    </row>
    <row r="138" spans="1:2" ht="15.75" x14ac:dyDescent="0.25">
      <c r="A138" s="907" t="s">
        <v>28</v>
      </c>
      <c r="B138" s="906">
        <v>109.36018957345972</v>
      </c>
    </row>
    <row r="139" spans="1:2" ht="15.75" x14ac:dyDescent="0.25">
      <c r="A139" s="905" t="s">
        <v>18</v>
      </c>
      <c r="B139" s="906">
        <v>122.17274284426267</v>
      </c>
    </row>
    <row r="140" spans="1:2" ht="15.75" x14ac:dyDescent="0.25">
      <c r="A140" s="907" t="s">
        <v>7</v>
      </c>
      <c r="B140" s="906">
        <v>125.3820250444285</v>
      </c>
    </row>
    <row r="141" spans="1:2" ht="15.75" x14ac:dyDescent="0.25">
      <c r="A141" s="907" t="s">
        <v>25</v>
      </c>
      <c r="B141" s="906">
        <v>127.66608936289607</v>
      </c>
    </row>
    <row r="142" spans="1:2" ht="15.75" x14ac:dyDescent="0.25">
      <c r="A142" s="907" t="s">
        <v>47</v>
      </c>
      <c r="B142" s="906">
        <v>128.17115384615386</v>
      </c>
    </row>
    <row r="143" spans="1:2" ht="15.75" x14ac:dyDescent="0.25">
      <c r="A143" s="908" t="s">
        <v>585</v>
      </c>
      <c r="B143" s="906">
        <v>134.57931184906482</v>
      </c>
    </row>
    <row r="144" spans="1:2" ht="15.75" x14ac:dyDescent="0.25">
      <c r="A144" s="908" t="s">
        <v>343</v>
      </c>
      <c r="B144" s="906">
        <v>137.31252578464662</v>
      </c>
    </row>
    <row r="145" spans="1:2" ht="15.75" x14ac:dyDescent="0.25">
      <c r="A145" s="908" t="s">
        <v>586</v>
      </c>
      <c r="B145" s="906">
        <v>151.45451752354484</v>
      </c>
    </row>
    <row r="146" spans="1:2" ht="15.75" x14ac:dyDescent="0.25">
      <c r="A146" s="905" t="s">
        <v>33</v>
      </c>
      <c r="B146" s="906">
        <v>158.51536243585699</v>
      </c>
    </row>
    <row r="147" spans="1:2" ht="15.75" x14ac:dyDescent="0.25">
      <c r="A147" s="905" t="s">
        <v>17</v>
      </c>
      <c r="B147" s="906">
        <v>159.98652745031995</v>
      </c>
    </row>
    <row r="148" spans="1:2" ht="15.75" x14ac:dyDescent="0.25">
      <c r="A148" s="905" t="s">
        <v>910</v>
      </c>
      <c r="B148" s="906">
        <v>163.95908543922985</v>
      </c>
    </row>
    <row r="149" spans="1:2" ht="15.75" x14ac:dyDescent="0.25">
      <c r="A149" s="905" t="s">
        <v>524</v>
      </c>
      <c r="B149" s="906">
        <v>199.91666666666669</v>
      </c>
    </row>
    <row r="150" spans="1:2" ht="15.75" x14ac:dyDescent="0.25">
      <c r="A150" s="905" t="s">
        <v>9</v>
      </c>
      <c r="B150" s="906">
        <v>248.34814236201461</v>
      </c>
    </row>
    <row r="151" spans="1:2" ht="15.75" x14ac:dyDescent="0.25">
      <c r="A151" s="907" t="s">
        <v>22</v>
      </c>
      <c r="B151" s="906">
        <v>298.09524212776626</v>
      </c>
    </row>
    <row r="152" spans="1:2" ht="15.75" x14ac:dyDescent="0.25">
      <c r="A152" s="905" t="s">
        <v>10</v>
      </c>
      <c r="B152" s="906">
        <v>362.5</v>
      </c>
    </row>
    <row r="153" spans="1:2" ht="15.75" x14ac:dyDescent="0.25">
      <c r="A153" s="907" t="s">
        <v>693</v>
      </c>
      <c r="B153" s="906">
        <v>585.60606060606062</v>
      </c>
    </row>
    <row r="154" spans="1:2" ht="15.75" x14ac:dyDescent="0.25">
      <c r="A154" s="907" t="s">
        <v>38</v>
      </c>
      <c r="B154" s="906" t="s">
        <v>5</v>
      </c>
    </row>
    <row r="155" spans="1:2" ht="15.75" x14ac:dyDescent="0.25">
      <c r="A155" s="905" t="s">
        <v>34</v>
      </c>
      <c r="B155" s="906" t="s">
        <v>5</v>
      </c>
    </row>
  </sheetData>
  <sortState ref="A121:B155">
    <sortCondition ref="B121:B155"/>
  </sortState>
  <mergeCells count="4">
    <mergeCell ref="B4:E4"/>
    <mergeCell ref="F4:I4"/>
    <mergeCell ref="J4:M4"/>
    <mergeCell ref="N4:Q4"/>
  </mergeCells>
  <pageMargins left="0.31496062992125984" right="0.31496062992125984" top="0.35433070866141736" bottom="0.35433070866141736" header="0.31496062992125984" footer="0.31496062992125984"/>
  <pageSetup paperSize="9" scale="95" orientation="portrait" r:id="rId1"/>
  <drawing r:id="rId2"/>
  <legacyDrawing r:id="rId3"/>
  <tableParts count="1">
    <tablePart r:id="rId4"/>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V161"/>
  <sheetViews>
    <sheetView topLeftCell="A103" workbookViewId="0">
      <selection activeCell="R13" sqref="R13"/>
    </sheetView>
  </sheetViews>
  <sheetFormatPr defaultColWidth="9.140625" defaultRowHeight="15.75" x14ac:dyDescent="0.25"/>
  <cols>
    <col min="1" max="1" width="41" style="1" bestFit="1" customWidth="1"/>
    <col min="2" max="2" width="19.42578125" style="1" customWidth="1"/>
    <col min="3" max="3" width="18.42578125" style="1" customWidth="1"/>
    <col min="4" max="4" width="20.28515625" style="1" customWidth="1"/>
    <col min="5" max="5" width="19.85546875" style="1" customWidth="1"/>
    <col min="6" max="6" width="17" style="1" customWidth="1"/>
    <col min="7" max="9" width="15.7109375" style="1" customWidth="1"/>
    <col min="10" max="13" width="25.7109375" style="1" customWidth="1"/>
    <col min="14" max="17" width="29.140625" style="1" customWidth="1"/>
    <col min="18" max="19" width="19.5703125" style="1" bestFit="1" customWidth="1"/>
    <col min="20" max="20" width="20" style="1" customWidth="1"/>
    <col min="21" max="21" width="19" style="1" bestFit="1" customWidth="1"/>
    <col min="22" max="22" width="11.28515625" style="1" bestFit="1" customWidth="1"/>
    <col min="23" max="16384" width="9.140625" style="1"/>
  </cols>
  <sheetData>
    <row r="1" spans="1:22" ht="18.75" x14ac:dyDescent="0.3">
      <c r="A1" s="843" t="s">
        <v>1185</v>
      </c>
      <c r="B1" s="853"/>
      <c r="C1" s="25" t="s">
        <v>1293</v>
      </c>
      <c r="D1"/>
      <c r="E1"/>
      <c r="F1"/>
      <c r="G1"/>
      <c r="H1" s="491"/>
      <c r="I1" s="491"/>
      <c r="J1" s="81"/>
      <c r="K1" s="81"/>
      <c r="L1" s="81"/>
      <c r="M1" s="81"/>
      <c r="N1" s="24"/>
      <c r="O1" s="24"/>
      <c r="P1" s="24"/>
      <c r="Q1" s="24"/>
    </row>
    <row r="2" spans="1:22" ht="16.5" thickBot="1" x14ac:dyDescent="0.3">
      <c r="A2" s="530" t="s">
        <v>32</v>
      </c>
      <c r="B2" s="528"/>
      <c r="C2"/>
      <c r="D2"/>
      <c r="E2"/>
      <c r="F2"/>
      <c r="G2"/>
      <c r="H2" s="490"/>
      <c r="I2" s="490"/>
      <c r="J2" s="25"/>
      <c r="K2" s="25"/>
      <c r="L2" s="25"/>
      <c r="M2" s="25"/>
      <c r="N2" s="25"/>
      <c r="O2" s="25"/>
      <c r="P2" s="25"/>
      <c r="Q2" s="25"/>
    </row>
    <row r="4" spans="1:22" ht="65.25" customHeight="1" x14ac:dyDescent="0.25">
      <c r="B4" s="1745" t="s">
        <v>664</v>
      </c>
      <c r="C4" s="1745"/>
      <c r="D4" s="1745"/>
      <c r="E4" s="1745"/>
      <c r="F4" s="1746" t="s">
        <v>660</v>
      </c>
      <c r="G4" s="1746"/>
      <c r="H4" s="1746"/>
      <c r="I4" s="1746"/>
      <c r="J4" s="1747" t="s">
        <v>229</v>
      </c>
      <c r="K4" s="1747"/>
      <c r="L4" s="1747"/>
      <c r="M4" s="1747"/>
      <c r="N4" s="1748" t="s">
        <v>230</v>
      </c>
      <c r="O4" s="1748"/>
      <c r="P4" s="1748"/>
      <c r="Q4" s="1748"/>
      <c r="R4" s="1749" t="s">
        <v>570</v>
      </c>
      <c r="S4" s="1749"/>
      <c r="T4" s="1749"/>
      <c r="U4" s="1749"/>
      <c r="V4"/>
    </row>
    <row r="5" spans="1:22" s="14" customFormat="1" x14ac:dyDescent="0.25">
      <c r="A5" s="14" t="s">
        <v>3</v>
      </c>
      <c r="B5" s="18" t="s">
        <v>828</v>
      </c>
      <c r="C5" s="18" t="s">
        <v>829</v>
      </c>
      <c r="D5" s="18" t="s">
        <v>830</v>
      </c>
      <c r="E5" s="18" t="s">
        <v>831</v>
      </c>
      <c r="F5" s="19" t="s">
        <v>227</v>
      </c>
      <c r="G5" s="19" t="s">
        <v>566</v>
      </c>
      <c r="H5" s="19" t="s">
        <v>659</v>
      </c>
      <c r="I5" s="19" t="s">
        <v>793</v>
      </c>
      <c r="J5" s="74" t="s">
        <v>231</v>
      </c>
      <c r="K5" s="74" t="s">
        <v>567</v>
      </c>
      <c r="L5" s="74" t="s">
        <v>661</v>
      </c>
      <c r="M5" s="74" t="s">
        <v>794</v>
      </c>
      <c r="N5" s="77" t="s">
        <v>232</v>
      </c>
      <c r="O5" s="77" t="s">
        <v>568</v>
      </c>
      <c r="P5" s="77" t="s">
        <v>662</v>
      </c>
      <c r="Q5" s="77" t="s">
        <v>795</v>
      </c>
      <c r="R5" s="20" t="s">
        <v>228</v>
      </c>
      <c r="S5" s="20" t="s">
        <v>569</v>
      </c>
      <c r="T5" s="20" t="s">
        <v>663</v>
      </c>
      <c r="U5" s="20" t="s">
        <v>796</v>
      </c>
      <c r="V5"/>
    </row>
    <row r="6" spans="1:22" s="14" customFormat="1" x14ac:dyDescent="0.25">
      <c r="A6" s="538" t="s">
        <v>33</v>
      </c>
      <c r="B6" s="18" t="s">
        <v>5</v>
      </c>
      <c r="C6" s="18" t="s">
        <v>5</v>
      </c>
      <c r="D6" s="18" t="s">
        <v>5</v>
      </c>
      <c r="E6" s="244">
        <v>3858.903777</v>
      </c>
      <c r="F6" s="19" t="s">
        <v>5</v>
      </c>
      <c r="G6" s="19" t="s">
        <v>5</v>
      </c>
      <c r="H6" s="19" t="s">
        <v>5</v>
      </c>
      <c r="I6" s="19" t="s">
        <v>5</v>
      </c>
      <c r="J6" s="74" t="s">
        <v>5</v>
      </c>
      <c r="K6" s="74" t="s">
        <v>5</v>
      </c>
      <c r="L6" s="74" t="s">
        <v>5</v>
      </c>
      <c r="M6" s="75">
        <v>1543.5615110000001</v>
      </c>
      <c r="N6" s="246">
        <v>0</v>
      </c>
      <c r="O6" s="246" t="s">
        <v>5</v>
      </c>
      <c r="P6" s="246" t="s">
        <v>5</v>
      </c>
      <c r="Q6" s="246">
        <v>0</v>
      </c>
      <c r="R6" s="215">
        <v>1058.109815</v>
      </c>
      <c r="S6" s="215" t="s">
        <v>5</v>
      </c>
      <c r="T6" s="215" t="s">
        <v>5</v>
      </c>
      <c r="U6" s="215">
        <f>Tabel21325[[#This Row],[HH/SB 2016]]</f>
        <v>3858.903777</v>
      </c>
      <c r="V6"/>
    </row>
    <row r="7" spans="1:22" s="14" customFormat="1" x14ac:dyDescent="0.25">
      <c r="A7" s="538" t="s">
        <v>524</v>
      </c>
      <c r="B7" s="244">
        <v>119.20608</v>
      </c>
      <c r="C7" s="244" t="s">
        <v>5</v>
      </c>
      <c r="D7" s="244" t="s">
        <v>5</v>
      </c>
      <c r="E7" s="244">
        <v>89.8</v>
      </c>
      <c r="F7" s="8">
        <v>39.73536</v>
      </c>
      <c r="G7" s="8" t="s">
        <v>5</v>
      </c>
      <c r="H7" s="8" t="s">
        <v>5</v>
      </c>
      <c r="I7" s="8">
        <v>27.9</v>
      </c>
      <c r="J7" s="245">
        <v>0</v>
      </c>
      <c r="K7" s="245" t="s">
        <v>5</v>
      </c>
      <c r="L7" s="245" t="s">
        <v>5</v>
      </c>
      <c r="M7" s="245" t="s">
        <v>5</v>
      </c>
      <c r="N7" s="246">
        <v>0</v>
      </c>
      <c r="O7" s="246" t="s">
        <v>5</v>
      </c>
      <c r="P7" s="246" t="s">
        <v>5</v>
      </c>
      <c r="Q7" s="246" t="s">
        <v>5</v>
      </c>
      <c r="R7" s="215">
        <f>Tabel21325[[#This Row],[HH/SB 2010]]+Tabel21325[[#This Row],[I 2010]]</f>
        <v>158.94144</v>
      </c>
      <c r="S7" s="215" t="s">
        <v>5</v>
      </c>
      <c r="T7" s="215" t="s">
        <v>5</v>
      </c>
      <c r="U7" s="215">
        <f>Tabel21325[[#This Row],[HH/SB 2016]]+Tabel21325[[#This Row],[I 2016]]</f>
        <v>117.69999999999999</v>
      </c>
      <c r="V7"/>
    </row>
    <row r="8" spans="1:22" s="14" customFormat="1" x14ac:dyDescent="0.25">
      <c r="A8" s="538" t="s">
        <v>34</v>
      </c>
      <c r="B8" s="17">
        <v>1297.665</v>
      </c>
      <c r="C8" s="17" t="s">
        <v>5</v>
      </c>
      <c r="D8" s="17">
        <v>1589.3720000000001</v>
      </c>
      <c r="E8" s="17">
        <v>1698.077</v>
      </c>
      <c r="F8" s="8">
        <v>563.15869999999995</v>
      </c>
      <c r="G8" s="8" t="s">
        <v>5</v>
      </c>
      <c r="H8" s="8">
        <v>765.68200000000002</v>
      </c>
      <c r="I8" s="8">
        <v>1043.011</v>
      </c>
      <c r="J8" s="75">
        <v>636.15530000000001</v>
      </c>
      <c r="K8" s="75" t="s">
        <v>5</v>
      </c>
      <c r="L8" s="75">
        <v>175.096</v>
      </c>
      <c r="M8" s="75">
        <v>232.827</v>
      </c>
      <c r="N8" s="78" t="s">
        <v>5</v>
      </c>
      <c r="O8" s="78" t="s">
        <v>5</v>
      </c>
      <c r="P8" s="78">
        <v>0</v>
      </c>
      <c r="Q8" s="78">
        <v>0</v>
      </c>
      <c r="R8" s="215">
        <f>Tabel21325[[#This Row],[HH/SB 2010]]+Tabel21325[[#This Row],[I 2010]]</f>
        <v>1860.8236999999999</v>
      </c>
      <c r="S8" s="215" t="s">
        <v>5</v>
      </c>
      <c r="T8" s="215">
        <f>Tabel21325[[#This Row],[HH/SB 2014]]+Tabel21325[[#This Row],[I 2014]]</f>
        <v>2355.0540000000001</v>
      </c>
      <c r="U8" s="215">
        <f>Tabel21325[[#This Row],[HH/SB 2016]]+Tabel21325[[#This Row],[I 2016]]</f>
        <v>2741.0879999999997</v>
      </c>
      <c r="V8"/>
    </row>
    <row r="9" spans="1:22" x14ac:dyDescent="0.25">
      <c r="A9" s="537" t="s">
        <v>4</v>
      </c>
      <c r="B9" s="17">
        <v>380.91500000000002</v>
      </c>
      <c r="C9" s="17">
        <v>419</v>
      </c>
      <c r="D9" s="17" t="s">
        <v>5</v>
      </c>
      <c r="E9" s="17">
        <v>493.7</v>
      </c>
      <c r="F9" s="8">
        <v>102</v>
      </c>
      <c r="G9" s="8">
        <v>105</v>
      </c>
      <c r="H9" s="8" t="s">
        <v>5</v>
      </c>
      <c r="I9" s="8">
        <v>36.299999999999997</v>
      </c>
      <c r="J9" s="75">
        <v>44</v>
      </c>
      <c r="K9" s="75">
        <v>50</v>
      </c>
      <c r="L9" s="75" t="s">
        <v>5</v>
      </c>
      <c r="M9" s="75">
        <v>37</v>
      </c>
      <c r="N9" s="78">
        <v>0</v>
      </c>
      <c r="O9" s="78">
        <v>0</v>
      </c>
      <c r="P9" s="78" t="s">
        <v>5</v>
      </c>
      <c r="Q9" s="78">
        <v>0</v>
      </c>
      <c r="R9" s="215">
        <f>Tabel21325[[#This Row],[HH/SB 2010]]+Tabel21325[[#This Row],[I 2010]]</f>
        <v>482.91500000000002</v>
      </c>
      <c r="S9" s="215">
        <f>Tabel21325[[#This Row],[HH/SB 2012]]+Tabel21325[[#This Row],[I 2012]]</f>
        <v>524</v>
      </c>
      <c r="T9" s="215" t="s">
        <v>5</v>
      </c>
      <c r="U9" s="215">
        <f>Tabel21325[[#This Row],[HH/SB 2016]]+Tabel21325[[#This Row],[I 2016]]</f>
        <v>530</v>
      </c>
      <c r="V9"/>
    </row>
    <row r="10" spans="1:22" x14ac:dyDescent="0.25">
      <c r="A10" s="537" t="s">
        <v>6</v>
      </c>
      <c r="B10" s="17">
        <v>439.44499999999999</v>
      </c>
      <c r="C10" s="17">
        <v>274.90721500000001</v>
      </c>
      <c r="D10" s="17">
        <v>391.43026400000002</v>
      </c>
      <c r="E10" s="17">
        <v>399.43971800000003</v>
      </c>
      <c r="F10" s="8">
        <v>143.88999999999999</v>
      </c>
      <c r="G10" s="8">
        <v>191.02180799999999</v>
      </c>
      <c r="H10" s="8">
        <v>169.58753400000001</v>
      </c>
      <c r="I10" s="8">
        <v>162.14998</v>
      </c>
      <c r="J10" s="75">
        <v>139.72300000000001</v>
      </c>
      <c r="K10" s="75">
        <v>144.800344</v>
      </c>
      <c r="L10" s="75">
        <v>128.12128000000001</v>
      </c>
      <c r="M10" s="75">
        <v>140.81084300000001</v>
      </c>
      <c r="N10" s="78">
        <v>0</v>
      </c>
      <c r="O10" s="78">
        <v>3.496534</v>
      </c>
      <c r="P10" s="78" t="s">
        <v>5</v>
      </c>
      <c r="Q10" s="78">
        <v>2.9210669999999999</v>
      </c>
      <c r="R10" s="215">
        <f>Tabel21325[[#This Row],[HH/SB 2010]]+Tabel21325[[#This Row],[I 2010]]</f>
        <v>583.33500000000004</v>
      </c>
      <c r="S10" s="215">
        <f>Tabel21325[[#This Row],[HH/SB 2012]]+Tabel21325[[#This Row],[I 2012]]</f>
        <v>465.92902300000003</v>
      </c>
      <c r="T10" s="215">
        <f>Tabel21325[[#This Row],[HH/SB 2014]]+Tabel21325[[#This Row],[I 2014]]</f>
        <v>561.01779800000008</v>
      </c>
      <c r="U10" s="215">
        <f>Tabel21325[[#This Row],[HH/SB 2016]]+Tabel21325[[#This Row],[I 2016]]</f>
        <v>561.589698</v>
      </c>
      <c r="V10"/>
    </row>
    <row r="11" spans="1:22" x14ac:dyDescent="0.25">
      <c r="A11" s="688" t="s">
        <v>49</v>
      </c>
      <c r="B11" s="17" t="s">
        <v>5</v>
      </c>
      <c r="C11" s="17" t="s">
        <v>5</v>
      </c>
      <c r="D11" s="17" t="s">
        <v>5</v>
      </c>
      <c r="E11" s="17" t="s">
        <v>5</v>
      </c>
      <c r="F11" s="8" t="s">
        <v>5</v>
      </c>
      <c r="G11" s="8" t="s">
        <v>5</v>
      </c>
      <c r="H11" s="8" t="s">
        <v>5</v>
      </c>
      <c r="I11" s="8" t="s">
        <v>5</v>
      </c>
      <c r="J11" s="75" t="s">
        <v>5</v>
      </c>
      <c r="K11" s="75" t="s">
        <v>5</v>
      </c>
      <c r="L11" s="75" t="s">
        <v>5</v>
      </c>
      <c r="M11" s="75" t="s">
        <v>5</v>
      </c>
      <c r="N11" s="78">
        <v>0</v>
      </c>
      <c r="O11" s="78">
        <v>0</v>
      </c>
      <c r="P11" s="78">
        <v>0</v>
      </c>
      <c r="Q11" s="78">
        <v>0</v>
      </c>
      <c r="R11" s="215">
        <v>8418.2170000000006</v>
      </c>
      <c r="S11" s="215">
        <v>9355.7780000000002</v>
      </c>
      <c r="T11" s="215">
        <v>10132.306</v>
      </c>
      <c r="U11" s="215" t="e">
        <f>Tabel21325[[#This Row],[HH/SB 2016]]+Tabel21325[[#This Row],[I 2016]]</f>
        <v>#VALUE!</v>
      </c>
      <c r="V11"/>
    </row>
    <row r="12" spans="1:22" x14ac:dyDescent="0.25">
      <c r="A12" s="537" t="s">
        <v>7</v>
      </c>
      <c r="B12" s="17" t="s">
        <v>5</v>
      </c>
      <c r="C12" s="17">
        <v>313.02999999999997</v>
      </c>
      <c r="D12" s="17" t="s">
        <v>5</v>
      </c>
      <c r="E12" s="17" t="s">
        <v>5</v>
      </c>
      <c r="F12" s="8" t="s">
        <v>5</v>
      </c>
      <c r="G12" s="8">
        <v>57.22</v>
      </c>
      <c r="H12" s="8" t="s">
        <v>5</v>
      </c>
      <c r="I12" s="8" t="s">
        <v>5</v>
      </c>
      <c r="J12" s="75" t="s">
        <v>5</v>
      </c>
      <c r="K12" s="75">
        <v>5.19</v>
      </c>
      <c r="L12" s="75" t="s">
        <v>5</v>
      </c>
      <c r="M12" s="75" t="s">
        <v>5</v>
      </c>
      <c r="N12" s="78" t="s">
        <v>5</v>
      </c>
      <c r="O12" s="78">
        <v>0</v>
      </c>
      <c r="P12" s="78" t="s">
        <v>5</v>
      </c>
      <c r="Q12" s="78" t="s">
        <v>5</v>
      </c>
      <c r="R12" s="215">
        <v>354.49240300000002</v>
      </c>
      <c r="S12" s="215">
        <f>Tabel21325[[#This Row],[HH/SB 2012]]+Tabel21325[[#This Row],[I 2012]]</f>
        <v>370.25</v>
      </c>
      <c r="T12" s="215" t="s">
        <v>5</v>
      </c>
      <c r="U12" s="215">
        <v>349.45333399999998</v>
      </c>
      <c r="V12"/>
    </row>
    <row r="13" spans="1:22" x14ac:dyDescent="0.25">
      <c r="A13" s="256" t="s">
        <v>501</v>
      </c>
      <c r="B13" s="17">
        <v>41.301000000000002</v>
      </c>
      <c r="C13" s="17"/>
      <c r="D13" s="17"/>
      <c r="E13" s="17"/>
      <c r="F13" s="8">
        <v>7.5588009999999999</v>
      </c>
      <c r="G13" s="8"/>
      <c r="H13" s="8"/>
      <c r="I13" s="8"/>
      <c r="J13" s="75">
        <v>0</v>
      </c>
      <c r="K13" s="75"/>
      <c r="L13" s="75"/>
      <c r="M13" s="75"/>
      <c r="N13" s="78">
        <v>0</v>
      </c>
      <c r="O13" s="78"/>
      <c r="P13" s="78"/>
      <c r="Q13" s="78"/>
      <c r="R13" s="215">
        <f>Tabel21325[[#This Row],[HH/SB 2010]]+Tabel21325[[#This Row],[I 2010]]</f>
        <v>48.859801000000004</v>
      </c>
      <c r="S13" s="215" t="s">
        <v>5</v>
      </c>
      <c r="T13" s="215">
        <f>Tabel21325[[#This Row],[HH/SB 2014]]+Tabel21325[[#This Row],[I 2014]]</f>
        <v>0</v>
      </c>
      <c r="U13" s="215">
        <f>Tabel21325[[#This Row],[HH/SB 2016]]+Tabel21325[[#This Row],[I 2016]]</f>
        <v>0</v>
      </c>
      <c r="V13"/>
    </row>
    <row r="14" spans="1:22" x14ac:dyDescent="0.25">
      <c r="A14" s="688" t="s">
        <v>343</v>
      </c>
      <c r="B14" s="17">
        <v>1787.79152</v>
      </c>
      <c r="C14" s="17">
        <v>1228.433</v>
      </c>
      <c r="D14" s="17">
        <v>1381.43</v>
      </c>
      <c r="E14" s="17">
        <v>1375.3789999999999</v>
      </c>
      <c r="F14" s="8">
        <v>0</v>
      </c>
      <c r="G14" s="8">
        <v>0</v>
      </c>
      <c r="H14" s="8">
        <v>0</v>
      </c>
      <c r="I14" s="8">
        <v>0</v>
      </c>
      <c r="J14" s="75">
        <v>114.25071</v>
      </c>
      <c r="K14" s="75">
        <v>181.72200000000001</v>
      </c>
      <c r="L14" s="75">
        <v>190.2</v>
      </c>
      <c r="M14" s="75">
        <v>110.18600000000001</v>
      </c>
      <c r="N14" s="78">
        <v>0</v>
      </c>
      <c r="O14" s="78">
        <v>0</v>
      </c>
      <c r="P14" s="78">
        <v>0</v>
      </c>
      <c r="Q14" s="78">
        <v>0</v>
      </c>
      <c r="R14" s="215">
        <f>Tabel21325[[#This Row],[HH/SB 2010]]+Tabel21325[[#This Row],[I 2010]]</f>
        <v>1787.79152</v>
      </c>
      <c r="S14" s="215">
        <f>Tabel21325[[#This Row],[HH/SB 2012]]+Tabel21325[[#This Row],[I 2012]]</f>
        <v>1228.433</v>
      </c>
      <c r="T14" s="215">
        <f>Tabel21325[[#This Row],[HH/SB 2014]]+Tabel21325[[#This Row],[I 2014]]</f>
        <v>1381.43</v>
      </c>
      <c r="U14" s="215">
        <f>Tabel21325[[#This Row],[HH/SB 2016]]+Tabel21325[[#This Row],[I 2016]]</f>
        <v>1375.3789999999999</v>
      </c>
      <c r="V14"/>
    </row>
    <row r="15" spans="1:22" x14ac:dyDescent="0.25">
      <c r="A15" s="28" t="s">
        <v>489</v>
      </c>
      <c r="B15" s="17" t="s">
        <v>5</v>
      </c>
      <c r="C15" s="17" t="s">
        <v>5</v>
      </c>
      <c r="D15" s="17">
        <v>997.690653</v>
      </c>
      <c r="E15" s="17"/>
      <c r="F15" s="8" t="s">
        <v>5</v>
      </c>
      <c r="G15" s="8" t="s">
        <v>5</v>
      </c>
      <c r="H15" s="8">
        <v>110.740745</v>
      </c>
      <c r="I15" s="8"/>
      <c r="J15" s="75">
        <v>0</v>
      </c>
      <c r="K15" s="75" t="s">
        <v>5</v>
      </c>
      <c r="L15" s="75">
        <v>562.10186999999996</v>
      </c>
      <c r="M15" s="75"/>
      <c r="N15" s="78">
        <v>0</v>
      </c>
      <c r="O15" s="78">
        <v>0</v>
      </c>
      <c r="P15" s="78">
        <v>0</v>
      </c>
      <c r="Q15" s="78"/>
      <c r="R15" s="215">
        <v>1007</v>
      </c>
      <c r="S15" s="215" t="s">
        <v>5</v>
      </c>
      <c r="T15" s="215">
        <f>Tabel21325[[#This Row],[HH/SB 2014]]+Tabel21325[[#This Row],[I 2014]]</f>
        <v>1108.4313979999999</v>
      </c>
      <c r="U15" s="215">
        <f>Tabel21325[[#This Row],[HH/SB 2016]]+Tabel21325[[#This Row],[I 2016]]</f>
        <v>0</v>
      </c>
      <c r="V15"/>
    </row>
    <row r="16" spans="1:22" x14ac:dyDescent="0.25">
      <c r="A16" s="537" t="s">
        <v>8</v>
      </c>
      <c r="B16" s="17">
        <v>12625</v>
      </c>
      <c r="C16" s="17">
        <v>14224.9902</v>
      </c>
      <c r="D16" s="17">
        <v>21280</v>
      </c>
      <c r="E16" s="17">
        <v>21714</v>
      </c>
      <c r="F16" s="8">
        <v>5857</v>
      </c>
      <c r="G16" s="8">
        <v>6238.7415000000001</v>
      </c>
      <c r="H16" s="8">
        <v>6363</v>
      </c>
      <c r="I16" s="8">
        <v>8056</v>
      </c>
      <c r="J16" s="75">
        <v>8654</v>
      </c>
      <c r="K16" s="75">
        <v>18193.178599999999</v>
      </c>
      <c r="L16" s="75">
        <v>13130</v>
      </c>
      <c r="M16" s="75">
        <v>12414</v>
      </c>
      <c r="N16" s="78">
        <v>0</v>
      </c>
      <c r="O16" s="78">
        <v>0</v>
      </c>
      <c r="P16" s="78">
        <v>0</v>
      </c>
      <c r="Q16" s="78">
        <v>0</v>
      </c>
      <c r="R16" s="215">
        <f>Tabel21325[[#This Row],[HH/SB 2010]]+Tabel21325[[#This Row],[I 2010]]</f>
        <v>18482</v>
      </c>
      <c r="S16" s="215">
        <f>Tabel21325[[#This Row],[HH/SB 2012]]+Tabel21325[[#This Row],[I 2012]]</f>
        <v>20463.7317</v>
      </c>
      <c r="T16" s="215">
        <f>Tabel21325[[#This Row],[HH/SB 2014]]+Tabel21325[[#This Row],[I 2014]]</f>
        <v>27643</v>
      </c>
      <c r="U16" s="215">
        <f>Tabel21325[[#This Row],[HH/SB 2016]]+Tabel21325[[#This Row],[I 2016]]</f>
        <v>29770</v>
      </c>
      <c r="V16"/>
    </row>
    <row r="17" spans="1:22" x14ac:dyDescent="0.25">
      <c r="A17" s="688" t="s">
        <v>585</v>
      </c>
      <c r="B17" s="17">
        <v>551</v>
      </c>
      <c r="C17" s="17">
        <v>546</v>
      </c>
      <c r="D17" s="17">
        <v>560</v>
      </c>
      <c r="E17" s="17">
        <v>580</v>
      </c>
      <c r="F17" s="8">
        <v>384.56</v>
      </c>
      <c r="G17" s="8">
        <v>389.43</v>
      </c>
      <c r="H17" s="8">
        <v>399.46</v>
      </c>
      <c r="I17" s="8">
        <v>407.22</v>
      </c>
      <c r="J17" s="75">
        <v>0</v>
      </c>
      <c r="K17" s="75">
        <v>0</v>
      </c>
      <c r="L17" s="75">
        <v>0</v>
      </c>
      <c r="M17" s="75">
        <v>0</v>
      </c>
      <c r="N17" s="78">
        <v>0</v>
      </c>
      <c r="O17" s="78">
        <v>0</v>
      </c>
      <c r="P17" s="78">
        <v>0</v>
      </c>
      <c r="Q17" s="78">
        <v>0</v>
      </c>
      <c r="R17" s="215">
        <f>Tabel21325[[#This Row],[HH/SB 2010]]+Tabel21325[[#This Row],[I 2010]]</f>
        <v>935.56</v>
      </c>
      <c r="S17" s="215">
        <f>Tabel21325[[#This Row],[HH/SB 2012]]+Tabel21325[[#This Row],[I 2012]]</f>
        <v>935.43000000000006</v>
      </c>
      <c r="T17" s="215">
        <f>Tabel21325[[#This Row],[HH/SB 2014]]+Tabel21325[[#This Row],[I 2014]]</f>
        <v>959.46</v>
      </c>
      <c r="U17" s="215">
        <f>Tabel21325[[#This Row],[HH/SB 2016]]+Tabel21325[[#This Row],[I 2016]]</f>
        <v>987.22</v>
      </c>
      <c r="V17"/>
    </row>
    <row r="18" spans="1:22" x14ac:dyDescent="0.25">
      <c r="A18" s="538" t="s">
        <v>9</v>
      </c>
      <c r="B18" s="17">
        <v>1975.7976229999999</v>
      </c>
      <c r="C18" s="17">
        <v>1981.997165</v>
      </c>
      <c r="D18" s="17">
        <v>2179.0828019999999</v>
      </c>
      <c r="E18" s="17">
        <v>2375.33275</v>
      </c>
      <c r="F18" s="8">
        <v>712.59144500000002</v>
      </c>
      <c r="G18" s="8">
        <v>749.72342300000003</v>
      </c>
      <c r="H18" s="8">
        <v>792.49196400000005</v>
      </c>
      <c r="I18" s="8">
        <v>616.87</v>
      </c>
      <c r="J18" s="75">
        <v>1176.7220380000001</v>
      </c>
      <c r="K18" s="75">
        <v>1111.9850650000001</v>
      </c>
      <c r="L18" s="75">
        <v>1055.930934</v>
      </c>
      <c r="M18" s="75">
        <v>954.15442700000006</v>
      </c>
      <c r="N18" s="78">
        <v>0</v>
      </c>
      <c r="O18" s="78">
        <v>0</v>
      </c>
      <c r="P18" s="78">
        <v>0</v>
      </c>
      <c r="Q18" s="78">
        <v>0</v>
      </c>
      <c r="R18" s="215">
        <f>Tabel21325[[#This Row],[HH/SB 2010]]+Tabel21325[[#This Row],[I 2010]]</f>
        <v>2688.389068</v>
      </c>
      <c r="S18" s="215">
        <f>Tabel21325[[#This Row],[HH/SB 2012]]+Tabel21325[[#This Row],[I 2012]]</f>
        <v>2731.7205880000001</v>
      </c>
      <c r="T18" s="215">
        <f>Tabel21325[[#This Row],[HH/SB 2014]]+Tabel21325[[#This Row],[I 2014]]</f>
        <v>2971.5747659999997</v>
      </c>
      <c r="U18" s="215">
        <f>Tabel21325[[#This Row],[HH/SB 2016]]+Tabel21325[[#This Row],[I 2016]]</f>
        <v>2992.2027499999999</v>
      </c>
      <c r="V18"/>
    </row>
    <row r="19" spans="1:22" x14ac:dyDescent="0.25">
      <c r="A19" s="538" t="s">
        <v>10</v>
      </c>
      <c r="B19" s="17">
        <v>67.033860000000004</v>
      </c>
      <c r="C19" s="17">
        <v>65.582999999999998</v>
      </c>
      <c r="D19" s="17">
        <v>70.5</v>
      </c>
      <c r="E19" s="17">
        <v>75</v>
      </c>
      <c r="F19" s="8">
        <v>1.955532</v>
      </c>
      <c r="G19" s="8">
        <f>1.917</f>
        <v>1.917</v>
      </c>
      <c r="H19" s="8">
        <v>4.5</v>
      </c>
      <c r="I19" s="8">
        <v>5</v>
      </c>
      <c r="J19" s="75">
        <v>22.996464</v>
      </c>
      <c r="K19" s="75">
        <v>22.5</v>
      </c>
      <c r="L19" s="75">
        <v>25</v>
      </c>
      <c r="M19" s="75">
        <v>30</v>
      </c>
      <c r="N19" s="78">
        <v>0</v>
      </c>
      <c r="O19" s="78">
        <v>0</v>
      </c>
      <c r="P19" s="78">
        <v>0</v>
      </c>
      <c r="Q19" s="78">
        <v>0</v>
      </c>
      <c r="R19" s="215">
        <f>Tabel21325[[#This Row],[HH/SB 2010]]+Tabel21325[[#This Row],[I 2010]]</f>
        <v>68.989392000000009</v>
      </c>
      <c r="S19" s="215">
        <f>Tabel21325[[#This Row],[HH/SB 2012]]+Tabel21325[[#This Row],[I 2012]]</f>
        <v>67.5</v>
      </c>
      <c r="T19" s="215">
        <f>Tabel21325[[#This Row],[HH/SB 2014]]+Tabel21325[[#This Row],[I 2014]]</f>
        <v>75</v>
      </c>
      <c r="U19" s="215">
        <f>Tabel21325[[#This Row],[HH/SB 2016]]+Tabel21325[[#This Row],[I 2016]]</f>
        <v>80</v>
      </c>
      <c r="V19"/>
    </row>
    <row r="20" spans="1:22" x14ac:dyDescent="0.25">
      <c r="A20" s="538" t="s">
        <v>910</v>
      </c>
      <c r="B20" s="17" t="s">
        <v>5</v>
      </c>
      <c r="C20" s="17" t="s">
        <v>5</v>
      </c>
      <c r="D20" s="17" t="s">
        <v>5</v>
      </c>
      <c r="E20" s="17">
        <v>322.3</v>
      </c>
      <c r="F20" s="8" t="s">
        <v>5</v>
      </c>
      <c r="G20" s="8" t="s">
        <v>5</v>
      </c>
      <c r="H20" s="8" t="s">
        <v>5</v>
      </c>
      <c r="I20" s="8">
        <v>156.6</v>
      </c>
      <c r="J20" s="75" t="s">
        <v>5</v>
      </c>
      <c r="K20" s="75" t="s">
        <v>5</v>
      </c>
      <c r="L20" s="75" t="s">
        <v>5</v>
      </c>
      <c r="M20" s="75">
        <v>106.5</v>
      </c>
      <c r="N20" s="78" t="s">
        <v>5</v>
      </c>
      <c r="O20" s="78" t="s">
        <v>5</v>
      </c>
      <c r="P20" s="78" t="s">
        <v>5</v>
      </c>
      <c r="Q20" s="78">
        <v>0</v>
      </c>
      <c r="R20" s="215" t="s">
        <v>5</v>
      </c>
      <c r="S20" s="215" t="s">
        <v>5</v>
      </c>
      <c r="T20" s="215" t="s">
        <v>5</v>
      </c>
      <c r="U20" s="215">
        <f>Tabel21325[[#This Row],[HH/SB 2016]]+Tabel21325[[#This Row],[I 2016]]</f>
        <v>478.9</v>
      </c>
      <c r="V20"/>
    </row>
    <row r="21" spans="1:22" x14ac:dyDescent="0.25">
      <c r="A21" s="538" t="s">
        <v>11</v>
      </c>
      <c r="B21" s="17">
        <v>315.921606</v>
      </c>
      <c r="C21" s="17">
        <v>300.90699999999998</v>
      </c>
      <c r="D21" s="17">
        <v>304</v>
      </c>
      <c r="E21" s="17">
        <v>285</v>
      </c>
      <c r="F21" s="8">
        <f>52.285394</f>
        <v>52.285393999999997</v>
      </c>
      <c r="G21" s="8">
        <v>45.280999999999999</v>
      </c>
      <c r="H21" s="8">
        <v>51</v>
      </c>
      <c r="I21" s="8">
        <v>48</v>
      </c>
      <c r="J21" s="75">
        <v>0</v>
      </c>
      <c r="K21" s="75">
        <v>0</v>
      </c>
      <c r="L21" s="75">
        <v>0</v>
      </c>
      <c r="M21" s="75">
        <v>0</v>
      </c>
      <c r="N21" s="78">
        <v>0</v>
      </c>
      <c r="O21" s="78">
        <v>0</v>
      </c>
      <c r="P21" s="78">
        <v>0</v>
      </c>
      <c r="Q21" s="78">
        <v>0</v>
      </c>
      <c r="R21" s="215">
        <f>Tabel21325[[#This Row],[HH/SB 2010]]+Tabel21325[[#This Row],[I 2010]]</f>
        <v>368.20699999999999</v>
      </c>
      <c r="S21" s="215">
        <f>Tabel21325[[#This Row],[HH/SB 2012]]+Tabel21325[[#This Row],[I 2012]]</f>
        <v>346.18799999999999</v>
      </c>
      <c r="T21" s="215">
        <f>Tabel21325[[#This Row],[HH/SB 2014]]+Tabel21325[[#This Row],[I 2014]]</f>
        <v>355</v>
      </c>
      <c r="U21" s="215">
        <f>Tabel21325[[#This Row],[HH/SB 2016]]+Tabel21325[[#This Row],[I 2016]]</f>
        <v>333</v>
      </c>
      <c r="V21"/>
    </row>
    <row r="22" spans="1:22" x14ac:dyDescent="0.25">
      <c r="A22" s="688" t="s">
        <v>456</v>
      </c>
      <c r="B22" s="17">
        <v>3148.0446999999999</v>
      </c>
      <c r="C22" s="17">
        <v>3148.0481370000002</v>
      </c>
      <c r="D22" s="17">
        <v>3109.5030000000002</v>
      </c>
      <c r="E22" s="17">
        <v>3148.0481370000002</v>
      </c>
      <c r="F22" s="8">
        <v>1190.3489500000001</v>
      </c>
      <c r="G22" s="8">
        <v>1190.3483490000001</v>
      </c>
      <c r="H22" s="8">
        <v>1129.672</v>
      </c>
      <c r="I22" s="8">
        <v>1190.3483490000001</v>
      </c>
      <c r="J22" s="75">
        <v>95.32705</v>
      </c>
      <c r="K22" s="75">
        <v>81.402485999999996</v>
      </c>
      <c r="L22" s="75">
        <v>70.665999999999997</v>
      </c>
      <c r="M22" s="75">
        <v>81.402485999999996</v>
      </c>
      <c r="N22" s="78">
        <v>0</v>
      </c>
      <c r="O22" s="78">
        <v>0</v>
      </c>
      <c r="P22" s="78">
        <v>0</v>
      </c>
      <c r="Q22" s="78">
        <v>0</v>
      </c>
      <c r="R22" s="215">
        <f>Tabel21325[[#This Row],[HH/SB 2010]]+Tabel21325[[#This Row],[I 2010]]</f>
        <v>4338.39365</v>
      </c>
      <c r="S22" s="215">
        <f>Tabel21325[[#This Row],[HH/SB 2012]]+Tabel21325[[#This Row],[I 2012]]</f>
        <v>4338.3964860000006</v>
      </c>
      <c r="T22" s="215">
        <f>Tabel21325[[#This Row],[HH/SB 2014]]+Tabel21325[[#This Row],[I 2014]]</f>
        <v>4239.1750000000002</v>
      </c>
      <c r="U22" s="215">
        <f>Tabel21325[[#This Row],[HH/SB 2016]]+Tabel21325[[#This Row],[I 2016]]</f>
        <v>4338.3964860000006</v>
      </c>
      <c r="V22"/>
    </row>
    <row r="23" spans="1:22" x14ac:dyDescent="0.25">
      <c r="A23" s="538" t="s">
        <v>12</v>
      </c>
      <c r="B23" s="17">
        <v>303</v>
      </c>
      <c r="C23" s="17">
        <v>303</v>
      </c>
      <c r="D23" s="17">
        <v>311.48500999999999</v>
      </c>
      <c r="E23" s="17">
        <v>311.48500999999999</v>
      </c>
      <c r="F23" s="8">
        <v>53</v>
      </c>
      <c r="G23" s="8">
        <v>53</v>
      </c>
      <c r="H23" s="8">
        <v>40</v>
      </c>
      <c r="I23" s="8">
        <v>40</v>
      </c>
      <c r="J23" s="75">
        <v>73</v>
      </c>
      <c r="K23" s="75">
        <v>73</v>
      </c>
      <c r="L23" s="75">
        <v>60</v>
      </c>
      <c r="M23" s="75">
        <v>60</v>
      </c>
      <c r="N23" s="78">
        <v>0</v>
      </c>
      <c r="O23" s="78">
        <v>0</v>
      </c>
      <c r="P23" s="78">
        <v>0</v>
      </c>
      <c r="Q23" s="78">
        <v>0</v>
      </c>
      <c r="R23" s="215">
        <f>Tabel21325[[#This Row],[HH/SB 2010]]+Tabel21325[[#This Row],[I 2010]]</f>
        <v>356</v>
      </c>
      <c r="S23" s="215">
        <f>Tabel21325[[#This Row],[HH/SB 2012]]+Tabel21325[[#This Row],[I 2012]]</f>
        <v>356</v>
      </c>
      <c r="T23" s="215">
        <f>Tabel21325[[#This Row],[HH/SB 2014]]+Tabel21325[[#This Row],[I 2014]]</f>
        <v>351.48500999999999</v>
      </c>
      <c r="U23" s="215">
        <f>Tabel21325[[#This Row],[HH/SB 2016]]+Tabel21325[[#This Row],[I 2016]]</f>
        <v>351.48500999999999</v>
      </c>
      <c r="V23"/>
    </row>
    <row r="24" spans="1:22" x14ac:dyDescent="0.25">
      <c r="A24" s="538" t="s">
        <v>13</v>
      </c>
      <c r="B24" s="17" t="s">
        <v>5</v>
      </c>
      <c r="C24" s="17">
        <v>3509.3765269999999</v>
      </c>
      <c r="D24" s="17">
        <v>3816</v>
      </c>
      <c r="E24" s="17">
        <v>3900</v>
      </c>
      <c r="F24" s="8" t="s">
        <v>5</v>
      </c>
      <c r="G24" s="8">
        <v>452.23924299999999</v>
      </c>
      <c r="H24" s="8">
        <f>4445.8-Tabel21325[[#This Row],[HH/SB 2014]]</f>
        <v>629.80000000000018</v>
      </c>
      <c r="I24" s="8">
        <f>4542.4-3900</f>
        <v>642.39999999999964</v>
      </c>
      <c r="J24" s="75" t="s">
        <v>5</v>
      </c>
      <c r="K24" s="75">
        <v>0</v>
      </c>
      <c r="L24" s="75">
        <v>0</v>
      </c>
      <c r="M24" s="75">
        <v>0</v>
      </c>
      <c r="N24" s="78">
        <v>0</v>
      </c>
      <c r="O24" s="78">
        <v>0</v>
      </c>
      <c r="P24" s="78">
        <v>0</v>
      </c>
      <c r="Q24" s="78">
        <v>0</v>
      </c>
      <c r="R24" s="215">
        <v>3800</v>
      </c>
      <c r="S24" s="215">
        <f>Tabel21325[[#This Row],[HH/SB 2012]]+Tabel21325[[#This Row],[I 2012]]</f>
        <v>3961.6157699999999</v>
      </c>
      <c r="T24" s="215">
        <f>Tabel21325[[#This Row],[HH/SB 2014]]+Tabel21325[[#This Row],[I 2014]]</f>
        <v>4445.8</v>
      </c>
      <c r="U24" s="215">
        <f>Tabel21325[[#This Row],[HH/SB 2016]]+Tabel21325[[#This Row],[I 2016]]</f>
        <v>4542.3999999999996</v>
      </c>
      <c r="V24"/>
    </row>
    <row r="25" spans="1:22" x14ac:dyDescent="0.25">
      <c r="A25" s="255" t="s">
        <v>521</v>
      </c>
      <c r="B25" s="17" t="s">
        <v>5</v>
      </c>
      <c r="C25" s="17"/>
      <c r="D25" s="17"/>
      <c r="E25" s="17"/>
      <c r="F25" s="8" t="s">
        <v>5</v>
      </c>
      <c r="G25" s="8"/>
      <c r="H25" s="8"/>
      <c r="I25" s="8"/>
      <c r="J25" s="75">
        <v>0</v>
      </c>
      <c r="K25" s="75"/>
      <c r="L25" s="75"/>
      <c r="M25" s="75"/>
      <c r="N25" s="78">
        <v>0</v>
      </c>
      <c r="O25" s="78"/>
      <c r="P25" s="78"/>
      <c r="Q25" s="78"/>
      <c r="R25" s="215">
        <v>62.636000000000003</v>
      </c>
      <c r="S25" s="215" t="s">
        <v>5</v>
      </c>
      <c r="T25" s="215">
        <f>Tabel21325[[#This Row],[HH/SB 2014]]+Tabel21325[[#This Row],[I 2014]]</f>
        <v>0</v>
      </c>
      <c r="U25" s="215">
        <f>Tabel21325[[#This Row],[HH/SB 2016]]+Tabel21325[[#This Row],[I 2016]]</f>
        <v>0</v>
      </c>
      <c r="V25"/>
    </row>
    <row r="26" spans="1:22" x14ac:dyDescent="0.25">
      <c r="A26" s="538" t="s">
        <v>14</v>
      </c>
      <c r="B26" s="17">
        <v>3577</v>
      </c>
      <c r="C26" s="17">
        <v>3564</v>
      </c>
      <c r="D26" s="17">
        <v>3549</v>
      </c>
      <c r="E26" s="17">
        <v>3654</v>
      </c>
      <c r="F26" s="8">
        <v>923</v>
      </c>
      <c r="G26" s="8">
        <v>927</v>
      </c>
      <c r="H26" s="8">
        <v>930</v>
      </c>
      <c r="I26" s="8">
        <v>925</v>
      </c>
      <c r="J26" s="75">
        <v>0</v>
      </c>
      <c r="K26" s="75">
        <v>0</v>
      </c>
      <c r="L26" s="75">
        <v>0</v>
      </c>
      <c r="M26" s="75">
        <v>0</v>
      </c>
      <c r="N26" s="78">
        <v>0</v>
      </c>
      <c r="O26" s="78">
        <v>0</v>
      </c>
      <c r="P26" s="78">
        <v>0</v>
      </c>
      <c r="Q26" s="78">
        <v>0</v>
      </c>
      <c r="R26" s="215">
        <f>Tabel21325[[#This Row],[HH/SB 2010]]+Tabel21325[[#This Row],[I 2010]]</f>
        <v>4500</v>
      </c>
      <c r="S26" s="215">
        <f>Tabel21325[[#This Row],[HH/SB 2012]]+Tabel21325[[#This Row],[I 2012]]</f>
        <v>4491</v>
      </c>
      <c r="T26" s="215">
        <f>Tabel21325[[#This Row],[HH/SB 2014]]+Tabel21325[[#This Row],[I 2014]]</f>
        <v>4479</v>
      </c>
      <c r="U26" s="215">
        <f>Tabel21325[[#This Row],[HH/SB 2016]]+Tabel21325[[#This Row],[I 2016]]</f>
        <v>4579</v>
      </c>
      <c r="V26"/>
    </row>
    <row r="27" spans="1:22" x14ac:dyDescent="0.25">
      <c r="A27" s="255" t="s">
        <v>35</v>
      </c>
      <c r="B27" s="17" t="s">
        <v>5</v>
      </c>
      <c r="C27" s="17" t="s">
        <v>5</v>
      </c>
      <c r="D27" s="17" t="s">
        <v>5</v>
      </c>
      <c r="E27" s="17"/>
      <c r="F27" s="8" t="s">
        <v>5</v>
      </c>
      <c r="G27" s="8" t="s">
        <v>5</v>
      </c>
      <c r="H27" s="8" t="s">
        <v>5</v>
      </c>
      <c r="I27" s="8"/>
      <c r="J27" s="75" t="s">
        <v>5</v>
      </c>
      <c r="K27" s="75" t="s">
        <v>5</v>
      </c>
      <c r="L27" s="75">
        <v>38.264000000000003</v>
      </c>
      <c r="M27" s="75"/>
      <c r="N27" s="78" t="s">
        <v>5</v>
      </c>
      <c r="O27" s="78" t="s">
        <v>5</v>
      </c>
      <c r="P27" s="78">
        <v>0</v>
      </c>
      <c r="Q27" s="78"/>
      <c r="R27" s="215" t="s">
        <v>5</v>
      </c>
      <c r="S27" s="215" t="s">
        <v>5</v>
      </c>
      <c r="T27" s="215">
        <v>956.6</v>
      </c>
      <c r="U27" s="215">
        <f>Tabel21325[[#This Row],[HH/SB 2016]]+Tabel21325[[#This Row],[I 2016]]</f>
        <v>0</v>
      </c>
      <c r="V27"/>
    </row>
    <row r="28" spans="1:22" x14ac:dyDescent="0.25">
      <c r="A28" s="538" t="s">
        <v>45</v>
      </c>
      <c r="B28" s="17">
        <v>341.42540000000002</v>
      </c>
      <c r="C28" s="17">
        <v>241.31700000000001</v>
      </c>
      <c r="D28" s="17">
        <v>312.06099999999998</v>
      </c>
      <c r="E28" s="17">
        <v>331.17099999999999</v>
      </c>
      <c r="F28" s="8">
        <v>113.2354</v>
      </c>
      <c r="G28" s="8">
        <v>60.329250000000002</v>
      </c>
      <c r="H28" s="8">
        <v>99.191000000000003</v>
      </c>
      <c r="I28" s="8">
        <v>114.44499999999999</v>
      </c>
      <c r="J28" s="75">
        <v>113.6652</v>
      </c>
      <c r="K28" s="75">
        <v>100.54875</v>
      </c>
      <c r="L28" s="75">
        <v>0</v>
      </c>
      <c r="M28" s="75">
        <v>0</v>
      </c>
      <c r="N28" s="78">
        <v>0</v>
      </c>
      <c r="O28" s="78">
        <v>0</v>
      </c>
      <c r="P28" s="78">
        <v>0</v>
      </c>
      <c r="Q28" s="78">
        <v>0</v>
      </c>
      <c r="R28" s="215">
        <f>Tabel21325[[#This Row],[HH/SB 2010]]+Tabel21325[[#This Row],[I 2010]]</f>
        <v>454.66079999999999</v>
      </c>
      <c r="S28" s="215">
        <f>Tabel21325[[#This Row],[HH/SB 2012]]+Tabel21325[[#This Row],[I 2012]]</f>
        <v>301.64625000000001</v>
      </c>
      <c r="T28" s="215">
        <f>Tabel21325[[#This Row],[HH/SB 2014]]+Tabel21325[[#This Row],[I 2014]]</f>
        <v>411.25199999999995</v>
      </c>
      <c r="U28" s="215">
        <f>Tabel21325[[#This Row],[HH/SB 2016]]+Tabel21325[[#This Row],[I 2016]]</f>
        <v>445.61599999999999</v>
      </c>
      <c r="V28"/>
    </row>
    <row r="29" spans="1:22" x14ac:dyDescent="0.25">
      <c r="A29" s="255" t="s">
        <v>754</v>
      </c>
      <c r="B29" s="17" t="s">
        <v>5</v>
      </c>
      <c r="C29" s="17" t="s">
        <v>5</v>
      </c>
      <c r="D29" s="17" t="s">
        <v>5</v>
      </c>
      <c r="E29" s="17"/>
      <c r="F29" s="8" t="s">
        <v>5</v>
      </c>
      <c r="G29" s="8" t="s">
        <v>5</v>
      </c>
      <c r="H29" s="8" t="s">
        <v>5</v>
      </c>
      <c r="I29" s="8"/>
      <c r="J29" s="75" t="s">
        <v>5</v>
      </c>
      <c r="K29" s="75" t="s">
        <v>5</v>
      </c>
      <c r="L29" s="75" t="s">
        <v>5</v>
      </c>
      <c r="M29" s="75"/>
      <c r="N29" s="78" t="s">
        <v>5</v>
      </c>
      <c r="O29" s="78" t="s">
        <v>5</v>
      </c>
      <c r="P29" s="78" t="s">
        <v>5</v>
      </c>
      <c r="Q29" s="78"/>
      <c r="R29" s="215" t="s">
        <v>5</v>
      </c>
      <c r="S29" s="215" t="s">
        <v>5</v>
      </c>
      <c r="T29" s="215" t="s">
        <v>5</v>
      </c>
      <c r="U29" s="215">
        <f>Tabel21325[[#This Row],[HH/SB 2016]]+Tabel21325[[#This Row],[I 2016]]</f>
        <v>0</v>
      </c>
      <c r="V29"/>
    </row>
    <row r="30" spans="1:22" x14ac:dyDescent="0.25">
      <c r="A30" s="538" t="s">
        <v>639</v>
      </c>
      <c r="B30" s="17" t="s">
        <v>5</v>
      </c>
      <c r="C30" s="17" t="s">
        <v>5</v>
      </c>
      <c r="D30" s="17" t="s">
        <v>5</v>
      </c>
      <c r="E30" s="17" t="s">
        <v>5</v>
      </c>
      <c r="F30" s="8" t="s">
        <v>5</v>
      </c>
      <c r="G30" s="8" t="s">
        <v>5</v>
      </c>
      <c r="H30" s="8" t="s">
        <v>5</v>
      </c>
      <c r="I30" s="8" t="s">
        <v>5</v>
      </c>
      <c r="J30" s="75" t="s">
        <v>5</v>
      </c>
      <c r="K30" s="75" t="s">
        <v>5</v>
      </c>
      <c r="L30" s="75" t="s">
        <v>5</v>
      </c>
      <c r="M30" s="75" t="s">
        <v>5</v>
      </c>
      <c r="N30" s="78" t="s">
        <v>5</v>
      </c>
      <c r="O30" s="78" t="s">
        <v>5</v>
      </c>
      <c r="P30" s="78" t="s">
        <v>5</v>
      </c>
      <c r="Q30" s="78" t="s">
        <v>5</v>
      </c>
      <c r="R30" s="215" t="s">
        <v>5</v>
      </c>
      <c r="S30" s="215" t="s">
        <v>5</v>
      </c>
      <c r="T30" s="215">
        <v>2.9621050000000002</v>
      </c>
      <c r="U30" s="215" t="s">
        <v>5</v>
      </c>
      <c r="V30"/>
    </row>
    <row r="31" spans="1:22" x14ac:dyDescent="0.25">
      <c r="A31" s="255" t="s">
        <v>466</v>
      </c>
      <c r="B31" s="17">
        <v>4895</v>
      </c>
      <c r="C31" s="17">
        <v>3853</v>
      </c>
      <c r="D31" s="17"/>
      <c r="E31" s="17"/>
      <c r="F31" s="8">
        <v>0</v>
      </c>
      <c r="G31" s="8">
        <v>1024</v>
      </c>
      <c r="H31" s="8"/>
      <c r="I31" s="8"/>
      <c r="J31" s="75">
        <v>1994.2292</v>
      </c>
      <c r="K31" s="75">
        <v>1765</v>
      </c>
      <c r="L31" s="75"/>
      <c r="M31" s="75"/>
      <c r="N31" s="78">
        <v>0</v>
      </c>
      <c r="O31" s="78">
        <v>0</v>
      </c>
      <c r="P31" s="78"/>
      <c r="Q31" s="78"/>
      <c r="R31" s="215">
        <f>Tabel21325[[#This Row],[HH/SB 2010]]+Tabel21325[[#This Row],[I 2010]]</f>
        <v>4895</v>
      </c>
      <c r="S31" s="215">
        <f>Tabel21325[[#This Row],[HH/SB 2012]]+Tabel21325[[#This Row],[I 2012]]</f>
        <v>4877</v>
      </c>
      <c r="T31" s="215">
        <f>Tabel21325[[#This Row],[HH/SB 2014]]+Tabel21325[[#This Row],[I 2014]]</f>
        <v>0</v>
      </c>
      <c r="U31" s="215">
        <f>Tabel21325[[#This Row],[HH/SB 2016]]+Tabel21325[[#This Row],[I 2016]]</f>
        <v>0</v>
      </c>
      <c r="V31"/>
    </row>
    <row r="32" spans="1:22" x14ac:dyDescent="0.25">
      <c r="A32" s="255" t="s">
        <v>16</v>
      </c>
      <c r="B32" s="17">
        <v>685</v>
      </c>
      <c r="C32" s="17">
        <v>693.80600000000004</v>
      </c>
      <c r="D32" s="17"/>
      <c r="E32" s="17"/>
      <c r="F32" s="8">
        <v>110</v>
      </c>
      <c r="G32" s="8">
        <v>122.748</v>
      </c>
      <c r="H32" s="8"/>
      <c r="I32" s="8"/>
      <c r="J32" s="75" t="s">
        <v>5</v>
      </c>
      <c r="K32" s="75">
        <v>0</v>
      </c>
      <c r="L32" s="75"/>
      <c r="M32" s="75"/>
      <c r="N32" s="78">
        <v>100</v>
      </c>
      <c r="O32" s="78">
        <v>108</v>
      </c>
      <c r="P32" s="78"/>
      <c r="Q32" s="78"/>
      <c r="R32" s="215">
        <f>Tabel21325[[#This Row],[HH/SB 2010]]+Tabel21325[[#This Row],[I 2010]]</f>
        <v>795</v>
      </c>
      <c r="S32" s="215">
        <f>Tabel21325[[#This Row],[HH/SB 2012]]+Tabel21325[[#This Row],[I 2012]]</f>
        <v>816.55400000000009</v>
      </c>
      <c r="T32" s="215">
        <f>Tabel21325[[#This Row],[HH/SB 2014]]+Tabel21325[[#This Row],[I 2014]]</f>
        <v>0</v>
      </c>
      <c r="U32" s="215">
        <f>Tabel21325[[#This Row],[HH/SB 2016]]+Tabel21325[[#This Row],[I 2016]]</f>
        <v>0</v>
      </c>
      <c r="V32"/>
    </row>
    <row r="33" spans="1:22" x14ac:dyDescent="0.25">
      <c r="A33" s="538" t="s">
        <v>17</v>
      </c>
      <c r="B33" s="17">
        <v>4703.3747000000003</v>
      </c>
      <c r="C33" s="17">
        <v>4703.3747000000003</v>
      </c>
      <c r="D33" s="17" t="s">
        <v>5</v>
      </c>
      <c r="E33" s="17">
        <v>4605</v>
      </c>
      <c r="F33" s="8">
        <v>830.00729999999999</v>
      </c>
      <c r="G33" s="8">
        <v>830.00729999999999</v>
      </c>
      <c r="H33" s="8" t="s">
        <v>5</v>
      </c>
      <c r="I33" s="8">
        <v>1152</v>
      </c>
      <c r="J33" s="75">
        <v>0</v>
      </c>
      <c r="K33" s="75">
        <v>0</v>
      </c>
      <c r="L33" s="75" t="s">
        <v>5</v>
      </c>
      <c r="M33" s="75">
        <v>200</v>
      </c>
      <c r="N33" s="78">
        <v>0</v>
      </c>
      <c r="O33" s="78">
        <v>0</v>
      </c>
      <c r="P33" s="78" t="s">
        <v>5</v>
      </c>
      <c r="Q33" s="78">
        <v>0</v>
      </c>
      <c r="R33" s="215">
        <f>Tabel21325[[#This Row],[HH/SB 2010]]+Tabel21325[[#This Row],[I 2010]]</f>
        <v>5533.3820000000005</v>
      </c>
      <c r="S33" s="215">
        <f>Tabel21325[[#This Row],[HH/SB 2012]]+Tabel21325[[#This Row],[I 2012]]</f>
        <v>5533.3820000000005</v>
      </c>
      <c r="T33" s="215" t="s">
        <v>5</v>
      </c>
      <c r="U33" s="215">
        <f>Tabel21325[[#This Row],[HH/SB 2016]]+Tabel21325[[#This Row],[I 2016]]</f>
        <v>5757</v>
      </c>
      <c r="V33"/>
    </row>
    <row r="34" spans="1:22" x14ac:dyDescent="0.25">
      <c r="A34" s="538" t="s">
        <v>18</v>
      </c>
      <c r="B34" s="17">
        <v>11805.18</v>
      </c>
      <c r="C34" s="17">
        <v>10947.183999999999</v>
      </c>
      <c r="D34" s="17">
        <v>12087.722</v>
      </c>
      <c r="E34" s="17">
        <v>12007.307000000001</v>
      </c>
      <c r="F34" s="8">
        <v>1699.11</v>
      </c>
      <c r="G34" s="8">
        <v>2391.8519999999999</v>
      </c>
      <c r="H34" s="8">
        <v>1151.94</v>
      </c>
      <c r="I34" s="8">
        <v>1046.3040000000001</v>
      </c>
      <c r="J34" s="75">
        <v>1489.346</v>
      </c>
      <c r="K34" s="75">
        <v>1552.4960000000001</v>
      </c>
      <c r="L34" s="75">
        <v>1442.048</v>
      </c>
      <c r="M34" s="75">
        <v>1445.865</v>
      </c>
      <c r="N34" s="78">
        <v>0</v>
      </c>
      <c r="O34" s="78">
        <v>0</v>
      </c>
      <c r="P34" s="78">
        <v>0</v>
      </c>
      <c r="Q34" s="78">
        <v>0</v>
      </c>
      <c r="R34" s="215">
        <f>Tabel21325[[#This Row],[HH/SB 2010]]+Tabel21325[[#This Row],[I 2010]]</f>
        <v>13504.29</v>
      </c>
      <c r="S34" s="215">
        <f>Tabel21325[[#This Row],[HH/SB 2012]]+Tabel21325[[#This Row],[I 2012]]</f>
        <v>13339.036</v>
      </c>
      <c r="T34" s="215">
        <f>Tabel21325[[#This Row],[HH/SB 2014]]+Tabel21325[[#This Row],[I 2014]]</f>
        <v>13239.662</v>
      </c>
      <c r="U34" s="215">
        <f>Tabel21325[[#This Row],[HH/SB 2016]]+Tabel21325[[#This Row],[I 2016]]</f>
        <v>13053.611000000001</v>
      </c>
      <c r="V34"/>
    </row>
    <row r="35" spans="1:22" x14ac:dyDescent="0.25">
      <c r="A35" s="255" t="s">
        <v>742</v>
      </c>
      <c r="B35" s="17" t="s">
        <v>5</v>
      </c>
      <c r="C35" s="17" t="s">
        <v>5</v>
      </c>
      <c r="D35" s="17">
        <f>127.454+119</f>
        <v>246.45400000000001</v>
      </c>
      <c r="E35" s="17"/>
      <c r="F35" s="8" t="s">
        <v>5</v>
      </c>
      <c r="G35" s="8" t="s">
        <v>5</v>
      </c>
      <c r="H35" s="8">
        <v>0</v>
      </c>
      <c r="I35" s="8"/>
      <c r="J35" s="75" t="s">
        <v>5</v>
      </c>
      <c r="K35" s="75" t="s">
        <v>5</v>
      </c>
      <c r="L35" s="75">
        <v>0</v>
      </c>
      <c r="M35" s="75"/>
      <c r="N35" s="78" t="s">
        <v>5</v>
      </c>
      <c r="O35" s="78" t="s">
        <v>5</v>
      </c>
      <c r="P35" s="78">
        <v>0</v>
      </c>
      <c r="Q35" s="78"/>
      <c r="R35" s="215" t="s">
        <v>5</v>
      </c>
      <c r="S35" s="215" t="s">
        <v>5</v>
      </c>
      <c r="T35" s="215">
        <f>Tabel21325[[#This Row],[HH/SB 2014]]+Tabel21325[[#This Row],[I 2014]]</f>
        <v>246.45400000000001</v>
      </c>
      <c r="U35" s="215">
        <f>Tabel21325[[#This Row],[HH/SB 2016]]+Tabel21325[[#This Row],[I 2016]]</f>
        <v>0</v>
      </c>
      <c r="V35"/>
    </row>
    <row r="36" spans="1:22" x14ac:dyDescent="0.25">
      <c r="A36" s="255" t="s">
        <v>616</v>
      </c>
      <c r="B36" s="17" t="s">
        <v>5</v>
      </c>
      <c r="C36" s="17" t="s">
        <v>5</v>
      </c>
      <c r="D36" s="17"/>
      <c r="E36" s="17"/>
      <c r="F36" s="8" t="s">
        <v>5</v>
      </c>
      <c r="G36" s="8" t="s">
        <v>5</v>
      </c>
      <c r="H36" s="8"/>
      <c r="I36" s="8"/>
      <c r="J36" s="75" t="s">
        <v>5</v>
      </c>
      <c r="K36" s="75" t="s">
        <v>5</v>
      </c>
      <c r="L36" s="75"/>
      <c r="M36" s="75"/>
      <c r="N36" s="78" t="s">
        <v>5</v>
      </c>
      <c r="O36" s="78" t="s">
        <v>5</v>
      </c>
      <c r="P36" s="78"/>
      <c r="Q36" s="78"/>
      <c r="R36" s="215" t="s">
        <v>5</v>
      </c>
      <c r="S36" s="215">
        <v>614</v>
      </c>
      <c r="T36" s="215">
        <f>Tabel21325[[#This Row],[HH/SB 2014]]+Tabel21325[[#This Row],[I 2014]]</f>
        <v>0</v>
      </c>
      <c r="U36" s="215">
        <f>Tabel21325[[#This Row],[HH/SB 2016]]+Tabel21325[[#This Row],[I 2016]]</f>
        <v>0</v>
      </c>
      <c r="V36"/>
    </row>
    <row r="37" spans="1:22" x14ac:dyDescent="0.25">
      <c r="A37" s="255" t="s">
        <v>19</v>
      </c>
      <c r="B37" s="17">
        <v>49.954599999999999</v>
      </c>
      <c r="C37" s="17"/>
      <c r="D37" s="17"/>
      <c r="E37" s="17"/>
      <c r="F37" s="8">
        <v>41.942799999999998</v>
      </c>
      <c r="G37" s="8"/>
      <c r="H37" s="8"/>
      <c r="I37" s="8"/>
      <c r="J37" s="75">
        <v>0</v>
      </c>
      <c r="K37" s="75"/>
      <c r="L37" s="75"/>
      <c r="M37" s="75"/>
      <c r="N37" s="78">
        <v>0</v>
      </c>
      <c r="O37" s="78"/>
      <c r="P37" s="78"/>
      <c r="Q37" s="78"/>
      <c r="R37" s="215">
        <f>Tabel21325[[#This Row],[HH/SB 2010]]+Tabel21325[[#This Row],[I 2010]]</f>
        <v>91.897400000000005</v>
      </c>
      <c r="S37" s="215" t="s">
        <v>5</v>
      </c>
      <c r="T37" s="215">
        <f>Tabel21325[[#This Row],[HH/SB 2014]]+Tabel21325[[#This Row],[I 2014]]</f>
        <v>0</v>
      </c>
      <c r="U37" s="215">
        <f>Tabel21325[[#This Row],[HH/SB 2016]]+Tabel21325[[#This Row],[I 2016]]</f>
        <v>0</v>
      </c>
      <c r="V37"/>
    </row>
    <row r="38" spans="1:22" x14ac:dyDescent="0.25">
      <c r="A38" s="255" t="s">
        <v>50</v>
      </c>
      <c r="B38" s="17"/>
      <c r="C38" s="17"/>
      <c r="D38" s="17"/>
      <c r="E38" s="17"/>
      <c r="F38" s="8"/>
      <c r="G38" s="8"/>
      <c r="H38" s="8"/>
      <c r="I38" s="8"/>
      <c r="J38" s="75"/>
      <c r="K38" s="75"/>
      <c r="L38" s="75"/>
      <c r="M38" s="75"/>
      <c r="N38" s="78"/>
      <c r="O38" s="78"/>
      <c r="P38" s="78"/>
      <c r="Q38" s="78"/>
      <c r="R38" s="215" t="s">
        <v>5</v>
      </c>
      <c r="S38" s="80" t="s">
        <v>5</v>
      </c>
      <c r="T38" s="215">
        <f>Tabel21325[[#This Row],[HH/SB 2014]]+Tabel21325[[#This Row],[I 2014]]</f>
        <v>0</v>
      </c>
      <c r="U38" s="215">
        <f>Tabel21325[[#This Row],[HH/SB 2016]]+Tabel21325[[#This Row],[I 2016]]</f>
        <v>0</v>
      </c>
      <c r="V38"/>
    </row>
    <row r="39" spans="1:22" x14ac:dyDescent="0.25">
      <c r="A39" s="688" t="s">
        <v>586</v>
      </c>
      <c r="B39" s="17">
        <v>31.074318000000002</v>
      </c>
      <c r="C39" s="17">
        <v>42.376868000000002</v>
      </c>
      <c r="D39" s="17">
        <v>46.603907999999997</v>
      </c>
      <c r="E39" s="17">
        <v>48.699959999999997</v>
      </c>
      <c r="F39" s="8">
        <v>39.474462000000003</v>
      </c>
      <c r="G39" s="8">
        <v>32.905239999999999</v>
      </c>
      <c r="H39" s="8">
        <v>36.881746999999997</v>
      </c>
      <c r="I39" s="8">
        <v>38.002581999999997</v>
      </c>
      <c r="J39" s="75">
        <v>0</v>
      </c>
      <c r="K39" s="75">
        <v>0</v>
      </c>
      <c r="L39" s="75">
        <v>0</v>
      </c>
      <c r="M39" s="75">
        <v>0.126448</v>
      </c>
      <c r="N39" s="78">
        <v>0</v>
      </c>
      <c r="O39" s="78">
        <v>0</v>
      </c>
      <c r="P39" s="78">
        <v>0</v>
      </c>
      <c r="Q39" s="78">
        <v>0</v>
      </c>
      <c r="R39" s="215">
        <f>Tabel21325[[#This Row],[HH/SB 2010]]+Tabel21325[[#This Row],[I 2010]]</f>
        <v>70.548780000000008</v>
      </c>
      <c r="S39" s="215">
        <f>Tabel21325[[#This Row],[HH/SB 2012]]+Tabel21325[[#This Row],[I 2012]]</f>
        <v>75.282107999999994</v>
      </c>
      <c r="T39" s="215">
        <f>Tabel21325[[#This Row],[HH/SB 2014]]+Tabel21325[[#This Row],[I 2014]]</f>
        <v>83.485654999999994</v>
      </c>
      <c r="U39" s="215">
        <f>Tabel21325[[#This Row],[HH/SB 2016]]+Tabel21325[[#This Row],[I 2016]]</f>
        <v>86.702541999999994</v>
      </c>
      <c r="V39"/>
    </row>
    <row r="40" spans="1:22" x14ac:dyDescent="0.25">
      <c r="A40" s="28" t="s">
        <v>36</v>
      </c>
      <c r="B40" s="17">
        <v>10.82</v>
      </c>
      <c r="C40" s="17"/>
      <c r="D40" s="17"/>
      <c r="E40" s="17"/>
      <c r="F40" s="8">
        <v>4.63</v>
      </c>
      <c r="G40" s="8"/>
      <c r="H40" s="8"/>
      <c r="I40" s="8"/>
      <c r="J40" s="75">
        <v>0</v>
      </c>
      <c r="K40" s="75"/>
      <c r="L40" s="75"/>
      <c r="M40" s="75"/>
      <c r="N40" s="78">
        <v>0</v>
      </c>
      <c r="O40" s="78"/>
      <c r="P40" s="78"/>
      <c r="Q40" s="78"/>
      <c r="R40" s="215">
        <f>Tabel21325[[#This Row],[HH/SB 2010]]+Tabel21325[[#This Row],[I 2010]]</f>
        <v>15.45</v>
      </c>
      <c r="S40" s="215" t="s">
        <v>5</v>
      </c>
      <c r="T40" s="215">
        <f>Tabel21325[[#This Row],[HH/SB 2014]]+Tabel21325[[#This Row],[I 2014]]</f>
        <v>0</v>
      </c>
      <c r="U40" s="215">
        <f>Tabel21325[[#This Row],[HH/SB 2016]]+Tabel21325[[#This Row],[I 2016]]</f>
        <v>0</v>
      </c>
      <c r="V40"/>
    </row>
    <row r="41" spans="1:22" x14ac:dyDescent="0.25">
      <c r="A41" s="537" t="s">
        <v>774</v>
      </c>
      <c r="B41" s="17" t="s">
        <v>5</v>
      </c>
      <c r="C41" s="17" t="s">
        <v>5</v>
      </c>
      <c r="D41" s="17">
        <v>12.312279</v>
      </c>
      <c r="E41" s="17">
        <v>12.462859</v>
      </c>
      <c r="F41" s="8" t="s">
        <v>5</v>
      </c>
      <c r="G41" s="8" t="s">
        <v>5</v>
      </c>
      <c r="H41" s="8">
        <v>5.385033</v>
      </c>
      <c r="I41" s="8">
        <v>5.6430449999999999</v>
      </c>
      <c r="J41" s="75" t="s">
        <v>5</v>
      </c>
      <c r="K41" s="75" t="s">
        <v>5</v>
      </c>
      <c r="L41" s="75">
        <v>12.674626999999999</v>
      </c>
      <c r="M41" s="75">
        <v>14.51399</v>
      </c>
      <c r="N41" s="78" t="s">
        <v>5</v>
      </c>
      <c r="O41" s="78" t="s">
        <v>5</v>
      </c>
      <c r="P41" s="78">
        <v>0</v>
      </c>
      <c r="Q41" s="78">
        <v>0</v>
      </c>
      <c r="R41" s="215" t="s">
        <v>5</v>
      </c>
      <c r="S41" s="215" t="s">
        <v>5</v>
      </c>
      <c r="T41" s="215">
        <f>Tabel21325[[#This Row],[HH/SB 2014]]+Tabel21325[[#This Row],[I 2014]]</f>
        <v>17.697312</v>
      </c>
      <c r="U41" s="215">
        <f>Tabel21325[[#This Row],[HH/SB 2016]]+Tabel21325[[#This Row],[I 2016]]</f>
        <v>18.105903999999999</v>
      </c>
      <c r="V41"/>
    </row>
    <row r="42" spans="1:22" x14ac:dyDescent="0.25">
      <c r="A42" s="28" t="s">
        <v>37</v>
      </c>
      <c r="B42" s="17">
        <v>76.5</v>
      </c>
      <c r="C42" s="17">
        <v>55.4</v>
      </c>
      <c r="D42" s="17">
        <v>81.400000000000006</v>
      </c>
      <c r="E42" s="17"/>
      <c r="F42" s="8">
        <v>23.8</v>
      </c>
      <c r="G42" s="8">
        <v>15.6</v>
      </c>
      <c r="H42" s="8">
        <v>15.5</v>
      </c>
      <c r="I42" s="8"/>
      <c r="J42" s="75">
        <f>100.3*25/100</f>
        <v>25.074999999999999</v>
      </c>
      <c r="K42" s="75">
        <v>24</v>
      </c>
      <c r="L42" s="75">
        <v>0.13</v>
      </c>
      <c r="M42" s="75"/>
      <c r="N42" s="78">
        <v>0</v>
      </c>
      <c r="O42" s="78">
        <v>0</v>
      </c>
      <c r="P42" s="78">
        <v>0</v>
      </c>
      <c r="Q42" s="78"/>
      <c r="R42" s="215">
        <f>Tabel21325[[#This Row],[HH/SB 2010]]+Tabel21325[[#This Row],[I 2010]]</f>
        <v>100.3</v>
      </c>
      <c r="S42" s="215">
        <f>Tabel21325[[#This Row],[HH/SB 2012]]+Tabel21325[[#This Row],[I 2012]]</f>
        <v>71</v>
      </c>
      <c r="T42" s="215">
        <f>Tabel21325[[#This Row],[HH/SB 2014]]+Tabel21325[[#This Row],[I 2014]]</f>
        <v>96.9</v>
      </c>
      <c r="U42" s="215">
        <f>Tabel21325[[#This Row],[HH/SB 2016]]+Tabel21325[[#This Row],[I 2016]]</f>
        <v>0</v>
      </c>
      <c r="V42"/>
    </row>
    <row r="43" spans="1:22" x14ac:dyDescent="0.25">
      <c r="A43" s="537" t="s">
        <v>38</v>
      </c>
      <c r="B43" s="17" t="s">
        <v>5</v>
      </c>
      <c r="C43" s="17">
        <v>11.004</v>
      </c>
      <c r="D43" s="17">
        <v>12.0136</v>
      </c>
      <c r="E43" s="17">
        <v>12.48072</v>
      </c>
      <c r="F43" s="8" t="s">
        <v>5</v>
      </c>
      <c r="G43" s="8">
        <v>69.001999999999995</v>
      </c>
      <c r="H43" s="8">
        <v>2.1419999999999999</v>
      </c>
      <c r="I43" s="8">
        <v>3.68</v>
      </c>
      <c r="J43" s="75" t="s">
        <v>5</v>
      </c>
      <c r="K43" s="75">
        <v>0</v>
      </c>
      <c r="L43" s="75">
        <v>0</v>
      </c>
      <c r="M43" s="75">
        <v>0</v>
      </c>
      <c r="N43" s="78" t="s">
        <v>5</v>
      </c>
      <c r="O43" s="78">
        <v>0</v>
      </c>
      <c r="P43" s="78">
        <v>0</v>
      </c>
      <c r="Q43" s="78">
        <v>0</v>
      </c>
      <c r="R43" s="215" t="s">
        <v>5</v>
      </c>
      <c r="S43" s="215">
        <f>Tabel21325[[#This Row],[HH/SB 2012]]+Tabel21325[[#This Row],[I 2012]]</f>
        <v>80.006</v>
      </c>
      <c r="T43" s="215">
        <f>Tabel21325[[#This Row],[HH/SB 2014]]+Tabel21325[[#This Row],[I 2014]]</f>
        <v>14.1556</v>
      </c>
      <c r="U43" s="215">
        <f>Tabel21325[[#This Row],[HH/SB 2016]]+Tabel21325[[#This Row],[I 2016]]</f>
        <v>16.160720000000001</v>
      </c>
      <c r="V43"/>
    </row>
    <row r="44" spans="1:22" x14ac:dyDescent="0.25">
      <c r="A44" s="28" t="s">
        <v>39</v>
      </c>
      <c r="B44" s="17" t="s">
        <v>5</v>
      </c>
      <c r="C44" s="17"/>
      <c r="D44" s="17"/>
      <c r="E44" s="17"/>
      <c r="F44" s="8" t="s">
        <v>5</v>
      </c>
      <c r="G44" s="8"/>
      <c r="H44" s="8"/>
      <c r="I44" s="8"/>
      <c r="J44" s="75">
        <v>0</v>
      </c>
      <c r="K44" s="75"/>
      <c r="L44" s="75"/>
      <c r="M44" s="75"/>
      <c r="N44" s="78">
        <v>0</v>
      </c>
      <c r="O44" s="78"/>
      <c r="P44" s="78"/>
      <c r="Q44" s="78"/>
      <c r="R44" s="215">
        <v>640</v>
      </c>
      <c r="S44" s="215" t="s">
        <v>5</v>
      </c>
      <c r="T44" s="215">
        <f>Tabel21325[[#This Row],[HH/SB 2014]]+Tabel21325[[#This Row],[I 2014]]</f>
        <v>0</v>
      </c>
      <c r="U44" s="215">
        <f>Tabel21325[[#This Row],[HH/SB 2016]]+Tabel21325[[#This Row],[I 2016]]</f>
        <v>0</v>
      </c>
      <c r="V44"/>
    </row>
    <row r="45" spans="1:22" x14ac:dyDescent="0.25">
      <c r="A45" s="28" t="s">
        <v>734</v>
      </c>
      <c r="B45" s="17" t="s">
        <v>5</v>
      </c>
      <c r="C45" s="17" t="s">
        <v>5</v>
      </c>
      <c r="D45" s="17">
        <v>162</v>
      </c>
      <c r="E45" s="17"/>
      <c r="F45" s="8" t="s">
        <v>5</v>
      </c>
      <c r="G45" s="8" t="s">
        <v>5</v>
      </c>
      <c r="H45" s="8">
        <v>171</v>
      </c>
      <c r="I45" s="8"/>
      <c r="J45" s="75" t="s">
        <v>5</v>
      </c>
      <c r="K45" s="75" t="s">
        <v>5</v>
      </c>
      <c r="L45" s="75">
        <v>0</v>
      </c>
      <c r="M45" s="75"/>
      <c r="N45" s="78" t="s">
        <v>5</v>
      </c>
      <c r="O45" s="78" t="s">
        <v>5</v>
      </c>
      <c r="P45" s="78">
        <v>0</v>
      </c>
      <c r="Q45" s="78"/>
      <c r="R45" s="215" t="s">
        <v>5</v>
      </c>
      <c r="S45" s="215" t="s">
        <v>5</v>
      </c>
      <c r="T45" s="215">
        <f>Tabel21325[[#This Row],[HH/SB 2014]]+Tabel21325[[#This Row],[I 2014]]</f>
        <v>333</v>
      </c>
      <c r="U45" s="215">
        <f>Tabel21325[[#This Row],[HH/SB 2016]]+Tabel21325[[#This Row],[I 2016]]</f>
        <v>0</v>
      </c>
      <c r="V45"/>
    </row>
    <row r="46" spans="1:22" x14ac:dyDescent="0.25">
      <c r="A46" s="537" t="s">
        <v>20</v>
      </c>
      <c r="B46" s="17">
        <v>914</v>
      </c>
      <c r="C46" s="17">
        <v>909</v>
      </c>
      <c r="D46" s="17">
        <v>913</v>
      </c>
      <c r="E46" s="17">
        <v>939</v>
      </c>
      <c r="F46" s="8">
        <v>176</v>
      </c>
      <c r="G46" s="8">
        <v>162</v>
      </c>
      <c r="H46" s="8">
        <v>154</v>
      </c>
      <c r="I46" s="8">
        <v>156</v>
      </c>
      <c r="J46" s="75">
        <v>54</v>
      </c>
      <c r="K46" s="75">
        <v>57</v>
      </c>
      <c r="L46" s="75">
        <v>65</v>
      </c>
      <c r="M46" s="75">
        <v>63</v>
      </c>
      <c r="N46" s="78">
        <v>3</v>
      </c>
      <c r="O46" s="78">
        <v>2</v>
      </c>
      <c r="P46" s="78">
        <v>2</v>
      </c>
      <c r="Q46" s="78">
        <v>2</v>
      </c>
      <c r="R46" s="215">
        <f>Tabel21325[[#This Row],[HH/SB 2010]]+Tabel21325[[#This Row],[I 2010]]</f>
        <v>1090</v>
      </c>
      <c r="S46" s="215">
        <f>Tabel21325[[#This Row],[HH/SB 2012]]+Tabel21325[[#This Row],[I 2012]]</f>
        <v>1071</v>
      </c>
      <c r="T46" s="215">
        <f>Tabel21325[[#This Row],[HH/SB 2014]]+Tabel21325[[#This Row],[I 2014]]</f>
        <v>1067</v>
      </c>
      <c r="U46" s="215">
        <f>Tabel21325[[#This Row],[HH/SB 2016]]+Tabel21325[[#This Row],[I 2016]]</f>
        <v>1095</v>
      </c>
      <c r="V46"/>
    </row>
    <row r="47" spans="1:22" x14ac:dyDescent="0.25">
      <c r="A47" s="28" t="s">
        <v>46</v>
      </c>
      <c r="B47" s="17" t="s">
        <v>5</v>
      </c>
      <c r="C47" s="17"/>
      <c r="D47" s="17"/>
      <c r="E47" s="17"/>
      <c r="F47" s="8" t="s">
        <v>5</v>
      </c>
      <c r="G47" s="8"/>
      <c r="H47" s="8"/>
      <c r="I47" s="8"/>
      <c r="J47" s="75" t="s">
        <v>5</v>
      </c>
      <c r="K47" s="75"/>
      <c r="L47" s="75"/>
      <c r="M47" s="75"/>
      <c r="N47" s="78" t="s">
        <v>5</v>
      </c>
      <c r="O47" s="78"/>
      <c r="P47" s="78"/>
      <c r="Q47" s="78"/>
      <c r="R47" s="215" t="s">
        <v>5</v>
      </c>
      <c r="S47" s="215" t="s">
        <v>5</v>
      </c>
      <c r="T47" s="215">
        <f>Tabel21325[[#This Row],[HH/SB 2014]]+Tabel21325[[#This Row],[I 2014]]</f>
        <v>0</v>
      </c>
      <c r="U47" s="215">
        <f>Tabel21325[[#This Row],[HH/SB 2016]]+Tabel21325[[#This Row],[I 2016]]</f>
        <v>0</v>
      </c>
      <c r="V47"/>
    </row>
    <row r="48" spans="1:22" x14ac:dyDescent="0.25">
      <c r="A48" s="537" t="s">
        <v>21</v>
      </c>
      <c r="B48" s="17">
        <v>337</v>
      </c>
      <c r="C48" s="17">
        <v>337</v>
      </c>
      <c r="D48" s="17">
        <v>388.11</v>
      </c>
      <c r="E48" s="17">
        <v>357.45162499999998</v>
      </c>
      <c r="F48" s="8">
        <v>380</v>
      </c>
      <c r="G48" s="8">
        <v>194</v>
      </c>
      <c r="H48" s="8">
        <v>136.97999999999999</v>
      </c>
      <c r="I48" s="8">
        <v>130.367401</v>
      </c>
      <c r="J48" s="75">
        <v>5</v>
      </c>
      <c r="K48" s="75">
        <v>0</v>
      </c>
      <c r="L48" s="75">
        <v>235.91</v>
      </c>
      <c r="M48" s="75">
        <v>217.73085399999999</v>
      </c>
      <c r="N48" s="78">
        <v>0</v>
      </c>
      <c r="O48" s="78">
        <v>0</v>
      </c>
      <c r="P48" s="78">
        <v>0</v>
      </c>
      <c r="Q48" s="78">
        <v>0</v>
      </c>
      <c r="R48" s="215">
        <f>Tabel21325[[#This Row],[HH/SB 2010]]+Tabel21325[[#This Row],[I 2010]]</f>
        <v>717</v>
      </c>
      <c r="S48" s="215">
        <f>Tabel21325[[#This Row],[HH/SB 2012]]+Tabel21325[[#This Row],[I 2012]]</f>
        <v>531</v>
      </c>
      <c r="T48" s="215">
        <f>Tabel21325[[#This Row],[HH/SB 2014]]+Tabel21325[[#This Row],[I 2014]]</f>
        <v>525.09</v>
      </c>
      <c r="U48" s="215">
        <f>Tabel21325[[#This Row],[HH/SB 2016]]+Tabel21325[[#This Row],[I 2016]]</f>
        <v>487.81902600000001</v>
      </c>
      <c r="V48"/>
    </row>
    <row r="49" spans="1:22" x14ac:dyDescent="0.25">
      <c r="A49" s="537" t="s">
        <v>22</v>
      </c>
      <c r="B49" s="17">
        <v>1541.0586000000001</v>
      </c>
      <c r="C49" s="17">
        <v>2030.8</v>
      </c>
      <c r="D49" s="17">
        <v>1537</v>
      </c>
      <c r="E49" s="17">
        <v>1238</v>
      </c>
      <c r="F49" s="8">
        <v>7662.1949999999997</v>
      </c>
      <c r="G49" s="8">
        <v>7768.9</v>
      </c>
      <c r="H49" s="8">
        <v>7650.1</v>
      </c>
      <c r="I49" s="8">
        <v>7650.1379999999999</v>
      </c>
      <c r="J49" s="75">
        <v>1153.287</v>
      </c>
      <c r="K49" s="75">
        <v>0</v>
      </c>
      <c r="L49" s="75">
        <v>0</v>
      </c>
      <c r="M49" s="75">
        <v>0</v>
      </c>
      <c r="N49" s="78">
        <v>0</v>
      </c>
      <c r="O49" s="78">
        <v>0</v>
      </c>
      <c r="P49" s="78">
        <v>0</v>
      </c>
      <c r="Q49" s="78">
        <v>0</v>
      </c>
      <c r="R49" s="215">
        <f>Tabel21325[[#This Row],[HH/SB 2010]]+Tabel21325[[#This Row],[I 2010]]</f>
        <v>9203.2536</v>
      </c>
      <c r="S49" s="215">
        <f>Tabel21325[[#This Row],[HH/SB 2012]]+Tabel21325[[#This Row],[I 2012]]</f>
        <v>9799.6999999999989</v>
      </c>
      <c r="T49" s="215">
        <f>Tabel21325[[#This Row],[HH/SB 2014]]+Tabel21325[[#This Row],[I 2014]]</f>
        <v>9187.1</v>
      </c>
      <c r="U49" s="215">
        <f>Tabel21325[[#This Row],[HH/SB 2016]]+Tabel21325[[#This Row],[I 2016]]</f>
        <v>8888.137999999999</v>
      </c>
      <c r="V49"/>
    </row>
    <row r="50" spans="1:22" x14ac:dyDescent="0.25">
      <c r="A50" s="537" t="s">
        <v>23</v>
      </c>
      <c r="B50" s="17">
        <v>617.02641100000005</v>
      </c>
      <c r="C50" s="17">
        <v>573.63477599999999</v>
      </c>
      <c r="D50" s="17">
        <v>547.78796199999999</v>
      </c>
      <c r="E50" s="17">
        <v>575.38744799999995</v>
      </c>
      <c r="F50" s="8">
        <v>125.84189000000001</v>
      </c>
      <c r="G50" s="8" t="s">
        <v>5</v>
      </c>
      <c r="H50" s="8" t="s">
        <v>5</v>
      </c>
      <c r="I50" s="8" t="s">
        <v>5</v>
      </c>
      <c r="J50" s="75">
        <v>0</v>
      </c>
      <c r="K50" s="75">
        <v>24.441018</v>
      </c>
      <c r="L50" s="75">
        <v>28.197309000000001</v>
      </c>
      <c r="M50" s="75">
        <v>34.504779999999997</v>
      </c>
      <c r="N50" s="78">
        <v>0</v>
      </c>
      <c r="O50" s="78">
        <v>0</v>
      </c>
      <c r="P50" s="78">
        <v>0</v>
      </c>
      <c r="Q50" s="78">
        <v>0</v>
      </c>
      <c r="R50" s="215">
        <f>Tabel21325[[#This Row],[HH/SB 2010]]+Tabel21325[[#This Row],[I 2010]]</f>
        <v>742.86830100000009</v>
      </c>
      <c r="S50" s="215">
        <f>Tabel21325[[#This Row],[HH/SB 2012]]</f>
        <v>573.63477599999999</v>
      </c>
      <c r="T50" s="215">
        <f>Tabel21325[[#This Row],[HH/SB 2014]]</f>
        <v>547.78796199999999</v>
      </c>
      <c r="U50" s="215">
        <f>Tabel21325[[#This Row],[HH/SB 2016]]</f>
        <v>575.38744799999995</v>
      </c>
      <c r="V50"/>
    </row>
    <row r="51" spans="1:22" x14ac:dyDescent="0.25">
      <c r="A51" s="537" t="s">
        <v>40</v>
      </c>
      <c r="B51" s="17">
        <v>410.8</v>
      </c>
      <c r="C51" s="17">
        <v>426.12</v>
      </c>
      <c r="D51" s="17">
        <v>415.40472</v>
      </c>
      <c r="E51" s="17">
        <v>356.96000500000002</v>
      </c>
      <c r="F51" s="8">
        <v>221.2</v>
      </c>
      <c r="G51" s="8">
        <v>209.88</v>
      </c>
      <c r="H51" s="8">
        <v>161.54628</v>
      </c>
      <c r="I51" s="8">
        <v>147.701279</v>
      </c>
      <c r="J51" s="75">
        <v>547</v>
      </c>
      <c r="K51" s="75">
        <v>525.96500000000003</v>
      </c>
      <c r="L51" s="75">
        <v>438.52499999999998</v>
      </c>
      <c r="M51" s="75">
        <v>525.98371599999996</v>
      </c>
      <c r="N51" s="78">
        <v>0</v>
      </c>
      <c r="O51" s="78">
        <v>0</v>
      </c>
      <c r="P51" s="78">
        <v>0</v>
      </c>
      <c r="Q51" s="78">
        <v>0</v>
      </c>
      <c r="R51" s="215">
        <f>Tabel21325[[#This Row],[HH/SB 2010]]+Tabel21325[[#This Row],[I 2010]]</f>
        <v>632</v>
      </c>
      <c r="S51" s="215">
        <f>Tabel21325[[#This Row],[HH/SB 2012]]+Tabel21325[[#This Row],[I 2012]]</f>
        <v>636</v>
      </c>
      <c r="T51" s="215">
        <f>Tabel21325[[#This Row],[HH/SB 2014]]+Tabel21325[[#This Row],[I 2014]]</f>
        <v>576.95100000000002</v>
      </c>
      <c r="U51" s="215">
        <f>Tabel21325[[#This Row],[HH/SB 2016]]+Tabel21325[[#This Row],[I 2016]]</f>
        <v>504.66128400000002</v>
      </c>
      <c r="V51"/>
    </row>
    <row r="52" spans="1:22" x14ac:dyDescent="0.25">
      <c r="A52" s="537" t="s">
        <v>693</v>
      </c>
      <c r="B52" s="17" t="s">
        <v>5</v>
      </c>
      <c r="C52" s="17" t="s">
        <v>5</v>
      </c>
      <c r="D52" s="17">
        <v>6146.2961999999998</v>
      </c>
      <c r="E52" s="17">
        <v>5837.4124270000002</v>
      </c>
      <c r="F52" s="8" t="s">
        <v>5</v>
      </c>
      <c r="G52" s="8" t="s">
        <v>5</v>
      </c>
      <c r="H52" s="8">
        <v>4612.4615000000003</v>
      </c>
      <c r="I52" s="8">
        <v>3618.2597310000001</v>
      </c>
      <c r="J52" s="75" t="s">
        <v>5</v>
      </c>
      <c r="K52" s="75" t="s">
        <v>5</v>
      </c>
      <c r="L52" s="75">
        <v>0</v>
      </c>
      <c r="M52" s="75">
        <v>0</v>
      </c>
      <c r="N52" s="78" t="s">
        <v>5</v>
      </c>
      <c r="O52" s="78" t="s">
        <v>5</v>
      </c>
      <c r="P52" s="78">
        <v>0</v>
      </c>
      <c r="Q52" s="78">
        <v>0</v>
      </c>
      <c r="R52" s="215" t="s">
        <v>5</v>
      </c>
      <c r="S52" s="215" t="s">
        <v>5</v>
      </c>
      <c r="T52" s="215">
        <f>Tabel21325[[#This Row],[HH/SB 2014]]+Tabel21325[[#This Row],[I 2014]]</f>
        <v>10758.7577</v>
      </c>
      <c r="U52" s="215">
        <f>Tabel21325[[#This Row],[HH/SB 2016]]+Tabel21325[[#This Row],[I 2016]]</f>
        <v>9455.6721580000012</v>
      </c>
      <c r="V52"/>
    </row>
    <row r="53" spans="1:22" x14ac:dyDescent="0.25">
      <c r="A53" s="537" t="s">
        <v>47</v>
      </c>
      <c r="B53" s="17">
        <v>308.08199999999999</v>
      </c>
      <c r="C53" s="17">
        <v>295.79235</v>
      </c>
      <c r="D53" s="17">
        <v>319.74583999999999</v>
      </c>
      <c r="E53" s="17">
        <v>281.77999999999997</v>
      </c>
      <c r="F53" s="8">
        <v>156.18899999999999</v>
      </c>
      <c r="G53" s="8">
        <v>153.21605</v>
      </c>
      <c r="H53" s="8">
        <v>147.107045</v>
      </c>
      <c r="I53" s="8">
        <v>146.36500000000001</v>
      </c>
      <c r="J53" s="75">
        <v>6.359</v>
      </c>
      <c r="K53" s="75">
        <v>21.715350000000001</v>
      </c>
      <c r="L53" s="75">
        <v>22.315999999999999</v>
      </c>
      <c r="M53" s="75">
        <v>18.98</v>
      </c>
      <c r="N53" s="78">
        <v>0</v>
      </c>
      <c r="O53" s="78">
        <v>0</v>
      </c>
      <c r="P53" s="78">
        <v>0</v>
      </c>
      <c r="Q53" s="78">
        <v>0</v>
      </c>
      <c r="R53" s="215">
        <f>Tabel21325[[#This Row],[HH/SB 2010]]+Tabel21325[[#This Row],[I 2010]]</f>
        <v>464.27099999999996</v>
      </c>
      <c r="S53" s="215">
        <f>Tabel21325[[#This Row],[HH/SB 2012]]+Tabel21325[[#This Row],[I 2012]]</f>
        <v>449.00839999999999</v>
      </c>
      <c r="T53" s="215">
        <f>Tabel21325[[#This Row],[HH/SB 2014]]+Tabel21325[[#This Row],[I 2014]]</f>
        <v>466.85288500000001</v>
      </c>
      <c r="U53" s="215">
        <f>Tabel21325[[#This Row],[HH/SB 2016]]+Tabel21325[[#This Row],[I 2016]]</f>
        <v>428.14499999999998</v>
      </c>
      <c r="V53"/>
    </row>
    <row r="54" spans="1:22" x14ac:dyDescent="0.25">
      <c r="A54" s="28" t="s">
        <v>41</v>
      </c>
      <c r="B54" s="17"/>
      <c r="C54" s="17"/>
      <c r="D54" s="17"/>
      <c r="E54" s="17"/>
      <c r="F54" s="8"/>
      <c r="G54" s="8"/>
      <c r="H54" s="8"/>
      <c r="I54" s="8"/>
      <c r="J54" s="75"/>
      <c r="K54" s="75"/>
      <c r="L54" s="75"/>
      <c r="M54" s="75"/>
      <c r="N54" s="78"/>
      <c r="O54" s="78"/>
      <c r="P54" s="78"/>
      <c r="Q54" s="78"/>
      <c r="R54" s="215" t="s">
        <v>5</v>
      </c>
      <c r="S54" s="215" t="s">
        <v>5</v>
      </c>
      <c r="T54" s="215">
        <f>Tabel21325[[#This Row],[HH/SB 2014]]+Tabel21325[[#This Row],[I 2014]]</f>
        <v>0</v>
      </c>
      <c r="U54" s="215">
        <f>Tabel21325[[#This Row],[HH/SB 2016]]+Tabel21325[[#This Row],[I 2016]]</f>
        <v>0</v>
      </c>
      <c r="V54"/>
    </row>
    <row r="55" spans="1:22" x14ac:dyDescent="0.25">
      <c r="A55" s="28" t="s">
        <v>42</v>
      </c>
      <c r="B55" s="17">
        <v>280.96785</v>
      </c>
      <c r="C55" s="17"/>
      <c r="D55" s="17"/>
      <c r="E55" s="17"/>
      <c r="F55" s="8">
        <v>195.11633800000001</v>
      </c>
      <c r="G55" s="8"/>
      <c r="H55" s="8"/>
      <c r="I55" s="8"/>
      <c r="J55" s="75">
        <v>35.566285999999998</v>
      </c>
      <c r="K55" s="75"/>
      <c r="L55" s="75"/>
      <c r="M55" s="75"/>
      <c r="N55" s="78">
        <v>47.953159999999997</v>
      </c>
      <c r="O55" s="78"/>
      <c r="P55" s="78"/>
      <c r="Q55" s="78"/>
      <c r="R55" s="215">
        <f>Tabel21325[[#This Row],[HH/SB 2010]]+Tabel21325[[#This Row],[I 2010]]</f>
        <v>476.08418800000004</v>
      </c>
      <c r="S55" s="215" t="s">
        <v>5</v>
      </c>
      <c r="T55" s="215">
        <f>Tabel21325[[#This Row],[HH/SB 2014]]+Tabel21325[[#This Row],[I 2014]]</f>
        <v>0</v>
      </c>
      <c r="U55" s="215">
        <f>Tabel21325[[#This Row],[HH/SB 2016]]+Tabel21325[[#This Row],[I 2016]]</f>
        <v>0</v>
      </c>
      <c r="V55"/>
    </row>
    <row r="56" spans="1:22" x14ac:dyDescent="0.25">
      <c r="A56" s="28" t="s">
        <v>24</v>
      </c>
      <c r="B56" s="17">
        <v>31.96</v>
      </c>
      <c r="C56" s="17"/>
      <c r="D56" s="17"/>
      <c r="E56" s="17"/>
      <c r="F56" s="8">
        <v>55.1</v>
      </c>
      <c r="G56" s="8"/>
      <c r="H56" s="8"/>
      <c r="I56" s="8"/>
      <c r="J56" s="75">
        <v>0</v>
      </c>
      <c r="K56" s="75"/>
      <c r="L56" s="75"/>
      <c r="M56" s="75"/>
      <c r="N56" s="78">
        <v>0</v>
      </c>
      <c r="O56" s="78"/>
      <c r="P56" s="78"/>
      <c r="Q56" s="78"/>
      <c r="R56" s="215">
        <f>Tabel21325[[#This Row],[HH/SB 2010]]+Tabel21325[[#This Row],[I 2010]]</f>
        <v>87.06</v>
      </c>
      <c r="S56" s="215" t="s">
        <v>5</v>
      </c>
      <c r="T56" s="215">
        <f>Tabel21325[[#This Row],[HH/SB 2014]]+Tabel21325[[#This Row],[I 2014]]</f>
        <v>0</v>
      </c>
      <c r="U56" s="215">
        <f>Tabel21325[[#This Row],[HH/SB 2016]]+Tabel21325[[#This Row],[I 2016]]</f>
        <v>0</v>
      </c>
      <c r="V56"/>
    </row>
    <row r="57" spans="1:22" x14ac:dyDescent="0.25">
      <c r="A57" s="28" t="s">
        <v>43</v>
      </c>
      <c r="B57" s="17" t="s">
        <v>5</v>
      </c>
      <c r="C57" s="17">
        <v>163.675284</v>
      </c>
      <c r="D57" s="17"/>
      <c r="E57" s="17"/>
      <c r="F57" s="8" t="s">
        <v>5</v>
      </c>
      <c r="G57" s="8">
        <v>59.903781000000002</v>
      </c>
      <c r="H57" s="8"/>
      <c r="I57" s="8"/>
      <c r="J57" s="75" t="s">
        <v>5</v>
      </c>
      <c r="K57" s="75">
        <v>17.823201999999998</v>
      </c>
      <c r="L57" s="75"/>
      <c r="M57" s="75"/>
      <c r="N57" s="78" t="s">
        <v>5</v>
      </c>
      <c r="O57" s="78">
        <v>33.034548000000001</v>
      </c>
      <c r="P57" s="78"/>
      <c r="Q57" s="78"/>
      <c r="R57" s="215" t="s">
        <v>5</v>
      </c>
      <c r="S57" s="215">
        <f>Tabel21325[[#This Row],[HH/SB 2012]]+Tabel21325[[#This Row],[I 2012]]</f>
        <v>223.57906500000001</v>
      </c>
      <c r="T57" s="215">
        <f>Tabel21325[[#This Row],[HH/SB 2014]]+Tabel21325[[#This Row],[I 2014]]</f>
        <v>0</v>
      </c>
      <c r="U57" s="215">
        <f>Tabel21325[[#This Row],[HH/SB 2016]]+Tabel21325[[#This Row],[I 2016]]</f>
        <v>0</v>
      </c>
      <c r="V57"/>
    </row>
    <row r="58" spans="1:22" x14ac:dyDescent="0.25">
      <c r="A58" s="28" t="s">
        <v>450</v>
      </c>
      <c r="B58" s="17">
        <v>90.236999999999995</v>
      </c>
      <c r="C58" s="17"/>
      <c r="D58" s="17"/>
      <c r="E58" s="17"/>
      <c r="F58" s="8">
        <v>26.244</v>
      </c>
      <c r="G58" s="8"/>
      <c r="H58" s="8"/>
      <c r="I58" s="8"/>
      <c r="J58" s="75">
        <v>6.4320000000000004</v>
      </c>
      <c r="K58" s="75"/>
      <c r="L58" s="75"/>
      <c r="M58" s="75"/>
      <c r="N58" s="78">
        <v>0</v>
      </c>
      <c r="O58" s="78"/>
      <c r="P58" s="78"/>
      <c r="Q58" s="78"/>
      <c r="R58" s="215">
        <f>Tabel21325[[#This Row],[HH/SB 2010]]+Tabel21325[[#This Row],[I 2010]]</f>
        <v>116.48099999999999</v>
      </c>
      <c r="S58" s="215" t="s">
        <v>5</v>
      </c>
      <c r="T58" s="215">
        <f>Tabel21325[[#This Row],[HH/SB 2014]]+Tabel21325[[#This Row],[I 2014]]</f>
        <v>0</v>
      </c>
      <c r="U58" s="215">
        <f>Tabel21325[[#This Row],[HH/SB 2016]]+Tabel21325[[#This Row],[I 2016]]</f>
        <v>0</v>
      </c>
      <c r="V58"/>
    </row>
    <row r="59" spans="1:22" x14ac:dyDescent="0.25">
      <c r="A59" s="537" t="s">
        <v>25</v>
      </c>
      <c r="B59" s="17">
        <v>3605.6850720000002</v>
      </c>
      <c r="C59" s="17">
        <v>4896.18822</v>
      </c>
      <c r="D59" s="17">
        <v>5023.0600279999999</v>
      </c>
      <c r="E59" s="17">
        <v>5111.1364780000004</v>
      </c>
      <c r="F59" s="8">
        <v>1268.8892969999999</v>
      </c>
      <c r="G59" s="8">
        <v>125.33315</v>
      </c>
      <c r="H59" s="8">
        <v>160.77159800000001</v>
      </c>
      <c r="I59" s="8">
        <v>258.74557700000003</v>
      </c>
      <c r="J59" s="75">
        <v>4.2813150000000002</v>
      </c>
      <c r="K59" s="75">
        <v>109.207206</v>
      </c>
      <c r="L59" s="75">
        <v>95.758319999999998</v>
      </c>
      <c r="M59" s="75">
        <v>284.99722400000002</v>
      </c>
      <c r="N59" s="208">
        <v>1.7936000000000001E-2</v>
      </c>
      <c r="O59" s="208">
        <v>0</v>
      </c>
      <c r="P59" s="208">
        <v>0</v>
      </c>
      <c r="Q59" s="208">
        <v>0</v>
      </c>
      <c r="R59" s="215">
        <f>Tabel21325[[#This Row],[HH/SB 2010]]+Tabel21325[[#This Row],[I 2010]]</f>
        <v>4874.5743689999999</v>
      </c>
      <c r="S59" s="215">
        <f>Tabel21325[[#This Row],[HH/SB 2012]]+Tabel21325[[#This Row],[I 2012]]</f>
        <v>5021.5213700000004</v>
      </c>
      <c r="T59" s="215">
        <f>Tabel21325[[#This Row],[HH/SB 2014]]+Tabel21325[[#This Row],[I 2014]]</f>
        <v>5183.8316260000001</v>
      </c>
      <c r="U59" s="215">
        <f>Tabel21325[[#This Row],[HH/SB 2016]]+Tabel21325[[#This Row],[I 2016]]</f>
        <v>5369.882055</v>
      </c>
      <c r="V59"/>
    </row>
    <row r="60" spans="1:22" x14ac:dyDescent="0.25">
      <c r="A60" s="537" t="s">
        <v>26</v>
      </c>
      <c r="B60" s="17">
        <v>3343.5749999999998</v>
      </c>
      <c r="C60" s="17">
        <v>2008.78</v>
      </c>
      <c r="D60" s="17">
        <v>2379</v>
      </c>
      <c r="E60" s="17">
        <v>2306</v>
      </c>
      <c r="F60" s="8">
        <v>941.85199999999998</v>
      </c>
      <c r="G60" s="8">
        <v>1098.5899999999999</v>
      </c>
      <c r="H60" s="8">
        <v>857</v>
      </c>
      <c r="I60" s="8">
        <v>867</v>
      </c>
      <c r="J60" s="75">
        <v>423.834</v>
      </c>
      <c r="K60" s="75">
        <v>487.86</v>
      </c>
      <c r="L60" s="75">
        <v>0</v>
      </c>
      <c r="M60" s="75">
        <v>0</v>
      </c>
      <c r="N60" s="78">
        <v>0</v>
      </c>
      <c r="O60" s="78">
        <v>0</v>
      </c>
      <c r="P60" s="78">
        <v>0</v>
      </c>
      <c r="Q60" s="78">
        <v>0</v>
      </c>
      <c r="R60" s="215">
        <f>Tabel21325[[#This Row],[HH/SB 2010]]+Tabel21325[[#This Row],[I 2010]]</f>
        <v>4285.4269999999997</v>
      </c>
      <c r="S60" s="215">
        <f>Tabel21325[[#This Row],[HH/SB 2012]]+Tabel21325[[#This Row],[I 2012]]</f>
        <v>3107.37</v>
      </c>
      <c r="T60" s="215">
        <f>Tabel21325[[#This Row],[HH/SB 2014]]+Tabel21325[[#This Row],[I 2014]]</f>
        <v>3236</v>
      </c>
      <c r="U60" s="215">
        <f>Tabel21325[[#This Row],[HH/SB 2016]]+Tabel21325[[#This Row],[I 2016]]</f>
        <v>3173</v>
      </c>
      <c r="V60"/>
    </row>
    <row r="61" spans="1:22" x14ac:dyDescent="0.25">
      <c r="A61" s="537" t="s">
        <v>48</v>
      </c>
      <c r="B61" s="17">
        <v>463.79</v>
      </c>
      <c r="C61" s="17">
        <v>498.63400000000001</v>
      </c>
      <c r="D61" s="17" t="s">
        <v>5</v>
      </c>
      <c r="E61" s="17">
        <v>513.14113899999995</v>
      </c>
      <c r="F61" s="8">
        <v>102.556</v>
      </c>
      <c r="G61" s="8">
        <v>130.1</v>
      </c>
      <c r="H61" s="8" t="s">
        <v>5</v>
      </c>
      <c r="I61" s="8">
        <v>153.275925</v>
      </c>
      <c r="J61" s="75">
        <v>52.234000000000002</v>
      </c>
      <c r="K61" s="75">
        <v>40.113999999999997</v>
      </c>
      <c r="L61" s="75" t="s">
        <v>5</v>
      </c>
      <c r="M61" s="75">
        <v>96.813067000000004</v>
      </c>
      <c r="N61" s="78">
        <v>0</v>
      </c>
      <c r="O61" s="78">
        <v>0</v>
      </c>
      <c r="P61" s="78" t="s">
        <v>5</v>
      </c>
      <c r="Q61" s="78">
        <v>0</v>
      </c>
      <c r="R61" s="215">
        <f>Tabel21325[[#This Row],[HH/SB 2010]]+Tabel21325[[#This Row],[I 2010]]</f>
        <v>566.346</v>
      </c>
      <c r="S61" s="215">
        <f>Tabel21325[[#This Row],[HH/SB 2012]]+Tabel21325[[#This Row],[I 2012]]</f>
        <v>628.73400000000004</v>
      </c>
      <c r="T61" s="215" t="s">
        <v>5</v>
      </c>
      <c r="U61" s="215">
        <f>Tabel21325[[#This Row],[HH/SB 2016]]+Tabel21325[[#This Row],[I 2016]]</f>
        <v>666.41706399999998</v>
      </c>
      <c r="V61"/>
    </row>
    <row r="62" spans="1:22" x14ac:dyDescent="0.25">
      <c r="A62" s="537" t="s">
        <v>28</v>
      </c>
      <c r="B62" s="17">
        <v>560</v>
      </c>
      <c r="C62" s="17">
        <v>544</v>
      </c>
      <c r="D62" s="17">
        <v>516</v>
      </c>
      <c r="E62" s="17">
        <v>517</v>
      </c>
      <c r="F62" s="8">
        <v>180</v>
      </c>
      <c r="G62" s="8">
        <v>195</v>
      </c>
      <c r="H62" s="8">
        <v>199</v>
      </c>
      <c r="I62" s="8">
        <v>217</v>
      </c>
      <c r="J62" s="75">
        <v>201</v>
      </c>
      <c r="K62" s="75">
        <v>196</v>
      </c>
      <c r="L62" s="75">
        <v>186</v>
      </c>
      <c r="M62" s="75">
        <v>189</v>
      </c>
      <c r="N62" s="208">
        <v>0.55800000000000005</v>
      </c>
      <c r="O62" s="208">
        <v>0</v>
      </c>
      <c r="P62" s="208">
        <v>0</v>
      </c>
      <c r="Q62" s="208">
        <v>0</v>
      </c>
      <c r="R62" s="215">
        <f>Tabel21325[[#This Row],[HH/SB 2010]]+Tabel21325[[#This Row],[I 2010]]</f>
        <v>740</v>
      </c>
      <c r="S62" s="215">
        <f>Tabel21325[[#This Row],[HH/SB 2012]]+Tabel21325[[#This Row],[I 2012]]</f>
        <v>739</v>
      </c>
      <c r="T62" s="215">
        <f>Tabel21325[[#This Row],[HH/SB 2014]]+Tabel21325[[#This Row],[I 2014]]</f>
        <v>715</v>
      </c>
      <c r="U62" s="215">
        <f>Tabel21325[[#This Row],[HH/SB 2016]]+Tabel21325[[#This Row],[I 2016]]</f>
        <v>734</v>
      </c>
      <c r="V62"/>
    </row>
    <row r="63" spans="1:22" x14ac:dyDescent="0.25">
      <c r="A63" s="28" t="s">
        <v>706</v>
      </c>
      <c r="B63" s="17" t="s">
        <v>5</v>
      </c>
      <c r="C63" s="17" t="s">
        <v>5</v>
      </c>
      <c r="D63" s="17" t="s">
        <v>5</v>
      </c>
      <c r="E63" s="17"/>
      <c r="F63" s="8" t="s">
        <v>5</v>
      </c>
      <c r="G63" s="8" t="s">
        <v>5</v>
      </c>
      <c r="H63" s="8" t="s">
        <v>5</v>
      </c>
      <c r="I63" s="8"/>
      <c r="J63" s="75" t="s">
        <v>5</v>
      </c>
      <c r="K63" s="75" t="s">
        <v>5</v>
      </c>
      <c r="L63" s="75" t="s">
        <v>5</v>
      </c>
      <c r="M63" s="75"/>
      <c r="N63" s="208" t="s">
        <v>5</v>
      </c>
      <c r="O63" s="208" t="s">
        <v>5</v>
      </c>
      <c r="P63" s="208" t="s">
        <v>5</v>
      </c>
      <c r="Q63" s="208"/>
      <c r="R63" s="215" t="s">
        <v>5</v>
      </c>
      <c r="S63" s="215" t="s">
        <v>5</v>
      </c>
      <c r="T63" s="215" t="s">
        <v>5</v>
      </c>
      <c r="U63" s="215">
        <f>Tabel21325[[#This Row],[HH/SB 2016]]+Tabel21325[[#This Row],[I 2016]]</f>
        <v>0</v>
      </c>
      <c r="V63"/>
    </row>
    <row r="64" spans="1:22" x14ac:dyDescent="0.25">
      <c r="A64" s="28" t="s">
        <v>737</v>
      </c>
      <c r="B64" s="17" t="s">
        <v>5</v>
      </c>
      <c r="C64" s="17" t="s">
        <v>5</v>
      </c>
      <c r="D64" s="17">
        <v>841.93828800000006</v>
      </c>
      <c r="E64" s="17"/>
      <c r="F64" s="8" t="s">
        <v>5</v>
      </c>
      <c r="G64" s="8" t="s">
        <v>5</v>
      </c>
      <c r="H64" s="8">
        <v>275.25062400000002</v>
      </c>
      <c r="I64" s="8"/>
      <c r="J64" s="75" t="s">
        <v>5</v>
      </c>
      <c r="K64" s="75" t="s">
        <v>5</v>
      </c>
      <c r="L64" s="75">
        <v>0</v>
      </c>
      <c r="M64" s="75"/>
      <c r="N64" s="208" t="s">
        <v>5</v>
      </c>
      <c r="O64" s="208" t="s">
        <v>5</v>
      </c>
      <c r="P64" s="208">
        <v>0</v>
      </c>
      <c r="Q64" s="208"/>
      <c r="R64" s="215" t="s">
        <v>5</v>
      </c>
      <c r="S64" s="215" t="s">
        <v>5</v>
      </c>
      <c r="T64" s="215">
        <f>Tabel21325[[#This Row],[HH/SB 2014]]+Tabel21325[[#This Row],[I 2014]]</f>
        <v>1117.1889120000001</v>
      </c>
      <c r="U64" s="215">
        <f>Tabel21325[[#This Row],[HH/SB 2016]]+Tabel21325[[#This Row],[I 2016]]</f>
        <v>0</v>
      </c>
      <c r="V64"/>
    </row>
    <row r="65" spans="1:22" x14ac:dyDescent="0.25">
      <c r="A65" s="28" t="s">
        <v>29</v>
      </c>
      <c r="B65" s="17"/>
      <c r="C65" s="17"/>
      <c r="D65" s="17"/>
      <c r="E65" s="17"/>
      <c r="F65" s="8"/>
      <c r="G65" s="8"/>
      <c r="H65" s="8"/>
      <c r="I65" s="8"/>
      <c r="J65" s="75"/>
      <c r="K65" s="75"/>
      <c r="L65" s="75"/>
      <c r="M65" s="75"/>
      <c r="N65" s="78"/>
      <c r="O65" s="78"/>
      <c r="P65" s="78"/>
      <c r="Q65" s="78"/>
      <c r="R65" s="215" t="s">
        <v>5</v>
      </c>
      <c r="S65" s="215" t="s">
        <v>5</v>
      </c>
      <c r="T65" s="215">
        <f>Tabel21325[[#This Row],[HH/SB 2014]]+Tabel21325[[#This Row],[I 2014]]</f>
        <v>0</v>
      </c>
      <c r="U65" s="215">
        <f>Tabel21325[[#This Row],[HH/SB 2016]]+Tabel21325[[#This Row],[I 2016]]</f>
        <v>0</v>
      </c>
      <c r="V65"/>
    </row>
    <row r="66" spans="1:22" x14ac:dyDescent="0.25">
      <c r="A66" s="537" t="s">
        <v>927</v>
      </c>
      <c r="B66" s="17" t="s">
        <v>5</v>
      </c>
      <c r="C66" s="17" t="s">
        <v>5</v>
      </c>
      <c r="D66" s="17" t="s">
        <v>5</v>
      </c>
      <c r="E66" s="17">
        <v>3273</v>
      </c>
      <c r="F66" s="8" t="s">
        <v>5</v>
      </c>
      <c r="G66" s="8" t="s">
        <v>5</v>
      </c>
      <c r="H66" s="8" t="s">
        <v>5</v>
      </c>
      <c r="I66" s="8">
        <v>582.55999999999995</v>
      </c>
      <c r="J66" s="75" t="s">
        <v>5</v>
      </c>
      <c r="K66" s="75" t="s">
        <v>5</v>
      </c>
      <c r="L66" s="75" t="s">
        <v>5</v>
      </c>
      <c r="M66" s="75">
        <v>3500</v>
      </c>
      <c r="N66" s="78" t="s">
        <v>5</v>
      </c>
      <c r="O66" s="78" t="s">
        <v>5</v>
      </c>
      <c r="P66" s="78" t="s">
        <v>5</v>
      </c>
      <c r="Q66" s="78">
        <v>0.42961899999999997</v>
      </c>
      <c r="R66" s="215" t="s">
        <v>5</v>
      </c>
      <c r="S66" s="215" t="s">
        <v>5</v>
      </c>
      <c r="T66" s="215" t="s">
        <v>5</v>
      </c>
      <c r="U66" s="215">
        <f>Tabel21325[[#This Row],[HH/SB 2016]]+Tabel21325[[#This Row],[I 2016]]</f>
        <v>3855.56</v>
      </c>
      <c r="V66"/>
    </row>
    <row r="67" spans="1:22" x14ac:dyDescent="0.25">
      <c r="A67" s="688" t="s">
        <v>505</v>
      </c>
      <c r="B67" s="17">
        <v>25.206910000000001</v>
      </c>
      <c r="C67" s="17" t="s">
        <v>5</v>
      </c>
      <c r="D67" s="17">
        <f>28.5421745+21.5725738</f>
        <v>50.114748300000002</v>
      </c>
      <c r="E67" s="17">
        <v>71.417815000000004</v>
      </c>
      <c r="F67" s="8">
        <v>21.773879000000001</v>
      </c>
      <c r="G67" s="8" t="s">
        <v>5</v>
      </c>
      <c r="H67" s="8">
        <v>15.399499</v>
      </c>
      <c r="I67" s="8">
        <v>16.851395</v>
      </c>
      <c r="J67" s="75" t="s">
        <v>5</v>
      </c>
      <c r="K67" s="75" t="s">
        <v>5</v>
      </c>
      <c r="L67" s="75">
        <v>29.5776</v>
      </c>
      <c r="M67" s="75">
        <v>35.952708999999999</v>
      </c>
      <c r="N67" s="78" t="s">
        <v>5</v>
      </c>
      <c r="O67" s="78" t="s">
        <v>5</v>
      </c>
      <c r="P67" s="78" t="s">
        <v>5</v>
      </c>
      <c r="Q67" s="78">
        <v>0</v>
      </c>
      <c r="R67" s="215">
        <f>Tabel21325[[#This Row],[HH/SB 2010]]+Tabel21325[[#This Row],[I 2010]]</f>
        <v>46.980789000000001</v>
      </c>
      <c r="S67" s="215" t="s">
        <v>5</v>
      </c>
      <c r="T67" s="215">
        <f>Tabel21325[[#This Row],[HH/SB 2014]]+Tabel21325[[#This Row],[I 2014]]</f>
        <v>65.514247300000008</v>
      </c>
      <c r="U67" s="215">
        <f>Tabel21325[[#This Row],[HH/SB 2016]]+Tabel21325[[#This Row],[I 2016]]</f>
        <v>88.269210000000001</v>
      </c>
      <c r="V67"/>
    </row>
    <row r="68" spans="1:22" x14ac:dyDescent="0.25">
      <c r="A68" s="28" t="s">
        <v>51</v>
      </c>
      <c r="B68" s="17"/>
      <c r="C68" s="17"/>
      <c r="D68" s="17"/>
      <c r="E68" s="17"/>
      <c r="F68" s="8"/>
      <c r="G68" s="8"/>
      <c r="H68" s="8"/>
      <c r="I68" s="8"/>
      <c r="J68" s="75"/>
      <c r="K68" s="75"/>
      <c r="L68" s="75"/>
      <c r="M68" s="75"/>
      <c r="N68" s="78"/>
      <c r="O68" s="78"/>
      <c r="P68" s="78"/>
      <c r="Q68" s="78"/>
      <c r="R68" s="215" t="s">
        <v>5</v>
      </c>
      <c r="S68" s="215" t="s">
        <v>5</v>
      </c>
      <c r="T68" s="215">
        <f>Tabel21325[[#This Row],[HH/SB 2014]]+Tabel21325[[#This Row],[I 2014]]</f>
        <v>0</v>
      </c>
      <c r="U68" s="215">
        <f>Tabel21325[[#This Row],[HH/SB 2016]]+Tabel21325[[#This Row],[I 2016]]</f>
        <v>0</v>
      </c>
      <c r="V68"/>
    </row>
    <row r="69" spans="1:22" x14ac:dyDescent="0.25">
      <c r="A69" s="713" t="s">
        <v>31</v>
      </c>
      <c r="B69" s="30" t="s">
        <v>5</v>
      </c>
      <c r="C69" s="30">
        <v>34581.434705</v>
      </c>
      <c r="D69" s="30">
        <v>35717.584087000003</v>
      </c>
      <c r="E69" s="30">
        <v>35050.069252000001</v>
      </c>
      <c r="F69" s="31" t="s">
        <v>5</v>
      </c>
      <c r="G69" s="31" t="s">
        <v>5</v>
      </c>
      <c r="H69" s="31" t="s">
        <v>5</v>
      </c>
      <c r="I69" s="31" t="s">
        <v>5</v>
      </c>
      <c r="J69" s="76">
        <v>4695.21</v>
      </c>
      <c r="K69" s="76" t="s">
        <v>5</v>
      </c>
      <c r="L69" s="76" t="s">
        <v>5</v>
      </c>
      <c r="M69" s="76" t="s">
        <v>5</v>
      </c>
      <c r="N69" s="79" t="s">
        <v>5</v>
      </c>
      <c r="O69" s="79">
        <v>12960.817005000001</v>
      </c>
      <c r="P69" s="79">
        <v>11228.774685</v>
      </c>
      <c r="Q69" s="79">
        <v>8165.7283379999999</v>
      </c>
      <c r="R69" s="215">
        <v>47917</v>
      </c>
      <c r="S69" s="215">
        <f>Tabel21325[[#This Row],[HH/SB 2012]]</f>
        <v>34581.434705</v>
      </c>
      <c r="T69" s="215">
        <f>Tabel21325[[#This Row],[HH/SB 2014]]</f>
        <v>35717.584087000003</v>
      </c>
      <c r="U69" s="215">
        <f>Tabel21325[[#This Row],[HH/SB 2016]]</f>
        <v>35050.069252000001</v>
      </c>
      <c r="V69"/>
    </row>
    <row r="70" spans="1:22" x14ac:dyDescent="0.25">
      <c r="A70" s="492" t="s">
        <v>718</v>
      </c>
      <c r="B70" s="30" t="s">
        <v>5</v>
      </c>
      <c r="C70" s="30" t="s">
        <v>5</v>
      </c>
      <c r="D70" s="30">
        <f>111.18+15.77+22.43+13.39</f>
        <v>162.76999999999998</v>
      </c>
      <c r="E70" s="30"/>
      <c r="F70" s="31" t="s">
        <v>5</v>
      </c>
      <c r="G70" s="31" t="s">
        <v>5</v>
      </c>
      <c r="H70" s="31">
        <v>0</v>
      </c>
      <c r="I70" s="31"/>
      <c r="J70" s="76" t="s">
        <v>5</v>
      </c>
      <c r="K70" s="76" t="s">
        <v>5</v>
      </c>
      <c r="L70" s="76">
        <v>205.684</v>
      </c>
      <c r="M70" s="76"/>
      <c r="N70" s="79" t="s">
        <v>5</v>
      </c>
      <c r="O70" s="79" t="s">
        <v>5</v>
      </c>
      <c r="P70" s="79">
        <v>0</v>
      </c>
      <c r="Q70" s="79"/>
      <c r="R70" s="21" t="s">
        <v>5</v>
      </c>
      <c r="S70" s="472" t="str">
        <f>Tabel21325[[#This Row],[HH/SB 2012]]</f>
        <v>n/a</v>
      </c>
      <c r="T70" s="473">
        <f>Tabel21325[[#This Row],[HH/SB 2014]]+Tabel21325[[#This Row],[I 2014]]</f>
        <v>162.76999999999998</v>
      </c>
      <c r="U70" s="215">
        <f>Tabel21325[[#This Row],[HH/SB 2016]]+Tabel21325[[#This Row],[I 2016]]</f>
        <v>0</v>
      </c>
      <c r="V70"/>
    </row>
    <row r="71" spans="1:22" x14ac:dyDescent="0.25">
      <c r="A71" s="23"/>
    </row>
    <row r="72" spans="1:22" x14ac:dyDescent="0.25">
      <c r="A72" s="22"/>
    </row>
    <row r="73" spans="1:22" ht="51.6" customHeight="1" thickBot="1" x14ac:dyDescent="0.3">
      <c r="A73" s="459" t="s">
        <v>3</v>
      </c>
      <c r="B73" s="916" t="s">
        <v>1181</v>
      </c>
      <c r="C73" s="916" t="s">
        <v>1182</v>
      </c>
      <c r="D73" s="917" t="s">
        <v>1183</v>
      </c>
      <c r="E73" s="917" t="s">
        <v>1184</v>
      </c>
      <c r="F73" s="14" t="s">
        <v>674</v>
      </c>
      <c r="G73" s="14" t="s">
        <v>802</v>
      </c>
    </row>
    <row r="74" spans="1:22" x14ac:dyDescent="0.25">
      <c r="A74" s="539" t="s">
        <v>33</v>
      </c>
      <c r="B74" s="409" t="s">
        <v>5</v>
      </c>
      <c r="C74" s="410">
        <v>3858.903777</v>
      </c>
      <c r="D74" s="914" t="s">
        <v>5</v>
      </c>
      <c r="E74" s="914" t="s">
        <v>5</v>
      </c>
      <c r="F74" s="918" t="s">
        <v>5</v>
      </c>
      <c r="G74" s="918">
        <f>C74</f>
        <v>3858.903777</v>
      </c>
    </row>
    <row r="75" spans="1:22" x14ac:dyDescent="0.25">
      <c r="A75" s="539" t="s">
        <v>524</v>
      </c>
      <c r="B75" s="410" t="s">
        <v>5</v>
      </c>
      <c r="C75" s="410">
        <v>89.8</v>
      </c>
      <c r="D75" s="838" t="s">
        <v>5</v>
      </c>
      <c r="E75" s="838">
        <v>27.9</v>
      </c>
      <c r="F75" s="918" t="s">
        <v>5</v>
      </c>
      <c r="G75" s="918">
        <f t="shared" ref="G75:G113" si="0">C75+E75</f>
        <v>117.69999999999999</v>
      </c>
    </row>
    <row r="76" spans="1:22" x14ac:dyDescent="0.25">
      <c r="A76" s="539" t="s">
        <v>34</v>
      </c>
      <c r="B76" s="411">
        <v>1589.3720000000001</v>
      </c>
      <c r="C76" s="411">
        <v>1698.077</v>
      </c>
      <c r="D76" s="838">
        <v>765.68200000000002</v>
      </c>
      <c r="E76" s="838">
        <v>1043.011</v>
      </c>
      <c r="F76" s="918">
        <f t="shared" ref="F76:F115" si="1">B76+D76</f>
        <v>2355.0540000000001</v>
      </c>
      <c r="G76" s="918">
        <f t="shared" si="0"/>
        <v>2741.0879999999997</v>
      </c>
      <c r="I76"/>
      <c r="J76"/>
      <c r="K76"/>
    </row>
    <row r="77" spans="1:22" x14ac:dyDescent="0.25">
      <c r="A77" s="610" t="s">
        <v>4</v>
      </c>
      <c r="B77" s="411" t="s">
        <v>5</v>
      </c>
      <c r="C77" s="411">
        <v>493.7</v>
      </c>
      <c r="D77" s="838" t="s">
        <v>5</v>
      </c>
      <c r="E77" s="838">
        <v>36.299999999999997</v>
      </c>
      <c r="F77" s="918" t="s">
        <v>5</v>
      </c>
      <c r="G77" s="918">
        <f t="shared" si="0"/>
        <v>530</v>
      </c>
    </row>
    <row r="78" spans="1:22" x14ac:dyDescent="0.25">
      <c r="A78" s="610" t="s">
        <v>6</v>
      </c>
      <c r="B78" s="411">
        <v>391.43026400000002</v>
      </c>
      <c r="C78" s="411">
        <v>399.43971800000003</v>
      </c>
      <c r="D78" s="838">
        <v>169.58753400000001</v>
      </c>
      <c r="E78" s="838">
        <v>162.14998</v>
      </c>
      <c r="F78" s="918">
        <f t="shared" si="1"/>
        <v>561.01779800000008</v>
      </c>
      <c r="G78" s="918">
        <f t="shared" si="0"/>
        <v>561.589698</v>
      </c>
    </row>
    <row r="79" spans="1:22" x14ac:dyDescent="0.25">
      <c r="A79" s="470" t="s">
        <v>343</v>
      </c>
      <c r="B79" s="411">
        <v>1381.43</v>
      </c>
      <c r="C79" s="411">
        <v>1375.3789999999999</v>
      </c>
      <c r="D79" s="838">
        <v>0</v>
      </c>
      <c r="E79" s="838">
        <v>0</v>
      </c>
      <c r="F79" s="918">
        <f t="shared" si="1"/>
        <v>1381.43</v>
      </c>
      <c r="G79" s="918">
        <f t="shared" si="0"/>
        <v>1375.3789999999999</v>
      </c>
    </row>
    <row r="80" spans="1:22" x14ac:dyDescent="0.25">
      <c r="A80" s="913" t="s">
        <v>489</v>
      </c>
      <c r="B80" s="411">
        <v>997.690653</v>
      </c>
      <c r="C80" s="411" t="s">
        <v>5</v>
      </c>
      <c r="D80" s="838">
        <v>110.740745</v>
      </c>
      <c r="E80" s="838" t="s">
        <v>5</v>
      </c>
      <c r="F80" s="918">
        <f t="shared" si="1"/>
        <v>1108.4313979999999</v>
      </c>
      <c r="G80" s="918" t="s">
        <v>5</v>
      </c>
    </row>
    <row r="81" spans="1:7" x14ac:dyDescent="0.25">
      <c r="A81" s="610" t="s">
        <v>8</v>
      </c>
      <c r="B81" s="411">
        <v>21280</v>
      </c>
      <c r="C81" s="411">
        <v>21714</v>
      </c>
      <c r="D81" s="838">
        <v>6363</v>
      </c>
      <c r="E81" s="838">
        <v>8056</v>
      </c>
      <c r="F81" s="918">
        <f t="shared" si="1"/>
        <v>27643</v>
      </c>
      <c r="G81" s="918">
        <f t="shared" si="0"/>
        <v>29770</v>
      </c>
    </row>
    <row r="82" spans="1:7" x14ac:dyDescent="0.25">
      <c r="A82" s="470" t="s">
        <v>585</v>
      </c>
      <c r="B82" s="411">
        <v>560</v>
      </c>
      <c r="C82" s="411">
        <v>580</v>
      </c>
      <c r="D82" s="838">
        <v>399.46</v>
      </c>
      <c r="E82" s="838">
        <v>407.22</v>
      </c>
      <c r="F82" s="918">
        <f t="shared" si="1"/>
        <v>959.46</v>
      </c>
      <c r="G82" s="918">
        <f t="shared" si="0"/>
        <v>987.22</v>
      </c>
    </row>
    <row r="83" spans="1:7" x14ac:dyDescent="0.25">
      <c r="A83" s="539" t="s">
        <v>9</v>
      </c>
      <c r="B83" s="411">
        <v>2179.0828019999999</v>
      </c>
      <c r="C83" s="411">
        <v>2375.33275</v>
      </c>
      <c r="D83" s="838">
        <v>792.49196400000005</v>
      </c>
      <c r="E83" s="838">
        <v>616.87</v>
      </c>
      <c r="F83" s="918">
        <f t="shared" si="1"/>
        <v>2971.5747659999997</v>
      </c>
      <c r="G83" s="918">
        <f t="shared" si="0"/>
        <v>2992.2027499999999</v>
      </c>
    </row>
    <row r="84" spans="1:7" x14ac:dyDescent="0.25">
      <c r="A84" s="539" t="s">
        <v>10</v>
      </c>
      <c r="B84" s="411">
        <v>70.5</v>
      </c>
      <c r="C84" s="411">
        <v>75</v>
      </c>
      <c r="D84" s="838">
        <v>4.5</v>
      </c>
      <c r="E84" s="838">
        <v>5</v>
      </c>
      <c r="F84" s="918">
        <f t="shared" si="1"/>
        <v>75</v>
      </c>
      <c r="G84" s="918">
        <f t="shared" si="0"/>
        <v>80</v>
      </c>
    </row>
    <row r="85" spans="1:7" x14ac:dyDescent="0.25">
      <c r="A85" s="539" t="s">
        <v>910</v>
      </c>
      <c r="B85" s="411" t="s">
        <v>5</v>
      </c>
      <c r="C85" s="411">
        <v>322.3</v>
      </c>
      <c r="D85" s="838" t="s">
        <v>5</v>
      </c>
      <c r="E85" s="838">
        <v>156.6</v>
      </c>
      <c r="F85" s="918" t="s">
        <v>5</v>
      </c>
      <c r="G85" s="918">
        <f t="shared" si="0"/>
        <v>478.9</v>
      </c>
    </row>
    <row r="86" spans="1:7" x14ac:dyDescent="0.25">
      <c r="A86" s="539" t="s">
        <v>11</v>
      </c>
      <c r="B86" s="411">
        <v>304</v>
      </c>
      <c r="C86" s="411">
        <v>285</v>
      </c>
      <c r="D86" s="838">
        <v>51</v>
      </c>
      <c r="E86" s="838">
        <v>48</v>
      </c>
      <c r="F86" s="918">
        <f t="shared" si="1"/>
        <v>355</v>
      </c>
      <c r="G86" s="918">
        <f t="shared" si="0"/>
        <v>333</v>
      </c>
    </row>
    <row r="87" spans="1:7" x14ac:dyDescent="0.25">
      <c r="A87" s="470" t="s">
        <v>456</v>
      </c>
      <c r="B87" s="411">
        <v>3109.5030000000002</v>
      </c>
      <c r="C87" s="411">
        <v>3148.0481370000002</v>
      </c>
      <c r="D87" s="838">
        <v>1129.672</v>
      </c>
      <c r="E87" s="838">
        <v>1190.3483490000001</v>
      </c>
      <c r="F87" s="918">
        <f t="shared" si="1"/>
        <v>4239.1750000000002</v>
      </c>
      <c r="G87" s="918">
        <f t="shared" si="0"/>
        <v>4338.3964860000006</v>
      </c>
    </row>
    <row r="88" spans="1:7" x14ac:dyDescent="0.25">
      <c r="A88" s="539" t="s">
        <v>12</v>
      </c>
      <c r="B88" s="411">
        <v>311.48500999999999</v>
      </c>
      <c r="C88" s="411">
        <v>311.48500999999999</v>
      </c>
      <c r="D88" s="838">
        <v>40</v>
      </c>
      <c r="E88" s="838">
        <v>40</v>
      </c>
      <c r="F88" s="918">
        <f t="shared" si="1"/>
        <v>351.48500999999999</v>
      </c>
      <c r="G88" s="918">
        <f t="shared" si="0"/>
        <v>351.48500999999999</v>
      </c>
    </row>
    <row r="89" spans="1:7" x14ac:dyDescent="0.25">
      <c r="A89" s="539" t="s">
        <v>13</v>
      </c>
      <c r="B89" s="411">
        <v>3816</v>
      </c>
      <c r="C89" s="411">
        <v>3900</v>
      </c>
      <c r="D89" s="838">
        <v>629.80000000000018</v>
      </c>
      <c r="E89" s="838">
        <v>642.39999999999964</v>
      </c>
      <c r="F89" s="918">
        <f t="shared" si="1"/>
        <v>4445.8</v>
      </c>
      <c r="G89" s="918">
        <f t="shared" si="0"/>
        <v>4542.3999999999996</v>
      </c>
    </row>
    <row r="90" spans="1:7" x14ac:dyDescent="0.25">
      <c r="A90" s="539" t="s">
        <v>14</v>
      </c>
      <c r="B90" s="411">
        <v>3549</v>
      </c>
      <c r="C90" s="411">
        <v>3654</v>
      </c>
      <c r="D90" s="838">
        <v>930</v>
      </c>
      <c r="E90" s="838">
        <v>925</v>
      </c>
      <c r="F90" s="918">
        <f t="shared" si="1"/>
        <v>4479</v>
      </c>
      <c r="G90" s="918">
        <f t="shared" si="0"/>
        <v>4579</v>
      </c>
    </row>
    <row r="91" spans="1:7" x14ac:dyDescent="0.25">
      <c r="A91" s="539" t="s">
        <v>45</v>
      </c>
      <c r="B91" s="411">
        <v>312.06099999999998</v>
      </c>
      <c r="C91" s="411">
        <v>331.17099999999999</v>
      </c>
      <c r="D91" s="838">
        <v>99.191000000000003</v>
      </c>
      <c r="E91" s="838">
        <v>114.44499999999999</v>
      </c>
      <c r="F91" s="918">
        <f t="shared" si="1"/>
        <v>411.25199999999995</v>
      </c>
      <c r="G91" s="918">
        <f t="shared" si="0"/>
        <v>445.61599999999999</v>
      </c>
    </row>
    <row r="92" spans="1:7" x14ac:dyDescent="0.25">
      <c r="A92" s="539" t="s">
        <v>17</v>
      </c>
      <c r="B92" s="411" t="s">
        <v>5</v>
      </c>
      <c r="C92" s="411">
        <v>4605</v>
      </c>
      <c r="D92" s="838" t="s">
        <v>5</v>
      </c>
      <c r="E92" s="838">
        <v>1152</v>
      </c>
      <c r="F92" s="918" t="s">
        <v>5</v>
      </c>
      <c r="G92" s="918">
        <f t="shared" si="0"/>
        <v>5757</v>
      </c>
    </row>
    <row r="93" spans="1:7" x14ac:dyDescent="0.25">
      <c r="A93" s="539" t="s">
        <v>18</v>
      </c>
      <c r="B93" s="411">
        <v>12087.722</v>
      </c>
      <c r="C93" s="411">
        <v>12007.307000000001</v>
      </c>
      <c r="D93" s="838">
        <v>1151.94</v>
      </c>
      <c r="E93" s="838">
        <v>1046.3040000000001</v>
      </c>
      <c r="F93" s="918">
        <f t="shared" si="1"/>
        <v>13239.662</v>
      </c>
      <c r="G93" s="918">
        <f t="shared" si="0"/>
        <v>13053.611000000001</v>
      </c>
    </row>
    <row r="94" spans="1:7" x14ac:dyDescent="0.25">
      <c r="A94" s="915" t="s">
        <v>742</v>
      </c>
      <c r="B94" s="411">
        <v>246.45400000000001</v>
      </c>
      <c r="C94" s="411" t="s">
        <v>5</v>
      </c>
      <c r="D94" s="838">
        <v>0</v>
      </c>
      <c r="E94" s="838" t="s">
        <v>5</v>
      </c>
      <c r="F94" s="918">
        <f t="shared" si="1"/>
        <v>246.45400000000001</v>
      </c>
      <c r="G94" s="918" t="s">
        <v>5</v>
      </c>
    </row>
    <row r="95" spans="1:7" x14ac:dyDescent="0.25">
      <c r="A95" s="470" t="s">
        <v>586</v>
      </c>
      <c r="B95" s="411">
        <v>46.603907999999997</v>
      </c>
      <c r="C95" s="411">
        <v>48.699959999999997</v>
      </c>
      <c r="D95" s="838">
        <v>36.881746999999997</v>
      </c>
      <c r="E95" s="838">
        <v>38.002581999999997</v>
      </c>
      <c r="F95" s="918">
        <f t="shared" si="1"/>
        <v>83.485654999999994</v>
      </c>
      <c r="G95" s="918">
        <f t="shared" si="0"/>
        <v>86.702541999999994</v>
      </c>
    </row>
    <row r="96" spans="1:7" x14ac:dyDescent="0.25">
      <c r="A96" s="610" t="s">
        <v>774</v>
      </c>
      <c r="B96" s="411">
        <v>12.312279</v>
      </c>
      <c r="C96" s="411">
        <v>12.462859</v>
      </c>
      <c r="D96" s="838">
        <v>5.385033</v>
      </c>
      <c r="E96" s="838">
        <v>5.6430449999999999</v>
      </c>
      <c r="F96" s="918">
        <f t="shared" si="1"/>
        <v>17.697312</v>
      </c>
      <c r="G96" s="918">
        <f t="shared" si="0"/>
        <v>18.105903999999999</v>
      </c>
    </row>
    <row r="97" spans="1:7" x14ac:dyDescent="0.25">
      <c r="A97" s="912" t="s">
        <v>37</v>
      </c>
      <c r="B97" s="411">
        <v>81.400000000000006</v>
      </c>
      <c r="C97" s="411" t="s">
        <v>5</v>
      </c>
      <c r="D97" s="838">
        <v>15.5</v>
      </c>
      <c r="E97" s="838" t="s">
        <v>5</v>
      </c>
      <c r="F97" s="918">
        <f t="shared" si="1"/>
        <v>96.9</v>
      </c>
      <c r="G97" s="918" t="s">
        <v>5</v>
      </c>
    </row>
    <row r="98" spans="1:7" x14ac:dyDescent="0.25">
      <c r="A98" s="610" t="s">
        <v>38</v>
      </c>
      <c r="B98" s="411">
        <v>12.0136</v>
      </c>
      <c r="C98" s="411">
        <v>12.48072</v>
      </c>
      <c r="D98" s="838">
        <v>2.1419999999999999</v>
      </c>
      <c r="E98" s="838">
        <v>3.68</v>
      </c>
      <c r="F98" s="918">
        <f t="shared" si="1"/>
        <v>14.1556</v>
      </c>
      <c r="G98" s="918">
        <f t="shared" si="0"/>
        <v>16.160720000000001</v>
      </c>
    </row>
    <row r="99" spans="1:7" x14ac:dyDescent="0.25">
      <c r="A99" s="913" t="s">
        <v>734</v>
      </c>
      <c r="B99" s="411">
        <v>162</v>
      </c>
      <c r="C99" s="411" t="s">
        <v>5</v>
      </c>
      <c r="D99" s="838">
        <v>171</v>
      </c>
      <c r="E99" s="838" t="s">
        <v>5</v>
      </c>
      <c r="F99" s="918">
        <f t="shared" si="1"/>
        <v>333</v>
      </c>
      <c r="G99" s="918" t="s">
        <v>5</v>
      </c>
    </row>
    <row r="100" spans="1:7" x14ac:dyDescent="0.25">
      <c r="A100" s="610" t="s">
        <v>20</v>
      </c>
      <c r="B100" s="411">
        <v>913</v>
      </c>
      <c r="C100" s="411">
        <v>939</v>
      </c>
      <c r="D100" s="838">
        <v>154</v>
      </c>
      <c r="E100" s="838">
        <v>156</v>
      </c>
      <c r="F100" s="918">
        <f t="shared" si="1"/>
        <v>1067</v>
      </c>
      <c r="G100" s="918">
        <f t="shared" si="0"/>
        <v>1095</v>
      </c>
    </row>
    <row r="101" spans="1:7" x14ac:dyDescent="0.25">
      <c r="A101" s="610" t="s">
        <v>21</v>
      </c>
      <c r="B101" s="411">
        <v>388.11</v>
      </c>
      <c r="C101" s="411">
        <v>357.45162499999998</v>
      </c>
      <c r="D101" s="838">
        <v>136.97999999999999</v>
      </c>
      <c r="E101" s="838">
        <v>130.367401</v>
      </c>
      <c r="F101" s="918">
        <f t="shared" si="1"/>
        <v>525.09</v>
      </c>
      <c r="G101" s="918">
        <f t="shared" si="0"/>
        <v>487.81902600000001</v>
      </c>
    </row>
    <row r="102" spans="1:7" x14ac:dyDescent="0.25">
      <c r="A102" s="610" t="s">
        <v>22</v>
      </c>
      <c r="B102" s="411">
        <v>1537</v>
      </c>
      <c r="C102" s="411">
        <v>1238</v>
      </c>
      <c r="D102" s="838">
        <v>7650.1</v>
      </c>
      <c r="E102" s="838">
        <v>7650.1379999999999</v>
      </c>
      <c r="F102" s="918">
        <f t="shared" si="1"/>
        <v>9187.1</v>
      </c>
      <c r="G102" s="918">
        <f t="shared" si="0"/>
        <v>8888.137999999999</v>
      </c>
    </row>
    <row r="103" spans="1:7" x14ac:dyDescent="0.25">
      <c r="A103" s="610" t="s">
        <v>23</v>
      </c>
      <c r="B103" s="411">
        <v>547.78796199999999</v>
      </c>
      <c r="C103" s="411">
        <v>575.38744799999995</v>
      </c>
      <c r="D103" s="838" t="s">
        <v>5</v>
      </c>
      <c r="E103" s="838" t="s">
        <v>5</v>
      </c>
      <c r="F103" s="918">
        <f>B103</f>
        <v>547.78796199999999</v>
      </c>
      <c r="G103" s="918">
        <f>C103</f>
        <v>575.38744799999995</v>
      </c>
    </row>
    <row r="104" spans="1:7" x14ac:dyDescent="0.25">
      <c r="A104" s="610" t="s">
        <v>40</v>
      </c>
      <c r="B104" s="411">
        <v>415.40472</v>
      </c>
      <c r="C104" s="411">
        <v>356.96000500000002</v>
      </c>
      <c r="D104" s="838">
        <v>161.54628</v>
      </c>
      <c r="E104" s="838">
        <v>147.701279</v>
      </c>
      <c r="F104" s="918">
        <f t="shared" si="1"/>
        <v>576.95100000000002</v>
      </c>
      <c r="G104" s="918">
        <f t="shared" si="0"/>
        <v>504.66128400000002</v>
      </c>
    </row>
    <row r="105" spans="1:7" x14ac:dyDescent="0.25">
      <c r="A105" s="610" t="s">
        <v>693</v>
      </c>
      <c r="B105" s="411">
        <v>6146.2961999999998</v>
      </c>
      <c r="C105" s="411">
        <v>5837.4124270000002</v>
      </c>
      <c r="D105" s="838">
        <v>4612.4615000000003</v>
      </c>
      <c r="E105" s="838">
        <v>3618.2597310000001</v>
      </c>
      <c r="F105" s="918">
        <f t="shared" si="1"/>
        <v>10758.7577</v>
      </c>
      <c r="G105" s="918">
        <f t="shared" si="0"/>
        <v>9455.6721580000012</v>
      </c>
    </row>
    <row r="106" spans="1:7" x14ac:dyDescent="0.25">
      <c r="A106" s="610" t="s">
        <v>47</v>
      </c>
      <c r="B106" s="411">
        <v>319.74583999999999</v>
      </c>
      <c r="C106" s="411">
        <v>281.77999999999997</v>
      </c>
      <c r="D106" s="838">
        <v>147.107045</v>
      </c>
      <c r="E106" s="838">
        <v>146.36500000000001</v>
      </c>
      <c r="F106" s="918">
        <f t="shared" si="1"/>
        <v>466.85288500000001</v>
      </c>
      <c r="G106" s="918">
        <f t="shared" si="0"/>
        <v>428.14499999999998</v>
      </c>
    </row>
    <row r="107" spans="1:7" x14ac:dyDescent="0.25">
      <c r="A107" s="610" t="s">
        <v>25</v>
      </c>
      <c r="B107" s="411">
        <v>5023.0600279999999</v>
      </c>
      <c r="C107" s="411">
        <v>5111.1364780000004</v>
      </c>
      <c r="D107" s="838">
        <v>160.77159800000001</v>
      </c>
      <c r="E107" s="838">
        <v>258.74557700000003</v>
      </c>
      <c r="F107" s="918">
        <f t="shared" si="1"/>
        <v>5183.8316260000001</v>
      </c>
      <c r="G107" s="918">
        <f t="shared" si="0"/>
        <v>5369.882055</v>
      </c>
    </row>
    <row r="108" spans="1:7" x14ac:dyDescent="0.25">
      <c r="A108" s="610" t="s">
        <v>26</v>
      </c>
      <c r="B108" s="411">
        <v>2379</v>
      </c>
      <c r="C108" s="411">
        <v>2306</v>
      </c>
      <c r="D108" s="838">
        <v>857</v>
      </c>
      <c r="E108" s="838">
        <v>867</v>
      </c>
      <c r="F108" s="918">
        <f t="shared" si="1"/>
        <v>3236</v>
      </c>
      <c r="G108" s="918">
        <f t="shared" si="0"/>
        <v>3173</v>
      </c>
    </row>
    <row r="109" spans="1:7" x14ac:dyDescent="0.25">
      <c r="A109" s="610" t="s">
        <v>48</v>
      </c>
      <c r="B109" s="411" t="s">
        <v>5</v>
      </c>
      <c r="C109" s="411">
        <v>513.14113899999995</v>
      </c>
      <c r="D109" s="838" t="s">
        <v>5</v>
      </c>
      <c r="E109" s="838">
        <v>153.275925</v>
      </c>
      <c r="F109" s="918" t="s">
        <v>5</v>
      </c>
      <c r="G109" s="918">
        <f t="shared" si="0"/>
        <v>666.41706399999998</v>
      </c>
    </row>
    <row r="110" spans="1:7" x14ac:dyDescent="0.25">
      <c r="A110" s="610" t="s">
        <v>28</v>
      </c>
      <c r="B110" s="411">
        <v>516</v>
      </c>
      <c r="C110" s="411">
        <v>517</v>
      </c>
      <c r="D110" s="838">
        <v>199</v>
      </c>
      <c r="E110" s="838">
        <v>217</v>
      </c>
      <c r="F110" s="918">
        <f t="shared" si="1"/>
        <v>715</v>
      </c>
      <c r="G110" s="918">
        <f t="shared" si="0"/>
        <v>734</v>
      </c>
    </row>
    <row r="111" spans="1:7" x14ac:dyDescent="0.25">
      <c r="A111" s="912" t="s">
        <v>737</v>
      </c>
      <c r="B111" s="411">
        <v>841.93828800000006</v>
      </c>
      <c r="C111" s="411" t="s">
        <v>5</v>
      </c>
      <c r="D111" s="838">
        <v>275.25062400000002</v>
      </c>
      <c r="E111" s="838" t="s">
        <v>5</v>
      </c>
      <c r="F111" s="918">
        <f t="shared" si="1"/>
        <v>1117.1889120000001</v>
      </c>
      <c r="G111" s="918" t="s">
        <v>5</v>
      </c>
    </row>
    <row r="112" spans="1:7" x14ac:dyDescent="0.25">
      <c r="A112" s="610" t="s">
        <v>927</v>
      </c>
      <c r="B112" s="411" t="s">
        <v>5</v>
      </c>
      <c r="C112" s="411">
        <v>3273</v>
      </c>
      <c r="D112" s="838" t="s">
        <v>5</v>
      </c>
      <c r="E112" s="838">
        <v>582.55999999999995</v>
      </c>
      <c r="F112" s="918" t="s">
        <v>5</v>
      </c>
      <c r="G112" s="918">
        <f t="shared" si="0"/>
        <v>3855.56</v>
      </c>
    </row>
    <row r="113" spans="1:7" x14ac:dyDescent="0.25">
      <c r="A113" s="470" t="s">
        <v>505</v>
      </c>
      <c r="B113" s="411">
        <v>50.114748300000002</v>
      </c>
      <c r="C113" s="411">
        <v>71.417815000000004</v>
      </c>
      <c r="D113" s="838">
        <v>15.399499</v>
      </c>
      <c r="E113" s="838">
        <v>16.851395</v>
      </c>
      <c r="F113" s="918">
        <f t="shared" si="1"/>
        <v>65.514247300000008</v>
      </c>
      <c r="G113" s="918">
        <f t="shared" si="0"/>
        <v>88.269210000000001</v>
      </c>
    </row>
    <row r="114" spans="1:7" x14ac:dyDescent="0.25">
      <c r="A114" s="610" t="s">
        <v>31</v>
      </c>
      <c r="B114" s="411">
        <v>35717.584087000003</v>
      </c>
      <c r="C114" s="411">
        <v>35050.069252000001</v>
      </c>
      <c r="D114" s="838" t="s">
        <v>5</v>
      </c>
      <c r="E114" s="838" t="s">
        <v>5</v>
      </c>
      <c r="F114" s="918">
        <f>B114</f>
        <v>35717.584087000003</v>
      </c>
      <c r="G114" s="918">
        <f>C114</f>
        <v>35050.069252000001</v>
      </c>
    </row>
    <row r="115" spans="1:7" x14ac:dyDescent="0.25">
      <c r="A115" s="912" t="s">
        <v>718</v>
      </c>
      <c r="B115" s="411">
        <v>162.76999999999998</v>
      </c>
      <c r="C115" s="411" t="s">
        <v>5</v>
      </c>
      <c r="D115" s="838">
        <v>0</v>
      </c>
      <c r="E115" s="838" t="s">
        <v>5</v>
      </c>
      <c r="F115" s="918">
        <f t="shared" si="1"/>
        <v>162.76999999999998</v>
      </c>
      <c r="G115" s="918" t="s">
        <v>5</v>
      </c>
    </row>
    <row r="119" spans="1:7" ht="63.75" thickBot="1" x14ac:dyDescent="0.3">
      <c r="A119" s="459" t="s">
        <v>3</v>
      </c>
      <c r="B119" s="916" t="s">
        <v>1182</v>
      </c>
      <c r="C119" s="917" t="s">
        <v>1184</v>
      </c>
      <c r="D119" s="14" t="s">
        <v>802</v>
      </c>
    </row>
    <row r="120" spans="1:7" x14ac:dyDescent="0.25">
      <c r="A120" s="610" t="s">
        <v>38</v>
      </c>
      <c r="B120" s="411">
        <v>12.48072</v>
      </c>
      <c r="C120" s="838">
        <v>3.68</v>
      </c>
      <c r="D120" s="445">
        <f t="shared" ref="D120:D134" si="2">B120+C120</f>
        <v>16.160720000000001</v>
      </c>
    </row>
    <row r="121" spans="1:7" x14ac:dyDescent="0.25">
      <c r="A121" s="610" t="s">
        <v>774</v>
      </c>
      <c r="B121" s="411">
        <v>12.462859</v>
      </c>
      <c r="C121" s="838">
        <v>5.6430449999999999</v>
      </c>
      <c r="D121" s="445">
        <f t="shared" si="2"/>
        <v>18.105903999999999</v>
      </c>
    </row>
    <row r="122" spans="1:7" x14ac:dyDescent="0.25">
      <c r="A122" s="539" t="s">
        <v>10</v>
      </c>
      <c r="B122" s="411">
        <v>75</v>
      </c>
      <c r="C122" s="838">
        <v>5</v>
      </c>
      <c r="D122" s="445">
        <f t="shared" si="2"/>
        <v>80</v>
      </c>
    </row>
    <row r="123" spans="1:7" x14ac:dyDescent="0.25">
      <c r="A123" s="470" t="s">
        <v>586</v>
      </c>
      <c r="B123" s="411">
        <v>48.699959999999997</v>
      </c>
      <c r="C123" s="838">
        <v>38.002581999999997</v>
      </c>
      <c r="D123" s="445">
        <f t="shared" si="2"/>
        <v>86.702541999999994</v>
      </c>
    </row>
    <row r="124" spans="1:7" x14ac:dyDescent="0.25">
      <c r="A124" s="470" t="s">
        <v>505</v>
      </c>
      <c r="B124" s="411">
        <v>71.417815000000004</v>
      </c>
      <c r="C124" s="838">
        <v>16.851395</v>
      </c>
      <c r="D124" s="445">
        <f t="shared" si="2"/>
        <v>88.269210000000001</v>
      </c>
    </row>
    <row r="125" spans="1:7" x14ac:dyDescent="0.25">
      <c r="A125" s="539" t="s">
        <v>524</v>
      </c>
      <c r="B125" s="410">
        <v>89.8</v>
      </c>
      <c r="C125" s="838">
        <v>27.9</v>
      </c>
      <c r="D125" s="445">
        <f t="shared" si="2"/>
        <v>117.69999999999999</v>
      </c>
    </row>
    <row r="126" spans="1:7" x14ac:dyDescent="0.25">
      <c r="A126" s="539" t="s">
        <v>11</v>
      </c>
      <c r="B126" s="411">
        <v>285</v>
      </c>
      <c r="C126" s="838">
        <v>48</v>
      </c>
      <c r="D126" s="445">
        <f t="shared" si="2"/>
        <v>333</v>
      </c>
    </row>
    <row r="127" spans="1:7" x14ac:dyDescent="0.25">
      <c r="A127" s="539" t="s">
        <v>12</v>
      </c>
      <c r="B127" s="411">
        <v>311.48500999999999</v>
      </c>
      <c r="C127" s="838">
        <v>40</v>
      </c>
      <c r="D127" s="445">
        <f t="shared" si="2"/>
        <v>351.48500999999999</v>
      </c>
    </row>
    <row r="128" spans="1:7" x14ac:dyDescent="0.25">
      <c r="A128" s="610" t="s">
        <v>47</v>
      </c>
      <c r="B128" s="411">
        <v>281.77999999999997</v>
      </c>
      <c r="C128" s="838">
        <v>146.36500000000001</v>
      </c>
      <c r="D128" s="445">
        <f t="shared" si="2"/>
        <v>428.14499999999998</v>
      </c>
    </row>
    <row r="129" spans="1:4" x14ac:dyDescent="0.25">
      <c r="A129" s="539" t="s">
        <v>45</v>
      </c>
      <c r="B129" s="411">
        <v>331.17099999999999</v>
      </c>
      <c r="C129" s="838">
        <v>114.44499999999999</v>
      </c>
      <c r="D129" s="445">
        <f t="shared" si="2"/>
        <v>445.61599999999999</v>
      </c>
    </row>
    <row r="130" spans="1:4" x14ac:dyDescent="0.25">
      <c r="A130" s="539" t="s">
        <v>910</v>
      </c>
      <c r="B130" s="411">
        <v>322.3</v>
      </c>
      <c r="C130" s="838">
        <v>156.6</v>
      </c>
      <c r="D130" s="445">
        <f t="shared" si="2"/>
        <v>478.9</v>
      </c>
    </row>
    <row r="131" spans="1:4" x14ac:dyDescent="0.25">
      <c r="A131" s="610" t="s">
        <v>21</v>
      </c>
      <c r="B131" s="411">
        <v>357.45162499999998</v>
      </c>
      <c r="C131" s="838">
        <v>130.367401</v>
      </c>
      <c r="D131" s="445">
        <f t="shared" si="2"/>
        <v>487.81902600000001</v>
      </c>
    </row>
    <row r="132" spans="1:4" x14ac:dyDescent="0.25">
      <c r="A132" s="610" t="s">
        <v>40</v>
      </c>
      <c r="B132" s="411">
        <v>356.96000500000002</v>
      </c>
      <c r="C132" s="838">
        <v>147.701279</v>
      </c>
      <c r="D132" s="445">
        <f t="shared" si="2"/>
        <v>504.66128400000002</v>
      </c>
    </row>
    <row r="133" spans="1:4" x14ac:dyDescent="0.25">
      <c r="A133" s="610" t="s">
        <v>4</v>
      </c>
      <c r="B133" s="411">
        <v>493.7</v>
      </c>
      <c r="C133" s="838">
        <v>36.299999999999997</v>
      </c>
      <c r="D133" s="445">
        <f t="shared" si="2"/>
        <v>530</v>
      </c>
    </row>
    <row r="134" spans="1:4" x14ac:dyDescent="0.25">
      <c r="A134" s="610" t="s">
        <v>6</v>
      </c>
      <c r="B134" s="411">
        <v>399.43971800000003</v>
      </c>
      <c r="C134" s="838">
        <v>162.14998</v>
      </c>
      <c r="D134" s="445">
        <f t="shared" si="2"/>
        <v>561.589698</v>
      </c>
    </row>
    <row r="135" spans="1:4" x14ac:dyDescent="0.25">
      <c r="A135" s="610" t="s">
        <v>23</v>
      </c>
      <c r="B135" s="411">
        <v>575.38744799999995</v>
      </c>
      <c r="C135" s="838" t="s">
        <v>5</v>
      </c>
      <c r="D135" s="445">
        <f>B135</f>
        <v>575.38744799999995</v>
      </c>
    </row>
    <row r="136" spans="1:4" x14ac:dyDescent="0.25">
      <c r="A136" s="610" t="s">
        <v>48</v>
      </c>
      <c r="B136" s="411">
        <v>513.14113899999995</v>
      </c>
      <c r="C136" s="838">
        <v>153.275925</v>
      </c>
      <c r="D136" s="445">
        <f t="shared" ref="D136:D144" si="3">B136+C136</f>
        <v>666.41706399999998</v>
      </c>
    </row>
    <row r="137" spans="1:4" x14ac:dyDescent="0.25">
      <c r="A137" s="610" t="s">
        <v>28</v>
      </c>
      <c r="B137" s="411">
        <v>517</v>
      </c>
      <c r="C137" s="838">
        <v>217</v>
      </c>
      <c r="D137" s="445">
        <f t="shared" si="3"/>
        <v>734</v>
      </c>
    </row>
    <row r="138" spans="1:4" x14ac:dyDescent="0.25">
      <c r="A138" s="470" t="s">
        <v>585</v>
      </c>
      <c r="B138" s="411">
        <v>580</v>
      </c>
      <c r="C138" s="838">
        <v>407.22</v>
      </c>
      <c r="D138" s="445">
        <f t="shared" si="3"/>
        <v>987.22</v>
      </c>
    </row>
    <row r="139" spans="1:4" x14ac:dyDescent="0.25">
      <c r="A139" s="610" t="s">
        <v>20</v>
      </c>
      <c r="B139" s="411">
        <v>939</v>
      </c>
      <c r="C139" s="838">
        <v>156</v>
      </c>
      <c r="D139" s="445">
        <f t="shared" si="3"/>
        <v>1095</v>
      </c>
    </row>
    <row r="140" spans="1:4" x14ac:dyDescent="0.25">
      <c r="A140" s="470" t="s">
        <v>343</v>
      </c>
      <c r="B140" s="411">
        <v>1375.3789999999999</v>
      </c>
      <c r="C140" s="838">
        <v>0</v>
      </c>
      <c r="D140" s="445">
        <f t="shared" si="3"/>
        <v>1375.3789999999999</v>
      </c>
    </row>
    <row r="141" spans="1:4" x14ac:dyDescent="0.25">
      <c r="A141" s="539" t="s">
        <v>34</v>
      </c>
      <c r="B141" s="411">
        <v>1698.077</v>
      </c>
      <c r="C141" s="838">
        <v>1043.011</v>
      </c>
      <c r="D141" s="445">
        <f t="shared" si="3"/>
        <v>2741.0879999999997</v>
      </c>
    </row>
    <row r="142" spans="1:4" x14ac:dyDescent="0.25">
      <c r="A142" s="539" t="s">
        <v>9</v>
      </c>
      <c r="B142" s="411">
        <v>2375.33275</v>
      </c>
      <c r="C142" s="838">
        <v>616.87</v>
      </c>
      <c r="D142" s="445">
        <f t="shared" si="3"/>
        <v>2992.2027499999999</v>
      </c>
    </row>
    <row r="143" spans="1:4" x14ac:dyDescent="0.25">
      <c r="A143" s="610" t="s">
        <v>26</v>
      </c>
      <c r="B143" s="411">
        <v>2306</v>
      </c>
      <c r="C143" s="838">
        <v>867</v>
      </c>
      <c r="D143" s="445">
        <f t="shared" si="3"/>
        <v>3173</v>
      </c>
    </row>
    <row r="144" spans="1:4" x14ac:dyDescent="0.25">
      <c r="A144" s="610" t="s">
        <v>927</v>
      </c>
      <c r="B144" s="411">
        <v>3273</v>
      </c>
      <c r="C144" s="838">
        <v>582.55999999999995</v>
      </c>
      <c r="D144" s="445">
        <f t="shared" si="3"/>
        <v>3855.56</v>
      </c>
    </row>
    <row r="145" spans="1:4" x14ac:dyDescent="0.25">
      <c r="A145" s="539" t="s">
        <v>33</v>
      </c>
      <c r="B145" s="410">
        <v>3858.903777</v>
      </c>
      <c r="C145" s="914" t="s">
        <v>5</v>
      </c>
      <c r="D145" s="445">
        <f>B145</f>
        <v>3858.903777</v>
      </c>
    </row>
    <row r="146" spans="1:4" x14ac:dyDescent="0.25">
      <c r="A146" s="470" t="s">
        <v>456</v>
      </c>
      <c r="B146" s="411">
        <v>3148.0481370000002</v>
      </c>
      <c r="C146" s="838">
        <v>1190.3483490000001</v>
      </c>
      <c r="D146" s="445">
        <f t="shared" ref="D146:D154" si="4">B146+C146</f>
        <v>4338.3964860000006</v>
      </c>
    </row>
    <row r="147" spans="1:4" x14ac:dyDescent="0.25">
      <c r="A147" s="539" t="s">
        <v>13</v>
      </c>
      <c r="B147" s="411">
        <v>3900</v>
      </c>
      <c r="C147" s="838">
        <v>642.39999999999964</v>
      </c>
      <c r="D147" s="445">
        <f t="shared" si="4"/>
        <v>4542.3999999999996</v>
      </c>
    </row>
    <row r="148" spans="1:4" x14ac:dyDescent="0.25">
      <c r="A148" s="539" t="s">
        <v>14</v>
      </c>
      <c r="B148" s="411">
        <v>3654</v>
      </c>
      <c r="C148" s="838">
        <v>925</v>
      </c>
      <c r="D148" s="445">
        <f t="shared" si="4"/>
        <v>4579</v>
      </c>
    </row>
    <row r="149" spans="1:4" x14ac:dyDescent="0.25">
      <c r="A149" s="610" t="s">
        <v>25</v>
      </c>
      <c r="B149" s="411">
        <v>5111.1364780000004</v>
      </c>
      <c r="C149" s="838">
        <v>258.74557700000003</v>
      </c>
      <c r="D149" s="445">
        <f t="shared" si="4"/>
        <v>5369.882055</v>
      </c>
    </row>
    <row r="150" spans="1:4" x14ac:dyDescent="0.25">
      <c r="A150" s="539" t="s">
        <v>17</v>
      </c>
      <c r="B150" s="411">
        <v>4605</v>
      </c>
      <c r="C150" s="838">
        <v>1152</v>
      </c>
      <c r="D150" s="445">
        <f t="shared" si="4"/>
        <v>5757</v>
      </c>
    </row>
    <row r="151" spans="1:4" x14ac:dyDescent="0.25">
      <c r="A151" s="610" t="s">
        <v>22</v>
      </c>
      <c r="B151" s="411">
        <v>1238</v>
      </c>
      <c r="C151" s="838">
        <v>7650.1379999999999</v>
      </c>
      <c r="D151" s="445">
        <f t="shared" si="4"/>
        <v>8888.137999999999</v>
      </c>
    </row>
    <row r="152" spans="1:4" x14ac:dyDescent="0.25">
      <c r="A152" s="610" t="s">
        <v>693</v>
      </c>
      <c r="B152" s="411">
        <v>5837.4124270000002</v>
      </c>
      <c r="C152" s="838">
        <v>3618.2597310000001</v>
      </c>
      <c r="D152" s="445">
        <f t="shared" si="4"/>
        <v>9455.6721580000012</v>
      </c>
    </row>
    <row r="153" spans="1:4" x14ac:dyDescent="0.25">
      <c r="A153" s="539" t="s">
        <v>18</v>
      </c>
      <c r="B153" s="411">
        <v>12007.307000000001</v>
      </c>
      <c r="C153" s="838">
        <v>1046.3040000000001</v>
      </c>
      <c r="D153" s="445">
        <f t="shared" si="4"/>
        <v>13053.611000000001</v>
      </c>
    </row>
    <row r="154" spans="1:4" x14ac:dyDescent="0.25">
      <c r="A154" s="610" t="s">
        <v>8</v>
      </c>
      <c r="B154" s="411">
        <v>21714</v>
      </c>
      <c r="C154" s="838">
        <v>8056</v>
      </c>
      <c r="D154" s="445">
        <f t="shared" si="4"/>
        <v>29770</v>
      </c>
    </row>
    <row r="155" spans="1:4" x14ac:dyDescent="0.25">
      <c r="A155" s="610" t="s">
        <v>31</v>
      </c>
      <c r="B155" s="411">
        <v>35050.069252000001</v>
      </c>
      <c r="C155" s="838" t="s">
        <v>5</v>
      </c>
      <c r="D155" s="445">
        <f>B155</f>
        <v>35050.069252000001</v>
      </c>
    </row>
    <row r="156" spans="1:4" x14ac:dyDescent="0.25">
      <c r="A156" s="913" t="s">
        <v>489</v>
      </c>
      <c r="B156" s="411" t="s">
        <v>5</v>
      </c>
      <c r="C156" s="838" t="s">
        <v>5</v>
      </c>
      <c r="D156" s="445" t="s">
        <v>5</v>
      </c>
    </row>
    <row r="157" spans="1:4" x14ac:dyDescent="0.25">
      <c r="A157" s="915" t="s">
        <v>742</v>
      </c>
      <c r="B157" s="411" t="s">
        <v>5</v>
      </c>
      <c r="C157" s="838" t="s">
        <v>5</v>
      </c>
      <c r="D157" s="445" t="s">
        <v>5</v>
      </c>
    </row>
    <row r="158" spans="1:4" x14ac:dyDescent="0.25">
      <c r="A158" s="912" t="s">
        <v>37</v>
      </c>
      <c r="B158" s="411" t="s">
        <v>5</v>
      </c>
      <c r="C158" s="838" t="s">
        <v>5</v>
      </c>
      <c r="D158" s="445" t="s">
        <v>5</v>
      </c>
    </row>
    <row r="159" spans="1:4" x14ac:dyDescent="0.25">
      <c r="A159" s="913" t="s">
        <v>734</v>
      </c>
      <c r="B159" s="411" t="s">
        <v>5</v>
      </c>
      <c r="C159" s="838" t="s">
        <v>5</v>
      </c>
      <c r="D159" s="445" t="s">
        <v>5</v>
      </c>
    </row>
    <row r="160" spans="1:4" x14ac:dyDescent="0.25">
      <c r="A160" s="912" t="s">
        <v>737</v>
      </c>
      <c r="B160" s="411" t="s">
        <v>5</v>
      </c>
      <c r="C160" s="838" t="s">
        <v>5</v>
      </c>
      <c r="D160" s="445" t="s">
        <v>5</v>
      </c>
    </row>
    <row r="161" spans="1:4" x14ac:dyDescent="0.25">
      <c r="A161" s="912" t="s">
        <v>718</v>
      </c>
      <c r="B161" s="411" t="s">
        <v>5</v>
      </c>
      <c r="C161" s="838" t="s">
        <v>5</v>
      </c>
      <c r="D161" s="445" t="s">
        <v>5</v>
      </c>
    </row>
  </sheetData>
  <sortState ref="A120:D161">
    <sortCondition ref="D120:D161"/>
  </sortState>
  <mergeCells count="5">
    <mergeCell ref="B4:E4"/>
    <mergeCell ref="F4:I4"/>
    <mergeCell ref="J4:M4"/>
    <mergeCell ref="N4:Q4"/>
    <mergeCell ref="R4:U4"/>
  </mergeCells>
  <pageMargins left="0.7" right="0.7" top="0.75" bottom="0.75" header="0.3" footer="0.3"/>
  <pageSetup paperSize="9" orientation="portrait" r:id="rId1"/>
  <drawing r:id="rId2"/>
  <legacyDrawing r:id="rId3"/>
  <tableParts count="1">
    <tablePart r:id="rId4"/>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Q144"/>
  <sheetViews>
    <sheetView workbookViewId="0">
      <selection activeCell="N18" sqref="N18"/>
    </sheetView>
  </sheetViews>
  <sheetFormatPr defaultRowHeight="15" x14ac:dyDescent="0.25"/>
  <cols>
    <col min="1" max="1" width="28.7109375" customWidth="1"/>
    <col min="2" max="2" width="16.7109375" customWidth="1"/>
    <col min="3" max="3" width="15.42578125" customWidth="1"/>
    <col min="4" max="5" width="12.5703125" customWidth="1"/>
    <col min="6" max="6" width="11.140625" customWidth="1"/>
    <col min="7" max="7" width="10.7109375" customWidth="1"/>
    <col min="8" max="9" width="11.85546875" customWidth="1"/>
    <col min="10" max="10" width="15.5703125" customWidth="1"/>
    <col min="11" max="11" width="15.7109375" customWidth="1"/>
    <col min="12" max="13" width="15.5703125" customWidth="1"/>
    <col min="14" max="14" width="20" customWidth="1"/>
    <col min="15" max="15" width="18.7109375" customWidth="1"/>
    <col min="16" max="16" width="19.5703125" customWidth="1"/>
    <col min="17" max="17" width="18.7109375" bestFit="1" customWidth="1"/>
  </cols>
  <sheetData>
    <row r="1" spans="1:17" ht="18.75" customHeight="1" x14ac:dyDescent="0.3">
      <c r="A1" s="843" t="s">
        <v>1186</v>
      </c>
      <c r="B1" s="851"/>
      <c r="C1" s="852"/>
      <c r="D1" s="852"/>
      <c r="E1" s="853"/>
      <c r="F1" s="41"/>
      <c r="G1" t="s">
        <v>1187</v>
      </c>
    </row>
    <row r="2" spans="1:17" ht="15" customHeight="1" thickBot="1" x14ac:dyDescent="0.3">
      <c r="A2" s="530" t="s">
        <v>55</v>
      </c>
      <c r="B2" s="854"/>
      <c r="C2" s="527"/>
      <c r="D2" s="919"/>
      <c r="E2" s="920"/>
      <c r="F2" s="41"/>
    </row>
    <row r="4" spans="1:17" ht="51" customHeight="1" x14ac:dyDescent="0.25">
      <c r="B4" s="1750" t="s">
        <v>686</v>
      </c>
      <c r="C4" s="1750"/>
      <c r="D4" s="1750"/>
      <c r="E4" s="1750"/>
      <c r="F4" s="1751" t="s">
        <v>52</v>
      </c>
      <c r="G4" s="1751"/>
      <c r="H4" s="1751"/>
      <c r="I4" s="1751"/>
      <c r="J4" s="1752" t="s">
        <v>54</v>
      </c>
      <c r="K4" s="1752"/>
      <c r="L4" s="1752"/>
      <c r="M4" s="1752"/>
      <c r="N4" s="1753" t="s">
        <v>584</v>
      </c>
      <c r="O4" s="1753"/>
      <c r="P4" s="1753"/>
      <c r="Q4" s="1753"/>
    </row>
    <row r="5" spans="1:17" ht="16.5" thickBot="1" x14ac:dyDescent="0.3">
      <c r="A5" s="419" t="s">
        <v>3</v>
      </c>
      <c r="B5" s="408" t="s">
        <v>226</v>
      </c>
      <c r="C5" s="408" t="s">
        <v>565</v>
      </c>
      <c r="D5" s="408" t="s">
        <v>658</v>
      </c>
      <c r="E5" s="408" t="s">
        <v>792</v>
      </c>
      <c r="F5" s="412" t="s">
        <v>233</v>
      </c>
      <c r="G5" s="412" t="s">
        <v>571</v>
      </c>
      <c r="H5" s="412" t="s">
        <v>665</v>
      </c>
      <c r="I5" s="412" t="s">
        <v>797</v>
      </c>
      <c r="J5" s="413" t="s">
        <v>234</v>
      </c>
      <c r="K5" s="413" t="s">
        <v>572</v>
      </c>
      <c r="L5" s="413" t="s">
        <v>666</v>
      </c>
      <c r="M5" s="413" t="s">
        <v>798</v>
      </c>
      <c r="N5" s="421" t="s">
        <v>669</v>
      </c>
      <c r="O5" s="421" t="s">
        <v>668</v>
      </c>
      <c r="P5" s="421" t="s">
        <v>667</v>
      </c>
      <c r="Q5" s="421" t="s">
        <v>799</v>
      </c>
    </row>
    <row r="6" spans="1:17" ht="15.75" x14ac:dyDescent="0.25">
      <c r="A6" s="744" t="s">
        <v>33</v>
      </c>
      <c r="B6" s="409"/>
      <c r="C6" s="409"/>
      <c r="D6" s="409" t="s">
        <v>5</v>
      </c>
      <c r="E6" s="410">
        <v>3858.903777</v>
      </c>
      <c r="F6" s="414">
        <v>9.7363750000000007</v>
      </c>
      <c r="G6" s="414" t="s">
        <v>5</v>
      </c>
      <c r="H6" s="414" t="s">
        <v>5</v>
      </c>
      <c r="I6" s="414">
        <v>44.054150999999997</v>
      </c>
      <c r="J6" s="416">
        <f>7.739416/9.736375</f>
        <v>0.79489707411639343</v>
      </c>
      <c r="K6" s="416" t="s">
        <v>5</v>
      </c>
      <c r="L6" s="416" t="s">
        <v>5</v>
      </c>
      <c r="M6" s="416">
        <f>35.144329/44.054151</f>
        <v>0.79775295181605022</v>
      </c>
      <c r="N6" s="422" t="s">
        <v>5</v>
      </c>
      <c r="O6" s="422" t="s">
        <v>5</v>
      </c>
      <c r="P6" s="483" t="s">
        <v>5</v>
      </c>
      <c r="Q6" s="483">
        <f>E6/I6/M6</f>
        <v>109.80160631321202</v>
      </c>
    </row>
    <row r="7" spans="1:17" ht="15.75" x14ac:dyDescent="0.25">
      <c r="A7" s="539" t="s">
        <v>524</v>
      </c>
      <c r="B7" s="410"/>
      <c r="C7" s="410"/>
      <c r="D7" s="410" t="s">
        <v>5</v>
      </c>
      <c r="E7" s="410">
        <v>72.7</v>
      </c>
      <c r="F7" s="414">
        <v>3.2130109999999998</v>
      </c>
      <c r="G7" s="477" t="s">
        <v>5</v>
      </c>
      <c r="H7" s="477" t="s">
        <v>5</v>
      </c>
      <c r="I7" s="414">
        <v>3</v>
      </c>
      <c r="J7" s="416">
        <f>2.485011/3.213011</f>
        <v>0.77342125501593373</v>
      </c>
      <c r="K7" s="416" t="s">
        <v>5</v>
      </c>
      <c r="L7" s="416" t="s">
        <v>5</v>
      </c>
      <c r="M7" s="416">
        <f>2.4/3</f>
        <v>0.79999999999999993</v>
      </c>
      <c r="N7" s="422" t="s">
        <v>5</v>
      </c>
      <c r="O7" s="422" t="s">
        <v>5</v>
      </c>
      <c r="P7" s="483" t="s">
        <v>5</v>
      </c>
      <c r="Q7" s="483">
        <f t="shared" ref="Q7:Q69" si="0">E7/I7/M7</f>
        <v>30.291666666666671</v>
      </c>
    </row>
    <row r="8" spans="1:17" ht="15.75" x14ac:dyDescent="0.25">
      <c r="A8" s="539" t="s">
        <v>34</v>
      </c>
      <c r="B8" s="411"/>
      <c r="C8" s="411"/>
      <c r="D8" s="411">
        <v>1589.3720000000001</v>
      </c>
      <c r="E8" s="411">
        <v>1698.077</v>
      </c>
      <c r="F8" s="414">
        <v>22.342400000000001</v>
      </c>
      <c r="G8" s="414" t="s">
        <v>5</v>
      </c>
      <c r="H8" s="414">
        <v>23.777999999999999</v>
      </c>
      <c r="I8" s="414">
        <v>24.5989</v>
      </c>
      <c r="J8" s="416">
        <f>22.27631/22.3424</f>
        <v>0.99704194714981365</v>
      </c>
      <c r="K8" s="416" t="s">
        <v>5</v>
      </c>
      <c r="L8" s="416">
        <f>21.758/23.778</f>
        <v>0.91504752292034652</v>
      </c>
      <c r="M8" s="416">
        <f>23.591/24.5989</f>
        <v>0.95902662314168519</v>
      </c>
      <c r="N8" s="422" t="s">
        <v>5</v>
      </c>
      <c r="O8" s="422" t="s">
        <v>5</v>
      </c>
      <c r="P8" s="483">
        <f t="shared" ref="P8:P69" si="1">D8/H8/L8</f>
        <v>73.047706590679297</v>
      </c>
      <c r="Q8" s="483">
        <f t="shared" si="0"/>
        <v>71.97986520283159</v>
      </c>
    </row>
    <row r="9" spans="1:17" ht="15.75" x14ac:dyDescent="0.25">
      <c r="A9" s="610" t="s">
        <v>4</v>
      </c>
      <c r="B9" s="411"/>
      <c r="C9" s="411"/>
      <c r="D9" s="411" t="s">
        <v>5</v>
      </c>
      <c r="E9" s="411">
        <v>385.3</v>
      </c>
      <c r="F9" s="414">
        <v>8.3870000000000005</v>
      </c>
      <c r="G9" s="414">
        <v>8.4263110000000001</v>
      </c>
      <c r="H9" s="414" t="s">
        <v>5</v>
      </c>
      <c r="I9" s="414">
        <v>8.7390000000000008</v>
      </c>
      <c r="J9" s="416">
        <f>7.537/8.387</f>
        <v>0.89865267676165483</v>
      </c>
      <c r="K9" s="416">
        <f>7.736311/8.426311</f>
        <v>0.91811363240687405</v>
      </c>
      <c r="L9" s="416" t="s">
        <v>5</v>
      </c>
      <c r="M9" s="416">
        <f>8.049/8.739</f>
        <v>0.9210435976656367</v>
      </c>
      <c r="N9" s="422" t="s">
        <v>5</v>
      </c>
      <c r="O9" s="422" t="s">
        <v>5</v>
      </c>
      <c r="P9" s="483" t="s">
        <v>5</v>
      </c>
      <c r="Q9" s="483">
        <f t="shared" si="0"/>
        <v>47.869300534227854</v>
      </c>
    </row>
    <row r="10" spans="1:17" ht="15.75" x14ac:dyDescent="0.25">
      <c r="A10" s="610" t="s">
        <v>6</v>
      </c>
      <c r="B10" s="411"/>
      <c r="C10" s="411"/>
      <c r="D10" s="411">
        <v>353.55800099999999</v>
      </c>
      <c r="E10" s="411">
        <v>363.228409</v>
      </c>
      <c r="F10" s="414">
        <v>10.77</v>
      </c>
      <c r="G10" s="414">
        <v>11.082744</v>
      </c>
      <c r="H10" s="414">
        <v>11.202066</v>
      </c>
      <c r="I10" s="414">
        <v>11.317076</v>
      </c>
      <c r="J10" s="416">
        <f>10735000/10770000</f>
        <v>0.99675023212627667</v>
      </c>
      <c r="K10" s="416">
        <f>11.06/11.082744</f>
        <v>0.99794780065297917</v>
      </c>
      <c r="L10" s="416">
        <f>11.165/11.202066</f>
        <v>0.99669114607966058</v>
      </c>
      <c r="M10" s="416">
        <f>11.295/11.317076</f>
        <v>0.99804931945318731</v>
      </c>
      <c r="N10" s="422" t="s">
        <v>5</v>
      </c>
      <c r="O10" s="422" t="s">
        <v>5</v>
      </c>
      <c r="P10" s="483">
        <f t="shared" si="1"/>
        <v>31.666636901030003</v>
      </c>
      <c r="Q10" s="483">
        <f t="shared" si="0"/>
        <v>32.158336343514833</v>
      </c>
    </row>
    <row r="11" spans="1:17" ht="15.75" x14ac:dyDescent="0.25">
      <c r="A11" s="470" t="s">
        <v>49</v>
      </c>
      <c r="B11" s="411"/>
      <c r="C11" s="411"/>
      <c r="D11" s="411" t="s">
        <v>5</v>
      </c>
      <c r="E11" s="411" t="s">
        <v>5</v>
      </c>
      <c r="F11" s="414">
        <v>193.3</v>
      </c>
      <c r="G11" s="414">
        <v>195.24299999999999</v>
      </c>
      <c r="H11" s="414">
        <v>203.191</v>
      </c>
      <c r="I11" s="414">
        <v>206.08143200000001</v>
      </c>
      <c r="J11" s="416">
        <f>157.9/193.3</f>
        <v>0.81686497672012415</v>
      </c>
      <c r="K11" s="416">
        <f>165.176/195.243</f>
        <v>0.84600216140911577</v>
      </c>
      <c r="L11" s="416">
        <f>173.525/203.191</f>
        <v>0.85399943895152841</v>
      </c>
      <c r="M11" s="416">
        <f>175.993534/206.081432</f>
        <v>0.85399995667731965</v>
      </c>
      <c r="N11" s="422" t="s">
        <v>5</v>
      </c>
      <c r="O11" s="422" t="s">
        <v>5</v>
      </c>
      <c r="P11" s="483" t="s">
        <v>5</v>
      </c>
      <c r="Q11" s="493" t="s">
        <v>5</v>
      </c>
    </row>
    <row r="12" spans="1:17" ht="15.75" x14ac:dyDescent="0.25">
      <c r="A12" s="610" t="s">
        <v>7</v>
      </c>
      <c r="B12" s="411"/>
      <c r="C12" s="411"/>
      <c r="D12" s="411" t="s">
        <v>5</v>
      </c>
      <c r="E12" s="411" t="s">
        <v>5</v>
      </c>
      <c r="F12" s="414">
        <v>7.3645699999999996</v>
      </c>
      <c r="G12" s="414">
        <v>7.3645699999999996</v>
      </c>
      <c r="H12" s="414" t="s">
        <v>5</v>
      </c>
      <c r="I12" s="414">
        <v>7.1018590000000001</v>
      </c>
      <c r="J12" s="416">
        <f>7.297552/7.36457</f>
        <v>0.99089994392069058</v>
      </c>
      <c r="K12" s="416">
        <f>7.313018/7.36457</f>
        <v>0.9929999986421475</v>
      </c>
      <c r="L12" s="416" t="s">
        <v>5</v>
      </c>
      <c r="M12" s="416">
        <f>7.101859/7.101859</f>
        <v>1</v>
      </c>
      <c r="N12" s="422" t="s">
        <v>5</v>
      </c>
      <c r="O12" s="422" t="s">
        <v>5</v>
      </c>
      <c r="P12" s="483" t="s">
        <v>5</v>
      </c>
      <c r="Q12" s="493" t="s">
        <v>5</v>
      </c>
    </row>
    <row r="13" spans="1:17" ht="15.75" x14ac:dyDescent="0.25">
      <c r="A13" s="496" t="s">
        <v>558</v>
      </c>
      <c r="B13" s="411"/>
      <c r="C13" s="411"/>
      <c r="D13" s="411"/>
      <c r="E13" s="411"/>
      <c r="F13" s="414">
        <v>3.36</v>
      </c>
      <c r="G13" s="414"/>
      <c r="H13" s="414"/>
      <c r="I13" s="414"/>
      <c r="J13" s="416">
        <f>2.52/3.36</f>
        <v>0.75</v>
      </c>
      <c r="K13" s="416"/>
      <c r="L13" s="416"/>
      <c r="M13" s="416"/>
      <c r="N13" s="422" t="s">
        <v>5</v>
      </c>
      <c r="O13" s="422" t="s">
        <v>5</v>
      </c>
      <c r="P13" s="483" t="s">
        <v>5</v>
      </c>
      <c r="Q13" s="493" t="e">
        <f t="shared" si="0"/>
        <v>#DIV/0!</v>
      </c>
    </row>
    <row r="14" spans="1:17" ht="15.75" x14ac:dyDescent="0.25">
      <c r="A14" s="470" t="s">
        <v>343</v>
      </c>
      <c r="B14" s="411"/>
      <c r="C14" s="411"/>
      <c r="D14" s="411" t="s">
        <v>5</v>
      </c>
      <c r="E14" s="411" t="s">
        <v>5</v>
      </c>
      <c r="F14" s="414">
        <v>33.893999999999998</v>
      </c>
      <c r="G14" s="414">
        <v>34.482999999999997</v>
      </c>
      <c r="H14" s="414">
        <v>35.676000000000002</v>
      </c>
      <c r="I14" s="414">
        <v>35.152000000000001</v>
      </c>
      <c r="J14" s="416">
        <f>10.622948/33.894</f>
        <v>0.31341676992978107</v>
      </c>
      <c r="K14" s="416">
        <f>12.551947/34.483</f>
        <v>0.36400391497259521</v>
      </c>
      <c r="L14" s="416">
        <f>12.3644/35.676</f>
        <v>0.34657472810853235</v>
      </c>
      <c r="M14" s="416">
        <f>12.6044/35.152</f>
        <v>0.35856850250341371</v>
      </c>
      <c r="N14" s="422" t="s">
        <v>5</v>
      </c>
      <c r="O14" s="422" t="s">
        <v>5</v>
      </c>
      <c r="P14" s="483" t="s">
        <v>5</v>
      </c>
      <c r="Q14" s="493" t="s">
        <v>5</v>
      </c>
    </row>
    <row r="15" spans="1:17" ht="15.75" x14ac:dyDescent="0.25">
      <c r="A15" s="495" t="s">
        <v>489</v>
      </c>
      <c r="B15" s="411"/>
      <c r="C15" s="411"/>
      <c r="D15" s="411">
        <v>837.29480999999998</v>
      </c>
      <c r="E15" s="411"/>
      <c r="F15" s="414">
        <v>15.151</v>
      </c>
      <c r="G15" s="477" t="s">
        <v>5</v>
      </c>
      <c r="H15" s="414">
        <v>16.422606999999999</v>
      </c>
      <c r="I15" s="414"/>
      <c r="J15" s="416">
        <f>15.122/15.151</f>
        <v>0.99808593492178732</v>
      </c>
      <c r="K15" s="416" t="s">
        <v>5</v>
      </c>
      <c r="L15" s="416">
        <f>16.407743/16.422607</f>
        <v>0.99909490618633212</v>
      </c>
      <c r="M15" s="416"/>
      <c r="N15" s="422" t="s">
        <v>5</v>
      </c>
      <c r="O15" s="422" t="s">
        <v>5</v>
      </c>
      <c r="P15" s="483">
        <f t="shared" si="1"/>
        <v>51.030468358749886</v>
      </c>
      <c r="Q15" s="493" t="e">
        <f t="shared" si="0"/>
        <v>#DIV/0!</v>
      </c>
    </row>
    <row r="16" spans="1:17" ht="15.75" x14ac:dyDescent="0.25">
      <c r="A16" s="610" t="s">
        <v>8</v>
      </c>
      <c r="B16" s="411"/>
      <c r="C16" s="411"/>
      <c r="D16" s="411">
        <v>14736</v>
      </c>
      <c r="E16" s="411">
        <v>16603</v>
      </c>
      <c r="F16" s="414">
        <v>317.25</v>
      </c>
      <c r="G16" s="414">
        <v>349.74090000000001</v>
      </c>
      <c r="H16" s="414">
        <v>352.03469999999999</v>
      </c>
      <c r="I16" s="753" t="s">
        <v>5</v>
      </c>
      <c r="J16" s="416">
        <f>291.2222/317.25</f>
        <v>0.91795807722616229</v>
      </c>
      <c r="K16" s="416">
        <f>317.5012/349.7409</f>
        <v>0.90781833065563666</v>
      </c>
      <c r="L16" s="416" t="e">
        <f>#REF!</f>
        <v>#REF!</v>
      </c>
      <c r="M16" s="416" t="s">
        <v>5</v>
      </c>
      <c r="N16" s="422" t="s">
        <v>5</v>
      </c>
      <c r="O16" s="422" t="s">
        <v>5</v>
      </c>
      <c r="P16" s="483" t="e">
        <f t="shared" si="1"/>
        <v>#REF!</v>
      </c>
      <c r="Q16" s="493" t="s">
        <v>5</v>
      </c>
    </row>
    <row r="17" spans="1:17" ht="15.75" x14ac:dyDescent="0.25">
      <c r="A17" s="539" t="s">
        <v>585</v>
      </c>
      <c r="B17" s="411"/>
      <c r="C17" s="411"/>
      <c r="D17" s="411" t="s">
        <v>5</v>
      </c>
      <c r="E17" s="411" t="s">
        <v>5</v>
      </c>
      <c r="F17" s="414">
        <v>7.0975999999999999</v>
      </c>
      <c r="G17" s="414">
        <v>7.1738999999999997</v>
      </c>
      <c r="H17" s="468">
        <v>7.2641</v>
      </c>
      <c r="I17" s="468">
        <v>7.3365999999999998</v>
      </c>
      <c r="J17" s="416">
        <f>7.0916/7.0976</f>
        <v>0.99915464382326413</v>
      </c>
      <c r="K17" s="416">
        <f>7.1679/7.1739</f>
        <v>0.99916363484297255</v>
      </c>
      <c r="L17" s="416">
        <f>7.2581/7.2641</f>
        <v>0.99917402018144019</v>
      </c>
      <c r="M17" s="416">
        <f>7.3356/7.3366</f>
        <v>0.99986369708039158</v>
      </c>
      <c r="N17" s="422" t="s">
        <v>5</v>
      </c>
      <c r="O17" s="422" t="s">
        <v>5</v>
      </c>
      <c r="P17" s="483" t="s">
        <v>5</v>
      </c>
      <c r="Q17" s="493" t="s">
        <v>5</v>
      </c>
    </row>
    <row r="18" spans="1:17" ht="15.75" x14ac:dyDescent="0.25">
      <c r="A18" s="539" t="s">
        <v>9</v>
      </c>
      <c r="B18" s="411"/>
      <c r="C18" s="411"/>
      <c r="D18" s="411">
        <v>1852.220382</v>
      </c>
      <c r="E18" s="411">
        <v>2216.8821079999998</v>
      </c>
      <c r="F18" s="414">
        <v>23.162123000000001</v>
      </c>
      <c r="G18" s="414">
        <v>23.315822000000001</v>
      </c>
      <c r="H18" s="414">
        <v>23.433752999999999</v>
      </c>
      <c r="I18" s="414">
        <v>23.28847</v>
      </c>
      <c r="J18" s="416">
        <f>21.284509/23.162123</f>
        <v>0.91893601463043773</v>
      </c>
      <c r="K18" s="416">
        <f>21.439957/23.315822</f>
        <v>0.91954540569060783</v>
      </c>
      <c r="L18" s="416">
        <f>21.825979/23.433753</f>
        <v>0.93139067395649344</v>
      </c>
      <c r="M18" s="416">
        <f>21.808205/23.28847</f>
        <v>0.93643785959318071</v>
      </c>
      <c r="N18" s="422" t="s">
        <v>5</v>
      </c>
      <c r="O18" s="422" t="s">
        <v>5</v>
      </c>
      <c r="P18" s="483">
        <f t="shared" si="1"/>
        <v>84.86310657588372</v>
      </c>
      <c r="Q18" s="483">
        <f t="shared" si="0"/>
        <v>101.65357983382859</v>
      </c>
    </row>
    <row r="19" spans="1:17" ht="15.75" x14ac:dyDescent="0.25">
      <c r="A19" s="539" t="s">
        <v>10</v>
      </c>
      <c r="B19" s="411"/>
      <c r="C19" s="411"/>
      <c r="D19" s="411">
        <v>70.5</v>
      </c>
      <c r="E19" s="411">
        <v>75</v>
      </c>
      <c r="F19" s="414">
        <v>0.82</v>
      </c>
      <c r="G19" s="414">
        <v>0.82</v>
      </c>
      <c r="H19" s="414">
        <v>0.84</v>
      </c>
      <c r="I19" s="414">
        <v>0.84</v>
      </c>
      <c r="J19" s="416">
        <f>0.82/0.82</f>
        <v>1</v>
      </c>
      <c r="K19" s="416">
        <f>0.82/0.82</f>
        <v>1</v>
      </c>
      <c r="L19" s="416">
        <f>0.84/0.84</f>
        <v>1</v>
      </c>
      <c r="M19" s="416">
        <f>0.84/0.84</f>
        <v>1</v>
      </c>
      <c r="N19" s="422" t="s">
        <v>5</v>
      </c>
      <c r="O19" s="422" t="s">
        <v>5</v>
      </c>
      <c r="P19" s="483">
        <f t="shared" si="1"/>
        <v>83.928571428571431</v>
      </c>
      <c r="Q19" s="483">
        <f t="shared" si="0"/>
        <v>89.285714285714292</v>
      </c>
    </row>
    <row r="20" spans="1:17" ht="15.75" x14ac:dyDescent="0.25">
      <c r="A20" s="539" t="s">
        <v>910</v>
      </c>
      <c r="B20" s="411"/>
      <c r="C20" s="411"/>
      <c r="D20" s="411" t="s">
        <v>5</v>
      </c>
      <c r="E20" s="411">
        <v>322.3</v>
      </c>
      <c r="F20" s="414" t="s">
        <v>5</v>
      </c>
      <c r="G20" s="414" t="s">
        <v>5</v>
      </c>
      <c r="H20" s="414" t="s">
        <v>5</v>
      </c>
      <c r="I20" s="414">
        <v>10.565</v>
      </c>
      <c r="J20" s="416" t="s">
        <v>5</v>
      </c>
      <c r="K20" s="416" t="s">
        <v>5</v>
      </c>
      <c r="L20" s="416" t="s">
        <v>5</v>
      </c>
      <c r="M20" s="416">
        <f>9.972/10.565</f>
        <v>0.94387127307146235</v>
      </c>
      <c r="N20" s="422" t="s">
        <v>5</v>
      </c>
      <c r="O20" s="422" t="s">
        <v>5</v>
      </c>
      <c r="P20" s="483" t="s">
        <v>5</v>
      </c>
      <c r="Q20" s="483">
        <f t="shared" si="0"/>
        <v>32.320497392699565</v>
      </c>
    </row>
    <row r="21" spans="1:17" ht="15.75" x14ac:dyDescent="0.25">
      <c r="A21" s="539" t="s">
        <v>11</v>
      </c>
      <c r="B21" s="411"/>
      <c r="C21" s="411"/>
      <c r="D21" s="411">
        <v>253</v>
      </c>
      <c r="E21" s="411">
        <v>217</v>
      </c>
      <c r="F21" s="414">
        <v>5.557709</v>
      </c>
      <c r="G21" s="414">
        <v>5.5847579999999999</v>
      </c>
      <c r="H21" s="414">
        <v>5.6344370000000001</v>
      </c>
      <c r="I21" s="414">
        <v>5.7170139999999998</v>
      </c>
      <c r="J21" s="416">
        <f>5.402093/5.557709</f>
        <v>0.97199997337032218</v>
      </c>
      <c r="K21" s="416">
        <f>5.374758/5.584758</f>
        <v>0.96239765447312131</v>
      </c>
      <c r="L21" s="416">
        <f>5.425963/5.634437</f>
        <v>0.96300002999412371</v>
      </c>
      <c r="M21" s="416">
        <f>5.507014/5.717014</f>
        <v>0.96326753791402298</v>
      </c>
      <c r="N21" s="422" t="s">
        <v>5</v>
      </c>
      <c r="O21" s="422" t="s">
        <v>5</v>
      </c>
      <c r="P21" s="483">
        <f t="shared" si="1"/>
        <v>46.627667752249685</v>
      </c>
      <c r="Q21" s="483">
        <f t="shared" si="0"/>
        <v>39.404294232772969</v>
      </c>
    </row>
    <row r="22" spans="1:17" ht="15.75" x14ac:dyDescent="0.25">
      <c r="A22" s="470" t="s">
        <v>456</v>
      </c>
      <c r="B22" s="411"/>
      <c r="C22" s="411"/>
      <c r="D22" s="411">
        <v>3109.5030000000002</v>
      </c>
      <c r="E22" s="411">
        <v>3148.0481370000002</v>
      </c>
      <c r="F22" s="414">
        <v>55.240475000000004</v>
      </c>
      <c r="G22" s="414">
        <v>56.567796000000001</v>
      </c>
      <c r="H22" s="414">
        <v>57.408700000000003</v>
      </c>
      <c r="I22" s="414">
        <v>58.3812</v>
      </c>
      <c r="J22" s="416">
        <f>55.02042/55.240475</f>
        <v>0.9960164173099525</v>
      </c>
      <c r="K22" s="416">
        <f>56.5487/56.567796</f>
        <v>0.99966242276789419</v>
      </c>
      <c r="L22" s="416">
        <f>57.010428/57.4087</f>
        <v>0.99306251491498665</v>
      </c>
      <c r="M22" s="416">
        <f>57.990213/58.3812</f>
        <v>0.99330286119504219</v>
      </c>
      <c r="N22" s="422" t="s">
        <v>5</v>
      </c>
      <c r="O22" s="422" t="s">
        <v>5</v>
      </c>
      <c r="P22" s="483">
        <f t="shared" si="1"/>
        <v>54.542705766039859</v>
      </c>
      <c r="Q22" s="483">
        <f t="shared" si="0"/>
        <v>54.285852286833304</v>
      </c>
    </row>
    <row r="23" spans="1:17" ht="15.75" x14ac:dyDescent="0.25">
      <c r="A23" s="539" t="s">
        <v>12</v>
      </c>
      <c r="B23" s="411"/>
      <c r="C23" s="411"/>
      <c r="D23" s="411" t="s">
        <v>5</v>
      </c>
      <c r="E23" s="411" t="s">
        <v>5</v>
      </c>
      <c r="F23" s="414">
        <v>5.3752760000000004</v>
      </c>
      <c r="G23" s="414">
        <v>5.4266740000000002</v>
      </c>
      <c r="H23" s="414">
        <v>5.4717529999999996</v>
      </c>
      <c r="I23" s="414">
        <v>5.5032969999999999</v>
      </c>
      <c r="J23" s="416">
        <f>4.9/5.375276</f>
        <v>0.91158109834732204</v>
      </c>
      <c r="K23" s="416">
        <f>4.93/5.426674</f>
        <v>0.90847543080715731</v>
      </c>
      <c r="L23" s="416">
        <f>4.96/5.471753</f>
        <v>0.90647366575209087</v>
      </c>
      <c r="M23" s="416">
        <f>5/5.503297</f>
        <v>0.9085462768954683</v>
      </c>
      <c r="N23" s="422" t="s">
        <v>5</v>
      </c>
      <c r="O23" s="422" t="s">
        <v>5</v>
      </c>
      <c r="P23" s="483" t="s">
        <v>5</v>
      </c>
      <c r="Q23" s="493" t="s">
        <v>5</v>
      </c>
    </row>
    <row r="24" spans="1:17" ht="15.75" x14ac:dyDescent="0.25">
      <c r="A24" s="539" t="s">
        <v>13</v>
      </c>
      <c r="B24" s="411"/>
      <c r="C24" s="411"/>
      <c r="D24" s="411">
        <v>3816</v>
      </c>
      <c r="E24" s="411">
        <v>3900</v>
      </c>
      <c r="F24" s="414">
        <v>65</v>
      </c>
      <c r="G24" s="414">
        <v>65.543000000000006</v>
      </c>
      <c r="H24" s="414">
        <v>66.03</v>
      </c>
      <c r="I24" s="414">
        <v>66.989999999999995</v>
      </c>
      <c r="J24" s="416">
        <f>65/65</f>
        <v>1</v>
      </c>
      <c r="K24" s="416">
        <f>65.5/65.543</f>
        <v>0.99934394214485134</v>
      </c>
      <c r="L24" s="416">
        <f>65.67/66.03</f>
        <v>0.99454793275783737</v>
      </c>
      <c r="M24" s="416">
        <f>66.635/66.99</f>
        <v>0.99470070159725343</v>
      </c>
      <c r="N24" s="422" t="s">
        <v>5</v>
      </c>
      <c r="O24" s="422" t="s">
        <v>5</v>
      </c>
      <c r="P24" s="483">
        <f t="shared" si="1"/>
        <v>58.108725445408865</v>
      </c>
      <c r="Q24" s="483">
        <f t="shared" si="0"/>
        <v>58.527800705335032</v>
      </c>
    </row>
    <row r="25" spans="1:17" ht="15.75" x14ac:dyDescent="0.25">
      <c r="A25" s="494" t="s">
        <v>557</v>
      </c>
      <c r="B25" s="411"/>
      <c r="C25" s="411"/>
      <c r="D25" s="411"/>
      <c r="E25" s="411"/>
      <c r="F25" s="414">
        <v>1.2635700000000001</v>
      </c>
      <c r="G25" s="414"/>
      <c r="H25" s="414"/>
      <c r="I25" s="414"/>
      <c r="J25" s="416">
        <f>1.200392/1.26357</f>
        <v>0.95000039570423467</v>
      </c>
      <c r="K25" s="416"/>
      <c r="L25" s="416"/>
      <c r="M25" s="416"/>
      <c r="N25" s="422" t="s">
        <v>5</v>
      </c>
      <c r="O25" s="422" t="s">
        <v>5</v>
      </c>
      <c r="P25" s="483" t="s">
        <v>5</v>
      </c>
      <c r="Q25" s="493" t="e">
        <f t="shared" si="0"/>
        <v>#DIV/0!</v>
      </c>
    </row>
    <row r="26" spans="1:17" ht="15.75" x14ac:dyDescent="0.25">
      <c r="A26" s="539" t="s">
        <v>14</v>
      </c>
      <c r="B26" s="411"/>
      <c r="C26" s="411"/>
      <c r="D26" s="411">
        <v>3230</v>
      </c>
      <c r="E26" s="411">
        <v>3325</v>
      </c>
      <c r="F26" s="414">
        <v>81.751999999999995</v>
      </c>
      <c r="G26" s="414">
        <v>80.524000000000001</v>
      </c>
      <c r="H26" s="414">
        <v>81.197999999999993</v>
      </c>
      <c r="I26" s="414">
        <v>82.522000000000006</v>
      </c>
      <c r="J26" s="416">
        <f>81.15/81.752</f>
        <v>0.99263626577943065</v>
      </c>
      <c r="K26" s="416" t="e">
        <f>#REF!</f>
        <v>#REF!</v>
      </c>
      <c r="L26" s="416">
        <f>80.67/81.198</f>
        <v>0.99349737678267946</v>
      </c>
      <c r="M26" s="416">
        <f>82/82.522</f>
        <v>0.99367441409563506</v>
      </c>
      <c r="N26" s="422" t="s">
        <v>5</v>
      </c>
      <c r="O26" s="422" t="s">
        <v>5</v>
      </c>
      <c r="P26" s="483">
        <f t="shared" si="1"/>
        <v>40.039667782323043</v>
      </c>
      <c r="Q26" s="483">
        <f t="shared" si="0"/>
        <v>40.548780487804876</v>
      </c>
    </row>
    <row r="27" spans="1:17" ht="15.75" x14ac:dyDescent="0.25">
      <c r="A27" s="494" t="s">
        <v>35</v>
      </c>
      <c r="B27" s="411"/>
      <c r="C27" s="411"/>
      <c r="D27" s="411" t="s">
        <v>5</v>
      </c>
      <c r="E27" s="411"/>
      <c r="F27" s="414" t="s">
        <v>5</v>
      </c>
      <c r="G27" s="414" t="s">
        <v>5</v>
      </c>
      <c r="H27" s="414">
        <v>11.2</v>
      </c>
      <c r="I27" s="414"/>
      <c r="J27" s="415" t="s">
        <v>5</v>
      </c>
      <c r="K27" s="420" t="s">
        <v>5</v>
      </c>
      <c r="L27" s="420">
        <f>11.2/11.2</f>
        <v>1</v>
      </c>
      <c r="M27" s="420"/>
      <c r="N27" s="422" t="s">
        <v>5</v>
      </c>
      <c r="O27" s="422" t="s">
        <v>5</v>
      </c>
      <c r="P27" s="483" t="s">
        <v>5</v>
      </c>
      <c r="Q27" s="493" t="e">
        <f t="shared" si="0"/>
        <v>#DIV/0!</v>
      </c>
    </row>
    <row r="28" spans="1:17" ht="15.75" x14ac:dyDescent="0.25">
      <c r="A28" s="539" t="s">
        <v>45</v>
      </c>
      <c r="B28" s="411"/>
      <c r="C28" s="411"/>
      <c r="D28" s="411">
        <v>296.45800000000003</v>
      </c>
      <c r="E28" s="411">
        <v>314.61200000000002</v>
      </c>
      <c r="F28" s="414">
        <v>10.013999999999999</v>
      </c>
      <c r="G28" s="414">
        <v>9.9087980000000009</v>
      </c>
      <c r="H28" s="414">
        <v>9.8555709999999994</v>
      </c>
      <c r="I28" s="414">
        <v>9.797561</v>
      </c>
      <c r="J28" s="416">
        <f>9.4933/10.014</f>
        <v>0.94800279608548033</v>
      </c>
      <c r="K28" s="416">
        <f>9.413358/9.908798</f>
        <v>0.94999998990795853</v>
      </c>
      <c r="L28" s="416">
        <f>9.727/9.855571</f>
        <v>0.98695448493040139</v>
      </c>
      <c r="M28" s="416">
        <f>9.542986/9.797561</f>
        <v>0.9740164924719531</v>
      </c>
      <c r="N28" s="422" t="s">
        <v>5</v>
      </c>
      <c r="O28" s="422" t="s">
        <v>5</v>
      </c>
      <c r="P28" s="483">
        <f t="shared" si="1"/>
        <v>30.477845173229159</v>
      </c>
      <c r="Q28" s="483">
        <f t="shared" si="0"/>
        <v>32.967878188231644</v>
      </c>
    </row>
    <row r="29" spans="1:17" ht="15.75" x14ac:dyDescent="0.25">
      <c r="A29" s="494" t="s">
        <v>754</v>
      </c>
      <c r="B29" s="411"/>
      <c r="C29" s="411"/>
      <c r="D29" s="411" t="s">
        <v>5</v>
      </c>
      <c r="E29" s="411"/>
      <c r="F29" s="414" t="s">
        <v>5</v>
      </c>
      <c r="G29" s="414" t="s">
        <v>5</v>
      </c>
      <c r="H29" s="414" t="s">
        <v>5</v>
      </c>
      <c r="I29" s="414"/>
      <c r="J29" s="416" t="s">
        <v>5</v>
      </c>
      <c r="K29" s="416" t="s">
        <v>5</v>
      </c>
      <c r="L29" s="416" t="s">
        <v>5</v>
      </c>
      <c r="M29" s="416"/>
      <c r="N29" s="422" t="s">
        <v>5</v>
      </c>
      <c r="O29" s="422" t="s">
        <v>5</v>
      </c>
      <c r="P29" s="483" t="s">
        <v>5</v>
      </c>
      <c r="Q29" s="493" t="e">
        <f t="shared" si="0"/>
        <v>#DIV/0!</v>
      </c>
    </row>
    <row r="30" spans="1:17" ht="15.75" x14ac:dyDescent="0.25">
      <c r="A30" s="539" t="s">
        <v>639</v>
      </c>
      <c r="B30" s="411"/>
      <c r="C30" s="411"/>
      <c r="D30" s="411" t="s">
        <v>5</v>
      </c>
      <c r="E30" s="411" t="s">
        <v>5</v>
      </c>
      <c r="F30" s="414" t="s">
        <v>5</v>
      </c>
      <c r="G30" s="414">
        <v>244.77579600000001</v>
      </c>
      <c r="H30" s="414">
        <v>252.2</v>
      </c>
      <c r="I30" s="414">
        <v>258.70499999999998</v>
      </c>
      <c r="J30" s="416" t="s">
        <v>5</v>
      </c>
      <c r="K30" s="416">
        <f>54.785005/244.775796</f>
        <v>0.22381708443101128</v>
      </c>
      <c r="L30" s="416">
        <f>64.141662/252.2</f>
        <v>0.25432855670103094</v>
      </c>
      <c r="M30" s="416">
        <f>44.046522/258.705</f>
        <v>0.17025771438511048</v>
      </c>
      <c r="N30" s="422" t="s">
        <v>5</v>
      </c>
      <c r="O30" s="422" t="s">
        <v>5</v>
      </c>
      <c r="P30" s="483" t="s">
        <v>5</v>
      </c>
      <c r="Q30" s="493" t="s">
        <v>5</v>
      </c>
    </row>
    <row r="31" spans="1:17" ht="15.75" x14ac:dyDescent="0.25">
      <c r="A31" s="494" t="s">
        <v>466</v>
      </c>
      <c r="B31" s="411"/>
      <c r="C31" s="411"/>
      <c r="D31" s="411"/>
      <c r="E31" s="411"/>
      <c r="F31" s="414">
        <v>77.543999999999997</v>
      </c>
      <c r="G31" s="414">
        <v>77.069000000000003</v>
      </c>
      <c r="H31" s="414"/>
      <c r="I31" s="414"/>
      <c r="J31" s="416">
        <f>70.966/77.544</f>
        <v>0.91517074177241309</v>
      </c>
      <c r="K31" s="416">
        <f>71.647/77.069</f>
        <v>0.92964745877071198</v>
      </c>
      <c r="L31" s="416"/>
      <c r="M31" s="416"/>
      <c r="N31" s="422" t="s">
        <v>5</v>
      </c>
      <c r="O31" s="422" t="s">
        <v>5</v>
      </c>
      <c r="P31" s="483" t="s">
        <v>5</v>
      </c>
      <c r="Q31" s="493" t="e">
        <f t="shared" si="0"/>
        <v>#DIV/0!</v>
      </c>
    </row>
    <row r="32" spans="1:17" ht="15.75" x14ac:dyDescent="0.25">
      <c r="A32" s="494" t="s">
        <v>16</v>
      </c>
      <c r="B32" s="411"/>
      <c r="C32" s="411"/>
      <c r="D32" s="411"/>
      <c r="E32" s="411"/>
      <c r="F32" s="414">
        <v>7.4855999999999998</v>
      </c>
      <c r="G32" s="414">
        <v>7.9104999999999999</v>
      </c>
      <c r="H32" s="414"/>
      <c r="I32" s="414"/>
      <c r="J32" s="417">
        <f>7.4856/7.4856</f>
        <v>1</v>
      </c>
      <c r="K32" s="417">
        <f>7.7658/7.7658</f>
        <v>1</v>
      </c>
      <c r="L32" s="417"/>
      <c r="M32" s="417"/>
      <c r="N32" s="422" t="s">
        <v>5</v>
      </c>
      <c r="O32" s="422" t="s">
        <v>5</v>
      </c>
      <c r="P32" s="483" t="s">
        <v>5</v>
      </c>
      <c r="Q32" s="493" t="e">
        <f t="shared" si="0"/>
        <v>#DIV/0!</v>
      </c>
    </row>
    <row r="33" spans="1:17" ht="15.75" x14ac:dyDescent="0.25">
      <c r="A33" s="539" t="s">
        <v>17</v>
      </c>
      <c r="B33" s="411"/>
      <c r="C33" s="411"/>
      <c r="D33" s="411" t="s">
        <v>5</v>
      </c>
      <c r="E33" s="411" t="s">
        <v>5</v>
      </c>
      <c r="F33" s="414">
        <v>60.626441999999997</v>
      </c>
      <c r="G33" s="414">
        <v>59.570580999999997</v>
      </c>
      <c r="H33" s="414" t="s">
        <v>5</v>
      </c>
      <c r="I33" s="414">
        <v>60.59</v>
      </c>
      <c r="J33" s="416">
        <f>58.2/60.626442</f>
        <v>0.95997716639878039</v>
      </c>
      <c r="K33" s="416">
        <f>58.379169/59.570581</f>
        <v>0.97999999362101231</v>
      </c>
      <c r="L33" s="416" t="s">
        <v>5</v>
      </c>
      <c r="M33" s="416">
        <f>59.38/60.59</f>
        <v>0.98002970787258625</v>
      </c>
      <c r="N33" s="422" t="s">
        <v>5</v>
      </c>
      <c r="O33" s="422" t="s">
        <v>5</v>
      </c>
      <c r="P33" s="483" t="s">
        <v>5</v>
      </c>
      <c r="Q33" s="493" t="s">
        <v>5</v>
      </c>
    </row>
    <row r="34" spans="1:17" ht="15.75" x14ac:dyDescent="0.25">
      <c r="A34" s="539" t="s">
        <v>18</v>
      </c>
      <c r="B34" s="411"/>
      <c r="C34" s="411"/>
      <c r="D34" s="411">
        <v>10145.629000000001</v>
      </c>
      <c r="E34" s="411">
        <v>10353.187</v>
      </c>
      <c r="F34" s="414">
        <v>127.941491</v>
      </c>
      <c r="G34" s="414">
        <v>127.712755</v>
      </c>
      <c r="H34" s="414">
        <v>127.25489399999999</v>
      </c>
      <c r="I34" s="414">
        <v>127.10239</v>
      </c>
      <c r="J34" s="416">
        <f>124.796337/127.941491</f>
        <v>0.97541724756044934</v>
      </c>
      <c r="K34" s="416">
        <f>124.657159/127.712755</f>
        <v>0.9760744649193418</v>
      </c>
      <c r="L34" s="416">
        <f>124.369524/127.254894</f>
        <v>0.97732605867401845</v>
      </c>
      <c r="M34" s="416" t="e">
        <f>#REF!</f>
        <v>#REF!</v>
      </c>
      <c r="N34" s="422" t="s">
        <v>5</v>
      </c>
      <c r="O34" s="422" t="s">
        <v>5</v>
      </c>
      <c r="P34" s="483">
        <f t="shared" si="1"/>
        <v>81.576488143510147</v>
      </c>
      <c r="Q34" s="483" t="e">
        <f t="shared" si="0"/>
        <v>#REF!</v>
      </c>
    </row>
    <row r="35" spans="1:17" ht="15.75" x14ac:dyDescent="0.25">
      <c r="A35" s="494" t="s">
        <v>742</v>
      </c>
      <c r="B35" s="411"/>
      <c r="C35" s="411"/>
      <c r="D35" s="411">
        <v>127.45399999999999</v>
      </c>
      <c r="E35" s="411"/>
      <c r="F35" s="414" t="s">
        <v>5</v>
      </c>
      <c r="G35" s="414" t="s">
        <v>5</v>
      </c>
      <c r="H35" s="414">
        <v>19.820837000000001</v>
      </c>
      <c r="I35" s="414"/>
      <c r="J35" s="416" t="s">
        <v>5</v>
      </c>
      <c r="K35" s="416" t="s">
        <v>5</v>
      </c>
      <c r="L35" s="416">
        <f>10.496105/19.820837</f>
        <v>0.52954902963986838</v>
      </c>
      <c r="M35" s="416"/>
      <c r="N35" s="422" t="s">
        <v>5</v>
      </c>
      <c r="O35" s="422" t="s">
        <v>5</v>
      </c>
      <c r="P35" s="483">
        <f t="shared" si="1"/>
        <v>12.142980658063157</v>
      </c>
      <c r="Q35" s="493" t="e">
        <f t="shared" si="0"/>
        <v>#DIV/0!</v>
      </c>
    </row>
    <row r="36" spans="1:17" ht="15.75" x14ac:dyDescent="0.25">
      <c r="A36" s="494" t="s">
        <v>19</v>
      </c>
      <c r="B36" s="411"/>
      <c r="C36" s="411"/>
      <c r="D36" s="411"/>
      <c r="E36" s="411"/>
      <c r="F36" s="414">
        <v>3.2446000000000002</v>
      </c>
      <c r="G36" s="414"/>
      <c r="H36" s="414"/>
      <c r="I36" s="414"/>
      <c r="J36" s="416">
        <f>2.38478/3.2446</f>
        <v>0.73499969179559888</v>
      </c>
      <c r="K36" s="416"/>
      <c r="L36" s="416"/>
      <c r="M36" s="416"/>
      <c r="N36" s="422" t="s">
        <v>5</v>
      </c>
      <c r="O36" s="422" t="s">
        <v>5</v>
      </c>
      <c r="P36" s="483" t="s">
        <v>5</v>
      </c>
      <c r="Q36" s="493" t="e">
        <f t="shared" si="0"/>
        <v>#DIV/0!</v>
      </c>
    </row>
    <row r="37" spans="1:17" ht="15.75" x14ac:dyDescent="0.25">
      <c r="A37" s="494" t="s">
        <v>50</v>
      </c>
      <c r="B37" s="411"/>
      <c r="C37" s="411"/>
      <c r="D37" s="411"/>
      <c r="E37" s="411"/>
      <c r="F37" s="414"/>
      <c r="G37" s="414"/>
      <c r="H37" s="414"/>
      <c r="I37" s="414"/>
      <c r="J37" s="415"/>
      <c r="K37" s="420"/>
      <c r="L37" s="420"/>
      <c r="M37" s="420"/>
      <c r="N37" s="422" t="s">
        <v>5</v>
      </c>
      <c r="O37" s="422" t="s">
        <v>5</v>
      </c>
      <c r="P37" s="483" t="s">
        <v>5</v>
      </c>
      <c r="Q37" s="493" t="e">
        <f t="shared" si="0"/>
        <v>#DIV/0!</v>
      </c>
    </row>
    <row r="38" spans="1:17" ht="15.75" x14ac:dyDescent="0.25">
      <c r="A38" s="539" t="s">
        <v>586</v>
      </c>
      <c r="B38" s="411"/>
      <c r="C38" s="411"/>
      <c r="D38" s="411">
        <v>35.008637999999998</v>
      </c>
      <c r="E38" s="411">
        <v>36.699463000000002</v>
      </c>
      <c r="F38" s="414">
        <v>0.55740000000000001</v>
      </c>
      <c r="G38" s="414">
        <v>0.59819999999999995</v>
      </c>
      <c r="H38" s="414">
        <v>0.63619999999999999</v>
      </c>
      <c r="I38" s="414">
        <v>0.64770000000000005</v>
      </c>
      <c r="J38" s="417">
        <f>0.5574/0.5574</f>
        <v>1</v>
      </c>
      <c r="K38" s="417">
        <f>0.5982/0.5982</f>
        <v>1</v>
      </c>
      <c r="L38" s="417">
        <f>0.6362/0.6362</f>
        <v>1</v>
      </c>
      <c r="M38" s="417">
        <f>0.6477/0.6477</f>
        <v>1</v>
      </c>
      <c r="N38" s="422" t="s">
        <v>5</v>
      </c>
      <c r="O38" s="422" t="s">
        <v>5</v>
      </c>
      <c r="P38" s="483">
        <f t="shared" si="1"/>
        <v>55.027723986167871</v>
      </c>
      <c r="Q38" s="483">
        <f t="shared" si="0"/>
        <v>56.661205805156705</v>
      </c>
    </row>
    <row r="39" spans="1:17" ht="15.75" x14ac:dyDescent="0.25">
      <c r="A39" s="495" t="s">
        <v>36</v>
      </c>
      <c r="B39" s="411"/>
      <c r="C39" s="411"/>
      <c r="D39" s="411"/>
      <c r="E39" s="411"/>
      <c r="F39" s="414">
        <v>0.70228999999999997</v>
      </c>
      <c r="G39" s="414"/>
      <c r="H39" s="414"/>
      <c r="I39" s="414"/>
      <c r="J39" s="416">
        <f>0.632/0.70229</f>
        <v>0.89991314129490674</v>
      </c>
      <c r="K39" s="416"/>
      <c r="L39" s="416"/>
      <c r="M39" s="416"/>
      <c r="N39" s="422" t="s">
        <v>5</v>
      </c>
      <c r="O39" s="422" t="s">
        <v>5</v>
      </c>
      <c r="P39" s="483" t="s">
        <v>5</v>
      </c>
      <c r="Q39" s="493" t="e">
        <f t="shared" si="0"/>
        <v>#DIV/0!</v>
      </c>
    </row>
    <row r="40" spans="1:17" ht="15.75" x14ac:dyDescent="0.25">
      <c r="A40" s="610" t="s">
        <v>774</v>
      </c>
      <c r="B40" s="411"/>
      <c r="C40" s="411"/>
      <c r="D40" s="411" t="s">
        <v>5</v>
      </c>
      <c r="E40" s="411" t="s">
        <v>5</v>
      </c>
      <c r="F40" s="414" t="s">
        <v>5</v>
      </c>
      <c r="G40" s="414" t="s">
        <v>5</v>
      </c>
      <c r="H40" s="414">
        <v>0.429344</v>
      </c>
      <c r="I40" s="414">
        <v>0.46029700000000001</v>
      </c>
      <c r="J40" s="416" t="s">
        <v>5</v>
      </c>
      <c r="K40" s="416" t="s">
        <v>5</v>
      </c>
      <c r="L40" s="416">
        <f>0.429344/0.429344</f>
        <v>1</v>
      </c>
      <c r="M40" s="416">
        <f>0.460297/0.460297</f>
        <v>1</v>
      </c>
      <c r="N40" s="422" t="s">
        <v>5</v>
      </c>
      <c r="O40" s="422" t="s">
        <v>5</v>
      </c>
      <c r="P40" s="483" t="s">
        <v>5</v>
      </c>
      <c r="Q40" s="493" t="s">
        <v>5</v>
      </c>
    </row>
    <row r="41" spans="1:17" ht="15.75" x14ac:dyDescent="0.25">
      <c r="A41" s="495" t="s">
        <v>37</v>
      </c>
      <c r="B41" s="411"/>
      <c r="C41" s="411"/>
      <c r="D41" s="411">
        <v>74.2</v>
      </c>
      <c r="E41" s="411"/>
      <c r="F41" s="414">
        <v>1.23</v>
      </c>
      <c r="G41" s="414">
        <v>1.26</v>
      </c>
      <c r="H41" s="414">
        <v>1.219659</v>
      </c>
      <c r="I41" s="414"/>
      <c r="J41" s="417">
        <v>1</v>
      </c>
      <c r="K41" s="416">
        <f>1.25251/1.25502</f>
        <v>0.99800003187200204</v>
      </c>
      <c r="L41" s="416">
        <f>1.216/1.219659</f>
        <v>0.99699998114227006</v>
      </c>
      <c r="M41" s="416"/>
      <c r="N41" s="422" t="s">
        <v>5</v>
      </c>
      <c r="O41" s="422" t="s">
        <v>5</v>
      </c>
      <c r="P41" s="483">
        <f t="shared" si="1"/>
        <v>61.019736842105267</v>
      </c>
      <c r="Q41" s="493" t="e">
        <f t="shared" si="0"/>
        <v>#DIV/0!</v>
      </c>
    </row>
    <row r="42" spans="1:17" ht="15.75" x14ac:dyDescent="0.25">
      <c r="A42" s="610" t="s">
        <v>38</v>
      </c>
      <c r="B42" s="411"/>
      <c r="C42" s="411"/>
      <c r="D42" s="411">
        <v>12.013</v>
      </c>
      <c r="E42" s="411">
        <v>12.48</v>
      </c>
      <c r="F42" s="414" t="s">
        <v>5</v>
      </c>
      <c r="G42" s="414">
        <v>112.336538</v>
      </c>
      <c r="H42" s="414">
        <v>119.530753</v>
      </c>
      <c r="I42" s="414">
        <v>127.540423</v>
      </c>
      <c r="J42" s="415" t="s">
        <v>5</v>
      </c>
      <c r="K42" s="420">
        <f>100.530547/112.336538</f>
        <v>0.89490515543571403</v>
      </c>
      <c r="L42" s="420">
        <f>110.326885/119.530753</f>
        <v>0.92299999984104508</v>
      </c>
      <c r="M42" s="420">
        <f>117.974891/127.540423</f>
        <v>0.92499999784382081</v>
      </c>
      <c r="N42" s="422" t="s">
        <v>5</v>
      </c>
      <c r="O42" s="422" t="s">
        <v>5</v>
      </c>
      <c r="P42" s="483">
        <f t="shared" si="1"/>
        <v>0.10888551779559442</v>
      </c>
      <c r="Q42" s="483">
        <f t="shared" si="0"/>
        <v>0.1057852217045066</v>
      </c>
    </row>
    <row r="43" spans="1:17" ht="15.75" x14ac:dyDescent="0.25">
      <c r="A43" s="495" t="s">
        <v>39</v>
      </c>
      <c r="B43" s="411"/>
      <c r="C43" s="411"/>
      <c r="D43" s="411"/>
      <c r="E43" s="411"/>
      <c r="F43" s="414">
        <v>18.059000000000001</v>
      </c>
      <c r="G43" s="414"/>
      <c r="H43" s="414"/>
      <c r="I43" s="414"/>
      <c r="J43" s="416">
        <f>17.373/18.059</f>
        <v>0.96201340052051609</v>
      </c>
      <c r="K43" s="416"/>
      <c r="L43" s="416"/>
      <c r="M43" s="416"/>
      <c r="N43" s="422" t="s">
        <v>5</v>
      </c>
      <c r="O43" s="422" t="s">
        <v>5</v>
      </c>
      <c r="P43" s="483" t="s">
        <v>5</v>
      </c>
      <c r="Q43" s="493" t="e">
        <f t="shared" si="0"/>
        <v>#DIV/0!</v>
      </c>
    </row>
    <row r="44" spans="1:17" ht="15.75" x14ac:dyDescent="0.25">
      <c r="A44" s="495" t="s">
        <v>734</v>
      </c>
      <c r="B44" s="411"/>
      <c r="C44" s="411"/>
      <c r="D44" s="411">
        <v>162</v>
      </c>
      <c r="E44" s="411"/>
      <c r="F44" s="414" t="s">
        <v>5</v>
      </c>
      <c r="G44" s="414" t="s">
        <v>5</v>
      </c>
      <c r="H44" s="414">
        <v>2.21</v>
      </c>
      <c r="I44" s="414"/>
      <c r="J44" s="416" t="s">
        <v>5</v>
      </c>
      <c r="K44" s="416" t="s">
        <v>5</v>
      </c>
      <c r="L44" s="416" t="s">
        <v>5</v>
      </c>
      <c r="M44" s="416"/>
      <c r="N44" s="422" t="s">
        <v>5</v>
      </c>
      <c r="O44" s="422" t="s">
        <v>5</v>
      </c>
      <c r="P44" s="483" t="s">
        <v>5</v>
      </c>
      <c r="Q44" s="493" t="e">
        <f t="shared" si="0"/>
        <v>#DIV/0!</v>
      </c>
    </row>
    <row r="45" spans="1:17" ht="15.75" x14ac:dyDescent="0.25">
      <c r="A45" s="610" t="s">
        <v>20</v>
      </c>
      <c r="B45" s="411"/>
      <c r="C45" s="411"/>
      <c r="D45" s="411">
        <v>783</v>
      </c>
      <c r="E45" s="411">
        <v>805</v>
      </c>
      <c r="F45" s="414">
        <v>16.734999999999999</v>
      </c>
      <c r="G45" s="414">
        <v>16.935212</v>
      </c>
      <c r="H45" s="414">
        <v>16.992836</v>
      </c>
      <c r="I45" s="414">
        <v>17.081506999999998</v>
      </c>
      <c r="J45" s="417">
        <f>16.735/16.735</f>
        <v>1</v>
      </c>
      <c r="K45" s="417">
        <f>16.935212/16.935212</f>
        <v>1</v>
      </c>
      <c r="L45" s="417">
        <f>16.992836/16.992836</f>
        <v>1</v>
      </c>
      <c r="M45" s="417">
        <f>17.081507/17.081507</f>
        <v>1</v>
      </c>
      <c r="N45" s="422" t="s">
        <v>5</v>
      </c>
      <c r="O45" s="422" t="s">
        <v>5</v>
      </c>
      <c r="P45" s="483">
        <f t="shared" si="1"/>
        <v>46.078241442452573</v>
      </c>
      <c r="Q45" s="483">
        <f t="shared" si="0"/>
        <v>47.126989439514915</v>
      </c>
    </row>
    <row r="46" spans="1:17" ht="15.75" x14ac:dyDescent="0.25">
      <c r="A46" s="495" t="s">
        <v>46</v>
      </c>
      <c r="B46" s="411"/>
      <c r="C46" s="411"/>
      <c r="D46" s="411"/>
      <c r="E46" s="411"/>
      <c r="F46" s="414">
        <v>1.8324819999999999</v>
      </c>
      <c r="G46" s="414"/>
      <c r="H46" s="414"/>
      <c r="I46" s="414"/>
      <c r="J46" s="416">
        <v>0.98599999999999999</v>
      </c>
      <c r="K46" s="416"/>
      <c r="L46" s="416"/>
      <c r="M46" s="416"/>
      <c r="N46" s="422" t="s">
        <v>5</v>
      </c>
      <c r="O46" s="422" t="s">
        <v>5</v>
      </c>
      <c r="P46" s="483" t="s">
        <v>5</v>
      </c>
      <c r="Q46" s="493" t="e">
        <f t="shared" si="0"/>
        <v>#DIV/0!</v>
      </c>
    </row>
    <row r="47" spans="1:17" ht="15.75" x14ac:dyDescent="0.25">
      <c r="A47" s="610" t="s">
        <v>21</v>
      </c>
      <c r="B47" s="411"/>
      <c r="C47" s="411"/>
      <c r="D47" s="411">
        <v>334.84</v>
      </c>
      <c r="E47" s="411">
        <v>307.39821699999999</v>
      </c>
      <c r="F47" s="414">
        <v>4.9850000000000003</v>
      </c>
      <c r="G47" s="414">
        <v>5.051272</v>
      </c>
      <c r="H47" s="414">
        <v>5.1658020000000002</v>
      </c>
      <c r="I47" s="414">
        <v>5.2583169999999999</v>
      </c>
      <c r="J47" s="416">
        <f>4.1/4.985</f>
        <v>0.82246740220661974</v>
      </c>
      <c r="K47" s="416">
        <f>4.5/5.051272</f>
        <v>0.89086471684755841</v>
      </c>
      <c r="L47" s="416">
        <f>4.5837/5.165802</f>
        <v>0.88731623860147957</v>
      </c>
      <c r="M47" s="416">
        <f>4.612418/5.258317</f>
        <v>0.87716621116604421</v>
      </c>
      <c r="N47" s="422" t="s">
        <v>5</v>
      </c>
      <c r="O47" s="422" t="s">
        <v>5</v>
      </c>
      <c r="P47" s="483">
        <f t="shared" si="1"/>
        <v>73.050155987520981</v>
      </c>
      <c r="Q47" s="483">
        <f t="shared" si="0"/>
        <v>66.645784705549232</v>
      </c>
    </row>
    <row r="48" spans="1:17" ht="15.75" x14ac:dyDescent="0.25">
      <c r="A48" s="610" t="s">
        <v>22</v>
      </c>
      <c r="B48" s="411"/>
      <c r="C48" s="411"/>
      <c r="D48" s="411">
        <v>1537</v>
      </c>
      <c r="E48" s="411" t="s">
        <v>5</v>
      </c>
      <c r="F48" s="414">
        <v>38.200037000000002</v>
      </c>
      <c r="G48" s="414">
        <v>38.4</v>
      </c>
      <c r="H48" s="414">
        <v>38.478602000000002</v>
      </c>
      <c r="I48" s="414">
        <v>38.432991999999999</v>
      </c>
      <c r="J48" s="416">
        <f>33.425032/38.200037</f>
        <v>0.87499999018325558</v>
      </c>
      <c r="K48" s="416">
        <f>33.852/38.4</f>
        <v>0.88156249999999992</v>
      </c>
      <c r="L48" s="416">
        <v>0.91599999994802295</v>
      </c>
      <c r="M48" s="416">
        <v>0.91900000005203875</v>
      </c>
      <c r="N48" s="422" t="s">
        <v>5</v>
      </c>
      <c r="O48" s="422" t="s">
        <v>5</v>
      </c>
      <c r="P48" s="483">
        <f t="shared" si="1"/>
        <v>43.60729109515173</v>
      </c>
      <c r="Q48" s="493" t="s">
        <v>5</v>
      </c>
    </row>
    <row r="49" spans="1:17" ht="15.75" x14ac:dyDescent="0.25">
      <c r="A49" s="610" t="s">
        <v>23</v>
      </c>
      <c r="B49" s="411"/>
      <c r="C49" s="411"/>
      <c r="D49" s="411" t="s">
        <v>5</v>
      </c>
      <c r="E49" s="411">
        <v>376.15951999999999</v>
      </c>
      <c r="F49" s="414">
        <v>10.561614000000001</v>
      </c>
      <c r="G49" s="414">
        <v>10.487289000000001</v>
      </c>
      <c r="H49" s="414">
        <v>10.374822</v>
      </c>
      <c r="I49" s="414">
        <v>10.309573</v>
      </c>
      <c r="J49" s="416">
        <f>10.531441/10.561614</f>
        <v>0.997143144977652</v>
      </c>
      <c r="K49" s="416">
        <f>10.108325/10.487289</f>
        <v>0.96386444580672848</v>
      </c>
      <c r="L49" s="416">
        <f>9.906977/10.374822</f>
        <v>0.95490573235858889</v>
      </c>
      <c r="M49" s="416">
        <f>9.856579/10.309573</f>
        <v>0.95606083782519413</v>
      </c>
      <c r="N49" s="422" t="s">
        <v>5</v>
      </c>
      <c r="O49" s="422" t="s">
        <v>5</v>
      </c>
      <c r="P49" s="483" t="s">
        <v>5</v>
      </c>
      <c r="Q49" s="483">
        <f t="shared" si="0"/>
        <v>38.163293775659895</v>
      </c>
    </row>
    <row r="50" spans="1:17" ht="15.75" x14ac:dyDescent="0.25">
      <c r="A50" s="610" t="s">
        <v>40</v>
      </c>
      <c r="B50" s="411"/>
      <c r="C50" s="411"/>
      <c r="D50" s="411">
        <v>415.40472</v>
      </c>
      <c r="E50" s="411">
        <v>356.96000500000002</v>
      </c>
      <c r="F50" s="414">
        <v>21.4</v>
      </c>
      <c r="G50" s="414">
        <v>21.4</v>
      </c>
      <c r="H50" s="414">
        <v>19.959790000000002</v>
      </c>
      <c r="I50" s="414">
        <v>19.713000000000001</v>
      </c>
      <c r="J50" s="416">
        <f>11.9/21.4</f>
        <v>0.55607476635514019</v>
      </c>
      <c r="K50" s="416">
        <f>12.103555/21.4</f>
        <v>0.56558668224299069</v>
      </c>
      <c r="L50" s="416">
        <f>12.454909/19.95979</f>
        <v>0.62400000200402905</v>
      </c>
      <c r="M50" s="416">
        <f>12.853/19.713</f>
        <v>0.6520062902653071</v>
      </c>
      <c r="N50" s="422" t="s">
        <v>5</v>
      </c>
      <c r="O50" s="422" t="s">
        <v>5</v>
      </c>
      <c r="P50" s="483">
        <f t="shared" si="1"/>
        <v>33.352690091914759</v>
      </c>
      <c r="Q50" s="483">
        <f t="shared" si="0"/>
        <v>27.772504862677977</v>
      </c>
    </row>
    <row r="51" spans="1:17" ht="15.75" x14ac:dyDescent="0.25">
      <c r="A51" s="610" t="s">
        <v>693</v>
      </c>
      <c r="B51" s="411"/>
      <c r="C51" s="411"/>
      <c r="D51" s="411">
        <v>6146.2961999999998</v>
      </c>
      <c r="E51" s="411">
        <v>5837.4124270000002</v>
      </c>
      <c r="F51" s="414" t="s">
        <v>5</v>
      </c>
      <c r="G51" s="414" t="s">
        <v>5</v>
      </c>
      <c r="H51" s="414">
        <v>143.69999999999999</v>
      </c>
      <c r="I51" s="414">
        <v>146.80000000000001</v>
      </c>
      <c r="J51" s="416" t="s">
        <v>5</v>
      </c>
      <c r="K51" s="416" t="s">
        <v>5</v>
      </c>
      <c r="L51" s="416">
        <f>115.8/143.7</f>
        <v>0.80584551148225469</v>
      </c>
      <c r="M51" s="416">
        <f>118.8/146.8</f>
        <v>0.80926430517711168</v>
      </c>
      <c r="N51" s="422" t="s">
        <v>5</v>
      </c>
      <c r="O51" s="422" t="s">
        <v>5</v>
      </c>
      <c r="P51" s="483">
        <f t="shared" si="1"/>
        <v>53.076823834196894</v>
      </c>
      <c r="Q51" s="483">
        <f t="shared" si="0"/>
        <v>49.13646824074074</v>
      </c>
    </row>
    <row r="52" spans="1:17" ht="15.75" x14ac:dyDescent="0.25">
      <c r="A52" s="610" t="s">
        <v>47</v>
      </c>
      <c r="B52" s="411"/>
      <c r="C52" s="411"/>
      <c r="D52" s="411">
        <v>319.74583999999999</v>
      </c>
      <c r="E52" s="411">
        <v>281.77999999999997</v>
      </c>
      <c r="F52" s="414">
        <v>5.2221000000000002</v>
      </c>
      <c r="G52" s="414">
        <v>5.097931</v>
      </c>
      <c r="H52" s="414">
        <v>5.3475999999999999</v>
      </c>
      <c r="I52" s="414">
        <v>5.4</v>
      </c>
      <c r="J52" s="416">
        <f>4.982568/5.2221</f>
        <v>0.95413109668524143</v>
      </c>
      <c r="K52" s="416">
        <f>5.0017/5.097931</f>
        <v>0.98112351854114921</v>
      </c>
      <c r="L52" s="416">
        <f>5.191802/5.3476</f>
        <v>0.97086580896102925</v>
      </c>
      <c r="M52" s="416">
        <f>5.2/5.4</f>
        <v>0.96296296296296291</v>
      </c>
      <c r="N52" s="422" t="s">
        <v>5</v>
      </c>
      <c r="O52" s="422" t="s">
        <v>5</v>
      </c>
      <c r="P52" s="483">
        <f t="shared" si="1"/>
        <v>61.58667838257314</v>
      </c>
      <c r="Q52" s="483">
        <f t="shared" si="0"/>
        <v>54.188461538461532</v>
      </c>
    </row>
    <row r="53" spans="1:17" ht="15.75" x14ac:dyDescent="0.25">
      <c r="A53" s="495" t="s">
        <v>41</v>
      </c>
      <c r="B53" s="411"/>
      <c r="C53" s="411"/>
      <c r="D53" s="411"/>
      <c r="E53" s="411"/>
      <c r="F53" s="414"/>
      <c r="G53" s="414"/>
      <c r="H53" s="414"/>
      <c r="I53" s="414"/>
      <c r="J53" s="415"/>
      <c r="K53" s="420"/>
      <c r="L53" s="420"/>
      <c r="M53" s="420"/>
      <c r="N53" s="422" t="s">
        <v>5</v>
      </c>
      <c r="O53" s="422" t="s">
        <v>5</v>
      </c>
      <c r="P53" s="483" t="s">
        <v>5</v>
      </c>
      <c r="Q53" s="493" t="e">
        <f t="shared" si="0"/>
        <v>#DIV/0!</v>
      </c>
    </row>
    <row r="54" spans="1:17" ht="15.75" x14ac:dyDescent="0.25">
      <c r="A54" s="495" t="s">
        <v>42</v>
      </c>
      <c r="B54" s="411"/>
      <c r="C54" s="411"/>
      <c r="D54" s="411"/>
      <c r="E54" s="411"/>
      <c r="F54" s="414">
        <v>5.0766999999999998</v>
      </c>
      <c r="G54" s="414"/>
      <c r="H54" s="414"/>
      <c r="I54" s="414"/>
      <c r="J54" s="417">
        <f>5.0767/5.0767</f>
        <v>1</v>
      </c>
      <c r="K54" s="417"/>
      <c r="L54" s="417"/>
      <c r="M54" s="417"/>
      <c r="N54" s="422" t="s">
        <v>5</v>
      </c>
      <c r="O54" s="422" t="s">
        <v>5</v>
      </c>
      <c r="P54" s="483" t="s">
        <v>5</v>
      </c>
      <c r="Q54" s="493" t="e">
        <f t="shared" si="0"/>
        <v>#DIV/0!</v>
      </c>
    </row>
    <row r="55" spans="1:17" ht="15.75" x14ac:dyDescent="0.25">
      <c r="A55" s="495" t="s">
        <v>24</v>
      </c>
      <c r="B55" s="411"/>
      <c r="C55" s="411"/>
      <c r="D55" s="411"/>
      <c r="E55" s="411"/>
      <c r="F55" s="414">
        <v>5.4400779999999997</v>
      </c>
      <c r="G55" s="414"/>
      <c r="H55" s="414"/>
      <c r="I55" s="414"/>
      <c r="J55" s="416">
        <f>4.705/5.440078</f>
        <v>0.86487730506805238</v>
      </c>
      <c r="K55" s="416"/>
      <c r="L55" s="416"/>
      <c r="M55" s="416"/>
      <c r="N55" s="422" t="s">
        <v>5</v>
      </c>
      <c r="O55" s="422" t="s">
        <v>5</v>
      </c>
      <c r="P55" s="483" t="s">
        <v>5</v>
      </c>
      <c r="Q55" s="493" t="e">
        <f t="shared" si="0"/>
        <v>#DIV/0!</v>
      </c>
    </row>
    <row r="56" spans="1:17" ht="15.75" x14ac:dyDescent="0.25">
      <c r="A56" s="495" t="s">
        <v>43</v>
      </c>
      <c r="B56" s="411"/>
      <c r="C56" s="411"/>
      <c r="D56" s="411"/>
      <c r="E56" s="411"/>
      <c r="F56" s="414" t="s">
        <v>5</v>
      </c>
      <c r="G56" s="414">
        <v>3.8485</v>
      </c>
      <c r="H56" s="414"/>
      <c r="I56" s="414"/>
      <c r="J56" s="415" t="s">
        <v>5</v>
      </c>
      <c r="K56" s="420">
        <f>3.8485/3.8485</f>
        <v>1</v>
      </c>
      <c r="L56" s="420"/>
      <c r="M56" s="420"/>
      <c r="N56" s="422" t="s">
        <v>5</v>
      </c>
      <c r="O56" s="422" t="s">
        <v>5</v>
      </c>
      <c r="P56" s="483" t="s">
        <v>5</v>
      </c>
      <c r="Q56" s="493" t="e">
        <f t="shared" si="0"/>
        <v>#DIV/0!</v>
      </c>
    </row>
    <row r="57" spans="1:17" ht="15.75" x14ac:dyDescent="0.25">
      <c r="A57" s="495" t="s">
        <v>450</v>
      </c>
      <c r="B57" s="411"/>
      <c r="C57" s="411"/>
      <c r="D57" s="411"/>
      <c r="E57" s="411"/>
      <c r="F57" s="414">
        <v>1.1499999999999999</v>
      </c>
      <c r="G57" s="414"/>
      <c r="H57" s="414"/>
      <c r="I57" s="414"/>
      <c r="J57" s="416">
        <f>1.14/1.15</f>
        <v>0.9913043478260869</v>
      </c>
      <c r="K57" s="416"/>
      <c r="L57" s="416"/>
      <c r="M57" s="416"/>
      <c r="N57" s="422" t="s">
        <v>5</v>
      </c>
      <c r="O57" s="422" t="s">
        <v>5</v>
      </c>
      <c r="P57" s="483" t="s">
        <v>5</v>
      </c>
      <c r="Q57" s="493" t="e">
        <f t="shared" si="0"/>
        <v>#DIV/0!</v>
      </c>
    </row>
    <row r="58" spans="1:17" ht="15.75" x14ac:dyDescent="0.25">
      <c r="A58" s="610" t="s">
        <v>25</v>
      </c>
      <c r="B58" s="411"/>
      <c r="C58" s="411"/>
      <c r="D58" s="411">
        <v>3259.8829559999999</v>
      </c>
      <c r="E58" s="411">
        <v>3412.8102119999999</v>
      </c>
      <c r="F58" s="414">
        <v>51.434583000000003</v>
      </c>
      <c r="G58" s="414">
        <v>51.881255000000003</v>
      </c>
      <c r="H58" s="414">
        <v>52.127386000000001</v>
      </c>
      <c r="I58" s="414">
        <v>52.857892999999997</v>
      </c>
      <c r="J58" s="416">
        <f>48.394852/51.434583</f>
        <v>0.94090102762182393</v>
      </c>
      <c r="K58" s="416">
        <f>49.353954/51.881255</f>
        <v>0.95128681833159201</v>
      </c>
      <c r="L58" s="416">
        <f>49.909682/52.127386</f>
        <v>0.9574560673347402</v>
      </c>
      <c r="M58" s="416">
        <f>52.259027/52.857893</f>
        <v>0.9886702634930985</v>
      </c>
      <c r="N58" s="422" t="s">
        <v>5</v>
      </c>
      <c r="O58" s="422" t="s">
        <v>5</v>
      </c>
      <c r="P58" s="483">
        <f t="shared" si="1"/>
        <v>65.315642684319243</v>
      </c>
      <c r="Q58" s="483">
        <f t="shared" si="0"/>
        <v>65.305659288298642</v>
      </c>
    </row>
    <row r="59" spans="1:17" ht="15.75" x14ac:dyDescent="0.25">
      <c r="A59" s="610" t="s">
        <v>26</v>
      </c>
      <c r="B59" s="411"/>
      <c r="C59" s="411"/>
      <c r="D59" s="411">
        <v>2379</v>
      </c>
      <c r="E59" s="411">
        <v>2306</v>
      </c>
      <c r="F59" s="414">
        <v>47.021000000000001</v>
      </c>
      <c r="G59" s="414">
        <v>47.265000000000001</v>
      </c>
      <c r="H59" s="414">
        <v>46.423063999999997</v>
      </c>
      <c r="I59" s="414">
        <v>46.557008000000003</v>
      </c>
      <c r="J59" s="416">
        <f>47/47.021</f>
        <v>0.99955339103804686</v>
      </c>
      <c r="K59" s="416">
        <f>47.2/47.265</f>
        <v>0.99862477520363913</v>
      </c>
      <c r="L59" s="416">
        <f>46.190949/46.423064</f>
        <v>0.99500000689312551</v>
      </c>
      <c r="M59" s="416">
        <f>46.557008/46.557008</f>
        <v>1</v>
      </c>
      <c r="N59" s="422" t="s">
        <v>5</v>
      </c>
      <c r="O59" s="422" t="s">
        <v>5</v>
      </c>
      <c r="P59" s="483">
        <f t="shared" si="1"/>
        <v>51.503596516278542</v>
      </c>
      <c r="Q59" s="483">
        <f t="shared" si="0"/>
        <v>49.530674307936621</v>
      </c>
    </row>
    <row r="60" spans="1:17" ht="15.75" x14ac:dyDescent="0.25">
      <c r="A60" s="610" t="s">
        <v>48</v>
      </c>
      <c r="B60" s="411"/>
      <c r="C60" s="411"/>
      <c r="D60" s="411" t="s">
        <v>5</v>
      </c>
      <c r="E60" s="411">
        <v>459.82777399999998</v>
      </c>
      <c r="F60" s="414">
        <v>9.4155700000000007</v>
      </c>
      <c r="G60" s="414">
        <v>9.5558929999999993</v>
      </c>
      <c r="H60" s="414" t="s">
        <v>5</v>
      </c>
      <c r="I60" s="414">
        <v>9.9951530000000002</v>
      </c>
      <c r="J60" s="416">
        <f>8.144/9.41557</f>
        <v>0.86495028978596089</v>
      </c>
      <c r="K60" s="416">
        <f t="shared" ref="K60" si="2">8.479/9.555893</f>
        <v>0.88730587502392499</v>
      </c>
      <c r="L60" s="416" t="s">
        <v>5</v>
      </c>
      <c r="M60" s="416">
        <f>8.807/9.995153</f>
        <v>0.88112708229678927</v>
      </c>
      <c r="N60" s="422" t="s">
        <v>5</v>
      </c>
      <c r="O60" s="422" t="s">
        <v>5</v>
      </c>
      <c r="P60" s="483" t="s">
        <v>5</v>
      </c>
      <c r="Q60" s="483">
        <f t="shared" si="0"/>
        <v>52.211624162597928</v>
      </c>
    </row>
    <row r="61" spans="1:17" ht="15.75" x14ac:dyDescent="0.25">
      <c r="A61" s="610" t="s">
        <v>28</v>
      </c>
      <c r="B61" s="411"/>
      <c r="C61" s="411"/>
      <c r="D61" s="411">
        <v>427</v>
      </c>
      <c r="E61" s="411">
        <v>431</v>
      </c>
      <c r="F61" s="414">
        <v>7.9210000000000003</v>
      </c>
      <c r="G61" s="414">
        <v>8.1140000000000008</v>
      </c>
      <c r="H61" s="414">
        <v>8.2940000000000005</v>
      </c>
      <c r="I61" s="414">
        <v>8.5</v>
      </c>
      <c r="J61" s="416">
        <f>7858525/7921900</f>
        <v>0.99200002524646869</v>
      </c>
      <c r="K61" s="416">
        <f>8.05/8.114</f>
        <v>0.99211239832388465</v>
      </c>
      <c r="L61" s="416">
        <f>8.24/8.294</f>
        <v>0.9934892693513383</v>
      </c>
      <c r="M61" s="416">
        <f>8.44/8.5</f>
        <v>0.99294117647058822</v>
      </c>
      <c r="N61" s="422" t="s">
        <v>5</v>
      </c>
      <c r="O61" s="422" t="s">
        <v>5</v>
      </c>
      <c r="P61" s="483">
        <f t="shared" si="1"/>
        <v>51.820388349514559</v>
      </c>
      <c r="Q61" s="483">
        <f t="shared" si="0"/>
        <v>51.066350710900473</v>
      </c>
    </row>
    <row r="62" spans="1:17" ht="15.75" x14ac:dyDescent="0.25">
      <c r="A62" s="495" t="s">
        <v>706</v>
      </c>
      <c r="B62" s="411"/>
      <c r="C62" s="411"/>
      <c r="D62" s="411" t="s">
        <v>5</v>
      </c>
      <c r="E62" s="411"/>
      <c r="F62" s="414" t="s">
        <v>5</v>
      </c>
      <c r="G62" s="414" t="s">
        <v>5</v>
      </c>
      <c r="H62" s="414">
        <v>44.928922999999998</v>
      </c>
      <c r="I62" s="414"/>
      <c r="J62" s="416" t="s">
        <v>5</v>
      </c>
      <c r="K62" s="416" t="s">
        <v>5</v>
      </c>
      <c r="L62" s="416">
        <f>29.420923/44.928923</f>
        <v>0.65483258968838398</v>
      </c>
      <c r="M62" s="416"/>
      <c r="N62" s="422" t="s">
        <v>5</v>
      </c>
      <c r="O62" s="422" t="s">
        <v>5</v>
      </c>
      <c r="P62" s="483" t="s">
        <v>5</v>
      </c>
      <c r="Q62" s="493" t="e">
        <f t="shared" si="0"/>
        <v>#DIV/0!</v>
      </c>
    </row>
    <row r="63" spans="1:17" ht="15.75" x14ac:dyDescent="0.25">
      <c r="A63" s="495" t="s">
        <v>737</v>
      </c>
      <c r="B63" s="411"/>
      <c r="C63" s="411"/>
      <c r="D63" s="411">
        <v>563.77357099999995</v>
      </c>
      <c r="E63" s="411"/>
      <c r="F63" s="414" t="s">
        <v>5</v>
      </c>
      <c r="G63" s="414" t="s">
        <v>5</v>
      </c>
      <c r="H63" s="414">
        <v>65</v>
      </c>
      <c r="I63" s="414"/>
      <c r="J63" s="416" t="s">
        <v>5</v>
      </c>
      <c r="K63" s="416" t="s">
        <v>5</v>
      </c>
      <c r="L63" s="416">
        <f>54/65</f>
        <v>0.83076923076923082</v>
      </c>
      <c r="M63" s="416"/>
      <c r="N63" s="422" t="s">
        <v>5</v>
      </c>
      <c r="O63" s="422" t="s">
        <v>5</v>
      </c>
      <c r="P63" s="483">
        <f t="shared" si="1"/>
        <v>10.440251314814814</v>
      </c>
      <c r="Q63" s="493" t="e">
        <f t="shared" si="0"/>
        <v>#DIV/0!</v>
      </c>
    </row>
    <row r="64" spans="1:17" ht="15.75" x14ac:dyDescent="0.25">
      <c r="A64" s="495" t="s">
        <v>29</v>
      </c>
      <c r="B64" s="411"/>
      <c r="C64" s="411"/>
      <c r="D64" s="411"/>
      <c r="E64" s="411"/>
      <c r="F64" s="414"/>
      <c r="G64" s="414"/>
      <c r="H64" s="414"/>
      <c r="I64" s="414"/>
      <c r="J64" s="415"/>
      <c r="K64" s="420"/>
      <c r="L64" s="420"/>
      <c r="M64" s="420"/>
      <c r="N64" s="422" t="s">
        <v>5</v>
      </c>
      <c r="O64" s="422" t="s">
        <v>5</v>
      </c>
      <c r="P64" s="483" t="s">
        <v>5</v>
      </c>
      <c r="Q64" s="493" t="e">
        <f t="shared" si="0"/>
        <v>#DIV/0!</v>
      </c>
    </row>
    <row r="65" spans="1:17" ht="15.75" x14ac:dyDescent="0.25">
      <c r="A65" s="610" t="s">
        <v>927</v>
      </c>
      <c r="B65" s="411"/>
      <c r="C65" s="411"/>
      <c r="D65" s="411" t="s">
        <v>5</v>
      </c>
      <c r="E65" s="411" t="s">
        <v>5</v>
      </c>
      <c r="F65" s="414" t="s">
        <v>5</v>
      </c>
      <c r="G65" s="414" t="s">
        <v>5</v>
      </c>
      <c r="H65" s="414" t="s">
        <v>5</v>
      </c>
      <c r="I65" s="414">
        <v>79.813999999999993</v>
      </c>
      <c r="J65" s="415" t="s">
        <v>5</v>
      </c>
      <c r="K65" s="420" t="s">
        <v>5</v>
      </c>
      <c r="L65" s="420" t="s">
        <v>5</v>
      </c>
      <c r="M65" s="420">
        <f>73.588/79.814</f>
        <v>0.9219936352018443</v>
      </c>
      <c r="N65" s="422" t="s">
        <v>5</v>
      </c>
      <c r="O65" s="422" t="s">
        <v>5</v>
      </c>
      <c r="P65" s="483" t="s">
        <v>5</v>
      </c>
      <c r="Q65" s="493" t="s">
        <v>5</v>
      </c>
    </row>
    <row r="66" spans="1:17" ht="15.75" x14ac:dyDescent="0.25">
      <c r="A66" s="470" t="s">
        <v>505</v>
      </c>
      <c r="B66" s="411"/>
      <c r="C66" s="411"/>
      <c r="D66" s="411">
        <v>28.542174500000002</v>
      </c>
      <c r="E66" s="411">
        <v>48.146841999999999</v>
      </c>
      <c r="F66" s="414">
        <v>2.95</v>
      </c>
      <c r="G66" s="414" t="s">
        <v>5</v>
      </c>
      <c r="H66" s="414">
        <v>34.634999999999998</v>
      </c>
      <c r="I66" s="414">
        <v>38.823099999999997</v>
      </c>
      <c r="J66" s="416">
        <f>2.183/2.95</f>
        <v>0.73999999999999988</v>
      </c>
      <c r="K66" s="416" t="s">
        <v>5</v>
      </c>
      <c r="L66" s="416">
        <f>7/34.635</f>
        <v>0.20210769452865598</v>
      </c>
      <c r="M66" s="416">
        <f>9.119032/38.8231</f>
        <v>0.23488675556562977</v>
      </c>
      <c r="N66" s="422" t="s">
        <v>5</v>
      </c>
      <c r="O66" s="422" t="s">
        <v>5</v>
      </c>
      <c r="P66" s="483">
        <f t="shared" si="1"/>
        <v>4.0774535000000007</v>
      </c>
      <c r="Q66" s="483">
        <f t="shared" si="0"/>
        <v>5.2798193931110236</v>
      </c>
    </row>
    <row r="67" spans="1:17" ht="15.75" x14ac:dyDescent="0.25">
      <c r="A67" s="495" t="s">
        <v>51</v>
      </c>
      <c r="B67" s="411"/>
      <c r="C67" s="411"/>
      <c r="D67" s="411"/>
      <c r="E67" s="411"/>
      <c r="F67" s="414"/>
      <c r="G67" s="414"/>
      <c r="H67" s="414"/>
      <c r="I67" s="414"/>
      <c r="J67" s="415"/>
      <c r="K67" s="420"/>
      <c r="L67" s="420"/>
      <c r="M67" s="420"/>
      <c r="N67" s="422" t="s">
        <v>5</v>
      </c>
      <c r="O67" s="422" t="s">
        <v>5</v>
      </c>
      <c r="P67" s="483" t="s">
        <v>5</v>
      </c>
      <c r="Q67" s="493" t="e">
        <f t="shared" si="0"/>
        <v>#DIV/0!</v>
      </c>
    </row>
    <row r="68" spans="1:17" ht="15.75" x14ac:dyDescent="0.25">
      <c r="A68" s="610" t="s">
        <v>31</v>
      </c>
      <c r="B68" s="411"/>
      <c r="C68" s="411"/>
      <c r="D68" s="411">
        <v>21467.864625999999</v>
      </c>
      <c r="E68" s="411">
        <v>20614.453554</v>
      </c>
      <c r="F68" s="414">
        <v>310</v>
      </c>
      <c r="G68" s="414">
        <v>313.89999999999998</v>
      </c>
      <c r="H68" s="414">
        <v>322.92432300000002</v>
      </c>
      <c r="I68" s="414">
        <v>325.7</v>
      </c>
      <c r="J68" s="415" t="s">
        <v>5</v>
      </c>
      <c r="K68" s="420" t="s">
        <v>5</v>
      </c>
      <c r="L68" s="420" t="s">
        <v>5</v>
      </c>
      <c r="M68" s="420" t="s">
        <v>5</v>
      </c>
      <c r="N68" s="422" t="s">
        <v>5</v>
      </c>
      <c r="O68" s="422" t="s">
        <v>5</v>
      </c>
      <c r="P68" s="483" t="s">
        <v>5</v>
      </c>
      <c r="Q68" s="493" t="s">
        <v>5</v>
      </c>
    </row>
    <row r="69" spans="1:17" ht="15.75" x14ac:dyDescent="0.25">
      <c r="A69" s="495" t="s">
        <v>718</v>
      </c>
      <c r="B69" s="411"/>
      <c r="C69" s="411"/>
      <c r="D69" s="411">
        <v>111.18</v>
      </c>
      <c r="E69" s="411"/>
      <c r="F69" s="414" t="s">
        <v>5</v>
      </c>
      <c r="G69" s="414" t="s">
        <v>5</v>
      </c>
      <c r="H69" s="414">
        <v>15.72</v>
      </c>
      <c r="I69" s="414"/>
      <c r="J69" s="415" t="s">
        <v>5</v>
      </c>
      <c r="K69" s="420" t="s">
        <v>5</v>
      </c>
      <c r="L69" s="420">
        <f>5.080113/15.72</f>
        <v>0.32316240458015266</v>
      </c>
      <c r="M69" s="420"/>
      <c r="N69" s="422" t="s">
        <v>5</v>
      </c>
      <c r="O69" s="422" t="s">
        <v>5</v>
      </c>
      <c r="P69" s="483">
        <f t="shared" si="1"/>
        <v>21.885339952083743</v>
      </c>
      <c r="Q69" s="493" t="e">
        <f t="shared" si="0"/>
        <v>#DIV/0!</v>
      </c>
    </row>
    <row r="73" spans="1:17" ht="57.6" customHeight="1" thickBot="1" x14ac:dyDescent="0.3">
      <c r="A73" s="419" t="s">
        <v>3</v>
      </c>
      <c r="B73" s="921" t="s">
        <v>1188</v>
      </c>
      <c r="C73" s="921" t="s">
        <v>1189</v>
      </c>
    </row>
    <row r="74" spans="1:17" ht="15.75" x14ac:dyDescent="0.25">
      <c r="A74" s="744" t="s">
        <v>33</v>
      </c>
      <c r="B74" s="483" t="s">
        <v>5</v>
      </c>
      <c r="C74" s="483">
        <v>109.80160631321202</v>
      </c>
    </row>
    <row r="75" spans="1:17" ht="15.75" x14ac:dyDescent="0.25">
      <c r="A75" s="539" t="s">
        <v>524</v>
      </c>
      <c r="B75" s="483" t="s">
        <v>5</v>
      </c>
      <c r="C75" s="483">
        <v>30.291666666666671</v>
      </c>
    </row>
    <row r="76" spans="1:17" ht="15.75" x14ac:dyDescent="0.25">
      <c r="A76" s="539" t="s">
        <v>34</v>
      </c>
      <c r="B76" s="483">
        <v>73.047706590679297</v>
      </c>
      <c r="C76" s="483">
        <v>71.97986520283159</v>
      </c>
    </row>
    <row r="77" spans="1:17" ht="15.75" x14ac:dyDescent="0.25">
      <c r="A77" s="610" t="s">
        <v>4</v>
      </c>
      <c r="B77" s="483" t="s">
        <v>5</v>
      </c>
      <c r="C77" s="483">
        <v>47.869300534227854</v>
      </c>
    </row>
    <row r="78" spans="1:17" ht="15.75" x14ac:dyDescent="0.25">
      <c r="A78" s="610" t="s">
        <v>6</v>
      </c>
      <c r="B78" s="483">
        <v>31.666636901030003</v>
      </c>
      <c r="C78" s="483">
        <v>32.158336343514833</v>
      </c>
    </row>
    <row r="79" spans="1:17" ht="15.75" x14ac:dyDescent="0.25">
      <c r="A79" s="495" t="s">
        <v>489</v>
      </c>
      <c r="B79" s="483">
        <v>51.030468358749886</v>
      </c>
      <c r="C79" s="493" t="s">
        <v>5</v>
      </c>
    </row>
    <row r="80" spans="1:17" ht="15.75" x14ac:dyDescent="0.25">
      <c r="A80" s="610" t="s">
        <v>8</v>
      </c>
      <c r="B80" s="483">
        <v>45.451152656776557</v>
      </c>
      <c r="C80" s="493" t="s">
        <v>5</v>
      </c>
    </row>
    <row r="81" spans="1:3" ht="15.75" x14ac:dyDescent="0.25">
      <c r="A81" s="539" t="s">
        <v>9</v>
      </c>
      <c r="B81" s="483">
        <v>84.86310657588372</v>
      </c>
      <c r="C81" s="483">
        <v>101.65357983382859</v>
      </c>
    </row>
    <row r="82" spans="1:3" ht="15.75" x14ac:dyDescent="0.25">
      <c r="A82" s="539" t="s">
        <v>10</v>
      </c>
      <c r="B82" s="483">
        <v>83.928571428571431</v>
      </c>
      <c r="C82" s="483">
        <v>89.285714285714292</v>
      </c>
    </row>
    <row r="83" spans="1:3" ht="15.75" x14ac:dyDescent="0.25">
      <c r="A83" s="539" t="s">
        <v>910</v>
      </c>
      <c r="B83" s="483" t="s">
        <v>5</v>
      </c>
      <c r="C83" s="483">
        <v>32.320497392699565</v>
      </c>
    </row>
    <row r="84" spans="1:3" ht="15.75" x14ac:dyDescent="0.25">
      <c r="A84" s="539" t="s">
        <v>11</v>
      </c>
      <c r="B84" s="483">
        <v>46.627667752249685</v>
      </c>
      <c r="C84" s="483">
        <v>39.404294232772969</v>
      </c>
    </row>
    <row r="85" spans="1:3" ht="15.75" x14ac:dyDescent="0.25">
      <c r="A85" s="470" t="s">
        <v>456</v>
      </c>
      <c r="B85" s="483">
        <v>54.542705766039859</v>
      </c>
      <c r="C85" s="483">
        <v>54.285852286833304</v>
      </c>
    </row>
    <row r="86" spans="1:3" ht="15.75" x14ac:dyDescent="0.25">
      <c r="A86" s="539" t="s">
        <v>13</v>
      </c>
      <c r="B86" s="483">
        <v>58.108725445408865</v>
      </c>
      <c r="C86" s="483">
        <v>58.527800705335032</v>
      </c>
    </row>
    <row r="87" spans="1:3" ht="15.75" x14ac:dyDescent="0.25">
      <c r="A87" s="539" t="s">
        <v>14</v>
      </c>
      <c r="B87" s="483">
        <v>40.039667782323043</v>
      </c>
      <c r="C87" s="483">
        <v>40.548780487804876</v>
      </c>
    </row>
    <row r="88" spans="1:3" ht="15.75" x14ac:dyDescent="0.25">
      <c r="A88" s="539" t="s">
        <v>45</v>
      </c>
      <c r="B88" s="483">
        <v>30.477845173229159</v>
      </c>
      <c r="C88" s="483">
        <v>32.967878188231644</v>
      </c>
    </row>
    <row r="89" spans="1:3" ht="15.75" x14ac:dyDescent="0.25">
      <c r="A89" s="539" t="s">
        <v>18</v>
      </c>
      <c r="B89" s="483">
        <v>81.576488143510147</v>
      </c>
      <c r="C89" s="483">
        <v>83.222589590216486</v>
      </c>
    </row>
    <row r="90" spans="1:3" ht="15.75" x14ac:dyDescent="0.25">
      <c r="A90" s="494" t="s">
        <v>742</v>
      </c>
      <c r="B90" s="483">
        <v>12.142980658063157</v>
      </c>
      <c r="C90" s="493" t="s">
        <v>5</v>
      </c>
    </row>
    <row r="91" spans="1:3" ht="15.75" x14ac:dyDescent="0.25">
      <c r="A91" s="539" t="s">
        <v>586</v>
      </c>
      <c r="B91" s="483">
        <v>55.027723986167871</v>
      </c>
      <c r="C91" s="483">
        <v>56.661205805156705</v>
      </c>
    </row>
    <row r="92" spans="1:3" ht="15.75" x14ac:dyDescent="0.25">
      <c r="A92" s="495" t="s">
        <v>37</v>
      </c>
      <c r="B92" s="483">
        <v>61.019736842105267</v>
      </c>
      <c r="C92" s="493" t="s">
        <v>5</v>
      </c>
    </row>
    <row r="93" spans="1:3" ht="15.75" x14ac:dyDescent="0.25">
      <c r="A93" s="610" t="s">
        <v>38</v>
      </c>
      <c r="B93" s="483">
        <v>0.10888551779559442</v>
      </c>
      <c r="C93" s="483">
        <v>0.1057852217045066</v>
      </c>
    </row>
    <row r="94" spans="1:3" ht="15.75" x14ac:dyDescent="0.25">
      <c r="A94" s="610" t="s">
        <v>20</v>
      </c>
      <c r="B94" s="483">
        <v>46.078241442452573</v>
      </c>
      <c r="C94" s="483">
        <v>47.126989439514915</v>
      </c>
    </row>
    <row r="95" spans="1:3" ht="15.75" x14ac:dyDescent="0.25">
      <c r="A95" s="610" t="s">
        <v>21</v>
      </c>
      <c r="B95" s="483">
        <v>73.050155987520981</v>
      </c>
      <c r="C95" s="483">
        <v>66.645784705549232</v>
      </c>
    </row>
    <row r="96" spans="1:3" ht="15.75" x14ac:dyDescent="0.25">
      <c r="A96" s="610" t="s">
        <v>22</v>
      </c>
      <c r="B96" s="483">
        <v>43.60729109515173</v>
      </c>
      <c r="C96" s="493" t="s">
        <v>5</v>
      </c>
    </row>
    <row r="97" spans="1:3" ht="15.75" x14ac:dyDescent="0.25">
      <c r="A97" s="610" t="s">
        <v>23</v>
      </c>
      <c r="B97" s="483" t="s">
        <v>5</v>
      </c>
      <c r="C97" s="483">
        <v>38.163293775659895</v>
      </c>
    </row>
    <row r="98" spans="1:3" ht="15.75" x14ac:dyDescent="0.25">
      <c r="A98" s="610" t="s">
        <v>40</v>
      </c>
      <c r="B98" s="483">
        <v>33.352690091914759</v>
      </c>
      <c r="C98" s="483">
        <v>27.772504862677977</v>
      </c>
    </row>
    <row r="99" spans="1:3" ht="15.75" x14ac:dyDescent="0.25">
      <c r="A99" s="610" t="s">
        <v>693</v>
      </c>
      <c r="B99" s="483">
        <v>53.076823834196894</v>
      </c>
      <c r="C99" s="483">
        <v>49.13646824074074</v>
      </c>
    </row>
    <row r="100" spans="1:3" ht="15.75" x14ac:dyDescent="0.25">
      <c r="A100" s="610" t="s">
        <v>47</v>
      </c>
      <c r="B100" s="483">
        <v>61.58667838257314</v>
      </c>
      <c r="C100" s="483">
        <v>54.188461538461532</v>
      </c>
    </row>
    <row r="101" spans="1:3" ht="15.75" x14ac:dyDescent="0.25">
      <c r="A101" s="610" t="s">
        <v>25</v>
      </c>
      <c r="B101" s="483">
        <v>65.315642684319243</v>
      </c>
      <c r="C101" s="483">
        <v>65.305659288298642</v>
      </c>
    </row>
    <row r="102" spans="1:3" ht="15.75" x14ac:dyDescent="0.25">
      <c r="A102" s="610" t="s">
        <v>26</v>
      </c>
      <c r="B102" s="483">
        <v>51.503596516278542</v>
      </c>
      <c r="C102" s="483">
        <v>49.530674307936621</v>
      </c>
    </row>
    <row r="103" spans="1:3" ht="15.75" x14ac:dyDescent="0.25">
      <c r="A103" s="610" t="s">
        <v>48</v>
      </c>
      <c r="B103" s="483" t="s">
        <v>5</v>
      </c>
      <c r="C103" s="483">
        <v>52.211624162597928</v>
      </c>
    </row>
    <row r="104" spans="1:3" ht="15.75" x14ac:dyDescent="0.25">
      <c r="A104" s="610" t="s">
        <v>28</v>
      </c>
      <c r="B104" s="483">
        <v>51.820388349514559</v>
      </c>
      <c r="C104" s="483">
        <v>51.066350710900473</v>
      </c>
    </row>
    <row r="105" spans="1:3" ht="15.75" x14ac:dyDescent="0.25">
      <c r="A105" s="495" t="s">
        <v>737</v>
      </c>
      <c r="B105" s="483">
        <v>10.440251314814814</v>
      </c>
      <c r="C105" s="493" t="s">
        <v>5</v>
      </c>
    </row>
    <row r="106" spans="1:3" ht="15.75" x14ac:dyDescent="0.25">
      <c r="A106" s="470" t="s">
        <v>505</v>
      </c>
      <c r="B106" s="483">
        <v>4.0774535000000007</v>
      </c>
      <c r="C106" s="483">
        <v>5.2798193931110236</v>
      </c>
    </row>
    <row r="107" spans="1:3" ht="15.75" x14ac:dyDescent="0.25">
      <c r="A107" s="495" t="s">
        <v>718</v>
      </c>
      <c r="B107" s="483">
        <v>21.885339952083743</v>
      </c>
      <c r="C107" s="493" t="s">
        <v>5</v>
      </c>
    </row>
    <row r="110" spans="1:3" ht="48" thickBot="1" x14ac:dyDescent="0.3">
      <c r="A110" s="419" t="s">
        <v>3</v>
      </c>
      <c r="B110" s="921" t="s">
        <v>1189</v>
      </c>
    </row>
    <row r="111" spans="1:3" ht="15.75" x14ac:dyDescent="0.25">
      <c r="A111" s="1132" t="s">
        <v>38</v>
      </c>
      <c r="B111" s="483">
        <v>0.1057852217045066</v>
      </c>
    </row>
    <row r="112" spans="1:3" ht="15.75" x14ac:dyDescent="0.25">
      <c r="A112" s="470" t="s">
        <v>505</v>
      </c>
      <c r="B112" s="483">
        <v>5.2798193931110236</v>
      </c>
    </row>
    <row r="113" spans="1:2" ht="15.75" x14ac:dyDescent="0.25">
      <c r="A113" s="610" t="s">
        <v>40</v>
      </c>
      <c r="B113" s="483">
        <v>27.772504862677977</v>
      </c>
    </row>
    <row r="114" spans="1:2" ht="15.75" x14ac:dyDescent="0.25">
      <c r="A114" s="539" t="s">
        <v>524</v>
      </c>
      <c r="B114" s="483">
        <v>30.291666666666671</v>
      </c>
    </row>
    <row r="115" spans="1:2" ht="15.75" x14ac:dyDescent="0.25">
      <c r="A115" s="610" t="s">
        <v>6</v>
      </c>
      <c r="B115" s="483">
        <v>32.158336343514833</v>
      </c>
    </row>
    <row r="116" spans="1:2" ht="15.75" x14ac:dyDescent="0.25">
      <c r="A116" s="539" t="s">
        <v>910</v>
      </c>
      <c r="B116" s="483">
        <v>32.320497392699565</v>
      </c>
    </row>
    <row r="117" spans="1:2" ht="15.75" x14ac:dyDescent="0.25">
      <c r="A117" s="539" t="s">
        <v>45</v>
      </c>
      <c r="B117" s="483">
        <v>32.967878188231644</v>
      </c>
    </row>
    <row r="118" spans="1:2" ht="15.75" x14ac:dyDescent="0.25">
      <c r="A118" s="610" t="s">
        <v>23</v>
      </c>
      <c r="B118" s="483">
        <v>38.163293775659895</v>
      </c>
    </row>
    <row r="119" spans="1:2" ht="15.75" x14ac:dyDescent="0.25">
      <c r="A119" s="539" t="s">
        <v>11</v>
      </c>
      <c r="B119" s="483">
        <v>39.404294232772969</v>
      </c>
    </row>
    <row r="120" spans="1:2" ht="15.75" x14ac:dyDescent="0.25">
      <c r="A120" s="539" t="s">
        <v>14</v>
      </c>
      <c r="B120" s="483">
        <v>40.548780487804876</v>
      </c>
    </row>
    <row r="121" spans="1:2" ht="15.75" x14ac:dyDescent="0.25">
      <c r="A121" s="610" t="s">
        <v>20</v>
      </c>
      <c r="B121" s="483">
        <v>47.126989439514915</v>
      </c>
    </row>
    <row r="122" spans="1:2" ht="15.75" x14ac:dyDescent="0.25">
      <c r="A122" s="610" t="s">
        <v>4</v>
      </c>
      <c r="B122" s="483">
        <v>47.869300534227854</v>
      </c>
    </row>
    <row r="123" spans="1:2" ht="15.75" x14ac:dyDescent="0.25">
      <c r="A123" s="610" t="s">
        <v>693</v>
      </c>
      <c r="B123" s="483">
        <v>49.13646824074074</v>
      </c>
    </row>
    <row r="124" spans="1:2" ht="15.75" x14ac:dyDescent="0.25">
      <c r="A124" s="610" t="s">
        <v>26</v>
      </c>
      <c r="B124" s="483">
        <v>49.530674307936621</v>
      </c>
    </row>
    <row r="125" spans="1:2" ht="15.75" x14ac:dyDescent="0.25">
      <c r="A125" s="610" t="s">
        <v>28</v>
      </c>
      <c r="B125" s="483">
        <v>51.066350710900473</v>
      </c>
    </row>
    <row r="126" spans="1:2" ht="15.75" x14ac:dyDescent="0.25">
      <c r="A126" s="610" t="s">
        <v>48</v>
      </c>
      <c r="B126" s="483">
        <v>52.211624162597928</v>
      </c>
    </row>
    <row r="127" spans="1:2" ht="15.75" x14ac:dyDescent="0.25">
      <c r="A127" s="610" t="s">
        <v>47</v>
      </c>
      <c r="B127" s="483">
        <v>54.188461538461532</v>
      </c>
    </row>
    <row r="128" spans="1:2" ht="15.75" x14ac:dyDescent="0.25">
      <c r="A128" s="470" t="s">
        <v>456</v>
      </c>
      <c r="B128" s="483">
        <v>54.285852286833304</v>
      </c>
    </row>
    <row r="129" spans="1:2" ht="15.75" x14ac:dyDescent="0.25">
      <c r="A129" s="539" t="s">
        <v>586</v>
      </c>
      <c r="B129" s="483">
        <v>56.661205805156705</v>
      </c>
    </row>
    <row r="130" spans="1:2" ht="15.75" x14ac:dyDescent="0.25">
      <c r="A130" s="539" t="s">
        <v>13</v>
      </c>
      <c r="B130" s="483">
        <v>58.527800705335032</v>
      </c>
    </row>
    <row r="131" spans="1:2" ht="15.75" x14ac:dyDescent="0.25">
      <c r="A131" s="610" t="s">
        <v>25</v>
      </c>
      <c r="B131" s="483">
        <v>65.305659288298642</v>
      </c>
    </row>
    <row r="132" spans="1:2" ht="15.75" x14ac:dyDescent="0.25">
      <c r="A132" s="610" t="s">
        <v>21</v>
      </c>
      <c r="B132" s="483">
        <v>66.645784705549232</v>
      </c>
    </row>
    <row r="133" spans="1:2" ht="15.75" x14ac:dyDescent="0.25">
      <c r="A133" s="539" t="s">
        <v>34</v>
      </c>
      <c r="B133" s="483">
        <v>71.97986520283159</v>
      </c>
    </row>
    <row r="134" spans="1:2" ht="15.75" x14ac:dyDescent="0.25">
      <c r="A134" s="539" t="s">
        <v>18</v>
      </c>
      <c r="B134" s="483">
        <v>83.222589590216486</v>
      </c>
    </row>
    <row r="135" spans="1:2" ht="15.75" x14ac:dyDescent="0.25">
      <c r="A135" s="539" t="s">
        <v>10</v>
      </c>
      <c r="B135" s="483">
        <v>89.285714285714292</v>
      </c>
    </row>
    <row r="136" spans="1:2" ht="15.75" x14ac:dyDescent="0.25">
      <c r="A136" s="539" t="s">
        <v>9</v>
      </c>
      <c r="B136" s="483">
        <v>101.65357983382859</v>
      </c>
    </row>
    <row r="137" spans="1:2" ht="15.75" x14ac:dyDescent="0.25">
      <c r="A137" s="539" t="s">
        <v>33</v>
      </c>
      <c r="B137" s="483">
        <v>109.80160631321202</v>
      </c>
    </row>
    <row r="138" spans="1:2" ht="15.75" x14ac:dyDescent="0.25">
      <c r="A138" s="495" t="s">
        <v>489</v>
      </c>
      <c r="B138" s="493" t="s">
        <v>5</v>
      </c>
    </row>
    <row r="139" spans="1:2" ht="15.75" x14ac:dyDescent="0.25">
      <c r="A139" s="610" t="s">
        <v>8</v>
      </c>
      <c r="B139" s="493" t="s">
        <v>5</v>
      </c>
    </row>
    <row r="140" spans="1:2" ht="15.75" x14ac:dyDescent="0.25">
      <c r="A140" s="494" t="s">
        <v>742</v>
      </c>
      <c r="B140" s="493" t="s">
        <v>5</v>
      </c>
    </row>
    <row r="141" spans="1:2" ht="15.75" x14ac:dyDescent="0.25">
      <c r="A141" s="495" t="s">
        <v>37</v>
      </c>
      <c r="B141" s="493" t="s">
        <v>5</v>
      </c>
    </row>
    <row r="142" spans="1:2" ht="15.75" x14ac:dyDescent="0.25">
      <c r="A142" s="610" t="s">
        <v>22</v>
      </c>
      <c r="B142" s="493" t="s">
        <v>5</v>
      </c>
    </row>
    <row r="143" spans="1:2" ht="15.75" x14ac:dyDescent="0.25">
      <c r="A143" s="495" t="s">
        <v>737</v>
      </c>
      <c r="B143" s="493" t="s">
        <v>5</v>
      </c>
    </row>
    <row r="144" spans="1:2" ht="15.75" x14ac:dyDescent="0.25">
      <c r="A144" s="495" t="s">
        <v>718</v>
      </c>
      <c r="B144" s="493" t="s">
        <v>5</v>
      </c>
    </row>
  </sheetData>
  <sortState ref="A111:B144">
    <sortCondition ref="B111:B144"/>
  </sortState>
  <mergeCells count="4">
    <mergeCell ref="B4:E4"/>
    <mergeCell ref="F4:I4"/>
    <mergeCell ref="J4:M4"/>
    <mergeCell ref="N4:Q4"/>
  </mergeCells>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AP744"/>
  <sheetViews>
    <sheetView topLeftCell="A493" zoomScale="90" zoomScaleNormal="90" workbookViewId="0">
      <selection activeCell="A526" sqref="A526:XFD526"/>
    </sheetView>
  </sheetViews>
  <sheetFormatPr defaultRowHeight="15.75" customHeight="1" x14ac:dyDescent="0.25"/>
  <cols>
    <col min="1" max="1" width="35.5703125" style="462" customWidth="1"/>
    <col min="2" max="2" width="10.28515625" style="462" customWidth="1"/>
    <col min="3" max="3" width="11.5703125" style="462" customWidth="1"/>
    <col min="4" max="4" width="16.7109375" style="462" customWidth="1"/>
    <col min="5" max="5" width="22.7109375" style="462" customWidth="1"/>
    <col min="6" max="6" width="23" style="462" customWidth="1"/>
    <col min="7" max="7" width="16.28515625" style="462" customWidth="1"/>
    <col min="8" max="8" width="19.140625" style="462" bestFit="1" customWidth="1"/>
    <col min="9" max="10" width="22.28515625" style="462" customWidth="1"/>
    <col min="11" max="11" width="19.7109375" style="462" customWidth="1"/>
    <col min="12" max="12" width="17.7109375" style="462" customWidth="1"/>
    <col min="13" max="13" width="17.140625" style="2515" customWidth="1"/>
    <col min="14" max="14" width="17.5703125" style="462" customWidth="1"/>
    <col min="15" max="15" width="15.7109375" style="462" customWidth="1"/>
    <col min="16" max="17" width="19.85546875" style="462" customWidth="1"/>
    <col min="18" max="18" width="19.7109375" style="462" customWidth="1"/>
    <col min="19" max="19" width="25.140625" style="462" customWidth="1"/>
    <col min="20" max="20" width="11.28515625" style="462" bestFit="1" customWidth="1"/>
    <col min="21" max="21" width="20.140625" style="462" bestFit="1" customWidth="1"/>
    <col min="22" max="22" width="16.42578125" style="462" customWidth="1"/>
    <col min="23" max="23" width="22" style="462" bestFit="1" customWidth="1"/>
    <col min="24" max="24" width="22" style="462" customWidth="1"/>
    <col min="25" max="25" width="23.28515625" style="462" bestFit="1" customWidth="1"/>
    <col min="26" max="26" width="14.140625" style="462" customWidth="1"/>
    <col min="27" max="27" width="18.140625" style="462" bestFit="1" customWidth="1"/>
    <col min="28" max="29" width="19.85546875" style="462" customWidth="1"/>
    <col min="30" max="31" width="14.42578125" style="462" customWidth="1"/>
    <col min="32" max="32" width="15.28515625" style="462" customWidth="1"/>
    <col min="33" max="33" width="25.42578125" style="462" customWidth="1"/>
    <col min="34" max="34" width="3.7109375" style="462" customWidth="1"/>
    <col min="35" max="35" width="13.5703125" style="462" customWidth="1"/>
    <col min="36" max="36" width="9.140625" style="462"/>
    <col min="37" max="37" width="11.140625" style="462" customWidth="1"/>
    <col min="38" max="38" width="10.7109375" style="462" customWidth="1"/>
    <col min="39" max="41" width="9.140625" style="462"/>
    <col min="42" max="43" width="75.28515625" style="462" customWidth="1"/>
    <col min="44" max="16384" width="9.140625" style="462"/>
  </cols>
  <sheetData>
    <row r="1" spans="1:42" ht="15.75" customHeight="1" x14ac:dyDescent="0.3">
      <c r="A1" s="2512" t="s">
        <v>1209</v>
      </c>
      <c r="B1" s="2513"/>
      <c r="C1" s="2514"/>
      <c r="D1" s="2514"/>
    </row>
    <row r="2" spans="1:42" ht="15.75" customHeight="1" thickBot="1" x14ac:dyDescent="0.3">
      <c r="A2" s="2516" t="s">
        <v>1191</v>
      </c>
      <c r="B2" s="2517"/>
      <c r="C2" s="2518"/>
      <c r="D2" s="2518"/>
      <c r="E2" s="2518"/>
    </row>
    <row r="3" spans="1:42" ht="15.75" customHeight="1" x14ac:dyDescent="0.3">
      <c r="AI3" s="2519" t="s">
        <v>826</v>
      </c>
      <c r="AJ3" s="2519"/>
      <c r="AK3" s="2519"/>
      <c r="AL3" s="2519"/>
      <c r="AM3" s="2519"/>
      <c r="AN3" s="2519"/>
      <c r="AO3" s="2520"/>
      <c r="AP3" s="2520"/>
    </row>
    <row r="4" spans="1:42" ht="15.75" customHeight="1" x14ac:dyDescent="0.35">
      <c r="U4" s="2521" t="s">
        <v>679</v>
      </c>
      <c r="V4" s="2521"/>
      <c r="W4" s="2521"/>
      <c r="X4" s="2521"/>
      <c r="Y4" s="2521"/>
      <c r="Z4" s="2521"/>
      <c r="AA4" s="2521"/>
      <c r="AB4" s="2521"/>
      <c r="AC4" s="2521"/>
      <c r="AD4" s="2521"/>
      <c r="AE4" s="2521"/>
      <c r="AF4" s="2521"/>
      <c r="AG4" s="2521"/>
      <c r="AI4" s="2522" t="s">
        <v>248</v>
      </c>
      <c r="AJ4" s="2522"/>
      <c r="AK4" s="2522"/>
      <c r="AL4" s="2522"/>
      <c r="AM4" s="2522"/>
      <c r="AN4" s="2522"/>
      <c r="AO4" s="2522"/>
    </row>
    <row r="5" spans="1:42" ht="15.75" customHeight="1" x14ac:dyDescent="0.3">
      <c r="E5" s="2523" t="s">
        <v>215</v>
      </c>
      <c r="F5" s="2524" t="s">
        <v>827</v>
      </c>
      <c r="G5" s="2525" t="s">
        <v>196</v>
      </c>
      <c r="H5" s="2526" t="s">
        <v>197</v>
      </c>
      <c r="I5" s="2527" t="s">
        <v>198</v>
      </c>
      <c r="J5" s="2528" t="s">
        <v>833</v>
      </c>
      <c r="K5" s="2529" t="s">
        <v>200</v>
      </c>
      <c r="L5" s="2530" t="s">
        <v>834</v>
      </c>
      <c r="M5" s="2531" t="s">
        <v>835</v>
      </c>
      <c r="N5" s="2532" t="s">
        <v>201</v>
      </c>
      <c r="O5" s="2528" t="s">
        <v>836</v>
      </c>
      <c r="P5" s="2533" t="s">
        <v>199</v>
      </c>
      <c r="Q5" s="2528" t="s">
        <v>840</v>
      </c>
      <c r="R5" s="2534" t="s">
        <v>841</v>
      </c>
      <c r="S5" s="2535" t="s">
        <v>202</v>
      </c>
      <c r="U5" s="2536" t="s">
        <v>240</v>
      </c>
      <c r="V5" s="2537" t="s">
        <v>241</v>
      </c>
      <c r="W5" s="2538" t="s">
        <v>242</v>
      </c>
      <c r="X5" s="2539" t="s">
        <v>843</v>
      </c>
      <c r="Y5" s="2540" t="s">
        <v>243</v>
      </c>
      <c r="Z5" s="2541" t="s">
        <v>244</v>
      </c>
      <c r="AA5" s="2539" t="s">
        <v>845</v>
      </c>
      <c r="AB5" s="2542" t="s">
        <v>245</v>
      </c>
      <c r="AC5" s="2539" t="s">
        <v>847</v>
      </c>
      <c r="AD5" s="2543" t="s">
        <v>246</v>
      </c>
      <c r="AE5" s="2539" t="s">
        <v>850</v>
      </c>
      <c r="AF5" s="2544" t="s">
        <v>852</v>
      </c>
      <c r="AG5" s="2545" t="s">
        <v>247</v>
      </c>
      <c r="AI5" s="2546" t="s">
        <v>249</v>
      </c>
      <c r="AJ5" s="2546" t="s">
        <v>250</v>
      </c>
      <c r="AK5" s="2546" t="s">
        <v>251</v>
      </c>
      <c r="AL5" s="2546" t="s">
        <v>252</v>
      </c>
      <c r="AM5" s="2546" t="s">
        <v>438</v>
      </c>
      <c r="AN5" s="2546" t="s">
        <v>253</v>
      </c>
      <c r="AO5" s="2546" t="s">
        <v>254</v>
      </c>
    </row>
    <row r="6" spans="1:42" ht="15.75" customHeight="1" thickBot="1" x14ac:dyDescent="0.3">
      <c r="A6" s="2547" t="s">
        <v>3</v>
      </c>
      <c r="B6" s="2548" t="s">
        <v>58</v>
      </c>
      <c r="C6" s="2549" t="s">
        <v>1190</v>
      </c>
      <c r="D6" s="2549" t="s">
        <v>1022</v>
      </c>
      <c r="E6" s="2550" t="s">
        <v>809</v>
      </c>
      <c r="F6" s="2551" t="s">
        <v>810</v>
      </c>
      <c r="G6" s="2552" t="s">
        <v>811</v>
      </c>
      <c r="H6" s="65" t="s">
        <v>812</v>
      </c>
      <c r="I6" s="2553" t="s">
        <v>813</v>
      </c>
      <c r="J6" s="2554" t="s">
        <v>832</v>
      </c>
      <c r="K6" s="2555" t="s">
        <v>814</v>
      </c>
      <c r="L6" s="2556" t="s">
        <v>815</v>
      </c>
      <c r="M6" s="2557" t="s">
        <v>838</v>
      </c>
      <c r="N6" s="2558" t="s">
        <v>816</v>
      </c>
      <c r="O6" s="2554" t="s">
        <v>837</v>
      </c>
      <c r="P6" s="2559" t="s">
        <v>817</v>
      </c>
      <c r="Q6" s="2554" t="s">
        <v>839</v>
      </c>
      <c r="R6" s="2560" t="s">
        <v>842</v>
      </c>
      <c r="S6" s="2561" t="s">
        <v>818</v>
      </c>
      <c r="U6" s="2562" t="s">
        <v>819</v>
      </c>
      <c r="V6" s="2563" t="s">
        <v>820</v>
      </c>
      <c r="W6" s="2564" t="s">
        <v>821</v>
      </c>
      <c r="X6" s="2565" t="s">
        <v>844</v>
      </c>
      <c r="Y6" s="2566" t="s">
        <v>822</v>
      </c>
      <c r="Z6" s="2567" t="s">
        <v>823</v>
      </c>
      <c r="AA6" s="2565" t="s">
        <v>846</v>
      </c>
      <c r="AB6" s="2568" t="s">
        <v>849</v>
      </c>
      <c r="AC6" s="2565" t="s">
        <v>848</v>
      </c>
      <c r="AD6" s="2569" t="s">
        <v>824</v>
      </c>
      <c r="AE6" s="2565" t="s">
        <v>851</v>
      </c>
      <c r="AF6" s="2570" t="s">
        <v>853</v>
      </c>
      <c r="AG6" s="2571" t="s">
        <v>825</v>
      </c>
      <c r="AI6" s="2572"/>
      <c r="AJ6" s="2572"/>
      <c r="AK6" s="2572"/>
      <c r="AL6" s="2572"/>
      <c r="AM6" s="2572"/>
      <c r="AN6" s="2572"/>
      <c r="AO6" s="2572"/>
    </row>
    <row r="7" spans="1:42" ht="15.75" customHeight="1" x14ac:dyDescent="0.25">
      <c r="A7" s="2573" t="s">
        <v>33</v>
      </c>
      <c r="B7" s="2574" t="s">
        <v>217</v>
      </c>
      <c r="C7" s="2575" t="s">
        <v>429</v>
      </c>
      <c r="D7" s="2575" t="s">
        <v>1024</v>
      </c>
      <c r="E7" s="2576">
        <v>20700</v>
      </c>
      <c r="F7" s="2577">
        <f>'exchange rates'!$O$3</f>
        <v>18.600290000000001</v>
      </c>
      <c r="G7" s="2578" t="s">
        <v>5</v>
      </c>
      <c r="H7" s="2579" t="s">
        <v>5</v>
      </c>
      <c r="I7" s="2580" t="s">
        <v>5</v>
      </c>
      <c r="J7" s="2581" t="s">
        <v>5</v>
      </c>
      <c r="K7" s="566" t="s">
        <v>5</v>
      </c>
      <c r="L7" s="2582" t="s">
        <v>5</v>
      </c>
      <c r="M7" s="2583" t="s">
        <v>5</v>
      </c>
      <c r="N7" s="2584" t="s">
        <v>5</v>
      </c>
      <c r="O7" s="2581" t="s">
        <v>5</v>
      </c>
      <c r="P7" s="2585" t="s">
        <v>5</v>
      </c>
      <c r="Q7" s="2581" t="s">
        <v>5</v>
      </c>
      <c r="R7" s="2586" t="s">
        <v>5</v>
      </c>
      <c r="S7" s="571">
        <f>1483.5/F7</f>
        <v>79.756820995801675</v>
      </c>
      <c r="T7" s="2587"/>
      <c r="U7" s="2588" t="str">
        <f>Tabel668926[[#This Row],[Fix.ch. 2017]]</f>
        <v>n/a</v>
      </c>
      <c r="V7" s="2589" t="s">
        <v>5</v>
      </c>
      <c r="W7" s="2590" t="s">
        <v>5</v>
      </c>
      <c r="X7" s="2591" t="s">
        <v>5</v>
      </c>
      <c r="Y7" s="2592" t="str">
        <f>Tabel668926[[#This Row],[Total. ch. DW 2017]]</f>
        <v>n/a</v>
      </c>
      <c r="Z7" s="2593" t="s">
        <v>5</v>
      </c>
      <c r="AA7" s="2591" t="s">
        <v>5</v>
      </c>
      <c r="AB7" s="2594" t="s">
        <v>5</v>
      </c>
      <c r="AC7" s="2591" t="s">
        <v>5</v>
      </c>
      <c r="AD7" s="2595" t="s">
        <v>5</v>
      </c>
      <c r="AE7" s="2591" t="s">
        <v>5</v>
      </c>
      <c r="AF7" s="2596" t="s">
        <v>5</v>
      </c>
      <c r="AG7" s="1793">
        <f>MEDIAN(S7:S13)</f>
        <v>79.756820995801675</v>
      </c>
      <c r="AH7" s="2587"/>
      <c r="AI7" s="2597" t="s">
        <v>429</v>
      </c>
      <c r="AJ7" s="2597"/>
      <c r="AK7" s="2597"/>
      <c r="AL7" s="2597"/>
      <c r="AM7" s="2597" t="s">
        <v>429</v>
      </c>
      <c r="AN7" s="2597" t="s">
        <v>429</v>
      </c>
      <c r="AO7" s="2598"/>
      <c r="AP7" s="2587"/>
    </row>
    <row r="8" spans="1:42" ht="15.75" customHeight="1" x14ac:dyDescent="0.25">
      <c r="A8" s="2599"/>
      <c r="B8" s="2575" t="s">
        <v>942</v>
      </c>
      <c r="C8" s="2575"/>
      <c r="D8" s="2575" t="s">
        <v>1024</v>
      </c>
      <c r="E8" s="2600"/>
      <c r="F8" s="2577">
        <f>'exchange rates'!$O$3</f>
        <v>18.600290000000001</v>
      </c>
      <c r="G8" s="2578" t="s">
        <v>5</v>
      </c>
      <c r="H8" s="2579" t="s">
        <v>5</v>
      </c>
      <c r="I8" s="2580" t="s">
        <v>5</v>
      </c>
      <c r="J8" s="2581" t="s">
        <v>5</v>
      </c>
      <c r="K8" s="566" t="s">
        <v>5</v>
      </c>
      <c r="L8" s="2582" t="s">
        <v>5</v>
      </c>
      <c r="M8" s="2583" t="s">
        <v>5</v>
      </c>
      <c r="N8" s="2584" t="s">
        <v>5</v>
      </c>
      <c r="O8" s="2581" t="s">
        <v>5</v>
      </c>
      <c r="P8" s="2585" t="s">
        <v>5</v>
      </c>
      <c r="Q8" s="2581" t="s">
        <v>5</v>
      </c>
      <c r="R8" s="2586" t="s">
        <v>5</v>
      </c>
      <c r="S8" s="571">
        <f>1972.29/F8</f>
        <v>106.03544353340726</v>
      </c>
      <c r="T8" s="2587"/>
      <c r="U8" s="2601"/>
      <c r="V8" s="2602"/>
      <c r="W8" s="2603"/>
      <c r="X8" s="2604"/>
      <c r="Y8" s="2605"/>
      <c r="Z8" s="2606"/>
      <c r="AA8" s="2604"/>
      <c r="AB8" s="2607"/>
      <c r="AC8" s="2604"/>
      <c r="AD8" s="2608"/>
      <c r="AE8" s="2604"/>
      <c r="AF8" s="2609"/>
      <c r="AG8" s="1791"/>
      <c r="AH8" s="2587"/>
      <c r="AI8" s="2598"/>
      <c r="AJ8" s="2598"/>
      <c r="AK8" s="2598"/>
      <c r="AL8" s="2598"/>
      <c r="AM8" s="2598"/>
      <c r="AN8" s="2598"/>
      <c r="AO8" s="2598"/>
      <c r="AP8" s="2587"/>
    </row>
    <row r="9" spans="1:42" ht="15.75" customHeight="1" x14ac:dyDescent="0.25">
      <c r="A9" s="2599"/>
      <c r="B9" s="2575" t="s">
        <v>943</v>
      </c>
      <c r="C9" s="2575"/>
      <c r="D9" s="2575" t="s">
        <v>1024</v>
      </c>
      <c r="E9" s="2600"/>
      <c r="F9" s="2577">
        <f>'exchange rates'!$O$3</f>
        <v>18.600290000000001</v>
      </c>
      <c r="G9" s="2578" t="s">
        <v>5</v>
      </c>
      <c r="H9" s="2579" t="s">
        <v>5</v>
      </c>
      <c r="I9" s="2580" t="s">
        <v>5</v>
      </c>
      <c r="J9" s="2581" t="s">
        <v>5</v>
      </c>
      <c r="K9" s="566" t="s">
        <v>5</v>
      </c>
      <c r="L9" s="2582" t="s">
        <v>5</v>
      </c>
      <c r="M9" s="2583" t="s">
        <v>5</v>
      </c>
      <c r="N9" s="2584" t="s">
        <v>5</v>
      </c>
      <c r="O9" s="2581" t="s">
        <v>5</v>
      </c>
      <c r="P9" s="2585" t="s">
        <v>5</v>
      </c>
      <c r="Q9" s="2581" t="s">
        <v>5</v>
      </c>
      <c r="R9" s="2586" t="s">
        <v>5</v>
      </c>
      <c r="S9" s="571">
        <f>1941.35/F9</f>
        <v>104.3720286081561</v>
      </c>
      <c r="T9" s="2587"/>
      <c r="U9" s="2601"/>
      <c r="V9" s="2602"/>
      <c r="W9" s="2603"/>
      <c r="X9" s="2604"/>
      <c r="Y9" s="2605"/>
      <c r="Z9" s="2606"/>
      <c r="AA9" s="2604"/>
      <c r="AB9" s="2607"/>
      <c r="AC9" s="2604"/>
      <c r="AD9" s="2608"/>
      <c r="AE9" s="2604"/>
      <c r="AF9" s="2609"/>
      <c r="AG9" s="1791"/>
      <c r="AH9" s="2587"/>
      <c r="AI9" s="2598"/>
      <c r="AJ9" s="2598"/>
      <c r="AK9" s="2598"/>
      <c r="AL9" s="2598"/>
      <c r="AM9" s="2598"/>
      <c r="AN9" s="2598"/>
      <c r="AO9" s="2598"/>
      <c r="AP9" s="2587"/>
    </row>
    <row r="10" spans="1:42" ht="15.75" customHeight="1" x14ac:dyDescent="0.25">
      <c r="A10" s="2599"/>
      <c r="B10" s="2575" t="s">
        <v>944</v>
      </c>
      <c r="C10" s="2575"/>
      <c r="D10" s="2575" t="s">
        <v>1024</v>
      </c>
      <c r="E10" s="2600"/>
      <c r="F10" s="2577">
        <f>'exchange rates'!$O$3</f>
        <v>18.600290000000001</v>
      </c>
      <c r="G10" s="2578" t="s">
        <v>5</v>
      </c>
      <c r="H10" s="2579" t="s">
        <v>5</v>
      </c>
      <c r="I10" s="2580" t="s">
        <v>5</v>
      </c>
      <c r="J10" s="2581" t="s">
        <v>5</v>
      </c>
      <c r="K10" s="566" t="s">
        <v>5</v>
      </c>
      <c r="L10" s="2582" t="s">
        <v>5</v>
      </c>
      <c r="M10" s="2583" t="s">
        <v>5</v>
      </c>
      <c r="N10" s="2584" t="s">
        <v>5</v>
      </c>
      <c r="O10" s="2581" t="s">
        <v>5</v>
      </c>
      <c r="P10" s="2585" t="s">
        <v>5</v>
      </c>
      <c r="Q10" s="2581" t="s">
        <v>5</v>
      </c>
      <c r="R10" s="2586" t="s">
        <v>5</v>
      </c>
      <c r="S10" s="571">
        <f>783/F10</f>
        <v>42.096117856226968</v>
      </c>
      <c r="T10" s="2587"/>
      <c r="U10" s="2601"/>
      <c r="V10" s="2602"/>
      <c r="W10" s="2603"/>
      <c r="X10" s="2604"/>
      <c r="Y10" s="2605"/>
      <c r="Z10" s="2606"/>
      <c r="AA10" s="2604"/>
      <c r="AB10" s="2607"/>
      <c r="AC10" s="2604"/>
      <c r="AD10" s="2608"/>
      <c r="AE10" s="2604"/>
      <c r="AF10" s="2609"/>
      <c r="AG10" s="1791"/>
      <c r="AH10" s="2587"/>
      <c r="AI10" s="2598"/>
      <c r="AJ10" s="2598"/>
      <c r="AK10" s="2598"/>
      <c r="AL10" s="2598"/>
      <c r="AM10" s="2598"/>
      <c r="AN10" s="2598"/>
      <c r="AO10" s="2598"/>
      <c r="AP10" s="2587"/>
    </row>
    <row r="11" spans="1:42" ht="15.75" customHeight="1" x14ac:dyDescent="0.25">
      <c r="A11" s="2599"/>
      <c r="B11" s="2575" t="s">
        <v>945</v>
      </c>
      <c r="C11" s="2575"/>
      <c r="D11" s="2575" t="s">
        <v>1024</v>
      </c>
      <c r="E11" s="2600"/>
      <c r="F11" s="2577">
        <f>'exchange rates'!$O$3</f>
        <v>18.600290000000001</v>
      </c>
      <c r="G11" s="2578" t="s">
        <v>5</v>
      </c>
      <c r="H11" s="2579" t="s">
        <v>5</v>
      </c>
      <c r="I11" s="2580" t="s">
        <v>5</v>
      </c>
      <c r="J11" s="2581" t="s">
        <v>5</v>
      </c>
      <c r="K11" s="566" t="s">
        <v>5</v>
      </c>
      <c r="L11" s="2582" t="s">
        <v>5</v>
      </c>
      <c r="M11" s="2583" t="s">
        <v>5</v>
      </c>
      <c r="N11" s="2584" t="s">
        <v>5</v>
      </c>
      <c r="O11" s="2581" t="s">
        <v>5</v>
      </c>
      <c r="P11" s="2585" t="s">
        <v>5</v>
      </c>
      <c r="Q11" s="2581" t="s">
        <v>5</v>
      </c>
      <c r="R11" s="2586" t="s">
        <v>5</v>
      </c>
      <c r="S11" s="571">
        <f>1155.25/F11</f>
        <v>62.109246683788257</v>
      </c>
      <c r="T11" s="2587"/>
      <c r="U11" s="2601"/>
      <c r="V11" s="2602"/>
      <c r="W11" s="2603"/>
      <c r="X11" s="2604"/>
      <c r="Y11" s="2605"/>
      <c r="Z11" s="2606"/>
      <c r="AA11" s="2604"/>
      <c r="AB11" s="2607"/>
      <c r="AC11" s="2604"/>
      <c r="AD11" s="2608"/>
      <c r="AE11" s="2604"/>
      <c r="AF11" s="2609"/>
      <c r="AG11" s="1791"/>
      <c r="AH11" s="2587"/>
      <c r="AI11" s="2598"/>
      <c r="AJ11" s="2598"/>
      <c r="AK11" s="2598"/>
      <c r="AL11" s="2598"/>
      <c r="AM11" s="2598"/>
      <c r="AN11" s="2598"/>
      <c r="AO11" s="2598"/>
      <c r="AP11" s="2587"/>
    </row>
    <row r="12" spans="1:42" ht="15.75" customHeight="1" x14ac:dyDescent="0.25">
      <c r="A12" s="2599"/>
      <c r="B12" s="2575" t="s">
        <v>946</v>
      </c>
      <c r="C12" s="2575"/>
      <c r="D12" s="2575" t="s">
        <v>1024</v>
      </c>
      <c r="E12" s="2600"/>
      <c r="F12" s="2577">
        <f>'exchange rates'!$O$3</f>
        <v>18.600290000000001</v>
      </c>
      <c r="G12" s="2578" t="s">
        <v>5</v>
      </c>
      <c r="H12" s="2579" t="s">
        <v>5</v>
      </c>
      <c r="I12" s="2580" t="s">
        <v>5</v>
      </c>
      <c r="J12" s="2581" t="s">
        <v>5</v>
      </c>
      <c r="K12" s="566" t="s">
        <v>5</v>
      </c>
      <c r="L12" s="2582" t="s">
        <v>5</v>
      </c>
      <c r="M12" s="2583" t="s">
        <v>5</v>
      </c>
      <c r="N12" s="2584" t="s">
        <v>5</v>
      </c>
      <c r="O12" s="2581" t="s">
        <v>5</v>
      </c>
      <c r="P12" s="2585" t="s">
        <v>5</v>
      </c>
      <c r="Q12" s="2581" t="s">
        <v>5</v>
      </c>
      <c r="R12" s="2586" t="s">
        <v>5</v>
      </c>
      <c r="S12" s="571">
        <f>619.48/F12</f>
        <v>33.30485707480905</v>
      </c>
      <c r="T12" s="2587"/>
      <c r="U12" s="2601"/>
      <c r="V12" s="2602"/>
      <c r="W12" s="2603"/>
      <c r="X12" s="2604"/>
      <c r="Y12" s="2605"/>
      <c r="Z12" s="2606"/>
      <c r="AA12" s="2604"/>
      <c r="AB12" s="2607"/>
      <c r="AC12" s="2604"/>
      <c r="AD12" s="2608"/>
      <c r="AE12" s="2604"/>
      <c r="AF12" s="2609"/>
      <c r="AG12" s="1791"/>
      <c r="AH12" s="2587"/>
      <c r="AI12" s="2598"/>
      <c r="AJ12" s="2598"/>
      <c r="AK12" s="2598"/>
      <c r="AL12" s="2598"/>
      <c r="AM12" s="2598"/>
      <c r="AN12" s="2598"/>
      <c r="AO12" s="2598"/>
      <c r="AP12" s="2587"/>
    </row>
    <row r="13" spans="1:42" ht="15.75" customHeight="1" thickBot="1" x14ac:dyDescent="0.3">
      <c r="A13" s="2610"/>
      <c r="B13" s="2575" t="s">
        <v>947</v>
      </c>
      <c r="C13" s="2575"/>
      <c r="D13" s="2575" t="s">
        <v>1024</v>
      </c>
      <c r="E13" s="2611"/>
      <c r="F13" s="2577">
        <f>'exchange rates'!$O$3</f>
        <v>18.600290000000001</v>
      </c>
      <c r="G13" s="2578" t="s">
        <v>5</v>
      </c>
      <c r="H13" s="2579" t="s">
        <v>5</v>
      </c>
      <c r="I13" s="2580" t="s">
        <v>5</v>
      </c>
      <c r="J13" s="2581" t="s">
        <v>5</v>
      </c>
      <c r="K13" s="566" t="s">
        <v>5</v>
      </c>
      <c r="L13" s="2582" t="s">
        <v>5</v>
      </c>
      <c r="M13" s="2583" t="s">
        <v>5</v>
      </c>
      <c r="N13" s="2584" t="s">
        <v>5</v>
      </c>
      <c r="O13" s="2581" t="s">
        <v>5</v>
      </c>
      <c r="P13" s="2585" t="s">
        <v>5</v>
      </c>
      <c r="Q13" s="2581" t="s">
        <v>5</v>
      </c>
      <c r="R13" s="2586" t="s">
        <v>5</v>
      </c>
      <c r="S13" s="571">
        <f>1941.86/F13</f>
        <v>104.3994475354954</v>
      </c>
      <c r="T13" s="2587"/>
      <c r="U13" s="2612"/>
      <c r="V13" s="2613"/>
      <c r="W13" s="2614"/>
      <c r="X13" s="2615"/>
      <c r="Y13" s="2616"/>
      <c r="Z13" s="2617"/>
      <c r="AA13" s="2615"/>
      <c r="AB13" s="2618"/>
      <c r="AC13" s="2615"/>
      <c r="AD13" s="2619"/>
      <c r="AE13" s="2615"/>
      <c r="AF13" s="2620"/>
      <c r="AG13" s="1794"/>
      <c r="AH13" s="2587"/>
      <c r="AI13" s="2598"/>
      <c r="AJ13" s="2598"/>
      <c r="AK13" s="2598"/>
      <c r="AL13" s="2598"/>
      <c r="AM13" s="2598"/>
      <c r="AN13" s="2598"/>
      <c r="AO13" s="2598"/>
      <c r="AP13" s="2587"/>
    </row>
    <row r="14" spans="1:42" ht="15.75" customHeight="1" thickBot="1" x14ac:dyDescent="0.3">
      <c r="A14" s="2621" t="s">
        <v>524</v>
      </c>
      <c r="B14" s="2622" t="s">
        <v>526</v>
      </c>
      <c r="C14" s="2623" t="s">
        <v>429</v>
      </c>
      <c r="D14" s="2623" t="s">
        <v>1026</v>
      </c>
      <c r="E14" s="2624">
        <v>9100</v>
      </c>
      <c r="F14" s="2577">
        <f>'exchange rates'!O4</f>
        <v>483.08548000000002</v>
      </c>
      <c r="G14" s="2578">
        <f>(127.5*200)/F14</f>
        <v>52.78568919107235</v>
      </c>
      <c r="H14" s="2579">
        <f>0</f>
        <v>0</v>
      </c>
      <c r="I14" s="2580">
        <f>0</f>
        <v>0</v>
      </c>
      <c r="J14" s="2581">
        <f>(25.5*200)/F14</f>
        <v>10.557137838214471</v>
      </c>
      <c r="K14" s="566">
        <f>Tabel668926[[#This Row],[Fix.ch. 2017]]+Tabel668926[[#This Row],[Var. ch. 2017]]+Tabel668926[[#This Row],[Oth. ch. DW 2017]]+Tabel668926[[#This Row],[VAT DW 2017]]</f>
        <v>63.342827029286823</v>
      </c>
      <c r="L14" s="2582">
        <f>(22.5*200)/F14</f>
        <v>9.3151216219539439</v>
      </c>
      <c r="M14" s="2583">
        <f>(4.5*200)/F14</f>
        <v>1.8630243243907889</v>
      </c>
      <c r="N14" s="2584">
        <v>0</v>
      </c>
      <c r="O14" s="2581">
        <v>0</v>
      </c>
      <c r="P14" s="2585">
        <v>0</v>
      </c>
      <c r="Q14" s="2581">
        <v>0</v>
      </c>
      <c r="R14" s="2586">
        <f>Tabel668926[[#This Row],[VAT DW 2017]]+Tabel668926[[#This Row],[VAT Sew. 2017]]+Tabel668926[[#This Row],[VAT WW 2017]]+Tabel668926[[#This Row],[VAT Other ch. 2017]]</f>
        <v>12.42016216260526</v>
      </c>
      <c r="S14" s="571">
        <f>Tabel668926[[#This Row],[Total. ch. DW 2017]]+Tabel668926[[#This Row],[Sew. 2017]]+Tabel668926[[#This Row],[VAT Sew. 2017]]+Tabel668926[[#This Row],[WW 2017]]+Tabel668926[[#This Row],[VAT WW 2017]]+Tabel668926[[#This Row],[Other ch. 2017]]+Tabel668926[[#This Row],[VAT Other ch. 2017]]</f>
        <v>74.520972975631565</v>
      </c>
      <c r="T14" s="2587"/>
      <c r="U14" s="2625">
        <f>MEDIAN(G14:G14)</f>
        <v>52.78568919107235</v>
      </c>
      <c r="V14" s="2626">
        <f t="shared" ref="U14:AG14" si="0">MEDIAN(H14:H14)</f>
        <v>0</v>
      </c>
      <c r="W14" s="2627">
        <f t="shared" si="0"/>
        <v>0</v>
      </c>
      <c r="X14" s="2628">
        <f t="shared" si="0"/>
        <v>10.557137838214471</v>
      </c>
      <c r="Y14" s="2629">
        <f t="shared" si="0"/>
        <v>63.342827029286823</v>
      </c>
      <c r="Z14" s="2630">
        <f t="shared" si="0"/>
        <v>9.3151216219539439</v>
      </c>
      <c r="AA14" s="2628">
        <f t="shared" si="0"/>
        <v>1.8630243243907889</v>
      </c>
      <c r="AB14" s="2631">
        <f t="shared" si="0"/>
        <v>0</v>
      </c>
      <c r="AC14" s="2628">
        <f t="shared" si="0"/>
        <v>0</v>
      </c>
      <c r="AD14" s="2632">
        <f t="shared" si="0"/>
        <v>0</v>
      </c>
      <c r="AE14" s="2628">
        <f t="shared" si="0"/>
        <v>0</v>
      </c>
      <c r="AF14" s="2633">
        <f t="shared" si="0"/>
        <v>12.42016216260526</v>
      </c>
      <c r="AG14" s="1699">
        <f t="shared" si="0"/>
        <v>74.520972975631565</v>
      </c>
      <c r="AH14" s="2587"/>
      <c r="AI14" s="2634"/>
      <c r="AJ14" s="2597" t="s">
        <v>429</v>
      </c>
      <c r="AK14" s="2634"/>
      <c r="AL14" s="2634"/>
      <c r="AM14" s="2634"/>
      <c r="AN14" s="2597" t="s">
        <v>429</v>
      </c>
      <c r="AO14" s="2634"/>
      <c r="AP14" s="2587"/>
    </row>
    <row r="15" spans="1:42" ht="15.75" customHeight="1" x14ac:dyDescent="0.25">
      <c r="A15" s="2635" t="s">
        <v>34</v>
      </c>
      <c r="B15" s="2636" t="s">
        <v>176</v>
      </c>
      <c r="C15" s="2637"/>
      <c r="D15" s="2637" t="s">
        <v>1028</v>
      </c>
      <c r="E15" s="2638">
        <v>49900</v>
      </c>
      <c r="F15" s="2577">
        <f>'exchange rates'!$O$5</f>
        <v>1.2820499999999999</v>
      </c>
      <c r="G15" s="2578">
        <f>192.28/F15</f>
        <v>149.97854997854998</v>
      </c>
      <c r="H15" s="2579">
        <f>703.52/F15</f>
        <v>548.74614874614872</v>
      </c>
      <c r="I15" s="2580">
        <v>0</v>
      </c>
      <c r="J15" s="2581">
        <v>0</v>
      </c>
      <c r="K15" s="566">
        <f>Tabel668926[[#This Row],[Fix.ch. 2017]]+Tabel668926[[#This Row],[Var. ch. 2017]]+Tabel668926[[#This Row],[Oth. ch. DW 2017]]+Tabel668926[[#This Row],[VAT DW 2017]]</f>
        <v>698.72469872469867</v>
      </c>
      <c r="L15" s="2582">
        <f>522/F15</f>
        <v>407.1604071604072</v>
      </c>
      <c r="M15" s="2583">
        <v>0</v>
      </c>
      <c r="N15" s="2584">
        <v>0</v>
      </c>
      <c r="O15" s="2581">
        <v>0</v>
      </c>
      <c r="P15" s="2585">
        <v>0</v>
      </c>
      <c r="Q15" s="2581">
        <v>0</v>
      </c>
      <c r="R15" s="2586">
        <f>Tabel668926[[#This Row],[VAT DW 2017]]+Tabel668926[[#This Row],[VAT Sew. 2017]]+Tabel668926[[#This Row],[VAT WW 2017]]+Tabel668926[[#This Row],[VAT Other ch. 2017]]</f>
        <v>0</v>
      </c>
      <c r="S15" s="571">
        <f>Tabel668926[[#This Row],[Total. ch. DW 2017]]+Tabel668926[[#This Row],[Sew. 2017]]+Tabel668926[[#This Row],[VAT Sew. 2017]]+Tabel668926[[#This Row],[WW 2017]]+Tabel668926[[#This Row],[VAT WW 2017]]+Tabel668926[[#This Row],[Other ch. 2017]]+Tabel668926[[#This Row],[VAT Other ch. 2017]]</f>
        <v>1105.885105885106</v>
      </c>
      <c r="T15" s="2587"/>
      <c r="U15" s="2639">
        <f>MEDIAN(G15:G23)</f>
        <v>129.72192972192974</v>
      </c>
      <c r="V15" s="2640">
        <f>MEDIAN(H15:H23)</f>
        <v>336.16473616473621</v>
      </c>
      <c r="W15" s="2641">
        <f>MEDIAN(I15:I23)</f>
        <v>0</v>
      </c>
      <c r="X15" s="2591">
        <f>MEDIAN(J15:J23)</f>
        <v>0</v>
      </c>
      <c r="Y15" s="2642">
        <f>SUM(U15:X23)</f>
        <v>465.88666588666592</v>
      </c>
      <c r="Z15" s="2643">
        <f t="shared" ref="Z15:AF15" si="1">MEDIAN(L15:L23)</f>
        <v>455.52045552045553</v>
      </c>
      <c r="AA15" s="2591">
        <f t="shared" si="1"/>
        <v>0</v>
      </c>
      <c r="AB15" s="2644">
        <f t="shared" si="1"/>
        <v>0</v>
      </c>
      <c r="AC15" s="2591">
        <f t="shared" si="1"/>
        <v>0</v>
      </c>
      <c r="AD15" s="2645">
        <f t="shared" si="1"/>
        <v>0</v>
      </c>
      <c r="AE15" s="2591">
        <f t="shared" si="1"/>
        <v>0</v>
      </c>
      <c r="AF15" s="2646">
        <f t="shared" si="1"/>
        <v>0</v>
      </c>
      <c r="AG15" s="1790">
        <f>Y15+Z15+AA15+AB15+AC15+AD15+AE15</f>
        <v>921.40712140712139</v>
      </c>
      <c r="AH15" s="2587"/>
      <c r="AI15" s="2634"/>
      <c r="AJ15" s="2597" t="s">
        <v>429</v>
      </c>
      <c r="AK15" s="2634"/>
      <c r="AL15" s="2598"/>
      <c r="AM15" s="2597" t="s">
        <v>429</v>
      </c>
      <c r="AN15" s="2598"/>
      <c r="AO15" s="2634"/>
      <c r="AP15" s="2587"/>
    </row>
    <row r="16" spans="1:42" ht="15.75" customHeight="1" x14ac:dyDescent="0.25">
      <c r="A16" s="2647"/>
      <c r="B16" s="2648" t="s">
        <v>177</v>
      </c>
      <c r="C16" s="2648"/>
      <c r="D16" s="2648" t="s">
        <v>1028</v>
      </c>
      <c r="E16" s="2600"/>
      <c r="F16" s="2577">
        <f>'exchange rates'!$O$5</f>
        <v>1.2820499999999999</v>
      </c>
      <c r="G16" s="2649"/>
      <c r="H16" s="2650"/>
      <c r="I16" s="2651"/>
      <c r="J16" s="2652"/>
      <c r="K16" s="313">
        <f>Tabel668926[[#This Row],[Fix.ch. 2017]]+Tabel668926[[#This Row],[Var. ch. 2017]]+Tabel668926[[#This Row],[Oth. ch. DW 2017]]+Tabel668926[[#This Row],[VAT DW 2017]]</f>
        <v>0</v>
      </c>
      <c r="L16" s="2653"/>
      <c r="M16" s="2654"/>
      <c r="N16" s="2655"/>
      <c r="O16" s="2652"/>
      <c r="P16" s="2656"/>
      <c r="Q16" s="2652"/>
      <c r="R16" s="2657">
        <f>Tabel668926[[#This Row],[VAT DW 2017]]+Tabel668926[[#This Row],[VAT Sew. 2017]]+Tabel668926[[#This Row],[VAT WW 2017]]+Tabel668926[[#This Row],[VAT Other ch. 2017]]</f>
        <v>0</v>
      </c>
      <c r="S16" s="318">
        <f>Tabel668926[[#This Row],[Total. ch. DW 2017]]+Tabel668926[[#This Row],[Sew. 2017]]+Tabel668926[[#This Row],[VAT Sew. 2017]]+Tabel668926[[#This Row],[WW 2017]]+Tabel668926[[#This Row],[VAT WW 2017]]+Tabel668926[[#This Row],[Other ch. 2017]]+Tabel668926[[#This Row],[VAT Other ch. 2017]]</f>
        <v>0</v>
      </c>
      <c r="T16" s="2587"/>
      <c r="U16" s="2601"/>
      <c r="V16" s="2602"/>
      <c r="W16" s="2603"/>
      <c r="X16" s="2658"/>
      <c r="Y16" s="2605"/>
      <c r="Z16" s="2606"/>
      <c r="AA16" s="2658"/>
      <c r="AB16" s="2607"/>
      <c r="AC16" s="2658"/>
      <c r="AD16" s="2608"/>
      <c r="AE16" s="2658"/>
      <c r="AF16" s="2609"/>
      <c r="AG16" s="1791"/>
      <c r="AH16" s="2587"/>
      <c r="AI16" s="2634"/>
      <c r="AJ16" s="2634"/>
      <c r="AK16" s="2634"/>
      <c r="AL16" s="2598"/>
      <c r="AM16" s="2598"/>
      <c r="AN16" s="2598"/>
      <c r="AO16" s="2634"/>
      <c r="AP16" s="2587"/>
    </row>
    <row r="17" spans="1:42" ht="15.75" customHeight="1" x14ac:dyDescent="0.25">
      <c r="A17" s="2647"/>
      <c r="B17" s="2659" t="s">
        <v>178</v>
      </c>
      <c r="C17" s="2659"/>
      <c r="D17" s="2659" t="s">
        <v>1028</v>
      </c>
      <c r="E17" s="2600"/>
      <c r="F17" s="2577">
        <f>'exchange rates'!$O$5</f>
        <v>1.2820499999999999</v>
      </c>
      <c r="G17" s="2578">
        <f>166.31/F17</f>
        <v>129.72192972192974</v>
      </c>
      <c r="H17" s="2579">
        <f>430.98/F17</f>
        <v>336.16473616473621</v>
      </c>
      <c r="I17" s="2580">
        <v>0</v>
      </c>
      <c r="J17" s="2581">
        <v>0</v>
      </c>
      <c r="K17" s="566">
        <f>Tabel668926[[#This Row],[Fix.ch. 2017]]+Tabel668926[[#This Row],[Var. ch. 2017]]+Tabel668926[[#This Row],[Oth. ch. DW 2017]]+Tabel668926[[#This Row],[VAT DW 2017]]</f>
        <v>465.88666588666592</v>
      </c>
      <c r="L17" s="2582">
        <f>622.16/F17</f>
        <v>485.28528528528528</v>
      </c>
      <c r="M17" s="2583">
        <v>0</v>
      </c>
      <c r="N17" s="2584">
        <v>0</v>
      </c>
      <c r="O17" s="2581">
        <v>0</v>
      </c>
      <c r="P17" s="2585">
        <v>0</v>
      </c>
      <c r="Q17" s="2581">
        <v>0</v>
      </c>
      <c r="R17" s="2586">
        <f>Tabel668926[[#This Row],[VAT DW 2017]]+Tabel668926[[#This Row],[VAT Sew. 2017]]+Tabel668926[[#This Row],[VAT WW 2017]]+Tabel668926[[#This Row],[VAT Other ch. 2017]]</f>
        <v>0</v>
      </c>
      <c r="S17" s="571">
        <f>Tabel668926[[#This Row],[Total. ch. DW 2017]]+Tabel668926[[#This Row],[Sew. 2017]]+Tabel668926[[#This Row],[VAT Sew. 2017]]+Tabel668926[[#This Row],[WW 2017]]+Tabel668926[[#This Row],[VAT WW 2017]]+Tabel668926[[#This Row],[Other ch. 2017]]+Tabel668926[[#This Row],[VAT Other ch. 2017]]</f>
        <v>951.17195117195115</v>
      </c>
      <c r="T17" s="2587"/>
      <c r="U17" s="2601"/>
      <c r="V17" s="2602"/>
      <c r="W17" s="2603"/>
      <c r="X17" s="2658"/>
      <c r="Y17" s="2605"/>
      <c r="Z17" s="2606"/>
      <c r="AA17" s="2658"/>
      <c r="AB17" s="2607"/>
      <c r="AC17" s="2658"/>
      <c r="AD17" s="2608"/>
      <c r="AE17" s="2658"/>
      <c r="AF17" s="2609"/>
      <c r="AG17" s="1791"/>
      <c r="AH17" s="2587"/>
      <c r="AI17" s="2634"/>
      <c r="AJ17" s="2597" t="s">
        <v>429</v>
      </c>
      <c r="AK17" s="2634"/>
      <c r="AL17" s="2598"/>
      <c r="AM17" s="2597" t="s">
        <v>429</v>
      </c>
      <c r="AN17" s="2598"/>
      <c r="AO17" s="2634"/>
      <c r="AP17" s="2587"/>
    </row>
    <row r="18" spans="1:42" ht="15.75" customHeight="1" x14ac:dyDescent="0.25">
      <c r="A18" s="2647"/>
      <c r="B18" s="2659" t="s">
        <v>179</v>
      </c>
      <c r="C18" s="2659"/>
      <c r="D18" s="2659" t="s">
        <v>1028</v>
      </c>
      <c r="E18" s="2600"/>
      <c r="F18" s="2577">
        <f>'exchange rates'!$O$5</f>
        <v>1.2820499999999999</v>
      </c>
      <c r="G18" s="2578">
        <f>236.32/F18</f>
        <v>184.32978432978433</v>
      </c>
      <c r="H18" s="2579">
        <f>342.6/F18</f>
        <v>267.22826722826727</v>
      </c>
      <c r="I18" s="2580">
        <v>0</v>
      </c>
      <c r="J18" s="2581">
        <v>0</v>
      </c>
      <c r="K18" s="566">
        <f>Tabel668926[[#This Row],[Fix.ch. 2017]]+Tabel668926[[#This Row],[Var. ch. 2017]]+Tabel668926[[#This Row],[Oth. ch. DW 2017]]+Tabel668926[[#This Row],[VAT DW 2017]]</f>
        <v>451.5580515580516</v>
      </c>
      <c r="L18" s="2582">
        <f>758/F18</f>
        <v>591.24059124059124</v>
      </c>
      <c r="M18" s="2583">
        <v>0</v>
      </c>
      <c r="N18" s="2584">
        <v>0</v>
      </c>
      <c r="O18" s="2581">
        <v>0</v>
      </c>
      <c r="P18" s="2585">
        <v>0</v>
      </c>
      <c r="Q18" s="2581">
        <v>0</v>
      </c>
      <c r="R18" s="2586">
        <f>Tabel668926[[#This Row],[VAT DW 2017]]+Tabel668926[[#This Row],[VAT Sew. 2017]]+Tabel668926[[#This Row],[VAT WW 2017]]+Tabel668926[[#This Row],[VAT Other ch. 2017]]</f>
        <v>0</v>
      </c>
      <c r="S18" s="571">
        <f>Tabel668926[[#This Row],[Total. ch. DW 2017]]+Tabel668926[[#This Row],[Sew. 2017]]+Tabel668926[[#This Row],[VAT Sew. 2017]]+Tabel668926[[#This Row],[WW 2017]]+Tabel668926[[#This Row],[VAT WW 2017]]+Tabel668926[[#This Row],[Other ch. 2017]]+Tabel668926[[#This Row],[VAT Other ch. 2017]]</f>
        <v>1042.798642798643</v>
      </c>
      <c r="T18" s="2587"/>
      <c r="U18" s="2601"/>
      <c r="V18" s="2602"/>
      <c r="W18" s="2603"/>
      <c r="X18" s="2658"/>
      <c r="Y18" s="2605"/>
      <c r="Z18" s="2606"/>
      <c r="AA18" s="2658"/>
      <c r="AB18" s="2607"/>
      <c r="AC18" s="2658"/>
      <c r="AD18" s="2608"/>
      <c r="AE18" s="2658"/>
      <c r="AF18" s="2609"/>
      <c r="AG18" s="1791"/>
      <c r="AH18" s="2587"/>
      <c r="AI18" s="2634"/>
      <c r="AJ18" s="2597" t="s">
        <v>429</v>
      </c>
      <c r="AK18" s="2634"/>
      <c r="AL18" s="2598"/>
      <c r="AM18" s="2597" t="s">
        <v>429</v>
      </c>
      <c r="AN18" s="2598"/>
      <c r="AO18" s="2634"/>
      <c r="AP18" s="2587"/>
    </row>
    <row r="19" spans="1:42" ht="15.75" customHeight="1" x14ac:dyDescent="0.25">
      <c r="A19" s="2647"/>
      <c r="B19" s="2659" t="s">
        <v>180</v>
      </c>
      <c r="C19" s="2659"/>
      <c r="D19" s="2659" t="s">
        <v>1028</v>
      </c>
      <c r="E19" s="2600"/>
      <c r="F19" s="2577">
        <f>'exchange rates'!$O$5</f>
        <v>1.2820499999999999</v>
      </c>
      <c r="G19" s="2578">
        <f>90/F19</f>
        <v>70.200070200070201</v>
      </c>
      <c r="H19" s="2579">
        <f>400/F19</f>
        <v>312.00031200031202</v>
      </c>
      <c r="I19" s="2580">
        <v>0</v>
      </c>
      <c r="J19" s="2581">
        <v>0</v>
      </c>
      <c r="K19" s="566">
        <f>Tabel668926[[#This Row],[Fix.ch. 2017]]+Tabel668926[[#This Row],[Var. ch. 2017]]+Tabel668926[[#This Row],[Oth. ch. DW 2017]]+Tabel668926[[#This Row],[VAT DW 2017]]</f>
        <v>382.20038220038225</v>
      </c>
      <c r="L19" s="2582">
        <f>584/F19</f>
        <v>455.52045552045553</v>
      </c>
      <c r="M19" s="2583">
        <v>0</v>
      </c>
      <c r="N19" s="2584">
        <v>0</v>
      </c>
      <c r="O19" s="2581">
        <v>0</v>
      </c>
      <c r="P19" s="2585">
        <v>0</v>
      </c>
      <c r="Q19" s="2581">
        <v>0</v>
      </c>
      <c r="R19" s="2586">
        <f>Tabel668926[[#This Row],[VAT DW 2017]]+Tabel668926[[#This Row],[VAT Sew. 2017]]+Tabel668926[[#This Row],[VAT WW 2017]]+Tabel668926[[#This Row],[VAT Other ch. 2017]]</f>
        <v>0</v>
      </c>
      <c r="S19" s="571">
        <f>Tabel668926[[#This Row],[Total. ch. DW 2017]]+Tabel668926[[#This Row],[Sew. 2017]]+Tabel668926[[#This Row],[VAT Sew. 2017]]+Tabel668926[[#This Row],[WW 2017]]+Tabel668926[[#This Row],[VAT WW 2017]]+Tabel668926[[#This Row],[Other ch. 2017]]+Tabel668926[[#This Row],[VAT Other ch. 2017]]</f>
        <v>837.72083772083784</v>
      </c>
      <c r="T19" s="2587"/>
      <c r="U19" s="2601"/>
      <c r="V19" s="2602"/>
      <c r="W19" s="2603"/>
      <c r="X19" s="2658"/>
      <c r="Y19" s="2605"/>
      <c r="Z19" s="2606"/>
      <c r="AA19" s="2658"/>
      <c r="AB19" s="2607"/>
      <c r="AC19" s="2658"/>
      <c r="AD19" s="2608"/>
      <c r="AE19" s="2658"/>
      <c r="AF19" s="2609"/>
      <c r="AG19" s="1791"/>
      <c r="AH19" s="2587"/>
      <c r="AI19" s="2634"/>
      <c r="AJ19" s="2597" t="s">
        <v>429</v>
      </c>
      <c r="AK19" s="2598"/>
      <c r="AL19" s="2598"/>
      <c r="AM19" s="2597" t="s">
        <v>429</v>
      </c>
      <c r="AN19" s="2598"/>
      <c r="AO19" s="2634"/>
      <c r="AP19" s="2587"/>
    </row>
    <row r="20" spans="1:42" ht="15.75" customHeight="1" x14ac:dyDescent="0.25">
      <c r="A20" s="2647"/>
      <c r="B20" s="2659" t="s">
        <v>544</v>
      </c>
      <c r="C20" s="2659" t="s">
        <v>429</v>
      </c>
      <c r="D20" s="2659" t="s">
        <v>1028</v>
      </c>
      <c r="E20" s="2600"/>
      <c r="F20" s="2577">
        <f>'exchange rates'!$O$5</f>
        <v>1.2820499999999999</v>
      </c>
      <c r="G20" s="2578">
        <f>101.48/F20</f>
        <v>79.154479154479162</v>
      </c>
      <c r="H20" s="2579">
        <f>522/F20</f>
        <v>407.1604071604072</v>
      </c>
      <c r="I20" s="2580">
        <v>0</v>
      </c>
      <c r="J20" s="2581">
        <v>0</v>
      </c>
      <c r="K20" s="566">
        <f>Tabel668926[[#This Row],[Fix.ch. 2017]]+Tabel668926[[#This Row],[Var. ch. 2017]]+Tabel668926[[#This Row],[Oth. ch. DW 2017]]+Tabel668926[[#This Row],[VAT DW 2017]]</f>
        <v>486.31488631488639</v>
      </c>
      <c r="L20" s="2582">
        <f>529/F20</f>
        <v>412.62041262041265</v>
      </c>
      <c r="M20" s="2583">
        <v>0</v>
      </c>
      <c r="N20" s="2584">
        <v>0</v>
      </c>
      <c r="O20" s="2581">
        <v>0</v>
      </c>
      <c r="P20" s="2585">
        <v>0</v>
      </c>
      <c r="Q20" s="2581">
        <v>0</v>
      </c>
      <c r="R20" s="2586">
        <f>Tabel668926[[#This Row],[VAT DW 2017]]+Tabel668926[[#This Row],[VAT Sew. 2017]]+Tabel668926[[#This Row],[VAT WW 2017]]+Tabel668926[[#This Row],[VAT Other ch. 2017]]</f>
        <v>0</v>
      </c>
      <c r="S20" s="571">
        <f>Tabel668926[[#This Row],[Total. ch. DW 2017]]+Tabel668926[[#This Row],[Sew. 2017]]+Tabel668926[[#This Row],[VAT Sew. 2017]]+Tabel668926[[#This Row],[WW 2017]]+Tabel668926[[#This Row],[VAT WW 2017]]+Tabel668926[[#This Row],[Other ch. 2017]]+Tabel668926[[#This Row],[VAT Other ch. 2017]]</f>
        <v>898.93529893529899</v>
      </c>
      <c r="T20" s="2587"/>
      <c r="U20" s="2601"/>
      <c r="V20" s="2602"/>
      <c r="W20" s="2603"/>
      <c r="X20" s="2658"/>
      <c r="Y20" s="2605"/>
      <c r="Z20" s="2606"/>
      <c r="AA20" s="2658"/>
      <c r="AB20" s="2607"/>
      <c r="AC20" s="2658"/>
      <c r="AD20" s="2608"/>
      <c r="AE20" s="2658"/>
      <c r="AF20" s="2609"/>
      <c r="AG20" s="1791"/>
      <c r="AH20" s="2587"/>
      <c r="AI20" s="2598"/>
      <c r="AJ20" s="2597" t="s">
        <v>429</v>
      </c>
      <c r="AK20" s="2598"/>
      <c r="AL20" s="2598"/>
      <c r="AM20" s="2597" t="s">
        <v>429</v>
      </c>
      <c r="AN20" s="2598"/>
      <c r="AO20" s="2598"/>
      <c r="AP20" s="2660"/>
    </row>
    <row r="21" spans="1:42" ht="15.75" customHeight="1" x14ac:dyDescent="0.25">
      <c r="A21" s="2647"/>
      <c r="B21" s="2648" t="s">
        <v>545</v>
      </c>
      <c r="C21" s="2648"/>
      <c r="D21" s="2648" t="s">
        <v>1028</v>
      </c>
      <c r="E21" s="2600"/>
      <c r="F21" s="2577">
        <f>'exchange rates'!$O$5</f>
        <v>1.2820499999999999</v>
      </c>
      <c r="G21" s="2649"/>
      <c r="H21" s="2650"/>
      <c r="I21" s="2651"/>
      <c r="J21" s="2652"/>
      <c r="K21" s="313">
        <f>Tabel668926[[#This Row],[Fix.ch. 2017]]+Tabel668926[[#This Row],[Var. ch. 2017]]+Tabel668926[[#This Row],[Oth. ch. DW 2017]]+Tabel668926[[#This Row],[VAT DW 2017]]</f>
        <v>0</v>
      </c>
      <c r="L21" s="2653"/>
      <c r="M21" s="2654"/>
      <c r="N21" s="2655"/>
      <c r="O21" s="2652"/>
      <c r="P21" s="2656"/>
      <c r="Q21" s="2652"/>
      <c r="R21" s="2657">
        <f>Tabel668926[[#This Row],[VAT DW 2017]]+Tabel668926[[#This Row],[VAT Sew. 2017]]+Tabel668926[[#This Row],[VAT WW 2017]]+Tabel668926[[#This Row],[VAT Other ch. 2017]]</f>
        <v>0</v>
      </c>
      <c r="S21" s="318">
        <f>Tabel668926[[#This Row],[Total. ch. DW 2017]]+Tabel668926[[#This Row],[Sew. 2017]]+Tabel668926[[#This Row],[VAT Sew. 2017]]+Tabel668926[[#This Row],[WW 2017]]+Tabel668926[[#This Row],[VAT WW 2017]]+Tabel668926[[#This Row],[Other ch. 2017]]+Tabel668926[[#This Row],[VAT Other ch. 2017]]</f>
        <v>0</v>
      </c>
      <c r="T21" s="2587"/>
      <c r="U21" s="2601"/>
      <c r="V21" s="2602"/>
      <c r="W21" s="2603"/>
      <c r="X21" s="2658"/>
      <c r="Y21" s="2605"/>
      <c r="Z21" s="2606"/>
      <c r="AA21" s="2658"/>
      <c r="AB21" s="2607"/>
      <c r="AC21" s="2658"/>
      <c r="AD21" s="2608"/>
      <c r="AE21" s="2658"/>
      <c r="AF21" s="2609"/>
      <c r="AG21" s="1791"/>
      <c r="AH21" s="2587"/>
      <c r="AI21" s="2598"/>
      <c r="AJ21" s="2598"/>
      <c r="AK21" s="2598"/>
      <c r="AL21" s="2598"/>
      <c r="AM21" s="2598"/>
      <c r="AN21" s="2598"/>
      <c r="AO21" s="2598"/>
      <c r="AP21" s="2660"/>
    </row>
    <row r="22" spans="1:42" ht="15.75" customHeight="1" x14ac:dyDescent="0.25">
      <c r="A22" s="2647"/>
      <c r="B22" s="2648" t="s">
        <v>779</v>
      </c>
      <c r="C22" s="2648"/>
      <c r="D22" s="2648" t="s">
        <v>1028</v>
      </c>
      <c r="E22" s="2600"/>
      <c r="F22" s="2577">
        <f>'exchange rates'!$O$5</f>
        <v>1.2820499999999999</v>
      </c>
      <c r="G22" s="2649"/>
      <c r="H22" s="2650"/>
      <c r="I22" s="2651"/>
      <c r="J22" s="2652"/>
      <c r="K22" s="313">
        <f>Tabel668926[[#This Row],[Fix.ch. 2017]]+Tabel668926[[#This Row],[Var. ch. 2017]]+Tabel668926[[#This Row],[Oth. ch. DW 2017]]+Tabel668926[[#This Row],[VAT DW 2017]]</f>
        <v>0</v>
      </c>
      <c r="L22" s="2653"/>
      <c r="M22" s="2654"/>
      <c r="N22" s="2655"/>
      <c r="O22" s="2652"/>
      <c r="P22" s="2656"/>
      <c r="Q22" s="2652"/>
      <c r="R22" s="2657">
        <f>Tabel668926[[#This Row],[VAT DW 2017]]+Tabel668926[[#This Row],[VAT Sew. 2017]]+Tabel668926[[#This Row],[VAT WW 2017]]+Tabel668926[[#This Row],[VAT Other ch. 2017]]</f>
        <v>0</v>
      </c>
      <c r="S22" s="318">
        <f>Tabel668926[[#This Row],[Total. ch. DW 2017]]+Tabel668926[[#This Row],[Sew. 2017]]+Tabel668926[[#This Row],[VAT Sew. 2017]]+Tabel668926[[#This Row],[WW 2017]]+Tabel668926[[#This Row],[VAT WW 2017]]+Tabel668926[[#This Row],[Other ch. 2017]]+Tabel668926[[#This Row],[VAT Other ch. 2017]]</f>
        <v>0</v>
      </c>
      <c r="T22" s="2587"/>
      <c r="U22" s="2601"/>
      <c r="V22" s="2602"/>
      <c r="W22" s="2603"/>
      <c r="X22" s="2658"/>
      <c r="Y22" s="2605"/>
      <c r="Z22" s="2606"/>
      <c r="AA22" s="2658"/>
      <c r="AB22" s="2607"/>
      <c r="AC22" s="2658"/>
      <c r="AD22" s="2608"/>
      <c r="AE22" s="2658"/>
      <c r="AF22" s="2609"/>
      <c r="AG22" s="1791"/>
      <c r="AH22" s="2587"/>
      <c r="AI22" s="2598"/>
      <c r="AJ22" s="2598"/>
      <c r="AK22" s="2598"/>
      <c r="AL22" s="2598"/>
      <c r="AM22" s="2598"/>
      <c r="AN22" s="2598"/>
      <c r="AO22" s="2598"/>
      <c r="AP22" s="2660"/>
    </row>
    <row r="23" spans="1:42" ht="15.75" customHeight="1" thickBot="1" x14ac:dyDescent="0.3">
      <c r="A23" s="2661"/>
      <c r="B23" s="2662" t="s">
        <v>546</v>
      </c>
      <c r="C23" s="2648"/>
      <c r="D23" s="2648" t="s">
        <v>1028</v>
      </c>
      <c r="E23" s="2663"/>
      <c r="F23" s="2577">
        <f>'exchange rates'!$O$5</f>
        <v>1.2820499999999999</v>
      </c>
      <c r="G23" s="2649"/>
      <c r="H23" s="2650"/>
      <c r="I23" s="2651"/>
      <c r="J23" s="2652"/>
      <c r="K23" s="313">
        <f>Tabel668926[[#This Row],[Fix.ch. 2017]]+Tabel668926[[#This Row],[Var. ch. 2017]]+Tabel668926[[#This Row],[Oth. ch. DW 2017]]+Tabel668926[[#This Row],[VAT DW 2017]]</f>
        <v>0</v>
      </c>
      <c r="L23" s="2653"/>
      <c r="M23" s="2654"/>
      <c r="N23" s="2655"/>
      <c r="O23" s="2652"/>
      <c r="P23" s="2656"/>
      <c r="Q23" s="2652"/>
      <c r="R23" s="2657">
        <f>Tabel668926[[#This Row],[VAT DW 2017]]+Tabel668926[[#This Row],[VAT Sew. 2017]]+Tabel668926[[#This Row],[VAT WW 2017]]+Tabel668926[[#This Row],[VAT Other ch. 2017]]</f>
        <v>0</v>
      </c>
      <c r="S23" s="318">
        <f>Tabel668926[[#This Row],[Total. ch. DW 2017]]+Tabel668926[[#This Row],[Sew. 2017]]+Tabel668926[[#This Row],[VAT Sew. 2017]]+Tabel668926[[#This Row],[WW 2017]]+Tabel668926[[#This Row],[VAT WW 2017]]+Tabel668926[[#This Row],[Other ch. 2017]]+Tabel668926[[#This Row],[VAT Other ch. 2017]]</f>
        <v>0</v>
      </c>
      <c r="T23" s="2587"/>
      <c r="U23" s="2664"/>
      <c r="V23" s="2665"/>
      <c r="W23" s="2666"/>
      <c r="X23" s="2615"/>
      <c r="Y23" s="2667"/>
      <c r="Z23" s="2668"/>
      <c r="AA23" s="2615"/>
      <c r="AB23" s="2669"/>
      <c r="AC23" s="2615"/>
      <c r="AD23" s="2670"/>
      <c r="AE23" s="2615"/>
      <c r="AF23" s="2671"/>
      <c r="AG23" s="1792"/>
      <c r="AH23" s="2587"/>
      <c r="AI23" s="2598"/>
      <c r="AJ23" s="2598"/>
      <c r="AK23" s="2598"/>
      <c r="AL23" s="2598"/>
      <c r="AM23" s="2598"/>
      <c r="AN23" s="2598"/>
      <c r="AO23" s="2598"/>
      <c r="AP23" s="2660"/>
    </row>
    <row r="24" spans="1:42" ht="15.75" customHeight="1" x14ac:dyDescent="0.25">
      <c r="A24" s="2635" t="s">
        <v>4</v>
      </c>
      <c r="B24" s="2672" t="s">
        <v>932</v>
      </c>
      <c r="C24" s="2672"/>
      <c r="D24" s="2673" t="s">
        <v>1030</v>
      </c>
      <c r="E24" s="2600">
        <v>49200</v>
      </c>
      <c r="F24" s="2577">
        <f>'exchange rates'!O6</f>
        <v>0.83301000000000003</v>
      </c>
      <c r="G24" s="2578">
        <f>36.66/F24</f>
        <v>44.009075521302258</v>
      </c>
      <c r="H24" s="2579">
        <f>297.2/F24</f>
        <v>356.77843003085195</v>
      </c>
      <c r="I24" s="2580">
        <v>0</v>
      </c>
      <c r="J24" s="2581">
        <f>33.39/F24</f>
        <v>40.083552418338314</v>
      </c>
      <c r="K24" s="566">
        <f>Tabel668926[[#This Row],[Fix.ch. 2017]]+Tabel668926[[#This Row],[Var. ch. 2017]]+Tabel668926[[#This Row],[Oth. ch. DW 2017]]+Tabel668926[[#This Row],[VAT DW 2017]]</f>
        <v>440.87105797049253</v>
      </c>
      <c r="L24" s="2582">
        <v>0</v>
      </c>
      <c r="M24" s="2583">
        <v>0</v>
      </c>
      <c r="N24" s="2584">
        <f>386.4/F24</f>
        <v>463.85997767133642</v>
      </c>
      <c r="O24" s="2581">
        <f>38.64/F24</f>
        <v>46.385997767133645</v>
      </c>
      <c r="P24" s="2585">
        <v>0</v>
      </c>
      <c r="Q24" s="2581">
        <v>0</v>
      </c>
      <c r="R24" s="2586">
        <f>Tabel668926[[#This Row],[VAT DW 2017]]+Tabel668926[[#This Row],[VAT Sew. 2017]]+Tabel668926[[#This Row],[VAT WW 2017]]+Tabel668926[[#This Row],[VAT Other ch. 2017]]</f>
        <v>86.469550185471959</v>
      </c>
      <c r="S24" s="571">
        <f>Tabel668926[[#This Row],[Total. ch. DW 2017]]+Tabel668926[[#This Row],[Sew. 2017]]+Tabel668926[[#This Row],[VAT Sew. 2017]]+Tabel668926[[#This Row],[WW 2017]]+Tabel668926[[#This Row],[VAT WW 2017]]+Tabel668926[[#This Row],[Other ch. 2017]]+Tabel668926[[#This Row],[VAT Other ch. 2017]]</f>
        <v>951.11703340896258</v>
      </c>
      <c r="T24" s="2587"/>
      <c r="U24" s="2674">
        <f>Tabel668926[[#This Row],[Fix.ch. 2017]]</f>
        <v>44.009075521302258</v>
      </c>
      <c r="V24" s="2675">
        <f>Tabel668926[[#This Row],[Var. ch. 2017]]</f>
        <v>356.77843003085195</v>
      </c>
      <c r="W24" s="2676">
        <f>Tabel668926[[#This Row],[Oth. ch. DW 2017]]</f>
        <v>0</v>
      </c>
      <c r="X24" s="2591">
        <f>Tabel668926[[#This Row],[VAT DW 2017]]</f>
        <v>40.083552418338314</v>
      </c>
      <c r="Y24" s="2677">
        <f>Tabel668926[[#This Row],[Total. ch. DW 2017]]</f>
        <v>440.87105797049253</v>
      </c>
      <c r="Z24" s="2678">
        <f>L24</f>
        <v>0</v>
      </c>
      <c r="AA24" s="2591">
        <f>Tabel668926[[#This Row],[VAT Sew. 2017]]</f>
        <v>0</v>
      </c>
      <c r="AB24" s="2679">
        <f>Tabel668926[[#This Row],[WW 2017]]</f>
        <v>463.85997767133642</v>
      </c>
      <c r="AC24" s="2591">
        <f>Tabel668926[[#This Row],[VAT WW 2017]]</f>
        <v>46.385997767133645</v>
      </c>
      <c r="AD24" s="2680">
        <f>Tabel668926[[#This Row],[Other ch. 2017]]</f>
        <v>0</v>
      </c>
      <c r="AE24" s="2591">
        <f>Tabel668926[[#This Row],[VAT Other ch. 2017]]</f>
        <v>0</v>
      </c>
      <c r="AF24" s="2681">
        <f>Tabel668926[[#This Row],[Total VAT 2017]]</f>
        <v>86.469550185471959</v>
      </c>
      <c r="AG24" s="1817">
        <f>Y24+Z24+AA24+AB24+AC24+AD24+AE24</f>
        <v>951.11703340896258</v>
      </c>
      <c r="AH24" s="2587"/>
      <c r="AI24" s="2634"/>
      <c r="AJ24" s="2597" t="s">
        <v>429</v>
      </c>
      <c r="AK24" s="2682"/>
      <c r="AL24" s="2682"/>
      <c r="AM24" s="2597" t="s">
        <v>429</v>
      </c>
      <c r="AN24" s="2597" t="s">
        <v>429</v>
      </c>
      <c r="AO24" s="2634"/>
      <c r="AP24" s="2587"/>
    </row>
    <row r="25" spans="1:42" ht="15.75" customHeight="1" x14ac:dyDescent="0.25">
      <c r="A25" s="2647"/>
      <c r="B25" s="2683" t="s">
        <v>60</v>
      </c>
      <c r="C25" s="2683"/>
      <c r="D25" s="2683" t="s">
        <v>1030</v>
      </c>
      <c r="E25" s="2600"/>
      <c r="F25" s="2684">
        <f>'exchange rates'!K6</f>
        <v>0.72762000000000004</v>
      </c>
      <c r="G25" s="2649">
        <f>17.52/F25</f>
        <v>24.078502515049063</v>
      </c>
      <c r="H25" s="2650">
        <f>262/F25</f>
        <v>360.07806272504877</v>
      </c>
      <c r="I25" s="2651">
        <v>0</v>
      </c>
      <c r="J25" s="2652"/>
      <c r="K25" s="313">
        <f>Tabel668926[[#This Row],[Fix.ch. 2017]]+Tabel668926[[#This Row],[Var. ch. 2017]]+Tabel668926[[#This Row],[Oth. ch. DW 2017]]+Tabel668926[[#This Row],[VAT DW 2017]]</f>
        <v>384.15656524009785</v>
      </c>
      <c r="L25" s="2653">
        <v>0</v>
      </c>
      <c r="M25" s="2654"/>
      <c r="N25" s="2655">
        <f>382.6/F25</f>
        <v>525.82391907863996</v>
      </c>
      <c r="O25" s="2652"/>
      <c r="P25" s="2656">
        <v>0</v>
      </c>
      <c r="Q25" s="2652"/>
      <c r="R25" s="2657">
        <f>Tabel668926[[#This Row],[VAT DW 2017]]+Tabel668926[[#This Row],[VAT Sew. 2017]]+Tabel668926[[#This Row],[VAT WW 2017]]+Tabel668926[[#This Row],[VAT Other ch. 2017]]</f>
        <v>0</v>
      </c>
      <c r="S25" s="318">
        <f>Tabel668926[[#This Row],[Total. ch. DW 2017]]+Tabel668926[[#This Row],[Sew. 2017]]+Tabel668926[[#This Row],[VAT Sew. 2017]]+Tabel668926[[#This Row],[WW 2017]]+Tabel668926[[#This Row],[VAT WW 2017]]+Tabel668926[[#This Row],[Other ch. 2017]]+Tabel668926[[#This Row],[VAT Other ch. 2017]]</f>
        <v>909.98048431873781</v>
      </c>
      <c r="T25" s="2587"/>
      <c r="U25" s="2601"/>
      <c r="V25" s="2602"/>
      <c r="W25" s="2603"/>
      <c r="X25" s="2604"/>
      <c r="Y25" s="2605"/>
      <c r="Z25" s="2606"/>
      <c r="AA25" s="2604"/>
      <c r="AB25" s="2607"/>
      <c r="AC25" s="2604"/>
      <c r="AD25" s="2608"/>
      <c r="AE25" s="2604"/>
      <c r="AF25" s="2609"/>
      <c r="AG25" s="1791"/>
      <c r="AH25" s="2587"/>
      <c r="AI25" s="2634"/>
      <c r="AJ25" s="2598" t="s">
        <v>429</v>
      </c>
      <c r="AK25" s="2634"/>
      <c r="AL25" s="2634"/>
      <c r="AM25" s="2598" t="s">
        <v>429</v>
      </c>
      <c r="AN25" s="2598"/>
      <c r="AO25" s="2634"/>
      <c r="AP25" s="2587"/>
    </row>
    <row r="26" spans="1:42" ht="15.75" customHeight="1" x14ac:dyDescent="0.25">
      <c r="A26" s="2647"/>
      <c r="B26" s="2683" t="s">
        <v>61</v>
      </c>
      <c r="C26" s="2683"/>
      <c r="D26" s="2683" t="s">
        <v>1030</v>
      </c>
      <c r="E26" s="2600"/>
      <c r="F26" s="2684">
        <f>'exchange rates'!K6</f>
        <v>0.72762000000000004</v>
      </c>
      <c r="G26" s="2649">
        <f>62.59/F26</f>
        <v>86.020175366262606</v>
      </c>
      <c r="H26" s="2650">
        <f>165.58/F26</f>
        <v>227.5638382672274</v>
      </c>
      <c r="I26" s="2651">
        <v>0</v>
      </c>
      <c r="J26" s="2652"/>
      <c r="K26" s="313">
        <f>Tabel668926[[#This Row],[Fix.ch. 2017]]+Tabel668926[[#This Row],[Var. ch. 2017]]+Tabel668926[[#This Row],[Oth. ch. DW 2017]]+Tabel668926[[#This Row],[VAT DW 2017]]</f>
        <v>313.58401363349003</v>
      </c>
      <c r="L26" s="2653">
        <f>0</f>
        <v>0</v>
      </c>
      <c r="M26" s="2654"/>
      <c r="N26" s="2655">
        <f>192.04/F26</f>
        <v>263.92897391495558</v>
      </c>
      <c r="O26" s="2652"/>
      <c r="P26" s="2656">
        <v>0</v>
      </c>
      <c r="Q26" s="2652"/>
      <c r="R26" s="2657">
        <f>Tabel668926[[#This Row],[VAT DW 2017]]+Tabel668926[[#This Row],[VAT Sew. 2017]]+Tabel668926[[#This Row],[VAT WW 2017]]+Tabel668926[[#This Row],[VAT Other ch. 2017]]</f>
        <v>0</v>
      </c>
      <c r="S26" s="318">
        <f>Tabel668926[[#This Row],[Total. ch. DW 2017]]+Tabel668926[[#This Row],[Sew. 2017]]+Tabel668926[[#This Row],[VAT Sew. 2017]]+Tabel668926[[#This Row],[WW 2017]]+Tabel668926[[#This Row],[VAT WW 2017]]+Tabel668926[[#This Row],[Other ch. 2017]]+Tabel668926[[#This Row],[VAT Other ch. 2017]]</f>
        <v>577.51298754844561</v>
      </c>
      <c r="T26" s="2587"/>
      <c r="U26" s="2601"/>
      <c r="V26" s="2602"/>
      <c r="W26" s="2603"/>
      <c r="X26" s="2604"/>
      <c r="Y26" s="2605"/>
      <c r="Z26" s="2606"/>
      <c r="AA26" s="2604"/>
      <c r="AB26" s="2607"/>
      <c r="AC26" s="2604"/>
      <c r="AD26" s="2608"/>
      <c r="AE26" s="2604"/>
      <c r="AF26" s="2609"/>
      <c r="AG26" s="1791"/>
      <c r="AH26" s="2587"/>
      <c r="AI26" s="2634"/>
      <c r="AJ26" s="2598" t="s">
        <v>429</v>
      </c>
      <c r="AK26" s="2634"/>
      <c r="AL26" s="2634"/>
      <c r="AM26" s="2598" t="s">
        <v>429</v>
      </c>
      <c r="AN26" s="2598"/>
      <c r="AO26" s="2634"/>
      <c r="AP26" s="2587"/>
    </row>
    <row r="27" spans="1:42" ht="15.75" customHeight="1" x14ac:dyDescent="0.25">
      <c r="A27" s="2647"/>
      <c r="B27" s="2683" t="s">
        <v>62</v>
      </c>
      <c r="C27" s="2683"/>
      <c r="D27" s="2683" t="s">
        <v>1030</v>
      </c>
      <c r="E27" s="2600"/>
      <c r="F27" s="2684">
        <f>'exchange rates'!K6</f>
        <v>0.72762000000000004</v>
      </c>
      <c r="G27" s="2649">
        <f>23.4/F27</f>
        <v>32.159643770099777</v>
      </c>
      <c r="H27" s="2650">
        <f>293.62/F27</f>
        <v>403.53481212720925</v>
      </c>
      <c r="I27" s="2651">
        <v>0</v>
      </c>
      <c r="J27" s="2652"/>
      <c r="K27" s="313">
        <f>Tabel668926[[#This Row],[Fix.ch. 2017]]+Tabel668926[[#This Row],[Var. ch. 2017]]+Tabel668926[[#This Row],[Oth. ch. DW 2017]]+Tabel668926[[#This Row],[VAT DW 2017]]</f>
        <v>435.69445589730901</v>
      </c>
      <c r="L27" s="2653">
        <v>0</v>
      </c>
      <c r="M27" s="2654"/>
      <c r="N27" s="2655">
        <f>496/F27</f>
        <v>681.67450042604651</v>
      </c>
      <c r="O27" s="2652"/>
      <c r="P27" s="2656">
        <v>0</v>
      </c>
      <c r="Q27" s="2652"/>
      <c r="R27" s="2657">
        <f>Tabel668926[[#This Row],[VAT DW 2017]]+Tabel668926[[#This Row],[VAT Sew. 2017]]+Tabel668926[[#This Row],[VAT WW 2017]]+Tabel668926[[#This Row],[VAT Other ch. 2017]]</f>
        <v>0</v>
      </c>
      <c r="S27" s="318">
        <f>Tabel668926[[#This Row],[Total. ch. DW 2017]]+Tabel668926[[#This Row],[Sew. 2017]]+Tabel668926[[#This Row],[VAT Sew. 2017]]+Tabel668926[[#This Row],[WW 2017]]+Tabel668926[[#This Row],[VAT WW 2017]]+Tabel668926[[#This Row],[Other ch. 2017]]+Tabel668926[[#This Row],[VAT Other ch. 2017]]</f>
        <v>1117.3689563233556</v>
      </c>
      <c r="T27" s="2587"/>
      <c r="U27" s="2601"/>
      <c r="V27" s="2602"/>
      <c r="W27" s="2603"/>
      <c r="X27" s="2604"/>
      <c r="Y27" s="2605"/>
      <c r="Z27" s="2606"/>
      <c r="AA27" s="2604"/>
      <c r="AB27" s="2607"/>
      <c r="AC27" s="2604"/>
      <c r="AD27" s="2608"/>
      <c r="AE27" s="2604"/>
      <c r="AF27" s="2609"/>
      <c r="AG27" s="1791"/>
      <c r="AH27" s="2587"/>
      <c r="AI27" s="2634"/>
      <c r="AJ27" s="2598" t="s">
        <v>429</v>
      </c>
      <c r="AK27" s="2634"/>
      <c r="AL27" s="2634"/>
      <c r="AM27" s="2598" t="s">
        <v>429</v>
      </c>
      <c r="AN27" s="2598"/>
      <c r="AO27" s="2634"/>
      <c r="AP27" s="2587"/>
    </row>
    <row r="28" spans="1:42" ht="15.75" customHeight="1" thickBot="1" x14ac:dyDescent="0.3">
      <c r="A28" s="2661"/>
      <c r="B28" s="2685" t="s">
        <v>63</v>
      </c>
      <c r="C28" s="2686" t="s">
        <v>429</v>
      </c>
      <c r="D28" s="2686" t="s">
        <v>1030</v>
      </c>
      <c r="E28" s="2663"/>
      <c r="F28" s="2684">
        <f>'exchange rates'!K6</f>
        <v>0.72762000000000004</v>
      </c>
      <c r="G28" s="2649">
        <f>21.72/F28</f>
        <v>29.850746268656714</v>
      </c>
      <c r="H28" s="2650">
        <f>311.4/F28</f>
        <v>427.97064401748162</v>
      </c>
      <c r="I28" s="2651">
        <v>0</v>
      </c>
      <c r="J28" s="2652"/>
      <c r="K28" s="313">
        <f>Tabel668926[[#This Row],[Fix.ch. 2017]]+Tabel668926[[#This Row],[Var. ch. 2017]]+Tabel668926[[#This Row],[Oth. ch. DW 2017]]+Tabel668926[[#This Row],[VAT DW 2017]]</f>
        <v>457.82139028613835</v>
      </c>
      <c r="L28" s="2653">
        <v>0</v>
      </c>
      <c r="M28" s="2654"/>
      <c r="N28" s="2655">
        <f>354.6/F28</f>
        <v>487.34229405458893</v>
      </c>
      <c r="O28" s="2652"/>
      <c r="P28" s="2656">
        <v>0</v>
      </c>
      <c r="Q28" s="2652"/>
      <c r="R28" s="2657">
        <f>Tabel668926[[#This Row],[VAT DW 2017]]+Tabel668926[[#This Row],[VAT Sew. 2017]]+Tabel668926[[#This Row],[VAT WW 2017]]+Tabel668926[[#This Row],[VAT Other ch. 2017]]</f>
        <v>0</v>
      </c>
      <c r="S28" s="318">
        <f>Tabel668926[[#This Row],[Total. ch. DW 2017]]+Tabel668926[[#This Row],[Sew. 2017]]+Tabel668926[[#This Row],[VAT Sew. 2017]]+Tabel668926[[#This Row],[WW 2017]]+Tabel668926[[#This Row],[VAT WW 2017]]+Tabel668926[[#This Row],[Other ch. 2017]]+Tabel668926[[#This Row],[VAT Other ch. 2017]]</f>
        <v>945.16368434072729</v>
      </c>
      <c r="T28" s="2587"/>
      <c r="U28" s="2664"/>
      <c r="V28" s="2665"/>
      <c r="W28" s="2666"/>
      <c r="X28" s="2615"/>
      <c r="Y28" s="2667"/>
      <c r="Z28" s="2668"/>
      <c r="AA28" s="2615"/>
      <c r="AB28" s="2669"/>
      <c r="AC28" s="2615"/>
      <c r="AD28" s="2670"/>
      <c r="AE28" s="2615"/>
      <c r="AF28" s="2671"/>
      <c r="AG28" s="1792"/>
      <c r="AH28" s="2587"/>
      <c r="AI28" s="2634"/>
      <c r="AJ28" s="2598" t="s">
        <v>429</v>
      </c>
      <c r="AK28" s="2634"/>
      <c r="AL28" s="2634"/>
      <c r="AM28" s="2598" t="s">
        <v>429</v>
      </c>
      <c r="AN28" s="2598"/>
      <c r="AO28" s="2634"/>
      <c r="AP28" s="2587"/>
    </row>
    <row r="29" spans="1:42" ht="15.75" customHeight="1" x14ac:dyDescent="0.25">
      <c r="A29" s="2687" t="s">
        <v>6</v>
      </c>
      <c r="B29" s="2688" t="s">
        <v>67</v>
      </c>
      <c r="C29" s="2689"/>
      <c r="D29" s="2689" t="s">
        <v>1032</v>
      </c>
      <c r="E29" s="2690">
        <v>46300</v>
      </c>
      <c r="F29" s="2577">
        <f>'exchange rates'!$O$7</f>
        <v>0.83301000000000003</v>
      </c>
      <c r="G29" s="2578">
        <v>0</v>
      </c>
      <c r="H29" s="2579">
        <f>345.08/F29</f>
        <v>414.25673161186535</v>
      </c>
      <c r="I29" s="2580">
        <v>0</v>
      </c>
      <c r="J29" s="2581">
        <f>20.7/F29</f>
        <v>24.849641660964451</v>
      </c>
      <c r="K29" s="566">
        <f>Tabel668926[[#This Row],[Fix.ch. 2017]]+Tabel668926[[#This Row],[Var. ch. 2017]]+Tabel668926[[#This Row],[Oth. ch. DW 2017]]+Tabel668926[[#This Row],[VAT DW 2017]]</f>
        <v>439.10637327282979</v>
      </c>
      <c r="L29" s="2582">
        <f>265.28/F29</f>
        <v>318.4595623101763</v>
      </c>
      <c r="M29" s="2583">
        <f>15.92/F29</f>
        <v>19.111415229108893</v>
      </c>
      <c r="N29" s="2584">
        <f>189.48/F29</f>
        <v>227.46425613137896</v>
      </c>
      <c r="O29" s="2581">
        <f>11.37/F29</f>
        <v>13.649295926819605</v>
      </c>
      <c r="P29" s="2585">
        <v>0</v>
      </c>
      <c r="Q29" s="2581">
        <v>0</v>
      </c>
      <c r="R29" s="2586">
        <f>Tabel668926[[#This Row],[VAT DW 2017]]+Tabel668926[[#This Row],[VAT Sew. 2017]]+Tabel668926[[#This Row],[VAT WW 2017]]+Tabel668926[[#This Row],[VAT Other ch. 2017]]</f>
        <v>57.610352816892949</v>
      </c>
      <c r="S29" s="571">
        <f>Tabel668926[[#This Row],[Total. ch. DW 2017]]+Tabel668926[[#This Row],[Sew. 2017]]+Tabel668926[[#This Row],[VAT Sew. 2017]]+Tabel668926[[#This Row],[WW 2017]]+Tabel668926[[#This Row],[VAT WW 2017]]+Tabel668926[[#This Row],[Other ch. 2017]]+Tabel668926[[#This Row],[VAT Other ch. 2017]]</f>
        <v>1017.7909028703135</v>
      </c>
      <c r="T29" s="2587"/>
      <c r="U29" s="2674">
        <f>MEDIAN(G29:G36)</f>
        <v>0</v>
      </c>
      <c r="V29" s="2675">
        <f>MEDIAN(H29:H36)</f>
        <v>466.14686498361357</v>
      </c>
      <c r="W29" s="2676">
        <f>MEDIAN(I29:I36)</f>
        <v>0</v>
      </c>
      <c r="X29" s="2591">
        <f>MEDIAN(J29:J36)</f>
        <v>27.964850361940432</v>
      </c>
      <c r="Y29" s="2677">
        <f>SUM(U29:X36)</f>
        <v>494.11171534555399</v>
      </c>
      <c r="Z29" s="2678">
        <f t="shared" ref="Z29:AF29" si="2">MEDIAN(L29:L36)</f>
        <v>293.4598624266215</v>
      </c>
      <c r="AA29" s="2591">
        <f t="shared" si="2"/>
        <v>17.610833003205244</v>
      </c>
      <c r="AB29" s="2679">
        <f t="shared" si="2"/>
        <v>238.83866940372866</v>
      </c>
      <c r="AC29" s="2591">
        <f t="shared" si="2"/>
        <v>14.33356142183167</v>
      </c>
      <c r="AD29" s="2680">
        <f t="shared" si="2"/>
        <v>0</v>
      </c>
      <c r="AE29" s="2591">
        <f t="shared" si="2"/>
        <v>0</v>
      </c>
      <c r="AF29" s="2681">
        <f t="shared" si="2"/>
        <v>58.06052748466405</v>
      </c>
      <c r="AG29" s="1817">
        <f>Y29+Z29+AA29+AB29+AC29+AD29+AE29</f>
        <v>1058.3546416009412</v>
      </c>
      <c r="AH29" s="2587"/>
      <c r="AI29" s="2634"/>
      <c r="AJ29" s="2634"/>
      <c r="AK29" s="2634"/>
      <c r="AL29" s="2597" t="s">
        <v>429</v>
      </c>
      <c r="AM29" s="2597" t="s">
        <v>429</v>
      </c>
      <c r="AN29" s="2682"/>
      <c r="AO29" s="2634"/>
      <c r="AP29" s="2587"/>
    </row>
    <row r="30" spans="1:42" ht="15.75" customHeight="1" x14ac:dyDescent="0.25">
      <c r="A30" s="2691"/>
      <c r="B30" s="2692" t="s">
        <v>71</v>
      </c>
      <c r="C30" s="2689"/>
      <c r="D30" s="2689" t="s">
        <v>1032</v>
      </c>
      <c r="E30" s="2693"/>
      <c r="F30" s="2577">
        <f>'exchange rates'!$O$7</f>
        <v>0.83301000000000003</v>
      </c>
      <c r="G30" s="2578">
        <f>0/F30</f>
        <v>0</v>
      </c>
      <c r="H30" s="2579">
        <f>295.61/F30</f>
        <v>354.86968943950251</v>
      </c>
      <c r="I30" s="2580">
        <v>0</v>
      </c>
      <c r="J30" s="2581">
        <f>17.74/F30</f>
        <v>21.296262950024605</v>
      </c>
      <c r="K30" s="566">
        <f>Tabel668926[[#This Row],[Fix.ch. 2017]]+Tabel668926[[#This Row],[Var. ch. 2017]]+Tabel668926[[#This Row],[Oth. ch. DW 2017]]+Tabel668926[[#This Row],[VAT DW 2017]]</f>
        <v>376.16595238952709</v>
      </c>
      <c r="L30" s="2582">
        <f>223.63/F30</f>
        <v>268.4601625430667</v>
      </c>
      <c r="M30" s="2583">
        <f>13.42/F30</f>
        <v>16.110250777301591</v>
      </c>
      <c r="N30" s="2584">
        <f>208.43/F30</f>
        <v>250.21308267607833</v>
      </c>
      <c r="O30" s="2581">
        <f>12.51/F30</f>
        <v>15.017826916843735</v>
      </c>
      <c r="P30" s="2585">
        <v>0</v>
      </c>
      <c r="Q30" s="2581">
        <v>0</v>
      </c>
      <c r="R30" s="2586">
        <f>Tabel668926[[#This Row],[VAT DW 2017]]+Tabel668926[[#This Row],[VAT Sew. 2017]]+Tabel668926[[#This Row],[VAT WW 2017]]+Tabel668926[[#This Row],[VAT Other ch. 2017]]</f>
        <v>52.424340644169931</v>
      </c>
      <c r="S30" s="571">
        <f>Tabel668926[[#This Row],[Total. ch. DW 2017]]+Tabel668926[[#This Row],[Sew. 2017]]+Tabel668926[[#This Row],[VAT Sew. 2017]]+Tabel668926[[#This Row],[WW 2017]]+Tabel668926[[#This Row],[VAT WW 2017]]+Tabel668926[[#This Row],[Other ch. 2017]]+Tabel668926[[#This Row],[VAT Other ch. 2017]]</f>
        <v>925.96727530281748</v>
      </c>
      <c r="T30" s="2587"/>
      <c r="U30" s="2601"/>
      <c r="V30" s="2602"/>
      <c r="W30" s="2603"/>
      <c r="X30" s="2604"/>
      <c r="Y30" s="2605"/>
      <c r="Z30" s="2606"/>
      <c r="AA30" s="2604"/>
      <c r="AB30" s="2607"/>
      <c r="AC30" s="2604"/>
      <c r="AD30" s="2608"/>
      <c r="AE30" s="2604"/>
      <c r="AF30" s="2609"/>
      <c r="AG30" s="1791"/>
      <c r="AH30" s="2587"/>
      <c r="AI30" s="2634"/>
      <c r="AJ30" s="2634"/>
      <c r="AK30" s="2634"/>
      <c r="AL30" s="2597" t="s">
        <v>429</v>
      </c>
      <c r="AM30" s="2597" t="s">
        <v>429</v>
      </c>
      <c r="AN30" s="2682"/>
      <c r="AO30" s="2634"/>
      <c r="AP30" s="2587"/>
    </row>
    <row r="31" spans="1:42" ht="15.75" customHeight="1" x14ac:dyDescent="0.25">
      <c r="A31" s="2691"/>
      <c r="B31" s="2692" t="s">
        <v>68</v>
      </c>
      <c r="C31" s="2689" t="s">
        <v>429</v>
      </c>
      <c r="D31" s="2689" t="s">
        <v>1032</v>
      </c>
      <c r="E31" s="2693"/>
      <c r="F31" s="2577">
        <f>'exchange rates'!$O$7</f>
        <v>0.83301000000000003</v>
      </c>
      <c r="G31" s="2578">
        <f>24/F31</f>
        <v>28.81117873735009</v>
      </c>
      <c r="H31" s="2579">
        <f>456.92/F31</f>
        <v>548.51682452791681</v>
      </c>
      <c r="I31" s="2580">
        <v>0</v>
      </c>
      <c r="J31" s="2581">
        <f>28.86/F31</f>
        <v>34.645442431663483</v>
      </c>
      <c r="K31" s="566">
        <f>Tabel668926[[#This Row],[Fix.ch. 2017]]+Tabel668926[[#This Row],[Var. ch. 2017]]+Tabel668926[[#This Row],[Oth. ch. DW 2017]]+Tabel668926[[#This Row],[VAT DW 2017]]</f>
        <v>611.97344569693041</v>
      </c>
      <c r="L31" s="2582">
        <f>213.7/F31</f>
        <v>256.5395373404881</v>
      </c>
      <c r="M31" s="2583">
        <f>12.82/F31</f>
        <v>15.389971308867841</v>
      </c>
      <c r="N31" s="2584">
        <f>117.7/F31</f>
        <v>141.29482239108773</v>
      </c>
      <c r="O31" s="2581">
        <f>7.06/F31</f>
        <v>8.4752884119038185</v>
      </c>
      <c r="P31" s="2585">
        <v>0</v>
      </c>
      <c r="Q31" s="2581">
        <v>0</v>
      </c>
      <c r="R31" s="2586">
        <f>Tabel668926[[#This Row],[VAT DW 2017]]+Tabel668926[[#This Row],[VAT Sew. 2017]]+Tabel668926[[#This Row],[VAT WW 2017]]+Tabel668926[[#This Row],[VAT Other ch. 2017]]</f>
        <v>58.510702152435144</v>
      </c>
      <c r="S31" s="571">
        <f>Tabel668926[[#This Row],[Total. ch. DW 2017]]+Tabel668926[[#This Row],[Sew. 2017]]+Tabel668926[[#This Row],[VAT Sew. 2017]]+Tabel668926[[#This Row],[WW 2017]]+Tabel668926[[#This Row],[VAT WW 2017]]+Tabel668926[[#This Row],[Other ch. 2017]]+Tabel668926[[#This Row],[VAT Other ch. 2017]]</f>
        <v>1033.673065149278</v>
      </c>
      <c r="T31" s="2587"/>
      <c r="U31" s="2601"/>
      <c r="V31" s="2602"/>
      <c r="W31" s="2603"/>
      <c r="X31" s="2604"/>
      <c r="Y31" s="2605"/>
      <c r="Z31" s="2606"/>
      <c r="AA31" s="2604"/>
      <c r="AB31" s="2607"/>
      <c r="AC31" s="2604"/>
      <c r="AD31" s="2608"/>
      <c r="AE31" s="2604"/>
      <c r="AF31" s="2609"/>
      <c r="AG31" s="1791"/>
      <c r="AH31" s="2587"/>
      <c r="AI31" s="2634"/>
      <c r="AJ31" s="2634"/>
      <c r="AK31" s="2634"/>
      <c r="AL31" s="2597" t="s">
        <v>429</v>
      </c>
      <c r="AM31" s="2597" t="s">
        <v>429</v>
      </c>
      <c r="AN31" s="2682"/>
      <c r="AO31" s="2634"/>
      <c r="AP31" s="2587"/>
    </row>
    <row r="32" spans="1:42" ht="15.75" customHeight="1" x14ac:dyDescent="0.25">
      <c r="A32" s="2691"/>
      <c r="B32" s="2692" t="s">
        <v>72</v>
      </c>
      <c r="C32" s="2689"/>
      <c r="D32" s="2689" t="s">
        <v>1032</v>
      </c>
      <c r="E32" s="2693"/>
      <c r="F32" s="2577">
        <f>'exchange rates'!$O$7</f>
        <v>0.83301000000000003</v>
      </c>
      <c r="G32" s="2578">
        <f>56.17/F32</f>
        <v>67.430162903206437</v>
      </c>
      <c r="H32" s="2579">
        <f>519.59/F32</f>
        <v>623.75001500582232</v>
      </c>
      <c r="I32" s="2580">
        <f>5.18/F32</f>
        <v>6.2184127441447279</v>
      </c>
      <c r="J32" s="2581">
        <f>34.86/F32</f>
        <v>41.848237116001009</v>
      </c>
      <c r="K32" s="566">
        <f>Tabel668926[[#This Row],[Fix.ch. 2017]]+Tabel668926[[#This Row],[Var. ch. 2017]]+Tabel668926[[#This Row],[Oth. ch. DW 2017]]+Tabel668926[[#This Row],[VAT DW 2017]]</f>
        <v>739.2468277691745</v>
      </c>
      <c r="L32" s="2582">
        <v>0</v>
      </c>
      <c r="M32" s="2583">
        <v>0</v>
      </c>
      <c r="N32" s="2584">
        <f>448/F32</f>
        <v>537.80866976386835</v>
      </c>
      <c r="O32" s="2581">
        <f>26.86/F32</f>
        <v>32.244510870217646</v>
      </c>
      <c r="P32" s="2585">
        <v>0</v>
      </c>
      <c r="Q32" s="2581">
        <v>0</v>
      </c>
      <c r="R32" s="2586">
        <f>Tabel668926[[#This Row],[VAT DW 2017]]+Tabel668926[[#This Row],[VAT Sew. 2017]]+Tabel668926[[#This Row],[VAT WW 2017]]+Tabel668926[[#This Row],[VAT Other ch. 2017]]</f>
        <v>74.092747986218654</v>
      </c>
      <c r="S32" s="571">
        <f>Tabel668926[[#This Row],[Total. ch. DW 2017]]+Tabel668926[[#This Row],[Sew. 2017]]+Tabel668926[[#This Row],[VAT Sew. 2017]]+Tabel668926[[#This Row],[WW 2017]]+Tabel668926[[#This Row],[VAT WW 2017]]+Tabel668926[[#This Row],[Other ch. 2017]]+Tabel668926[[#This Row],[VAT Other ch. 2017]]</f>
        <v>1309.3000084032606</v>
      </c>
      <c r="T32" s="2587"/>
      <c r="U32" s="2601"/>
      <c r="V32" s="2602"/>
      <c r="W32" s="2603"/>
      <c r="X32" s="2604"/>
      <c r="Y32" s="2605"/>
      <c r="Z32" s="2606"/>
      <c r="AA32" s="2604"/>
      <c r="AB32" s="2607"/>
      <c r="AC32" s="2604"/>
      <c r="AD32" s="2608"/>
      <c r="AE32" s="2604"/>
      <c r="AF32" s="2609"/>
      <c r="AG32" s="1791"/>
      <c r="AH32" s="2587"/>
      <c r="AI32" s="2634"/>
      <c r="AJ32" s="2634"/>
      <c r="AK32" s="2634"/>
      <c r="AL32" s="2597" t="s">
        <v>429</v>
      </c>
      <c r="AM32" s="2597" t="s">
        <v>429</v>
      </c>
      <c r="AN32" s="2597" t="s">
        <v>429</v>
      </c>
      <c r="AO32" s="2634"/>
      <c r="AP32" s="2587"/>
    </row>
    <row r="33" spans="1:42" ht="15.75" customHeight="1" x14ac:dyDescent="0.25">
      <c r="A33" s="2691"/>
      <c r="B33" s="2692" t="s">
        <v>69</v>
      </c>
      <c r="C33" s="2689"/>
      <c r="D33" s="2689" t="s">
        <v>1032</v>
      </c>
      <c r="E33" s="2693"/>
      <c r="F33" s="2577">
        <f>'exchange rates'!$O$7</f>
        <v>0.83301000000000003</v>
      </c>
      <c r="G33" s="2578">
        <v>0</v>
      </c>
      <c r="H33" s="2579">
        <f>345.08/F33</f>
        <v>414.25673161186535</v>
      </c>
      <c r="I33" s="2580">
        <v>0</v>
      </c>
      <c r="J33" s="2581">
        <f>20.7/F33</f>
        <v>24.849641660964451</v>
      </c>
      <c r="K33" s="566">
        <f>Tabel668926[[#This Row],[Fix.ch. 2017]]+Tabel668926[[#This Row],[Var. ch. 2017]]+Tabel668926[[#This Row],[Oth. ch. DW 2017]]+Tabel668926[[#This Row],[VAT DW 2017]]</f>
        <v>439.10637327282979</v>
      </c>
      <c r="L33" s="2582">
        <f>265.28/F33</f>
        <v>318.4595623101763</v>
      </c>
      <c r="M33" s="2583">
        <f>15.92/F33</f>
        <v>19.111415229108893</v>
      </c>
      <c r="N33" s="2584">
        <f>189.48/F33</f>
        <v>227.46425613137896</v>
      </c>
      <c r="O33" s="2581">
        <f>11.37/F33</f>
        <v>13.649295926819605</v>
      </c>
      <c r="P33" s="2585">
        <v>0</v>
      </c>
      <c r="Q33" s="2581">
        <v>0</v>
      </c>
      <c r="R33" s="2586">
        <f>Tabel668926[[#This Row],[VAT DW 2017]]+Tabel668926[[#This Row],[VAT Sew. 2017]]+Tabel668926[[#This Row],[VAT WW 2017]]+Tabel668926[[#This Row],[VAT Other ch. 2017]]</f>
        <v>57.610352816892949</v>
      </c>
      <c r="S33" s="571">
        <f>Tabel668926[[#This Row],[Total. ch. DW 2017]]+Tabel668926[[#This Row],[Sew. 2017]]+Tabel668926[[#This Row],[VAT Sew. 2017]]+Tabel668926[[#This Row],[WW 2017]]+Tabel668926[[#This Row],[VAT WW 2017]]+Tabel668926[[#This Row],[Other ch. 2017]]+Tabel668926[[#This Row],[VAT Other ch. 2017]]</f>
        <v>1017.7909028703135</v>
      </c>
      <c r="T33" s="2587"/>
      <c r="U33" s="2601"/>
      <c r="V33" s="2602"/>
      <c r="W33" s="2603"/>
      <c r="X33" s="2604"/>
      <c r="Y33" s="2605"/>
      <c r="Z33" s="2606"/>
      <c r="AA33" s="2604"/>
      <c r="AB33" s="2607"/>
      <c r="AC33" s="2604"/>
      <c r="AD33" s="2608"/>
      <c r="AE33" s="2604"/>
      <c r="AF33" s="2609"/>
      <c r="AG33" s="1791"/>
      <c r="AH33" s="2587"/>
      <c r="AI33" s="2634"/>
      <c r="AJ33" s="2634"/>
      <c r="AK33" s="2634"/>
      <c r="AL33" s="2597" t="s">
        <v>429</v>
      </c>
      <c r="AM33" s="2597" t="s">
        <v>429</v>
      </c>
      <c r="AN33" s="2682"/>
      <c r="AO33" s="2634"/>
      <c r="AP33" s="2587"/>
    </row>
    <row r="34" spans="1:42" ht="15.75" customHeight="1" x14ac:dyDescent="0.25">
      <c r="A34" s="2691"/>
      <c r="B34" s="2692" t="s">
        <v>70</v>
      </c>
      <c r="C34" s="2689"/>
      <c r="D34" s="2689" t="s">
        <v>1032</v>
      </c>
      <c r="E34" s="2693"/>
      <c r="F34" s="2577">
        <f>'exchange rates'!$O$7</f>
        <v>0.83301000000000003</v>
      </c>
      <c r="G34" s="2578">
        <v>0</v>
      </c>
      <c r="H34" s="2579">
        <f>345.08/F34</f>
        <v>414.25673161186535</v>
      </c>
      <c r="I34" s="2580">
        <v>0</v>
      </c>
      <c r="J34" s="2581">
        <f>20.7/F34</f>
        <v>24.849641660964451</v>
      </c>
      <c r="K34" s="566">
        <f>Tabel668926[[#This Row],[Fix.ch. 2017]]+Tabel668926[[#This Row],[Var. ch. 2017]]+Tabel668926[[#This Row],[Oth. ch. DW 2017]]+Tabel668926[[#This Row],[VAT DW 2017]]</f>
        <v>439.10637327282979</v>
      </c>
      <c r="L34" s="2582">
        <f>265.28/F34</f>
        <v>318.4595623101763</v>
      </c>
      <c r="M34" s="2583">
        <f>15.92/F34</f>
        <v>19.111415229108893</v>
      </c>
      <c r="N34" s="2584">
        <f>189.48/F34</f>
        <v>227.46425613137896</v>
      </c>
      <c r="O34" s="2581">
        <f>11.37/F34</f>
        <v>13.649295926819605</v>
      </c>
      <c r="P34" s="2585">
        <v>0</v>
      </c>
      <c r="Q34" s="2581">
        <v>0</v>
      </c>
      <c r="R34" s="2586">
        <f>Tabel668926[[#This Row],[VAT DW 2017]]+Tabel668926[[#This Row],[VAT Sew. 2017]]+Tabel668926[[#This Row],[VAT WW 2017]]+Tabel668926[[#This Row],[VAT Other ch. 2017]]</f>
        <v>57.610352816892949</v>
      </c>
      <c r="S34" s="571">
        <f>Tabel668926[[#This Row],[Total. ch. DW 2017]]+Tabel668926[[#This Row],[Sew. 2017]]+Tabel668926[[#This Row],[VAT Sew. 2017]]+Tabel668926[[#This Row],[WW 2017]]+Tabel668926[[#This Row],[VAT WW 2017]]+Tabel668926[[#This Row],[Other ch. 2017]]+Tabel668926[[#This Row],[VAT Other ch. 2017]]</f>
        <v>1017.7909028703135</v>
      </c>
      <c r="T34" s="2587"/>
      <c r="U34" s="2601"/>
      <c r="V34" s="2602"/>
      <c r="W34" s="2603"/>
      <c r="X34" s="2604"/>
      <c r="Y34" s="2605"/>
      <c r="Z34" s="2606"/>
      <c r="AA34" s="2604"/>
      <c r="AB34" s="2607"/>
      <c r="AC34" s="2604"/>
      <c r="AD34" s="2608"/>
      <c r="AE34" s="2604"/>
      <c r="AF34" s="2609"/>
      <c r="AG34" s="1791"/>
      <c r="AH34" s="2587"/>
      <c r="AI34" s="2634"/>
      <c r="AJ34" s="2634"/>
      <c r="AK34" s="2634"/>
      <c r="AL34" s="2597" t="s">
        <v>429</v>
      </c>
      <c r="AM34" s="2597" t="s">
        <v>429</v>
      </c>
      <c r="AN34" s="2682"/>
      <c r="AO34" s="2634"/>
      <c r="AP34" s="2587"/>
    </row>
    <row r="35" spans="1:42" ht="15.75" customHeight="1" x14ac:dyDescent="0.25">
      <c r="A35" s="2691"/>
      <c r="B35" s="2688" t="s">
        <v>216</v>
      </c>
      <c r="C35" s="2689"/>
      <c r="D35" s="2689" t="s">
        <v>1032</v>
      </c>
      <c r="E35" s="2693"/>
      <c r="F35" s="2577">
        <f>'exchange rates'!$O$7</f>
        <v>0.83301000000000003</v>
      </c>
      <c r="G35" s="2578">
        <f>0</f>
        <v>0</v>
      </c>
      <c r="H35" s="2579">
        <f>431.53/F35</f>
        <v>518.03699835536179</v>
      </c>
      <c r="I35" s="2580">
        <v>0</v>
      </c>
      <c r="J35" s="2581">
        <f>25.89/F35</f>
        <v>31.080059062916412</v>
      </c>
      <c r="K35" s="566">
        <f>Tabel668926[[#This Row],[Fix.ch. 2017]]+Tabel668926[[#This Row],[Var. ch. 2017]]+Tabel668926[[#This Row],[Oth. ch. DW 2017]]+Tabel668926[[#This Row],[VAT DW 2017]]</f>
        <v>549.11705741827825</v>
      </c>
      <c r="L35" s="2582">
        <f>291.81/F35</f>
        <v>350.30791947275543</v>
      </c>
      <c r="M35" s="2583">
        <f>17.51/F35</f>
        <v>21.020155820458339</v>
      </c>
      <c r="N35" s="2584">
        <f>208.43/F35</f>
        <v>250.21308267607833</v>
      </c>
      <c r="O35" s="2581">
        <f>12.51/F35</f>
        <v>15.017826916843735</v>
      </c>
      <c r="P35" s="2585">
        <v>0</v>
      </c>
      <c r="Q35" s="2581">
        <v>0</v>
      </c>
      <c r="R35" s="2586">
        <f>Tabel668926[[#This Row],[VAT DW 2017]]+Tabel668926[[#This Row],[VAT Sew. 2017]]+Tabel668926[[#This Row],[VAT WW 2017]]+Tabel668926[[#This Row],[VAT Other ch. 2017]]</f>
        <v>67.118041800218478</v>
      </c>
      <c r="S35" s="571">
        <f>Tabel668926[[#This Row],[Total. ch. DW 2017]]+Tabel668926[[#This Row],[Sew. 2017]]+Tabel668926[[#This Row],[VAT Sew. 2017]]+Tabel668926[[#This Row],[WW 2017]]+Tabel668926[[#This Row],[VAT WW 2017]]+Tabel668926[[#This Row],[Other ch. 2017]]+Tabel668926[[#This Row],[VAT Other ch. 2017]]</f>
        <v>1185.6760423044138</v>
      </c>
      <c r="T35" s="2587"/>
      <c r="U35" s="2601"/>
      <c r="V35" s="2602"/>
      <c r="W35" s="2603"/>
      <c r="X35" s="2604"/>
      <c r="Y35" s="2605"/>
      <c r="Z35" s="2606"/>
      <c r="AA35" s="2604"/>
      <c r="AB35" s="2607"/>
      <c r="AC35" s="2604"/>
      <c r="AD35" s="2608"/>
      <c r="AE35" s="2604"/>
      <c r="AF35" s="2609"/>
      <c r="AG35" s="1791"/>
      <c r="AH35" s="2587"/>
      <c r="AI35" s="2634"/>
      <c r="AJ35" s="2634"/>
      <c r="AK35" s="2634"/>
      <c r="AL35" s="2597" t="s">
        <v>429</v>
      </c>
      <c r="AM35" s="2597" t="s">
        <v>429</v>
      </c>
      <c r="AN35" s="2682"/>
      <c r="AO35" s="2634"/>
      <c r="AP35" s="2587"/>
    </row>
    <row r="36" spans="1:42" ht="15.75" customHeight="1" thickBot="1" x14ac:dyDescent="0.3">
      <c r="A36" s="2694"/>
      <c r="B36" s="2695" t="s">
        <v>629</v>
      </c>
      <c r="C36" s="2689"/>
      <c r="D36" s="2696" t="s">
        <v>1032</v>
      </c>
      <c r="E36" s="2697"/>
      <c r="F36" s="2577">
        <f>'exchange rates'!$O$7</f>
        <v>0.83301000000000003</v>
      </c>
      <c r="G36" s="2578">
        <f>52.4/F36</f>
        <v>62.904406909881033</v>
      </c>
      <c r="H36" s="2579">
        <f>484.7/F36</f>
        <v>581.86576391639949</v>
      </c>
      <c r="I36" s="2580">
        <f>5.18/F36</f>
        <v>6.2184127441447279</v>
      </c>
      <c r="J36" s="2581">
        <f>32.54/F36</f>
        <v>39.063156504723828</v>
      </c>
      <c r="K36" s="566">
        <f>Tabel668926[[#This Row],[Fix.ch. 2017]]+Tabel668926[[#This Row],[Var. ch. 2017]]+Tabel668926[[#This Row],[Oth. ch. DW 2017]]+Tabel668926[[#This Row],[VAT DW 2017]]</f>
        <v>690.05174007514904</v>
      </c>
      <c r="L36" s="2582">
        <f>0/F36</f>
        <v>0</v>
      </c>
      <c r="M36" s="2583">
        <v>0</v>
      </c>
      <c r="N36" s="2584">
        <f>448/F36</f>
        <v>537.80866976386835</v>
      </c>
      <c r="O36" s="2581">
        <f>26.88/F36</f>
        <v>32.268520185832102</v>
      </c>
      <c r="P36" s="2585">
        <v>0</v>
      </c>
      <c r="Q36" s="2581">
        <v>0</v>
      </c>
      <c r="R36" s="2586">
        <f>Tabel668926[[#This Row],[VAT DW 2017]]+Tabel668926[[#This Row],[VAT Sew. 2017]]+Tabel668926[[#This Row],[VAT WW 2017]]+Tabel668926[[#This Row],[VAT Other ch. 2017]]</f>
        <v>71.331676690555923</v>
      </c>
      <c r="S36" s="571">
        <f>Tabel668926[[#This Row],[Total. ch. DW 2017]]+Tabel668926[[#This Row],[Sew. 2017]]+Tabel668926[[#This Row],[VAT Sew. 2017]]+Tabel668926[[#This Row],[WW 2017]]+Tabel668926[[#This Row],[VAT WW 2017]]+Tabel668926[[#This Row],[Other ch. 2017]]+Tabel668926[[#This Row],[VAT Other ch. 2017]]</f>
        <v>1260.1289300248495</v>
      </c>
      <c r="T36" s="2587"/>
      <c r="U36" s="2612"/>
      <c r="V36" s="2613"/>
      <c r="W36" s="2614"/>
      <c r="X36" s="2615"/>
      <c r="Y36" s="2616"/>
      <c r="Z36" s="2617"/>
      <c r="AA36" s="2615"/>
      <c r="AB36" s="2618"/>
      <c r="AC36" s="2615"/>
      <c r="AD36" s="2619"/>
      <c r="AE36" s="2615"/>
      <c r="AF36" s="2620"/>
      <c r="AG36" s="1794"/>
      <c r="AH36" s="2587"/>
      <c r="AI36" s="2634"/>
      <c r="AJ36" s="2634"/>
      <c r="AK36" s="2634"/>
      <c r="AL36" s="2597" t="s">
        <v>429</v>
      </c>
      <c r="AM36" s="2597" t="s">
        <v>429</v>
      </c>
      <c r="AN36" s="2597" t="s">
        <v>429</v>
      </c>
      <c r="AO36" s="2634"/>
      <c r="AP36" s="2587"/>
    </row>
    <row r="37" spans="1:42" ht="15.75" customHeight="1" x14ac:dyDescent="0.25">
      <c r="A37" s="2698" t="s">
        <v>49</v>
      </c>
      <c r="B37" s="2699" t="s">
        <v>935</v>
      </c>
      <c r="C37" s="2700"/>
      <c r="D37" s="2700" t="s">
        <v>1034</v>
      </c>
      <c r="E37" s="2701">
        <v>15500</v>
      </c>
      <c r="F37" s="2577">
        <f>'exchange rates'!$O$8</f>
        <v>3.3117299999999998</v>
      </c>
      <c r="G37" s="2578" t="s">
        <v>5</v>
      </c>
      <c r="H37" s="2579" t="s">
        <v>5</v>
      </c>
      <c r="I37" s="2580" t="s">
        <v>5</v>
      </c>
      <c r="J37" s="2581" t="s">
        <v>5</v>
      </c>
      <c r="K37" s="566" t="s">
        <v>5</v>
      </c>
      <c r="L37" s="2582" t="s">
        <v>5</v>
      </c>
      <c r="M37" s="2583" t="s">
        <v>5</v>
      </c>
      <c r="N37" s="2584" t="s">
        <v>5</v>
      </c>
      <c r="O37" s="2581" t="s">
        <v>5</v>
      </c>
      <c r="P37" s="2585" t="s">
        <v>5</v>
      </c>
      <c r="Q37" s="2581" t="s">
        <v>5</v>
      </c>
      <c r="R37" s="2586" t="s">
        <v>5</v>
      </c>
      <c r="S37" s="571">
        <f>592/F37</f>
        <v>178.75853405923792</v>
      </c>
      <c r="T37" s="2587"/>
      <c r="U37" s="2702" t="s">
        <v>5</v>
      </c>
      <c r="V37" s="2703" t="s">
        <v>5</v>
      </c>
      <c r="W37" s="2704" t="s">
        <v>5</v>
      </c>
      <c r="X37" s="2591" t="s">
        <v>5</v>
      </c>
      <c r="Y37" s="2705" t="s">
        <v>5</v>
      </c>
      <c r="Z37" s="2706" t="s">
        <v>5</v>
      </c>
      <c r="AA37" s="2591" t="s">
        <v>5</v>
      </c>
      <c r="AB37" s="2707" t="s">
        <v>5</v>
      </c>
      <c r="AC37" s="2591" t="s">
        <v>5</v>
      </c>
      <c r="AD37" s="2708" t="s">
        <v>5</v>
      </c>
      <c r="AE37" s="2591" t="s">
        <v>5</v>
      </c>
      <c r="AF37" s="2709" t="s">
        <v>5</v>
      </c>
      <c r="AG37" s="1831">
        <f>Tabel668926[[#This Row],[total charge 2017]]</f>
        <v>178.75853405923792</v>
      </c>
      <c r="AH37" s="2587"/>
      <c r="AI37" s="2598"/>
      <c r="AJ37" s="2634"/>
      <c r="AK37" s="2634"/>
      <c r="AL37" s="2597" t="s">
        <v>429</v>
      </c>
      <c r="AM37" s="2634"/>
      <c r="AN37" s="2634"/>
      <c r="AO37" s="2634"/>
      <c r="AP37" s="2587"/>
    </row>
    <row r="38" spans="1:42" ht="15.75" customHeight="1" x14ac:dyDescent="0.25">
      <c r="A38" s="2599"/>
      <c r="B38" s="2710" t="s">
        <v>462</v>
      </c>
      <c r="C38" s="2700"/>
      <c r="D38" s="2700" t="s">
        <v>1034</v>
      </c>
      <c r="E38" s="2711"/>
      <c r="F38" s="2577">
        <f>'exchange rates'!$O$8</f>
        <v>3.3117299999999998</v>
      </c>
      <c r="G38" s="2578" t="s">
        <v>5</v>
      </c>
      <c r="H38" s="2579" t="s">
        <v>5</v>
      </c>
      <c r="I38" s="2580" t="s">
        <v>5</v>
      </c>
      <c r="J38" s="2581" t="s">
        <v>5</v>
      </c>
      <c r="K38" s="566" t="s">
        <v>5</v>
      </c>
      <c r="L38" s="2582" t="s">
        <v>5</v>
      </c>
      <c r="M38" s="2583" t="s">
        <v>5</v>
      </c>
      <c r="N38" s="2584" t="s">
        <v>5</v>
      </c>
      <c r="O38" s="2581" t="s">
        <v>5</v>
      </c>
      <c r="P38" s="2585" t="s">
        <v>5</v>
      </c>
      <c r="Q38" s="2581" t="s">
        <v>5</v>
      </c>
      <c r="R38" s="2586" t="s">
        <v>5</v>
      </c>
      <c r="S38" s="571">
        <f>486/F38</f>
        <v>146.75109383917169</v>
      </c>
      <c r="T38" s="2587"/>
      <c r="U38" s="2712"/>
      <c r="V38" s="2713"/>
      <c r="W38" s="2714"/>
      <c r="X38" s="2658"/>
      <c r="Y38" s="2715"/>
      <c r="Z38" s="2716"/>
      <c r="AA38" s="2658"/>
      <c r="AB38" s="2717"/>
      <c r="AC38" s="2658"/>
      <c r="AD38" s="2718"/>
      <c r="AE38" s="2658"/>
      <c r="AF38" s="2719"/>
      <c r="AG38" s="1832"/>
      <c r="AH38" s="2587"/>
      <c r="AI38" s="2598"/>
      <c r="AJ38" s="2634"/>
      <c r="AK38" s="2634"/>
      <c r="AL38" s="2597" t="s">
        <v>429</v>
      </c>
      <c r="AM38" s="2634"/>
      <c r="AN38" s="2634"/>
      <c r="AO38" s="2634"/>
      <c r="AP38" s="2587"/>
    </row>
    <row r="39" spans="1:42" ht="15.75" customHeight="1" thickBot="1" x14ac:dyDescent="0.3">
      <c r="A39" s="2610"/>
      <c r="B39" s="2720" t="s">
        <v>933</v>
      </c>
      <c r="C39" s="2700" t="s">
        <v>429</v>
      </c>
      <c r="D39" s="2721" t="s">
        <v>1034</v>
      </c>
      <c r="E39" s="2663"/>
      <c r="F39" s="2577">
        <f>'exchange rates'!$O$8</f>
        <v>3.3117299999999998</v>
      </c>
      <c r="G39" s="2578" t="s">
        <v>5</v>
      </c>
      <c r="H39" s="2579" t="s">
        <v>5</v>
      </c>
      <c r="I39" s="2580" t="s">
        <v>5</v>
      </c>
      <c r="J39" s="2581" t="s">
        <v>5</v>
      </c>
      <c r="K39" s="566" t="s">
        <v>5</v>
      </c>
      <c r="L39" s="2582" t="s">
        <v>5</v>
      </c>
      <c r="M39" s="2583" t="s">
        <v>5</v>
      </c>
      <c r="N39" s="2584" t="s">
        <v>5</v>
      </c>
      <c r="O39" s="2581" t="s">
        <v>5</v>
      </c>
      <c r="P39" s="2585" t="s">
        <v>5</v>
      </c>
      <c r="Q39" s="2581" t="s">
        <v>5</v>
      </c>
      <c r="R39" s="2586" t="s">
        <v>5</v>
      </c>
      <c r="S39" s="571">
        <f>874/F39</f>
        <v>263.91040332394249</v>
      </c>
      <c r="T39" s="2587"/>
      <c r="U39" s="2664"/>
      <c r="V39" s="2665"/>
      <c r="W39" s="2666"/>
      <c r="X39" s="2615"/>
      <c r="Y39" s="2667"/>
      <c r="Z39" s="2668"/>
      <c r="AA39" s="2615"/>
      <c r="AB39" s="2669"/>
      <c r="AC39" s="2615"/>
      <c r="AD39" s="2670"/>
      <c r="AE39" s="2615"/>
      <c r="AF39" s="2671"/>
      <c r="AG39" s="1792"/>
      <c r="AH39" s="2587"/>
      <c r="AI39" s="2598"/>
      <c r="AJ39" s="2634"/>
      <c r="AK39" s="2634"/>
      <c r="AL39" s="2597" t="s">
        <v>429</v>
      </c>
      <c r="AM39" s="2634"/>
      <c r="AN39" s="2634"/>
      <c r="AO39" s="2634"/>
      <c r="AP39" s="2587"/>
    </row>
    <row r="40" spans="1:42" ht="15.75" customHeight="1" x14ac:dyDescent="0.25">
      <c r="A40" s="2722" t="s">
        <v>487</v>
      </c>
      <c r="B40" s="2723" t="s">
        <v>481</v>
      </c>
      <c r="C40" s="2724"/>
      <c r="D40" s="2724" t="s">
        <v>1034</v>
      </c>
      <c r="E40" s="2725">
        <v>11600</v>
      </c>
      <c r="F40" s="2684">
        <v>1.86534</v>
      </c>
      <c r="G40" s="2649">
        <f>132.88/F40</f>
        <v>71.236342972326753</v>
      </c>
      <c r="H40" s="2650">
        <v>0</v>
      </c>
      <c r="I40" s="2651">
        <v>0</v>
      </c>
      <c r="J40" s="2652"/>
      <c r="K40" s="313">
        <f>Tabel668926[[#This Row],[Fix.ch. 2017]]+Tabel668926[[#This Row],[Var. ch. 2017]]+Tabel668926[[#This Row],[Oth. ch. DW 2017]]+Tabel668926[[#This Row],[VAT DW 2017]]</f>
        <v>71.236342972326753</v>
      </c>
      <c r="L40" s="2653">
        <f>132.88/F40</f>
        <v>71.236342972326753</v>
      </c>
      <c r="M40" s="2654"/>
      <c r="N40" s="2655">
        <v>0</v>
      </c>
      <c r="O40" s="2652"/>
      <c r="P40" s="2656">
        <v>0</v>
      </c>
      <c r="Q40" s="2652"/>
      <c r="R40" s="2657">
        <f>Tabel668926[[#This Row],[VAT DW 2017]]+Tabel668926[[#This Row],[VAT Sew. 2017]]+Tabel668926[[#This Row],[VAT WW 2017]]+Tabel668926[[#This Row],[VAT Other ch. 2017]]</f>
        <v>0</v>
      </c>
      <c r="S40" s="318">
        <f>Tabel668926[[#This Row],[Total. ch. DW 2017]]+Tabel668926[[#This Row],[Sew. 2017]]+Tabel668926[[#This Row],[VAT Sew. 2017]]+Tabel668926[[#This Row],[WW 2017]]+Tabel668926[[#This Row],[VAT WW 2017]]+Tabel668926[[#This Row],[Other ch. 2017]]+Tabel668926[[#This Row],[VAT Other ch. 2017]]</f>
        <v>142.47268594465351</v>
      </c>
      <c r="T40" s="2587"/>
      <c r="U40" s="2726">
        <f>SUM(G40:G44)/5</f>
        <v>197.96069349287529</v>
      </c>
      <c r="V40" s="2727">
        <f>SUM(H40:H44)/5</f>
        <v>0</v>
      </c>
      <c r="W40" s="2728">
        <f>SUM(I40:I44)/5</f>
        <v>0</v>
      </c>
      <c r="X40" s="2729"/>
      <c r="Y40" s="2730">
        <f>SUM(K40:K44)/5</f>
        <v>197.96069349287529</v>
      </c>
      <c r="Z40" s="2731">
        <f>SUM(L40:L44)/5</f>
        <v>197.96069349287529</v>
      </c>
      <c r="AA40" s="2729"/>
      <c r="AB40" s="2732">
        <f>SUM(N40:N44)/5</f>
        <v>0</v>
      </c>
      <c r="AC40" s="2729"/>
      <c r="AD40" s="2733">
        <f>SUM(P40:P44)/5</f>
        <v>0</v>
      </c>
      <c r="AE40" s="2729"/>
      <c r="AF40" s="2734">
        <f t="shared" ref="AF40:AG40" si="3">SUM(R40:R44)/5</f>
        <v>0</v>
      </c>
      <c r="AG40" s="1875">
        <f t="shared" si="3"/>
        <v>395.92138698575059</v>
      </c>
      <c r="AH40" s="2587"/>
      <c r="AI40" s="2598"/>
      <c r="AJ40" s="2634"/>
      <c r="AK40" s="2634"/>
      <c r="AL40" s="2634"/>
      <c r="AM40" s="2634"/>
      <c r="AN40" s="2634"/>
      <c r="AO40" s="2634"/>
      <c r="AP40" s="2587"/>
    </row>
    <row r="41" spans="1:42" ht="15.75" customHeight="1" x14ac:dyDescent="0.25">
      <c r="A41" s="2735"/>
      <c r="B41" s="2723" t="s">
        <v>482</v>
      </c>
      <c r="C41" s="2724"/>
      <c r="D41" s="2724" t="s">
        <v>1034</v>
      </c>
      <c r="E41" s="2736"/>
      <c r="F41" s="2684">
        <v>1.86534</v>
      </c>
      <c r="G41" s="2649">
        <f>83.04/F41</f>
        <v>44.517353404741229</v>
      </c>
      <c r="H41" s="2650">
        <v>0</v>
      </c>
      <c r="I41" s="2651">
        <v>0</v>
      </c>
      <c r="J41" s="2652"/>
      <c r="K41" s="313">
        <f>Tabel668926[[#This Row],[Fix.ch. 2017]]+Tabel668926[[#This Row],[Var. ch. 2017]]+Tabel668926[[#This Row],[Oth. ch. DW 2017]]+Tabel668926[[#This Row],[VAT DW 2017]]</f>
        <v>44.517353404741229</v>
      </c>
      <c r="L41" s="2653">
        <f>83.04/F41</f>
        <v>44.517353404741229</v>
      </c>
      <c r="M41" s="2654"/>
      <c r="N41" s="2655">
        <v>0</v>
      </c>
      <c r="O41" s="2652"/>
      <c r="P41" s="2656">
        <v>0</v>
      </c>
      <c r="Q41" s="2652"/>
      <c r="R41" s="2657">
        <f>Tabel668926[[#This Row],[VAT DW 2017]]+Tabel668926[[#This Row],[VAT Sew. 2017]]+Tabel668926[[#This Row],[VAT WW 2017]]+Tabel668926[[#This Row],[VAT Other ch. 2017]]</f>
        <v>0</v>
      </c>
      <c r="S41" s="318">
        <f>Tabel668926[[#This Row],[Total. ch. DW 2017]]+Tabel668926[[#This Row],[Sew. 2017]]+Tabel668926[[#This Row],[VAT Sew. 2017]]+Tabel668926[[#This Row],[WW 2017]]+Tabel668926[[#This Row],[VAT WW 2017]]+Tabel668926[[#This Row],[Other ch. 2017]]+Tabel668926[[#This Row],[VAT Other ch. 2017]]</f>
        <v>89.034706809482458</v>
      </c>
      <c r="T41" s="2587"/>
      <c r="U41" s="2737"/>
      <c r="V41" s="2738"/>
      <c r="W41" s="2739"/>
      <c r="X41" s="2740"/>
      <c r="Y41" s="2741"/>
      <c r="Z41" s="2742"/>
      <c r="AA41" s="2740"/>
      <c r="AB41" s="2743"/>
      <c r="AC41" s="2740"/>
      <c r="AD41" s="2744"/>
      <c r="AE41" s="2740"/>
      <c r="AF41" s="2745"/>
      <c r="AG41" s="1876"/>
      <c r="AH41" s="2587"/>
      <c r="AI41" s="2598"/>
      <c r="AJ41" s="2634"/>
      <c r="AK41" s="2634"/>
      <c r="AL41" s="2634"/>
      <c r="AM41" s="2634"/>
      <c r="AN41" s="2634"/>
      <c r="AO41" s="2634"/>
      <c r="AP41" s="2587"/>
    </row>
    <row r="42" spans="1:42" ht="15.75" customHeight="1" x14ac:dyDescent="0.25">
      <c r="A42" s="2735"/>
      <c r="B42" s="2723" t="s">
        <v>483</v>
      </c>
      <c r="C42" s="2724"/>
      <c r="D42" s="2724" t="s">
        <v>1034</v>
      </c>
      <c r="E42" s="2736"/>
      <c r="F42" s="2684">
        <v>1.86534</v>
      </c>
      <c r="G42" s="2649">
        <f>371.52/F42</f>
        <v>199.1701244813278</v>
      </c>
      <c r="H42" s="2650">
        <v>0</v>
      </c>
      <c r="I42" s="2651">
        <v>0</v>
      </c>
      <c r="J42" s="2652"/>
      <c r="K42" s="313">
        <f>Tabel668926[[#This Row],[Fix.ch. 2017]]+Tabel668926[[#This Row],[Var. ch. 2017]]+Tabel668926[[#This Row],[Oth. ch. DW 2017]]+Tabel668926[[#This Row],[VAT DW 2017]]</f>
        <v>199.1701244813278</v>
      </c>
      <c r="L42" s="2653">
        <f>371.52/F42</f>
        <v>199.1701244813278</v>
      </c>
      <c r="M42" s="2654"/>
      <c r="N42" s="2655">
        <v>0</v>
      </c>
      <c r="O42" s="2652"/>
      <c r="P42" s="2656">
        <v>0</v>
      </c>
      <c r="Q42" s="2652"/>
      <c r="R42" s="2657">
        <f>Tabel668926[[#This Row],[VAT DW 2017]]+Tabel668926[[#This Row],[VAT Sew. 2017]]+Tabel668926[[#This Row],[VAT WW 2017]]+Tabel668926[[#This Row],[VAT Other ch. 2017]]</f>
        <v>0</v>
      </c>
      <c r="S42" s="318">
        <f>Tabel668926[[#This Row],[Total. ch. DW 2017]]+Tabel668926[[#This Row],[Sew. 2017]]+Tabel668926[[#This Row],[VAT Sew. 2017]]+Tabel668926[[#This Row],[WW 2017]]+Tabel668926[[#This Row],[VAT WW 2017]]+Tabel668926[[#This Row],[Other ch. 2017]]+Tabel668926[[#This Row],[VAT Other ch. 2017]]</f>
        <v>398.34024896265561</v>
      </c>
      <c r="T42" s="2587"/>
      <c r="U42" s="2737"/>
      <c r="V42" s="2738"/>
      <c r="W42" s="2739"/>
      <c r="X42" s="2740"/>
      <c r="Y42" s="2741"/>
      <c r="Z42" s="2742"/>
      <c r="AA42" s="2740"/>
      <c r="AB42" s="2743"/>
      <c r="AC42" s="2740"/>
      <c r="AD42" s="2744"/>
      <c r="AE42" s="2740"/>
      <c r="AF42" s="2745"/>
      <c r="AG42" s="1876"/>
      <c r="AH42" s="2587"/>
      <c r="AI42" s="2598"/>
      <c r="AJ42" s="2634"/>
      <c r="AK42" s="2634"/>
      <c r="AL42" s="2598" t="s">
        <v>429</v>
      </c>
      <c r="AM42" s="2634"/>
      <c r="AN42" s="2634"/>
      <c r="AO42" s="2634" t="s">
        <v>486</v>
      </c>
      <c r="AP42" s="2587"/>
    </row>
    <row r="43" spans="1:42" ht="15.75" customHeight="1" x14ac:dyDescent="0.25">
      <c r="A43" s="2735"/>
      <c r="B43" s="2723" t="s">
        <v>484</v>
      </c>
      <c r="C43" s="2724"/>
      <c r="D43" s="2724" t="s">
        <v>1034</v>
      </c>
      <c r="E43" s="2736"/>
      <c r="F43" s="2684">
        <v>1.86534</v>
      </c>
      <c r="G43" s="2649">
        <f>420.12/F43</f>
        <v>225.22435588150151</v>
      </c>
      <c r="H43" s="2650">
        <v>0</v>
      </c>
      <c r="I43" s="2651">
        <v>0</v>
      </c>
      <c r="J43" s="2652"/>
      <c r="K43" s="313">
        <f>Tabel668926[[#This Row],[Fix.ch. 2017]]+Tabel668926[[#This Row],[Var. ch. 2017]]+Tabel668926[[#This Row],[Oth. ch. DW 2017]]+Tabel668926[[#This Row],[VAT DW 2017]]</f>
        <v>225.22435588150151</v>
      </c>
      <c r="L43" s="2653">
        <f>420.12/F43</f>
        <v>225.22435588150151</v>
      </c>
      <c r="M43" s="2654"/>
      <c r="N43" s="2655">
        <v>0</v>
      </c>
      <c r="O43" s="2652"/>
      <c r="P43" s="2656">
        <v>0</v>
      </c>
      <c r="Q43" s="2652"/>
      <c r="R43" s="2657">
        <f>Tabel668926[[#This Row],[VAT DW 2017]]+Tabel668926[[#This Row],[VAT Sew. 2017]]+Tabel668926[[#This Row],[VAT WW 2017]]+Tabel668926[[#This Row],[VAT Other ch. 2017]]</f>
        <v>0</v>
      </c>
      <c r="S43" s="318">
        <f>Tabel668926[[#This Row],[Total. ch. DW 2017]]+Tabel668926[[#This Row],[Sew. 2017]]+Tabel668926[[#This Row],[VAT Sew. 2017]]+Tabel668926[[#This Row],[WW 2017]]+Tabel668926[[#This Row],[VAT WW 2017]]+Tabel668926[[#This Row],[Other ch. 2017]]+Tabel668926[[#This Row],[VAT Other ch. 2017]]</f>
        <v>450.44871176300302</v>
      </c>
      <c r="T43" s="2587"/>
      <c r="U43" s="2737"/>
      <c r="V43" s="2738"/>
      <c r="W43" s="2739"/>
      <c r="X43" s="2740"/>
      <c r="Y43" s="2741"/>
      <c r="Z43" s="2742"/>
      <c r="AA43" s="2740"/>
      <c r="AB43" s="2743"/>
      <c r="AC43" s="2740"/>
      <c r="AD43" s="2744"/>
      <c r="AE43" s="2740"/>
      <c r="AF43" s="2745"/>
      <c r="AG43" s="1876"/>
      <c r="AH43" s="2587"/>
      <c r="AI43" s="2598"/>
      <c r="AJ43" s="2634"/>
      <c r="AK43" s="2634"/>
      <c r="AL43" s="2634"/>
      <c r="AM43" s="2634"/>
      <c r="AN43" s="2634"/>
      <c r="AO43" s="2634"/>
      <c r="AP43" s="2587"/>
    </row>
    <row r="44" spans="1:42" ht="15.75" customHeight="1" thickBot="1" x14ac:dyDescent="0.3">
      <c r="A44" s="2746"/>
      <c r="B44" s="2723" t="s">
        <v>485</v>
      </c>
      <c r="C44" s="2724"/>
      <c r="D44" s="2747" t="s">
        <v>1034</v>
      </c>
      <c r="E44" s="2748"/>
      <c r="F44" s="2684">
        <v>1.86534</v>
      </c>
      <c r="G44" s="2649">
        <f>838.76/F44</f>
        <v>449.65529072447919</v>
      </c>
      <c r="H44" s="2650">
        <v>0</v>
      </c>
      <c r="I44" s="2651">
        <v>0</v>
      </c>
      <c r="J44" s="2652"/>
      <c r="K44" s="313">
        <f>Tabel668926[[#This Row],[Fix.ch. 2017]]+Tabel668926[[#This Row],[Var. ch. 2017]]+Tabel668926[[#This Row],[Oth. ch. DW 2017]]+Tabel668926[[#This Row],[VAT DW 2017]]</f>
        <v>449.65529072447919</v>
      </c>
      <c r="L44" s="2653">
        <f>838.76/F44</f>
        <v>449.65529072447919</v>
      </c>
      <c r="M44" s="2654"/>
      <c r="N44" s="2655">
        <v>0</v>
      </c>
      <c r="O44" s="2652"/>
      <c r="P44" s="2656">
        <v>0</v>
      </c>
      <c r="Q44" s="2652"/>
      <c r="R44" s="2657">
        <f>Tabel668926[[#This Row],[VAT DW 2017]]+Tabel668926[[#This Row],[VAT Sew. 2017]]+Tabel668926[[#This Row],[VAT WW 2017]]+Tabel668926[[#This Row],[VAT Other ch. 2017]]</f>
        <v>0</v>
      </c>
      <c r="S44" s="318">
        <f>Tabel668926[[#This Row],[Total. ch. DW 2017]]+Tabel668926[[#This Row],[Sew. 2017]]+Tabel668926[[#This Row],[VAT Sew. 2017]]+Tabel668926[[#This Row],[WW 2017]]+Tabel668926[[#This Row],[VAT WW 2017]]+Tabel668926[[#This Row],[Other ch. 2017]]+Tabel668926[[#This Row],[VAT Other ch. 2017]]</f>
        <v>899.31058144895837</v>
      </c>
      <c r="T44" s="2587"/>
      <c r="U44" s="2749"/>
      <c r="V44" s="2750"/>
      <c r="W44" s="2751"/>
      <c r="X44" s="2752"/>
      <c r="Y44" s="2753"/>
      <c r="Z44" s="2754"/>
      <c r="AA44" s="2752"/>
      <c r="AB44" s="2755"/>
      <c r="AC44" s="2752"/>
      <c r="AD44" s="2756"/>
      <c r="AE44" s="2752"/>
      <c r="AF44" s="2757"/>
      <c r="AG44" s="1877"/>
      <c r="AH44" s="2587"/>
      <c r="AI44" s="2598"/>
      <c r="AJ44" s="2634"/>
      <c r="AK44" s="2634"/>
      <c r="AL44" s="2634"/>
      <c r="AM44" s="2634"/>
      <c r="AN44" s="2634"/>
      <c r="AO44" s="2634"/>
      <c r="AP44" s="2587"/>
    </row>
    <row r="45" spans="1:42" ht="15.75" customHeight="1" x14ac:dyDescent="0.25">
      <c r="A45" s="2687" t="s">
        <v>7</v>
      </c>
      <c r="B45" s="2758" t="s">
        <v>73</v>
      </c>
      <c r="C45" s="2689" t="s">
        <v>429</v>
      </c>
      <c r="D45" s="2689" t="s">
        <v>1036</v>
      </c>
      <c r="E45" s="2759">
        <v>21600</v>
      </c>
      <c r="F45" s="2577">
        <f>'exchange rates'!$O$9</f>
        <v>1.6293800000000001</v>
      </c>
      <c r="G45" s="2578">
        <f>233.6/F45</f>
        <v>143.36741582687893</v>
      </c>
      <c r="H45" s="2579">
        <f>0/F45</f>
        <v>0</v>
      </c>
      <c r="I45" s="2580">
        <v>0</v>
      </c>
      <c r="J45" s="2581">
        <f>46.72/F45</f>
        <v>28.673483165375785</v>
      </c>
      <c r="K45" s="566">
        <f>Tabel668926[[#This Row],[Fix.ch. 2017]]+Tabel668926[[#This Row],[Var. ch. 2017]]+Tabel668926[[#This Row],[Oth. ch. DW 2017]]+Tabel668926[[#This Row],[VAT DW 2017]]</f>
        <v>172.04089899225471</v>
      </c>
      <c r="L45" s="2582">
        <f>68.4/F45</f>
        <v>41.97915771643202</v>
      </c>
      <c r="M45" s="2583">
        <f>13.68/F45</f>
        <v>8.3958315432864037</v>
      </c>
      <c r="N45" s="2584">
        <f>57.8/F45</f>
        <v>35.473615731136995</v>
      </c>
      <c r="O45" s="2581">
        <f>11.56/F45</f>
        <v>7.0947231462273992</v>
      </c>
      <c r="P45" s="2585">
        <v>0</v>
      </c>
      <c r="Q45" s="2581">
        <v>0</v>
      </c>
      <c r="R45" s="2586">
        <f>Tabel668926[[#This Row],[VAT DW 2017]]+Tabel668926[[#This Row],[VAT Sew. 2017]]+Tabel668926[[#This Row],[VAT WW 2017]]+Tabel668926[[#This Row],[VAT Other ch. 2017]]</f>
        <v>44.164037854889592</v>
      </c>
      <c r="S45" s="571">
        <f>Tabel668926[[#This Row],[Total. ch. DW 2017]]+Tabel668926[[#This Row],[Sew. 2017]]+Tabel668926[[#This Row],[VAT Sew. 2017]]+Tabel668926[[#This Row],[WW 2017]]+Tabel668926[[#This Row],[VAT WW 2017]]+Tabel668926[[#This Row],[Other ch. 2017]]+Tabel668926[[#This Row],[VAT Other ch. 2017]]</f>
        <v>264.98422712933751</v>
      </c>
      <c r="T45" s="2587"/>
      <c r="U45" s="2760">
        <f>MEDIAN(G45:G49)</f>
        <v>181.66419128748359</v>
      </c>
      <c r="V45" s="2761">
        <f>MEDIAN(H45:H49)</f>
        <v>0</v>
      </c>
      <c r="W45" s="2762">
        <f>MEDIAN(I45:I49)</f>
        <v>0</v>
      </c>
      <c r="X45" s="2591">
        <f>MEDIAN(J45:J49)</f>
        <v>36.332838257496718</v>
      </c>
      <c r="Y45" s="2763">
        <f>SUM(U45:X49)</f>
        <v>217.99702954498031</v>
      </c>
      <c r="Z45" s="2764">
        <f t="shared" ref="Z45:AF45" si="4">MEDIAN(L45:L49)</f>
        <v>14.72952902330948</v>
      </c>
      <c r="AA45" s="2591">
        <f t="shared" si="4"/>
        <v>2.9459058046618956</v>
      </c>
      <c r="AB45" s="2765">
        <f t="shared" si="4"/>
        <v>38.051283310216157</v>
      </c>
      <c r="AC45" s="2591">
        <f t="shared" si="4"/>
        <v>7.6102566620432315</v>
      </c>
      <c r="AD45" s="2766">
        <f t="shared" si="4"/>
        <v>0</v>
      </c>
      <c r="AE45" s="2591">
        <f t="shared" si="4"/>
        <v>0</v>
      </c>
      <c r="AF45" s="2767">
        <f t="shared" si="4"/>
        <v>52.289828032748645</v>
      </c>
      <c r="AG45" s="1909">
        <f>Y45+Z45+AA45+AB45+AC45+AD45+AE45</f>
        <v>281.3340043452111</v>
      </c>
      <c r="AH45" s="2587"/>
      <c r="AI45" s="2598"/>
      <c r="AJ45" s="2598"/>
      <c r="AK45" s="2598"/>
      <c r="AL45" s="2598"/>
      <c r="AM45" s="2598"/>
      <c r="AN45" s="2598"/>
      <c r="AO45" s="2634"/>
      <c r="AP45" s="2587"/>
    </row>
    <row r="46" spans="1:42" ht="15.75" customHeight="1" x14ac:dyDescent="0.25">
      <c r="A46" s="2691"/>
      <c r="B46" s="2692" t="s">
        <v>74</v>
      </c>
      <c r="C46" s="2689"/>
      <c r="D46" s="2689" t="s">
        <v>1036</v>
      </c>
      <c r="E46" s="2711"/>
      <c r="F46" s="2577">
        <f>'exchange rates'!$O$9</f>
        <v>1.6293800000000001</v>
      </c>
      <c r="G46" s="2578">
        <f>257.4/F46</f>
        <v>157.97419877499416</v>
      </c>
      <c r="H46" s="2579">
        <v>0</v>
      </c>
      <c r="I46" s="2580">
        <v>0</v>
      </c>
      <c r="J46" s="2581">
        <f>51.48/F46</f>
        <v>31.59483975499883</v>
      </c>
      <c r="K46" s="566">
        <f>Tabel668926[[#This Row],[Fix.ch. 2017]]+Tabel668926[[#This Row],[Var. ch. 2017]]+Tabel668926[[#This Row],[Oth. ch. DW 2017]]+Tabel668926[[#This Row],[VAT DW 2017]]</f>
        <v>189.56903852999301</v>
      </c>
      <c r="L46" s="2582">
        <f>57.2/F46</f>
        <v>35.105377505554259</v>
      </c>
      <c r="M46" s="2583">
        <f>11.44/F46</f>
        <v>7.0210755011108512</v>
      </c>
      <c r="N46" s="2584">
        <f>111.4/F46</f>
        <v>68.369563883194843</v>
      </c>
      <c r="O46" s="2581">
        <f>22.28/F46</f>
        <v>13.673912776638968</v>
      </c>
      <c r="P46" s="2585">
        <v>0</v>
      </c>
      <c r="Q46" s="2581">
        <v>0</v>
      </c>
      <c r="R46" s="2586">
        <f>Tabel668926[[#This Row],[VAT DW 2017]]+Tabel668926[[#This Row],[VAT Sew. 2017]]+Tabel668926[[#This Row],[VAT WW 2017]]+Tabel668926[[#This Row],[VAT Other ch. 2017]]</f>
        <v>52.289828032748645</v>
      </c>
      <c r="S46" s="571">
        <f>Tabel668926[[#This Row],[Total. ch. DW 2017]]+Tabel668926[[#This Row],[Sew. 2017]]+Tabel668926[[#This Row],[VAT Sew. 2017]]+Tabel668926[[#This Row],[WW 2017]]+Tabel668926[[#This Row],[VAT WW 2017]]+Tabel668926[[#This Row],[Other ch. 2017]]+Tabel668926[[#This Row],[VAT Other ch. 2017]]</f>
        <v>313.73896819649195</v>
      </c>
      <c r="T46" s="2587"/>
      <c r="U46" s="2712"/>
      <c r="V46" s="2713"/>
      <c r="W46" s="2714"/>
      <c r="X46" s="2604"/>
      <c r="Y46" s="2715"/>
      <c r="Z46" s="2716"/>
      <c r="AA46" s="2604"/>
      <c r="AB46" s="2717"/>
      <c r="AC46" s="2604"/>
      <c r="AD46" s="2718"/>
      <c r="AE46" s="2604"/>
      <c r="AF46" s="2719"/>
      <c r="AG46" s="1832"/>
      <c r="AH46" s="2587"/>
      <c r="AI46" s="2598"/>
      <c r="AJ46" s="2598"/>
      <c r="AK46" s="2598"/>
      <c r="AL46" s="2598"/>
      <c r="AM46" s="2598"/>
      <c r="AN46" s="2598"/>
      <c r="AO46" s="2634"/>
      <c r="AP46" s="2587"/>
    </row>
    <row r="47" spans="1:42" ht="15.75" customHeight="1" x14ac:dyDescent="0.25">
      <c r="A47" s="2691"/>
      <c r="B47" s="2692" t="s">
        <v>75</v>
      </c>
      <c r="C47" s="2689"/>
      <c r="D47" s="2689" t="s">
        <v>1036</v>
      </c>
      <c r="E47" s="2711"/>
      <c r="F47" s="2577">
        <f>'exchange rates'!$O$9</f>
        <v>1.6293800000000001</v>
      </c>
      <c r="G47" s="2578">
        <f>296/F47</f>
        <v>181.66419128748359</v>
      </c>
      <c r="H47" s="2579">
        <v>0</v>
      </c>
      <c r="I47" s="2580">
        <v>0</v>
      </c>
      <c r="J47" s="2581">
        <f>59.2/F47</f>
        <v>36.332838257496718</v>
      </c>
      <c r="K47" s="566">
        <f>Tabel668926[[#This Row],[Fix.ch. 2017]]+Tabel668926[[#This Row],[Var. ch. 2017]]+Tabel668926[[#This Row],[Oth. ch. DW 2017]]+Tabel668926[[#This Row],[VAT DW 2017]]</f>
        <v>217.99702954498031</v>
      </c>
      <c r="L47" s="2582">
        <f>24/F47</f>
        <v>14.72952902330948</v>
      </c>
      <c r="M47" s="2583">
        <f>4.8/F47</f>
        <v>2.9459058046618956</v>
      </c>
      <c r="N47" s="2584">
        <f>62/F47</f>
        <v>38.051283310216157</v>
      </c>
      <c r="O47" s="2581">
        <f>12.4/F47</f>
        <v>7.6102566620432315</v>
      </c>
      <c r="P47" s="2585">
        <v>0</v>
      </c>
      <c r="Q47" s="2581">
        <v>0</v>
      </c>
      <c r="R47" s="2586">
        <f>Tabel668926[[#This Row],[VAT DW 2017]]+Tabel668926[[#This Row],[VAT Sew. 2017]]+Tabel668926[[#This Row],[VAT WW 2017]]+Tabel668926[[#This Row],[VAT Other ch. 2017]]</f>
        <v>46.88900072420185</v>
      </c>
      <c r="S47" s="571">
        <f>Tabel668926[[#This Row],[Total. ch. DW 2017]]+Tabel668926[[#This Row],[Sew. 2017]]+Tabel668926[[#This Row],[VAT Sew. 2017]]+Tabel668926[[#This Row],[WW 2017]]+Tabel668926[[#This Row],[VAT WW 2017]]+Tabel668926[[#This Row],[Other ch. 2017]]+Tabel668926[[#This Row],[VAT Other ch. 2017]]</f>
        <v>281.3340043452111</v>
      </c>
      <c r="T47" s="2587"/>
      <c r="U47" s="2712"/>
      <c r="V47" s="2713"/>
      <c r="W47" s="2714"/>
      <c r="X47" s="2604"/>
      <c r="Y47" s="2715"/>
      <c r="Z47" s="2716"/>
      <c r="AA47" s="2604"/>
      <c r="AB47" s="2717"/>
      <c r="AC47" s="2604"/>
      <c r="AD47" s="2718"/>
      <c r="AE47" s="2604"/>
      <c r="AF47" s="2719"/>
      <c r="AG47" s="1832"/>
      <c r="AH47" s="2587"/>
      <c r="AI47" s="2598"/>
      <c r="AJ47" s="2598"/>
      <c r="AK47" s="2598"/>
      <c r="AL47" s="2598"/>
      <c r="AM47" s="2598"/>
      <c r="AN47" s="2598"/>
      <c r="AO47" s="2634"/>
      <c r="AP47" s="2587"/>
    </row>
    <row r="48" spans="1:42" ht="15.75" customHeight="1" x14ac:dyDescent="0.25">
      <c r="A48" s="2691"/>
      <c r="B48" s="2692" t="s">
        <v>76</v>
      </c>
      <c r="C48" s="2689"/>
      <c r="D48" s="2689" t="s">
        <v>1036</v>
      </c>
      <c r="E48" s="2711"/>
      <c r="F48" s="2577">
        <f>'exchange rates'!$O$9</f>
        <v>1.6293800000000001</v>
      </c>
      <c r="G48" s="2578">
        <f>420/F48</f>
        <v>257.76675790791586</v>
      </c>
      <c r="H48" s="2579">
        <v>0</v>
      </c>
      <c r="I48" s="2580">
        <v>0</v>
      </c>
      <c r="J48" s="2581">
        <f>84/F48</f>
        <v>51.553351581583179</v>
      </c>
      <c r="K48" s="566">
        <f>Tabel668926[[#This Row],[Fix.ch. 2017]]+Tabel668926[[#This Row],[Var. ch. 2017]]+Tabel668926[[#This Row],[Oth. ch. DW 2017]]+Tabel668926[[#This Row],[VAT DW 2017]]</f>
        <v>309.32010948949903</v>
      </c>
      <c r="L48" s="2582">
        <f>16/F48</f>
        <v>9.8196860155396521</v>
      </c>
      <c r="M48" s="2583">
        <f>3.2/F48</f>
        <v>1.9639372031079307</v>
      </c>
      <c r="N48" s="2584">
        <f>34/F48</f>
        <v>20.866832783021763</v>
      </c>
      <c r="O48" s="2581">
        <f>6.8/F48</f>
        <v>4.1733665566043525</v>
      </c>
      <c r="P48" s="2585">
        <v>0</v>
      </c>
      <c r="Q48" s="2581">
        <v>0</v>
      </c>
      <c r="R48" s="2586">
        <f>Tabel668926[[#This Row],[VAT DW 2017]]+Tabel668926[[#This Row],[VAT Sew. 2017]]+Tabel668926[[#This Row],[VAT WW 2017]]+Tabel668926[[#This Row],[VAT Other ch. 2017]]</f>
        <v>57.690655341295461</v>
      </c>
      <c r="S48" s="571">
        <f>Tabel668926[[#This Row],[Total. ch. DW 2017]]+Tabel668926[[#This Row],[Sew. 2017]]+Tabel668926[[#This Row],[VAT Sew. 2017]]+Tabel668926[[#This Row],[WW 2017]]+Tabel668926[[#This Row],[VAT WW 2017]]+Tabel668926[[#This Row],[Other ch. 2017]]+Tabel668926[[#This Row],[VAT Other ch. 2017]]</f>
        <v>346.14393204777281</v>
      </c>
      <c r="T48" s="2587"/>
      <c r="U48" s="2712"/>
      <c r="V48" s="2713"/>
      <c r="W48" s="2714"/>
      <c r="X48" s="2604"/>
      <c r="Y48" s="2715"/>
      <c r="Z48" s="2716"/>
      <c r="AA48" s="2604"/>
      <c r="AB48" s="2717"/>
      <c r="AC48" s="2604"/>
      <c r="AD48" s="2718"/>
      <c r="AE48" s="2604"/>
      <c r="AF48" s="2719"/>
      <c r="AG48" s="1832"/>
      <c r="AH48" s="2587"/>
      <c r="AI48" s="2598"/>
      <c r="AJ48" s="2598"/>
      <c r="AK48" s="2598"/>
      <c r="AL48" s="2598"/>
      <c r="AM48" s="2598"/>
      <c r="AN48" s="2598"/>
      <c r="AO48" s="2634"/>
      <c r="AP48" s="2587"/>
    </row>
    <row r="49" spans="1:42" ht="15.75" customHeight="1" thickBot="1" x14ac:dyDescent="0.3">
      <c r="A49" s="2694"/>
      <c r="B49" s="2768" t="s">
        <v>77</v>
      </c>
      <c r="C49" s="2689"/>
      <c r="D49" s="2689" t="s">
        <v>1036</v>
      </c>
      <c r="E49" s="2663"/>
      <c r="F49" s="2577">
        <f>'exchange rates'!$O$9</f>
        <v>1.6293800000000001</v>
      </c>
      <c r="G49" s="2578">
        <f>362/F49</f>
        <v>222.17039610158466</v>
      </c>
      <c r="H49" s="2579">
        <v>0</v>
      </c>
      <c r="I49" s="2580">
        <v>0</v>
      </c>
      <c r="J49" s="2581">
        <f>72.4/F49</f>
        <v>44.434079220316931</v>
      </c>
      <c r="K49" s="566">
        <f>Tabel668926[[#This Row],[Fix.ch. 2017]]+Tabel668926[[#This Row],[Var. ch. 2017]]+Tabel668926[[#This Row],[Oth. ch. DW 2017]]+Tabel668926[[#This Row],[VAT DW 2017]]</f>
        <v>266.60447532190159</v>
      </c>
      <c r="L49" s="2582">
        <f>20/F49</f>
        <v>12.274607519424565</v>
      </c>
      <c r="M49" s="2583">
        <f>4/F49</f>
        <v>2.454921503884913</v>
      </c>
      <c r="N49" s="2584">
        <f>72/F49</f>
        <v>44.188587069928438</v>
      </c>
      <c r="O49" s="2581">
        <f>14.4/F49</f>
        <v>8.837717413985688</v>
      </c>
      <c r="P49" s="2585">
        <v>0</v>
      </c>
      <c r="Q49" s="2581">
        <v>0</v>
      </c>
      <c r="R49" s="2586">
        <f>Tabel668926[[#This Row],[VAT DW 2017]]+Tabel668926[[#This Row],[VAT Sew. 2017]]+Tabel668926[[#This Row],[VAT WW 2017]]+Tabel668926[[#This Row],[VAT Other ch. 2017]]</f>
        <v>55.726718138187529</v>
      </c>
      <c r="S49" s="571">
        <f>Tabel668926[[#This Row],[Total. ch. DW 2017]]+Tabel668926[[#This Row],[Sew. 2017]]+Tabel668926[[#This Row],[VAT Sew. 2017]]+Tabel668926[[#This Row],[WW 2017]]+Tabel668926[[#This Row],[VAT WW 2017]]+Tabel668926[[#This Row],[Other ch. 2017]]+Tabel668926[[#This Row],[VAT Other ch. 2017]]</f>
        <v>334.36030882912519</v>
      </c>
      <c r="T49" s="2587"/>
      <c r="U49" s="2664"/>
      <c r="V49" s="2665"/>
      <c r="W49" s="2666"/>
      <c r="X49" s="2615"/>
      <c r="Y49" s="2667"/>
      <c r="Z49" s="2668"/>
      <c r="AA49" s="2615"/>
      <c r="AB49" s="2669"/>
      <c r="AC49" s="2615"/>
      <c r="AD49" s="2670"/>
      <c r="AE49" s="2615"/>
      <c r="AF49" s="2671"/>
      <c r="AG49" s="1792"/>
      <c r="AH49" s="2587"/>
      <c r="AI49" s="2598"/>
      <c r="AJ49" s="2598"/>
      <c r="AK49" s="2598"/>
      <c r="AL49" s="2598"/>
      <c r="AM49" s="2598"/>
      <c r="AN49" s="2598"/>
      <c r="AO49" s="2634"/>
      <c r="AP49" s="2587"/>
    </row>
    <row r="50" spans="1:42" ht="15.75" customHeight="1" thickBot="1" x14ac:dyDescent="0.3">
      <c r="A50" s="2769" t="s">
        <v>501</v>
      </c>
      <c r="B50" s="2770" t="s">
        <v>504</v>
      </c>
      <c r="C50" s="2771"/>
      <c r="D50" s="2772" t="s">
        <v>1038</v>
      </c>
      <c r="E50" s="2773">
        <v>1500</v>
      </c>
      <c r="F50" s="2684">
        <v>506.17869999999999</v>
      </c>
      <c r="G50" s="2649">
        <f>12000/F50</f>
        <v>23.707042591875162</v>
      </c>
      <c r="H50" s="2650">
        <f>64348/F50</f>
        <v>127.12506472516525</v>
      </c>
      <c r="I50" s="2651">
        <v>0</v>
      </c>
      <c r="J50" s="2652"/>
      <c r="K50" s="313">
        <f>Tabel668926[[#This Row],[Fix.ch. 2017]]+Tabel668926[[#This Row],[Var. ch. 2017]]+Tabel668926[[#This Row],[Oth. ch. DW 2017]]+Tabel668926[[#This Row],[VAT DW 2017]]</f>
        <v>150.8321073170404</v>
      </c>
      <c r="L50" s="2653">
        <f>12000/F50</f>
        <v>23.707042591875162</v>
      </c>
      <c r="M50" s="2654"/>
      <c r="N50" s="2655">
        <v>0</v>
      </c>
      <c r="O50" s="2652"/>
      <c r="P50" s="2656">
        <v>0</v>
      </c>
      <c r="Q50" s="2652"/>
      <c r="R50" s="2657">
        <f>Tabel668926[[#This Row],[VAT DW 2017]]+Tabel668926[[#This Row],[VAT Sew. 2017]]+Tabel668926[[#This Row],[VAT WW 2017]]+Tabel668926[[#This Row],[VAT Other ch. 2017]]</f>
        <v>0</v>
      </c>
      <c r="S50" s="318">
        <f>Tabel668926[[#This Row],[Total. ch. DW 2017]]+Tabel668926[[#This Row],[Sew. 2017]]+Tabel668926[[#This Row],[VAT Sew. 2017]]+Tabel668926[[#This Row],[WW 2017]]+Tabel668926[[#This Row],[VAT WW 2017]]+Tabel668926[[#This Row],[Other ch. 2017]]+Tabel668926[[#This Row],[VAT Other ch. 2017]]</f>
        <v>174.53914990891556</v>
      </c>
      <c r="T50" s="2587"/>
      <c r="U50" s="2774">
        <f>Tabel668926[[#This Row],[Fix.ch. 2017]]</f>
        <v>23.707042591875162</v>
      </c>
      <c r="V50" s="2775">
        <f>Tabel668926[[#This Row],[Var. ch. 2017]]</f>
        <v>127.12506472516525</v>
      </c>
      <c r="W50" s="2776">
        <v>0</v>
      </c>
      <c r="X50" s="2740"/>
      <c r="Y50" s="2777">
        <f>Tabel668926[[#This Row],[Total. ch. DW 2017]]</f>
        <v>150.8321073170404</v>
      </c>
      <c r="Z50" s="2778">
        <f>Tabel668926[[#This Row],[Sew. 2017]]</f>
        <v>23.707042591875162</v>
      </c>
      <c r="AA50" s="2740"/>
      <c r="AB50" s="2779">
        <v>0</v>
      </c>
      <c r="AC50" s="2740"/>
      <c r="AD50" s="2780">
        <v>0</v>
      </c>
      <c r="AE50" s="2740"/>
      <c r="AF50" s="2781">
        <f>Tabel668926[[#This Row],[Total VAT 2017]]</f>
        <v>0</v>
      </c>
      <c r="AG50" s="1723">
        <f>Tabel668926[[#This Row],[total charge 2017]]</f>
        <v>174.53914990891556</v>
      </c>
      <c r="AH50" s="2587"/>
      <c r="AI50" s="2598"/>
      <c r="AJ50" s="2598"/>
      <c r="AK50" s="2598"/>
      <c r="AL50" s="2598" t="s">
        <v>429</v>
      </c>
      <c r="AM50" s="2598" t="s">
        <v>429</v>
      </c>
      <c r="AN50" s="2598"/>
      <c r="AO50" s="2634"/>
      <c r="AP50" s="2587"/>
    </row>
    <row r="51" spans="1:42" ht="15.75" customHeight="1" x14ac:dyDescent="0.25">
      <c r="A51" s="2698" t="s">
        <v>343</v>
      </c>
      <c r="B51" s="2782" t="s">
        <v>548</v>
      </c>
      <c r="C51" s="2673"/>
      <c r="D51" s="2673" t="s">
        <v>1040</v>
      </c>
      <c r="E51" s="2638">
        <v>48100</v>
      </c>
      <c r="F51" s="2577">
        <f>'exchange rates'!$O$11</f>
        <v>1.25759</v>
      </c>
      <c r="G51" s="2578">
        <f>187.08/F51</f>
        <v>148.76072487853753</v>
      </c>
      <c r="H51" s="2579">
        <f>349.92/F51</f>
        <v>278.24648732893871</v>
      </c>
      <c r="I51" s="2580">
        <v>0</v>
      </c>
      <c r="J51" s="2581">
        <v>0</v>
      </c>
      <c r="K51" s="566">
        <f>Tabel668926[[#This Row],[Fix.ch. 2017]]+Tabel668926[[#This Row],[Var. ch. 2017]]+Tabel668926[[#This Row],[Oth. ch. DW 2017]]+Tabel668926[[#This Row],[VAT DW 2017]]</f>
        <v>427.00721220747624</v>
      </c>
      <c r="L51" s="2582">
        <v>0</v>
      </c>
      <c r="M51" s="2583">
        <v>0</v>
      </c>
      <c r="N51" s="2584">
        <f>576/F51</f>
        <v>458.01890918343815</v>
      </c>
      <c r="O51" s="2581">
        <v>0</v>
      </c>
      <c r="P51" s="2585">
        <v>0</v>
      </c>
      <c r="Q51" s="2581">
        <v>0</v>
      </c>
      <c r="R51" s="2586">
        <f>Tabel668926[[#This Row],[VAT DW 2017]]+Tabel668926[[#This Row],[VAT Sew. 2017]]+Tabel668926[[#This Row],[VAT WW 2017]]+Tabel668926[[#This Row],[VAT Other ch. 2017]]</f>
        <v>0</v>
      </c>
      <c r="S51" s="571">
        <f>Tabel668926[[#This Row],[Total. ch. DW 2017]]+Tabel668926[[#This Row],[Sew. 2017]]+Tabel668926[[#This Row],[VAT Sew. 2017]]+Tabel668926[[#This Row],[WW 2017]]+Tabel668926[[#This Row],[VAT WW 2017]]+Tabel668926[[#This Row],[Other ch. 2017]]+Tabel668926[[#This Row],[VAT Other ch. 2017]]</f>
        <v>885.02612139091434</v>
      </c>
      <c r="T51" s="2587"/>
      <c r="U51" s="2639">
        <f>MEDIAN(G51:G56)</f>
        <v>158.20736488044594</v>
      </c>
      <c r="V51" s="2640">
        <f>MEDIAN(H51:H56)</f>
        <v>280.92621601634875</v>
      </c>
      <c r="W51" s="2641">
        <f>MEDIAN(I51:I56)</f>
        <v>0</v>
      </c>
      <c r="X51" s="2591">
        <f>MEDIAN(J51:J56)</f>
        <v>0</v>
      </c>
      <c r="Y51" s="2642">
        <f>SUM(U51:X56)</f>
        <v>439.13358089679468</v>
      </c>
      <c r="Z51" s="2643">
        <f t="shared" ref="Z51:AE51" si="5">MEDIAN(L51:L56)</f>
        <v>0</v>
      </c>
      <c r="AA51" s="2591">
        <f t="shared" si="5"/>
        <v>0</v>
      </c>
      <c r="AB51" s="2644">
        <f>MEDIAN(N51:N56)</f>
        <v>400.36895967684222</v>
      </c>
      <c r="AC51" s="2591">
        <f t="shared" si="5"/>
        <v>0</v>
      </c>
      <c r="AD51" s="2645">
        <f>MEDIAN(P51:P56)</f>
        <v>0</v>
      </c>
      <c r="AE51" s="2591">
        <f t="shared" si="5"/>
        <v>0</v>
      </c>
      <c r="AF51" s="2646">
        <f>MEDIAN(R51:R56)</f>
        <v>0</v>
      </c>
      <c r="AG51" s="1790">
        <f>Y51+Z51+AA51+AB51+AC51+AD51+AE51</f>
        <v>839.50254057363691</v>
      </c>
      <c r="AH51" s="2587"/>
      <c r="AI51" s="2598"/>
      <c r="AJ51" s="2597" t="s">
        <v>429</v>
      </c>
      <c r="AK51" s="2597"/>
      <c r="AL51" s="2597"/>
      <c r="AM51" s="2597" t="s">
        <v>429</v>
      </c>
      <c r="AN51" s="2597" t="s">
        <v>429</v>
      </c>
      <c r="AO51" s="2634"/>
      <c r="AP51" s="2587"/>
    </row>
    <row r="52" spans="1:42" ht="15.75" customHeight="1" x14ac:dyDescent="0.25">
      <c r="A52" s="2599"/>
      <c r="B52" s="2672" t="s">
        <v>940</v>
      </c>
      <c r="C52" s="2672" t="s">
        <v>429</v>
      </c>
      <c r="D52" s="2672" t="s">
        <v>1040</v>
      </c>
      <c r="E52" s="2600"/>
      <c r="F52" s="2577">
        <f>'exchange rates'!$O$11</f>
        <v>1.25759</v>
      </c>
      <c r="G52" s="2578">
        <f>109.68/F52</f>
        <v>87.214433957013028</v>
      </c>
      <c r="H52" s="2579">
        <f>379.32/F52</f>
        <v>301.62453581851003</v>
      </c>
      <c r="I52" s="2580">
        <v>0</v>
      </c>
      <c r="J52" s="2581">
        <v>0</v>
      </c>
      <c r="K52" s="566">
        <f>Tabel668926[[#This Row],[Fix.ch. 2017]]+Tabel668926[[#This Row],[Var. ch. 2017]]+Tabel668926[[#This Row],[Oth. ch. DW 2017]]+Tabel668926[[#This Row],[VAT DW 2017]]</f>
        <v>388.83896977552308</v>
      </c>
      <c r="L52" s="2582">
        <v>0</v>
      </c>
      <c r="M52" s="2583">
        <v>0</v>
      </c>
      <c r="N52" s="2584">
        <f>540/F52</f>
        <v>429.39272735947327</v>
      </c>
      <c r="O52" s="2581">
        <v>0</v>
      </c>
      <c r="P52" s="2585">
        <v>0</v>
      </c>
      <c r="Q52" s="2581">
        <v>0</v>
      </c>
      <c r="R52" s="2586">
        <f>Tabel668926[[#This Row],[VAT DW 2017]]+Tabel668926[[#This Row],[VAT Sew. 2017]]+Tabel668926[[#This Row],[VAT WW 2017]]+Tabel668926[[#This Row],[VAT Other ch. 2017]]</f>
        <v>0</v>
      </c>
      <c r="S52" s="571">
        <f>Tabel668926[[#This Row],[Total. ch. DW 2017]]+Tabel668926[[#This Row],[Sew. 2017]]+Tabel668926[[#This Row],[WW 2017]]+Tabel668926[[#This Row],[Other ch. 2017]]+Tabel668926[[#This Row],[Total VAT 2017]]</f>
        <v>818.23169713499635</v>
      </c>
      <c r="T52" s="2587"/>
      <c r="U52" s="2601"/>
      <c r="V52" s="2602"/>
      <c r="W52" s="2603"/>
      <c r="X52" s="2604"/>
      <c r="Y52" s="2605"/>
      <c r="Z52" s="2606"/>
      <c r="AA52" s="2604"/>
      <c r="AB52" s="2607"/>
      <c r="AC52" s="2604"/>
      <c r="AD52" s="2608"/>
      <c r="AE52" s="2604"/>
      <c r="AF52" s="2609"/>
      <c r="AG52" s="1791"/>
      <c r="AH52" s="2587"/>
      <c r="AI52" s="2598"/>
      <c r="AJ52" s="2597" t="s">
        <v>429</v>
      </c>
      <c r="AK52" s="2597"/>
      <c r="AL52" s="2597"/>
      <c r="AM52" s="2597" t="s">
        <v>429</v>
      </c>
      <c r="AN52" s="2597" t="s">
        <v>429</v>
      </c>
      <c r="AO52" s="2634"/>
      <c r="AP52" s="2587"/>
    </row>
    <row r="53" spans="1:42" ht="15.75" customHeight="1" x14ac:dyDescent="0.25">
      <c r="A53" s="2599"/>
      <c r="B53" s="2672" t="s">
        <v>549</v>
      </c>
      <c r="C53" s="2672"/>
      <c r="D53" s="2672" t="s">
        <v>1040</v>
      </c>
      <c r="E53" s="2600"/>
      <c r="F53" s="2577">
        <f>'exchange rates'!$O$11</f>
        <v>1.25759</v>
      </c>
      <c r="G53" s="2578">
        <f>179.34/F53</f>
        <v>142.60609578638508</v>
      </c>
      <c r="H53" s="2579">
        <f>356.66/F53</f>
        <v>283.60594470375878</v>
      </c>
      <c r="I53" s="2580">
        <v>0</v>
      </c>
      <c r="J53" s="2581">
        <v>0</v>
      </c>
      <c r="K53" s="566">
        <f>Tabel668926[[#This Row],[Fix.ch. 2017]]+Tabel668926[[#This Row],[Var. ch. 2017]]+Tabel668926[[#This Row],[Oth. ch. DW 2017]]+Tabel668926[[#This Row],[VAT DW 2017]]</f>
        <v>426.21204049014386</v>
      </c>
      <c r="L53" s="2582">
        <v>0</v>
      </c>
      <c r="M53" s="2583">
        <v>0</v>
      </c>
      <c r="N53" s="2584">
        <f>511/F53</f>
        <v>406.33274755683493</v>
      </c>
      <c r="O53" s="2581">
        <v>0</v>
      </c>
      <c r="P53" s="2585">
        <v>0</v>
      </c>
      <c r="Q53" s="2581">
        <v>0</v>
      </c>
      <c r="R53" s="2586">
        <f>Tabel668926[[#This Row],[VAT DW 2017]]+Tabel668926[[#This Row],[VAT Sew. 2017]]+Tabel668926[[#This Row],[VAT WW 2017]]+Tabel668926[[#This Row],[VAT Other ch. 2017]]</f>
        <v>0</v>
      </c>
      <c r="S53" s="571">
        <f>Tabel668926[[#This Row],[Total. ch. DW 2017]]+Tabel668926[[#This Row],[Sew. 2017]]+Tabel668926[[#This Row],[VAT Sew. 2017]]+Tabel668926[[#This Row],[WW 2017]]+Tabel668926[[#This Row],[VAT WW 2017]]+Tabel668926[[#This Row],[Other ch. 2017]]+Tabel668926[[#This Row],[VAT Other ch. 2017]]</f>
        <v>832.54478804697874</v>
      </c>
      <c r="T53" s="2587"/>
      <c r="U53" s="2601"/>
      <c r="V53" s="2602"/>
      <c r="W53" s="2603"/>
      <c r="X53" s="2604"/>
      <c r="Y53" s="2605"/>
      <c r="Z53" s="2606"/>
      <c r="AA53" s="2604"/>
      <c r="AB53" s="2607"/>
      <c r="AC53" s="2604"/>
      <c r="AD53" s="2608"/>
      <c r="AE53" s="2604"/>
      <c r="AF53" s="2609"/>
      <c r="AG53" s="1791"/>
      <c r="AH53" s="2587"/>
      <c r="AI53" s="2598"/>
      <c r="AJ53" s="2597" t="s">
        <v>429</v>
      </c>
      <c r="AK53" s="2597"/>
      <c r="AL53" s="2597"/>
      <c r="AM53" s="2597" t="s">
        <v>429</v>
      </c>
      <c r="AN53" s="2597" t="s">
        <v>429</v>
      </c>
      <c r="AO53" s="2634"/>
      <c r="AP53" s="2587"/>
    </row>
    <row r="54" spans="1:42" ht="15.75" customHeight="1" x14ac:dyDescent="0.25">
      <c r="A54" s="2599"/>
      <c r="B54" s="2672" t="s">
        <v>722</v>
      </c>
      <c r="C54" s="2672"/>
      <c r="D54" s="2672" t="s">
        <v>1040</v>
      </c>
      <c r="E54" s="2600"/>
      <c r="F54" s="2577">
        <f>'exchange rates'!$O$11</f>
        <v>1.25759</v>
      </c>
      <c r="G54" s="2578">
        <f>240/F54</f>
        <v>190.84121215976592</v>
      </c>
      <c r="H54" s="2579">
        <f>721/F54</f>
        <v>573.31880819663002</v>
      </c>
      <c r="I54" s="2580">
        <v>0</v>
      </c>
      <c r="J54" s="2581">
        <v>0</v>
      </c>
      <c r="K54" s="566">
        <f>Tabel668926[[#This Row],[Fix.ch. 2017]]+Tabel668926[[#This Row],[Var. ch. 2017]]+Tabel668926[[#This Row],[Oth. ch. DW 2017]]+Tabel668926[[#This Row],[VAT DW 2017]]</f>
        <v>764.16002035639599</v>
      </c>
      <c r="L54" s="2582">
        <v>0</v>
      </c>
      <c r="M54" s="2583">
        <v>0</v>
      </c>
      <c r="N54" s="2584">
        <f>496/F54</f>
        <v>394.40517179684952</v>
      </c>
      <c r="O54" s="2581">
        <v>0</v>
      </c>
      <c r="P54" s="2585">
        <v>0</v>
      </c>
      <c r="Q54" s="2581">
        <v>0</v>
      </c>
      <c r="R54" s="2586">
        <f>Tabel668926[[#This Row],[VAT DW 2017]]+Tabel668926[[#This Row],[VAT Sew. 2017]]+Tabel668926[[#This Row],[VAT WW 2017]]+Tabel668926[[#This Row],[VAT Other ch. 2017]]</f>
        <v>0</v>
      </c>
      <c r="S54" s="571">
        <f>Tabel668926[[#This Row],[Total. ch. DW 2017]]+Tabel668926[[#This Row],[Sew. 2017]]+Tabel668926[[#This Row],[VAT Sew. 2017]]+Tabel668926[[#This Row],[WW 2017]]+Tabel668926[[#This Row],[VAT WW 2017]]+Tabel668926[[#This Row],[Other ch. 2017]]+Tabel668926[[#This Row],[VAT Other ch. 2017]]</f>
        <v>1158.5651921532456</v>
      </c>
      <c r="T54" s="2587"/>
      <c r="U54" s="2601"/>
      <c r="V54" s="2602"/>
      <c r="W54" s="2603"/>
      <c r="X54" s="2604"/>
      <c r="Y54" s="2605"/>
      <c r="Z54" s="2606"/>
      <c r="AA54" s="2604"/>
      <c r="AB54" s="2607"/>
      <c r="AC54" s="2604"/>
      <c r="AD54" s="2608"/>
      <c r="AE54" s="2604"/>
      <c r="AF54" s="2609"/>
      <c r="AG54" s="1791"/>
      <c r="AH54" s="2587"/>
      <c r="AI54" s="2598"/>
      <c r="AJ54" s="2598"/>
      <c r="AK54" s="2598"/>
      <c r="AL54" s="2597" t="s">
        <v>429</v>
      </c>
      <c r="AM54" s="2597" t="s">
        <v>429</v>
      </c>
      <c r="AN54" s="2597" t="s">
        <v>429</v>
      </c>
      <c r="AO54" s="2634"/>
      <c r="AP54" s="2587"/>
    </row>
    <row r="55" spans="1:42" ht="15.75" customHeight="1" x14ac:dyDescent="0.25">
      <c r="A55" s="2599"/>
      <c r="B55" s="2672" t="s">
        <v>723</v>
      </c>
      <c r="C55" s="2672"/>
      <c r="D55" s="2672" t="s">
        <v>1040</v>
      </c>
      <c r="E55" s="2600"/>
      <c r="F55" s="2577">
        <f>'exchange rates'!$O$11</f>
        <v>1.25759</v>
      </c>
      <c r="G55" s="2578">
        <f>616/F55</f>
        <v>489.8257778767325</v>
      </c>
      <c r="H55" s="2579">
        <f>0</f>
        <v>0</v>
      </c>
      <c r="I55" s="2580">
        <v>0</v>
      </c>
      <c r="J55" s="2581">
        <v>0</v>
      </c>
      <c r="K55" s="566">
        <f>Tabel668926[[#This Row],[Fix.ch. 2017]]+Tabel668926[[#This Row],[Var. ch. 2017]]+Tabel668926[[#This Row],[Oth. ch. DW 2017]]+Tabel668926[[#This Row],[VAT DW 2017]]</f>
        <v>489.8257778767325</v>
      </c>
      <c r="L55" s="2582">
        <v>0</v>
      </c>
      <c r="M55" s="2583">
        <v>0</v>
      </c>
      <c r="N55" s="2584">
        <f>384/F55</f>
        <v>305.34593945562546</v>
      </c>
      <c r="O55" s="2581">
        <v>0</v>
      </c>
      <c r="P55" s="2585">
        <v>0</v>
      </c>
      <c r="Q55" s="2581">
        <v>0</v>
      </c>
      <c r="R55" s="2586">
        <f>Tabel668926[[#This Row],[VAT DW 2017]]+Tabel668926[[#This Row],[VAT Sew. 2017]]+Tabel668926[[#This Row],[VAT WW 2017]]+Tabel668926[[#This Row],[VAT Other ch. 2017]]</f>
        <v>0</v>
      </c>
      <c r="S55" s="571">
        <f>Tabel668926[[#This Row],[Total. ch. DW 2017]]+Tabel668926[[#This Row],[Sew. 2017]]+Tabel668926[[#This Row],[VAT Sew. 2017]]+Tabel668926[[#This Row],[WW 2017]]+Tabel668926[[#This Row],[VAT WW 2017]]+Tabel668926[[#This Row],[Other ch. 2017]]+Tabel668926[[#This Row],[VAT Other ch. 2017]]</f>
        <v>795.17171733235796</v>
      </c>
      <c r="T55" s="2587"/>
      <c r="U55" s="2601"/>
      <c r="V55" s="2602"/>
      <c r="W55" s="2603"/>
      <c r="X55" s="2604"/>
      <c r="Y55" s="2605"/>
      <c r="Z55" s="2606"/>
      <c r="AA55" s="2604"/>
      <c r="AB55" s="2607"/>
      <c r="AC55" s="2604"/>
      <c r="AD55" s="2608"/>
      <c r="AE55" s="2604"/>
      <c r="AF55" s="2609"/>
      <c r="AG55" s="1791"/>
      <c r="AH55" s="2587"/>
      <c r="AI55" s="2597" t="s">
        <v>429</v>
      </c>
      <c r="AJ55" s="2597"/>
      <c r="AK55" s="2597"/>
      <c r="AL55" s="2597"/>
      <c r="AM55" s="2597" t="s">
        <v>429</v>
      </c>
      <c r="AN55" s="2597" t="s">
        <v>429</v>
      </c>
      <c r="AO55" s="2634"/>
      <c r="AP55" s="2587"/>
    </row>
    <row r="56" spans="1:42" ht="15.75" customHeight="1" thickBot="1" x14ac:dyDescent="0.3">
      <c r="A56" s="2610"/>
      <c r="B56" s="2783" t="s">
        <v>552</v>
      </c>
      <c r="C56" s="2696"/>
      <c r="D56" s="2696" t="s">
        <v>1040</v>
      </c>
      <c r="E56" s="2663"/>
      <c r="F56" s="2577">
        <f>'exchange rates'!$O$11</f>
        <v>1.25759</v>
      </c>
      <c r="G56" s="2578">
        <f>210.84/F56</f>
        <v>167.65400488235434</v>
      </c>
      <c r="H56" s="2579">
        <f>209.16/F56</f>
        <v>166.31811639723597</v>
      </c>
      <c r="I56" s="2580">
        <v>0</v>
      </c>
      <c r="J56" s="2581">
        <v>0</v>
      </c>
      <c r="K56" s="566">
        <f>Tabel668926[[#This Row],[Fix.ch. 2017]]+Tabel668926[[#This Row],[Var. ch. 2017]]+Tabel668926[[#This Row],[Oth. ch. DW 2017]]+Tabel668926[[#This Row],[VAT DW 2017]]</f>
        <v>333.97212127959028</v>
      </c>
      <c r="L56" s="2582">
        <v>0</v>
      </c>
      <c r="M56" s="2583">
        <v>0</v>
      </c>
      <c r="N56" s="2584">
        <f>424/F56</f>
        <v>337.15280814891975</v>
      </c>
      <c r="O56" s="2581">
        <v>0</v>
      </c>
      <c r="P56" s="2585">
        <v>0</v>
      </c>
      <c r="Q56" s="2581">
        <v>0</v>
      </c>
      <c r="R56" s="2586">
        <f>Tabel668926[[#This Row],[VAT DW 2017]]+Tabel668926[[#This Row],[VAT Sew. 2017]]+Tabel668926[[#This Row],[VAT WW 2017]]+Tabel668926[[#This Row],[VAT Other ch. 2017]]</f>
        <v>0</v>
      </c>
      <c r="S56" s="571">
        <f>Tabel668926[[#This Row],[Total. ch. DW 2017]]+Tabel668926[[#This Row],[Sew. 2017]]+Tabel668926[[#This Row],[VAT Sew. 2017]]+Tabel668926[[#This Row],[WW 2017]]+Tabel668926[[#This Row],[VAT WW 2017]]+Tabel668926[[#This Row],[Other ch. 2017]]+Tabel668926[[#This Row],[VAT Other ch. 2017]]</f>
        <v>671.12492942851009</v>
      </c>
      <c r="T56" s="2587"/>
      <c r="U56" s="2664"/>
      <c r="V56" s="2665"/>
      <c r="W56" s="2666"/>
      <c r="X56" s="2615"/>
      <c r="Y56" s="2667"/>
      <c r="Z56" s="2668"/>
      <c r="AA56" s="2615"/>
      <c r="AB56" s="2669"/>
      <c r="AC56" s="2615"/>
      <c r="AD56" s="2670"/>
      <c r="AE56" s="2615"/>
      <c r="AF56" s="2671"/>
      <c r="AG56" s="1792"/>
      <c r="AH56" s="2587"/>
      <c r="AI56" s="2598"/>
      <c r="AJ56" s="2598"/>
      <c r="AK56" s="2597" t="s">
        <v>429</v>
      </c>
      <c r="AL56" s="2597"/>
      <c r="AM56" s="2597" t="s">
        <v>429</v>
      </c>
      <c r="AN56" s="2597" t="s">
        <v>429</v>
      </c>
      <c r="AO56" s="2634"/>
      <c r="AP56" s="2587"/>
    </row>
    <row r="57" spans="1:42" ht="15.75" customHeight="1" x14ac:dyDescent="0.25">
      <c r="A57" s="2722" t="s">
        <v>489</v>
      </c>
      <c r="B57" s="2784" t="s">
        <v>728</v>
      </c>
      <c r="C57" s="2785"/>
      <c r="D57" s="2785" t="s">
        <v>1042</v>
      </c>
      <c r="E57" s="2736">
        <v>23800</v>
      </c>
      <c r="F57" s="2684">
        <f>'exchange rates'!$M$12</f>
        <v>711.02919999999995</v>
      </c>
      <c r="G57" s="2649">
        <f>10990/F57</f>
        <v>15.456467891895299</v>
      </c>
      <c r="H57" s="2650">
        <f>284335/F57</f>
        <v>399.89215632775705</v>
      </c>
      <c r="I57" s="2651">
        <v>0</v>
      </c>
      <c r="J57" s="2652"/>
      <c r="K57" s="313">
        <f>Tabel668926[[#This Row],[Fix.ch. 2017]]+Tabel668926[[#This Row],[Var. ch. 2017]]+Tabel668926[[#This Row],[Oth. ch. DW 2017]]+Tabel668926[[#This Row],[VAT DW 2017]]</f>
        <v>415.34862421965232</v>
      </c>
      <c r="L57" s="2653">
        <f>64761/F57</f>
        <v>91.080647602095667</v>
      </c>
      <c r="M57" s="2654"/>
      <c r="N57" s="2655">
        <v>0</v>
      </c>
      <c r="O57" s="2652"/>
      <c r="P57" s="2656">
        <v>0</v>
      </c>
      <c r="Q57" s="2652"/>
      <c r="R57" s="2657">
        <f>Tabel668926[[#This Row],[VAT DW 2017]]+Tabel668926[[#This Row],[VAT Sew. 2017]]+Tabel668926[[#This Row],[VAT WW 2017]]+Tabel668926[[#This Row],[VAT Other ch. 2017]]</f>
        <v>0</v>
      </c>
      <c r="S57" s="318">
        <f>Tabel668926[[#This Row],[Total. ch. DW 2017]]+Tabel668926[[#This Row],[Sew. 2017]]+Tabel668926[[#This Row],[VAT Sew. 2017]]+Tabel668926[[#This Row],[WW 2017]]+Tabel668926[[#This Row],[VAT WW 2017]]+Tabel668926[[#This Row],[Other ch. 2017]]+Tabel668926[[#This Row],[VAT Other ch. 2017]]</f>
        <v>506.42927182174799</v>
      </c>
      <c r="T57" s="2587"/>
      <c r="U57" s="2786">
        <f>MEDIAN(G57:G62)</f>
        <v>16.670904654829929</v>
      </c>
      <c r="V57" s="2787">
        <f>MEDIAN(H57:H62)</f>
        <v>155.12935333738756</v>
      </c>
      <c r="W57" s="2788">
        <f>MEDIAN(I57:I62)</f>
        <v>0</v>
      </c>
      <c r="X57" s="2729"/>
      <c r="Y57" s="2789">
        <f>SUM(U57:W62)</f>
        <v>171.8002579922175</v>
      </c>
      <c r="Z57" s="2790">
        <f>MEDIAN(L57:L62)</f>
        <v>139.88314403965407</v>
      </c>
      <c r="AA57" s="2729"/>
      <c r="AB57" s="2791">
        <f>MEDIAN(N57:N62)</f>
        <v>0</v>
      </c>
      <c r="AC57" s="2729"/>
      <c r="AD57" s="2792">
        <f>MEDIAN(P57:P62)</f>
        <v>0</v>
      </c>
      <c r="AE57" s="2729"/>
      <c r="AF57" s="2793">
        <f>MEDIAN(R57:R62)</f>
        <v>0</v>
      </c>
      <c r="AG57" s="1922">
        <f>SUM(Y57:AF62)</f>
        <v>311.68340203187154</v>
      </c>
      <c r="AH57" s="2587"/>
      <c r="AI57" s="2598"/>
      <c r="AJ57" s="2598"/>
      <c r="AK57" s="2598"/>
      <c r="AL57" s="2598"/>
      <c r="AM57" s="2598"/>
      <c r="AN57" s="2598"/>
      <c r="AO57" s="2634"/>
      <c r="AP57" s="2587"/>
    </row>
    <row r="58" spans="1:42" ht="15.75" customHeight="1" x14ac:dyDescent="0.25">
      <c r="A58" s="2735"/>
      <c r="B58" s="2794" t="s">
        <v>492</v>
      </c>
      <c r="C58" s="2785"/>
      <c r="D58" s="2785" t="s">
        <v>1042</v>
      </c>
      <c r="E58" s="2736"/>
      <c r="F58" s="2684">
        <f>'exchange rates'!$M$12</f>
        <v>711.02919999999995</v>
      </c>
      <c r="G58" s="2649">
        <f>12717/F58</f>
        <v>17.885341417764561</v>
      </c>
      <c r="H58" s="2650">
        <f>135129/F58</f>
        <v>190.04704729426021</v>
      </c>
      <c r="I58" s="2651">
        <v>0</v>
      </c>
      <c r="J58" s="2652"/>
      <c r="K58" s="313">
        <f>Tabel668926[[#This Row],[Fix.ch. 2017]]+Tabel668926[[#This Row],[Var. ch. 2017]]+Tabel668926[[#This Row],[Oth. ch. DW 2017]]+Tabel668926[[#This Row],[VAT DW 2017]]</f>
        <v>207.93238871202476</v>
      </c>
      <c r="L58" s="2653">
        <f>99461/F58</f>
        <v>139.88314403965407</v>
      </c>
      <c r="M58" s="2654"/>
      <c r="N58" s="2655">
        <v>0</v>
      </c>
      <c r="O58" s="2652"/>
      <c r="P58" s="2656">
        <v>0</v>
      </c>
      <c r="Q58" s="2652"/>
      <c r="R58" s="2657">
        <f>Tabel668926[[#This Row],[VAT DW 2017]]+Tabel668926[[#This Row],[VAT Sew. 2017]]+Tabel668926[[#This Row],[VAT WW 2017]]+Tabel668926[[#This Row],[VAT Other ch. 2017]]</f>
        <v>0</v>
      </c>
      <c r="S58" s="318">
        <f>Tabel668926[[#This Row],[Total. ch. DW 2017]]+Tabel668926[[#This Row],[Sew. 2017]]+Tabel668926[[#This Row],[VAT Sew. 2017]]+Tabel668926[[#This Row],[WW 2017]]+Tabel668926[[#This Row],[VAT WW 2017]]+Tabel668926[[#This Row],[Other ch. 2017]]+Tabel668926[[#This Row],[VAT Other ch. 2017]]</f>
        <v>347.8155327516788</v>
      </c>
      <c r="T58" s="2587"/>
      <c r="U58" s="2737"/>
      <c r="V58" s="2738"/>
      <c r="W58" s="2739"/>
      <c r="X58" s="2740"/>
      <c r="Y58" s="2741"/>
      <c r="Z58" s="2742"/>
      <c r="AA58" s="2740"/>
      <c r="AB58" s="2743"/>
      <c r="AC58" s="2740"/>
      <c r="AD58" s="2744"/>
      <c r="AE58" s="2740"/>
      <c r="AF58" s="2745"/>
      <c r="AG58" s="1876"/>
      <c r="AH58" s="2587"/>
      <c r="AI58" s="2598"/>
      <c r="AJ58" s="2598"/>
      <c r="AK58" s="2598"/>
      <c r="AL58" s="2598"/>
      <c r="AM58" s="2598"/>
      <c r="AN58" s="2598"/>
      <c r="AO58" s="2634"/>
      <c r="AP58" s="2587"/>
    </row>
    <row r="59" spans="1:42" ht="15.75" customHeight="1" x14ac:dyDescent="0.25">
      <c r="A59" s="2735"/>
      <c r="B59" s="2794" t="s">
        <v>729</v>
      </c>
      <c r="C59" s="2785"/>
      <c r="D59" s="2785" t="s">
        <v>1042</v>
      </c>
      <c r="E59" s="2736"/>
      <c r="F59" s="2684">
        <f>'exchange rates'!$M$12</f>
        <v>711.02919999999995</v>
      </c>
      <c r="G59" s="2649">
        <f>12717/F59</f>
        <v>17.885341417764561</v>
      </c>
      <c r="H59" s="2650">
        <f>135129/F59</f>
        <v>190.04704729426021</v>
      </c>
      <c r="I59" s="2651">
        <v>0</v>
      </c>
      <c r="J59" s="2652"/>
      <c r="K59" s="313">
        <f>Tabel668926[[#This Row],[Fix.ch. 2017]]+Tabel668926[[#This Row],[Var. ch. 2017]]+Tabel668926[[#This Row],[Oth. ch. DW 2017]]+Tabel668926[[#This Row],[VAT DW 2017]]</f>
        <v>207.93238871202476</v>
      </c>
      <c r="L59" s="2653">
        <f>99461/F59</f>
        <v>139.88314403965407</v>
      </c>
      <c r="M59" s="2654"/>
      <c r="N59" s="2655">
        <v>0</v>
      </c>
      <c r="O59" s="2652"/>
      <c r="P59" s="2656">
        <v>0</v>
      </c>
      <c r="Q59" s="2652"/>
      <c r="R59" s="2657">
        <f>Tabel668926[[#This Row],[VAT DW 2017]]+Tabel668926[[#This Row],[VAT Sew. 2017]]+Tabel668926[[#This Row],[VAT WW 2017]]+Tabel668926[[#This Row],[VAT Other ch. 2017]]</f>
        <v>0</v>
      </c>
      <c r="S59" s="318">
        <f>Tabel668926[[#This Row],[Total. ch. DW 2017]]+Tabel668926[[#This Row],[Sew. 2017]]+Tabel668926[[#This Row],[VAT Sew. 2017]]+Tabel668926[[#This Row],[WW 2017]]+Tabel668926[[#This Row],[VAT WW 2017]]+Tabel668926[[#This Row],[Other ch. 2017]]+Tabel668926[[#This Row],[VAT Other ch. 2017]]</f>
        <v>347.8155327516788</v>
      </c>
      <c r="T59" s="2587"/>
      <c r="U59" s="2737"/>
      <c r="V59" s="2738"/>
      <c r="W59" s="2739"/>
      <c r="X59" s="2740"/>
      <c r="Y59" s="2741"/>
      <c r="Z59" s="2742"/>
      <c r="AA59" s="2740"/>
      <c r="AB59" s="2743"/>
      <c r="AC59" s="2740"/>
      <c r="AD59" s="2744"/>
      <c r="AE59" s="2740"/>
      <c r="AF59" s="2745"/>
      <c r="AG59" s="1876"/>
      <c r="AH59" s="2587"/>
      <c r="AI59" s="2598"/>
      <c r="AJ59" s="2598"/>
      <c r="AK59" s="2598"/>
      <c r="AL59" s="2598"/>
      <c r="AM59" s="2598"/>
      <c r="AN59" s="2598"/>
      <c r="AO59" s="2634"/>
      <c r="AP59" s="2587"/>
    </row>
    <row r="60" spans="1:42" ht="15.75" customHeight="1" x14ac:dyDescent="0.25">
      <c r="A60" s="2735"/>
      <c r="B60" s="2794" t="s">
        <v>493</v>
      </c>
      <c r="C60" s="2785"/>
      <c r="D60" s="2785" t="s">
        <v>1042</v>
      </c>
      <c r="E60" s="2736"/>
      <c r="F60" s="2684">
        <f>'exchange rates'!$M$12</f>
        <v>711.02919999999995</v>
      </c>
      <c r="G60" s="2649">
        <f>7685/F60</f>
        <v>10.80827622831805</v>
      </c>
      <c r="H60" s="2650">
        <f>81904/F60</f>
        <v>115.19076853665082</v>
      </c>
      <c r="I60" s="2651">
        <v>0</v>
      </c>
      <c r="J60" s="2652"/>
      <c r="K60" s="313">
        <f>Tabel668926[[#This Row],[Fix.ch. 2017]]+Tabel668926[[#This Row],[Var. ch. 2017]]+Tabel668926[[#This Row],[Oth. ch. DW 2017]]+Tabel668926[[#This Row],[VAT DW 2017]]</f>
        <v>125.99904476496887</v>
      </c>
      <c r="L60" s="2653">
        <f>104035/F60</f>
        <v>146.31607253260486</v>
      </c>
      <c r="M60" s="2654"/>
      <c r="N60" s="2655">
        <v>0</v>
      </c>
      <c r="O60" s="2652"/>
      <c r="P60" s="2656">
        <v>0</v>
      </c>
      <c r="Q60" s="2652"/>
      <c r="R60" s="2657">
        <f>Tabel668926[[#This Row],[VAT DW 2017]]+Tabel668926[[#This Row],[VAT Sew. 2017]]+Tabel668926[[#This Row],[VAT WW 2017]]+Tabel668926[[#This Row],[VAT Other ch. 2017]]</f>
        <v>0</v>
      </c>
      <c r="S60" s="318">
        <f>Tabel668926[[#This Row],[Total. ch. DW 2017]]+Tabel668926[[#This Row],[Sew. 2017]]+Tabel668926[[#This Row],[VAT Sew. 2017]]+Tabel668926[[#This Row],[WW 2017]]+Tabel668926[[#This Row],[VAT WW 2017]]+Tabel668926[[#This Row],[Other ch. 2017]]+Tabel668926[[#This Row],[VAT Other ch. 2017]]</f>
        <v>272.31511729757375</v>
      </c>
      <c r="T60" s="2587"/>
      <c r="U60" s="2737"/>
      <c r="V60" s="2738"/>
      <c r="W60" s="2739"/>
      <c r="X60" s="2740"/>
      <c r="Y60" s="2741"/>
      <c r="Z60" s="2742"/>
      <c r="AA60" s="2740"/>
      <c r="AB60" s="2743"/>
      <c r="AC60" s="2740"/>
      <c r="AD60" s="2744"/>
      <c r="AE60" s="2740"/>
      <c r="AF60" s="2745"/>
      <c r="AG60" s="1876"/>
      <c r="AH60" s="2587"/>
      <c r="AI60" s="2598"/>
      <c r="AJ60" s="2598"/>
      <c r="AK60" s="2598"/>
      <c r="AL60" s="2598"/>
      <c r="AM60" s="2598"/>
      <c r="AN60" s="2598"/>
      <c r="AO60" s="2634"/>
      <c r="AP60" s="2587"/>
    </row>
    <row r="61" spans="1:42" ht="15.75" customHeight="1" x14ac:dyDescent="0.25">
      <c r="A61" s="2735"/>
      <c r="B61" s="2784" t="s">
        <v>730</v>
      </c>
      <c r="C61" s="2785"/>
      <c r="D61" s="2785" t="s">
        <v>1042</v>
      </c>
      <c r="E61" s="2736"/>
      <c r="F61" s="2684">
        <f>'exchange rates'!$M$12</f>
        <v>711.02919999999995</v>
      </c>
      <c r="G61" s="2649">
        <f>12923/F61</f>
        <v>18.17506228998753</v>
      </c>
      <c r="H61" s="2650">
        <f>85474/F61</f>
        <v>120.2116593805149</v>
      </c>
      <c r="I61" s="2651">
        <v>0</v>
      </c>
      <c r="J61" s="2652"/>
      <c r="K61" s="313">
        <f>Tabel668926[[#This Row],[Fix.ch. 2017]]+Tabel668926[[#This Row],[Var. ch. 2017]]+Tabel668926[[#This Row],[Oth. ch. DW 2017]]+Tabel668926[[#This Row],[VAT DW 2017]]</f>
        <v>138.38672167050242</v>
      </c>
      <c r="L61" s="2653">
        <f>139941/F61</f>
        <v>196.81470184346861</v>
      </c>
      <c r="M61" s="2654"/>
      <c r="N61" s="2655">
        <v>0</v>
      </c>
      <c r="O61" s="2652"/>
      <c r="P61" s="2656">
        <v>0</v>
      </c>
      <c r="Q61" s="2652"/>
      <c r="R61" s="2657">
        <f>Tabel668926[[#This Row],[VAT DW 2017]]+Tabel668926[[#This Row],[VAT Sew. 2017]]+Tabel668926[[#This Row],[VAT WW 2017]]+Tabel668926[[#This Row],[VAT Other ch. 2017]]</f>
        <v>0</v>
      </c>
      <c r="S61" s="318">
        <f>Tabel668926[[#This Row],[Total. ch. DW 2017]]+Tabel668926[[#This Row],[Sew. 2017]]+Tabel668926[[#This Row],[VAT Sew. 2017]]+Tabel668926[[#This Row],[WW 2017]]+Tabel668926[[#This Row],[VAT WW 2017]]+Tabel668926[[#This Row],[Other ch. 2017]]+Tabel668926[[#This Row],[VAT Other ch. 2017]]</f>
        <v>335.20142351397101</v>
      </c>
      <c r="T61" s="2587"/>
      <c r="U61" s="2737"/>
      <c r="V61" s="2738"/>
      <c r="W61" s="2739"/>
      <c r="X61" s="2740"/>
      <c r="Y61" s="2741"/>
      <c r="Z61" s="2742"/>
      <c r="AA61" s="2740"/>
      <c r="AB61" s="2743"/>
      <c r="AC61" s="2740"/>
      <c r="AD61" s="2744"/>
      <c r="AE61" s="2740"/>
      <c r="AF61" s="2745"/>
      <c r="AG61" s="1876"/>
      <c r="AH61" s="2587"/>
      <c r="AI61" s="2598"/>
      <c r="AJ61" s="2598"/>
      <c r="AK61" s="2598"/>
      <c r="AL61" s="2598"/>
      <c r="AM61" s="2598"/>
      <c r="AN61" s="2598"/>
      <c r="AO61" s="2634"/>
      <c r="AP61" s="2587"/>
    </row>
    <row r="62" spans="1:42" ht="15.75" customHeight="1" thickBot="1" x14ac:dyDescent="0.3">
      <c r="A62" s="2746"/>
      <c r="B62" s="2784" t="s">
        <v>731</v>
      </c>
      <c r="C62" s="2785" t="s">
        <v>429</v>
      </c>
      <c r="D62" s="2686" t="s">
        <v>1042</v>
      </c>
      <c r="E62" s="2748"/>
      <c r="F62" s="2684">
        <f>'exchange rates'!$M$12</f>
        <v>711.02919999999995</v>
      </c>
      <c r="G62" s="2649">
        <f>7300/F62</f>
        <v>10.266807607901336</v>
      </c>
      <c r="H62" s="2650">
        <f>67207/F62</f>
        <v>94.520731356743156</v>
      </c>
      <c r="I62" s="2651">
        <v>0</v>
      </c>
      <c r="J62" s="2652"/>
      <c r="K62" s="313">
        <f>Tabel668926[[#This Row],[Fix.ch. 2017]]+Tabel668926[[#This Row],[Var. ch. 2017]]+Tabel668926[[#This Row],[Oth. ch. DW 2017]]+Tabel668926[[#This Row],[VAT DW 2017]]</f>
        <v>104.7875389646445</v>
      </c>
      <c r="L62" s="2653">
        <f>90496/F62</f>
        <v>127.27466044995059</v>
      </c>
      <c r="M62" s="2654"/>
      <c r="N62" s="2655">
        <v>0</v>
      </c>
      <c r="O62" s="2652"/>
      <c r="P62" s="2656">
        <v>0</v>
      </c>
      <c r="Q62" s="2652"/>
      <c r="R62" s="2657">
        <f>Tabel668926[[#This Row],[VAT DW 2017]]+Tabel668926[[#This Row],[VAT Sew. 2017]]+Tabel668926[[#This Row],[VAT WW 2017]]+Tabel668926[[#This Row],[VAT Other ch. 2017]]</f>
        <v>0</v>
      </c>
      <c r="S62" s="318">
        <f>Tabel668926[[#This Row],[Total. ch. DW 2017]]+Tabel668926[[#This Row],[Sew. 2017]]+Tabel668926[[#This Row],[VAT Sew. 2017]]+Tabel668926[[#This Row],[WW 2017]]+Tabel668926[[#This Row],[VAT WW 2017]]+Tabel668926[[#This Row],[Other ch. 2017]]+Tabel668926[[#This Row],[VAT Other ch. 2017]]</f>
        <v>232.06219941459509</v>
      </c>
      <c r="T62" s="2587"/>
      <c r="U62" s="2749"/>
      <c r="V62" s="2750"/>
      <c r="W62" s="2751"/>
      <c r="X62" s="2752"/>
      <c r="Y62" s="2753"/>
      <c r="Z62" s="2754"/>
      <c r="AA62" s="2752"/>
      <c r="AB62" s="2755"/>
      <c r="AC62" s="2752"/>
      <c r="AD62" s="2756"/>
      <c r="AE62" s="2752"/>
      <c r="AF62" s="2757"/>
      <c r="AG62" s="1877"/>
      <c r="AH62" s="2587"/>
      <c r="AI62" s="2598"/>
      <c r="AJ62" s="2598"/>
      <c r="AK62" s="2598"/>
      <c r="AL62" s="2598"/>
      <c r="AM62" s="2598"/>
      <c r="AN62" s="2598"/>
      <c r="AO62" s="2634"/>
      <c r="AP62" s="2587"/>
    </row>
    <row r="63" spans="1:42" ht="15.75" customHeight="1" x14ac:dyDescent="0.25">
      <c r="A63" s="2687" t="s">
        <v>8</v>
      </c>
      <c r="B63" s="2758" t="s">
        <v>78</v>
      </c>
      <c r="C63" s="2689" t="s">
        <v>429</v>
      </c>
      <c r="D63" s="2689" t="s">
        <v>1044</v>
      </c>
      <c r="E63" s="2701">
        <v>16600</v>
      </c>
      <c r="F63" s="2577">
        <f>'exchange rates'!$O$13</f>
        <v>6.50176</v>
      </c>
      <c r="G63" s="2795">
        <f>(4.07*200)/F63</f>
        <v>125.19686977064671</v>
      </c>
      <c r="H63" s="2579">
        <v>0</v>
      </c>
      <c r="I63" s="2580">
        <v>0</v>
      </c>
      <c r="J63" s="2581">
        <v>0</v>
      </c>
      <c r="K63" s="566">
        <f>Tabel668926[[#This Row],[Fix.ch. 2017]]+Tabel668926[[#This Row],[Var. ch. 2017]]+Tabel668926[[#This Row],[Oth. ch. DW 2017]]+Tabel668926[[#This Row],[VAT DW 2017]]</f>
        <v>125.19686977064671</v>
      </c>
      <c r="L63" s="2582">
        <v>0</v>
      </c>
      <c r="M63" s="2583">
        <v>0</v>
      </c>
      <c r="N63" s="2584">
        <f>(1.36*200)/F63</f>
        <v>41.834826262427406</v>
      </c>
      <c r="O63" s="2581">
        <v>0</v>
      </c>
      <c r="P63" s="2585">
        <f>(1.57*200)/F63</f>
        <v>48.294615611772812</v>
      </c>
      <c r="Q63" s="2581">
        <v>0</v>
      </c>
      <c r="R63" s="2586">
        <f>Tabel668926[[#This Row],[VAT DW 2017]]+Tabel668926[[#This Row],[VAT Sew. 2017]]+Tabel668926[[#This Row],[VAT WW 2017]]+Tabel668926[[#This Row],[VAT Other ch. 2017]]</f>
        <v>0</v>
      </c>
      <c r="S63" s="571">
        <f>Tabel668926[[#This Row],[Total. ch. DW 2017]]+Tabel668926[[#This Row],[Sew. 2017]]+Tabel668926[[#This Row],[VAT Sew. 2017]]+Tabel668926[[#This Row],[WW 2017]]+Tabel668926[[#This Row],[VAT WW 2017]]+Tabel668926[[#This Row],[Other ch. 2017]]+Tabel668926[[#This Row],[VAT Other ch. 2017]]</f>
        <v>215.32631164484695</v>
      </c>
      <c r="T63" s="2587"/>
      <c r="U63" s="2702">
        <f>MEDIAN(G63:G67)</f>
        <v>120.27512550447879</v>
      </c>
      <c r="V63" s="2703">
        <f>MEDIAN(H63:H67)</f>
        <v>0</v>
      </c>
      <c r="W63" s="2704">
        <f>MEDIAN(I63:I67)</f>
        <v>0</v>
      </c>
      <c r="X63" s="2796">
        <f>MEDIAN(J63:J67)</f>
        <v>0</v>
      </c>
      <c r="Y63" s="2705">
        <f>SUM(U63:X67)</f>
        <v>120.27512550447879</v>
      </c>
      <c r="Z63" s="2706">
        <f t="shared" ref="Z63:AF63" si="6">MEDIAN(L63:L67)</f>
        <v>0</v>
      </c>
      <c r="AA63" s="2796">
        <f t="shared" si="6"/>
        <v>0</v>
      </c>
      <c r="AB63" s="2707">
        <f t="shared" si="6"/>
        <v>36.913081996259471</v>
      </c>
      <c r="AC63" s="2796">
        <f t="shared" si="6"/>
        <v>0</v>
      </c>
      <c r="AD63" s="2708">
        <f t="shared" si="6"/>
        <v>0</v>
      </c>
      <c r="AE63" s="2796">
        <f t="shared" si="6"/>
        <v>0</v>
      </c>
      <c r="AF63" s="2709">
        <f t="shared" si="6"/>
        <v>0</v>
      </c>
      <c r="AG63" s="1831">
        <f>Y63+Z63+AA63+AB63+AC63+AD63+AE63</f>
        <v>157.18820750073826</v>
      </c>
      <c r="AH63" s="2587"/>
      <c r="AI63" s="2634"/>
      <c r="AJ63" s="2634"/>
      <c r="AK63" s="2634"/>
      <c r="AL63" s="2597" t="s">
        <v>429</v>
      </c>
      <c r="AM63" s="2597"/>
      <c r="AN63" s="2597" t="s">
        <v>429</v>
      </c>
      <c r="AO63" s="2634"/>
      <c r="AP63" s="2587"/>
    </row>
    <row r="64" spans="1:42" ht="15.75" customHeight="1" x14ac:dyDescent="0.25">
      <c r="A64" s="2691"/>
      <c r="B64" s="2692" t="s">
        <v>79</v>
      </c>
      <c r="C64" s="2689"/>
      <c r="D64" s="2689" t="s">
        <v>1044</v>
      </c>
      <c r="E64" s="2711"/>
      <c r="F64" s="2577">
        <f>'exchange rates'!$O$13</f>
        <v>6.50176</v>
      </c>
      <c r="G64" s="2795">
        <f>(3.3*200)/F64</f>
        <v>101.51097548971356</v>
      </c>
      <c r="H64" s="2579">
        <v>0</v>
      </c>
      <c r="I64" s="2580">
        <v>0</v>
      </c>
      <c r="J64" s="2581">
        <v>0</v>
      </c>
      <c r="K64" s="566">
        <f>Tabel668926[[#This Row],[Fix.ch. 2017]]+Tabel668926[[#This Row],[Var. ch. 2017]]+Tabel668926[[#This Row],[Oth. ch. DW 2017]]+Tabel668926[[#This Row],[VAT DW 2017]]</f>
        <v>101.51097548971356</v>
      </c>
      <c r="L64" s="2582">
        <v>0</v>
      </c>
      <c r="M64" s="2583">
        <v>0</v>
      </c>
      <c r="N64" s="2584">
        <f>(1.7*200)/F64</f>
        <v>52.293532828034259</v>
      </c>
      <c r="O64" s="2581">
        <v>0</v>
      </c>
      <c r="P64" s="2585">
        <v>0</v>
      </c>
      <c r="Q64" s="2581">
        <v>0</v>
      </c>
      <c r="R64" s="2586">
        <f>Tabel668926[[#This Row],[VAT DW 2017]]+Tabel668926[[#This Row],[VAT Sew. 2017]]+Tabel668926[[#This Row],[VAT WW 2017]]+Tabel668926[[#This Row],[VAT Other ch. 2017]]</f>
        <v>0</v>
      </c>
      <c r="S64" s="571">
        <f>Tabel668926[[#This Row],[Total. ch. DW 2017]]+Tabel668926[[#This Row],[Sew. 2017]]+Tabel668926[[#This Row],[VAT Sew. 2017]]+Tabel668926[[#This Row],[WW 2017]]+Tabel668926[[#This Row],[VAT WW 2017]]+Tabel668926[[#This Row],[Other ch. 2017]]+Tabel668926[[#This Row],[VAT Other ch. 2017]]</f>
        <v>153.80450831774783</v>
      </c>
      <c r="T64" s="2587"/>
      <c r="U64" s="2601"/>
      <c r="V64" s="2602"/>
      <c r="W64" s="2603"/>
      <c r="X64" s="2658"/>
      <c r="Y64" s="2605"/>
      <c r="Z64" s="2606"/>
      <c r="AA64" s="2658"/>
      <c r="AB64" s="2607"/>
      <c r="AC64" s="2658"/>
      <c r="AD64" s="2608"/>
      <c r="AE64" s="2658"/>
      <c r="AF64" s="2609"/>
      <c r="AG64" s="1791"/>
      <c r="AH64" s="2587"/>
      <c r="AI64" s="2634"/>
      <c r="AJ64" s="2634"/>
      <c r="AK64" s="2634"/>
      <c r="AL64" s="2597" t="s">
        <v>429</v>
      </c>
      <c r="AM64" s="2597"/>
      <c r="AN64" s="2597" t="s">
        <v>429</v>
      </c>
      <c r="AO64" s="2634"/>
      <c r="AP64" s="2587"/>
    </row>
    <row r="65" spans="1:42" ht="15.75" customHeight="1" x14ac:dyDescent="0.25">
      <c r="A65" s="2691"/>
      <c r="B65" s="2692" t="s">
        <v>80</v>
      </c>
      <c r="C65" s="2689"/>
      <c r="D65" s="2689" t="s">
        <v>1044</v>
      </c>
      <c r="E65" s="2711"/>
      <c r="F65" s="2577">
        <f>'exchange rates'!$O$13</f>
        <v>6.50176</v>
      </c>
      <c r="G65" s="2795">
        <f>(3.91*200)/F65</f>
        <v>120.27512550447879</v>
      </c>
      <c r="H65" s="2579">
        <v>0</v>
      </c>
      <c r="I65" s="2580">
        <f>(1.39*200)/F65</f>
        <v>42.757653312333893</v>
      </c>
      <c r="J65" s="2581">
        <v>0</v>
      </c>
      <c r="K65" s="566">
        <f>Tabel668926[[#This Row],[Fix.ch. 2017]]+Tabel668926[[#This Row],[Var. ch. 2017]]+Tabel668926[[#This Row],[Oth. ch. DW 2017]]+Tabel668926[[#This Row],[VAT DW 2017]]</f>
        <v>163.03277881681268</v>
      </c>
      <c r="L65" s="2582">
        <v>0</v>
      </c>
      <c r="M65" s="2583">
        <v>0</v>
      </c>
      <c r="N65" s="2584">
        <f>(0.9*200)/F65</f>
        <v>27.684811497194605</v>
      </c>
      <c r="O65" s="2581">
        <v>0</v>
      </c>
      <c r="P65" s="2585">
        <v>0</v>
      </c>
      <c r="Q65" s="2581">
        <v>0</v>
      </c>
      <c r="R65" s="2586">
        <f>Tabel668926[[#This Row],[VAT DW 2017]]+Tabel668926[[#This Row],[VAT Sew. 2017]]+Tabel668926[[#This Row],[VAT WW 2017]]+Tabel668926[[#This Row],[VAT Other ch. 2017]]</f>
        <v>0</v>
      </c>
      <c r="S65" s="571">
        <f>Tabel668926[[#This Row],[Total. ch. DW 2017]]+Tabel668926[[#This Row],[Sew. 2017]]+Tabel668926[[#This Row],[VAT Sew. 2017]]+Tabel668926[[#This Row],[WW 2017]]+Tabel668926[[#This Row],[VAT WW 2017]]+Tabel668926[[#This Row],[Other ch. 2017]]+Tabel668926[[#This Row],[VAT Other ch. 2017]]</f>
        <v>190.71759031400728</v>
      </c>
      <c r="T65" s="2587"/>
      <c r="U65" s="2601"/>
      <c r="V65" s="2602"/>
      <c r="W65" s="2603"/>
      <c r="X65" s="2658"/>
      <c r="Y65" s="2605"/>
      <c r="Z65" s="2606"/>
      <c r="AA65" s="2658"/>
      <c r="AB65" s="2607"/>
      <c r="AC65" s="2658"/>
      <c r="AD65" s="2608"/>
      <c r="AE65" s="2658"/>
      <c r="AF65" s="2609"/>
      <c r="AG65" s="1791"/>
      <c r="AH65" s="2587"/>
      <c r="AI65" s="2634"/>
      <c r="AJ65" s="2634"/>
      <c r="AK65" s="2634"/>
      <c r="AL65" s="2597" t="s">
        <v>429</v>
      </c>
      <c r="AM65" s="2597"/>
      <c r="AN65" s="2597" t="s">
        <v>429</v>
      </c>
      <c r="AO65" s="2634"/>
      <c r="AP65" s="2587"/>
    </row>
    <row r="66" spans="1:42" ht="15.75" customHeight="1" x14ac:dyDescent="0.25">
      <c r="A66" s="2691"/>
      <c r="B66" s="2768" t="s">
        <v>81</v>
      </c>
      <c r="C66" s="2689"/>
      <c r="D66" s="2689" t="s">
        <v>1044</v>
      </c>
      <c r="E66" s="2711"/>
      <c r="F66" s="2577">
        <f>'exchange rates'!$O$13</f>
        <v>6.50176</v>
      </c>
      <c r="G66" s="2795">
        <f>(4.01*200)/F66</f>
        <v>123.35121567083374</v>
      </c>
      <c r="H66" s="2579">
        <v>0</v>
      </c>
      <c r="I66" s="2580">
        <v>0</v>
      </c>
      <c r="J66" s="2581">
        <v>0</v>
      </c>
      <c r="K66" s="566">
        <f>Tabel668926[[#This Row],[Fix.ch. 2017]]+Tabel668926[[#This Row],[Var. ch. 2017]]+Tabel668926[[#This Row],[Oth. ch. DW 2017]]+Tabel668926[[#This Row],[VAT DW 2017]]</f>
        <v>123.35121567083374</v>
      </c>
      <c r="L66" s="2582">
        <v>0</v>
      </c>
      <c r="M66" s="2583">
        <v>0</v>
      </c>
      <c r="N66" s="2584">
        <f>(0.9*200)/F66</f>
        <v>27.684811497194605</v>
      </c>
      <c r="O66" s="2581">
        <v>0</v>
      </c>
      <c r="P66" s="2585">
        <v>0</v>
      </c>
      <c r="Q66" s="2581">
        <v>0</v>
      </c>
      <c r="R66" s="2586">
        <f>Tabel668926[[#This Row],[VAT DW 2017]]+Tabel668926[[#This Row],[VAT Sew. 2017]]+Tabel668926[[#This Row],[VAT WW 2017]]+Tabel668926[[#This Row],[VAT Other ch. 2017]]</f>
        <v>0</v>
      </c>
      <c r="S66" s="571">
        <f>Tabel668926[[#This Row],[Total. ch. DW 2017]]+Tabel668926[[#This Row],[Sew. 2017]]+Tabel668926[[#This Row],[VAT Sew. 2017]]+Tabel668926[[#This Row],[WW 2017]]+Tabel668926[[#This Row],[VAT WW 2017]]+Tabel668926[[#This Row],[Other ch. 2017]]+Tabel668926[[#This Row],[VAT Other ch. 2017]]</f>
        <v>151.03602716802834</v>
      </c>
      <c r="T66" s="2587"/>
      <c r="U66" s="2601"/>
      <c r="V66" s="2602"/>
      <c r="W66" s="2603"/>
      <c r="X66" s="2658"/>
      <c r="Y66" s="2605"/>
      <c r="Z66" s="2606"/>
      <c r="AA66" s="2658"/>
      <c r="AB66" s="2607"/>
      <c r="AC66" s="2658"/>
      <c r="AD66" s="2608"/>
      <c r="AE66" s="2658"/>
      <c r="AF66" s="2609"/>
      <c r="AG66" s="1791"/>
      <c r="AH66" s="2587"/>
      <c r="AI66" s="2634"/>
      <c r="AJ66" s="2634"/>
      <c r="AK66" s="2634"/>
      <c r="AL66" s="2597" t="s">
        <v>429</v>
      </c>
      <c r="AM66" s="2597"/>
      <c r="AN66" s="2597" t="s">
        <v>429</v>
      </c>
      <c r="AO66" s="2634"/>
      <c r="AP66" s="2587"/>
    </row>
    <row r="67" spans="1:42" ht="15.75" customHeight="1" thickBot="1" x14ac:dyDescent="0.3">
      <c r="A67" s="2694"/>
      <c r="B67" s="2797" t="s">
        <v>468</v>
      </c>
      <c r="C67" s="2689"/>
      <c r="D67" s="2689" t="s">
        <v>1044</v>
      </c>
      <c r="E67" s="2798"/>
      <c r="F67" s="2577">
        <f>'exchange rates'!$O$13</f>
        <v>6.50176</v>
      </c>
      <c r="G67" s="2795">
        <f>(2.97*200)/F67</f>
        <v>91.359877940742194</v>
      </c>
      <c r="H67" s="2579">
        <v>0</v>
      </c>
      <c r="I67" s="2580">
        <v>0</v>
      </c>
      <c r="J67" s="2581">
        <v>0</v>
      </c>
      <c r="K67" s="566">
        <f>Tabel668926[[#This Row],[Fix.ch. 2017]]+Tabel668926[[#This Row],[Var. ch. 2017]]+Tabel668926[[#This Row],[Oth. ch. DW 2017]]+Tabel668926[[#This Row],[VAT DW 2017]]</f>
        <v>91.359877940742194</v>
      </c>
      <c r="L67" s="2582">
        <v>0</v>
      </c>
      <c r="M67" s="2583">
        <v>0</v>
      </c>
      <c r="N67" s="2584">
        <f>(1.2*200)/F67</f>
        <v>36.913081996259471</v>
      </c>
      <c r="O67" s="2581">
        <v>0</v>
      </c>
      <c r="P67" s="2585">
        <v>0</v>
      </c>
      <c r="Q67" s="2581">
        <v>0</v>
      </c>
      <c r="R67" s="2586">
        <f>Tabel668926[[#This Row],[VAT DW 2017]]+Tabel668926[[#This Row],[VAT Sew. 2017]]+Tabel668926[[#This Row],[VAT WW 2017]]+Tabel668926[[#This Row],[VAT Other ch. 2017]]</f>
        <v>0</v>
      </c>
      <c r="S67" s="571">
        <f>Tabel668926[[#This Row],[Total. ch. DW 2017]]+Tabel668926[[#This Row],[Sew. 2017]]+Tabel668926[[#This Row],[VAT Sew. 2017]]+Tabel668926[[#This Row],[WW 2017]]+Tabel668926[[#This Row],[VAT WW 2017]]+Tabel668926[[#This Row],[Other ch. 2017]]+Tabel668926[[#This Row],[VAT Other ch. 2017]]</f>
        <v>128.27295993700167</v>
      </c>
      <c r="T67" s="2587"/>
      <c r="U67" s="2664"/>
      <c r="V67" s="2665"/>
      <c r="W67" s="2666"/>
      <c r="X67" s="2615"/>
      <c r="Y67" s="2667"/>
      <c r="Z67" s="2668"/>
      <c r="AA67" s="2615"/>
      <c r="AB67" s="2669"/>
      <c r="AC67" s="2615"/>
      <c r="AD67" s="2670"/>
      <c r="AE67" s="2615"/>
      <c r="AF67" s="2671"/>
      <c r="AG67" s="1792"/>
      <c r="AH67" s="2587"/>
      <c r="AI67" s="2634"/>
      <c r="AJ67" s="2634"/>
      <c r="AK67" s="2634"/>
      <c r="AL67" s="2597" t="s">
        <v>429</v>
      </c>
      <c r="AM67" s="2597"/>
      <c r="AN67" s="2597" t="s">
        <v>429</v>
      </c>
      <c r="AO67" s="2634"/>
      <c r="AP67" s="2587"/>
    </row>
    <row r="68" spans="1:42" ht="15.75" customHeight="1" thickBot="1" x14ac:dyDescent="0.3">
      <c r="A68" s="2799" t="s">
        <v>585</v>
      </c>
      <c r="B68" s="2692" t="s">
        <v>84</v>
      </c>
      <c r="C68" s="2689" t="s">
        <v>429</v>
      </c>
      <c r="D68" s="2800" t="s">
        <v>1046</v>
      </c>
      <c r="E68" s="2801">
        <v>61000</v>
      </c>
      <c r="F68" s="2577">
        <f>'exchange rates'!O14</f>
        <v>7.8123899999999997</v>
      </c>
      <c r="G68" s="2578">
        <f>0</f>
        <v>0</v>
      </c>
      <c r="H68" s="2579">
        <f>890.28/F68</f>
        <v>113.95744452081885</v>
      </c>
      <c r="I68" s="2580">
        <v>0</v>
      </c>
      <c r="J68" s="2581">
        <v>0</v>
      </c>
      <c r="K68" s="566">
        <f>Tabel668926[[#This Row],[Fix.ch. 2017]]+Tabel668926[[#This Row],[Var. ch. 2017]]+Tabel668926[[#This Row],[Oth. ch. DW 2017]]+Tabel668926[[#This Row],[VAT DW 2017]]</f>
        <v>113.95744452081885</v>
      </c>
      <c r="L68" s="2582">
        <v>0</v>
      </c>
      <c r="M68" s="2583">
        <v>0</v>
      </c>
      <c r="N68" s="2584">
        <f>584/F68</f>
        <v>74.75305252297953</v>
      </c>
      <c r="O68" s="2581">
        <v>0</v>
      </c>
      <c r="P68" s="2585">
        <v>0</v>
      </c>
      <c r="Q68" s="2581">
        <v>0</v>
      </c>
      <c r="R68" s="2586">
        <f>Tabel668926[[#This Row],[VAT DW 2017]]+Tabel668926[[#This Row],[VAT Sew. 2017]]+Tabel668926[[#This Row],[VAT WW 2017]]+Tabel668926[[#This Row],[VAT Other ch. 2017]]</f>
        <v>0</v>
      </c>
      <c r="S68" s="571">
        <f>Tabel668926[[#This Row],[Total. ch. DW 2017]]+Tabel668926[[#This Row],[Sew. 2017]]+Tabel668926[[#This Row],[VAT Sew. 2017]]+Tabel668926[[#This Row],[WW 2017]]+Tabel668926[[#This Row],[VAT WW 2017]]+Tabel668926[[#This Row],[Other ch. 2017]]+Tabel668926[[#This Row],[VAT Other ch. 2017]]</f>
        <v>188.7104970437984</v>
      </c>
      <c r="T68" s="2587"/>
      <c r="U68" s="2802">
        <f>Tabel668926[[#This Row],[Fix.ch. 2017]]</f>
        <v>0</v>
      </c>
      <c r="V68" s="2803">
        <f>Tabel668926[[#This Row],[Var. ch. 2017]]</f>
        <v>113.95744452081885</v>
      </c>
      <c r="W68" s="2804">
        <f>Tabel668926[[#This Row],[Oth. ch. DW 2017]]</f>
        <v>0</v>
      </c>
      <c r="X68" s="2805">
        <f>Tabel668926[[#This Row],[VAT DW 2017]]</f>
        <v>0</v>
      </c>
      <c r="Y68" s="2806">
        <f>SUM(U68:W68)</f>
        <v>113.95744452081885</v>
      </c>
      <c r="Z68" s="2807">
        <f>Tabel668926[[#This Row],[Sew. 2017]]</f>
        <v>0</v>
      </c>
      <c r="AA68" s="2805">
        <f>Tabel668926[[#This Row],[VAT Sew. 2017]]</f>
        <v>0</v>
      </c>
      <c r="AB68" s="2808">
        <f>Tabel668926[[#This Row],[WW 2017]]</f>
        <v>74.75305252297953</v>
      </c>
      <c r="AC68" s="2805">
        <f>Tabel668926[[#This Row],[VAT WW 2017]]</f>
        <v>0</v>
      </c>
      <c r="AD68" s="2809">
        <f>Tabel668926[[#This Row],[Other ch. 2017]]</f>
        <v>0</v>
      </c>
      <c r="AE68" s="2805">
        <f>Tabel668926[[#This Row],[VAT Other ch. 2017]]</f>
        <v>0</v>
      </c>
      <c r="AF68" s="2810">
        <f>Tabel668926[[#This Row],[Total VAT 2017]]</f>
        <v>0</v>
      </c>
      <c r="AG68" s="710">
        <f>SUM(Y68:AF68)</f>
        <v>188.7104970437984</v>
      </c>
      <c r="AH68" s="2587"/>
      <c r="AI68" s="2634"/>
      <c r="AJ68" s="2598"/>
      <c r="AK68" s="2634"/>
      <c r="AL68" s="2597" t="s">
        <v>429</v>
      </c>
      <c r="AM68" s="2634"/>
      <c r="AN68" s="2634"/>
      <c r="AO68" s="2634"/>
      <c r="AP68" s="2587"/>
    </row>
    <row r="69" spans="1:42" ht="15.75" customHeight="1" x14ac:dyDescent="0.25">
      <c r="A69" s="2687" t="s">
        <v>9</v>
      </c>
      <c r="B69" s="2758" t="s">
        <v>82</v>
      </c>
      <c r="C69" s="2689" t="s">
        <v>429</v>
      </c>
      <c r="D69" s="2689" t="s">
        <v>1048</v>
      </c>
      <c r="E69" s="2811">
        <v>49800</v>
      </c>
      <c r="F69" s="2577">
        <f>'exchange rates'!$O$15</f>
        <v>29.661809999999999</v>
      </c>
      <c r="G69" s="2578">
        <f>816/F69</f>
        <v>27.510121600805885</v>
      </c>
      <c r="H69" s="2579">
        <f>1558/F69</f>
        <v>52.525452762322999</v>
      </c>
      <c r="I69" s="2580">
        <f>100/F69</f>
        <v>3.3713384314713095</v>
      </c>
      <c r="J69" s="2581">
        <v>0</v>
      </c>
      <c r="K69" s="566">
        <f>Tabel668926[[#This Row],[Fix.ch. 2017]]+Tabel668926[[#This Row],[Var. ch. 2017]]+Tabel668926[[#This Row],[Oth. ch. DW 2017]]+Tabel668926[[#This Row],[VAT DW 2017]]</f>
        <v>83.406912794600203</v>
      </c>
      <c r="L69" s="2582">
        <v>0</v>
      </c>
      <c r="M69" s="2583">
        <v>0</v>
      </c>
      <c r="N69" s="2584">
        <f>1000/F69</f>
        <v>33.713384314713096</v>
      </c>
      <c r="O69" s="2581">
        <v>0</v>
      </c>
      <c r="P69" s="2585">
        <v>0</v>
      </c>
      <c r="Q69" s="2581">
        <f>118.5/F69</f>
        <v>3.9950360412935018</v>
      </c>
      <c r="R69" s="2586" t="e">
        <f>#REF!+#REF!+#REF!+#REF!</f>
        <v>#REF!</v>
      </c>
      <c r="S69" s="571">
        <f>Tabel668926[[#This Row],[Total. ch. DW 2017]]+Tabel668926[[#This Row],[Sew. 2017]]+Tabel668926[[#This Row],[VAT Sew. 2017]]+Tabel668926[[#This Row],[WW 2017]]+Tabel668926[[#This Row],[VAT WW 2017]]+Tabel668926[[#This Row],[Other ch. 2017]]+Tabel668926[[#This Row],[VAT Other ch. 2017]]</f>
        <v>121.1153331506068</v>
      </c>
      <c r="T69" s="2587"/>
      <c r="U69" s="2812">
        <f>MEDIAN(G69:G70)</f>
        <v>20.976467720614487</v>
      </c>
      <c r="V69" s="2813">
        <f>MEDIAN(H69:H70)</f>
        <v>65.100545111710986</v>
      </c>
      <c r="W69" s="2814">
        <f>MEDIAN(I69:I70)</f>
        <v>3.3713384314713095</v>
      </c>
      <c r="X69" s="2815">
        <f>MEDIAN(J69:J70)</f>
        <v>0</v>
      </c>
      <c r="Y69" s="2816">
        <f>SUM(U69:X70)</f>
        <v>89.448351263796781</v>
      </c>
      <c r="Z69" s="2817">
        <f t="shared" ref="Z69:AF69" si="7">MEDIAN(L69:L70)</f>
        <v>0</v>
      </c>
      <c r="AA69" s="2815">
        <f t="shared" si="7"/>
        <v>0</v>
      </c>
      <c r="AB69" s="2818">
        <f t="shared" si="7"/>
        <v>33.713384314713096</v>
      </c>
      <c r="AC69" s="2815">
        <f t="shared" si="7"/>
        <v>0</v>
      </c>
      <c r="AD69" s="2819">
        <f t="shared" si="7"/>
        <v>0</v>
      </c>
      <c r="AE69" s="2815">
        <f t="shared" si="7"/>
        <v>4.2984565001259192</v>
      </c>
      <c r="AF69" s="2820" t="e">
        <f t="shared" si="7"/>
        <v>#REF!</v>
      </c>
      <c r="AG69" s="1933">
        <f>Y69+Z69+AA69+AB69+AC69+AD69+AE69</f>
        <v>127.4601920786358</v>
      </c>
      <c r="AH69" s="2587"/>
      <c r="AI69" s="2634"/>
      <c r="AJ69" s="2634"/>
      <c r="AK69" s="2634"/>
      <c r="AL69" s="2597" t="s">
        <v>429</v>
      </c>
      <c r="AM69" s="2597"/>
      <c r="AN69" s="2597" t="s">
        <v>429</v>
      </c>
      <c r="AO69" s="2634"/>
      <c r="AP69" s="2587"/>
    </row>
    <row r="70" spans="1:42" ht="15.75" customHeight="1" thickBot="1" x14ac:dyDescent="0.3">
      <c r="A70" s="2694"/>
      <c r="B70" s="2768" t="s">
        <v>83</v>
      </c>
      <c r="C70" s="2689"/>
      <c r="D70" s="2689" t="s">
        <v>1048</v>
      </c>
      <c r="E70" s="2663"/>
      <c r="F70" s="2577">
        <f>'exchange rates'!$O$15</f>
        <v>29.661809999999999</v>
      </c>
      <c r="G70" s="2578">
        <f>428.4/F70</f>
        <v>14.442813840423089</v>
      </c>
      <c r="H70" s="2579">
        <f>2304/F70</f>
        <v>77.675637461098972</v>
      </c>
      <c r="I70" s="2580">
        <f>100/F70</f>
        <v>3.3713384314713095</v>
      </c>
      <c r="J70" s="2581">
        <v>0</v>
      </c>
      <c r="K70" s="566">
        <f>Tabel668926[[#This Row],[Fix.ch. 2017]]+Tabel668926[[#This Row],[Var. ch. 2017]]+Tabel668926[[#This Row],[Oth. ch. DW 2017]]+Tabel668926[[#This Row],[VAT DW 2017]]</f>
        <v>95.489789732993373</v>
      </c>
      <c r="L70" s="2582">
        <v>0</v>
      </c>
      <c r="M70" s="2583">
        <v>0</v>
      </c>
      <c r="N70" s="2584">
        <f>1000/F70</f>
        <v>33.713384314713096</v>
      </c>
      <c r="O70" s="2581">
        <v>0</v>
      </c>
      <c r="P70" s="2585">
        <v>0</v>
      </c>
      <c r="Q70" s="2581">
        <f>136.5/F70</f>
        <v>4.6018769589583375</v>
      </c>
      <c r="R70" s="2586" t="e">
        <f>#REF!+#REF!+#REF!+#REF!</f>
        <v>#REF!</v>
      </c>
      <c r="S70" s="571">
        <f>Tabel668926[[#This Row],[Total. ch. DW 2017]]+Tabel668926[[#This Row],[Sew. 2017]]+Tabel668926[[#This Row],[VAT Sew. 2017]]+Tabel668926[[#This Row],[WW 2017]]+Tabel668926[[#This Row],[VAT WW 2017]]+Tabel668926[[#This Row],[Other ch. 2017]]+Tabel668926[[#This Row],[VAT Other ch. 2017]]</f>
        <v>133.8050510066648</v>
      </c>
      <c r="T70" s="2587"/>
      <c r="U70" s="2664"/>
      <c r="V70" s="2665"/>
      <c r="W70" s="2666"/>
      <c r="X70" s="2615"/>
      <c r="Y70" s="2667"/>
      <c r="Z70" s="2668"/>
      <c r="AA70" s="2615"/>
      <c r="AB70" s="2669"/>
      <c r="AC70" s="2615"/>
      <c r="AD70" s="2670"/>
      <c r="AE70" s="2615"/>
      <c r="AF70" s="2671"/>
      <c r="AG70" s="1792"/>
      <c r="AH70" s="2587"/>
      <c r="AI70" s="2634"/>
      <c r="AJ70" s="2634"/>
      <c r="AK70" s="2634"/>
      <c r="AL70" s="2597" t="s">
        <v>429</v>
      </c>
      <c r="AM70" s="2597"/>
      <c r="AN70" s="2597" t="s">
        <v>429</v>
      </c>
      <c r="AO70" s="2634"/>
      <c r="AP70" s="2587"/>
    </row>
    <row r="71" spans="1:42" ht="15.75" customHeight="1" x14ac:dyDescent="0.25">
      <c r="A71" s="2698" t="s">
        <v>10</v>
      </c>
      <c r="B71" s="2821" t="s">
        <v>85</v>
      </c>
      <c r="C71" s="2822"/>
      <c r="D71" s="2673" t="s">
        <v>1050</v>
      </c>
      <c r="E71" s="2823">
        <v>36600</v>
      </c>
      <c r="F71" s="2824">
        <f>'exchange rates'!$O$16</f>
        <v>0.83301000000000003</v>
      </c>
      <c r="G71" s="2578">
        <f>66/F71</f>
        <v>79.230741527712752</v>
      </c>
      <c r="H71" s="2579">
        <f>228/F71</f>
        <v>273.70619800482586</v>
      </c>
      <c r="I71" s="2580">
        <v>0</v>
      </c>
      <c r="J71" s="2581">
        <f>14.7/F71</f>
        <v>17.646846976626929</v>
      </c>
      <c r="K71" s="566">
        <f>Tabel668926[[#This Row],[Fix.ch. 2017]]+Tabel668926[[#This Row],[Var. ch. 2017]]+Tabel668926[[#This Row],[Oth. ch. DW 2017]]+Tabel668926[[#This Row],[VAT DW 2017]]</f>
        <v>370.58378650916558</v>
      </c>
      <c r="L71" s="2582">
        <f>100/F71</f>
        <v>120.04657807229205</v>
      </c>
      <c r="M71" s="2583">
        <v>0</v>
      </c>
      <c r="N71" s="2584">
        <f>89.6/F71</f>
        <v>107.56173395277366</v>
      </c>
      <c r="O71" s="2581">
        <v>0</v>
      </c>
      <c r="P71" s="2585">
        <f>25.6/F71</f>
        <v>30.731923986506764</v>
      </c>
      <c r="Q71" s="2581">
        <v>0</v>
      </c>
      <c r="R71" s="2586">
        <f>Tabel668926[[#This Row],[VAT DW 2017]]+Tabel668926[[#This Row],[VAT Sew. 2017]]+Tabel668926[[#This Row],[VAT WW 2017]]+Tabel668926[[#This Row],[VAT Other ch. 2017]]</f>
        <v>17.646846976626929</v>
      </c>
      <c r="S71" s="571">
        <f>Tabel668926[[#This Row],[Total. ch. DW 2017]]+Tabel668926[[#This Row],[Sew. 2017]]+Tabel668926[[#This Row],[VAT Sew. 2017]]+Tabel668926[[#This Row],[WW 2017]]+Tabel668926[[#This Row],[VAT WW 2017]]+Tabel668926[[#This Row],[Other ch. 2017]]+Tabel668926[[#This Row],[VAT Other ch. 2017]]</f>
        <v>628.92402252073805</v>
      </c>
      <c r="T71" s="2587"/>
      <c r="U71" s="2825">
        <f>MEDIAN(G71:G74)</f>
        <v>68.426549501206466</v>
      </c>
      <c r="V71" s="2826">
        <f>MEDIAN(H71:H74)</f>
        <v>264.10247175904249</v>
      </c>
      <c r="W71" s="2827">
        <f>MEDIAN(I71:I74)</f>
        <v>0</v>
      </c>
      <c r="X71" s="2815">
        <f>MEDIAN(J71:J74)</f>
        <v>16.44638119590401</v>
      </c>
      <c r="Y71" s="2828">
        <f>SUM(U71:X74)</f>
        <v>348.97540245615295</v>
      </c>
      <c r="Z71" s="2829">
        <f t="shared" ref="Z71:AF71" si="8">MEDIAN(L71:L74)</f>
        <v>126.04890697590665</v>
      </c>
      <c r="AA71" s="2815">
        <f t="shared" si="8"/>
        <v>0</v>
      </c>
      <c r="AB71" s="2830">
        <f t="shared" si="8"/>
        <v>159.99207692584724</v>
      </c>
      <c r="AC71" s="2815">
        <f t="shared" si="8"/>
        <v>0</v>
      </c>
      <c r="AD71" s="2831">
        <f t="shared" si="8"/>
        <v>36.374113155904489</v>
      </c>
      <c r="AE71" s="2815">
        <f t="shared" si="8"/>
        <v>0</v>
      </c>
      <c r="AF71" s="2832">
        <f t="shared" si="8"/>
        <v>16.44638119590401</v>
      </c>
      <c r="AG71" s="1945">
        <f>Y71+Z71+AA71+AB71+AC71+AD71+AE71</f>
        <v>671.39049951381139</v>
      </c>
      <c r="AH71" s="2587"/>
      <c r="AI71" s="2634"/>
      <c r="AJ71" s="2634"/>
      <c r="AK71" s="2634"/>
      <c r="AL71" s="2597" t="s">
        <v>429</v>
      </c>
      <c r="AM71" s="2597" t="s">
        <v>429</v>
      </c>
      <c r="AN71" s="2597" t="s">
        <v>429</v>
      </c>
      <c r="AO71" s="2634"/>
      <c r="AP71" s="2587"/>
    </row>
    <row r="72" spans="1:42" ht="15.75" customHeight="1" x14ac:dyDescent="0.25">
      <c r="A72" s="2599"/>
      <c r="B72" s="2833" t="s">
        <v>878</v>
      </c>
      <c r="C72" s="2833" t="s">
        <v>429</v>
      </c>
      <c r="D72" s="2672" t="s">
        <v>1050</v>
      </c>
      <c r="E72" s="2600"/>
      <c r="F72" s="2824">
        <f>'exchange rates'!$O$16</f>
        <v>0.83301000000000003</v>
      </c>
      <c r="G72" s="2578">
        <f>42/F72</f>
        <v>50.419562790362662</v>
      </c>
      <c r="H72" s="2579">
        <f>220/F72</f>
        <v>264.10247175904249</v>
      </c>
      <c r="I72" s="2580">
        <f>0</f>
        <v>0</v>
      </c>
      <c r="J72" s="2581">
        <f>13.1/F72</f>
        <v>15.726101727470258</v>
      </c>
      <c r="K72" s="566">
        <f>Tabel668926[[#This Row],[Fix.ch. 2017]]+Tabel668926[[#This Row],[Var. ch. 2017]]+Tabel668926[[#This Row],[Oth. ch. DW 2017]]+Tabel668926[[#This Row],[VAT DW 2017]]</f>
        <v>330.24813627687541</v>
      </c>
      <c r="L72" s="2582">
        <f>110/F72</f>
        <v>132.05123587952124</v>
      </c>
      <c r="M72" s="2583">
        <v>0</v>
      </c>
      <c r="N72" s="2584">
        <f>109.5/F72</f>
        <v>131.4510029891598</v>
      </c>
      <c r="O72" s="2581">
        <v>0</v>
      </c>
      <c r="P72" s="2585">
        <f>0</f>
        <v>0</v>
      </c>
      <c r="Q72" s="2581">
        <v>0</v>
      </c>
      <c r="R72" s="2586">
        <f>Tabel668926[[#This Row],[VAT DW 2017]]+Tabel668926[[#This Row],[VAT Sew. 2017]]+Tabel668926[[#This Row],[VAT WW 2017]]+Tabel668926[[#This Row],[VAT Other ch. 2017]]</f>
        <v>15.726101727470258</v>
      </c>
      <c r="S72" s="571">
        <f>Tabel668926[[#This Row],[Total. ch. DW 2017]]+Tabel668926[[#This Row],[Sew. 2017]]+Tabel668926[[#This Row],[VAT Sew. 2017]]+Tabel668926[[#This Row],[WW 2017]]+Tabel668926[[#This Row],[VAT WW 2017]]+Tabel668926[[#This Row],[Other ch. 2017]]+Tabel668926[[#This Row],[VAT Other ch. 2017]]</f>
        <v>593.75037514555652</v>
      </c>
      <c r="T72" s="2587"/>
      <c r="U72" s="2601"/>
      <c r="V72" s="2602"/>
      <c r="W72" s="2603"/>
      <c r="X72" s="2604"/>
      <c r="Y72" s="2605"/>
      <c r="Z72" s="2606"/>
      <c r="AA72" s="2604"/>
      <c r="AB72" s="2607"/>
      <c r="AC72" s="2604"/>
      <c r="AD72" s="2608"/>
      <c r="AE72" s="2604"/>
      <c r="AF72" s="2609"/>
      <c r="AG72" s="1791"/>
      <c r="AH72" s="2587"/>
      <c r="AI72" s="2634"/>
      <c r="AJ72" s="2634"/>
      <c r="AK72" s="2634"/>
      <c r="AL72" s="2597" t="s">
        <v>429</v>
      </c>
      <c r="AM72" s="2597" t="s">
        <v>429</v>
      </c>
      <c r="AN72" s="2597" t="s">
        <v>429</v>
      </c>
      <c r="AO72" s="2634"/>
      <c r="AP72" s="2587"/>
    </row>
    <row r="73" spans="1:42" ht="15.75" customHeight="1" x14ac:dyDescent="0.25">
      <c r="A73" s="2599"/>
      <c r="B73" s="2833" t="s">
        <v>879</v>
      </c>
      <c r="C73" s="2833"/>
      <c r="D73" s="2672" t="s">
        <v>1050</v>
      </c>
      <c r="E73" s="2600"/>
      <c r="F73" s="2824">
        <f>'exchange rates'!$O$16</f>
        <v>0.83301000000000003</v>
      </c>
      <c r="G73" s="2578">
        <f>66/F73</f>
        <v>79.230741527712752</v>
      </c>
      <c r="H73" s="2579">
        <f>220/F73</f>
        <v>264.10247175904249</v>
      </c>
      <c r="I73" s="2580">
        <v>0</v>
      </c>
      <c r="J73" s="2581">
        <f>14.3/F73</f>
        <v>17.166660664337762</v>
      </c>
      <c r="K73" s="566">
        <f>Tabel668926[[#This Row],[Fix.ch. 2017]]+Tabel668926[[#This Row],[Var. ch. 2017]]+Tabel668926[[#This Row],[Oth. ch. DW 2017]]+Tabel668926[[#This Row],[VAT DW 2017]]</f>
        <v>360.49987395109304</v>
      </c>
      <c r="L73" s="2582">
        <f>128/F73</f>
        <v>153.65961993253381</v>
      </c>
      <c r="M73" s="2583">
        <v>0</v>
      </c>
      <c r="N73" s="2584">
        <f>157.05/F73</f>
        <v>188.53315086253468</v>
      </c>
      <c r="O73" s="2581">
        <v>0</v>
      </c>
      <c r="P73" s="2585">
        <f>36/F73</f>
        <v>43.216768106025135</v>
      </c>
      <c r="Q73" s="2581">
        <v>0</v>
      </c>
      <c r="R73" s="2586">
        <f>Tabel668926[[#This Row],[VAT DW 2017]]+Tabel668926[[#This Row],[VAT Sew. 2017]]+Tabel668926[[#This Row],[VAT WW 2017]]+Tabel668926[[#This Row],[VAT Other ch. 2017]]</f>
        <v>17.166660664337762</v>
      </c>
      <c r="S73" s="571">
        <f>Tabel668926[[#This Row],[Total. ch. DW 2017]]+Tabel668926[[#This Row],[Sew. 2017]]+Tabel668926[[#This Row],[VAT Sew. 2017]]+Tabel668926[[#This Row],[WW 2017]]+Tabel668926[[#This Row],[VAT WW 2017]]+Tabel668926[[#This Row],[Other ch. 2017]]+Tabel668926[[#This Row],[VAT Other ch. 2017]]</f>
        <v>745.90941285218662</v>
      </c>
      <c r="T73" s="2587"/>
      <c r="U73" s="2601"/>
      <c r="V73" s="2602"/>
      <c r="W73" s="2603"/>
      <c r="X73" s="2604"/>
      <c r="Y73" s="2605"/>
      <c r="Z73" s="2606"/>
      <c r="AA73" s="2604"/>
      <c r="AB73" s="2607"/>
      <c r="AC73" s="2604"/>
      <c r="AD73" s="2608"/>
      <c r="AE73" s="2604"/>
      <c r="AF73" s="2609"/>
      <c r="AG73" s="1791"/>
      <c r="AH73" s="2587"/>
      <c r="AI73" s="2634"/>
      <c r="AJ73" s="2634"/>
      <c r="AK73" s="2634"/>
      <c r="AL73" s="2597" t="s">
        <v>429</v>
      </c>
      <c r="AM73" s="2597" t="s">
        <v>429</v>
      </c>
      <c r="AN73" s="2597" t="s">
        <v>429</v>
      </c>
      <c r="AO73" s="2634"/>
      <c r="AP73" s="2587"/>
    </row>
    <row r="74" spans="1:42" ht="15.75" customHeight="1" thickBot="1" x14ac:dyDescent="0.3">
      <c r="A74" s="2610"/>
      <c r="B74" s="2834" t="s">
        <v>86</v>
      </c>
      <c r="C74" s="2835"/>
      <c r="D74" s="2696" t="s">
        <v>1050</v>
      </c>
      <c r="E74" s="2663"/>
      <c r="F74" s="2824">
        <f>'exchange rates'!$O$16</f>
        <v>0.83301000000000003</v>
      </c>
      <c r="G74" s="2578">
        <f>48/F74</f>
        <v>57.622357474700181</v>
      </c>
      <c r="H74" s="2579">
        <f>208.6/F74</f>
        <v>250.41716185880119</v>
      </c>
      <c r="I74" s="2580">
        <v>0</v>
      </c>
      <c r="J74" s="2581">
        <f>12.83/F74</f>
        <v>15.401975966675069</v>
      </c>
      <c r="K74" s="566">
        <f>Tabel668926[[#This Row],[Fix.ch. 2017]]+Tabel668926[[#This Row],[Var. ch. 2017]]+Tabel668926[[#This Row],[Oth. ch. DW 2017]]+Tabel668926[[#This Row],[VAT DW 2017]]</f>
        <v>323.44149530017648</v>
      </c>
      <c r="L74" s="2582">
        <f>85.44/F74</f>
        <v>102.56779630496632</v>
      </c>
      <c r="M74" s="2583">
        <v>0</v>
      </c>
      <c r="N74" s="2584">
        <f>157.5/F74</f>
        <v>189.07336046385998</v>
      </c>
      <c r="O74" s="2581">
        <v>0</v>
      </c>
      <c r="P74" s="2585">
        <f>35/F74</f>
        <v>42.016302325302213</v>
      </c>
      <c r="Q74" s="2581">
        <v>0</v>
      </c>
      <c r="R74" s="2586">
        <f>Tabel668926[[#This Row],[VAT DW 2017]]+Tabel668926[[#This Row],[VAT Sew. 2017]]+Tabel668926[[#This Row],[VAT WW 2017]]+Tabel668926[[#This Row],[VAT Other ch. 2017]]</f>
        <v>15.401975966675069</v>
      </c>
      <c r="S74" s="571">
        <f>Tabel668926[[#This Row],[Total. ch. DW 2017]]+Tabel668926[[#This Row],[Sew. 2017]]+Tabel668926[[#This Row],[VAT Sew. 2017]]+Tabel668926[[#This Row],[WW 2017]]+Tabel668926[[#This Row],[VAT WW 2017]]+Tabel668926[[#This Row],[Other ch. 2017]]+Tabel668926[[#This Row],[VAT Other ch. 2017]]</f>
        <v>657.09895439430511</v>
      </c>
      <c r="T74" s="2587"/>
      <c r="U74" s="2664"/>
      <c r="V74" s="2665"/>
      <c r="W74" s="2666"/>
      <c r="X74" s="2615"/>
      <c r="Y74" s="2667"/>
      <c r="Z74" s="2668"/>
      <c r="AA74" s="2615"/>
      <c r="AB74" s="2669"/>
      <c r="AC74" s="2615"/>
      <c r="AD74" s="2670"/>
      <c r="AE74" s="2615"/>
      <c r="AF74" s="2671"/>
      <c r="AG74" s="1792"/>
      <c r="AH74" s="2587"/>
      <c r="AI74" s="2634"/>
      <c r="AJ74" s="2634"/>
      <c r="AK74" s="2634"/>
      <c r="AL74" s="2597" t="s">
        <v>429</v>
      </c>
      <c r="AM74" s="2597" t="s">
        <v>429</v>
      </c>
      <c r="AN74" s="2597" t="s">
        <v>429</v>
      </c>
      <c r="AO74" s="2634"/>
      <c r="AP74" s="2587"/>
    </row>
    <row r="75" spans="1:42" ht="15.75" customHeight="1" x14ac:dyDescent="0.25">
      <c r="A75" s="2635" t="s">
        <v>910</v>
      </c>
      <c r="B75" s="2822" t="s">
        <v>911</v>
      </c>
      <c r="C75" s="2822" t="s">
        <v>429</v>
      </c>
      <c r="D75" s="2673" t="s">
        <v>1052</v>
      </c>
      <c r="E75" s="2576">
        <v>35200</v>
      </c>
      <c r="F75" s="2824">
        <f>'exchange rates'!$O$17</f>
        <v>21.275480000000002</v>
      </c>
      <c r="G75" s="2578">
        <v>0</v>
      </c>
      <c r="H75" s="2579">
        <f>8074/F75</f>
        <v>379.49790086992158</v>
      </c>
      <c r="I75" s="2580">
        <v>0</v>
      </c>
      <c r="J75" s="2581">
        <f>1212/F75</f>
        <v>56.966987348816566</v>
      </c>
      <c r="K75" s="566">
        <f>Tabel668926[[#This Row],[Fix.ch. 2017]]+Tabel668926[[#This Row],[Var. ch. 2017]]+Tabel668926[[#This Row],[Oth. ch. DW 2017]]+Tabel668926[[#This Row],[VAT DW 2017]]</f>
        <v>436.46488821873817</v>
      </c>
      <c r="L75" s="2582">
        <v>0</v>
      </c>
      <c r="M75" s="2583">
        <v>0</v>
      </c>
      <c r="N75" s="2584">
        <f>6782/F75</f>
        <v>318.77071633636467</v>
      </c>
      <c r="O75" s="2581">
        <f>1016/F75</f>
        <v>47.754504246202664</v>
      </c>
      <c r="P75" s="2585">
        <v>0</v>
      </c>
      <c r="Q75" s="2581">
        <v>0</v>
      </c>
      <c r="R75" s="2586">
        <f>Tabel668926[[#This Row],[VAT DW 2017]]+Tabel668926[[#This Row],[VAT Sew. 2017]]+Tabel668926[[#This Row],[VAT WW 2017]]+Tabel668926[[#This Row],[VAT Other ch. 2017]]</f>
        <v>104.72149159501923</v>
      </c>
      <c r="S75" s="571">
        <f>Tabel668926[[#This Row],[Total. ch. DW 2017]]+Tabel668926[[#This Row],[Sew. 2017]]+Tabel668926[[#This Row],[VAT Sew. 2017]]+Tabel668926[[#This Row],[WW 2017]]+Tabel668926[[#This Row],[VAT WW 2017]]+Tabel668926[[#This Row],[Other ch. 2017]]+Tabel668926[[#This Row],[VAT Other ch. 2017]]</f>
        <v>802.9901088013055</v>
      </c>
      <c r="T75" s="2587"/>
      <c r="U75" s="2588">
        <f>MEDIAN(G75:G79)</f>
        <v>0</v>
      </c>
      <c r="V75" s="2589">
        <f>MEDIAN(H75:H79)</f>
        <v>379.49790086992158</v>
      </c>
      <c r="W75" s="2590">
        <f>MEDIAN(I75:I79)</f>
        <v>0</v>
      </c>
      <c r="X75" s="2591">
        <f>MEDIAN(J75:J79)</f>
        <v>56.966987348816566</v>
      </c>
      <c r="Y75" s="2592">
        <f>SUM(U75:X79)</f>
        <v>436.46488821873817</v>
      </c>
      <c r="Z75" s="2593">
        <f t="shared" ref="Z75:AF75" si="9">MEDIAN(L75:L79)</f>
        <v>0</v>
      </c>
      <c r="AA75" s="2591">
        <f t="shared" si="9"/>
        <v>0</v>
      </c>
      <c r="AB75" s="2594">
        <f t="shared" si="9"/>
        <v>318.77071633636467</v>
      </c>
      <c r="AC75" s="2591">
        <f t="shared" si="9"/>
        <v>47.754504246202664</v>
      </c>
      <c r="AD75" s="2595">
        <f t="shared" si="9"/>
        <v>0</v>
      </c>
      <c r="AE75" s="2591">
        <f t="shared" si="9"/>
        <v>0</v>
      </c>
      <c r="AF75" s="2596">
        <f t="shared" si="9"/>
        <v>104.72149159501923</v>
      </c>
      <c r="AG75" s="1793">
        <f>Y75+Z75+AA75+AB75+AC75+AD75+AE75</f>
        <v>802.9901088013055</v>
      </c>
      <c r="AH75" s="2587"/>
      <c r="AI75" s="2634"/>
      <c r="AJ75" s="2597" t="s">
        <v>429</v>
      </c>
      <c r="AK75" s="2634"/>
      <c r="AL75" s="2597"/>
      <c r="AM75" s="2597"/>
      <c r="AN75" s="2597" t="s">
        <v>429</v>
      </c>
      <c r="AO75" s="2634"/>
      <c r="AP75" s="2587"/>
    </row>
    <row r="76" spans="1:42" ht="15.75" customHeight="1" x14ac:dyDescent="0.25">
      <c r="A76" s="2647"/>
      <c r="B76" s="2833" t="s">
        <v>912</v>
      </c>
      <c r="C76" s="2833"/>
      <c r="D76" s="2672" t="s">
        <v>1052</v>
      </c>
      <c r="E76" s="2600"/>
      <c r="F76" s="2824">
        <f>'exchange rates'!$O$17</f>
        <v>21.275480000000002</v>
      </c>
      <c r="G76" s="2578">
        <v>0</v>
      </c>
      <c r="H76" s="2579">
        <f>6448/F76</f>
        <v>303.07189309007362</v>
      </c>
      <c r="I76" s="2580">
        <v>0</v>
      </c>
      <c r="J76" s="2581">
        <f>968/F76</f>
        <v>45.498385935358449</v>
      </c>
      <c r="K76" s="566">
        <f>Tabel668926[[#This Row],[Fix.ch. 2017]]+Tabel668926[[#This Row],[Var. ch. 2017]]+Tabel668926[[#This Row],[Oth. ch. DW 2017]]+Tabel668926[[#This Row],[VAT DW 2017]]</f>
        <v>348.57027902543206</v>
      </c>
      <c r="L76" s="2582">
        <v>0</v>
      </c>
      <c r="M76" s="2583">
        <v>0</v>
      </c>
      <c r="N76" s="2584">
        <f>6724/F76</f>
        <v>316.04457337742787</v>
      </c>
      <c r="O76" s="2581">
        <f>1008/F76</f>
        <v>47.378484527728631</v>
      </c>
      <c r="P76" s="2585">
        <v>0</v>
      </c>
      <c r="Q76" s="2581">
        <v>0</v>
      </c>
      <c r="R76" s="2586">
        <f>Tabel668926[[#This Row],[VAT DW 2017]]+Tabel668926[[#This Row],[VAT Sew. 2017]]+Tabel668926[[#This Row],[VAT WW 2017]]+Tabel668926[[#This Row],[VAT Other ch. 2017]]</f>
        <v>92.876870463087073</v>
      </c>
      <c r="S76" s="571">
        <f>Tabel668926[[#This Row],[Total. ch. DW 2017]]+Tabel668926[[#This Row],[Sew. 2017]]+Tabel668926[[#This Row],[VAT Sew. 2017]]+Tabel668926[[#This Row],[WW 2017]]+Tabel668926[[#This Row],[VAT WW 2017]]+Tabel668926[[#This Row],[Other ch. 2017]]+Tabel668926[[#This Row],[VAT Other ch. 2017]]</f>
        <v>711.99333693058861</v>
      </c>
      <c r="T76" s="2587"/>
      <c r="U76" s="2601"/>
      <c r="V76" s="2602"/>
      <c r="W76" s="2603"/>
      <c r="X76" s="2604"/>
      <c r="Y76" s="2605"/>
      <c r="Z76" s="2606"/>
      <c r="AA76" s="2604"/>
      <c r="AB76" s="2607"/>
      <c r="AC76" s="2604"/>
      <c r="AD76" s="2608"/>
      <c r="AE76" s="2604"/>
      <c r="AF76" s="2609"/>
      <c r="AG76" s="1791"/>
      <c r="AH76" s="2587"/>
      <c r="AI76" s="2634"/>
      <c r="AJ76" s="2597" t="s">
        <v>429</v>
      </c>
      <c r="AK76" s="2634"/>
      <c r="AL76" s="2597"/>
      <c r="AM76" s="2597"/>
      <c r="AN76" s="2597" t="s">
        <v>429</v>
      </c>
      <c r="AO76" s="2634"/>
      <c r="AP76" s="2587"/>
    </row>
    <row r="77" spans="1:42" ht="15.75" customHeight="1" x14ac:dyDescent="0.25">
      <c r="A77" s="2647"/>
      <c r="B77" s="2833" t="s">
        <v>913</v>
      </c>
      <c r="C77" s="2833"/>
      <c r="D77" s="2672" t="s">
        <v>1052</v>
      </c>
      <c r="E77" s="2600"/>
      <c r="F77" s="2824">
        <f>'exchange rates'!$O$17</f>
        <v>21.275480000000002</v>
      </c>
      <c r="G77" s="2578">
        <v>0</v>
      </c>
      <c r="H77" s="2579">
        <f>6490/F77</f>
        <v>305.04599661206231</v>
      </c>
      <c r="I77" s="2580">
        <v>0</v>
      </c>
      <c r="J77" s="2581">
        <f>974/F77</f>
        <v>45.780400724213976</v>
      </c>
      <c r="K77" s="566">
        <f>Tabel668926[[#This Row],[Fix.ch. 2017]]+Tabel668926[[#This Row],[Var. ch. 2017]]+Tabel668926[[#This Row],[Oth. ch. DW 2017]]+Tabel668926[[#This Row],[VAT DW 2017]]</f>
        <v>350.82639733627627</v>
      </c>
      <c r="L77" s="2582">
        <v>0</v>
      </c>
      <c r="M77" s="2583">
        <v>0</v>
      </c>
      <c r="N77" s="2584">
        <f>6834/F77</f>
        <v>321.2148445064459</v>
      </c>
      <c r="O77" s="2581">
        <f>1026/F77</f>
        <v>48.224528894295212</v>
      </c>
      <c r="P77" s="2585">
        <v>0</v>
      </c>
      <c r="Q77" s="2581">
        <v>0</v>
      </c>
      <c r="R77" s="2586">
        <f>Tabel668926[[#This Row],[VAT DW 2017]]+Tabel668926[[#This Row],[VAT Sew. 2017]]+Tabel668926[[#This Row],[VAT WW 2017]]+Tabel668926[[#This Row],[VAT Other ch. 2017]]</f>
        <v>94.004929618509181</v>
      </c>
      <c r="S77" s="571">
        <f>Tabel668926[[#This Row],[Total. ch. DW 2017]]+Tabel668926[[#This Row],[Sew. 2017]]+Tabel668926[[#This Row],[VAT Sew. 2017]]+Tabel668926[[#This Row],[WW 2017]]+Tabel668926[[#This Row],[VAT WW 2017]]+Tabel668926[[#This Row],[Other ch. 2017]]+Tabel668926[[#This Row],[VAT Other ch. 2017]]</f>
        <v>720.26577073701742</v>
      </c>
      <c r="T77" s="2587"/>
      <c r="U77" s="2601"/>
      <c r="V77" s="2602"/>
      <c r="W77" s="2603"/>
      <c r="X77" s="2604"/>
      <c r="Y77" s="2605"/>
      <c r="Z77" s="2606"/>
      <c r="AA77" s="2604"/>
      <c r="AB77" s="2607"/>
      <c r="AC77" s="2604"/>
      <c r="AD77" s="2608"/>
      <c r="AE77" s="2604"/>
      <c r="AF77" s="2609"/>
      <c r="AG77" s="1791"/>
      <c r="AH77" s="2587"/>
      <c r="AI77" s="2634"/>
      <c r="AJ77" s="2597" t="s">
        <v>429</v>
      </c>
      <c r="AK77" s="2634"/>
      <c r="AL77" s="2597"/>
      <c r="AM77" s="2597"/>
      <c r="AN77" s="2597" t="s">
        <v>429</v>
      </c>
      <c r="AO77" s="2634"/>
      <c r="AP77" s="2587"/>
    </row>
    <row r="78" spans="1:42" ht="15.75" customHeight="1" x14ac:dyDescent="0.25">
      <c r="A78" s="2647"/>
      <c r="B78" s="2833" t="s">
        <v>914</v>
      </c>
      <c r="C78" s="2833"/>
      <c r="D78" s="2672" t="s">
        <v>1052</v>
      </c>
      <c r="E78" s="2600"/>
      <c r="F78" s="2824">
        <f>'exchange rates'!$O$17</f>
        <v>21.275480000000002</v>
      </c>
      <c r="G78" s="2578">
        <v>0</v>
      </c>
      <c r="H78" s="2579">
        <f>9012/F78</f>
        <v>423.58621286100242</v>
      </c>
      <c r="I78" s="2580">
        <v>0</v>
      </c>
      <c r="J78" s="2581">
        <f>1352/F78</f>
        <v>63.547332422112213</v>
      </c>
      <c r="K78" s="566">
        <f>Tabel668926[[#This Row],[Fix.ch. 2017]]+Tabel668926[[#This Row],[Var. ch. 2017]]+Tabel668926[[#This Row],[Oth. ch. DW 2017]]+Tabel668926[[#This Row],[VAT DW 2017]]</f>
        <v>487.13354528311464</v>
      </c>
      <c r="L78" s="2582">
        <v>0</v>
      </c>
      <c r="M78" s="2583">
        <v>0</v>
      </c>
      <c r="N78" s="2584">
        <f>5968/F78</f>
        <v>280.51070998163141</v>
      </c>
      <c r="O78" s="2581">
        <f>896/F78</f>
        <v>42.114208469092112</v>
      </c>
      <c r="P78" s="2585">
        <v>0</v>
      </c>
      <c r="Q78" s="2581">
        <v>0</v>
      </c>
      <c r="R78" s="2586">
        <f>Tabel668926[[#This Row],[VAT DW 2017]]+Tabel668926[[#This Row],[VAT Sew. 2017]]+Tabel668926[[#This Row],[VAT WW 2017]]+Tabel668926[[#This Row],[VAT Other ch. 2017]]</f>
        <v>105.66154089120433</v>
      </c>
      <c r="S78" s="571">
        <f>Tabel668926[[#This Row],[Total. ch. DW 2017]]+Tabel668926[[#This Row],[Sew. 2017]]+Tabel668926[[#This Row],[VAT Sew. 2017]]+Tabel668926[[#This Row],[WW 2017]]+Tabel668926[[#This Row],[VAT WW 2017]]+Tabel668926[[#This Row],[Other ch. 2017]]+Tabel668926[[#This Row],[VAT Other ch. 2017]]</f>
        <v>809.7584637338382</v>
      </c>
      <c r="T78" s="2587"/>
      <c r="U78" s="2601"/>
      <c r="V78" s="2602"/>
      <c r="W78" s="2603"/>
      <c r="X78" s="2604"/>
      <c r="Y78" s="2605"/>
      <c r="Z78" s="2606"/>
      <c r="AA78" s="2604"/>
      <c r="AB78" s="2607"/>
      <c r="AC78" s="2604"/>
      <c r="AD78" s="2608"/>
      <c r="AE78" s="2604"/>
      <c r="AF78" s="2609"/>
      <c r="AG78" s="1791"/>
      <c r="AH78" s="2587"/>
      <c r="AI78" s="2634"/>
      <c r="AJ78" s="2597" t="s">
        <v>429</v>
      </c>
      <c r="AK78" s="2634"/>
      <c r="AL78" s="2597"/>
      <c r="AM78" s="2597"/>
      <c r="AN78" s="2597" t="s">
        <v>429</v>
      </c>
      <c r="AO78" s="2634"/>
      <c r="AP78" s="2587"/>
    </row>
    <row r="79" spans="1:42" ht="15.75" customHeight="1" thickBot="1" x14ac:dyDescent="0.3">
      <c r="A79" s="2661"/>
      <c r="B79" s="2835" t="s">
        <v>915</v>
      </c>
      <c r="C79" s="2835"/>
      <c r="D79" s="2696" t="s">
        <v>1052</v>
      </c>
      <c r="E79" s="2611"/>
      <c r="F79" s="2824">
        <f>'exchange rates'!$O$17</f>
        <v>21.275480000000002</v>
      </c>
      <c r="G79" s="2578">
        <v>0</v>
      </c>
      <c r="H79" s="2579">
        <f>8692/F79</f>
        <v>408.54542412204091</v>
      </c>
      <c r="I79" s="2580">
        <v>0</v>
      </c>
      <c r="J79" s="2581">
        <f>1304/F79</f>
        <v>61.29121411126799</v>
      </c>
      <c r="K79" s="566">
        <f>Tabel668926[[#This Row],[Fix.ch. 2017]]+Tabel668926[[#This Row],[Var. ch. 2017]]+Tabel668926[[#This Row],[Oth. ch. DW 2017]]+Tabel668926[[#This Row],[VAT DW 2017]]</f>
        <v>469.83663823330892</v>
      </c>
      <c r="L79" s="2582">
        <v>0</v>
      </c>
      <c r="M79" s="2583">
        <v>0</v>
      </c>
      <c r="N79" s="2584">
        <f>8404/F79</f>
        <v>395.00871425697562</v>
      </c>
      <c r="O79" s="2581">
        <f>1260/F79</f>
        <v>59.223105659660789</v>
      </c>
      <c r="P79" s="2585">
        <v>0</v>
      </c>
      <c r="Q79" s="2581">
        <v>0</v>
      </c>
      <c r="R79" s="2586">
        <f>Tabel668926[[#This Row],[VAT DW 2017]]+Tabel668926[[#This Row],[VAT Sew. 2017]]+Tabel668926[[#This Row],[VAT WW 2017]]+Tabel668926[[#This Row],[VAT Other ch. 2017]]</f>
        <v>120.51431977092878</v>
      </c>
      <c r="S79" s="571">
        <f>Tabel668926[[#This Row],[Total. ch. DW 2017]]+Tabel668926[[#This Row],[Sew. 2017]]+Tabel668926[[#This Row],[VAT Sew. 2017]]+Tabel668926[[#This Row],[WW 2017]]+Tabel668926[[#This Row],[VAT WW 2017]]+Tabel668926[[#This Row],[Other ch. 2017]]+Tabel668926[[#This Row],[VAT Other ch. 2017]]</f>
        <v>924.06845814994529</v>
      </c>
      <c r="T79" s="2587"/>
      <c r="U79" s="2612"/>
      <c r="V79" s="2613"/>
      <c r="W79" s="2614"/>
      <c r="X79" s="2615"/>
      <c r="Y79" s="2616"/>
      <c r="Z79" s="2617"/>
      <c r="AA79" s="2615"/>
      <c r="AB79" s="2618"/>
      <c r="AC79" s="2615"/>
      <c r="AD79" s="2619"/>
      <c r="AE79" s="2615"/>
      <c r="AF79" s="2620"/>
      <c r="AG79" s="1794"/>
      <c r="AH79" s="2587"/>
      <c r="AI79" s="2634"/>
      <c r="AJ79" s="2597" t="s">
        <v>429</v>
      </c>
      <c r="AK79" s="2634"/>
      <c r="AL79" s="2597"/>
      <c r="AM79" s="2597"/>
      <c r="AN79" s="2597" t="s">
        <v>429</v>
      </c>
      <c r="AO79" s="2634"/>
      <c r="AP79" s="2587"/>
    </row>
    <row r="80" spans="1:42" ht="15.75" customHeight="1" x14ac:dyDescent="0.25">
      <c r="A80" s="2687" t="s">
        <v>11</v>
      </c>
      <c r="B80" s="2836" t="s">
        <v>87</v>
      </c>
      <c r="C80" s="2837"/>
      <c r="D80" s="2689" t="s">
        <v>1054</v>
      </c>
      <c r="E80" s="2838">
        <v>49600</v>
      </c>
      <c r="F80" s="2824">
        <f>'exchange rates'!$O$18</f>
        <v>6.2037399999999998</v>
      </c>
      <c r="G80" s="2578">
        <f>1000/F80</f>
        <v>161.19308675089545</v>
      </c>
      <c r="H80" s="2579">
        <f>1020.4/F80</f>
        <v>164.48142572061369</v>
      </c>
      <c r="I80" s="2580">
        <f>1250/F80</f>
        <v>201.4913584386193</v>
      </c>
      <c r="J80" s="2581">
        <f>817.6/F80</f>
        <v>131.79146772753211</v>
      </c>
      <c r="K80" s="566">
        <f>Tabel668926[[#This Row],[Fix.ch. 2017]]+Tabel668926[[#This Row],[Var. ch. 2017]]+Tabel668926[[#This Row],[Oth. ch. DW 2017]]+Tabel668926[[#This Row],[VAT DW 2017]]</f>
        <v>658.95733863766054</v>
      </c>
      <c r="L80" s="2582">
        <v>0</v>
      </c>
      <c r="M80" s="2583">
        <v>0</v>
      </c>
      <c r="N80" s="2584">
        <f>4752.65/F80</f>
        <v>766.09432374664311</v>
      </c>
      <c r="O80" s="2581">
        <f>1188.16/F80</f>
        <v>191.52317795394393</v>
      </c>
      <c r="P80" s="2585">
        <f>152.95/F80</f>
        <v>24.654482618549455</v>
      </c>
      <c r="Q80" s="2581">
        <f>38.24/F80</f>
        <v>6.1640236373542416</v>
      </c>
      <c r="R80" s="2586">
        <f>Tabel668926[[#This Row],[VAT DW 2017]]+Tabel668926[[#This Row],[VAT Sew. 2017]]+Tabel668926[[#This Row],[VAT WW 2017]]+Tabel668926[[#This Row],[VAT Other ch. 2017]]</f>
        <v>329.47866931883027</v>
      </c>
      <c r="S80" s="571">
        <f>Tabel668926[[#This Row],[Total. ch. DW 2017]]+Tabel668926[[#This Row],[Sew. 2017]]+Tabel668926[[#This Row],[VAT Sew. 2017]]+Tabel668926[[#This Row],[WW 2017]]+Tabel668926[[#This Row],[VAT WW 2017]]+Tabel668926[[#This Row],[Other ch. 2017]]+Tabel668926[[#This Row],[VAT Other ch. 2017]]</f>
        <v>1647.3933465941514</v>
      </c>
      <c r="T80" s="2587"/>
      <c r="U80" s="2839">
        <f>MEDIAN(G80:G84)</f>
        <v>88.720674947692842</v>
      </c>
      <c r="V80" s="2840">
        <f>MEDIAN(H80:H84)</f>
        <v>268.67663699639252</v>
      </c>
      <c r="W80" s="2841">
        <f>MEDIAN(I80:I84)</f>
        <v>201.4913584386193</v>
      </c>
      <c r="X80" s="2591">
        <f>MEDIAN(J80:J84)</f>
        <v>133.01653518683892</v>
      </c>
      <c r="Y80" s="2842">
        <f>SUM(U80:X84)</f>
        <v>691.90520556954357</v>
      </c>
      <c r="Z80" s="2843">
        <f t="shared" ref="Z80:AF80" si="10">MEDIAN(L80:L84)</f>
        <v>0</v>
      </c>
      <c r="AA80" s="2591">
        <f t="shared" si="10"/>
        <v>0</v>
      </c>
      <c r="AB80" s="2844">
        <f t="shared" si="10"/>
        <v>800.09155767327456</v>
      </c>
      <c r="AC80" s="2591">
        <f t="shared" si="10"/>
        <v>200.02288941831864</v>
      </c>
      <c r="AD80" s="2845">
        <f t="shared" si="10"/>
        <v>18.382459613072115</v>
      </c>
      <c r="AE80" s="2591">
        <f t="shared" si="10"/>
        <v>4.5956149032680287</v>
      </c>
      <c r="AF80" s="2846">
        <f t="shared" si="10"/>
        <v>329.47866931883027</v>
      </c>
      <c r="AG80" s="1963">
        <f>Y80+Z80+AA80+AB80+AC80+AD80+AE80</f>
        <v>1714.9977271774769</v>
      </c>
      <c r="AH80" s="2587"/>
      <c r="AI80" s="2598"/>
      <c r="AJ80" s="2597" t="s">
        <v>429</v>
      </c>
      <c r="AK80" s="2597"/>
      <c r="AL80" s="2597"/>
      <c r="AM80" s="2597" t="s">
        <v>429</v>
      </c>
      <c r="AN80" s="2597" t="s">
        <v>429</v>
      </c>
      <c r="AO80" s="2598"/>
      <c r="AP80" s="2587"/>
    </row>
    <row r="81" spans="1:42" ht="15.75" customHeight="1" x14ac:dyDescent="0.25">
      <c r="A81" s="2691"/>
      <c r="B81" s="2836" t="s">
        <v>213</v>
      </c>
      <c r="C81" s="2837"/>
      <c r="D81" s="2689" t="s">
        <v>1054</v>
      </c>
      <c r="E81" s="2847"/>
      <c r="F81" s="2824">
        <f>'exchange rates'!$O$18</f>
        <v>6.2037399999999998</v>
      </c>
      <c r="G81" s="2578">
        <f>550.4/F81</f>
        <v>88.720674947692842</v>
      </c>
      <c r="H81" s="2579">
        <f>1694/F81</f>
        <v>273.06108895601687</v>
      </c>
      <c r="I81" s="2580">
        <f>1250/F81</f>
        <v>201.4913584386193</v>
      </c>
      <c r="J81" s="2581">
        <f>873.6/F81</f>
        <v>140.81828058558224</v>
      </c>
      <c r="K81" s="566">
        <f>Tabel668926[[#This Row],[Fix.ch. 2017]]+Tabel668926[[#This Row],[Var. ch. 2017]]+Tabel668926[[#This Row],[Oth. ch. DW 2017]]+Tabel668926[[#This Row],[VAT DW 2017]]</f>
        <v>704.09140292791119</v>
      </c>
      <c r="L81" s="2582">
        <v>0</v>
      </c>
      <c r="M81" s="2583">
        <v>0</v>
      </c>
      <c r="N81" s="2584">
        <f>4963.56/F81</f>
        <v>800.09155767327456</v>
      </c>
      <c r="O81" s="2581">
        <f>1240.89/F81</f>
        <v>200.02288941831864</v>
      </c>
      <c r="P81" s="2585">
        <f>114.04/F81</f>
        <v>18.382459613072115</v>
      </c>
      <c r="Q81" s="2581">
        <f>28.51/F81</f>
        <v>4.5956149032680287</v>
      </c>
      <c r="R81" s="2586">
        <f>Tabel668926[[#This Row],[VAT DW 2017]]+Tabel668926[[#This Row],[VAT Sew. 2017]]+Tabel668926[[#This Row],[VAT WW 2017]]+Tabel668926[[#This Row],[VAT Other ch. 2017]]</f>
        <v>345.43678490716889</v>
      </c>
      <c r="S81" s="571">
        <f>Tabel668926[[#This Row],[Total. ch. DW 2017]]+Tabel668926[[#This Row],[Sew. 2017]]+Tabel668926[[#This Row],[VAT Sew. 2017]]+Tabel668926[[#This Row],[WW 2017]]+Tabel668926[[#This Row],[VAT WW 2017]]+Tabel668926[[#This Row],[Other ch. 2017]]+Tabel668926[[#This Row],[VAT Other ch. 2017]]</f>
        <v>1727.1839245358447</v>
      </c>
      <c r="T81" s="2587"/>
      <c r="U81" s="2848"/>
      <c r="V81" s="2849"/>
      <c r="W81" s="2850"/>
      <c r="X81" s="2604"/>
      <c r="Y81" s="2851"/>
      <c r="Z81" s="2852"/>
      <c r="AA81" s="2604"/>
      <c r="AB81" s="2853"/>
      <c r="AC81" s="2604"/>
      <c r="AD81" s="2854"/>
      <c r="AE81" s="2604"/>
      <c r="AF81" s="2855"/>
      <c r="AG81" s="1964"/>
      <c r="AH81" s="2587"/>
      <c r="AI81" s="2598"/>
      <c r="AJ81" s="2597" t="s">
        <v>429</v>
      </c>
      <c r="AK81" s="2597"/>
      <c r="AL81" s="2597"/>
      <c r="AM81" s="2597" t="s">
        <v>429</v>
      </c>
      <c r="AN81" s="2597" t="s">
        <v>429</v>
      </c>
      <c r="AO81" s="2598"/>
      <c r="AP81" s="2587"/>
    </row>
    <row r="82" spans="1:42" ht="15.75" customHeight="1" x14ac:dyDescent="0.25">
      <c r="A82" s="2691"/>
      <c r="B82" s="2836" t="s">
        <v>88</v>
      </c>
      <c r="C82" s="2837" t="s">
        <v>429</v>
      </c>
      <c r="D82" s="2689" t="s">
        <v>1054</v>
      </c>
      <c r="E82" s="2847"/>
      <c r="F82" s="2824">
        <f>'exchange rates'!$O$18</f>
        <v>6.2037399999999998</v>
      </c>
      <c r="G82" s="2578">
        <f>384/F82</f>
        <v>61.898145312343843</v>
      </c>
      <c r="H82" s="2579">
        <f>1666.8/F82</f>
        <v>268.67663699639252</v>
      </c>
      <c r="I82" s="2580">
        <f>1250/F82</f>
        <v>201.4913584386193</v>
      </c>
      <c r="J82" s="2581">
        <f>825.2/F82</f>
        <v>133.01653518683892</v>
      </c>
      <c r="K82" s="566">
        <f>Tabel668926[[#This Row],[Fix.ch. 2017]]+Tabel668926[[#This Row],[Var. ch. 2017]]+Tabel668926[[#This Row],[Oth. ch. DW 2017]]+Tabel668926[[#This Row],[VAT DW 2017]]</f>
        <v>665.08267593419464</v>
      </c>
      <c r="L82" s="2582">
        <v>0</v>
      </c>
      <c r="M82" s="2583">
        <v>0</v>
      </c>
      <c r="N82" s="2584">
        <f>3108.83/F82</f>
        <v>501.12190388378622</v>
      </c>
      <c r="O82" s="2581">
        <f>777.21/F82</f>
        <v>125.28087895366345</v>
      </c>
      <c r="P82" s="2585">
        <f>139.17/F82</f>
        <v>22.433241883122115</v>
      </c>
      <c r="Q82" s="2581">
        <f>34.79/F82</f>
        <v>5.6079074880636517</v>
      </c>
      <c r="R82" s="2586">
        <f>Tabel668926[[#This Row],[VAT DW 2017]]+Tabel668926[[#This Row],[VAT Sew. 2017]]+Tabel668926[[#This Row],[VAT WW 2017]]+Tabel668926[[#This Row],[VAT Other ch. 2017]]</f>
        <v>263.90532162856601</v>
      </c>
      <c r="S82" s="571">
        <f>Tabel668926[[#This Row],[Total. ch. DW 2017]]+Tabel668926[[#This Row],[Sew. 2017]]+Tabel668926[[#This Row],[VAT Sew. 2017]]+Tabel668926[[#This Row],[WW 2017]]+Tabel668926[[#This Row],[VAT WW 2017]]+Tabel668926[[#This Row],[Other ch. 2017]]+Tabel668926[[#This Row],[VAT Other ch. 2017]]</f>
        <v>1319.5266081428299</v>
      </c>
      <c r="T82" s="2587"/>
      <c r="U82" s="2848"/>
      <c r="V82" s="2849"/>
      <c r="W82" s="2850"/>
      <c r="X82" s="2604"/>
      <c r="Y82" s="2851"/>
      <c r="Z82" s="2852"/>
      <c r="AA82" s="2604"/>
      <c r="AB82" s="2853"/>
      <c r="AC82" s="2604"/>
      <c r="AD82" s="2854"/>
      <c r="AE82" s="2604"/>
      <c r="AF82" s="2855"/>
      <c r="AG82" s="1964"/>
      <c r="AH82" s="2587"/>
      <c r="AI82" s="2598"/>
      <c r="AJ82" s="2597" t="s">
        <v>429</v>
      </c>
      <c r="AK82" s="2597"/>
      <c r="AL82" s="2597"/>
      <c r="AM82" s="2597" t="s">
        <v>429</v>
      </c>
      <c r="AN82" s="2597" t="s">
        <v>429</v>
      </c>
      <c r="AO82" s="2598"/>
      <c r="AP82" s="2587"/>
    </row>
    <row r="83" spans="1:42" ht="15.75" customHeight="1" x14ac:dyDescent="0.25">
      <c r="A83" s="2691"/>
      <c r="B83" s="2836" t="s">
        <v>89</v>
      </c>
      <c r="C83" s="2837"/>
      <c r="D83" s="2689" t="s">
        <v>1054</v>
      </c>
      <c r="E83" s="2847"/>
      <c r="F83" s="2824">
        <f>'exchange rates'!$O$18</f>
        <v>6.2037399999999998</v>
      </c>
      <c r="G83" s="2578">
        <f>662.4/F83</f>
        <v>106.77430066379313</v>
      </c>
      <c r="H83" s="2579">
        <f>970.8/F83</f>
        <v>156.48624861776929</v>
      </c>
      <c r="I83" s="2580">
        <f>1250/F83</f>
        <v>201.4913584386193</v>
      </c>
      <c r="J83" s="2581">
        <f>720.8/F83</f>
        <v>116.18797693004542</v>
      </c>
      <c r="K83" s="566">
        <f>Tabel668926[[#This Row],[Fix.ch. 2017]]+Tabel668926[[#This Row],[Var. ch. 2017]]+Tabel668926[[#This Row],[Oth. ch. DW 2017]]+Tabel668926[[#This Row],[VAT DW 2017]]</f>
        <v>580.93988465022721</v>
      </c>
      <c r="L83" s="2582">
        <v>0</v>
      </c>
      <c r="M83" s="2583">
        <v>0</v>
      </c>
      <c r="N83" s="2584">
        <f>5184.01/F83</f>
        <v>835.62657364750942</v>
      </c>
      <c r="O83" s="2581">
        <f>1296/F83</f>
        <v>208.90624042916048</v>
      </c>
      <c r="P83" s="2585">
        <f>100.79/F83</f>
        <v>16.246651213622751</v>
      </c>
      <c r="Q83" s="2581">
        <f>25.2/F83</f>
        <v>4.0620657861225649</v>
      </c>
      <c r="R83" s="2586">
        <f>Tabel668926[[#This Row],[VAT DW 2017]]+Tabel668926[[#This Row],[VAT Sew. 2017]]+Tabel668926[[#This Row],[VAT WW 2017]]+Tabel668926[[#This Row],[VAT Other ch. 2017]]</f>
        <v>329.15628314532847</v>
      </c>
      <c r="S83" s="571">
        <f>Tabel668926[[#This Row],[Total. ch. DW 2017]]+Tabel668926[[#This Row],[Sew. 2017]]+Tabel668926[[#This Row],[VAT Sew. 2017]]+Tabel668926[[#This Row],[WW 2017]]+Tabel668926[[#This Row],[VAT WW 2017]]+Tabel668926[[#This Row],[Other ch. 2017]]+Tabel668926[[#This Row],[VAT Other ch. 2017]]</f>
        <v>1645.7814157266423</v>
      </c>
      <c r="T83" s="2587"/>
      <c r="U83" s="2848"/>
      <c r="V83" s="2849"/>
      <c r="W83" s="2850"/>
      <c r="X83" s="2604"/>
      <c r="Y83" s="2851"/>
      <c r="Z83" s="2852"/>
      <c r="AA83" s="2604"/>
      <c r="AB83" s="2853"/>
      <c r="AC83" s="2604"/>
      <c r="AD83" s="2854"/>
      <c r="AE83" s="2604"/>
      <c r="AF83" s="2855"/>
      <c r="AG83" s="1964"/>
      <c r="AH83" s="2587"/>
      <c r="AI83" s="2598"/>
      <c r="AJ83" s="2597" t="s">
        <v>429</v>
      </c>
      <c r="AK83" s="2597"/>
      <c r="AL83" s="2597"/>
      <c r="AM83" s="2597" t="s">
        <v>429</v>
      </c>
      <c r="AN83" s="2597" t="s">
        <v>429</v>
      </c>
      <c r="AO83" s="2598"/>
      <c r="AP83" s="2587"/>
    </row>
    <row r="84" spans="1:42" ht="15.75" customHeight="1" thickBot="1" x14ac:dyDescent="0.3">
      <c r="A84" s="2694"/>
      <c r="B84" s="2856" t="s">
        <v>90</v>
      </c>
      <c r="C84" s="2837"/>
      <c r="D84" s="2696" t="s">
        <v>1054</v>
      </c>
      <c r="E84" s="2798"/>
      <c r="F84" s="2824">
        <f>'exchange rates'!$O$18</f>
        <v>6.2037399999999998</v>
      </c>
      <c r="G84" s="2578">
        <f>480/F84</f>
        <v>77.372681640429803</v>
      </c>
      <c r="H84" s="2579">
        <f>1900.4/F84</f>
        <v>306.3313420614017</v>
      </c>
      <c r="I84" s="2580">
        <f>1250/F84</f>
        <v>201.4913584386193</v>
      </c>
      <c r="J84" s="2581">
        <f>907.6/F84</f>
        <v>146.29884553511269</v>
      </c>
      <c r="K84" s="566">
        <f>Tabel668926[[#This Row],[Fix.ch. 2017]]+Tabel668926[[#This Row],[Var. ch. 2017]]+Tabel668926[[#This Row],[Oth. ch. DW 2017]]+Tabel668926[[#This Row],[VAT DW 2017]]</f>
        <v>731.49422767556348</v>
      </c>
      <c r="L84" s="2582">
        <v>0</v>
      </c>
      <c r="M84" s="2583">
        <v>0</v>
      </c>
      <c r="N84" s="2584">
        <f>6762.84/F84</f>
        <v>1090.1230548024257</v>
      </c>
      <c r="O84" s="2581">
        <f>1690.71/F84</f>
        <v>272.53076370060643</v>
      </c>
      <c r="P84" s="2585">
        <f>107.56/F84</f>
        <v>17.337928410926313</v>
      </c>
      <c r="Q84" s="2581">
        <f>26.89/F84</f>
        <v>4.3344821027315783</v>
      </c>
      <c r="R84" s="2586">
        <f>Tabel668926[[#This Row],[VAT DW 2017]]+Tabel668926[[#This Row],[VAT Sew. 2017]]+Tabel668926[[#This Row],[VAT WW 2017]]+Tabel668926[[#This Row],[VAT Other ch. 2017]]</f>
        <v>423.16409133845065</v>
      </c>
      <c r="S84" s="571">
        <f>Tabel668926[[#This Row],[Total. ch. DW 2017]]+Tabel668926[[#This Row],[Sew. 2017]]+Tabel668926[[#This Row],[VAT Sew. 2017]]+Tabel668926[[#This Row],[WW 2017]]+Tabel668926[[#This Row],[VAT WW 2017]]+Tabel668926[[#This Row],[Other ch. 2017]]+Tabel668926[[#This Row],[VAT Other ch. 2017]]</f>
        <v>2115.8204566922536</v>
      </c>
      <c r="T84" s="2587"/>
      <c r="U84" s="2857"/>
      <c r="V84" s="2858"/>
      <c r="W84" s="2859"/>
      <c r="X84" s="2615"/>
      <c r="Y84" s="2860"/>
      <c r="Z84" s="2861"/>
      <c r="AA84" s="2615"/>
      <c r="AB84" s="2862"/>
      <c r="AC84" s="2615"/>
      <c r="AD84" s="2863"/>
      <c r="AE84" s="2615"/>
      <c r="AF84" s="2864"/>
      <c r="AG84" s="1965"/>
      <c r="AH84" s="2587"/>
      <c r="AI84" s="2598"/>
      <c r="AJ84" s="2597" t="s">
        <v>429</v>
      </c>
      <c r="AK84" s="2597"/>
      <c r="AL84" s="2597"/>
      <c r="AM84" s="2597" t="s">
        <v>429</v>
      </c>
      <c r="AN84" s="2597" t="s">
        <v>429</v>
      </c>
      <c r="AO84" s="2598"/>
      <c r="AP84" s="2587"/>
    </row>
    <row r="85" spans="1:42" ht="15.75" customHeight="1" x14ac:dyDescent="0.25">
      <c r="A85" s="2687" t="s">
        <v>12</v>
      </c>
      <c r="B85" s="2865" t="s">
        <v>91</v>
      </c>
      <c r="C85" s="2837"/>
      <c r="D85" s="2689" t="s">
        <v>1056</v>
      </c>
      <c r="E85" s="2838">
        <v>44000</v>
      </c>
      <c r="F85" s="2577">
        <f>'exchange rates'!$O$19</f>
        <v>0.83301000000000003</v>
      </c>
      <c r="G85" s="2578">
        <f>39.52/F85</f>
        <v>47.44240765416982</v>
      </c>
      <c r="H85" s="2579">
        <f>226/F85</f>
        <v>271.30526644338005</v>
      </c>
      <c r="I85" s="2580">
        <v>0</v>
      </c>
      <c r="J85" s="2581">
        <f>63.72/F85</f>
        <v>76.493679547664485</v>
      </c>
      <c r="K85" s="566">
        <f>Tabel668926[[#This Row],[Fix.ch. 2017]]+Tabel668926[[#This Row],[Var. ch. 2017]]+Tabel668926[[#This Row],[Oth. ch. DW 2017]]+Tabel668926[[#This Row],[VAT DW 2017]]</f>
        <v>395.24135364521436</v>
      </c>
      <c r="L85" s="2582">
        <f>278/F85</f>
        <v>333.72948704097189</v>
      </c>
      <c r="M85" s="2583">
        <f>66.72/F85</f>
        <v>80.095076889833251</v>
      </c>
      <c r="N85" s="2584">
        <v>0</v>
      </c>
      <c r="O85" s="2581">
        <v>0</v>
      </c>
      <c r="P85" s="2585">
        <f>39.52/F85</f>
        <v>47.44240765416982</v>
      </c>
      <c r="Q85" s="2581">
        <f>9.48/F85</f>
        <v>11.380415601253286</v>
      </c>
      <c r="R85" s="2586">
        <f>Tabel668926[[#This Row],[VAT DW 2017]]+Tabel668926[[#This Row],[VAT Sew. 2017]]+Tabel668926[[#This Row],[VAT WW 2017]]+Tabel668926[[#This Row],[VAT Other ch. 2017]]</f>
        <v>167.96917203875103</v>
      </c>
      <c r="S85" s="571">
        <f>Tabel668926[[#This Row],[Total. ch. DW 2017]]+Tabel668926[[#This Row],[Sew. 2017]]+Tabel668926[[#This Row],[VAT Sew. 2017]]+Tabel668926[[#This Row],[WW 2017]]+Tabel668926[[#This Row],[VAT WW 2017]]+Tabel668926[[#This Row],[Other ch. 2017]]+Tabel668926[[#This Row],[VAT Other ch. 2017]]</f>
        <v>867.88874083144265</v>
      </c>
      <c r="T85" s="2587"/>
      <c r="U85" s="2839">
        <f>MEDIAN(G85:G90)</f>
        <v>48.894971248844556</v>
      </c>
      <c r="V85" s="2840">
        <f>MEDIAN(H85:H90)</f>
        <v>273.70619800482586</v>
      </c>
      <c r="W85" s="2841">
        <f>MEDIAN(I85:I90)</f>
        <v>0</v>
      </c>
      <c r="X85" s="2591">
        <f>MEDIAN(J85:J90)</f>
        <v>79.728934826712759</v>
      </c>
      <c r="Y85" s="2842">
        <f>SUM(U85:X90)</f>
        <v>402.33010408038319</v>
      </c>
      <c r="Z85" s="2843">
        <f t="shared" ref="Z85:AF85" si="11">MEDIAN(L85:L90)</f>
        <v>347.34276899436981</v>
      </c>
      <c r="AA85" s="2591">
        <f t="shared" si="11"/>
        <v>84.656846856580344</v>
      </c>
      <c r="AB85" s="2844">
        <f t="shared" si="11"/>
        <v>0</v>
      </c>
      <c r="AC85" s="2591">
        <f t="shared" si="11"/>
        <v>0</v>
      </c>
      <c r="AD85" s="2845">
        <f t="shared" si="11"/>
        <v>47.44240765416982</v>
      </c>
      <c r="AE85" s="2591">
        <f t="shared" si="11"/>
        <v>11.380415601253286</v>
      </c>
      <c r="AF85" s="2846">
        <f t="shared" si="11"/>
        <v>176.56450702872715</v>
      </c>
      <c r="AG85" s="1963">
        <f>Y85+Z85+AA85+AB85+AC85+AD85+AE85</f>
        <v>893.15254318675647</v>
      </c>
      <c r="AH85" s="2587"/>
      <c r="AI85" s="2866"/>
      <c r="AJ85" s="2867" t="s">
        <v>429</v>
      </c>
      <c r="AK85" s="2867"/>
      <c r="AL85" s="2867"/>
      <c r="AM85" s="2867" t="s">
        <v>429</v>
      </c>
      <c r="AN85" s="2867" t="s">
        <v>429</v>
      </c>
      <c r="AO85" s="2866"/>
      <c r="AP85" s="2587"/>
    </row>
    <row r="86" spans="1:42" ht="15.75" customHeight="1" x14ac:dyDescent="0.25">
      <c r="A86" s="2691"/>
      <c r="B86" s="2868" t="s">
        <v>92</v>
      </c>
      <c r="C86" s="2837" t="s">
        <v>429</v>
      </c>
      <c r="D86" s="2689" t="s">
        <v>1056</v>
      </c>
      <c r="E86" s="2847"/>
      <c r="F86" s="2577">
        <f>'exchange rates'!$O$19</f>
        <v>0.83301000000000003</v>
      </c>
      <c r="G86" s="2578">
        <f>39.52/F86</f>
        <v>47.44240765416982</v>
      </c>
      <c r="H86" s="2579">
        <f>226/F86</f>
        <v>271.30526644338005</v>
      </c>
      <c r="I86" s="2580">
        <v>0</v>
      </c>
      <c r="J86" s="2581">
        <f>63.72/F86</f>
        <v>76.493679547664485</v>
      </c>
      <c r="K86" s="566">
        <f>Tabel668926[[#This Row],[Fix.ch. 2017]]+Tabel668926[[#This Row],[Var. ch. 2017]]+Tabel668926[[#This Row],[Oth. ch. DW 2017]]+Tabel668926[[#This Row],[VAT DW 2017]]</f>
        <v>395.24135364521436</v>
      </c>
      <c r="L86" s="2582">
        <f>278/F86</f>
        <v>333.72948704097189</v>
      </c>
      <c r="M86" s="2583">
        <f>66.72/F86</f>
        <v>80.095076889833251</v>
      </c>
      <c r="N86" s="2584">
        <v>0</v>
      </c>
      <c r="O86" s="2581">
        <v>0</v>
      </c>
      <c r="P86" s="2585">
        <f>39.52/F86</f>
        <v>47.44240765416982</v>
      </c>
      <c r="Q86" s="2581">
        <f>9.48/F86</f>
        <v>11.380415601253286</v>
      </c>
      <c r="R86" s="2586">
        <f>Tabel668926[[#This Row],[VAT DW 2017]]+Tabel668926[[#This Row],[VAT Sew. 2017]]+Tabel668926[[#This Row],[VAT WW 2017]]+Tabel668926[[#This Row],[VAT Other ch. 2017]]</f>
        <v>167.96917203875103</v>
      </c>
      <c r="S86" s="571">
        <f>Tabel668926[[#This Row],[Total. ch. DW 2017]]+Tabel668926[[#This Row],[Sew. 2017]]+Tabel668926[[#This Row],[VAT Sew. 2017]]+Tabel668926[[#This Row],[WW 2017]]+Tabel668926[[#This Row],[VAT WW 2017]]+Tabel668926[[#This Row],[Other ch. 2017]]+Tabel668926[[#This Row],[VAT Other ch. 2017]]</f>
        <v>867.88874083144265</v>
      </c>
      <c r="T86" s="2587"/>
      <c r="U86" s="2848"/>
      <c r="V86" s="2849"/>
      <c r="W86" s="2850"/>
      <c r="X86" s="2604"/>
      <c r="Y86" s="2851"/>
      <c r="Z86" s="2852"/>
      <c r="AA86" s="2604"/>
      <c r="AB86" s="2853"/>
      <c r="AC86" s="2604"/>
      <c r="AD86" s="2854"/>
      <c r="AE86" s="2604"/>
      <c r="AF86" s="2855"/>
      <c r="AG86" s="1964"/>
      <c r="AH86" s="2587"/>
      <c r="AI86" s="2866"/>
      <c r="AJ86" s="2867" t="s">
        <v>429</v>
      </c>
      <c r="AK86" s="2867"/>
      <c r="AL86" s="2867"/>
      <c r="AM86" s="2867" t="s">
        <v>429</v>
      </c>
      <c r="AN86" s="2867" t="s">
        <v>429</v>
      </c>
      <c r="AO86" s="2866"/>
      <c r="AP86" s="2587"/>
    </row>
    <row r="87" spans="1:42" ht="15.75" customHeight="1" x14ac:dyDescent="0.25">
      <c r="A87" s="2691"/>
      <c r="B87" s="2868" t="s">
        <v>93</v>
      </c>
      <c r="C87" s="2837"/>
      <c r="D87" s="2689" t="s">
        <v>1056</v>
      </c>
      <c r="E87" s="2847"/>
      <c r="F87" s="2577">
        <f>'exchange rates'!$O$19</f>
        <v>0.83301000000000003</v>
      </c>
      <c r="G87" s="2578">
        <f>41.94/F87</f>
        <v>50.347534843519284</v>
      </c>
      <c r="H87" s="2579">
        <f>246/F87</f>
        <v>295.31458205783844</v>
      </c>
      <c r="I87" s="2580">
        <v>0</v>
      </c>
      <c r="J87" s="2581">
        <f>69.11/F87</f>
        <v>82.964190105761034</v>
      </c>
      <c r="K87" s="566">
        <f>Tabel668926[[#This Row],[Fix.ch. 2017]]+Tabel668926[[#This Row],[Var. ch. 2017]]+Tabel668926[[#This Row],[Oth. ch. DW 2017]]+Tabel668926[[#This Row],[VAT DW 2017]]</f>
        <v>428.62630700711873</v>
      </c>
      <c r="L87" s="2582">
        <f>320/F87</f>
        <v>384.14904983133454</v>
      </c>
      <c r="M87" s="2583">
        <f>76.8/F87</f>
        <v>92.195771959520286</v>
      </c>
      <c r="N87" s="2584">
        <v>0</v>
      </c>
      <c r="O87" s="2581">
        <v>0</v>
      </c>
      <c r="P87" s="2585">
        <f>41.94/F87</f>
        <v>50.347534843519284</v>
      </c>
      <c r="Q87" s="2581">
        <f>10.07/F87</f>
        <v>12.08869041187981</v>
      </c>
      <c r="R87" s="2586">
        <f>Tabel668926[[#This Row],[VAT DW 2017]]+Tabel668926[[#This Row],[VAT Sew. 2017]]+Tabel668926[[#This Row],[VAT WW 2017]]+Tabel668926[[#This Row],[VAT Other ch. 2017]]</f>
        <v>187.24865247716113</v>
      </c>
      <c r="S87" s="571">
        <f>Tabel668926[[#This Row],[Total. ch. DW 2017]]+Tabel668926[[#This Row],[Sew. 2017]]+Tabel668926[[#This Row],[VAT Sew. 2017]]+Tabel668926[[#This Row],[WW 2017]]+Tabel668926[[#This Row],[VAT WW 2017]]+Tabel668926[[#This Row],[Other ch. 2017]]+Tabel668926[[#This Row],[VAT Other ch. 2017]]</f>
        <v>967.40735405337261</v>
      </c>
      <c r="T87" s="2587"/>
      <c r="U87" s="2848"/>
      <c r="V87" s="2849"/>
      <c r="W87" s="2850"/>
      <c r="X87" s="2604"/>
      <c r="Y87" s="2851"/>
      <c r="Z87" s="2852"/>
      <c r="AA87" s="2604"/>
      <c r="AB87" s="2853"/>
      <c r="AC87" s="2604"/>
      <c r="AD87" s="2854"/>
      <c r="AE87" s="2604"/>
      <c r="AF87" s="2855"/>
      <c r="AG87" s="1964"/>
      <c r="AH87" s="2587"/>
      <c r="AI87" s="2866"/>
      <c r="AJ87" s="2867" t="s">
        <v>429</v>
      </c>
      <c r="AK87" s="2867"/>
      <c r="AL87" s="2867"/>
      <c r="AM87" s="2867" t="s">
        <v>429</v>
      </c>
      <c r="AN87" s="2867" t="s">
        <v>429</v>
      </c>
      <c r="AO87" s="2866"/>
      <c r="AP87" s="2587"/>
    </row>
    <row r="88" spans="1:42" ht="15.75" customHeight="1" x14ac:dyDescent="0.25">
      <c r="A88" s="2691"/>
      <c r="B88" s="2868" t="s">
        <v>94</v>
      </c>
      <c r="C88" s="2837"/>
      <c r="D88" s="2689" t="s">
        <v>1056</v>
      </c>
      <c r="E88" s="2847"/>
      <c r="F88" s="2577">
        <f>'exchange rates'!$O$19</f>
        <v>0.83301000000000003</v>
      </c>
      <c r="G88" s="2578">
        <f>80.65/F88</f>
        <v>96.817565215303546</v>
      </c>
      <c r="H88" s="2579">
        <f>230/F88</f>
        <v>276.10712956627168</v>
      </c>
      <c r="I88" s="2580">
        <v>0</v>
      </c>
      <c r="J88" s="2581">
        <f>74.56/F88</f>
        <v>89.506728610700947</v>
      </c>
      <c r="K88" s="566">
        <f>Tabel668926[[#This Row],[Fix.ch. 2017]]+Tabel668926[[#This Row],[Var. ch. 2017]]+Tabel668926[[#This Row],[Oth. ch. DW 2017]]+Tabel668926[[#This Row],[VAT DW 2017]]</f>
        <v>462.4314233922762</v>
      </c>
      <c r="L88" s="2582">
        <f>332/F88</f>
        <v>398.5546392000096</v>
      </c>
      <c r="M88" s="2583">
        <f>79.68/F88</f>
        <v>95.653113408002312</v>
      </c>
      <c r="N88" s="2584">
        <v>0</v>
      </c>
      <c r="O88" s="2581">
        <v>0</v>
      </c>
      <c r="P88" s="2585">
        <v>0</v>
      </c>
      <c r="Q88" s="2581">
        <v>0</v>
      </c>
      <c r="R88" s="2586">
        <f>Tabel668926[[#This Row],[VAT DW 2017]]+Tabel668926[[#This Row],[VAT Sew. 2017]]+Tabel668926[[#This Row],[VAT WW 2017]]+Tabel668926[[#This Row],[VAT Other ch. 2017]]</f>
        <v>185.15984201870327</v>
      </c>
      <c r="S88" s="571">
        <f>Tabel668926[[#This Row],[Total. ch. DW 2017]]+Tabel668926[[#This Row],[Sew. 2017]]+Tabel668926[[#This Row],[VAT Sew. 2017]]+Tabel668926[[#This Row],[WW 2017]]+Tabel668926[[#This Row],[VAT WW 2017]]+Tabel668926[[#This Row],[Other ch. 2017]]+Tabel668926[[#This Row],[VAT Other ch. 2017]]</f>
        <v>956.63917600028822</v>
      </c>
      <c r="T88" s="2587"/>
      <c r="U88" s="2848"/>
      <c r="V88" s="2849"/>
      <c r="W88" s="2850"/>
      <c r="X88" s="2604"/>
      <c r="Y88" s="2851"/>
      <c r="Z88" s="2852"/>
      <c r="AA88" s="2604"/>
      <c r="AB88" s="2853"/>
      <c r="AC88" s="2604"/>
      <c r="AD88" s="2854"/>
      <c r="AE88" s="2604"/>
      <c r="AF88" s="2855"/>
      <c r="AG88" s="1964"/>
      <c r="AH88" s="2587"/>
      <c r="AI88" s="2866"/>
      <c r="AJ88" s="2867" t="s">
        <v>429</v>
      </c>
      <c r="AK88" s="2867"/>
      <c r="AL88" s="2867"/>
      <c r="AM88" s="2867" t="s">
        <v>429</v>
      </c>
      <c r="AN88" s="2867" t="s">
        <v>429</v>
      </c>
      <c r="AO88" s="2866"/>
      <c r="AP88" s="2587"/>
    </row>
    <row r="89" spans="1:42" ht="15.75" customHeight="1" x14ac:dyDescent="0.25">
      <c r="A89" s="2691"/>
      <c r="B89" s="2868" t="s">
        <v>95</v>
      </c>
      <c r="C89" s="2837"/>
      <c r="D89" s="2689" t="s">
        <v>1056</v>
      </c>
      <c r="E89" s="2847"/>
      <c r="F89" s="2577">
        <f>'exchange rates'!$O$19</f>
        <v>0.83301000000000003</v>
      </c>
      <c r="G89" s="2578">
        <f>108.06/F89</f>
        <v>129.72233226491878</v>
      </c>
      <c r="H89" s="2579">
        <f>282.26/F89</f>
        <v>338.84347126685151</v>
      </c>
      <c r="I89" s="2580">
        <v>0</v>
      </c>
      <c r="J89" s="2581">
        <f>93.68/F89</f>
        <v>112.45963433812319</v>
      </c>
      <c r="K89" s="566">
        <f>Tabel668926[[#This Row],[Fix.ch. 2017]]+Tabel668926[[#This Row],[Var. ch. 2017]]+Tabel668926[[#This Row],[Oth. ch. DW 2017]]+Tabel668926[[#This Row],[VAT DW 2017]]</f>
        <v>581.02543786989349</v>
      </c>
      <c r="L89" s="2582">
        <f>300.68/F89</f>
        <v>360.95605094776772</v>
      </c>
      <c r="M89" s="2583">
        <f>74.32/F89</f>
        <v>89.218616823327437</v>
      </c>
      <c r="N89" s="2584">
        <v>0</v>
      </c>
      <c r="O89" s="2581">
        <v>0</v>
      </c>
      <c r="P89" s="2585">
        <v>0</v>
      </c>
      <c r="Q89" s="2581">
        <v>0</v>
      </c>
      <c r="R89" s="2586">
        <f>Tabel668926[[#This Row],[VAT DW 2017]]+Tabel668926[[#This Row],[VAT Sew. 2017]]+Tabel668926[[#This Row],[VAT WW 2017]]+Tabel668926[[#This Row],[VAT Other ch. 2017]]</f>
        <v>201.67825116145065</v>
      </c>
      <c r="S89" s="571">
        <f>Tabel668926[[#This Row],[Total. ch. DW 2017]]+Tabel668926[[#This Row],[Sew. 2017]]+Tabel668926[[#This Row],[VAT Sew. 2017]]+Tabel668926[[#This Row],[WW 2017]]+Tabel668926[[#This Row],[VAT WW 2017]]+Tabel668926[[#This Row],[Other ch. 2017]]+Tabel668926[[#This Row],[VAT Other ch. 2017]]</f>
        <v>1031.2001056409886</v>
      </c>
      <c r="T89" s="2587"/>
      <c r="U89" s="2848"/>
      <c r="V89" s="2849"/>
      <c r="W89" s="2850"/>
      <c r="X89" s="2604"/>
      <c r="Y89" s="2851"/>
      <c r="Z89" s="2852"/>
      <c r="AA89" s="2604"/>
      <c r="AB89" s="2853"/>
      <c r="AC89" s="2604"/>
      <c r="AD89" s="2854"/>
      <c r="AE89" s="2604"/>
      <c r="AF89" s="2855"/>
      <c r="AG89" s="1964"/>
      <c r="AH89" s="2587"/>
      <c r="AI89" s="2866"/>
      <c r="AJ89" s="2867" t="s">
        <v>429</v>
      </c>
      <c r="AK89" s="2867"/>
      <c r="AL89" s="2867"/>
      <c r="AM89" s="2867" t="s">
        <v>429</v>
      </c>
      <c r="AN89" s="2867" t="s">
        <v>429</v>
      </c>
      <c r="AO89" s="2866"/>
      <c r="AP89" s="2587"/>
    </row>
    <row r="90" spans="1:42" ht="15.75" customHeight="1" thickBot="1" x14ac:dyDescent="0.3">
      <c r="A90" s="2694"/>
      <c r="B90" s="2869" t="s">
        <v>195</v>
      </c>
      <c r="C90" s="2837"/>
      <c r="D90" s="2696" t="s">
        <v>1056</v>
      </c>
      <c r="E90" s="2798"/>
      <c r="F90" s="2577">
        <f>'exchange rates'!$O$19</f>
        <v>0.83301000000000003</v>
      </c>
      <c r="G90" s="2578">
        <f>39.52/F90</f>
        <v>47.44240765416982</v>
      </c>
      <c r="H90" s="2579">
        <f>226/F90</f>
        <v>271.30526644338005</v>
      </c>
      <c r="I90" s="2580">
        <v>0</v>
      </c>
      <c r="J90" s="2581">
        <f>63.72/F90</f>
        <v>76.493679547664485</v>
      </c>
      <c r="K90" s="566">
        <f>Tabel668926[[#This Row],[Fix.ch. 2017]]+Tabel668926[[#This Row],[Var. ch. 2017]]+Tabel668926[[#This Row],[Oth. ch. DW 2017]]+Tabel668926[[#This Row],[VAT DW 2017]]</f>
        <v>395.24135364521436</v>
      </c>
      <c r="L90" s="2582">
        <f>278/F90</f>
        <v>333.72948704097189</v>
      </c>
      <c r="M90" s="2583">
        <f>66.72/F90</f>
        <v>80.095076889833251</v>
      </c>
      <c r="N90" s="2584">
        <v>0</v>
      </c>
      <c r="O90" s="2581">
        <v>0</v>
      </c>
      <c r="P90" s="2585">
        <f>39.52/F90</f>
        <v>47.44240765416982</v>
      </c>
      <c r="Q90" s="2581">
        <f>9.48/F90</f>
        <v>11.380415601253286</v>
      </c>
      <c r="R90" s="2586">
        <f>Tabel668926[[#This Row],[VAT DW 2017]]+Tabel668926[[#This Row],[VAT Sew. 2017]]+Tabel668926[[#This Row],[VAT WW 2017]]+Tabel668926[[#This Row],[VAT Other ch. 2017]]</f>
        <v>167.96917203875103</v>
      </c>
      <c r="S90" s="571">
        <f>Tabel668926[[#This Row],[Total. ch. DW 2017]]+Tabel668926[[#This Row],[Sew. 2017]]+Tabel668926[[#This Row],[VAT Sew. 2017]]+Tabel668926[[#This Row],[WW 2017]]+Tabel668926[[#This Row],[VAT WW 2017]]+Tabel668926[[#This Row],[Other ch. 2017]]+Tabel668926[[#This Row],[VAT Other ch. 2017]]</f>
        <v>867.88874083144265</v>
      </c>
      <c r="T90" s="2587"/>
      <c r="U90" s="2857"/>
      <c r="V90" s="2858"/>
      <c r="W90" s="2859"/>
      <c r="X90" s="2615"/>
      <c r="Y90" s="2860"/>
      <c r="Z90" s="2861"/>
      <c r="AA90" s="2615"/>
      <c r="AB90" s="2862"/>
      <c r="AC90" s="2615"/>
      <c r="AD90" s="2863"/>
      <c r="AE90" s="2615"/>
      <c r="AF90" s="2864"/>
      <c r="AG90" s="1965"/>
      <c r="AH90" s="2587"/>
      <c r="AI90" s="2866"/>
      <c r="AJ90" s="2867" t="s">
        <v>429</v>
      </c>
      <c r="AK90" s="2867"/>
      <c r="AL90" s="2867"/>
      <c r="AM90" s="2867" t="s">
        <v>429</v>
      </c>
      <c r="AN90" s="2867" t="s">
        <v>429</v>
      </c>
      <c r="AO90" s="2866"/>
      <c r="AP90" s="2587"/>
    </row>
    <row r="91" spans="1:42" ht="15.75" customHeight="1" x14ac:dyDescent="0.25">
      <c r="A91" s="2698" t="s">
        <v>13</v>
      </c>
      <c r="B91" s="2865" t="s">
        <v>97</v>
      </c>
      <c r="C91" s="2837"/>
      <c r="D91" s="2689" t="s">
        <v>1058</v>
      </c>
      <c r="E91" s="2870">
        <v>43600</v>
      </c>
      <c r="F91" s="2577">
        <f>'exchange rates'!$O$20</f>
        <v>0.83301000000000003</v>
      </c>
      <c r="G91" s="2578">
        <f>55.32/F91</f>
        <v>66.409766989591958</v>
      </c>
      <c r="H91" s="2579">
        <f>(1.08*200)/F91</f>
        <v>259.3006086361508</v>
      </c>
      <c r="I91" s="2580">
        <f>(0.39*200)/F91</f>
        <v>93.63633089638779</v>
      </c>
      <c r="J91" s="2581">
        <f>19.14/F91</f>
        <v>22.976915043036698</v>
      </c>
      <c r="K91" s="566">
        <f>Tabel668926[[#This Row],[Fix.ch. 2017]]+Tabel668926[[#This Row],[Var. ch. 2017]]+Tabel668926[[#This Row],[Oth. ch. DW 2017]]+Tabel668926[[#This Row],[VAT DW 2017]]</f>
        <v>442.32362156516723</v>
      </c>
      <c r="L91" s="2582">
        <f>(1.1*200)/F91</f>
        <v>264.10247175904254</v>
      </c>
      <c r="M91" s="2583">
        <f>26.72/F91</f>
        <v>32.076445660916434</v>
      </c>
      <c r="N91" s="2584">
        <f>(0*200)/F91</f>
        <v>0</v>
      </c>
      <c r="O91" s="2581">
        <v>0</v>
      </c>
      <c r="P91" s="2585">
        <f>(0.24*200)/F91</f>
        <v>57.622357474700181</v>
      </c>
      <c r="Q91" s="2581">
        <v>0</v>
      </c>
      <c r="R91" s="2586">
        <f>Tabel668926[[#This Row],[VAT DW 2017]]+Tabel668926[[#This Row],[VAT Sew. 2017]]+Tabel668926[[#This Row],[VAT WW 2017]]+Tabel668926[[#This Row],[VAT Other ch. 2017]]</f>
        <v>55.053360703953132</v>
      </c>
      <c r="S91" s="571">
        <f>Tabel668926[[#This Row],[Total. ch. DW 2017]]+Tabel668926[[#This Row],[Sew. 2017]]+Tabel668926[[#This Row],[VAT Sew. 2017]]+Tabel668926[[#This Row],[WW 2017]]+Tabel668926[[#This Row],[VAT WW 2017]]+Tabel668926[[#This Row],[Other ch. 2017]]+Tabel668926[[#This Row],[VAT Other ch. 2017]]</f>
        <v>796.12489645982635</v>
      </c>
      <c r="T91" s="2587"/>
      <c r="U91" s="2871">
        <f>MEDIAN(G91:G101)</f>
        <v>32.040431687494745</v>
      </c>
      <c r="V91" s="2872">
        <f>MEDIAN(H91:H101)</f>
        <v>273.70619800482581</v>
      </c>
      <c r="W91" s="2873">
        <f>MEDIAN(I91:I101)</f>
        <v>98.438194019279479</v>
      </c>
      <c r="X91" s="2815">
        <f>MEDIAN(J91:J101)</f>
        <v>23.553138617783702</v>
      </c>
      <c r="Y91" s="2874">
        <f>SUM(U91:X101)</f>
        <v>427.73796232938372</v>
      </c>
      <c r="Z91" s="2875">
        <f t="shared" ref="Z91:AF91" si="12">MEDIAN(L91:L101)</f>
        <v>278.5080611277175</v>
      </c>
      <c r="AA91" s="2815">
        <f t="shared" si="12"/>
        <v>34.861526272193608</v>
      </c>
      <c r="AB91" s="2876">
        <f t="shared" si="12"/>
        <v>0</v>
      </c>
      <c r="AC91" s="2815">
        <f t="shared" si="12"/>
        <v>0</v>
      </c>
      <c r="AD91" s="2877">
        <f t="shared" si="12"/>
        <v>63.864779534459373</v>
      </c>
      <c r="AE91" s="2815">
        <f t="shared" si="12"/>
        <v>0</v>
      </c>
      <c r="AF91" s="2878">
        <f t="shared" si="12"/>
        <v>59.603126012893</v>
      </c>
      <c r="AG91" s="2190">
        <f>Y91+Z91+AA91+AB91+AC91+AD91+AE91</f>
        <v>804.9723292637542</v>
      </c>
      <c r="AH91" s="2587"/>
      <c r="AI91" s="2682"/>
      <c r="AJ91" s="2597"/>
      <c r="AK91" s="2597"/>
      <c r="AL91" s="2597" t="s">
        <v>429</v>
      </c>
      <c r="AM91" s="2597" t="s">
        <v>429</v>
      </c>
      <c r="AN91" s="2597"/>
      <c r="AO91" s="2682"/>
    </row>
    <row r="92" spans="1:42" ht="15.75" customHeight="1" x14ac:dyDescent="0.25">
      <c r="A92" s="2599"/>
      <c r="B92" s="2868" t="s">
        <v>98</v>
      </c>
      <c r="C92" s="2837"/>
      <c r="D92" s="2689" t="s">
        <v>1058</v>
      </c>
      <c r="E92" s="2711"/>
      <c r="F92" s="2577">
        <f>'exchange rates'!$O$20</f>
        <v>0.83301000000000003</v>
      </c>
      <c r="G92" s="2578">
        <f>22.64/F92</f>
        <v>27.178545275566918</v>
      </c>
      <c r="H92" s="2579">
        <f>(1.18*200)/F92</f>
        <v>283.30992425060924</v>
      </c>
      <c r="I92" s="2580">
        <f>(0.5*200)/F92</f>
        <v>120.04657807229205</v>
      </c>
      <c r="J92" s="2581">
        <f>19.75/F92</f>
        <v>23.709199169277678</v>
      </c>
      <c r="K92" s="566">
        <f>Tabel668926[[#This Row],[Fix.ch. 2017]]+Tabel668926[[#This Row],[Var. ch. 2017]]+Tabel668926[[#This Row],[Oth. ch. DW 2017]]+Tabel668926[[#This Row],[VAT DW 2017]]</f>
        <v>454.24424676774589</v>
      </c>
      <c r="L92" s="2582">
        <f>(1.6*200)/F92</f>
        <v>384.14904983133454</v>
      </c>
      <c r="M92" s="2583">
        <f>37.91/F92</f>
        <v>45.509657747205907</v>
      </c>
      <c r="N92" s="2584">
        <f>(0*200)/F92</f>
        <v>0</v>
      </c>
      <c r="O92" s="2581">
        <v>0</v>
      </c>
      <c r="P92" s="2585">
        <f>(0.3*200)/F92</f>
        <v>72.027946843375233</v>
      </c>
      <c r="Q92" s="2581">
        <v>0</v>
      </c>
      <c r="R92" s="2586">
        <f>Tabel668926[[#This Row],[VAT DW 2017]]+Tabel668926[[#This Row],[VAT Sew. 2017]]+Tabel668926[[#This Row],[VAT WW 2017]]+Tabel668926[[#This Row],[VAT Other ch. 2017]]</f>
        <v>69.218856916483588</v>
      </c>
      <c r="S92" s="571">
        <f>Tabel668926[[#This Row],[Total. ch. DW 2017]]+Tabel668926[[#This Row],[Sew. 2017]]+Tabel668926[[#This Row],[VAT Sew. 2017]]+Tabel668926[[#This Row],[WW 2017]]+Tabel668926[[#This Row],[VAT WW 2017]]+Tabel668926[[#This Row],[Other ch. 2017]]+Tabel668926[[#This Row],[VAT Other ch. 2017]]</f>
        <v>955.93090118966165</v>
      </c>
      <c r="T92" s="2587"/>
      <c r="U92" s="2601"/>
      <c r="V92" s="2602"/>
      <c r="W92" s="2603"/>
      <c r="X92" s="2604"/>
      <c r="Y92" s="2605"/>
      <c r="Z92" s="2606"/>
      <c r="AA92" s="2604"/>
      <c r="AB92" s="2607"/>
      <c r="AC92" s="2604"/>
      <c r="AD92" s="2608"/>
      <c r="AE92" s="2604"/>
      <c r="AF92" s="2609"/>
      <c r="AG92" s="1791"/>
      <c r="AH92" s="2587"/>
      <c r="AI92" s="2682"/>
      <c r="AJ92" s="2597" t="s">
        <v>429</v>
      </c>
      <c r="AK92" s="2597" t="s">
        <v>429</v>
      </c>
      <c r="AL92" s="2597"/>
      <c r="AM92" s="2597" t="s">
        <v>429</v>
      </c>
      <c r="AN92" s="2597"/>
      <c r="AO92" s="2682"/>
    </row>
    <row r="93" spans="1:42" ht="15.75" customHeight="1" x14ac:dyDescent="0.25">
      <c r="A93" s="2599"/>
      <c r="B93" s="2868" t="s">
        <v>99</v>
      </c>
      <c r="C93" s="2837"/>
      <c r="D93" s="2689" t="s">
        <v>1058</v>
      </c>
      <c r="E93" s="2711"/>
      <c r="F93" s="2577">
        <f>'exchange rates'!$O$20</f>
        <v>0.83301000000000003</v>
      </c>
      <c r="G93" s="2578">
        <f>37.32/F93</f>
        <v>44.801382936579394</v>
      </c>
      <c r="H93" s="2579">
        <f>(1.14*200)/F93</f>
        <v>273.70619800482581</v>
      </c>
      <c r="I93" s="2580">
        <f>(0.46*200)/F93</f>
        <v>110.44285182650869</v>
      </c>
      <c r="J93" s="2581">
        <f>19.62/F93</f>
        <v>23.553138617783702</v>
      </c>
      <c r="K93" s="566">
        <f>Tabel668926[[#This Row],[Fix.ch. 2017]]+Tabel668926[[#This Row],[Var. ch. 2017]]+Tabel668926[[#This Row],[Oth. ch. DW 2017]]+Tabel668926[[#This Row],[VAT DW 2017]]</f>
        <v>452.50357138569757</v>
      </c>
      <c r="L93" s="2582">
        <f>(1.46*200)/F93</f>
        <v>350.53600797109277</v>
      </c>
      <c r="M93" s="2583">
        <f>34.58/F93</f>
        <v>41.512106697398586</v>
      </c>
      <c r="N93" s="2584">
        <f>(0*200)/F93</f>
        <v>0</v>
      </c>
      <c r="O93" s="2581">
        <v>0</v>
      </c>
      <c r="P93" s="2585">
        <f>(0.266*200)/F93</f>
        <v>63.864779534459373</v>
      </c>
      <c r="Q93" s="2581">
        <v>0</v>
      </c>
      <c r="R93" s="2586">
        <f>Tabel668926[[#This Row],[VAT DW 2017]]+Tabel668926[[#This Row],[VAT Sew. 2017]]+Tabel668926[[#This Row],[VAT WW 2017]]+Tabel668926[[#This Row],[VAT Other ch. 2017]]</f>
        <v>65.065245315182295</v>
      </c>
      <c r="S93" s="571">
        <f>Tabel668926[[#This Row],[Total. ch. DW 2017]]+Tabel668926[[#This Row],[Sew. 2017]]+Tabel668926[[#This Row],[VAT Sew. 2017]]+Tabel668926[[#This Row],[WW 2017]]+Tabel668926[[#This Row],[VAT WW 2017]]+Tabel668926[[#This Row],[Other ch. 2017]]+Tabel668926[[#This Row],[VAT Other ch. 2017]]</f>
        <v>908.41646558864829</v>
      </c>
      <c r="T93" s="2587"/>
      <c r="U93" s="2601"/>
      <c r="V93" s="2602"/>
      <c r="W93" s="2603"/>
      <c r="X93" s="2604"/>
      <c r="Y93" s="2605"/>
      <c r="Z93" s="2606"/>
      <c r="AA93" s="2604"/>
      <c r="AB93" s="2607"/>
      <c r="AC93" s="2604"/>
      <c r="AD93" s="2608"/>
      <c r="AE93" s="2604"/>
      <c r="AF93" s="2609"/>
      <c r="AG93" s="1791"/>
      <c r="AH93" s="2587"/>
      <c r="AI93" s="2682"/>
      <c r="AJ93" s="2597" t="s">
        <v>429</v>
      </c>
      <c r="AK93" s="2597" t="s">
        <v>429</v>
      </c>
      <c r="AL93" s="2597"/>
      <c r="AM93" s="2597" t="s">
        <v>429</v>
      </c>
      <c r="AN93" s="2597"/>
      <c r="AO93" s="2682"/>
    </row>
    <row r="94" spans="1:42" ht="15.75" customHeight="1" x14ac:dyDescent="0.25">
      <c r="A94" s="2599"/>
      <c r="B94" s="2868" t="s">
        <v>100</v>
      </c>
      <c r="C94" s="2837"/>
      <c r="D94" s="2689" t="s">
        <v>1058</v>
      </c>
      <c r="E94" s="2711"/>
      <c r="F94" s="2577">
        <f>'exchange rates'!$O$20</f>
        <v>0.83301000000000003</v>
      </c>
      <c r="G94" s="2578">
        <f>41.19/F94</f>
        <v>49.447185507977089</v>
      </c>
      <c r="H94" s="2579">
        <f>(1.03*200)/F94</f>
        <v>247.2959508289216</v>
      </c>
      <c r="I94" s="2580">
        <f>(0.35*200)/F94</f>
        <v>84.032604650604426</v>
      </c>
      <c r="J94" s="2581">
        <f>17.39/F94</f>
        <v>20.876099926771587</v>
      </c>
      <c r="K94" s="566">
        <f>Tabel668926[[#This Row],[Fix.ch. 2017]]+Tabel668926[[#This Row],[Var. ch. 2017]]+Tabel668926[[#This Row],[Oth. ch. DW 2017]]+Tabel668926[[#This Row],[VAT DW 2017]]</f>
        <v>401.65184091427471</v>
      </c>
      <c r="L94" s="2582">
        <f>(0.98*200)/F94</f>
        <v>235.29129302169241</v>
      </c>
      <c r="M94" s="2583">
        <f>24.41/F94</f>
        <v>29.303369707446489</v>
      </c>
      <c r="N94" s="2584">
        <v>0</v>
      </c>
      <c r="O94" s="2581">
        <v>0</v>
      </c>
      <c r="P94" s="2585">
        <f>(0.24131*200)/F94</f>
        <v>57.936879509249586</v>
      </c>
      <c r="Q94" s="2581">
        <v>0</v>
      </c>
      <c r="R94" s="2586">
        <f>Tabel668926[[#This Row],[VAT DW 2017]]+Tabel668926[[#This Row],[VAT Sew. 2017]]+Tabel668926[[#This Row],[VAT WW 2017]]+Tabel668926[[#This Row],[VAT Other ch. 2017]]</f>
        <v>50.17946963421808</v>
      </c>
      <c r="S94" s="571">
        <f>Tabel668926[[#This Row],[Total. ch. DW 2017]]+Tabel668926[[#This Row],[Sew. 2017]]+Tabel668926[[#This Row],[VAT Sew. 2017]]+Tabel668926[[#This Row],[WW 2017]]+Tabel668926[[#This Row],[VAT WW 2017]]+Tabel668926[[#This Row],[Other ch. 2017]]+Tabel668926[[#This Row],[VAT Other ch. 2017]]</f>
        <v>724.18338315266317</v>
      </c>
      <c r="T94" s="2587"/>
      <c r="U94" s="2601"/>
      <c r="V94" s="2602"/>
      <c r="W94" s="2603"/>
      <c r="X94" s="2604"/>
      <c r="Y94" s="2605"/>
      <c r="Z94" s="2606"/>
      <c r="AA94" s="2604"/>
      <c r="AB94" s="2607"/>
      <c r="AC94" s="2604"/>
      <c r="AD94" s="2608"/>
      <c r="AE94" s="2604"/>
      <c r="AF94" s="2609"/>
      <c r="AG94" s="1791"/>
      <c r="AH94" s="2587"/>
      <c r="AI94" s="2682"/>
      <c r="AJ94" s="2597" t="s">
        <v>429</v>
      </c>
      <c r="AK94" s="2597"/>
      <c r="AL94" s="2597"/>
      <c r="AM94" s="2597" t="s">
        <v>429</v>
      </c>
      <c r="AN94" s="2597"/>
      <c r="AO94" s="2682"/>
    </row>
    <row r="95" spans="1:42" ht="15.75" customHeight="1" x14ac:dyDescent="0.25">
      <c r="A95" s="2599"/>
      <c r="B95" s="2868" t="s">
        <v>101</v>
      </c>
      <c r="C95" s="2837" t="s">
        <v>429</v>
      </c>
      <c r="D95" s="2689" t="s">
        <v>1058</v>
      </c>
      <c r="E95" s="2711"/>
      <c r="F95" s="2577">
        <f>'exchange rates'!$O$20</f>
        <v>0.83301000000000003</v>
      </c>
      <c r="G95" s="2578">
        <f>20.61/F95</f>
        <v>24.741599740699389</v>
      </c>
      <c r="H95" s="2579">
        <f>(1.02*200)/F95</f>
        <v>244.89501926747576</v>
      </c>
      <c r="I95" s="2580">
        <f>(0.48*200)/F95</f>
        <v>115.24471494940036</v>
      </c>
      <c r="J95" s="2581">
        <f>17.7/F95</f>
        <v>21.248244318795692</v>
      </c>
      <c r="K95" s="566">
        <f>Tabel668926[[#This Row],[Fix.ch. 2017]]+Tabel668926[[#This Row],[Var. ch. 2017]]+Tabel668926[[#This Row],[Oth. ch. DW 2017]]+Tabel668926[[#This Row],[VAT DW 2017]]</f>
        <v>406.12957827637121</v>
      </c>
      <c r="L95" s="2582">
        <f>(0.31*200)/F95</f>
        <v>74.428878404821063</v>
      </c>
      <c r="M95" s="2583">
        <v>0</v>
      </c>
      <c r="N95" s="2584">
        <f>(1.04*200)/F95</f>
        <v>249.69688239036745</v>
      </c>
      <c r="O95" s="2581">
        <f>33.06/F95</f>
        <v>39.687398710699753</v>
      </c>
      <c r="P95" s="2585">
        <f>(0.3*200)/F95</f>
        <v>72.027946843375233</v>
      </c>
      <c r="Q95" s="2581">
        <v>0</v>
      </c>
      <c r="R95" s="2586">
        <f>Tabel668926[[#This Row],[VAT DW 2017]]+Tabel668926[[#This Row],[VAT Sew. 2017]]+Tabel668926[[#This Row],[VAT WW 2017]]+Tabel668926[[#This Row],[VAT Other ch. 2017]]</f>
        <v>60.935643029495445</v>
      </c>
      <c r="S95" s="571">
        <f>Tabel668926[[#This Row],[Total. ch. DW 2017]]+Tabel668926[[#This Row],[Sew. 2017]]+Tabel668926[[#This Row],[VAT Sew. 2017]]+Tabel668926[[#This Row],[WW 2017]]+Tabel668926[[#This Row],[VAT WW 2017]]+Tabel668926[[#This Row],[Other ch. 2017]]+Tabel668926[[#This Row],[VAT Other ch. 2017]]</f>
        <v>841.97068462563482</v>
      </c>
      <c r="T95" s="2587"/>
      <c r="U95" s="2601"/>
      <c r="V95" s="2602"/>
      <c r="W95" s="2603"/>
      <c r="X95" s="2604"/>
      <c r="Y95" s="2605"/>
      <c r="Z95" s="2606"/>
      <c r="AA95" s="2604"/>
      <c r="AB95" s="2607"/>
      <c r="AC95" s="2604"/>
      <c r="AD95" s="2608"/>
      <c r="AE95" s="2604"/>
      <c r="AF95" s="2609"/>
      <c r="AG95" s="1791"/>
      <c r="AH95" s="2587"/>
      <c r="AI95" s="2682"/>
      <c r="AJ95" s="2597" t="s">
        <v>429</v>
      </c>
      <c r="AK95" s="2597"/>
      <c r="AL95" s="2597"/>
      <c r="AM95" s="2597" t="s">
        <v>429</v>
      </c>
      <c r="AN95" s="2597"/>
      <c r="AO95" s="2682"/>
    </row>
    <row r="96" spans="1:42" ht="15.75" customHeight="1" x14ac:dyDescent="0.25">
      <c r="A96" s="2599"/>
      <c r="B96" s="2868" t="s">
        <v>630</v>
      </c>
      <c r="C96" s="2837"/>
      <c r="D96" s="2689" t="s">
        <v>1058</v>
      </c>
      <c r="E96" s="2711"/>
      <c r="F96" s="2577">
        <f>'exchange rates'!$O$20</f>
        <v>0.83301000000000003</v>
      </c>
      <c r="G96" s="2578">
        <f>26.69/F96</f>
        <v>32.040431687494745</v>
      </c>
      <c r="H96" s="2579">
        <f>(1*200)/F96</f>
        <v>240.0931561445841</v>
      </c>
      <c r="I96" s="2580">
        <f>(0.35*200)/F96</f>
        <v>84.032604650604426</v>
      </c>
      <c r="J96" s="2581">
        <f>16.32/F96</f>
        <v>19.591601541398063</v>
      </c>
      <c r="K96" s="566">
        <f>Tabel668926[[#This Row],[Fix.ch. 2017]]+Tabel668926[[#This Row],[Var. ch. 2017]]+Tabel668926[[#This Row],[Oth. ch. DW 2017]]+Tabel668926[[#This Row],[VAT DW 2017]]</f>
        <v>375.75779402408131</v>
      </c>
      <c r="L96" s="2582">
        <f>(0.5*200)/F96</f>
        <v>120.04657807229205</v>
      </c>
      <c r="M96" s="2583">
        <v>0</v>
      </c>
      <c r="N96" s="2584">
        <f>(0.47*200)/F96</f>
        <v>112.84378338795452</v>
      </c>
      <c r="O96" s="2581">
        <f>26.36/F96</f>
        <v>31.644277979856181</v>
      </c>
      <c r="P96" s="2585">
        <f>(0.35*200)/F96</f>
        <v>84.032604650604426</v>
      </c>
      <c r="Q96" s="2581">
        <v>0</v>
      </c>
      <c r="R96" s="2586">
        <f>Tabel668926[[#This Row],[VAT DW 2017]]+Tabel668926[[#This Row],[VAT Sew. 2017]]+Tabel668926[[#This Row],[VAT WW 2017]]+Tabel668926[[#This Row],[VAT Other ch. 2017]]</f>
        <v>51.235879521254247</v>
      </c>
      <c r="S96" s="571">
        <f>Tabel668926[[#This Row],[Total. ch. DW 2017]]+Tabel668926[[#This Row],[Sew. 2017]]+Tabel668926[[#This Row],[VAT Sew. 2017]]+Tabel668926[[#This Row],[WW 2017]]+Tabel668926[[#This Row],[VAT WW 2017]]+Tabel668926[[#This Row],[Other ch. 2017]]+Tabel668926[[#This Row],[VAT Other ch. 2017]]</f>
        <v>724.32503811478841</v>
      </c>
      <c r="T96" s="2587"/>
      <c r="U96" s="2601"/>
      <c r="V96" s="2602"/>
      <c r="W96" s="2603"/>
      <c r="X96" s="2604"/>
      <c r="Y96" s="2605"/>
      <c r="Z96" s="2606"/>
      <c r="AA96" s="2604"/>
      <c r="AB96" s="2607"/>
      <c r="AC96" s="2604"/>
      <c r="AD96" s="2608"/>
      <c r="AE96" s="2604"/>
      <c r="AF96" s="2609"/>
      <c r="AG96" s="1791"/>
      <c r="AH96" s="2587"/>
      <c r="AI96" s="2682"/>
      <c r="AJ96" s="2597" t="s">
        <v>429</v>
      </c>
      <c r="AK96" s="2597"/>
      <c r="AL96" s="2597"/>
      <c r="AM96" s="2597" t="s">
        <v>429</v>
      </c>
      <c r="AN96" s="2597"/>
      <c r="AO96" s="2682"/>
    </row>
    <row r="97" spans="1:42" ht="15.75" customHeight="1" x14ac:dyDescent="0.25">
      <c r="A97" s="2599"/>
      <c r="B97" s="2868" t="s">
        <v>631</v>
      </c>
      <c r="C97" s="2837"/>
      <c r="D97" s="2689" t="s">
        <v>1058</v>
      </c>
      <c r="E97" s="2711"/>
      <c r="F97" s="2577">
        <f>'exchange rates'!$O$20</f>
        <v>0.83301000000000003</v>
      </c>
      <c r="G97" s="2578">
        <f>10.95/F97</f>
        <v>13.145100298915978</v>
      </c>
      <c r="H97" s="2579">
        <f>(0.93*200)/F97</f>
        <v>223.28663521446322</v>
      </c>
      <c r="I97" s="2580">
        <f>(0.44*200)/F97</f>
        <v>105.640988703617</v>
      </c>
      <c r="J97" s="2581">
        <f>15.66/F97</f>
        <v>18.799294126120934</v>
      </c>
      <c r="K97" s="566">
        <f>Tabel668926[[#This Row],[Fix.ch. 2017]]+Tabel668926[[#This Row],[Var. ch. 2017]]+Tabel668926[[#This Row],[Oth. ch. DW 2017]]+Tabel668926[[#This Row],[VAT DW 2017]]</f>
        <v>360.87201834311708</v>
      </c>
      <c r="L97" s="2582">
        <f>(1.16*200)/F97</f>
        <v>278.5080611277175</v>
      </c>
      <c r="M97" s="2583">
        <f>29.2/F97</f>
        <v>35.053600797109276</v>
      </c>
      <c r="N97" s="2584">
        <f>(0*200)/F97</f>
        <v>0</v>
      </c>
      <c r="O97" s="2581">
        <v>0</v>
      </c>
      <c r="P97" s="2585">
        <f>(0.3*200)/F97</f>
        <v>72.027946843375233</v>
      </c>
      <c r="Q97" s="2581">
        <v>0</v>
      </c>
      <c r="R97" s="2586">
        <f>Tabel668926[[#This Row],[VAT DW 2017]]+Tabel668926[[#This Row],[VAT Sew. 2017]]+Tabel668926[[#This Row],[VAT WW 2017]]+Tabel668926[[#This Row],[VAT Other ch. 2017]]</f>
        <v>53.85289492323021</v>
      </c>
      <c r="S97" s="571">
        <f>Tabel668926[[#This Row],[Total. ch. DW 2017]]+Tabel668926[[#This Row],[Sew. 2017]]+Tabel668926[[#This Row],[VAT Sew. 2017]]+Tabel668926[[#This Row],[WW 2017]]+Tabel668926[[#This Row],[VAT WW 2017]]+Tabel668926[[#This Row],[Other ch. 2017]]+Tabel668926[[#This Row],[VAT Other ch. 2017]]</f>
        <v>746.4616271113191</v>
      </c>
      <c r="T97" s="2587"/>
      <c r="U97" s="2601"/>
      <c r="V97" s="2602"/>
      <c r="W97" s="2603"/>
      <c r="X97" s="2604"/>
      <c r="Y97" s="2605"/>
      <c r="Z97" s="2606"/>
      <c r="AA97" s="2604"/>
      <c r="AB97" s="2607"/>
      <c r="AC97" s="2604"/>
      <c r="AD97" s="2608"/>
      <c r="AE97" s="2604"/>
      <c r="AF97" s="2609"/>
      <c r="AG97" s="1791"/>
      <c r="AH97" s="2587"/>
      <c r="AI97" s="2682"/>
      <c r="AJ97" s="2597" t="s">
        <v>429</v>
      </c>
      <c r="AK97" s="2597"/>
      <c r="AL97" s="2597"/>
      <c r="AM97" s="2597"/>
      <c r="AN97" s="2597"/>
      <c r="AO97" s="2682"/>
    </row>
    <row r="98" spans="1:42" ht="15.75" customHeight="1" x14ac:dyDescent="0.25">
      <c r="A98" s="2599"/>
      <c r="B98" s="2868" t="s">
        <v>632</v>
      </c>
      <c r="C98" s="2837"/>
      <c r="D98" s="2689" t="s">
        <v>1058</v>
      </c>
      <c r="E98" s="2711"/>
      <c r="F98" s="2577">
        <f>'exchange rates'!$O$20</f>
        <v>0.83301000000000003</v>
      </c>
      <c r="G98" s="2578">
        <f>40.94/F98</f>
        <v>49.147069062796362</v>
      </c>
      <c r="H98" s="2579">
        <f>(1.43*200)/F98</f>
        <v>343.33321328675527</v>
      </c>
      <c r="I98" s="2580">
        <f>(0.41*200)/F98</f>
        <v>98.438194019279479</v>
      </c>
      <c r="J98" s="2581">
        <f>22.52/F98</f>
        <v>27.034489381880167</v>
      </c>
      <c r="K98" s="566">
        <f>Tabel668926[[#This Row],[Fix.ch. 2017]]+Tabel668926[[#This Row],[Var. ch. 2017]]+Tabel668926[[#This Row],[Oth. ch. DW 2017]]+Tabel668926[[#This Row],[VAT DW 2017]]</f>
        <v>517.95296575071131</v>
      </c>
      <c r="L98" s="2582">
        <f>(0.91*200)/F98</f>
        <v>218.48477209157153</v>
      </c>
      <c r="M98" s="2583">
        <f>22.47/F98</f>
        <v>26.974466092844022</v>
      </c>
      <c r="N98" s="2584">
        <v>0</v>
      </c>
      <c r="O98" s="2581">
        <v>0</v>
      </c>
      <c r="P98" s="2585">
        <f>(0.2097*200)/F98</f>
        <v>50.347534843519284</v>
      </c>
      <c r="Q98" s="2581">
        <v>0</v>
      </c>
      <c r="R98" s="2586">
        <f>Tabel668926[[#This Row],[VAT DW 2017]]+Tabel668926[[#This Row],[VAT Sew. 2017]]+Tabel668926[[#This Row],[VAT WW 2017]]+Tabel668926[[#This Row],[VAT Other ch. 2017]]</f>
        <v>54.008955474724189</v>
      </c>
      <c r="S98" s="571">
        <f>Tabel668926[[#This Row],[Total. ch. DW 2017]]+Tabel668926[[#This Row],[Sew. 2017]]+Tabel668926[[#This Row],[VAT Sew. 2017]]+Tabel668926[[#This Row],[WW 2017]]+Tabel668926[[#This Row],[VAT WW 2017]]+Tabel668926[[#This Row],[Other ch. 2017]]+Tabel668926[[#This Row],[VAT Other ch. 2017]]</f>
        <v>813.75973877864612</v>
      </c>
      <c r="T98" s="2587"/>
      <c r="U98" s="2601"/>
      <c r="V98" s="2602"/>
      <c r="W98" s="2603"/>
      <c r="X98" s="2604"/>
      <c r="Y98" s="2605"/>
      <c r="Z98" s="2606"/>
      <c r="AA98" s="2604"/>
      <c r="AB98" s="2607"/>
      <c r="AC98" s="2604"/>
      <c r="AD98" s="2608"/>
      <c r="AE98" s="2604"/>
      <c r="AF98" s="2609"/>
      <c r="AG98" s="1791"/>
      <c r="AH98" s="2587"/>
      <c r="AI98" s="2682"/>
      <c r="AJ98" s="2597" t="s">
        <v>429</v>
      </c>
      <c r="AK98" s="2597"/>
      <c r="AL98" s="2597"/>
      <c r="AM98" s="2597" t="s">
        <v>429</v>
      </c>
      <c r="AN98" s="2597"/>
      <c r="AO98" s="2682"/>
    </row>
    <row r="99" spans="1:42" ht="15.75" customHeight="1" x14ac:dyDescent="0.25">
      <c r="A99" s="2599"/>
      <c r="B99" s="2868" t="s">
        <v>633</v>
      </c>
      <c r="C99" s="2837"/>
      <c r="D99" s="2689" t="s">
        <v>1058</v>
      </c>
      <c r="E99" s="2711"/>
      <c r="F99" s="2577">
        <f>'exchange rates'!$O$20</f>
        <v>0.83301000000000003</v>
      </c>
      <c r="G99" s="2578">
        <f>30.37/F99</f>
        <v>36.458145760555098</v>
      </c>
      <c r="H99" s="2579">
        <f>(1.51*200)/F99</f>
        <v>362.54066577832197</v>
      </c>
      <c r="I99" s="2580">
        <f>(0.52*200)/F99</f>
        <v>124.84844119518372</v>
      </c>
      <c r="J99" s="2581">
        <f>23.96/F99</f>
        <v>28.763160106121177</v>
      </c>
      <c r="K99" s="566">
        <f>Tabel668926[[#This Row],[Fix.ch. 2017]]+Tabel668926[[#This Row],[Var. ch. 2017]]+Tabel668926[[#This Row],[Oth. ch. DW 2017]]+Tabel668926[[#This Row],[VAT DW 2017]]</f>
        <v>552.61041284018199</v>
      </c>
      <c r="L99" s="2582">
        <f>(2.01*200)/F99</f>
        <v>482.58724385061396</v>
      </c>
      <c r="M99" s="2583">
        <f>46.26/F99</f>
        <v>55.533547016242295</v>
      </c>
      <c r="N99" s="2584">
        <f>(0*200)/F99</f>
        <v>0</v>
      </c>
      <c r="O99" s="2581">
        <v>0</v>
      </c>
      <c r="P99" s="2585">
        <f>(0.3*200)/F99</f>
        <v>72.027946843375233</v>
      </c>
      <c r="Q99" s="2581">
        <v>0</v>
      </c>
      <c r="R99" s="2586">
        <f>Tabel668926[[#This Row],[VAT DW 2017]]+Tabel668926[[#This Row],[VAT Sew. 2017]]+Tabel668926[[#This Row],[VAT WW 2017]]+Tabel668926[[#This Row],[VAT Other ch. 2017]]</f>
        <v>84.296707122363472</v>
      </c>
      <c r="S99" s="571">
        <f>Tabel668926[[#This Row],[Total. ch. DW 2017]]+Tabel668926[[#This Row],[Sew. 2017]]+Tabel668926[[#This Row],[VAT Sew. 2017]]+Tabel668926[[#This Row],[WW 2017]]+Tabel668926[[#This Row],[VAT WW 2017]]+Tabel668926[[#This Row],[Other ch. 2017]]+Tabel668926[[#This Row],[VAT Other ch. 2017]]</f>
        <v>1162.7591505504136</v>
      </c>
      <c r="T99" s="2587"/>
      <c r="U99" s="2601"/>
      <c r="V99" s="2602"/>
      <c r="W99" s="2603"/>
      <c r="X99" s="2604"/>
      <c r="Y99" s="2605"/>
      <c r="Z99" s="2606"/>
      <c r="AA99" s="2604"/>
      <c r="AB99" s="2607"/>
      <c r="AC99" s="2604"/>
      <c r="AD99" s="2608"/>
      <c r="AE99" s="2604"/>
      <c r="AF99" s="2609"/>
      <c r="AG99" s="1791"/>
      <c r="AH99" s="2587"/>
      <c r="AI99" s="2682"/>
      <c r="AJ99" s="2597" t="s">
        <v>429</v>
      </c>
      <c r="AK99" s="2597"/>
      <c r="AL99" s="2597"/>
      <c r="AM99" s="2597" t="s">
        <v>429</v>
      </c>
      <c r="AN99" s="2597"/>
      <c r="AO99" s="2682"/>
    </row>
    <row r="100" spans="1:42" ht="15.75" customHeight="1" x14ac:dyDescent="0.25">
      <c r="A100" s="2599"/>
      <c r="B100" s="2868" t="s">
        <v>634</v>
      </c>
      <c r="C100" s="2837"/>
      <c r="D100" s="2689" t="s">
        <v>1058</v>
      </c>
      <c r="E100" s="2711"/>
      <c r="F100" s="2577">
        <f>'exchange rates'!$O$20</f>
        <v>0.83301000000000003</v>
      </c>
      <c r="G100" s="2578">
        <f>18.92/F100</f>
        <v>22.712812571277656</v>
      </c>
      <c r="H100" s="2579">
        <f>(1.41*200)/F100</f>
        <v>338.53135016386358</v>
      </c>
      <c r="I100" s="2580">
        <f>(0.37*200)/F100</f>
        <v>88.834467773496115</v>
      </c>
      <c r="J100" s="2581">
        <f>20.61/F100</f>
        <v>24.741599740699389</v>
      </c>
      <c r="K100" s="566">
        <f>Tabel668926[[#This Row],[Fix.ch. 2017]]+Tabel668926[[#This Row],[Var. ch. 2017]]+Tabel668926[[#This Row],[Oth. ch. DW 2017]]+Tabel668926[[#This Row],[VAT DW 2017]]</f>
        <v>474.8202302493367</v>
      </c>
      <c r="L100" s="2582">
        <f>(1.29*200)/F100</f>
        <v>309.7201714265135</v>
      </c>
      <c r="M100" s="2583">
        <f>29.04/F100</f>
        <v>34.861526272193608</v>
      </c>
      <c r="N100" s="2584">
        <f>(0*200)/F100</f>
        <v>0</v>
      </c>
      <c r="O100" s="2581">
        <v>0</v>
      </c>
      <c r="P100" s="2585">
        <f>(0.16*200)/F100</f>
        <v>38.414904983133454</v>
      </c>
      <c r="Q100" s="2581">
        <v>0</v>
      </c>
      <c r="R100" s="2586">
        <f>Tabel668926[[#This Row],[VAT DW 2017]]+Tabel668926[[#This Row],[VAT Sew. 2017]]+Tabel668926[[#This Row],[VAT WW 2017]]+Tabel668926[[#This Row],[VAT Other ch. 2017]]</f>
        <v>59.603126012893</v>
      </c>
      <c r="S100" s="571">
        <f>Tabel668926[[#This Row],[Total. ch. DW 2017]]+Tabel668926[[#This Row],[Sew. 2017]]+Tabel668926[[#This Row],[VAT Sew. 2017]]+Tabel668926[[#This Row],[WW 2017]]+Tabel668926[[#This Row],[VAT WW 2017]]+Tabel668926[[#This Row],[Other ch. 2017]]+Tabel668926[[#This Row],[VAT Other ch. 2017]]</f>
        <v>857.81683293117726</v>
      </c>
      <c r="T100" s="2587"/>
      <c r="U100" s="2601"/>
      <c r="V100" s="2602"/>
      <c r="W100" s="2603"/>
      <c r="X100" s="2604"/>
      <c r="Y100" s="2605"/>
      <c r="Z100" s="2606"/>
      <c r="AA100" s="2604"/>
      <c r="AB100" s="2607"/>
      <c r="AC100" s="2604"/>
      <c r="AD100" s="2608"/>
      <c r="AE100" s="2604"/>
      <c r="AF100" s="2609"/>
      <c r="AG100" s="1791"/>
      <c r="AH100" s="2587"/>
      <c r="AI100" s="2682"/>
      <c r="AJ100" s="2597" t="s">
        <v>429</v>
      </c>
      <c r="AK100" s="2597"/>
      <c r="AL100" s="2597"/>
      <c r="AM100" s="2597"/>
      <c r="AN100" s="2597"/>
      <c r="AO100" s="2682"/>
    </row>
    <row r="101" spans="1:42" ht="15.75" customHeight="1" thickBot="1" x14ac:dyDescent="0.3">
      <c r="A101" s="2610"/>
      <c r="B101" s="2868" t="s">
        <v>635</v>
      </c>
      <c r="C101" s="2837"/>
      <c r="D101" s="2689" t="s">
        <v>1058</v>
      </c>
      <c r="E101" s="2611"/>
      <c r="F101" s="2577">
        <f>'exchange rates'!$O$20</f>
        <v>0.83301000000000003</v>
      </c>
      <c r="G101" s="2578">
        <f>12.36/F101</f>
        <v>14.837757049735297</v>
      </c>
      <c r="H101" s="2579">
        <f>(1.62*200)/F101</f>
        <v>388.95091295422623</v>
      </c>
      <c r="I101" s="2580">
        <f>(0.38*200)/F101</f>
        <v>91.23539933494196</v>
      </c>
      <c r="J101" s="2581">
        <f>22.68/F101</f>
        <v>27.226563906795835</v>
      </c>
      <c r="K101" s="566">
        <f>Tabel668926[[#This Row],[Fix.ch. 2017]]+Tabel668926[[#This Row],[Var. ch. 2017]]+Tabel668926[[#This Row],[Oth. ch. DW 2017]]+Tabel668926[[#This Row],[VAT DW 2017]]</f>
        <v>522.25063324569931</v>
      </c>
      <c r="L101" s="2582">
        <f>(2.04*200)/F101</f>
        <v>489.79003853495152</v>
      </c>
      <c r="M101" s="2583">
        <f>44.96/F101</f>
        <v>53.972941501302508</v>
      </c>
      <c r="N101" s="2584">
        <f>(0*200)/F101</f>
        <v>0</v>
      </c>
      <c r="O101" s="2581">
        <v>0</v>
      </c>
      <c r="P101" s="2585">
        <f>(0.209*200)/F101</f>
        <v>50.179469634218073</v>
      </c>
      <c r="Q101" s="2581">
        <v>0</v>
      </c>
      <c r="R101" s="2586">
        <f>Tabel668926[[#This Row],[VAT DW 2017]]+Tabel668926[[#This Row],[VAT Sew. 2017]]+Tabel668926[[#This Row],[VAT WW 2017]]+Tabel668926[[#This Row],[VAT Other ch. 2017]]</f>
        <v>81.199505408098346</v>
      </c>
      <c r="S101" s="571">
        <f>Tabel668926[[#This Row],[Total. ch. DW 2017]]+Tabel668926[[#This Row],[Sew. 2017]]+Tabel668926[[#This Row],[VAT Sew. 2017]]+Tabel668926[[#This Row],[WW 2017]]+Tabel668926[[#This Row],[VAT WW 2017]]+Tabel668926[[#This Row],[Other ch. 2017]]+Tabel668926[[#This Row],[VAT Other ch. 2017]]</f>
        <v>1116.1930829161715</v>
      </c>
      <c r="T101" s="2587"/>
      <c r="U101" s="2612"/>
      <c r="V101" s="2613"/>
      <c r="W101" s="2614"/>
      <c r="X101" s="2615"/>
      <c r="Y101" s="2616"/>
      <c r="Z101" s="2617"/>
      <c r="AA101" s="2615"/>
      <c r="AB101" s="2618"/>
      <c r="AC101" s="2615"/>
      <c r="AD101" s="2619"/>
      <c r="AE101" s="2615"/>
      <c r="AF101" s="2620"/>
      <c r="AG101" s="1794"/>
      <c r="AH101" s="2587"/>
      <c r="AI101" s="2682"/>
      <c r="AJ101" s="2597" t="s">
        <v>429</v>
      </c>
      <c r="AK101" s="2597" t="s">
        <v>429</v>
      </c>
      <c r="AL101" s="2597"/>
      <c r="AM101" s="2597" t="s">
        <v>429</v>
      </c>
      <c r="AN101" s="2597"/>
      <c r="AO101" s="2682"/>
    </row>
    <row r="102" spans="1:42" ht="15.75" customHeight="1" thickBot="1" x14ac:dyDescent="0.3">
      <c r="A102" s="2879" t="s">
        <v>521</v>
      </c>
      <c r="B102" s="2880" t="s">
        <v>522</v>
      </c>
      <c r="C102" s="2881"/>
      <c r="D102" s="2772" t="s">
        <v>1060</v>
      </c>
      <c r="E102" s="2882">
        <v>16000</v>
      </c>
      <c r="F102" s="2883">
        <v>506.17869999999999</v>
      </c>
      <c r="G102" s="325">
        <f>3396/F102</f>
        <v>6.7090930535006708</v>
      </c>
      <c r="H102" s="326">
        <f>74524/F102</f>
        <v>147.22863684307538</v>
      </c>
      <c r="I102" s="327">
        <v>0</v>
      </c>
      <c r="J102" s="561"/>
      <c r="K102" s="313">
        <f>Tabel668926[[#This Row],[Fix.ch. 2017]]+Tabel668926[[#This Row],[Var. ch. 2017]]+Tabel668926[[#This Row],[Oth. ch. DW 2017]]+Tabel668926[[#This Row],[VAT DW 2017]]</f>
        <v>153.93772989657606</v>
      </c>
      <c r="L102" s="328">
        <v>0</v>
      </c>
      <c r="M102" s="1097"/>
      <c r="N102" s="329">
        <v>0</v>
      </c>
      <c r="O102" s="561"/>
      <c r="P102" s="330">
        <v>0</v>
      </c>
      <c r="Q102" s="561"/>
      <c r="R102" s="2657">
        <f>Tabel668926[[#This Row],[VAT DW 2017]]+Tabel668926[[#This Row],[VAT Sew. 2017]]+Tabel668926[[#This Row],[VAT WW 2017]]+Tabel668926[[#This Row],[VAT Other ch. 2017]]</f>
        <v>0</v>
      </c>
      <c r="S102" s="318">
        <f>Tabel668926[[#This Row],[Total. ch. DW 2017]]+Tabel668926[[#This Row],[Sew. 2017]]+Tabel668926[[#This Row],[VAT Sew. 2017]]+Tabel668926[[#This Row],[WW 2017]]+Tabel668926[[#This Row],[VAT WW 2017]]+Tabel668926[[#This Row],[Other ch. 2017]]+Tabel668926[[#This Row],[VAT Other ch. 2017]]</f>
        <v>153.93772989657606</v>
      </c>
      <c r="T102" s="2587"/>
      <c r="U102" s="2884">
        <f>Tabel668926[[#This Row],[Fix.ch. 2017]]</f>
        <v>6.7090930535006708</v>
      </c>
      <c r="V102" s="2885">
        <f>Tabel668926[[#This Row],[Var. ch. 2017]]</f>
        <v>147.22863684307538</v>
      </c>
      <c r="W102" s="2886">
        <v>0</v>
      </c>
      <c r="X102" s="2887"/>
      <c r="Y102" s="2888">
        <f>Tabel668926[[#This Row],[Total. ch. DW 2017]]</f>
        <v>153.93772989657606</v>
      </c>
      <c r="Z102" s="2889">
        <v>0</v>
      </c>
      <c r="AA102" s="2887"/>
      <c r="AB102" s="2890">
        <v>0</v>
      </c>
      <c r="AC102" s="2887"/>
      <c r="AD102" s="2891">
        <v>0</v>
      </c>
      <c r="AE102" s="2887"/>
      <c r="AF102" s="2892">
        <f>Tabel668926[[#This Row],[Total VAT 2017]]</f>
        <v>0</v>
      </c>
      <c r="AG102" s="348">
        <f>Tabel668926[[#This Row],[total charge 2017]]</f>
        <v>153.93772989657606</v>
      </c>
      <c r="AH102" s="2587"/>
      <c r="AI102" s="2634"/>
      <c r="AJ102" s="2634"/>
      <c r="AK102" s="2634"/>
      <c r="AL102" s="2598" t="s">
        <v>429</v>
      </c>
      <c r="AM102" s="2634"/>
      <c r="AN102" s="2634"/>
      <c r="AO102" s="2634"/>
      <c r="AP102" s="2587"/>
    </row>
    <row r="103" spans="1:42" ht="15.75" customHeight="1" thickBot="1" x14ac:dyDescent="0.35">
      <c r="A103" s="2893" t="s">
        <v>14</v>
      </c>
      <c r="B103" s="2856" t="s">
        <v>939</v>
      </c>
      <c r="C103" s="2837" t="s">
        <v>429</v>
      </c>
      <c r="D103" s="2800" t="s">
        <v>1062</v>
      </c>
      <c r="E103" s="2894">
        <v>50200</v>
      </c>
      <c r="F103" s="2577">
        <f>'exchange rates'!O22</f>
        <v>0.83301000000000003</v>
      </c>
      <c r="G103" s="2895">
        <f>21.9/F103</f>
        <v>26.290200597831955</v>
      </c>
      <c r="H103" s="2896">
        <f>338.8/F103</f>
        <v>406.71780650892543</v>
      </c>
      <c r="I103" s="2897">
        <v>0</v>
      </c>
      <c r="J103" s="2898">
        <f>25.25/F103</f>
        <v>30.311760963253743</v>
      </c>
      <c r="K103" s="566">
        <f>Tabel668926[[#This Row],[Fix.ch. 2017]]+Tabel668926[[#This Row],[Var. ch. 2017]]+Tabel668926[[#This Row],[Oth. ch. DW 2017]]+Tabel668926[[#This Row],[VAT DW 2017]]</f>
        <v>463.31976807001115</v>
      </c>
      <c r="L103" s="2899">
        <f>0</f>
        <v>0</v>
      </c>
      <c r="M103" s="2900">
        <v>0</v>
      </c>
      <c r="N103" s="2901">
        <f>442/F103</f>
        <v>530.60587507953085</v>
      </c>
      <c r="O103" s="2898">
        <v>0</v>
      </c>
      <c r="P103" s="2902">
        <v>0</v>
      </c>
      <c r="Q103" s="2898">
        <v>0</v>
      </c>
      <c r="R103" s="2586">
        <f>Tabel668926[[#This Row],[VAT DW 2017]]+Tabel668926[[#This Row],[VAT Sew. 2017]]+Tabel668926[[#This Row],[VAT WW 2017]]+Tabel668926[[#This Row],[VAT Other ch. 2017]]</f>
        <v>30.311760963253743</v>
      </c>
      <c r="S103" s="571">
        <f>Tabel668926[[#This Row],[Total. ch. DW 2017]]+Tabel668926[[#This Row],[Sew. 2017]]+Tabel668926[[#This Row],[VAT Sew. 2017]]+Tabel668926[[#This Row],[WW 2017]]+Tabel668926[[#This Row],[VAT WW 2017]]+Tabel668926[[#This Row],[Other ch. 2017]]+Tabel668926[[#This Row],[VAT Other ch. 2017]]</f>
        <v>993.925643149542</v>
      </c>
      <c r="T103" s="2587"/>
      <c r="U103" s="2903">
        <f>Tabel668926[[#This Row],[Fix.ch. 2017]]</f>
        <v>26.290200597831955</v>
      </c>
      <c r="V103" s="2904">
        <f>Tabel668926[[#This Row],[Var. ch. 2017]]</f>
        <v>406.71780650892543</v>
      </c>
      <c r="W103" s="2905">
        <f>Tabel668926[[#This Row],[Oth. ch. DW 2017]]</f>
        <v>0</v>
      </c>
      <c r="X103" s="2906">
        <f>Tabel668926[[#This Row],[VAT DW 2017]]</f>
        <v>30.311760963253743</v>
      </c>
      <c r="Y103" s="2907">
        <f>Tabel668926[[#This Row],[Total. ch. DW 2017]]</f>
        <v>463.31976807001115</v>
      </c>
      <c r="Z103" s="2908">
        <f>Tabel668926[[#This Row],[Sew. 2017]]</f>
        <v>0</v>
      </c>
      <c r="AA103" s="2906">
        <f>Tabel668926[[#This Row],[VAT Sew. 2017]]</f>
        <v>0</v>
      </c>
      <c r="AB103" s="2909">
        <f>Tabel668926[[#This Row],[WW 2017]]</f>
        <v>530.60587507953085</v>
      </c>
      <c r="AC103" s="2906">
        <f>Tabel668926[[#This Row],[VAT WW 2017]]</f>
        <v>0</v>
      </c>
      <c r="AD103" s="2910">
        <f>Tabel668926[[#This Row],[Other ch. 2017]]</f>
        <v>0</v>
      </c>
      <c r="AE103" s="2906">
        <f>Tabel668926[[#This Row],[VAT Other ch. 2017]]</f>
        <v>0</v>
      </c>
      <c r="AF103" s="2911">
        <f>Tabel668926[[#This Row],[Total VAT 2017]]</f>
        <v>30.311760963253743</v>
      </c>
      <c r="AG103" s="681">
        <f>Tabel668926[[#This Row],[total charge 2017]]</f>
        <v>993.925643149542</v>
      </c>
      <c r="AH103" s="2587"/>
      <c r="AI103" s="2634"/>
      <c r="AJ103" s="2634"/>
      <c r="AK103" s="2597" t="s">
        <v>429</v>
      </c>
      <c r="AL103" s="2597"/>
      <c r="AM103" s="2597" t="s">
        <v>429</v>
      </c>
      <c r="AN103" s="2634"/>
      <c r="AO103" s="2634"/>
      <c r="AP103" s="2587"/>
    </row>
    <row r="104" spans="1:42" ht="15.75" customHeight="1" x14ac:dyDescent="0.25">
      <c r="A104" s="2912" t="s">
        <v>35</v>
      </c>
      <c r="B104" s="2913" t="s">
        <v>712</v>
      </c>
      <c r="C104" s="2914"/>
      <c r="D104" s="2914" t="s">
        <v>1064</v>
      </c>
      <c r="E104" s="2915">
        <v>25600</v>
      </c>
      <c r="F104" s="2684">
        <f>'exchange rates'!$M$23</f>
        <v>0.92093999999999998</v>
      </c>
      <c r="G104" s="325">
        <f>79.5/F104</f>
        <v>86.324842009251412</v>
      </c>
      <c r="H104" s="326">
        <f>74.92/F104</f>
        <v>81.351662431863105</v>
      </c>
      <c r="I104" s="327">
        <f>59.93/F104</f>
        <v>65.074814863074693</v>
      </c>
      <c r="J104" s="561"/>
      <c r="K104" s="313">
        <f>Tabel668926[[#This Row],[Fix.ch. 2017]]+Tabel668926[[#This Row],[Var. ch. 2017]]+Tabel668926[[#This Row],[Oth. ch. DW 2017]]+Tabel668926[[#This Row],[VAT DW 2017]]</f>
        <v>232.7513193041892</v>
      </c>
      <c r="L104" s="328">
        <f>67.42/F104</f>
        <v>73.207809412122401</v>
      </c>
      <c r="M104" s="1097"/>
      <c r="N104" s="329">
        <v>0</v>
      </c>
      <c r="O104" s="561"/>
      <c r="P104" s="330">
        <f>13.25/F104</f>
        <v>14.387473668208569</v>
      </c>
      <c r="Q104" s="561"/>
      <c r="R104" s="2657">
        <f>Tabel668926[[#This Row],[VAT DW 2017]]+Tabel668926[[#This Row],[VAT Sew. 2017]]+Tabel668926[[#This Row],[VAT WW 2017]]+Tabel668926[[#This Row],[VAT Other ch. 2017]]</f>
        <v>0</v>
      </c>
      <c r="S104" s="318">
        <f>Tabel668926[[#This Row],[Total. ch. DW 2017]]+Tabel668926[[#This Row],[Sew. 2017]]+Tabel668926[[#This Row],[VAT Sew. 2017]]+Tabel668926[[#This Row],[WW 2017]]+Tabel668926[[#This Row],[VAT WW 2017]]+Tabel668926[[#This Row],[Other ch. 2017]]+Tabel668926[[#This Row],[VAT Other ch. 2017]]</f>
        <v>320.34660238452017</v>
      </c>
      <c r="T104" s="2587"/>
      <c r="U104" s="2916">
        <f>MEDIAN(G104:G108)</f>
        <v>52.989336981779488</v>
      </c>
      <c r="V104" s="2917">
        <f>MEDIAN(H104:H108)</f>
        <v>143.98332138901557</v>
      </c>
      <c r="W104" s="2918">
        <f>MEDIAN(I104:I108)</f>
        <v>0</v>
      </c>
      <c r="X104" s="2729"/>
      <c r="Y104" s="2919">
        <f>SUM(U104:W108)</f>
        <v>196.97265837079505</v>
      </c>
      <c r="Z104" s="2920">
        <f>MEDIAN(L104:L108)</f>
        <v>115.18665711121245</v>
      </c>
      <c r="AA104" s="2729"/>
      <c r="AB104" s="2921">
        <f>MEDIAN(N104:N108)</f>
        <v>0</v>
      </c>
      <c r="AC104" s="2729"/>
      <c r="AD104" s="2922">
        <f>MEDIAN(P104:P108)</f>
        <v>13.03016483158512</v>
      </c>
      <c r="AE104" s="2729"/>
      <c r="AF104" s="2923">
        <f>MEDIAN(R104:R108)</f>
        <v>0</v>
      </c>
      <c r="AG104" s="1994">
        <f>SUM(Y104:AF108)</f>
        <v>325.18948031359264</v>
      </c>
      <c r="AH104" s="2587"/>
      <c r="AI104" s="2634"/>
      <c r="AJ104" s="2634"/>
      <c r="AK104" s="2598" t="s">
        <v>429</v>
      </c>
      <c r="AL104" s="2598" t="s">
        <v>429</v>
      </c>
      <c r="AM104" s="2598" t="s">
        <v>429</v>
      </c>
      <c r="AN104" s="2598" t="s">
        <v>429</v>
      </c>
      <c r="AO104" s="2634"/>
      <c r="AP104" s="2587"/>
    </row>
    <row r="105" spans="1:42" ht="15.75" customHeight="1" x14ac:dyDescent="0.25">
      <c r="A105" s="2924"/>
      <c r="B105" s="2914" t="s">
        <v>713</v>
      </c>
      <c r="C105" s="2914"/>
      <c r="D105" s="2914" t="s">
        <v>1064</v>
      </c>
      <c r="E105" s="2736"/>
      <c r="F105" s="2684">
        <f>'exchange rates'!$M$23</f>
        <v>0.92093999999999998</v>
      </c>
      <c r="G105" s="325">
        <f>51/F105</f>
        <v>55.378200534236761</v>
      </c>
      <c r="H105" s="326">
        <f>170/F105</f>
        <v>184.5940017807892</v>
      </c>
      <c r="I105" s="327">
        <f>0/F105</f>
        <v>0</v>
      </c>
      <c r="J105" s="561"/>
      <c r="K105" s="313">
        <f>Tabel668926[[#This Row],[Fix.ch. 2017]]+Tabel668926[[#This Row],[Var. ch. 2017]]+Tabel668926[[#This Row],[Oth. ch. DW 2017]]+Tabel668926[[#This Row],[VAT DW 2017]]</f>
        <v>239.97220231502595</v>
      </c>
      <c r="L105" s="328">
        <f>93.5/F105</f>
        <v>101.52670097943405</v>
      </c>
      <c r="M105" s="1097"/>
      <c r="N105" s="329">
        <v>0</v>
      </c>
      <c r="O105" s="561"/>
      <c r="P105" s="330">
        <f>12/F105</f>
        <v>13.03016483158512</v>
      </c>
      <c r="Q105" s="561"/>
      <c r="R105" s="2657">
        <f>Tabel668926[[#This Row],[VAT DW 2017]]+Tabel668926[[#This Row],[VAT Sew. 2017]]+Tabel668926[[#This Row],[VAT WW 2017]]+Tabel668926[[#This Row],[VAT Other ch. 2017]]</f>
        <v>0</v>
      </c>
      <c r="S105" s="318">
        <f>Tabel668926[[#This Row],[Total. ch. DW 2017]]+Tabel668926[[#This Row],[Sew. 2017]]+Tabel668926[[#This Row],[VAT Sew. 2017]]+Tabel668926[[#This Row],[WW 2017]]+Tabel668926[[#This Row],[VAT WW 2017]]+Tabel668926[[#This Row],[Other ch. 2017]]+Tabel668926[[#This Row],[VAT Other ch. 2017]]</f>
        <v>354.5290681260451</v>
      </c>
      <c r="T105" s="2587"/>
      <c r="U105" s="2737"/>
      <c r="V105" s="2738"/>
      <c r="W105" s="2739"/>
      <c r="X105" s="2740"/>
      <c r="Y105" s="2741"/>
      <c r="Z105" s="2742"/>
      <c r="AA105" s="2740"/>
      <c r="AB105" s="2743"/>
      <c r="AC105" s="2740"/>
      <c r="AD105" s="2744"/>
      <c r="AE105" s="2740"/>
      <c r="AF105" s="2745"/>
      <c r="AG105" s="1876"/>
      <c r="AH105" s="2587"/>
      <c r="AI105" s="2634"/>
      <c r="AJ105" s="2634"/>
      <c r="AK105" s="2598" t="s">
        <v>429</v>
      </c>
      <c r="AL105" s="2598" t="s">
        <v>429</v>
      </c>
      <c r="AM105" s="2598" t="s">
        <v>429</v>
      </c>
      <c r="AN105" s="2598" t="s">
        <v>429</v>
      </c>
      <c r="AO105" s="2634"/>
      <c r="AP105" s="2587"/>
    </row>
    <row r="106" spans="1:42" ht="15.75" customHeight="1" x14ac:dyDescent="0.25">
      <c r="A106" s="2924"/>
      <c r="B106" s="2914" t="s">
        <v>714</v>
      </c>
      <c r="C106" s="2914"/>
      <c r="D106" s="2914" t="s">
        <v>1064</v>
      </c>
      <c r="E106" s="2736"/>
      <c r="F106" s="2684">
        <f>'exchange rates'!$M$23</f>
        <v>0.92093999999999998</v>
      </c>
      <c r="G106" s="325">
        <f>48.8/F106</f>
        <v>52.989336981779488</v>
      </c>
      <c r="H106" s="326">
        <f>100/F106</f>
        <v>108.58470692987599</v>
      </c>
      <c r="I106" s="327">
        <f>80/F106</f>
        <v>86.867765543900802</v>
      </c>
      <c r="J106" s="561"/>
      <c r="K106" s="313">
        <f>Tabel668926[[#This Row],[Fix.ch. 2017]]+Tabel668926[[#This Row],[Var. ch. 2017]]+Tabel668926[[#This Row],[Oth. ch. DW 2017]]+Tabel668926[[#This Row],[VAT DW 2017]]</f>
        <v>248.44180945555627</v>
      </c>
      <c r="L106" s="328">
        <f>118/F106</f>
        <v>128.12995417725367</v>
      </c>
      <c r="M106" s="1097"/>
      <c r="N106" s="329">
        <v>0</v>
      </c>
      <c r="O106" s="561"/>
      <c r="P106" s="330">
        <f>0/F106</f>
        <v>0</v>
      </c>
      <c r="Q106" s="561"/>
      <c r="R106" s="2657">
        <f>Tabel668926[[#This Row],[VAT DW 2017]]+Tabel668926[[#This Row],[VAT Sew. 2017]]+Tabel668926[[#This Row],[VAT WW 2017]]+Tabel668926[[#This Row],[VAT Other ch. 2017]]</f>
        <v>0</v>
      </c>
      <c r="S106" s="318">
        <f>Tabel668926[[#This Row],[Total. ch. DW 2017]]+Tabel668926[[#This Row],[Sew. 2017]]+Tabel668926[[#This Row],[VAT Sew. 2017]]+Tabel668926[[#This Row],[WW 2017]]+Tabel668926[[#This Row],[VAT WW 2017]]+Tabel668926[[#This Row],[Other ch. 2017]]+Tabel668926[[#This Row],[VAT Other ch. 2017]]</f>
        <v>376.57176363280996</v>
      </c>
      <c r="T106" s="2587"/>
      <c r="U106" s="2737"/>
      <c r="V106" s="2738"/>
      <c r="W106" s="2739"/>
      <c r="X106" s="2740"/>
      <c r="Y106" s="2741"/>
      <c r="Z106" s="2742"/>
      <c r="AA106" s="2740"/>
      <c r="AB106" s="2743"/>
      <c r="AC106" s="2740"/>
      <c r="AD106" s="2744"/>
      <c r="AE106" s="2740"/>
      <c r="AF106" s="2745"/>
      <c r="AG106" s="1876"/>
      <c r="AH106" s="2587"/>
      <c r="AI106" s="2634"/>
      <c r="AJ106" s="2634"/>
      <c r="AK106" s="2598" t="s">
        <v>429</v>
      </c>
      <c r="AL106" s="2598" t="s">
        <v>429</v>
      </c>
      <c r="AM106" s="2598" t="s">
        <v>429</v>
      </c>
      <c r="AN106" s="2598" t="s">
        <v>429</v>
      </c>
      <c r="AO106" s="2634"/>
      <c r="AP106" s="2587"/>
    </row>
    <row r="107" spans="1:42" ht="15.75" customHeight="1" x14ac:dyDescent="0.25">
      <c r="A107" s="2924"/>
      <c r="B107" s="2914" t="s">
        <v>715</v>
      </c>
      <c r="C107" s="2914" t="s">
        <v>429</v>
      </c>
      <c r="D107" s="2914" t="s">
        <v>1064</v>
      </c>
      <c r="E107" s="2736"/>
      <c r="F107" s="2684">
        <f>'exchange rates'!$M$23</f>
        <v>0.92093999999999998</v>
      </c>
      <c r="G107" s="325">
        <f>12/F107</f>
        <v>13.03016483158512</v>
      </c>
      <c r="H107" s="326">
        <f>437.92/F107</f>
        <v>475.514148587313</v>
      </c>
      <c r="I107" s="327">
        <f>0/F107</f>
        <v>0</v>
      </c>
      <c r="J107" s="561"/>
      <c r="K107" s="313">
        <f>Tabel668926[[#This Row],[Fix.ch. 2017]]+Tabel668926[[#This Row],[Var. ch. 2017]]+Tabel668926[[#This Row],[Oth. ch. DW 2017]]+Tabel668926[[#This Row],[VAT DW 2017]]</f>
        <v>488.54431341889813</v>
      </c>
      <c r="L107" s="328">
        <f>328.44/F107</f>
        <v>356.63561144048475</v>
      </c>
      <c r="M107" s="1097"/>
      <c r="N107" s="329">
        <v>0</v>
      </c>
      <c r="O107" s="561"/>
      <c r="P107" s="330">
        <f>0/F107</f>
        <v>0</v>
      </c>
      <c r="Q107" s="561"/>
      <c r="R107" s="2657">
        <f>Tabel668926[[#This Row],[VAT DW 2017]]+Tabel668926[[#This Row],[VAT Sew. 2017]]+Tabel668926[[#This Row],[VAT WW 2017]]+Tabel668926[[#This Row],[VAT Other ch. 2017]]</f>
        <v>0</v>
      </c>
      <c r="S107" s="318">
        <f>Tabel668926[[#This Row],[Total. ch. DW 2017]]+Tabel668926[[#This Row],[Sew. 2017]]+Tabel668926[[#This Row],[VAT Sew. 2017]]+Tabel668926[[#This Row],[WW 2017]]+Tabel668926[[#This Row],[VAT WW 2017]]+Tabel668926[[#This Row],[Other ch. 2017]]+Tabel668926[[#This Row],[VAT Other ch. 2017]]</f>
        <v>845.17992485938294</v>
      </c>
      <c r="T107" s="2587"/>
      <c r="U107" s="2737"/>
      <c r="V107" s="2738"/>
      <c r="W107" s="2739"/>
      <c r="X107" s="2740"/>
      <c r="Y107" s="2741"/>
      <c r="Z107" s="2742"/>
      <c r="AA107" s="2740"/>
      <c r="AB107" s="2743"/>
      <c r="AC107" s="2740"/>
      <c r="AD107" s="2744"/>
      <c r="AE107" s="2740"/>
      <c r="AF107" s="2745"/>
      <c r="AG107" s="1876"/>
      <c r="AH107" s="2587"/>
      <c r="AI107" s="2634"/>
      <c r="AJ107" s="2634"/>
      <c r="AK107" s="2598" t="s">
        <v>429</v>
      </c>
      <c r="AL107" s="2598" t="s">
        <v>429</v>
      </c>
      <c r="AM107" s="2598" t="s">
        <v>429</v>
      </c>
      <c r="AN107" s="2598" t="s">
        <v>429</v>
      </c>
      <c r="AO107" s="2634"/>
      <c r="AP107" s="2587"/>
    </row>
    <row r="108" spans="1:42" ht="15.75" customHeight="1" thickBot="1" x14ac:dyDescent="0.3">
      <c r="A108" s="2925"/>
      <c r="B108" s="2926" t="s">
        <v>716</v>
      </c>
      <c r="C108" s="2914"/>
      <c r="D108" s="2747" t="s">
        <v>1064</v>
      </c>
      <c r="E108" s="2927"/>
      <c r="F108" s="2684">
        <f>'exchange rates'!$M$23</f>
        <v>0.92093999999999998</v>
      </c>
      <c r="G108" s="325">
        <f>24/F108</f>
        <v>26.06032966317024</v>
      </c>
      <c r="H108" s="326">
        <f>132.6/F108</f>
        <v>143.98332138901557</v>
      </c>
      <c r="I108" s="327">
        <f>0/F108</f>
        <v>0</v>
      </c>
      <c r="J108" s="561"/>
      <c r="K108" s="313">
        <f>Tabel668926[[#This Row],[Fix.ch. 2017]]+Tabel668926[[#This Row],[Var. ch. 2017]]+Tabel668926[[#This Row],[Oth. ch. DW 2017]]+Tabel668926[[#This Row],[VAT DW 2017]]</f>
        <v>170.04365105218582</v>
      </c>
      <c r="L108" s="328">
        <f>106.08/F108</f>
        <v>115.18665711121245</v>
      </c>
      <c r="M108" s="1097"/>
      <c r="N108" s="329">
        <v>0</v>
      </c>
      <c r="O108" s="561"/>
      <c r="P108" s="330">
        <f>14/F108</f>
        <v>15.20185897018264</v>
      </c>
      <c r="Q108" s="561"/>
      <c r="R108" s="2657">
        <f>Tabel668926[[#This Row],[VAT DW 2017]]+Tabel668926[[#This Row],[VAT Sew. 2017]]+Tabel668926[[#This Row],[VAT WW 2017]]+Tabel668926[[#This Row],[VAT Other ch. 2017]]</f>
        <v>0</v>
      </c>
      <c r="S108" s="318">
        <f>Tabel668926[[#This Row],[Total. ch. DW 2017]]+Tabel668926[[#This Row],[Sew. 2017]]+Tabel668926[[#This Row],[VAT Sew. 2017]]+Tabel668926[[#This Row],[WW 2017]]+Tabel668926[[#This Row],[VAT WW 2017]]+Tabel668926[[#This Row],[Other ch. 2017]]+Tabel668926[[#This Row],[VAT Other ch. 2017]]</f>
        <v>300.43216713358089</v>
      </c>
      <c r="T108" s="2587"/>
      <c r="U108" s="2928"/>
      <c r="V108" s="2929"/>
      <c r="W108" s="2930"/>
      <c r="X108" s="2752"/>
      <c r="Y108" s="2931"/>
      <c r="Z108" s="2932"/>
      <c r="AA108" s="2752"/>
      <c r="AB108" s="2933"/>
      <c r="AC108" s="2752"/>
      <c r="AD108" s="2934"/>
      <c r="AE108" s="2752"/>
      <c r="AF108" s="2935"/>
      <c r="AG108" s="1995"/>
      <c r="AH108" s="2587"/>
      <c r="AI108" s="2634"/>
      <c r="AJ108" s="2634"/>
      <c r="AK108" s="2598" t="s">
        <v>429</v>
      </c>
      <c r="AL108" s="2598" t="s">
        <v>429</v>
      </c>
      <c r="AM108" s="2598" t="s">
        <v>429</v>
      </c>
      <c r="AN108" s="2598" t="s">
        <v>429</v>
      </c>
      <c r="AO108" s="2634"/>
      <c r="AP108" s="2587"/>
    </row>
    <row r="109" spans="1:42" ht="15.75" customHeight="1" x14ac:dyDescent="0.25">
      <c r="A109" s="2687" t="s">
        <v>45</v>
      </c>
      <c r="B109" s="2865" t="s">
        <v>102</v>
      </c>
      <c r="C109" s="2837" t="s">
        <v>429</v>
      </c>
      <c r="D109" s="2689" t="s">
        <v>1066</v>
      </c>
      <c r="E109" s="2870">
        <v>28900</v>
      </c>
      <c r="F109" s="2577">
        <f>'exchange rates'!$O$24</f>
        <v>258.86743000000001</v>
      </c>
      <c r="G109" s="2895">
        <f>1700/F109</f>
        <v>6.5670679389832856</v>
      </c>
      <c r="H109" s="2896">
        <f>34480/F109</f>
        <v>133.19558972714333</v>
      </c>
      <c r="I109" s="2897">
        <v>0</v>
      </c>
      <c r="J109" s="2898">
        <f>9768.6/F109</f>
        <v>37.735917569854188</v>
      </c>
      <c r="K109" s="566">
        <f>Tabel668926[[#This Row],[Fix.ch. 2017]]+Tabel668926[[#This Row],[Var. ch. 2017]]+Tabel668926[[#This Row],[Oth. ch. DW 2017]]+Tabel668926[[#This Row],[VAT DW 2017]]</f>
        <v>177.49857523598081</v>
      </c>
      <c r="L109" s="2899">
        <f>914/F109</f>
        <v>3.5307647624886607</v>
      </c>
      <c r="M109" s="2900">
        <f>246.78/F109</f>
        <v>0.95330648587193834</v>
      </c>
      <c r="N109" s="2901">
        <f>59132/F109</f>
        <v>228.42580080468213</v>
      </c>
      <c r="O109" s="2898">
        <f>15965.64/F109</f>
        <v>61.674966217264178</v>
      </c>
      <c r="P109" s="2902">
        <v>0</v>
      </c>
      <c r="Q109" s="2898">
        <f>0</f>
        <v>0</v>
      </c>
      <c r="R109" s="2586">
        <f>Tabel668926[[#This Row],[VAT DW 2017]]+Tabel668926[[#This Row],[VAT Sew. 2017]]+Tabel668926[[#This Row],[VAT WW 2017]]+Tabel668926[[#This Row],[VAT Other ch. 2017]]</f>
        <v>100.3641902729903</v>
      </c>
      <c r="S109" s="571">
        <f>Tabel668926[[#This Row],[Total. ch. DW 2017]]+Tabel668926[[#This Row],[Sew. 2017]]+Tabel668926[[#This Row],[VAT Sew. 2017]]+Tabel668926[[#This Row],[WW 2017]]+Tabel668926[[#This Row],[VAT WW 2017]]+Tabel668926[[#This Row],[Other ch. 2017]]+Tabel668926[[#This Row],[VAT Other ch. 2017]]</f>
        <v>472.08341350628774</v>
      </c>
      <c r="T109" s="2587"/>
      <c r="U109" s="2674">
        <f>MEDIAN(G109:G113)</f>
        <v>0</v>
      </c>
      <c r="V109" s="2675">
        <f>MEDIAN(H109:H113)</f>
        <v>189.2088162655302</v>
      </c>
      <c r="W109" s="2676">
        <f>MEDIAN(I109:I113)</f>
        <v>0</v>
      </c>
      <c r="X109" s="2815">
        <f>MEDIAN(J109:J113)</f>
        <v>51.966676534008158</v>
      </c>
      <c r="Y109" s="2677">
        <f>SUM(U109:X113)</f>
        <v>241.17549279953835</v>
      </c>
      <c r="Z109" s="2678">
        <f t="shared" ref="Z109:AF109" si="13">MEDIAN(L109:L113)</f>
        <v>3.2989858940539563</v>
      </c>
      <c r="AA109" s="2815">
        <f t="shared" si="13"/>
        <v>0.89072619139456821</v>
      </c>
      <c r="AB109" s="2679">
        <f t="shared" si="13"/>
        <v>150.42448561412303</v>
      </c>
      <c r="AC109" s="2815">
        <f t="shared" si="13"/>
        <v>40.614611115813211</v>
      </c>
      <c r="AD109" s="2680">
        <f t="shared" si="13"/>
        <v>0</v>
      </c>
      <c r="AE109" s="2815">
        <f t="shared" si="13"/>
        <v>0</v>
      </c>
      <c r="AF109" s="2681">
        <f t="shared" si="13"/>
        <v>95.159595782289017</v>
      </c>
      <c r="AG109" s="1817">
        <f>Y109+Z109+AA109+AB109+AC109+AD109+AE109</f>
        <v>436.4043016149231</v>
      </c>
      <c r="AH109" s="2587"/>
      <c r="AI109" s="2634"/>
      <c r="AJ109" s="2634"/>
      <c r="AK109" s="2634"/>
      <c r="AL109" s="2634"/>
      <c r="AM109" s="2597" t="s">
        <v>429</v>
      </c>
      <c r="AN109" s="2634"/>
      <c r="AO109" s="2634"/>
      <c r="AP109" s="2587"/>
    </row>
    <row r="110" spans="1:42" ht="15.75" customHeight="1" x14ac:dyDescent="0.25">
      <c r="A110" s="2691"/>
      <c r="B110" s="2868" t="s">
        <v>103</v>
      </c>
      <c r="C110" s="2837"/>
      <c r="D110" s="2689" t="s">
        <v>1066</v>
      </c>
      <c r="E110" s="2600"/>
      <c r="F110" s="2577">
        <f>'exchange rates'!$O$24</f>
        <v>258.86743000000001</v>
      </c>
      <c r="G110" s="2895">
        <f>1231/F110</f>
        <v>4.7553297840520141</v>
      </c>
      <c r="H110" s="2896">
        <f>48980/F110</f>
        <v>189.2088162655302</v>
      </c>
      <c r="I110" s="2897">
        <v>0</v>
      </c>
      <c r="J110" s="2898">
        <f>13556.97/F110</f>
        <v>52.370319433387195</v>
      </c>
      <c r="K110" s="566">
        <f>Tabel668926[[#This Row],[Fix.ch. 2017]]+Tabel668926[[#This Row],[Var. ch. 2017]]+Tabel668926[[#This Row],[Oth. ch. DW 2017]]+Tabel668926[[#This Row],[VAT DW 2017]]</f>
        <v>246.33446548296939</v>
      </c>
      <c r="L110" s="2899">
        <f>854/F110</f>
        <v>3.2989858940539563</v>
      </c>
      <c r="M110" s="2900">
        <f>230.58/F110</f>
        <v>0.89072619139456821</v>
      </c>
      <c r="N110" s="2901">
        <f>38940/F110</f>
        <v>150.42448561412303</v>
      </c>
      <c r="O110" s="2898">
        <f>10513.8/F110</f>
        <v>40.614611115813211</v>
      </c>
      <c r="P110" s="2902">
        <f>1231/F110</f>
        <v>4.7553297840520141</v>
      </c>
      <c r="Q110" s="2898">
        <f>332.37/F110</f>
        <v>1.2839390416940439</v>
      </c>
      <c r="R110" s="2586">
        <f>Tabel668926[[#This Row],[VAT DW 2017]]+Tabel668926[[#This Row],[VAT Sew. 2017]]+Tabel668926[[#This Row],[VAT WW 2017]]+Tabel668926[[#This Row],[VAT Other ch. 2017]]</f>
        <v>95.159595782289017</v>
      </c>
      <c r="S110" s="571">
        <f>Tabel668926[[#This Row],[Total. ch. DW 2017]]+Tabel668926[[#This Row],[Sew. 2017]]+Tabel668926[[#This Row],[VAT Sew. 2017]]+Tabel668926[[#This Row],[WW 2017]]+Tabel668926[[#This Row],[VAT WW 2017]]+Tabel668926[[#This Row],[Other ch. 2017]]+Tabel668926[[#This Row],[VAT Other ch. 2017]]</f>
        <v>447.60254312410024</v>
      </c>
      <c r="T110" s="2587"/>
      <c r="U110" s="2601"/>
      <c r="V110" s="2602"/>
      <c r="W110" s="2603"/>
      <c r="X110" s="2604"/>
      <c r="Y110" s="2605"/>
      <c r="Z110" s="2606"/>
      <c r="AA110" s="2604"/>
      <c r="AB110" s="2607"/>
      <c r="AC110" s="2604"/>
      <c r="AD110" s="2608"/>
      <c r="AE110" s="2604"/>
      <c r="AF110" s="2609"/>
      <c r="AG110" s="1791"/>
      <c r="AH110" s="2587"/>
      <c r="AI110" s="2634"/>
      <c r="AJ110" s="2634"/>
      <c r="AK110" s="2634"/>
      <c r="AL110" s="2634"/>
      <c r="AM110" s="2597" t="s">
        <v>429</v>
      </c>
      <c r="AN110" s="2634"/>
      <c r="AO110" s="2634"/>
      <c r="AP110" s="2587"/>
    </row>
    <row r="111" spans="1:42" ht="15.75" customHeight="1" x14ac:dyDescent="0.25">
      <c r="A111" s="2691"/>
      <c r="B111" s="2868" t="s">
        <v>104</v>
      </c>
      <c r="C111" s="2837"/>
      <c r="D111" s="2689" t="s">
        <v>1066</v>
      </c>
      <c r="E111" s="2600"/>
      <c r="F111" s="2577">
        <f>'exchange rates'!$O$24</f>
        <v>258.86743000000001</v>
      </c>
      <c r="G111" s="2895">
        <v>0</v>
      </c>
      <c r="H111" s="2896">
        <f>49824/F111</f>
        <v>192.46917234817835</v>
      </c>
      <c r="I111" s="2897">
        <v>0</v>
      </c>
      <c r="J111" s="2898">
        <f>13452.48/F111</f>
        <v>51.966676534008158</v>
      </c>
      <c r="K111" s="566">
        <f>Tabel668926[[#This Row],[Fix.ch. 2017]]+Tabel668926[[#This Row],[Var. ch. 2017]]+Tabel668926[[#This Row],[Oth. ch. DW 2017]]+Tabel668926[[#This Row],[VAT DW 2017]]</f>
        <v>244.43584888218652</v>
      </c>
      <c r="L111" s="2899">
        <v>0</v>
      </c>
      <c r="M111" s="2900">
        <v>0</v>
      </c>
      <c r="N111" s="2901">
        <f>38322/F111</f>
        <v>148.03716326924555</v>
      </c>
      <c r="O111" s="2898">
        <f>10346.94/F111</f>
        <v>39.970034082696309</v>
      </c>
      <c r="P111" s="2902">
        <v>0</v>
      </c>
      <c r="Q111" s="2898">
        <v>0</v>
      </c>
      <c r="R111" s="2586">
        <f>Tabel668926[[#This Row],[VAT DW 2017]]+Tabel668926[[#This Row],[VAT Sew. 2017]]+Tabel668926[[#This Row],[VAT WW 2017]]+Tabel668926[[#This Row],[VAT Other ch. 2017]]</f>
        <v>91.93671061670446</v>
      </c>
      <c r="S111" s="571">
        <f>Tabel668926[[#This Row],[Total. ch. DW 2017]]+Tabel668926[[#This Row],[Sew. 2017]]+Tabel668926[[#This Row],[VAT Sew. 2017]]+Tabel668926[[#This Row],[WW 2017]]+Tabel668926[[#This Row],[VAT WW 2017]]+Tabel668926[[#This Row],[Other ch. 2017]]+Tabel668926[[#This Row],[VAT Other ch. 2017]]</f>
        <v>432.44304623412836</v>
      </c>
      <c r="T111" s="2587"/>
      <c r="U111" s="2601"/>
      <c r="V111" s="2602"/>
      <c r="W111" s="2603"/>
      <c r="X111" s="2604"/>
      <c r="Y111" s="2605"/>
      <c r="Z111" s="2606"/>
      <c r="AA111" s="2604"/>
      <c r="AB111" s="2607"/>
      <c r="AC111" s="2604"/>
      <c r="AD111" s="2608"/>
      <c r="AE111" s="2604"/>
      <c r="AF111" s="2609"/>
      <c r="AG111" s="1791"/>
      <c r="AH111" s="2587"/>
      <c r="AI111" s="2634"/>
      <c r="AJ111" s="2634"/>
      <c r="AK111" s="2634"/>
      <c r="AL111" s="2634"/>
      <c r="AM111" s="2634"/>
      <c r="AN111" s="2634"/>
      <c r="AO111" s="2634"/>
      <c r="AP111" s="2587"/>
    </row>
    <row r="112" spans="1:42" ht="15.75" customHeight="1" x14ac:dyDescent="0.25">
      <c r="A112" s="2691"/>
      <c r="B112" s="2936" t="s">
        <v>105</v>
      </c>
      <c r="C112" s="2837"/>
      <c r="D112" s="2689" t="s">
        <v>1066</v>
      </c>
      <c r="E112" s="2600"/>
      <c r="F112" s="2577">
        <f>'exchange rates'!$O$24</f>
        <v>258.86743000000001</v>
      </c>
      <c r="G112" s="2895">
        <v>0</v>
      </c>
      <c r="H112" s="2896">
        <f>68000/F112</f>
        <v>262.68271755933142</v>
      </c>
      <c r="I112" s="2897">
        <v>0</v>
      </c>
      <c r="J112" s="2898">
        <f>18360/F112</f>
        <v>70.924333741019481</v>
      </c>
      <c r="K112" s="566">
        <f>Tabel668926[[#This Row],[Fix.ch. 2017]]+Tabel668926[[#This Row],[Var. ch. 2017]]+Tabel668926[[#This Row],[Oth. ch. DW 2017]]+Tabel668926[[#This Row],[VAT DW 2017]]</f>
        <v>333.60705130035092</v>
      </c>
      <c r="L112" s="2899">
        <f>800/F112</f>
        <v>3.0903849124627225</v>
      </c>
      <c r="M112" s="2900">
        <f>216/F112</f>
        <v>0.8344039263649351</v>
      </c>
      <c r="N112" s="2901">
        <f>49600/F112</f>
        <v>191.60386457268879</v>
      </c>
      <c r="O112" s="2898">
        <f>13392/F112</f>
        <v>51.733043434625976</v>
      </c>
      <c r="P112" s="2902">
        <v>0</v>
      </c>
      <c r="Q112" s="2898">
        <v>0</v>
      </c>
      <c r="R112" s="2586">
        <f>Tabel668926[[#This Row],[VAT DW 2017]]+Tabel668926[[#This Row],[VAT Sew. 2017]]+Tabel668926[[#This Row],[VAT WW 2017]]+Tabel668926[[#This Row],[VAT Other ch. 2017]]</f>
        <v>123.49178110201041</v>
      </c>
      <c r="S112" s="571">
        <f>Tabel668926[[#This Row],[Total. ch. DW 2017]]+Tabel668926[[#This Row],[Sew. 2017]]+Tabel668926[[#This Row],[VAT Sew. 2017]]+Tabel668926[[#This Row],[WW 2017]]+Tabel668926[[#This Row],[VAT WW 2017]]+Tabel668926[[#This Row],[Other ch. 2017]]+Tabel668926[[#This Row],[VAT Other ch. 2017]]</f>
        <v>580.86874814649332</v>
      </c>
      <c r="T112" s="2587"/>
      <c r="U112" s="2601"/>
      <c r="V112" s="2602"/>
      <c r="W112" s="2603"/>
      <c r="X112" s="2604"/>
      <c r="Y112" s="2605"/>
      <c r="Z112" s="2606"/>
      <c r="AA112" s="2604"/>
      <c r="AB112" s="2607"/>
      <c r="AC112" s="2604"/>
      <c r="AD112" s="2608"/>
      <c r="AE112" s="2604"/>
      <c r="AF112" s="2609"/>
      <c r="AG112" s="1791"/>
      <c r="AH112" s="2587"/>
      <c r="AI112" s="2634"/>
      <c r="AJ112" s="2634"/>
      <c r="AK112" s="2634"/>
      <c r="AL112" s="2634"/>
      <c r="AM112" s="2634"/>
      <c r="AN112" s="2634"/>
      <c r="AO112" s="2634"/>
      <c r="AP112" s="2587"/>
    </row>
    <row r="113" spans="1:42" ht="15.75" customHeight="1" thickBot="1" x14ac:dyDescent="0.3">
      <c r="A113" s="2694"/>
      <c r="B113" s="2937" t="s">
        <v>613</v>
      </c>
      <c r="C113" s="2837"/>
      <c r="D113" s="2689" t="s">
        <v>1066</v>
      </c>
      <c r="E113" s="2938"/>
      <c r="F113" s="2577">
        <f>'exchange rates'!$O$24</f>
        <v>258.86743000000001</v>
      </c>
      <c r="G113" s="2895">
        <v>0</v>
      </c>
      <c r="H113" s="2896">
        <f>43560/F113</f>
        <v>168.27145848359524</v>
      </c>
      <c r="I113" s="2897">
        <v>0</v>
      </c>
      <c r="J113" s="2898">
        <f>11761.2/F113</f>
        <v>45.433293790570715</v>
      </c>
      <c r="K113" s="566">
        <f>Tabel668926[[#This Row],[Fix.ch. 2017]]+Tabel668926[[#This Row],[Var. ch. 2017]]+Tabel668926[[#This Row],[Oth. ch. DW 2017]]+Tabel668926[[#This Row],[VAT DW 2017]]</f>
        <v>213.70475227416597</v>
      </c>
      <c r="L113" s="2899">
        <f>1260/F113</f>
        <v>4.8673562371287877</v>
      </c>
      <c r="M113" s="2900">
        <f>340.2/F113</f>
        <v>1.3141861840247728</v>
      </c>
      <c r="N113" s="2901">
        <f>26460/F113</f>
        <v>102.21448097970455</v>
      </c>
      <c r="O113" s="2898">
        <f>7144.2/F113</f>
        <v>27.597909864520229</v>
      </c>
      <c r="P113" s="2902">
        <v>0</v>
      </c>
      <c r="Q113" s="2898">
        <v>0</v>
      </c>
      <c r="R113" s="2586">
        <f>Tabel668926[[#This Row],[VAT DW 2017]]+Tabel668926[[#This Row],[VAT Sew. 2017]]+Tabel668926[[#This Row],[VAT WW 2017]]+Tabel668926[[#This Row],[VAT Other ch. 2017]]</f>
        <v>74.345389839115711</v>
      </c>
      <c r="S113" s="571">
        <f>Tabel668926[[#This Row],[Total. ch. DW 2017]]+Tabel668926[[#This Row],[Sew. 2017]]+Tabel668926[[#This Row],[VAT Sew. 2017]]+Tabel668926[[#This Row],[WW 2017]]+Tabel668926[[#This Row],[VAT WW 2017]]+Tabel668926[[#This Row],[Other ch. 2017]]+Tabel668926[[#This Row],[VAT Other ch. 2017]]</f>
        <v>349.69868553954427</v>
      </c>
      <c r="T113" s="2587"/>
      <c r="U113" s="2939"/>
      <c r="V113" s="2940"/>
      <c r="W113" s="2941"/>
      <c r="X113" s="2615"/>
      <c r="Y113" s="2942"/>
      <c r="Z113" s="2943"/>
      <c r="AA113" s="2615"/>
      <c r="AB113" s="2944"/>
      <c r="AC113" s="2615"/>
      <c r="AD113" s="2945"/>
      <c r="AE113" s="2615"/>
      <c r="AF113" s="2946"/>
      <c r="AG113" s="2002"/>
      <c r="AH113" s="2587"/>
      <c r="AI113" s="2634"/>
      <c r="AJ113" s="2634"/>
      <c r="AK113" s="2634"/>
      <c r="AL113" s="2634"/>
      <c r="AM113" s="2634"/>
      <c r="AN113" s="2634"/>
      <c r="AO113" s="2634"/>
      <c r="AP113" s="2587"/>
    </row>
    <row r="114" spans="1:42" ht="15.75" customHeight="1" thickBot="1" x14ac:dyDescent="0.3">
      <c r="A114" s="2947" t="s">
        <v>754</v>
      </c>
      <c r="B114" s="2948" t="s">
        <v>755</v>
      </c>
      <c r="C114" s="2949"/>
      <c r="D114" s="2772" t="s">
        <v>1068</v>
      </c>
      <c r="E114" s="2950">
        <v>46600</v>
      </c>
      <c r="F114" s="2684">
        <f>'exchange rates'!M25</f>
        <v>130.32431</v>
      </c>
      <c r="G114" s="325"/>
      <c r="H114" s="326"/>
      <c r="I114" s="327"/>
      <c r="J114" s="561"/>
      <c r="K114" s="313">
        <f>Tabel668926[[#This Row],[Fix.ch. 2017]]+Tabel668926[[#This Row],[Var. ch. 2017]]+Tabel668926[[#This Row],[Oth. ch. DW 2017]]+Tabel668926[[#This Row],[VAT DW 2017]]</f>
        <v>0</v>
      </c>
      <c r="L114" s="328"/>
      <c r="M114" s="1097"/>
      <c r="N114" s="329"/>
      <c r="O114" s="561"/>
      <c r="P114" s="330"/>
      <c r="Q114" s="561"/>
      <c r="R114" s="2657">
        <f>Tabel668926[[#This Row],[VAT DW 2017]]+Tabel668926[[#This Row],[VAT Sew. 2017]]+Tabel668926[[#This Row],[VAT WW 2017]]+Tabel668926[[#This Row],[VAT Other ch. 2017]]</f>
        <v>0</v>
      </c>
      <c r="S114" s="318">
        <f>Tabel668926[[#This Row],[Total. ch. DW 2017]]+Tabel668926[[#This Row],[Sew. 2017]]+Tabel668926[[#This Row],[VAT Sew. 2017]]+Tabel668926[[#This Row],[WW 2017]]+Tabel668926[[#This Row],[VAT WW 2017]]+Tabel668926[[#This Row],[Other ch. 2017]]+Tabel668926[[#This Row],[VAT Other ch. 2017]]</f>
        <v>0</v>
      </c>
      <c r="T114" s="2587"/>
      <c r="U114" s="2774"/>
      <c r="V114" s="2775"/>
      <c r="W114" s="2776"/>
      <c r="X114" s="2740"/>
      <c r="Y114" s="2777"/>
      <c r="Z114" s="2778"/>
      <c r="AA114" s="2740"/>
      <c r="AB114" s="2779"/>
      <c r="AC114" s="2740"/>
      <c r="AD114" s="2780"/>
      <c r="AE114" s="2740"/>
      <c r="AF114" s="2781"/>
      <c r="AG114" s="1723"/>
      <c r="AH114" s="2587"/>
      <c r="AI114" s="2634"/>
      <c r="AJ114" s="2634"/>
      <c r="AK114" s="2634"/>
      <c r="AL114" s="2634"/>
      <c r="AM114" s="2634"/>
      <c r="AN114" s="2634"/>
      <c r="AO114" s="2634"/>
      <c r="AP114" s="2587"/>
    </row>
    <row r="115" spans="1:42" ht="15.75" customHeight="1" x14ac:dyDescent="0.25">
      <c r="A115" s="2722" t="s">
        <v>466</v>
      </c>
      <c r="B115" s="2951" t="s">
        <v>606</v>
      </c>
      <c r="C115" s="2949" t="s">
        <v>429</v>
      </c>
      <c r="D115" s="2785" t="s">
        <v>1070</v>
      </c>
      <c r="E115" s="2952">
        <v>12800</v>
      </c>
      <c r="F115" s="2883">
        <f>'exchange rates'!K28</f>
        <v>11241.536700000001</v>
      </c>
      <c r="G115" s="325">
        <f>0</f>
        <v>0</v>
      </c>
      <c r="H115" s="326">
        <f>466512/F115</f>
        <v>41.498952718804006</v>
      </c>
      <c r="I115" s="327">
        <v>0</v>
      </c>
      <c r="J115" s="561"/>
      <c r="K115" s="313">
        <f>Tabel668926[[#This Row],[Fix.ch. 2017]]+Tabel668926[[#This Row],[Var. ch. 2017]]+Tabel668926[[#This Row],[Oth. ch. DW 2017]]+Tabel668926[[#This Row],[VAT DW 2017]]</f>
        <v>41.498952718804006</v>
      </c>
      <c r="L115" s="328">
        <f>71496/F115</f>
        <v>6.3599845739951189</v>
      </c>
      <c r="M115" s="1097"/>
      <c r="N115" s="329">
        <v>0</v>
      </c>
      <c r="O115" s="561"/>
      <c r="P115" s="330">
        <v>0</v>
      </c>
      <c r="Q115" s="561"/>
      <c r="R115" s="2657">
        <f>Tabel668926[[#This Row],[VAT DW 2017]]+Tabel668926[[#This Row],[VAT Sew. 2017]]+Tabel668926[[#This Row],[VAT WW 2017]]+Tabel668926[[#This Row],[VAT Other ch. 2017]]</f>
        <v>0</v>
      </c>
      <c r="S115" s="318">
        <f>Tabel668926[[#This Row],[Total. ch. DW 2017]]+Tabel668926[[#This Row],[Sew. 2017]]+Tabel668926[[#This Row],[VAT Sew. 2017]]+Tabel668926[[#This Row],[WW 2017]]+Tabel668926[[#This Row],[VAT WW 2017]]+Tabel668926[[#This Row],[Other ch. 2017]]+Tabel668926[[#This Row],[VAT Other ch. 2017]]</f>
        <v>47.858937292799126</v>
      </c>
      <c r="T115" s="2587"/>
      <c r="U115" s="2953">
        <f>SUM(G115:G119)/5</f>
        <v>0</v>
      </c>
      <c r="V115" s="2954">
        <f>SUM(H115:H119)/5</f>
        <v>37.034153880403203</v>
      </c>
      <c r="W115" s="2955">
        <f>SUM(I115:I119)/5</f>
        <v>0</v>
      </c>
      <c r="X115" s="2729"/>
      <c r="Y115" s="2956">
        <f>SUM(K115:K119)/5</f>
        <v>37.034153880403203</v>
      </c>
      <c r="Z115" s="2957">
        <f>SUM(L115:L119)/5</f>
        <v>6.3599845739951189</v>
      </c>
      <c r="AA115" s="2729"/>
      <c r="AB115" s="2958">
        <f>SUM(N115:N119)/5</f>
        <v>0</v>
      </c>
      <c r="AC115" s="2729"/>
      <c r="AD115" s="2959">
        <f>SUM(P115:P119)/5</f>
        <v>0</v>
      </c>
      <c r="AE115" s="2729"/>
      <c r="AF115" s="2960">
        <f t="shared" ref="AF115:AG115" si="14">SUM(R115:R119)/5</f>
        <v>0</v>
      </c>
      <c r="AG115" s="2037">
        <f t="shared" si="14"/>
        <v>43.394138454398316</v>
      </c>
      <c r="AH115" s="2587"/>
      <c r="AI115" s="2634"/>
      <c r="AJ115" s="2634"/>
      <c r="AK115" s="2634"/>
      <c r="AL115" s="2598" t="s">
        <v>429</v>
      </c>
      <c r="AM115" s="2634"/>
      <c r="AN115" s="2634"/>
      <c r="AO115" s="2634"/>
      <c r="AP115" s="2587"/>
    </row>
    <row r="116" spans="1:42" ht="15.75" customHeight="1" x14ac:dyDescent="0.25">
      <c r="A116" s="2735"/>
      <c r="B116" s="2961" t="s">
        <v>607</v>
      </c>
      <c r="C116" s="2949"/>
      <c r="D116" s="2785" t="s">
        <v>1070</v>
      </c>
      <c r="E116" s="2736"/>
      <c r="F116" s="2883">
        <f>'exchange rates'!K28</f>
        <v>11241.536700000001</v>
      </c>
      <c r="G116" s="325">
        <f>0</f>
        <v>0</v>
      </c>
      <c r="H116" s="326">
        <f>408600/F116</f>
        <v>36.347343864473615</v>
      </c>
      <c r="I116" s="327">
        <v>0</v>
      </c>
      <c r="J116" s="561"/>
      <c r="K116" s="313">
        <f>Tabel668926[[#This Row],[Fix.ch. 2017]]+Tabel668926[[#This Row],[Var. ch. 2017]]+Tabel668926[[#This Row],[Oth. ch. DW 2017]]+Tabel668926[[#This Row],[VAT DW 2017]]</f>
        <v>36.347343864473615</v>
      </c>
      <c r="L116" s="328">
        <f>71496/F116</f>
        <v>6.3599845739951189</v>
      </c>
      <c r="M116" s="1097"/>
      <c r="N116" s="329">
        <v>0</v>
      </c>
      <c r="O116" s="561"/>
      <c r="P116" s="330">
        <v>0</v>
      </c>
      <c r="Q116" s="561"/>
      <c r="R116" s="2657">
        <f>Tabel668926[[#This Row],[VAT DW 2017]]+Tabel668926[[#This Row],[VAT Sew. 2017]]+Tabel668926[[#This Row],[VAT WW 2017]]+Tabel668926[[#This Row],[VAT Other ch. 2017]]</f>
        <v>0</v>
      </c>
      <c r="S116" s="318">
        <f>Tabel668926[[#This Row],[Total. ch. DW 2017]]+Tabel668926[[#This Row],[Sew. 2017]]+Tabel668926[[#This Row],[VAT Sew. 2017]]+Tabel668926[[#This Row],[WW 2017]]+Tabel668926[[#This Row],[VAT WW 2017]]+Tabel668926[[#This Row],[Other ch. 2017]]+Tabel668926[[#This Row],[VAT Other ch. 2017]]</f>
        <v>42.707328438468735</v>
      </c>
      <c r="T116" s="2587"/>
      <c r="U116" s="2737"/>
      <c r="V116" s="2738"/>
      <c r="W116" s="2739"/>
      <c r="X116" s="2740"/>
      <c r="Y116" s="2741"/>
      <c r="Z116" s="2742"/>
      <c r="AA116" s="2740"/>
      <c r="AB116" s="2743"/>
      <c r="AC116" s="2740"/>
      <c r="AD116" s="2744"/>
      <c r="AE116" s="2740"/>
      <c r="AF116" s="2745"/>
      <c r="AG116" s="1876"/>
      <c r="AH116" s="2587"/>
      <c r="AI116" s="2634"/>
      <c r="AJ116" s="2634"/>
      <c r="AK116" s="2634"/>
      <c r="AL116" s="2598" t="s">
        <v>429</v>
      </c>
      <c r="AM116" s="2634"/>
      <c r="AN116" s="2634"/>
      <c r="AO116" s="2634"/>
      <c r="AP116" s="2587"/>
    </row>
    <row r="117" spans="1:42" ht="15.75" customHeight="1" x14ac:dyDescent="0.25">
      <c r="A117" s="2735"/>
      <c r="B117" s="2961" t="s">
        <v>608</v>
      </c>
      <c r="C117" s="2949"/>
      <c r="D117" s="2785" t="s">
        <v>1070</v>
      </c>
      <c r="E117" s="2736"/>
      <c r="F117" s="2883">
        <f>'exchange rates'!K28</f>
        <v>11241.536700000001</v>
      </c>
      <c r="G117" s="325">
        <f>0</f>
        <v>0</v>
      </c>
      <c r="H117" s="326">
        <f>366780/F117</f>
        <v>32.62721190066479</v>
      </c>
      <c r="I117" s="327">
        <v>0</v>
      </c>
      <c r="J117" s="561"/>
      <c r="K117" s="313">
        <f>Tabel668926[[#This Row],[Fix.ch. 2017]]+Tabel668926[[#This Row],[Var. ch. 2017]]+Tabel668926[[#This Row],[Oth. ch. DW 2017]]+Tabel668926[[#This Row],[VAT DW 2017]]</f>
        <v>32.62721190066479</v>
      </c>
      <c r="L117" s="328">
        <f t="shared" ref="L117:L119" si="15">71496/F117</f>
        <v>6.3599845739951189</v>
      </c>
      <c r="M117" s="1097"/>
      <c r="N117" s="329">
        <v>0</v>
      </c>
      <c r="O117" s="561"/>
      <c r="P117" s="330">
        <v>0</v>
      </c>
      <c r="Q117" s="561"/>
      <c r="R117" s="2657">
        <f>Tabel668926[[#This Row],[VAT DW 2017]]+Tabel668926[[#This Row],[VAT Sew. 2017]]+Tabel668926[[#This Row],[VAT WW 2017]]+Tabel668926[[#This Row],[VAT Other ch. 2017]]</f>
        <v>0</v>
      </c>
      <c r="S117" s="318">
        <f>Tabel668926[[#This Row],[Total. ch. DW 2017]]+Tabel668926[[#This Row],[Sew. 2017]]+Tabel668926[[#This Row],[VAT Sew. 2017]]+Tabel668926[[#This Row],[WW 2017]]+Tabel668926[[#This Row],[VAT WW 2017]]+Tabel668926[[#This Row],[Other ch. 2017]]+Tabel668926[[#This Row],[VAT Other ch. 2017]]</f>
        <v>38.98719647465991</v>
      </c>
      <c r="T117" s="2587"/>
      <c r="U117" s="2737"/>
      <c r="V117" s="2738"/>
      <c r="W117" s="2739"/>
      <c r="X117" s="2740"/>
      <c r="Y117" s="2741"/>
      <c r="Z117" s="2742"/>
      <c r="AA117" s="2740"/>
      <c r="AB117" s="2743"/>
      <c r="AC117" s="2740"/>
      <c r="AD117" s="2744"/>
      <c r="AE117" s="2740"/>
      <c r="AF117" s="2745"/>
      <c r="AG117" s="1876"/>
      <c r="AH117" s="2587"/>
      <c r="AI117" s="2634"/>
      <c r="AJ117" s="2634"/>
      <c r="AK117" s="2634"/>
      <c r="AL117" s="2598" t="s">
        <v>429</v>
      </c>
      <c r="AM117" s="2634"/>
      <c r="AN117" s="2634"/>
      <c r="AO117" s="2634"/>
      <c r="AP117" s="2587"/>
    </row>
    <row r="118" spans="1:42" ht="15.75" customHeight="1" x14ac:dyDescent="0.25">
      <c r="A118" s="2735"/>
      <c r="B118" s="2961" t="s">
        <v>609</v>
      </c>
      <c r="C118" s="2949"/>
      <c r="D118" s="2785" t="s">
        <v>1070</v>
      </c>
      <c r="E118" s="2736"/>
      <c r="F118" s="2883">
        <f>'exchange rates'!K28</f>
        <v>11241.536700000001</v>
      </c>
      <c r="G118" s="325">
        <f>0</f>
        <v>0</v>
      </c>
      <c r="H118" s="326">
        <f>418248/F118</f>
        <v>37.205589516956344</v>
      </c>
      <c r="I118" s="327">
        <v>0</v>
      </c>
      <c r="J118" s="561"/>
      <c r="K118" s="313">
        <f>Tabel668926[[#This Row],[Fix.ch. 2017]]+Tabel668926[[#This Row],[Var. ch. 2017]]+Tabel668926[[#This Row],[Oth. ch. DW 2017]]+Tabel668926[[#This Row],[VAT DW 2017]]</f>
        <v>37.205589516956344</v>
      </c>
      <c r="L118" s="328">
        <f t="shared" si="15"/>
        <v>6.3599845739951189</v>
      </c>
      <c r="M118" s="1097"/>
      <c r="N118" s="329">
        <v>0</v>
      </c>
      <c r="O118" s="561"/>
      <c r="P118" s="330">
        <v>0</v>
      </c>
      <c r="Q118" s="561"/>
      <c r="R118" s="2657">
        <f>Tabel668926[[#This Row],[VAT DW 2017]]+Tabel668926[[#This Row],[VAT Sew. 2017]]+Tabel668926[[#This Row],[VAT WW 2017]]+Tabel668926[[#This Row],[VAT Other ch. 2017]]</f>
        <v>0</v>
      </c>
      <c r="S118" s="318">
        <f>Tabel668926[[#This Row],[Total. ch. DW 2017]]+Tabel668926[[#This Row],[Sew. 2017]]+Tabel668926[[#This Row],[VAT Sew. 2017]]+Tabel668926[[#This Row],[WW 2017]]+Tabel668926[[#This Row],[VAT WW 2017]]+Tabel668926[[#This Row],[Other ch. 2017]]+Tabel668926[[#This Row],[VAT Other ch. 2017]]</f>
        <v>43.565574090951465</v>
      </c>
      <c r="T118" s="2587"/>
      <c r="U118" s="2737"/>
      <c r="V118" s="2738"/>
      <c r="W118" s="2739"/>
      <c r="X118" s="2740"/>
      <c r="Y118" s="2741"/>
      <c r="Z118" s="2742"/>
      <c r="AA118" s="2740"/>
      <c r="AB118" s="2743"/>
      <c r="AC118" s="2740"/>
      <c r="AD118" s="2744"/>
      <c r="AE118" s="2740"/>
      <c r="AF118" s="2745"/>
      <c r="AG118" s="1876"/>
      <c r="AH118" s="2587"/>
      <c r="AI118" s="2634"/>
      <c r="AJ118" s="2634"/>
      <c r="AK118" s="2634"/>
      <c r="AL118" s="2598" t="s">
        <v>429</v>
      </c>
      <c r="AM118" s="2634"/>
      <c r="AN118" s="2634"/>
      <c r="AO118" s="2634"/>
      <c r="AP118" s="2587"/>
    </row>
    <row r="119" spans="1:42" ht="15.75" customHeight="1" thickBot="1" x14ac:dyDescent="0.3">
      <c r="A119" s="2746"/>
      <c r="B119" s="2962" t="s">
        <v>610</v>
      </c>
      <c r="C119" s="2949"/>
      <c r="D119" s="2785" t="s">
        <v>1070</v>
      </c>
      <c r="E119" s="2963"/>
      <c r="F119" s="2883">
        <f>'exchange rates'!K28</f>
        <v>11241.536700000001</v>
      </c>
      <c r="G119" s="325">
        <f>0</f>
        <v>0</v>
      </c>
      <c r="H119" s="326">
        <f>421464/F119</f>
        <v>37.491671401117252</v>
      </c>
      <c r="I119" s="327">
        <v>0</v>
      </c>
      <c r="J119" s="561"/>
      <c r="K119" s="313">
        <f>Tabel668926[[#This Row],[Fix.ch. 2017]]+Tabel668926[[#This Row],[Var. ch. 2017]]+Tabel668926[[#This Row],[Oth. ch. DW 2017]]+Tabel668926[[#This Row],[VAT DW 2017]]</f>
        <v>37.491671401117252</v>
      </c>
      <c r="L119" s="328">
        <f t="shared" si="15"/>
        <v>6.3599845739951189</v>
      </c>
      <c r="M119" s="1097"/>
      <c r="N119" s="329">
        <v>0</v>
      </c>
      <c r="O119" s="561"/>
      <c r="P119" s="330">
        <v>0</v>
      </c>
      <c r="Q119" s="561"/>
      <c r="R119" s="2657">
        <f>Tabel668926[[#This Row],[VAT DW 2017]]+Tabel668926[[#This Row],[VAT Sew. 2017]]+Tabel668926[[#This Row],[VAT WW 2017]]+Tabel668926[[#This Row],[VAT Other ch. 2017]]</f>
        <v>0</v>
      </c>
      <c r="S119" s="318">
        <f>Tabel668926[[#This Row],[Total. ch. DW 2017]]+Tabel668926[[#This Row],[Sew. 2017]]+Tabel668926[[#This Row],[VAT Sew. 2017]]+Tabel668926[[#This Row],[WW 2017]]+Tabel668926[[#This Row],[VAT WW 2017]]+Tabel668926[[#This Row],[Other ch. 2017]]+Tabel668926[[#This Row],[VAT Other ch. 2017]]</f>
        <v>43.851655975112372</v>
      </c>
      <c r="T119" s="2587"/>
      <c r="U119" s="2964"/>
      <c r="V119" s="2965"/>
      <c r="W119" s="2966"/>
      <c r="X119" s="2752"/>
      <c r="Y119" s="2967"/>
      <c r="Z119" s="2968"/>
      <c r="AA119" s="2752"/>
      <c r="AB119" s="2969"/>
      <c r="AC119" s="2752"/>
      <c r="AD119" s="2970"/>
      <c r="AE119" s="2752"/>
      <c r="AF119" s="2971"/>
      <c r="AG119" s="2038"/>
      <c r="AH119" s="2587"/>
      <c r="AI119" s="2634"/>
      <c r="AJ119" s="2634"/>
      <c r="AK119" s="2634"/>
      <c r="AL119" s="2598" t="s">
        <v>429</v>
      </c>
      <c r="AM119" s="2634"/>
      <c r="AN119" s="2634"/>
      <c r="AO119" s="2634"/>
      <c r="AP119" s="2587"/>
    </row>
    <row r="120" spans="1:42" ht="15.75" customHeight="1" thickBot="1" x14ac:dyDescent="0.35">
      <c r="A120" s="2972" t="s">
        <v>16</v>
      </c>
      <c r="B120" s="2973" t="s">
        <v>106</v>
      </c>
      <c r="C120" s="2949" t="s">
        <v>429</v>
      </c>
      <c r="D120" s="2772" t="s">
        <v>1072</v>
      </c>
      <c r="E120" s="2882">
        <v>34900</v>
      </c>
      <c r="F120" s="2883">
        <f>'exchange rates'!K29</f>
        <v>3.4691000000000001</v>
      </c>
      <c r="G120" s="325">
        <v>0</v>
      </c>
      <c r="H120" s="326">
        <f>1632.16/F120</f>
        <v>470.48514023810213</v>
      </c>
      <c r="I120" s="327">
        <v>0</v>
      </c>
      <c r="J120" s="561"/>
      <c r="K120" s="313">
        <f>Tabel668926[[#This Row],[Fix.ch. 2017]]+Tabel668926[[#This Row],[Var. ch. 2017]]+Tabel668926[[#This Row],[Oth. ch. DW 2017]]+Tabel668926[[#This Row],[VAT DW 2017]]</f>
        <v>470.48514023810213</v>
      </c>
      <c r="L120" s="328">
        <v>0</v>
      </c>
      <c r="M120" s="1097"/>
      <c r="N120" s="329">
        <v>0</v>
      </c>
      <c r="O120" s="561"/>
      <c r="P120" s="330">
        <v>0</v>
      </c>
      <c r="Q120" s="561"/>
      <c r="R120" s="2657">
        <f>Tabel668926[[#This Row],[VAT DW 2017]]+Tabel668926[[#This Row],[VAT Sew. 2017]]+Tabel668926[[#This Row],[VAT WW 2017]]+Tabel668926[[#This Row],[VAT Other ch. 2017]]</f>
        <v>0</v>
      </c>
      <c r="S120" s="318">
        <f>Tabel668926[[#This Row],[Total. ch. DW 2017]]+Tabel668926[[#This Row],[Sew. 2017]]+Tabel668926[[#This Row],[VAT Sew. 2017]]+Tabel668926[[#This Row],[WW 2017]]+Tabel668926[[#This Row],[VAT WW 2017]]+Tabel668926[[#This Row],[Other ch. 2017]]+Tabel668926[[#This Row],[VAT Other ch. 2017]]</f>
        <v>470.48514023810213</v>
      </c>
      <c r="T120" s="2587"/>
      <c r="U120" s="2974">
        <v>0</v>
      </c>
      <c r="V120" s="2975">
        <f>Tabel668926[[#This Row],[Var. ch. 2017]]</f>
        <v>470.48514023810213</v>
      </c>
      <c r="W120" s="2976">
        <v>0</v>
      </c>
      <c r="X120" s="2977"/>
      <c r="Y120" s="2978">
        <f>Tabel668926[[#This Row],[Total. ch. DW 2017]]</f>
        <v>470.48514023810213</v>
      </c>
      <c r="Z120" s="2979">
        <v>0</v>
      </c>
      <c r="AA120" s="2977"/>
      <c r="AB120" s="2980">
        <v>0</v>
      </c>
      <c r="AC120" s="2977"/>
      <c r="AD120" s="2981">
        <v>0</v>
      </c>
      <c r="AE120" s="2977"/>
      <c r="AF120" s="2982">
        <f>Tabel668926[[#This Row],[Total VAT 2017]]</f>
        <v>0</v>
      </c>
      <c r="AG120" s="339">
        <f>Tabel668926[[#This Row],[total charge 2017]]</f>
        <v>470.48514023810213</v>
      </c>
      <c r="AH120" s="2587"/>
      <c r="AI120" s="2634"/>
      <c r="AJ120" s="2634"/>
      <c r="AK120" s="2634"/>
      <c r="AL120" s="2598" t="s">
        <v>429</v>
      </c>
      <c r="AM120" s="2634"/>
      <c r="AN120" s="2634"/>
      <c r="AO120" s="2634" t="s">
        <v>590</v>
      </c>
      <c r="AP120" s="2587"/>
    </row>
    <row r="121" spans="1:42" ht="15.75" customHeight="1" x14ac:dyDescent="0.25">
      <c r="A121" s="2687" t="s">
        <v>17</v>
      </c>
      <c r="B121" s="2865" t="s">
        <v>107</v>
      </c>
      <c r="C121" s="2837"/>
      <c r="D121" s="2689" t="s">
        <v>1074</v>
      </c>
      <c r="E121" s="2838">
        <v>38000</v>
      </c>
      <c r="F121" s="2577">
        <f>'exchange rates'!$O$30</f>
        <v>0.83301000000000003</v>
      </c>
      <c r="G121" s="2895">
        <f>25.34/F121</f>
        <v>30.419802883518805</v>
      </c>
      <c r="H121" s="2896">
        <f>220.98/F121</f>
        <v>265.27892822415095</v>
      </c>
      <c r="I121" s="2897">
        <f>0.8/F121</f>
        <v>0.96037262457833639</v>
      </c>
      <c r="J121" s="2898">
        <f>24.71/F121</f>
        <v>29.663509441663365</v>
      </c>
      <c r="K121" s="566">
        <f>Tabel668926[[#This Row],[Fix.ch. 2017]]+Tabel668926[[#This Row],[Var. ch. 2017]]+Tabel668926[[#This Row],[Oth. ch. DW 2017]]+Tabel668926[[#This Row],[VAT DW 2017]]</f>
        <v>326.32261317391146</v>
      </c>
      <c r="L121" s="2899">
        <f>43.86/F121</f>
        <v>52.652429142507287</v>
      </c>
      <c r="M121" s="2900">
        <f>4.39/F121</f>
        <v>5.2700447773736201</v>
      </c>
      <c r="N121" s="2901">
        <f>118.19/F121</f>
        <v>141.88305062364196</v>
      </c>
      <c r="O121" s="2898">
        <f>11.82/F121</f>
        <v>14.18950552814492</v>
      </c>
      <c r="P121" s="2902">
        <f>1.6/F121</f>
        <v>1.9207452491566728</v>
      </c>
      <c r="Q121" s="2898">
        <f>0.16/F121</f>
        <v>0.19207452491566729</v>
      </c>
      <c r="R121" s="2586">
        <f>Tabel668926[[#This Row],[VAT DW 2017]]+Tabel668926[[#This Row],[VAT Sew. 2017]]+Tabel668926[[#This Row],[VAT WW 2017]]+Tabel668926[[#This Row],[VAT Other ch. 2017]]</f>
        <v>49.315134272097573</v>
      </c>
      <c r="S121" s="571">
        <f>Tabel668926[[#This Row],[Total. ch. DW 2017]]+Tabel668926[[#This Row],[Sew. 2017]]+Tabel668926[[#This Row],[VAT Sew. 2017]]+Tabel668926[[#This Row],[WW 2017]]+Tabel668926[[#This Row],[VAT WW 2017]]+Tabel668926[[#This Row],[Other ch. 2017]]+Tabel668926[[#This Row],[VAT Other ch. 2017]]</f>
        <v>542.4304630196516</v>
      </c>
      <c r="T121" s="2587"/>
      <c r="U121" s="2702">
        <f>MEDIAN(G121:G125)</f>
        <v>13.013049063036458</v>
      </c>
      <c r="V121" s="2703">
        <f>MEDIAN(H121:H125)</f>
        <v>180.92219781275136</v>
      </c>
      <c r="W121" s="2704">
        <f>MEDIAN(I121:I125)</f>
        <v>0.96037262457833639</v>
      </c>
      <c r="X121" s="2815">
        <f>MEDIAN(J121:J125)</f>
        <v>19.231461807181184</v>
      </c>
      <c r="Y121" s="2705">
        <f>SUM(U121:X125)</f>
        <v>214.12708130754731</v>
      </c>
      <c r="Z121" s="2706">
        <f t="shared" ref="Z121:AF121" si="16">MEDIAN(L121:L125)</f>
        <v>52.652429142507287</v>
      </c>
      <c r="AA121" s="2815">
        <f t="shared" si="16"/>
        <v>5.2700447773736201</v>
      </c>
      <c r="AB121" s="2707">
        <f t="shared" si="16"/>
        <v>141.88305062364196</v>
      </c>
      <c r="AC121" s="2815">
        <f t="shared" si="16"/>
        <v>14.18950552814492</v>
      </c>
      <c r="AD121" s="2708">
        <f t="shared" si="16"/>
        <v>1.9207452491566728</v>
      </c>
      <c r="AE121" s="2815">
        <f t="shared" si="16"/>
        <v>0.19207452491566729</v>
      </c>
      <c r="AF121" s="2709">
        <f t="shared" si="16"/>
        <v>36.506164391784012</v>
      </c>
      <c r="AG121" s="1831">
        <f>Y121+Z121+AA121+AB121+AC121+AD121+AE121</f>
        <v>430.23493115328745</v>
      </c>
      <c r="AH121" s="2587"/>
      <c r="AI121" s="2634"/>
      <c r="AJ121" s="2634"/>
      <c r="AK121" s="2634"/>
      <c r="AL121" s="2597" t="s">
        <v>429</v>
      </c>
      <c r="AM121" s="2597" t="s">
        <v>429</v>
      </c>
      <c r="AN121" s="2634"/>
      <c r="AO121" s="2634"/>
      <c r="AP121" s="2587"/>
    </row>
    <row r="122" spans="1:42" ht="15.75" customHeight="1" x14ac:dyDescent="0.25">
      <c r="A122" s="2691"/>
      <c r="B122" s="2868" t="s">
        <v>108</v>
      </c>
      <c r="C122" s="2837"/>
      <c r="D122" s="2689" t="s">
        <v>1074</v>
      </c>
      <c r="E122" s="2600"/>
      <c r="F122" s="2577">
        <f>'exchange rates'!$O$30</f>
        <v>0.83301000000000003</v>
      </c>
      <c r="G122" s="2895">
        <f>0.5/F122</f>
        <v>0.60023289036146021</v>
      </c>
      <c r="H122" s="2896">
        <f>39.17/F122</f>
        <v>47.022244630916795</v>
      </c>
      <c r="I122" s="2897">
        <f>0.8/F122</f>
        <v>0.96037262457833639</v>
      </c>
      <c r="J122" s="2898">
        <f>4.05/F122</f>
        <v>4.861886411927828</v>
      </c>
      <c r="K122" s="566">
        <f>Tabel668926[[#This Row],[Fix.ch. 2017]]+Tabel668926[[#This Row],[Var. ch. 2017]]+Tabel668926[[#This Row],[Oth. ch. DW 2017]]+Tabel668926[[#This Row],[VAT DW 2017]]</f>
        <v>53.444736557784417</v>
      </c>
      <c r="L122" s="2899">
        <f>27.85/F122</f>
        <v>33.432971993133336</v>
      </c>
      <c r="M122" s="2900">
        <f>2.79/F122</f>
        <v>3.3492995282169482</v>
      </c>
      <c r="N122" s="2901">
        <f>71.43/F122</f>
        <v>85.749270717038215</v>
      </c>
      <c r="O122" s="2898">
        <f>7.14/F122</f>
        <v>8.5713256743616508</v>
      </c>
      <c r="P122" s="2902">
        <f>1.6/F122</f>
        <v>1.9207452491566728</v>
      </c>
      <c r="Q122" s="2898">
        <f>0.16/F122</f>
        <v>0.19207452491566729</v>
      </c>
      <c r="R122" s="2586">
        <f>Tabel668926[[#This Row],[VAT DW 2017]]+Tabel668926[[#This Row],[VAT Sew. 2017]]+Tabel668926[[#This Row],[VAT WW 2017]]+Tabel668926[[#This Row],[VAT Other ch. 2017]]</f>
        <v>16.974586139422094</v>
      </c>
      <c r="S122" s="571">
        <f>Tabel668926[[#This Row],[Total. ch. DW 2017]]+Tabel668926[[#This Row],[Sew. 2017]]+Tabel668926[[#This Row],[VAT Sew. 2017]]+Tabel668926[[#This Row],[WW 2017]]+Tabel668926[[#This Row],[VAT WW 2017]]+Tabel668926[[#This Row],[Other ch. 2017]]+Tabel668926[[#This Row],[VAT Other ch. 2017]]</f>
        <v>186.6604242446069</v>
      </c>
      <c r="T122" s="2587"/>
      <c r="U122" s="2712"/>
      <c r="V122" s="2713"/>
      <c r="W122" s="2714"/>
      <c r="X122" s="2604"/>
      <c r="Y122" s="2715"/>
      <c r="Z122" s="2716"/>
      <c r="AA122" s="2604"/>
      <c r="AB122" s="2717"/>
      <c r="AC122" s="2604"/>
      <c r="AD122" s="2718"/>
      <c r="AE122" s="2604"/>
      <c r="AF122" s="2719"/>
      <c r="AG122" s="1832"/>
      <c r="AH122" s="2587"/>
      <c r="AI122" s="2634"/>
      <c r="AJ122" s="2634"/>
      <c r="AK122" s="2634"/>
      <c r="AL122" s="2597" t="s">
        <v>429</v>
      </c>
      <c r="AM122" s="2597" t="s">
        <v>429</v>
      </c>
      <c r="AN122" s="2634"/>
      <c r="AO122" s="2634"/>
      <c r="AP122" s="2587"/>
    </row>
    <row r="123" spans="1:42" ht="15.75" customHeight="1" x14ac:dyDescent="0.25">
      <c r="A123" s="2691"/>
      <c r="B123" s="2868" t="s">
        <v>109</v>
      </c>
      <c r="C123" s="2837"/>
      <c r="D123" s="2689" t="s">
        <v>1074</v>
      </c>
      <c r="E123" s="2600"/>
      <c r="F123" s="2577">
        <f>'exchange rates'!$O$30</f>
        <v>0.83301000000000003</v>
      </c>
      <c r="G123" s="2895">
        <f>10.84/F123</f>
        <v>13.013049063036458</v>
      </c>
      <c r="H123" s="2896">
        <f>164.48/F123</f>
        <v>197.45261161330595</v>
      </c>
      <c r="I123" s="2897">
        <f>0.8/F123</f>
        <v>0.96037262457833639</v>
      </c>
      <c r="J123" s="2898">
        <f>17.61/F123</f>
        <v>21.140202398530629</v>
      </c>
      <c r="K123" s="566">
        <f>Tabel668926[[#This Row],[Fix.ch. 2017]]+Tabel668926[[#This Row],[Var. ch. 2017]]+Tabel668926[[#This Row],[Oth. ch. DW 2017]]+Tabel668926[[#This Row],[VAT DW 2017]]</f>
        <v>232.56623569945134</v>
      </c>
      <c r="L123" s="2899">
        <f>23.25/F123</f>
        <v>27.910829401807902</v>
      </c>
      <c r="M123" s="2900">
        <f>2.32/F123</f>
        <v>2.7850806112771753</v>
      </c>
      <c r="N123" s="2901">
        <f>62.08/F123</f>
        <v>74.524915667278904</v>
      </c>
      <c r="O123" s="2898">
        <f>6.21/F123</f>
        <v>7.4548924982893361</v>
      </c>
      <c r="P123" s="2902">
        <f>1.6/F123</f>
        <v>1.9207452491566728</v>
      </c>
      <c r="Q123" s="2898">
        <f>0.16/F123</f>
        <v>0.19207452491566729</v>
      </c>
      <c r="R123" s="2586">
        <f>Tabel668926[[#This Row],[VAT DW 2017]]+Tabel668926[[#This Row],[VAT Sew. 2017]]+Tabel668926[[#This Row],[VAT WW 2017]]+Tabel668926[[#This Row],[VAT Other ch. 2017]]</f>
        <v>31.572250033012811</v>
      </c>
      <c r="S123" s="571">
        <f>Tabel668926[[#This Row],[Total. ch. DW 2017]]+Tabel668926[[#This Row],[Sew. 2017]]+Tabel668926[[#This Row],[VAT Sew. 2017]]+Tabel668926[[#This Row],[WW 2017]]+Tabel668926[[#This Row],[VAT WW 2017]]+Tabel668926[[#This Row],[Other ch. 2017]]+Tabel668926[[#This Row],[VAT Other ch. 2017]]</f>
        <v>347.35477365217696</v>
      </c>
      <c r="T123" s="2587"/>
      <c r="U123" s="2712"/>
      <c r="V123" s="2713"/>
      <c r="W123" s="2714"/>
      <c r="X123" s="2604"/>
      <c r="Y123" s="2715"/>
      <c r="Z123" s="2716"/>
      <c r="AA123" s="2604"/>
      <c r="AB123" s="2717"/>
      <c r="AC123" s="2604"/>
      <c r="AD123" s="2718"/>
      <c r="AE123" s="2604"/>
      <c r="AF123" s="2719"/>
      <c r="AG123" s="1832"/>
      <c r="AH123" s="2587"/>
      <c r="AI123" s="2634"/>
      <c r="AJ123" s="2634"/>
      <c r="AK123" s="2634"/>
      <c r="AL123" s="2597" t="s">
        <v>429</v>
      </c>
      <c r="AM123" s="2597" t="s">
        <v>429</v>
      </c>
      <c r="AN123" s="2634"/>
      <c r="AO123" s="2634"/>
      <c r="AP123" s="2587"/>
    </row>
    <row r="124" spans="1:42" ht="15.75" customHeight="1" x14ac:dyDescent="0.25">
      <c r="A124" s="2691"/>
      <c r="B124" s="2868" t="s">
        <v>110</v>
      </c>
      <c r="C124" s="2837" t="s">
        <v>429</v>
      </c>
      <c r="D124" s="2689" t="s">
        <v>1074</v>
      </c>
      <c r="E124" s="2600"/>
      <c r="F124" s="2577">
        <f>'exchange rates'!$O$30</f>
        <v>0.83301000000000003</v>
      </c>
      <c r="G124" s="2895">
        <f>18.35/F124</f>
        <v>22.028547076265593</v>
      </c>
      <c r="H124" s="2896">
        <f>105.09/F124</f>
        <v>126.15694889617171</v>
      </c>
      <c r="I124" s="2897">
        <f>0.8/F124</f>
        <v>0.96037262457833639</v>
      </c>
      <c r="J124" s="2898">
        <f>12.42/F124</f>
        <v>14.909784996578672</v>
      </c>
      <c r="K124" s="566">
        <f>Tabel668926[[#This Row],[Fix.ch. 2017]]+Tabel668926[[#This Row],[Var. ch. 2017]]+Tabel668926[[#This Row],[Oth. ch. DW 2017]]+Tabel668926[[#This Row],[VAT DW 2017]]</f>
        <v>164.05565359359431</v>
      </c>
      <c r="L124" s="2899">
        <f>45.82/F124</f>
        <v>55.005342072724218</v>
      </c>
      <c r="M124" s="2900">
        <f>4.58/F124</f>
        <v>5.498133275710976</v>
      </c>
      <c r="N124" s="2901">
        <f>132.55/F124</f>
        <v>159.12173923482311</v>
      </c>
      <c r="O124" s="2898">
        <f>13.25/F124</f>
        <v>15.906171594578696</v>
      </c>
      <c r="P124" s="2902">
        <f>1.6/F124</f>
        <v>1.9207452491566728</v>
      </c>
      <c r="Q124" s="2898">
        <f>0.16/F124</f>
        <v>0.19207452491566729</v>
      </c>
      <c r="R124" s="2586">
        <f>Tabel668926[[#This Row],[VAT DW 2017]]+Tabel668926[[#This Row],[VAT Sew. 2017]]+Tabel668926[[#This Row],[VAT WW 2017]]+Tabel668926[[#This Row],[VAT Other ch. 2017]]</f>
        <v>36.506164391784012</v>
      </c>
      <c r="S124" s="571">
        <f>Tabel668926[[#This Row],[Total. ch. DW 2017]]+Tabel668926[[#This Row],[Sew. 2017]]+Tabel668926[[#This Row],[VAT Sew. 2017]]+Tabel668926[[#This Row],[WW 2017]]+Tabel668926[[#This Row],[VAT WW 2017]]+Tabel668926[[#This Row],[Other ch. 2017]]+Tabel668926[[#This Row],[VAT Other ch. 2017]]</f>
        <v>401.69985954550367</v>
      </c>
      <c r="T124" s="2587"/>
      <c r="U124" s="2712"/>
      <c r="V124" s="2713"/>
      <c r="W124" s="2714"/>
      <c r="X124" s="2604"/>
      <c r="Y124" s="2715"/>
      <c r="Z124" s="2716"/>
      <c r="AA124" s="2604"/>
      <c r="AB124" s="2717"/>
      <c r="AC124" s="2604"/>
      <c r="AD124" s="2718"/>
      <c r="AE124" s="2604"/>
      <c r="AF124" s="2719"/>
      <c r="AG124" s="1832"/>
      <c r="AH124" s="2587"/>
      <c r="AI124" s="2634"/>
      <c r="AJ124" s="2634"/>
      <c r="AK124" s="2634"/>
      <c r="AL124" s="2597" t="s">
        <v>429</v>
      </c>
      <c r="AM124" s="2597" t="s">
        <v>429</v>
      </c>
      <c r="AN124" s="2634"/>
      <c r="AO124" s="2634"/>
      <c r="AP124" s="2587"/>
    </row>
    <row r="125" spans="1:42" ht="15.75" customHeight="1" thickBot="1" x14ac:dyDescent="0.3">
      <c r="A125" s="2694"/>
      <c r="B125" s="2869" t="s">
        <v>111</v>
      </c>
      <c r="C125" s="2837"/>
      <c r="D125" s="2696" t="s">
        <v>1074</v>
      </c>
      <c r="E125" s="2663"/>
      <c r="F125" s="2577">
        <f>'exchange rates'!$O$30</f>
        <v>0.83301000000000003</v>
      </c>
      <c r="G125" s="2895">
        <f>8.64/F125</f>
        <v>10.372024345446034</v>
      </c>
      <c r="H125" s="2896">
        <f>150.71/F125</f>
        <v>180.92219781275136</v>
      </c>
      <c r="I125" s="2897">
        <f>0.8/F125</f>
        <v>0.96037262457833639</v>
      </c>
      <c r="J125" s="2898">
        <f>16.02/F125</f>
        <v>19.231461807181184</v>
      </c>
      <c r="K125" s="566">
        <f>Tabel668926[[#This Row],[Fix.ch. 2017]]+Tabel668926[[#This Row],[Var. ch. 2017]]+Tabel668926[[#This Row],[Oth. ch. DW 2017]]+Tabel668926[[#This Row],[VAT DW 2017]]</f>
        <v>211.48605658995689</v>
      </c>
      <c r="L125" s="2899">
        <f>53.07/F125</f>
        <v>63.708718982965387</v>
      </c>
      <c r="M125" s="2900">
        <f>5.31/F125</f>
        <v>6.3744732956387073</v>
      </c>
      <c r="N125" s="2901">
        <f>141.5/F125</f>
        <v>169.86590797229326</v>
      </c>
      <c r="O125" s="2898">
        <f>14.15/F125</f>
        <v>16.986590797229326</v>
      </c>
      <c r="P125" s="2902">
        <f>1.6/F125</f>
        <v>1.9207452491566728</v>
      </c>
      <c r="Q125" s="2898">
        <f>0.16/F125</f>
        <v>0.19207452491566729</v>
      </c>
      <c r="R125" s="2586">
        <f>Tabel668926[[#This Row],[VAT DW 2017]]+Tabel668926[[#This Row],[VAT Sew. 2017]]+Tabel668926[[#This Row],[VAT WW 2017]]+Tabel668926[[#This Row],[VAT Other ch. 2017]]</f>
        <v>42.784600424964886</v>
      </c>
      <c r="S125" s="571">
        <f>Tabel668926[[#This Row],[Total. ch. DW 2017]]+Tabel668926[[#This Row],[Sew. 2017]]+Tabel668926[[#This Row],[VAT Sew. 2017]]+Tabel668926[[#This Row],[WW 2017]]+Tabel668926[[#This Row],[VAT WW 2017]]+Tabel668926[[#This Row],[Other ch. 2017]]+Tabel668926[[#This Row],[VAT Other ch. 2017]]</f>
        <v>470.53456741215587</v>
      </c>
      <c r="T125" s="2587"/>
      <c r="U125" s="2664"/>
      <c r="V125" s="2665"/>
      <c r="W125" s="2666"/>
      <c r="X125" s="2615"/>
      <c r="Y125" s="2667"/>
      <c r="Z125" s="2668"/>
      <c r="AA125" s="2615"/>
      <c r="AB125" s="2669"/>
      <c r="AC125" s="2615"/>
      <c r="AD125" s="2670"/>
      <c r="AE125" s="2615"/>
      <c r="AF125" s="2671"/>
      <c r="AG125" s="1792"/>
      <c r="AH125" s="2587"/>
      <c r="AI125" s="2634"/>
      <c r="AJ125" s="2634"/>
      <c r="AK125" s="2634"/>
      <c r="AL125" s="2597" t="s">
        <v>429</v>
      </c>
      <c r="AM125" s="2597" t="s">
        <v>429</v>
      </c>
      <c r="AN125" s="2634"/>
      <c r="AO125" s="2634"/>
      <c r="AP125" s="2587"/>
    </row>
    <row r="126" spans="1:42" ht="15.75" customHeight="1" x14ac:dyDescent="0.25">
      <c r="A126" s="2687" t="s">
        <v>18</v>
      </c>
      <c r="B126" s="2865" t="s">
        <v>112</v>
      </c>
      <c r="C126" s="2837"/>
      <c r="D126" s="2689" t="s">
        <v>1076</v>
      </c>
      <c r="E126" s="2838">
        <v>42700</v>
      </c>
      <c r="F126" s="2824">
        <f>'exchange rates'!$O$31</f>
        <v>112.66098</v>
      </c>
      <c r="G126" s="2895">
        <f>7500/F126</f>
        <v>66.571407420741423</v>
      </c>
      <c r="H126" s="2896">
        <f>11568/F126</f>
        <v>102.67973880575155</v>
      </c>
      <c r="I126" s="2897">
        <f>0</f>
        <v>0</v>
      </c>
      <c r="J126" s="2898">
        <f>1520/F126</f>
        <v>13.49180523727026</v>
      </c>
      <c r="K126" s="566">
        <f>Tabel668926[[#This Row],[Fix.ch. 2017]]+Tabel668926[[#This Row],[Var. ch. 2017]]+Tabel668926[[#This Row],[Oth. ch. DW 2017]]+Tabel668926[[#This Row],[VAT DW 2017]]</f>
        <v>182.74295146376323</v>
      </c>
      <c r="L126" s="2899">
        <f>14496/F126</f>
        <v>128.66921626280902</v>
      </c>
      <c r="M126" s="2900">
        <f>1156/F126</f>
        <v>10.260872930450278</v>
      </c>
      <c r="N126" s="2901">
        <v>0</v>
      </c>
      <c r="O126" s="2898">
        <v>0</v>
      </c>
      <c r="P126" s="2902">
        <v>0</v>
      </c>
      <c r="Q126" s="2898">
        <v>0</v>
      </c>
      <c r="R126" s="2586">
        <f>Tabel668926[[#This Row],[VAT DW 2017]]+Tabel668926[[#This Row],[VAT Sew. 2017]]+Tabel668926[[#This Row],[VAT WW 2017]]+Tabel668926[[#This Row],[VAT Other ch. 2017]]</f>
        <v>23.752678167720539</v>
      </c>
      <c r="S126" s="571">
        <f>Tabel668926[[#This Row],[Total. ch. DW 2017]]+Tabel668926[[#This Row],[Sew. 2017]]+Tabel668926[[#This Row],[VAT Sew. 2017]]+Tabel668926[[#This Row],[WW 2017]]+Tabel668926[[#This Row],[VAT WW 2017]]+Tabel668926[[#This Row],[Other ch. 2017]]+Tabel668926[[#This Row],[VAT Other ch. 2017]]</f>
        <v>321.67304065702251</v>
      </c>
      <c r="T126" s="2587"/>
      <c r="U126" s="2639">
        <f>MEDIAN(G126:G133)</f>
        <v>90.537114092208327</v>
      </c>
      <c r="V126" s="2640">
        <f>MEDIAN(H126:H133)</f>
        <v>109.92270793312822</v>
      </c>
      <c r="W126" s="2641">
        <f>MEDIAN(I126:I133)</f>
        <v>0</v>
      </c>
      <c r="X126" s="2591">
        <f>MEDIAN(J126:J133)</f>
        <v>16.505270946515822</v>
      </c>
      <c r="Y126" s="2642">
        <f>SUM(U126:X133)</f>
        <v>216.96509297185239</v>
      </c>
      <c r="Z126" s="2643">
        <f t="shared" ref="Z126:AF126" si="17">MEDIAN(L126:L133)</f>
        <v>151.55202804023185</v>
      </c>
      <c r="AA126" s="2591">
        <f t="shared" si="17"/>
        <v>12.102681869090791</v>
      </c>
      <c r="AB126" s="2644">
        <f t="shared" si="17"/>
        <v>0</v>
      </c>
      <c r="AC126" s="2591">
        <f t="shared" si="17"/>
        <v>0</v>
      </c>
      <c r="AD126" s="2645">
        <f t="shared" si="17"/>
        <v>0</v>
      </c>
      <c r="AE126" s="2591">
        <f t="shared" si="17"/>
        <v>0</v>
      </c>
      <c r="AF126" s="2646">
        <f t="shared" si="17"/>
        <v>29.912752401053144</v>
      </c>
      <c r="AG126" s="1790">
        <f>Y126+Z126+AA126+AB126+AC126+AD126+AE126</f>
        <v>380.61980288117502</v>
      </c>
      <c r="AH126" s="2587"/>
      <c r="AI126" s="2597" t="s">
        <v>429</v>
      </c>
      <c r="AJ126" s="2598"/>
      <c r="AK126" s="2634"/>
      <c r="AL126" s="2597" t="s">
        <v>429</v>
      </c>
      <c r="AM126" s="2634"/>
      <c r="AN126" s="2634"/>
      <c r="AO126" s="2634"/>
      <c r="AP126" s="2587"/>
    </row>
    <row r="127" spans="1:42" ht="15.75" customHeight="1" x14ac:dyDescent="0.25">
      <c r="A127" s="2691"/>
      <c r="B127" s="2868" t="s">
        <v>113</v>
      </c>
      <c r="C127" s="2837"/>
      <c r="D127" s="2689" t="s">
        <v>1076</v>
      </c>
      <c r="E127" s="2847"/>
      <c r="F127" s="2824">
        <f>'exchange rates'!$O$31</f>
        <v>112.66098</v>
      </c>
      <c r="G127" s="2895">
        <f>10200/F127</f>
        <v>90.537114092208327</v>
      </c>
      <c r="H127" s="2896">
        <f>8960/F127</f>
        <v>79.530641398645741</v>
      </c>
      <c r="I127" s="2897">
        <v>0</v>
      </c>
      <c r="J127" s="2898">
        <f>1528/F127</f>
        <v>13.562814738519052</v>
      </c>
      <c r="K127" s="566">
        <f>Tabel668926[[#This Row],[Fix.ch. 2017]]+Tabel668926[[#This Row],[Var. ch. 2017]]+Tabel668926[[#This Row],[Oth. ch. DW 2017]]+Tabel668926[[#This Row],[VAT DW 2017]]</f>
        <v>183.63057022937312</v>
      </c>
      <c r="L127" s="2899">
        <f>11480/F127</f>
        <v>101.89863429201486</v>
      </c>
      <c r="M127" s="2900">
        <f>916/F127</f>
        <v>8.1305878929865525</v>
      </c>
      <c r="N127" s="2901">
        <v>0</v>
      </c>
      <c r="O127" s="2898">
        <v>0</v>
      </c>
      <c r="P127" s="2902">
        <v>0</v>
      </c>
      <c r="Q127" s="2898">
        <v>0</v>
      </c>
      <c r="R127" s="2586">
        <f>Tabel668926[[#This Row],[VAT DW 2017]]+Tabel668926[[#This Row],[VAT Sew. 2017]]+Tabel668926[[#This Row],[VAT WW 2017]]+Tabel668926[[#This Row],[VAT Other ch. 2017]]</f>
        <v>21.693402631505606</v>
      </c>
      <c r="S127" s="571">
        <f>Tabel668926[[#This Row],[Total. ch. DW 2017]]+Tabel668926[[#This Row],[Sew. 2017]]+Tabel668926[[#This Row],[VAT Sew. 2017]]+Tabel668926[[#This Row],[WW 2017]]+Tabel668926[[#This Row],[VAT WW 2017]]+Tabel668926[[#This Row],[Other ch. 2017]]+Tabel668926[[#This Row],[VAT Other ch. 2017]]</f>
        <v>293.65979241437458</v>
      </c>
      <c r="T127" s="2587"/>
      <c r="U127" s="2601"/>
      <c r="V127" s="2602"/>
      <c r="W127" s="2603"/>
      <c r="X127" s="2604"/>
      <c r="Y127" s="2605"/>
      <c r="Z127" s="2606"/>
      <c r="AA127" s="2604"/>
      <c r="AB127" s="2607"/>
      <c r="AC127" s="2604"/>
      <c r="AD127" s="2608"/>
      <c r="AE127" s="2604"/>
      <c r="AF127" s="2609"/>
      <c r="AG127" s="1791"/>
      <c r="AH127" s="2587"/>
      <c r="AI127" s="2597" t="s">
        <v>429</v>
      </c>
      <c r="AJ127" s="2598"/>
      <c r="AK127" s="2634"/>
      <c r="AL127" s="2597" t="s">
        <v>429</v>
      </c>
      <c r="AM127" s="2634"/>
      <c r="AN127" s="2634"/>
      <c r="AO127" s="2634"/>
      <c r="AP127" s="2587"/>
    </row>
    <row r="128" spans="1:42" ht="15.75" customHeight="1" x14ac:dyDescent="0.25">
      <c r="A128" s="2691"/>
      <c r="B128" s="2868" t="s">
        <v>114</v>
      </c>
      <c r="C128" s="2837"/>
      <c r="D128" s="2689" t="s">
        <v>1076</v>
      </c>
      <c r="E128" s="2847"/>
      <c r="F128" s="2824">
        <f>'exchange rates'!$O$31</f>
        <v>112.66098</v>
      </c>
      <c r="G128" s="2895">
        <f>9720/F128</f>
        <v>86.27654401728087</v>
      </c>
      <c r="H128" s="2896">
        <f>10320/F128</f>
        <v>91.602256610940188</v>
      </c>
      <c r="I128" s="2897">
        <v>0</v>
      </c>
      <c r="J128" s="2898">
        <f>1601/F128</f>
        <v>14.210776437414268</v>
      </c>
      <c r="K128" s="566">
        <f>Tabel668926[[#This Row],[Fix.ch. 2017]]+Tabel668926[[#This Row],[Var. ch. 2017]]+Tabel668926[[#This Row],[Oth. ch. DW 2017]]+Tabel668926[[#This Row],[VAT DW 2017]]</f>
        <v>192.08957706563532</v>
      </c>
      <c r="L128" s="2899">
        <f>18180/F128</f>
        <v>161.36909158787719</v>
      </c>
      <c r="M128" s="2900">
        <f>1453/F128</f>
        <v>12.897100664311637</v>
      </c>
      <c r="N128" s="2901">
        <v>0</v>
      </c>
      <c r="O128" s="2898">
        <v>0</v>
      </c>
      <c r="P128" s="2902">
        <v>0</v>
      </c>
      <c r="Q128" s="2898">
        <v>0</v>
      </c>
      <c r="R128" s="2586">
        <f>Tabel668926[[#This Row],[VAT DW 2017]]+Tabel668926[[#This Row],[VAT Sew. 2017]]+Tabel668926[[#This Row],[VAT WW 2017]]+Tabel668926[[#This Row],[VAT Other ch. 2017]]</f>
        <v>27.107877101725904</v>
      </c>
      <c r="S128" s="571">
        <f>Tabel668926[[#This Row],[Total. ch. DW 2017]]+Tabel668926[[#This Row],[Sew. 2017]]+Tabel668926[[#This Row],[VAT Sew. 2017]]+Tabel668926[[#This Row],[WW 2017]]+Tabel668926[[#This Row],[VAT WW 2017]]+Tabel668926[[#This Row],[Other ch. 2017]]+Tabel668926[[#This Row],[VAT Other ch. 2017]]</f>
        <v>366.35576931782418</v>
      </c>
      <c r="T128" s="2587"/>
      <c r="U128" s="2601"/>
      <c r="V128" s="2602"/>
      <c r="W128" s="2603"/>
      <c r="X128" s="2604"/>
      <c r="Y128" s="2605"/>
      <c r="Z128" s="2606"/>
      <c r="AA128" s="2604"/>
      <c r="AB128" s="2607"/>
      <c r="AC128" s="2604"/>
      <c r="AD128" s="2608"/>
      <c r="AE128" s="2604"/>
      <c r="AF128" s="2609"/>
      <c r="AG128" s="1791"/>
      <c r="AH128" s="2587"/>
      <c r="AI128" s="2597" t="s">
        <v>429</v>
      </c>
      <c r="AJ128" s="2598"/>
      <c r="AK128" s="2634"/>
      <c r="AL128" s="2597" t="s">
        <v>429</v>
      </c>
      <c r="AM128" s="2634"/>
      <c r="AN128" s="2634"/>
      <c r="AO128" s="2634"/>
      <c r="AP128" s="2587"/>
    </row>
    <row r="129" spans="1:42" ht="15.75" customHeight="1" x14ac:dyDescent="0.25">
      <c r="A129" s="2691"/>
      <c r="B129" s="2868" t="s">
        <v>115</v>
      </c>
      <c r="C129" s="2837"/>
      <c r="D129" s="2689" t="s">
        <v>1076</v>
      </c>
      <c r="E129" s="2847"/>
      <c r="F129" s="2824">
        <f>'exchange rates'!$O$31</f>
        <v>112.66098</v>
      </c>
      <c r="G129" s="2895">
        <f>10200/F129</f>
        <v>90.537114092208327</v>
      </c>
      <c r="H129" s="2896">
        <f>13200/F129</f>
        <v>117.16567706050489</v>
      </c>
      <c r="I129" s="2897">
        <v>0</v>
      </c>
      <c r="J129" s="2898">
        <f>1871/F129</f>
        <v>16.607347104560958</v>
      </c>
      <c r="K129" s="566">
        <f>Tabel668926[[#This Row],[Fix.ch. 2017]]+Tabel668926[[#This Row],[Var. ch. 2017]]+Tabel668926[[#This Row],[Oth. ch. DW 2017]]+Tabel668926[[#This Row],[VAT DW 2017]]</f>
        <v>224.31013825727416</v>
      </c>
      <c r="L129" s="2899">
        <f>21624/F129</f>
        <v>191.93868187548165</v>
      </c>
      <c r="M129" s="2900">
        <f>1729/F129</f>
        <v>15.346928457394922</v>
      </c>
      <c r="N129" s="2901">
        <v>0</v>
      </c>
      <c r="O129" s="2898">
        <v>0</v>
      </c>
      <c r="P129" s="2902">
        <v>0</v>
      </c>
      <c r="Q129" s="2898">
        <v>0</v>
      </c>
      <c r="R129" s="2586">
        <f>Tabel668926[[#This Row],[VAT DW 2017]]+Tabel668926[[#This Row],[VAT Sew. 2017]]+Tabel668926[[#This Row],[VAT WW 2017]]+Tabel668926[[#This Row],[VAT Other ch. 2017]]</f>
        <v>31.954275561955882</v>
      </c>
      <c r="S129" s="571">
        <f>Tabel668926[[#This Row],[Total. ch. DW 2017]]+Tabel668926[[#This Row],[Sew. 2017]]+Tabel668926[[#This Row],[VAT Sew. 2017]]+Tabel668926[[#This Row],[WW 2017]]+Tabel668926[[#This Row],[VAT WW 2017]]+Tabel668926[[#This Row],[Other ch. 2017]]+Tabel668926[[#This Row],[VAT Other ch. 2017]]</f>
        <v>431.59574859015072</v>
      </c>
      <c r="T129" s="2587"/>
      <c r="U129" s="2601"/>
      <c r="V129" s="2602"/>
      <c r="W129" s="2603"/>
      <c r="X129" s="2604"/>
      <c r="Y129" s="2605"/>
      <c r="Z129" s="2606"/>
      <c r="AA129" s="2604"/>
      <c r="AB129" s="2607"/>
      <c r="AC129" s="2604"/>
      <c r="AD129" s="2608"/>
      <c r="AE129" s="2604"/>
      <c r="AF129" s="2609"/>
      <c r="AG129" s="1791"/>
      <c r="AH129" s="2587"/>
      <c r="AI129" s="2597" t="s">
        <v>429</v>
      </c>
      <c r="AJ129" s="2598"/>
      <c r="AK129" s="2634"/>
      <c r="AL129" s="2597" t="s">
        <v>429</v>
      </c>
      <c r="AM129" s="2634"/>
      <c r="AN129" s="2634"/>
      <c r="AO129" s="2634"/>
      <c r="AP129" s="2587"/>
    </row>
    <row r="130" spans="1:42" ht="15.75" customHeight="1" x14ac:dyDescent="0.25">
      <c r="A130" s="2691"/>
      <c r="B130" s="2868" t="s">
        <v>116</v>
      </c>
      <c r="C130" s="2837"/>
      <c r="D130" s="2689" t="s">
        <v>1076</v>
      </c>
      <c r="E130" s="2847"/>
      <c r="F130" s="2824">
        <f>'exchange rates'!$O$31</f>
        <v>112.66098</v>
      </c>
      <c r="G130" s="2895">
        <f>15840/F130</f>
        <v>140.59881247260589</v>
      </c>
      <c r="H130" s="2896">
        <f>16800/F130</f>
        <v>149.11995262246077</v>
      </c>
      <c r="I130" s="2897">
        <v>0</v>
      </c>
      <c r="J130" s="2898">
        <f>2602/F130</f>
        <v>23.095840281169224</v>
      </c>
      <c r="K130" s="566">
        <f>Tabel668926[[#This Row],[Fix.ch. 2017]]+Tabel668926[[#This Row],[Var. ch. 2017]]+Tabel668926[[#This Row],[Oth. ch. DW 2017]]+Tabel668926[[#This Row],[VAT DW 2017]]</f>
        <v>312.81460537623587</v>
      </c>
      <c r="L130" s="2899">
        <f>12828/F130</f>
        <v>113.86373525243611</v>
      </c>
      <c r="M130" s="2900">
        <f>1022/F130</f>
        <v>9.0714637845330302</v>
      </c>
      <c r="N130" s="2901">
        <v>0</v>
      </c>
      <c r="O130" s="2898">
        <v>0</v>
      </c>
      <c r="P130" s="2902">
        <v>0</v>
      </c>
      <c r="Q130" s="2898">
        <v>0</v>
      </c>
      <c r="R130" s="2586">
        <f>Tabel668926[[#This Row],[VAT DW 2017]]+Tabel668926[[#This Row],[VAT Sew. 2017]]+Tabel668926[[#This Row],[VAT WW 2017]]+Tabel668926[[#This Row],[VAT Other ch. 2017]]</f>
        <v>32.167304065702254</v>
      </c>
      <c r="S130" s="571">
        <f>Tabel668926[[#This Row],[Total. ch. DW 2017]]+Tabel668926[[#This Row],[Sew. 2017]]+Tabel668926[[#This Row],[VAT Sew. 2017]]+Tabel668926[[#This Row],[WW 2017]]+Tabel668926[[#This Row],[VAT WW 2017]]+Tabel668926[[#This Row],[Other ch. 2017]]+Tabel668926[[#This Row],[VAT Other ch. 2017]]</f>
        <v>435.74980441320503</v>
      </c>
      <c r="T130" s="2587"/>
      <c r="U130" s="2601"/>
      <c r="V130" s="2602"/>
      <c r="W130" s="2603"/>
      <c r="X130" s="2604"/>
      <c r="Y130" s="2605"/>
      <c r="Z130" s="2606"/>
      <c r="AA130" s="2604"/>
      <c r="AB130" s="2607"/>
      <c r="AC130" s="2604"/>
      <c r="AD130" s="2608"/>
      <c r="AE130" s="2604"/>
      <c r="AF130" s="2609"/>
      <c r="AG130" s="1791"/>
      <c r="AH130" s="2587"/>
      <c r="AI130" s="2597" t="s">
        <v>429</v>
      </c>
      <c r="AJ130" s="2598"/>
      <c r="AK130" s="2634"/>
      <c r="AL130" s="2597" t="s">
        <v>429</v>
      </c>
      <c r="AM130" s="2634"/>
      <c r="AN130" s="2634"/>
      <c r="AO130" s="2634"/>
      <c r="AP130" s="2587"/>
    </row>
    <row r="131" spans="1:42" ht="15.75" customHeight="1" x14ac:dyDescent="0.25">
      <c r="A131" s="2691"/>
      <c r="B131" s="2868" t="s">
        <v>117</v>
      </c>
      <c r="C131" s="2837"/>
      <c r="D131" s="2689" t="s">
        <v>1076</v>
      </c>
      <c r="E131" s="2847"/>
      <c r="F131" s="2824">
        <f>'exchange rates'!$O$31</f>
        <v>112.66098</v>
      </c>
      <c r="G131" s="2895">
        <f>15000/F131</f>
        <v>133.14281484148285</v>
      </c>
      <c r="H131" s="2896">
        <f>24252/F131</f>
        <v>215.26530303570945</v>
      </c>
      <c r="I131" s="2897">
        <v>0</v>
      </c>
      <c r="J131" s="2898">
        <f>3133/F131</f>
        <v>27.809095926557713</v>
      </c>
      <c r="K131" s="566">
        <f>Tabel668926[[#This Row],[Fix.ch. 2017]]+Tabel668926[[#This Row],[Var. ch. 2017]]+Tabel668926[[#This Row],[Oth. ch. DW 2017]]+Tabel668926[[#This Row],[VAT DW 2017]]</f>
        <v>376.21721380374998</v>
      </c>
      <c r="L131" s="2899">
        <f>16668/F131</f>
        <v>147.94829585185573</v>
      </c>
      <c r="M131" s="2900">
        <f>1331/F131</f>
        <v>11.814205770267577</v>
      </c>
      <c r="N131" s="2901">
        <v>0</v>
      </c>
      <c r="O131" s="2898">
        <v>0</v>
      </c>
      <c r="P131" s="2902">
        <v>0</v>
      </c>
      <c r="Q131" s="2898">
        <v>0</v>
      </c>
      <c r="R131" s="2586">
        <f>Tabel668926[[#This Row],[VAT DW 2017]]+Tabel668926[[#This Row],[VAT Sew. 2017]]+Tabel668926[[#This Row],[VAT WW 2017]]+Tabel668926[[#This Row],[VAT Other ch. 2017]]</f>
        <v>39.623301696825294</v>
      </c>
      <c r="S131" s="571">
        <f>Tabel668926[[#This Row],[Total. ch. DW 2017]]+Tabel668926[[#This Row],[Sew. 2017]]+Tabel668926[[#This Row],[VAT Sew. 2017]]+Tabel668926[[#This Row],[WW 2017]]+Tabel668926[[#This Row],[VAT WW 2017]]+Tabel668926[[#This Row],[Other ch. 2017]]+Tabel668926[[#This Row],[VAT Other ch. 2017]]</f>
        <v>535.97971542587334</v>
      </c>
      <c r="T131" s="2587"/>
      <c r="U131" s="2601"/>
      <c r="V131" s="2602"/>
      <c r="W131" s="2603"/>
      <c r="X131" s="2604"/>
      <c r="Y131" s="2605"/>
      <c r="Z131" s="2606"/>
      <c r="AA131" s="2604"/>
      <c r="AB131" s="2607"/>
      <c r="AC131" s="2604"/>
      <c r="AD131" s="2608"/>
      <c r="AE131" s="2604"/>
      <c r="AF131" s="2609"/>
      <c r="AG131" s="1791"/>
      <c r="AH131" s="2587"/>
      <c r="AI131" s="2597" t="s">
        <v>429</v>
      </c>
      <c r="AJ131" s="2598"/>
      <c r="AK131" s="2634"/>
      <c r="AL131" s="2597" t="s">
        <v>429</v>
      </c>
      <c r="AM131" s="2634"/>
      <c r="AN131" s="2634"/>
      <c r="AO131" s="2634"/>
      <c r="AP131" s="2587"/>
    </row>
    <row r="132" spans="1:42" ht="15.75" customHeight="1" x14ac:dyDescent="0.25">
      <c r="A132" s="2691"/>
      <c r="B132" s="2868" t="s">
        <v>118</v>
      </c>
      <c r="C132" s="2837" t="s">
        <v>429</v>
      </c>
      <c r="D132" s="2689" t="s">
        <v>1076</v>
      </c>
      <c r="E132" s="2847"/>
      <c r="F132" s="2824">
        <f>'exchange rates'!$O$31</f>
        <v>112.66098</v>
      </c>
      <c r="G132" s="2895">
        <f>14040/F132</f>
        <v>124.62167469162793</v>
      </c>
      <c r="H132" s="2896">
        <f>11560/F132</f>
        <v>102.60872930450277</v>
      </c>
      <c r="I132" s="2897">
        <v>0</v>
      </c>
      <c r="J132" s="2898">
        <f>2045/F132</f>
        <v>18.15180375672216</v>
      </c>
      <c r="K132" s="566">
        <f>Tabel668926[[#This Row],[Fix.ch. 2017]]+Tabel668926[[#This Row],[Var. ch. 2017]]+Tabel668926[[#This Row],[Oth. ch. DW 2017]]+Tabel668926[[#This Row],[VAT DW 2017]]</f>
        <v>245.38220775285285</v>
      </c>
      <c r="L132" s="2899">
        <f>18160/F132</f>
        <v>161.1915678347552</v>
      </c>
      <c r="M132" s="2900">
        <f>1451/F132</f>
        <v>12.87934828899944</v>
      </c>
      <c r="N132" s="2901">
        <v>0</v>
      </c>
      <c r="O132" s="2898">
        <v>0</v>
      </c>
      <c r="P132" s="2902">
        <v>0</v>
      </c>
      <c r="Q132" s="2898">
        <v>0</v>
      </c>
      <c r="R132" s="2586">
        <f>Tabel668926[[#This Row],[VAT DW 2017]]+Tabel668926[[#This Row],[VAT Sew. 2017]]+Tabel668926[[#This Row],[VAT WW 2017]]+Tabel668926[[#This Row],[VAT Other ch. 2017]]</f>
        <v>31.031152045721598</v>
      </c>
      <c r="S132" s="571">
        <f>Tabel668926[[#This Row],[Total. ch. DW 2017]]+Tabel668926[[#This Row],[Sew. 2017]]+Tabel668926[[#This Row],[VAT Sew. 2017]]+Tabel668926[[#This Row],[WW 2017]]+Tabel668926[[#This Row],[VAT WW 2017]]+Tabel668926[[#This Row],[Other ch. 2017]]+Tabel668926[[#This Row],[VAT Other ch. 2017]]</f>
        <v>419.45312387660749</v>
      </c>
      <c r="T132" s="2587"/>
      <c r="U132" s="2601"/>
      <c r="V132" s="2602"/>
      <c r="W132" s="2603"/>
      <c r="X132" s="2604"/>
      <c r="Y132" s="2605"/>
      <c r="Z132" s="2606"/>
      <c r="AA132" s="2604"/>
      <c r="AB132" s="2607"/>
      <c r="AC132" s="2604"/>
      <c r="AD132" s="2608"/>
      <c r="AE132" s="2604"/>
      <c r="AF132" s="2609"/>
      <c r="AG132" s="1791"/>
      <c r="AH132" s="2587"/>
      <c r="AI132" s="2597" t="s">
        <v>429</v>
      </c>
      <c r="AJ132" s="2598"/>
      <c r="AK132" s="2634"/>
      <c r="AL132" s="2597" t="s">
        <v>429</v>
      </c>
      <c r="AM132" s="2634"/>
      <c r="AN132" s="2634"/>
      <c r="AO132" s="2634"/>
      <c r="AP132" s="2587"/>
    </row>
    <row r="133" spans="1:42" ht="15.75" customHeight="1" thickBot="1" x14ac:dyDescent="0.3">
      <c r="A133" s="2694"/>
      <c r="B133" s="2869" t="s">
        <v>119</v>
      </c>
      <c r="C133" s="2837"/>
      <c r="D133" s="2689" t="s">
        <v>1076</v>
      </c>
      <c r="E133" s="2663"/>
      <c r="F133" s="2824">
        <f>'exchange rates'!$O$31</f>
        <v>112.66098</v>
      </c>
      <c r="G133" s="2895">
        <f>9480/F133</f>
        <v>84.146258979817148</v>
      </c>
      <c r="H133" s="2896">
        <f>13672/F133</f>
        <v>121.35523763418355</v>
      </c>
      <c r="I133" s="2897">
        <v>0</v>
      </c>
      <c r="J133" s="2898">
        <f>1848/F133</f>
        <v>16.403194788470685</v>
      </c>
      <c r="K133" s="566">
        <f>Tabel668926[[#This Row],[Fix.ch. 2017]]+Tabel668926[[#This Row],[Var. ch. 2017]]+Tabel668926[[#This Row],[Oth. ch. DW 2017]]+Tabel668926[[#This Row],[VAT DW 2017]]</f>
        <v>221.90469140247137</v>
      </c>
      <c r="L133" s="2899">
        <f>17480/F133</f>
        <v>155.15576022860799</v>
      </c>
      <c r="M133" s="2900">
        <f>1396/F133</f>
        <v>12.391157967914003</v>
      </c>
      <c r="N133" s="2901">
        <v>0</v>
      </c>
      <c r="O133" s="2898">
        <v>0</v>
      </c>
      <c r="P133" s="2902">
        <v>0</v>
      </c>
      <c r="Q133" s="2898">
        <v>0</v>
      </c>
      <c r="R133" s="2586">
        <f>Tabel668926[[#This Row],[VAT DW 2017]]+Tabel668926[[#This Row],[VAT Sew. 2017]]+Tabel668926[[#This Row],[VAT WW 2017]]+Tabel668926[[#This Row],[VAT Other ch. 2017]]</f>
        <v>28.79435275638469</v>
      </c>
      <c r="S133" s="571">
        <f>Tabel668926[[#This Row],[Total. ch. DW 2017]]+Tabel668926[[#This Row],[Sew. 2017]]+Tabel668926[[#This Row],[VAT Sew. 2017]]+Tabel668926[[#This Row],[WW 2017]]+Tabel668926[[#This Row],[VAT WW 2017]]+Tabel668926[[#This Row],[Other ch. 2017]]+Tabel668926[[#This Row],[VAT Other ch. 2017]]</f>
        <v>389.45160959899334</v>
      </c>
      <c r="T133" s="2587"/>
      <c r="U133" s="2664"/>
      <c r="V133" s="2665"/>
      <c r="W133" s="2666"/>
      <c r="X133" s="2615"/>
      <c r="Y133" s="2667"/>
      <c r="Z133" s="2668"/>
      <c r="AA133" s="2615"/>
      <c r="AB133" s="2669"/>
      <c r="AC133" s="2615"/>
      <c r="AD133" s="2670"/>
      <c r="AE133" s="2615"/>
      <c r="AF133" s="2671"/>
      <c r="AG133" s="1792"/>
      <c r="AH133" s="2587"/>
      <c r="AI133" s="2597" t="s">
        <v>429</v>
      </c>
      <c r="AJ133" s="2598"/>
      <c r="AK133" s="2634"/>
      <c r="AL133" s="2597" t="s">
        <v>429</v>
      </c>
      <c r="AM133" s="2634"/>
      <c r="AN133" s="2634"/>
      <c r="AO133" s="2634"/>
      <c r="AP133" s="2587"/>
    </row>
    <row r="134" spans="1:42" ht="15.75" customHeight="1" thickBot="1" x14ac:dyDescent="0.3">
      <c r="A134" s="2947" t="s">
        <v>742</v>
      </c>
      <c r="B134" s="2983" t="s">
        <v>743</v>
      </c>
      <c r="C134" s="2984"/>
      <c r="D134" s="2984" t="s">
        <v>1078</v>
      </c>
      <c r="E134" s="2950">
        <v>3300</v>
      </c>
      <c r="F134" s="2883">
        <f>'exchange rates'!M32</f>
        <v>102.86302000000001</v>
      </c>
      <c r="G134" s="325">
        <f>600/F134</f>
        <v>5.8330000421920332</v>
      </c>
      <c r="H134" s="326">
        <f>4603.08/F134</f>
        <v>44.749609723688842</v>
      </c>
      <c r="I134" s="327">
        <f>0</f>
        <v>0</v>
      </c>
      <c r="J134" s="561"/>
      <c r="K134" s="313">
        <f>Tabel668926[[#This Row],[Fix.ch. 2017]]+Tabel668926[[#This Row],[Var. ch. 2017]]+Tabel668926[[#This Row],[Oth. ch. DW 2017]]+Tabel668926[[#This Row],[VAT DW 2017]]</f>
        <v>50.582609765880875</v>
      </c>
      <c r="L134" s="328">
        <f>0</f>
        <v>0</v>
      </c>
      <c r="M134" s="1097"/>
      <c r="N134" s="329">
        <f>3452.31/F134</f>
        <v>33.56220729276663</v>
      </c>
      <c r="O134" s="561"/>
      <c r="P134" s="330">
        <f>0</f>
        <v>0</v>
      </c>
      <c r="Q134" s="561"/>
      <c r="R134" s="2657">
        <f>Tabel668926[[#This Row],[VAT DW 2017]]+Tabel668926[[#This Row],[VAT Sew. 2017]]+Tabel668926[[#This Row],[VAT WW 2017]]+Tabel668926[[#This Row],[VAT Other ch. 2017]]</f>
        <v>0</v>
      </c>
      <c r="S134" s="318">
        <f>Tabel668926[[#This Row],[Total. ch. DW 2017]]+Tabel668926[[#This Row],[Sew. 2017]]+Tabel668926[[#This Row],[VAT Sew. 2017]]+Tabel668926[[#This Row],[WW 2017]]+Tabel668926[[#This Row],[VAT WW 2017]]+Tabel668926[[#This Row],[Other ch. 2017]]+Tabel668926[[#This Row],[VAT Other ch. 2017]]</f>
        <v>84.144817058647504</v>
      </c>
      <c r="T134" s="2587"/>
      <c r="U134" s="2774">
        <f>Tabel668926[[#This Row],[Fix.ch. 2017]]</f>
        <v>5.8330000421920332</v>
      </c>
      <c r="V134" s="2775">
        <f>Tabel668926[[#This Row],[Var. ch. 2017]]</f>
        <v>44.749609723688842</v>
      </c>
      <c r="W134" s="2776">
        <f>Tabel668926[[#This Row],[Oth. ch. DW 2017]]</f>
        <v>0</v>
      </c>
      <c r="X134" s="2740"/>
      <c r="Y134" s="2777">
        <f>SUM(U134:W134)</f>
        <v>50.582609765880875</v>
      </c>
      <c r="Z134" s="2778">
        <f>Tabel668926[[#This Row],[Sew. 2017]]</f>
        <v>0</v>
      </c>
      <c r="AA134" s="2740"/>
      <c r="AB134" s="2779">
        <f>Tabel668926[[#This Row],[WW 2017]]</f>
        <v>33.56220729276663</v>
      </c>
      <c r="AC134" s="2740"/>
      <c r="AD134" s="2780">
        <f>Tabel668926[[#This Row],[Other ch. 2017]]</f>
        <v>0</v>
      </c>
      <c r="AE134" s="2740"/>
      <c r="AF134" s="2781">
        <f>Tabel668926[[#This Row],[Total VAT 2017]]</f>
        <v>0</v>
      </c>
      <c r="AG134" s="1723">
        <f>SUM(Y134:AF134)</f>
        <v>84.144817058647504</v>
      </c>
      <c r="AH134" s="2587"/>
      <c r="AI134" s="2598"/>
      <c r="AJ134" s="2598" t="s">
        <v>429</v>
      </c>
      <c r="AK134" s="2634"/>
      <c r="AL134" s="2598" t="s">
        <v>429</v>
      </c>
      <c r="AM134" s="2598" t="s">
        <v>429</v>
      </c>
      <c r="AN134" s="2634"/>
      <c r="AO134" s="2634" t="s">
        <v>745</v>
      </c>
      <c r="AP134" s="2587"/>
    </row>
    <row r="135" spans="1:42" ht="15.75" customHeight="1" x14ac:dyDescent="0.25">
      <c r="A135" s="2722" t="s">
        <v>19</v>
      </c>
      <c r="B135" s="2985" t="s">
        <v>120</v>
      </c>
      <c r="C135" s="2949"/>
      <c r="D135" s="2785" t="s">
        <v>1080</v>
      </c>
      <c r="E135" s="2986">
        <v>18700</v>
      </c>
      <c r="F135" s="2883">
        <v>2.6644800000000002</v>
      </c>
      <c r="G135" s="325">
        <f>39/F135</f>
        <v>14.637002341920374</v>
      </c>
      <c r="H135" s="326">
        <f>364/F135</f>
        <v>136.61202185792348</v>
      </c>
      <c r="I135" s="327">
        <v>0</v>
      </c>
      <c r="J135" s="561"/>
      <c r="K135" s="313">
        <f>Tabel668926[[#This Row],[Fix.ch. 2017]]+Tabel668926[[#This Row],[Var. ch. 2017]]+Tabel668926[[#This Row],[Oth. ch. DW 2017]]+Tabel668926[[#This Row],[VAT DW 2017]]</f>
        <v>151.24902419984386</v>
      </c>
      <c r="L135" s="328">
        <f>398/F135</f>
        <v>149.37248543805919</v>
      </c>
      <c r="M135" s="1097"/>
      <c r="N135" s="329">
        <v>0</v>
      </c>
      <c r="O135" s="561"/>
      <c r="P135" s="330">
        <v>0</v>
      </c>
      <c r="Q135" s="561"/>
      <c r="R135" s="2657">
        <f>Tabel668926[[#This Row],[VAT DW 2017]]+Tabel668926[[#This Row],[VAT Sew. 2017]]+Tabel668926[[#This Row],[VAT WW 2017]]+Tabel668926[[#This Row],[VAT Other ch. 2017]]</f>
        <v>0</v>
      </c>
      <c r="S135" s="318">
        <f>Tabel668926[[#This Row],[Total. ch. DW 2017]]+Tabel668926[[#This Row],[Sew. 2017]]+Tabel668926[[#This Row],[VAT Sew. 2017]]+Tabel668926[[#This Row],[WW 2017]]+Tabel668926[[#This Row],[VAT WW 2017]]+Tabel668926[[#This Row],[Other ch. 2017]]+Tabel668926[[#This Row],[VAT Other ch. 2017]]</f>
        <v>300.62150963790305</v>
      </c>
      <c r="T135" s="2587"/>
      <c r="U135" s="2987">
        <f>SUM(G135:G139)/5</f>
        <v>14.29472167177085</v>
      </c>
      <c r="V135" s="2988">
        <f>SUM(H135:H139)/5</f>
        <v>145.16903861166153</v>
      </c>
      <c r="W135" s="2989">
        <f>SUM(I135:I139)/5</f>
        <v>0</v>
      </c>
      <c r="X135" s="2729"/>
      <c r="Y135" s="2990">
        <f>SUM(K135:K139)/5</f>
        <v>159.46376028343238</v>
      </c>
      <c r="Z135" s="2991">
        <f>SUM(L135:L139)/5</f>
        <v>181.19858283792709</v>
      </c>
      <c r="AA135" s="2729"/>
      <c r="AB135" s="2992">
        <f>SUM(N135:N139)/5</f>
        <v>0</v>
      </c>
      <c r="AC135" s="2729"/>
      <c r="AD135" s="2993">
        <f>SUM(P135:P139)/5</f>
        <v>0</v>
      </c>
      <c r="AE135" s="2729"/>
      <c r="AF135" s="2994">
        <f t="shared" ref="AF135:AG135" si="18">SUM(R135:R139)/5</f>
        <v>0</v>
      </c>
      <c r="AG135" s="2995">
        <f t="shared" si="18"/>
        <v>340.66234312135947</v>
      </c>
      <c r="AH135" s="2587"/>
      <c r="AI135" s="2634"/>
      <c r="AJ135" s="2634"/>
      <c r="AK135" s="2634"/>
      <c r="AL135" s="2634"/>
      <c r="AM135" s="2598" t="s">
        <v>429</v>
      </c>
      <c r="AN135" s="2634"/>
      <c r="AO135" s="2634" t="s">
        <v>444</v>
      </c>
      <c r="AP135" s="2587"/>
    </row>
    <row r="136" spans="1:42" ht="15.75" customHeight="1" x14ac:dyDescent="0.25">
      <c r="A136" s="2735"/>
      <c r="B136" s="2996" t="s">
        <v>121</v>
      </c>
      <c r="C136" s="2949"/>
      <c r="D136" s="2785" t="s">
        <v>1080</v>
      </c>
      <c r="E136" s="2997"/>
      <c r="F136" s="2883">
        <v>2.6644800000000002</v>
      </c>
      <c r="G136" s="325">
        <f>47.04/F136</f>
        <v>17.65447667087011</v>
      </c>
      <c r="H136" s="326">
        <f>330/F136</f>
        <v>123.85155827778777</v>
      </c>
      <c r="I136" s="327">
        <v>0</v>
      </c>
      <c r="J136" s="561"/>
      <c r="K136" s="313">
        <f>Tabel668926[[#This Row],[Fix.ch. 2017]]+Tabel668926[[#This Row],[Var. ch. 2017]]+Tabel668926[[#This Row],[Oth. ch. DW 2017]]+Tabel668926[[#This Row],[VAT DW 2017]]</f>
        <v>141.50603494865788</v>
      </c>
      <c r="L136" s="328">
        <f>468/F136</f>
        <v>175.64402810304449</v>
      </c>
      <c r="M136" s="1097"/>
      <c r="N136" s="329">
        <v>0</v>
      </c>
      <c r="O136" s="561"/>
      <c r="P136" s="330">
        <v>0</v>
      </c>
      <c r="Q136" s="561"/>
      <c r="R136" s="2657">
        <f>Tabel668926[[#This Row],[VAT DW 2017]]+Tabel668926[[#This Row],[VAT Sew. 2017]]+Tabel668926[[#This Row],[VAT WW 2017]]+Tabel668926[[#This Row],[VAT Other ch. 2017]]</f>
        <v>0</v>
      </c>
      <c r="S136" s="318">
        <f>Tabel668926[[#This Row],[Total. ch. DW 2017]]+Tabel668926[[#This Row],[Sew. 2017]]+Tabel668926[[#This Row],[VAT Sew. 2017]]+Tabel668926[[#This Row],[WW 2017]]+Tabel668926[[#This Row],[VAT WW 2017]]+Tabel668926[[#This Row],[Other ch. 2017]]+Tabel668926[[#This Row],[VAT Other ch. 2017]]</f>
        <v>317.15006305170238</v>
      </c>
      <c r="T136" s="2587"/>
      <c r="U136" s="2998"/>
      <c r="V136" s="2999"/>
      <c r="W136" s="3000"/>
      <c r="X136" s="2740"/>
      <c r="Y136" s="3001"/>
      <c r="Z136" s="3002"/>
      <c r="AA136" s="2740"/>
      <c r="AB136" s="3003"/>
      <c r="AC136" s="2740"/>
      <c r="AD136" s="3004"/>
      <c r="AE136" s="2740"/>
      <c r="AF136" s="3005"/>
      <c r="AG136" s="2077"/>
      <c r="AH136" s="2587"/>
      <c r="AI136" s="2634"/>
      <c r="AJ136" s="2634"/>
      <c r="AK136" s="2634"/>
      <c r="AL136" s="2634"/>
      <c r="AM136" s="2598" t="s">
        <v>429</v>
      </c>
      <c r="AN136" s="2634"/>
      <c r="AO136" s="2634" t="s">
        <v>444</v>
      </c>
      <c r="AP136" s="2587"/>
    </row>
    <row r="137" spans="1:42" ht="15.75" customHeight="1" x14ac:dyDescent="0.25">
      <c r="A137" s="2735"/>
      <c r="B137" s="2996" t="s">
        <v>122</v>
      </c>
      <c r="C137" s="2949"/>
      <c r="D137" s="2785" t="s">
        <v>1080</v>
      </c>
      <c r="E137" s="2997"/>
      <c r="F137" s="2883">
        <v>2.6644800000000002</v>
      </c>
      <c r="G137" s="325">
        <f>30.84/F137</f>
        <v>11.574491082687803</v>
      </c>
      <c r="H137" s="326">
        <f>334/F137</f>
        <v>125.35278928721551</v>
      </c>
      <c r="I137" s="327">
        <v>0</v>
      </c>
      <c r="J137" s="561"/>
      <c r="K137" s="313">
        <f>Tabel668926[[#This Row],[Fix.ch. 2017]]+Tabel668926[[#This Row],[Var. ch. 2017]]+Tabel668926[[#This Row],[Oth. ch. DW 2017]]+Tabel668926[[#This Row],[VAT DW 2017]]</f>
        <v>136.92728036990331</v>
      </c>
      <c r="L137" s="328">
        <f>636/F137</f>
        <v>238.69573049900916</v>
      </c>
      <c r="M137" s="1097"/>
      <c r="N137" s="329">
        <v>0</v>
      </c>
      <c r="O137" s="561"/>
      <c r="P137" s="330">
        <v>0</v>
      </c>
      <c r="Q137" s="561"/>
      <c r="R137" s="2657">
        <f>Tabel668926[[#This Row],[VAT DW 2017]]+Tabel668926[[#This Row],[VAT Sew. 2017]]+Tabel668926[[#This Row],[VAT WW 2017]]+Tabel668926[[#This Row],[VAT Other ch. 2017]]</f>
        <v>0</v>
      </c>
      <c r="S137" s="318">
        <f>Tabel668926[[#This Row],[Total. ch. DW 2017]]+Tabel668926[[#This Row],[Sew. 2017]]+Tabel668926[[#This Row],[VAT Sew. 2017]]+Tabel668926[[#This Row],[WW 2017]]+Tabel668926[[#This Row],[VAT WW 2017]]+Tabel668926[[#This Row],[Other ch. 2017]]+Tabel668926[[#This Row],[VAT Other ch. 2017]]</f>
        <v>375.6230108689125</v>
      </c>
      <c r="T137" s="2587"/>
      <c r="U137" s="2998"/>
      <c r="V137" s="2999"/>
      <c r="W137" s="3000"/>
      <c r="X137" s="2740"/>
      <c r="Y137" s="3001"/>
      <c r="Z137" s="3002"/>
      <c r="AA137" s="2740"/>
      <c r="AB137" s="3003"/>
      <c r="AC137" s="2740"/>
      <c r="AD137" s="3004"/>
      <c r="AE137" s="2740"/>
      <c r="AF137" s="3005"/>
      <c r="AG137" s="2077"/>
      <c r="AH137" s="2587"/>
      <c r="AI137" s="2634"/>
      <c r="AJ137" s="2634"/>
      <c r="AK137" s="2634"/>
      <c r="AL137" s="2634"/>
      <c r="AM137" s="2598" t="s">
        <v>429</v>
      </c>
      <c r="AN137" s="2634"/>
      <c r="AO137" s="2634" t="s">
        <v>444</v>
      </c>
      <c r="AP137" s="2587"/>
    </row>
    <row r="138" spans="1:42" ht="15.75" customHeight="1" x14ac:dyDescent="0.25">
      <c r="A138" s="2735"/>
      <c r="B138" s="2996" t="s">
        <v>123</v>
      </c>
      <c r="C138" s="2949"/>
      <c r="D138" s="2785" t="s">
        <v>1080</v>
      </c>
      <c r="E138" s="2997"/>
      <c r="F138" s="2883">
        <v>2.6644800000000002</v>
      </c>
      <c r="G138" s="325">
        <f>34.68/F138</f>
        <v>13.015672851738424</v>
      </c>
      <c r="H138" s="326">
        <f>570/F138</f>
        <v>213.92541884345161</v>
      </c>
      <c r="I138" s="327">
        <v>0</v>
      </c>
      <c r="J138" s="561"/>
      <c r="K138" s="313">
        <f>Tabel668926[[#This Row],[Fix.ch. 2017]]+Tabel668926[[#This Row],[Var. ch. 2017]]+Tabel668926[[#This Row],[Oth. ch. DW 2017]]+Tabel668926[[#This Row],[VAT DW 2017]]</f>
        <v>226.94109169519004</v>
      </c>
      <c r="L138" s="328">
        <f>526/F138</f>
        <v>197.41187773974659</v>
      </c>
      <c r="M138" s="1097"/>
      <c r="N138" s="329">
        <v>0</v>
      </c>
      <c r="O138" s="561"/>
      <c r="P138" s="330">
        <v>0</v>
      </c>
      <c r="Q138" s="561"/>
      <c r="R138" s="2657">
        <f>Tabel668926[[#This Row],[VAT DW 2017]]+Tabel668926[[#This Row],[VAT Sew. 2017]]+Tabel668926[[#This Row],[VAT WW 2017]]+Tabel668926[[#This Row],[VAT Other ch. 2017]]</f>
        <v>0</v>
      </c>
      <c r="S138" s="318">
        <f>Tabel668926[[#This Row],[Total. ch. DW 2017]]+Tabel668926[[#This Row],[Sew. 2017]]+Tabel668926[[#This Row],[VAT Sew. 2017]]+Tabel668926[[#This Row],[WW 2017]]+Tabel668926[[#This Row],[VAT WW 2017]]+Tabel668926[[#This Row],[Other ch. 2017]]+Tabel668926[[#This Row],[VAT Other ch. 2017]]</f>
        <v>424.35296943493665</v>
      </c>
      <c r="T138" s="2587"/>
      <c r="U138" s="2998"/>
      <c r="V138" s="2999"/>
      <c r="W138" s="3000"/>
      <c r="X138" s="2740"/>
      <c r="Y138" s="3001"/>
      <c r="Z138" s="3002"/>
      <c r="AA138" s="2740"/>
      <c r="AB138" s="3003"/>
      <c r="AC138" s="2740"/>
      <c r="AD138" s="3004"/>
      <c r="AE138" s="2740"/>
      <c r="AF138" s="3005"/>
      <c r="AG138" s="2077"/>
      <c r="AH138" s="2587"/>
      <c r="AI138" s="2634"/>
      <c r="AJ138" s="2634"/>
      <c r="AK138" s="2634"/>
      <c r="AL138" s="2634"/>
      <c r="AM138" s="2598" t="s">
        <v>429</v>
      </c>
      <c r="AN138" s="2634"/>
      <c r="AO138" s="2634" t="s">
        <v>444</v>
      </c>
      <c r="AP138" s="2587"/>
    </row>
    <row r="139" spans="1:42" ht="15.75" customHeight="1" thickBot="1" x14ac:dyDescent="0.3">
      <c r="A139" s="2746"/>
      <c r="B139" s="3006" t="s">
        <v>124</v>
      </c>
      <c r="C139" s="2949" t="s">
        <v>429</v>
      </c>
      <c r="D139" s="2785" t="s">
        <v>1080</v>
      </c>
      <c r="E139" s="3007"/>
      <c r="F139" s="2883">
        <v>2.6644800000000002</v>
      </c>
      <c r="G139" s="325">
        <f>38.88/F139</f>
        <v>14.591965411637542</v>
      </c>
      <c r="H139" s="326">
        <f>336/F139</f>
        <v>126.10340479192938</v>
      </c>
      <c r="I139" s="327">
        <v>0</v>
      </c>
      <c r="J139" s="561"/>
      <c r="K139" s="313">
        <f>Tabel668926[[#This Row],[Fix.ch. 2017]]+Tabel668926[[#This Row],[Var. ch. 2017]]+Tabel668926[[#This Row],[Oth. ch. DW 2017]]+Tabel668926[[#This Row],[VAT DW 2017]]</f>
        <v>140.69537020356691</v>
      </c>
      <c r="L139" s="328">
        <f>386/F139</f>
        <v>144.86879240977601</v>
      </c>
      <c r="M139" s="1097"/>
      <c r="N139" s="329">
        <v>0</v>
      </c>
      <c r="O139" s="561"/>
      <c r="P139" s="330">
        <v>0</v>
      </c>
      <c r="Q139" s="561"/>
      <c r="R139" s="2657">
        <f>Tabel668926[[#This Row],[VAT DW 2017]]+Tabel668926[[#This Row],[VAT Sew. 2017]]+Tabel668926[[#This Row],[VAT WW 2017]]+Tabel668926[[#This Row],[VAT Other ch. 2017]]</f>
        <v>0</v>
      </c>
      <c r="S139" s="318">
        <f>Tabel668926[[#This Row],[Total. ch. DW 2017]]+Tabel668926[[#This Row],[Sew. 2017]]+Tabel668926[[#This Row],[VAT Sew. 2017]]+Tabel668926[[#This Row],[WW 2017]]+Tabel668926[[#This Row],[VAT WW 2017]]+Tabel668926[[#This Row],[Other ch. 2017]]+Tabel668926[[#This Row],[VAT Other ch. 2017]]</f>
        <v>285.56416261334289</v>
      </c>
      <c r="T139" s="2587"/>
      <c r="U139" s="2749"/>
      <c r="V139" s="2750"/>
      <c r="W139" s="2751"/>
      <c r="X139" s="2752"/>
      <c r="Y139" s="2753"/>
      <c r="Z139" s="2754"/>
      <c r="AA139" s="2752"/>
      <c r="AB139" s="2755"/>
      <c r="AC139" s="2752"/>
      <c r="AD139" s="2756"/>
      <c r="AE139" s="2752"/>
      <c r="AF139" s="2757"/>
      <c r="AG139" s="1877"/>
      <c r="AH139" s="2587"/>
      <c r="AI139" s="2634"/>
      <c r="AJ139" s="2634"/>
      <c r="AK139" s="2634"/>
      <c r="AL139" s="2634"/>
      <c r="AM139" s="2598" t="s">
        <v>429</v>
      </c>
      <c r="AN139" s="2634"/>
      <c r="AO139" s="2634" t="s">
        <v>444</v>
      </c>
      <c r="AP139" s="2587"/>
    </row>
    <row r="140" spans="1:42" ht="15.75" customHeight="1" thickBot="1" x14ac:dyDescent="0.3">
      <c r="A140" s="3008" t="s">
        <v>50</v>
      </c>
      <c r="B140" s="3009"/>
      <c r="C140" s="3010"/>
      <c r="D140" s="2984" t="s">
        <v>1082</v>
      </c>
      <c r="E140" s="3011"/>
      <c r="F140" s="3012"/>
      <c r="G140" s="325"/>
      <c r="H140" s="326"/>
      <c r="I140" s="327"/>
      <c r="J140" s="561"/>
      <c r="K140" s="313">
        <f>Tabel668926[[#This Row],[Fix.ch. 2017]]+Tabel668926[[#This Row],[Var. ch. 2017]]+Tabel668926[[#This Row],[Oth. ch. DW 2017]]+Tabel668926[[#This Row],[VAT DW 2017]]</f>
        <v>0</v>
      </c>
      <c r="L140" s="328"/>
      <c r="M140" s="1097"/>
      <c r="N140" s="329"/>
      <c r="O140" s="561"/>
      <c r="P140" s="330"/>
      <c r="Q140" s="561"/>
      <c r="R140" s="2657">
        <f>Tabel668926[[#This Row],[VAT DW 2017]]+Tabel668926[[#This Row],[VAT Sew. 2017]]+Tabel668926[[#This Row],[VAT WW 2017]]+Tabel668926[[#This Row],[VAT Other ch. 2017]]</f>
        <v>0</v>
      </c>
      <c r="S140" s="318">
        <f>Tabel668926[[#This Row],[Total. ch. DW 2017]]+Tabel668926[[#This Row],[Sew. 2017]]+Tabel668926[[#This Row],[VAT Sew. 2017]]+Tabel668926[[#This Row],[WW 2017]]+Tabel668926[[#This Row],[VAT WW 2017]]+Tabel668926[[#This Row],[Other ch. 2017]]+Tabel668926[[#This Row],[VAT Other ch. 2017]]</f>
        <v>0</v>
      </c>
      <c r="T140" s="2587"/>
      <c r="U140" s="3013"/>
      <c r="V140" s="3014"/>
      <c r="W140" s="3015"/>
      <c r="X140" s="3016"/>
      <c r="Y140" s="3017"/>
      <c r="Z140" s="3018"/>
      <c r="AA140" s="3016"/>
      <c r="AB140" s="3019"/>
      <c r="AC140" s="3016"/>
      <c r="AD140" s="3020"/>
      <c r="AE140" s="3016"/>
      <c r="AF140" s="3021"/>
      <c r="AG140" s="3022"/>
      <c r="AH140" s="2587"/>
      <c r="AI140" s="2634"/>
      <c r="AJ140" s="2634"/>
      <c r="AK140" s="2634"/>
      <c r="AL140" s="2634"/>
      <c r="AM140" s="2634"/>
      <c r="AN140" s="2634"/>
      <c r="AO140" s="2634"/>
      <c r="AP140" s="2587"/>
    </row>
    <row r="141" spans="1:42" ht="15.75" customHeight="1" thickBot="1" x14ac:dyDescent="0.35">
      <c r="A141" s="3023" t="s">
        <v>586</v>
      </c>
      <c r="B141" s="3024" t="s">
        <v>587</v>
      </c>
      <c r="C141" s="3025"/>
      <c r="D141" s="2800" t="s">
        <v>1084</v>
      </c>
      <c r="E141" s="3026">
        <v>114400</v>
      </c>
      <c r="F141" s="2577">
        <f>'exchange rates'!O37</f>
        <v>8.0445100000000007</v>
      </c>
      <c r="G141" s="2895">
        <f>0</f>
        <v>0</v>
      </c>
      <c r="H141" s="2896">
        <f>5476.02/F141</f>
        <v>680.71517096752939</v>
      </c>
      <c r="I141" s="2897">
        <v>0</v>
      </c>
      <c r="J141" s="2898">
        <v>0</v>
      </c>
      <c r="K141" s="566">
        <f>Tabel668926[[#This Row],[Fix.ch. 2017]]+Tabel668926[[#This Row],[Var. ch. 2017]]+Tabel668926[[#This Row],[Oth. ch. DW 2017]]+Tabel668926[[#This Row],[VAT DW 2017]]</f>
        <v>680.71517096752939</v>
      </c>
      <c r="L141" s="2899">
        <v>0</v>
      </c>
      <c r="M141" s="2900">
        <v>0</v>
      </c>
      <c r="N141" s="2901">
        <v>0</v>
      </c>
      <c r="O141" s="2898">
        <v>0</v>
      </c>
      <c r="P141" s="2902">
        <v>0</v>
      </c>
      <c r="Q141" s="2898">
        <v>0</v>
      </c>
      <c r="R141" s="2586">
        <f>Tabel668926[[#This Row],[VAT DW 2017]]+Tabel668926[[#This Row],[VAT Sew. 2017]]+Tabel668926[[#This Row],[VAT WW 2017]]+Tabel668926[[#This Row],[VAT Other ch. 2017]]</f>
        <v>0</v>
      </c>
      <c r="S141" s="571">
        <f>Tabel668926[[#This Row],[Total. ch. DW 2017]]+Tabel668926[[#This Row],[Sew. 2017]]+Tabel668926[[#This Row],[VAT Sew. 2017]]+Tabel668926[[#This Row],[WW 2017]]+Tabel668926[[#This Row],[VAT WW 2017]]+Tabel668926[[#This Row],[Other ch. 2017]]+Tabel668926[[#This Row],[VAT Other ch. 2017]]</f>
        <v>680.71517096752939</v>
      </c>
      <c r="T141" s="2587"/>
      <c r="U141" s="2903">
        <v>0</v>
      </c>
      <c r="V141" s="2904">
        <f>Tabel668926[[#This Row],[Var. ch. 2017]]</f>
        <v>680.71517096752939</v>
      </c>
      <c r="W141" s="2905">
        <v>0</v>
      </c>
      <c r="X141" s="2906">
        <v>0</v>
      </c>
      <c r="Y141" s="2907">
        <f>Tabel668926[[#This Row],[Total. ch. DW 2017]]</f>
        <v>680.71517096752939</v>
      </c>
      <c r="Z141" s="2908">
        <v>0</v>
      </c>
      <c r="AA141" s="2906">
        <v>0</v>
      </c>
      <c r="AB141" s="2909">
        <v>0</v>
      </c>
      <c r="AC141" s="2906">
        <v>0</v>
      </c>
      <c r="AD141" s="2910">
        <v>0</v>
      </c>
      <c r="AE141" s="2906">
        <v>0</v>
      </c>
      <c r="AF141" s="2911">
        <v>0</v>
      </c>
      <c r="AG141" s="681">
        <f>Tabel668926[[#This Row],[total charge 2017]]</f>
        <v>680.71517096752939</v>
      </c>
      <c r="AH141" s="2587"/>
      <c r="AI141" s="2634"/>
      <c r="AJ141" s="2598"/>
      <c r="AK141" s="2634"/>
      <c r="AL141" s="2597" t="s">
        <v>429</v>
      </c>
      <c r="AM141" s="2634"/>
      <c r="AN141" s="2634"/>
      <c r="AO141" s="2634"/>
      <c r="AP141" s="2587"/>
    </row>
    <row r="142" spans="1:42" ht="15.75" customHeight="1" thickBot="1" x14ac:dyDescent="0.35">
      <c r="A142" s="2972" t="s">
        <v>36</v>
      </c>
      <c r="B142" s="2914" t="s">
        <v>181</v>
      </c>
      <c r="C142" s="2914"/>
      <c r="D142" s="3027" t="s">
        <v>1086</v>
      </c>
      <c r="E142" s="2882">
        <v>900</v>
      </c>
      <c r="F142" s="2684">
        <v>163.83132000000001</v>
      </c>
      <c r="G142" s="325">
        <f>363/F142</f>
        <v>2.2156935560306783</v>
      </c>
      <c r="H142" s="326">
        <f>(124*200)/F142</f>
        <v>151.37520713377637</v>
      </c>
      <c r="I142" s="327">
        <v>0</v>
      </c>
      <c r="J142" s="561"/>
      <c r="K142" s="313">
        <f>Tabel668926[[#This Row],[Fix.ch. 2017]]+Tabel668926[[#This Row],[Var. ch. 2017]]+Tabel668926[[#This Row],[Oth. ch. DW 2017]]+Tabel668926[[#This Row],[VAT DW 2017]]</f>
        <v>153.59090068980706</v>
      </c>
      <c r="L142" s="328">
        <v>0</v>
      </c>
      <c r="M142" s="1097"/>
      <c r="N142" s="329">
        <v>0</v>
      </c>
      <c r="O142" s="561"/>
      <c r="P142" s="330">
        <v>0</v>
      </c>
      <c r="Q142" s="561"/>
      <c r="R142" s="2657">
        <f>Tabel668926[[#This Row],[VAT DW 2017]]+Tabel668926[[#This Row],[VAT Sew. 2017]]+Tabel668926[[#This Row],[VAT WW 2017]]+Tabel668926[[#This Row],[VAT Other ch. 2017]]</f>
        <v>0</v>
      </c>
      <c r="S142" s="318">
        <f>Tabel668926[[#This Row],[Total. ch. DW 2017]]+Tabel668926[[#This Row],[Sew. 2017]]+Tabel668926[[#This Row],[VAT Sew. 2017]]+Tabel668926[[#This Row],[WW 2017]]+Tabel668926[[#This Row],[VAT WW 2017]]+Tabel668926[[#This Row],[Other ch. 2017]]+Tabel668926[[#This Row],[VAT Other ch. 2017]]</f>
        <v>153.59090068980706</v>
      </c>
      <c r="T142" s="2587"/>
      <c r="U142" s="2974">
        <f>Tabel668926[[#This Row],[Fix.ch. 2017]]</f>
        <v>2.2156935560306783</v>
      </c>
      <c r="V142" s="2975">
        <f>Tabel668926[[#This Row],[Var. ch. 2017]]</f>
        <v>151.37520713377637</v>
      </c>
      <c r="W142" s="2976">
        <v>0</v>
      </c>
      <c r="X142" s="2977"/>
      <c r="Y142" s="2978">
        <v>0</v>
      </c>
      <c r="Z142" s="2979">
        <v>0</v>
      </c>
      <c r="AA142" s="2977"/>
      <c r="AB142" s="2980">
        <v>0</v>
      </c>
      <c r="AC142" s="2977"/>
      <c r="AD142" s="2981">
        <v>0</v>
      </c>
      <c r="AE142" s="2977"/>
      <c r="AF142" s="2982">
        <v>0</v>
      </c>
      <c r="AG142" s="339">
        <f>Tabel668926[[#This Row],[total charge 2017]]</f>
        <v>153.59090068980706</v>
      </c>
      <c r="AH142" s="2587"/>
      <c r="AI142" s="2634"/>
      <c r="AJ142" s="2634"/>
      <c r="AK142" s="2634"/>
      <c r="AL142" s="2598" t="s">
        <v>429</v>
      </c>
      <c r="AM142" s="2598" t="s">
        <v>429</v>
      </c>
      <c r="AN142" s="2634"/>
      <c r="AO142" s="2634"/>
      <c r="AP142" s="2587"/>
    </row>
    <row r="143" spans="1:42" ht="15.75" customHeight="1" thickBot="1" x14ac:dyDescent="0.35">
      <c r="A143" s="2893" t="s">
        <v>774</v>
      </c>
      <c r="B143" s="3028" t="s">
        <v>775</v>
      </c>
      <c r="C143" s="3028"/>
      <c r="D143" s="2622" t="s">
        <v>1088</v>
      </c>
      <c r="E143" s="2894">
        <v>42500</v>
      </c>
      <c r="F143" s="2577">
        <f>'exchange rates'!O39</f>
        <v>0.83301000000000003</v>
      </c>
      <c r="G143" s="2895">
        <f>59/F143</f>
        <v>70.827481062652311</v>
      </c>
      <c r="H143" s="2896">
        <f>657.34/F143</f>
        <v>789.11417630040455</v>
      </c>
      <c r="I143" s="2897">
        <v>0</v>
      </c>
      <c r="J143" s="2898">
        <v>0</v>
      </c>
      <c r="K143" s="566">
        <f>Tabel668926[[#This Row],[Fix.ch. 2017]]+Tabel668926[[#This Row],[Var. ch. 2017]]+Tabel668926[[#This Row],[Oth. ch. DW 2017]]+Tabel668926[[#This Row],[VAT DW 2017]]</f>
        <v>859.94165736305683</v>
      </c>
      <c r="L143" s="2899">
        <v>0</v>
      </c>
      <c r="M143" s="2900">
        <v>0</v>
      </c>
      <c r="N143" s="2901">
        <v>0</v>
      </c>
      <c r="O143" s="2898">
        <v>0</v>
      </c>
      <c r="P143" s="2902">
        <v>0</v>
      </c>
      <c r="Q143" s="2898">
        <v>0</v>
      </c>
      <c r="R143" s="2586">
        <f>Tabel668926[[#This Row],[VAT DW 2017]]+Tabel668926[[#This Row],[VAT Sew. 2017]]+Tabel668926[[#This Row],[VAT WW 2017]]+Tabel668926[[#This Row],[VAT Other ch. 2017]]</f>
        <v>0</v>
      </c>
      <c r="S143" s="571">
        <f>Tabel668926[[#This Row],[Total. ch. DW 2017]]+Tabel668926[[#This Row],[Sew. 2017]]+Tabel668926[[#This Row],[VAT Sew. 2017]]+Tabel668926[[#This Row],[WW 2017]]+Tabel668926[[#This Row],[VAT WW 2017]]+Tabel668926[[#This Row],[Other ch. 2017]]+Tabel668926[[#This Row],[VAT Other ch. 2017]]</f>
        <v>859.94165736305683</v>
      </c>
      <c r="T143" s="2587"/>
      <c r="U143" s="2903">
        <f>Tabel668926[[#This Row],[Fix.ch. 2017]]</f>
        <v>70.827481062652311</v>
      </c>
      <c r="V143" s="2904">
        <f>Tabel668926[[#This Row],[Var. ch. 2017]]</f>
        <v>789.11417630040455</v>
      </c>
      <c r="W143" s="2905">
        <f>Tabel668926[[#This Row],[Oth. ch. DW 2017]]</f>
        <v>0</v>
      </c>
      <c r="X143" s="2906">
        <f>Tabel668926[[#This Row],[VAT DW 2017]]</f>
        <v>0</v>
      </c>
      <c r="Y143" s="2907">
        <f>Tabel668926[[#This Row],[Total. ch. DW 2017]]</f>
        <v>859.94165736305683</v>
      </c>
      <c r="Z143" s="2908">
        <f>Tabel668926[[#This Row],[Sew. 2017]]</f>
        <v>0</v>
      </c>
      <c r="AA143" s="2906">
        <f>Tabel668926[[#This Row],[VAT Sew. 2017]]</f>
        <v>0</v>
      </c>
      <c r="AB143" s="2909">
        <f>Tabel668926[[#This Row],[WW 2017]]</f>
        <v>0</v>
      </c>
      <c r="AC143" s="2906">
        <f>Tabel668926[[#This Row],[VAT WW 2017]]</f>
        <v>0</v>
      </c>
      <c r="AD143" s="2910">
        <f>Tabel668926[[#This Row],[Other ch. 2017]]</f>
        <v>0</v>
      </c>
      <c r="AE143" s="2906">
        <f>Tabel668926[[#This Row],[VAT Other ch. 2017]]</f>
        <v>0</v>
      </c>
      <c r="AF143" s="2911">
        <f>Tabel668926[[#This Row],[Total VAT 2017]]</f>
        <v>0</v>
      </c>
      <c r="AG143" s="681">
        <f>Tabel668926[[#This Row],[total charge 2017]]</f>
        <v>859.94165736305683</v>
      </c>
      <c r="AH143" s="2587"/>
      <c r="AI143" s="2634"/>
      <c r="AJ143" s="2634"/>
      <c r="AK143" s="2634"/>
      <c r="AL143" s="2597" t="s">
        <v>429</v>
      </c>
      <c r="AM143" s="2597" t="s">
        <v>429</v>
      </c>
      <c r="AN143" s="2634"/>
      <c r="AO143" s="2634"/>
      <c r="AP143" s="2587"/>
    </row>
    <row r="144" spans="1:42" ht="15.75" customHeight="1" thickBot="1" x14ac:dyDescent="0.35">
      <c r="A144" s="2972" t="s">
        <v>37</v>
      </c>
      <c r="B144" s="3029" t="s">
        <v>37</v>
      </c>
      <c r="C144" s="3029"/>
      <c r="D144" s="3027" t="s">
        <v>1090</v>
      </c>
      <c r="E144" s="2882">
        <v>19500</v>
      </c>
      <c r="F144" s="2684">
        <f>'exchange rates'!M40</f>
        <v>35.849890000000002</v>
      </c>
      <c r="G144" s="325">
        <f>660/F144</f>
        <v>18.410098329450939</v>
      </c>
      <c r="H144" s="326">
        <f>732/F144</f>
        <v>20.418472692663769</v>
      </c>
      <c r="I144" s="327">
        <v>0</v>
      </c>
      <c r="J144" s="561"/>
      <c r="K144" s="313">
        <f>Tabel668926[[#This Row],[Fix.ch. 2017]]+Tabel668926[[#This Row],[Var. ch. 2017]]+Tabel668926[[#This Row],[Oth. ch. DW 2017]]+Tabel668926[[#This Row],[VAT DW 2017]]</f>
        <v>38.828571022114708</v>
      </c>
      <c r="L144" s="328">
        <f>7.515/F144</f>
        <v>0.2096240741603391</v>
      </c>
      <c r="M144" s="1097"/>
      <c r="N144" s="329">
        <f>1650/F144</f>
        <v>46.025245823627351</v>
      </c>
      <c r="O144" s="561"/>
      <c r="P144" s="330">
        <v>0</v>
      </c>
      <c r="Q144" s="561"/>
      <c r="R144" s="2657">
        <f>Tabel668926[[#This Row],[VAT DW 2017]]+Tabel668926[[#This Row],[VAT Sew. 2017]]+Tabel668926[[#This Row],[VAT WW 2017]]+Tabel668926[[#This Row],[VAT Other ch. 2017]]</f>
        <v>0</v>
      </c>
      <c r="S144" s="318">
        <f>Tabel668926[[#This Row],[Total. ch. DW 2017]]+Tabel668926[[#This Row],[Sew. 2017]]+Tabel668926[[#This Row],[VAT Sew. 2017]]+Tabel668926[[#This Row],[WW 2017]]+Tabel668926[[#This Row],[VAT WW 2017]]+Tabel668926[[#This Row],[Other ch. 2017]]+Tabel668926[[#This Row],[VAT Other ch. 2017]]</f>
        <v>85.063440919902405</v>
      </c>
      <c r="T144" s="2587"/>
      <c r="U144" s="2974">
        <f>Tabel668926[[#This Row],[Fix.ch. 2017]]</f>
        <v>18.410098329450939</v>
      </c>
      <c r="V144" s="2975">
        <f>Tabel668926[[#This Row],[Var. ch. 2017]]</f>
        <v>20.418472692663769</v>
      </c>
      <c r="W144" s="2976">
        <v>0</v>
      </c>
      <c r="X144" s="2977"/>
      <c r="Y144" s="2978">
        <f>Tabel668926[[#This Row],[Total. ch. DW 2017]]</f>
        <v>38.828571022114708</v>
      </c>
      <c r="Z144" s="2979">
        <f>Tabel668926[[#This Row],[Sew. 2017]]</f>
        <v>0.2096240741603391</v>
      </c>
      <c r="AA144" s="2977"/>
      <c r="AB144" s="2980">
        <f>Tabel668926[[#This Row],[WW 2017]]</f>
        <v>46.025245823627351</v>
      </c>
      <c r="AC144" s="2977"/>
      <c r="AD144" s="2981">
        <v>0</v>
      </c>
      <c r="AE144" s="2977"/>
      <c r="AF144" s="2982">
        <v>0</v>
      </c>
      <c r="AG144" s="339">
        <f>Tabel668926[[#This Row],[total charge 2017]]</f>
        <v>85.063440919902405</v>
      </c>
      <c r="AH144" s="2587"/>
      <c r="AI144" s="2634"/>
      <c r="AJ144" s="2634"/>
      <c r="AK144" s="2634"/>
      <c r="AL144" s="2598" t="s">
        <v>429</v>
      </c>
      <c r="AM144" s="2634"/>
      <c r="AN144" s="2634"/>
      <c r="AO144" s="2634"/>
      <c r="AP144" s="2587"/>
    </row>
    <row r="145" spans="1:42" ht="15.75" customHeight="1" x14ac:dyDescent="0.25">
      <c r="A145" s="2635" t="s">
        <v>38</v>
      </c>
      <c r="B145" s="3030" t="s">
        <v>620</v>
      </c>
      <c r="C145" s="2623"/>
      <c r="D145" s="2623" t="s">
        <v>1092</v>
      </c>
      <c r="E145" s="2870">
        <v>19500</v>
      </c>
      <c r="F145" s="2577">
        <f>'exchange rates'!$O$41</f>
        <v>19.670400000000001</v>
      </c>
      <c r="G145" s="2895">
        <f>2780/F145</f>
        <v>141.32910362778591</v>
      </c>
      <c r="H145" s="2896">
        <v>0</v>
      </c>
      <c r="I145" s="2897">
        <v>0</v>
      </c>
      <c r="J145" s="2898">
        <v>0</v>
      </c>
      <c r="K145" s="566">
        <f>Tabel668926[[#This Row],[Fix.ch. 2017]]+Tabel668926[[#This Row],[Var. ch. 2017]]+Tabel668926[[#This Row],[Oth. ch. DW 2017]]+Tabel668926[[#This Row],[VAT DW 2017]]</f>
        <v>141.32910362778591</v>
      </c>
      <c r="L145" s="2899">
        <v>0</v>
      </c>
      <c r="M145" s="2900">
        <v>0</v>
      </c>
      <c r="N145" s="2901">
        <f>920/F145</f>
        <v>46.770782495526269</v>
      </c>
      <c r="O145" s="2898">
        <v>0</v>
      </c>
      <c r="P145" s="2902">
        <v>0</v>
      </c>
      <c r="Q145" s="2898">
        <v>0</v>
      </c>
      <c r="R145" s="2586">
        <f>Tabel668926[[#This Row],[VAT DW 2017]]+Tabel668926[[#This Row],[VAT Sew. 2017]]+Tabel668926[[#This Row],[VAT WW 2017]]+Tabel668926[[#This Row],[VAT Other ch. 2017]]</f>
        <v>0</v>
      </c>
      <c r="S145" s="571">
        <f>Tabel668926[[#This Row],[Total. ch. DW 2017]]+Tabel668926[[#This Row],[Sew. 2017]]+Tabel668926[[#This Row],[VAT Sew. 2017]]+Tabel668926[[#This Row],[WW 2017]]+Tabel668926[[#This Row],[VAT WW 2017]]+Tabel668926[[#This Row],[Other ch. 2017]]+Tabel668926[[#This Row],[VAT Other ch. 2017]]</f>
        <v>188.09988612331219</v>
      </c>
      <c r="T145" s="2587"/>
      <c r="U145" s="2674">
        <f>MEDIAN(G145:G150)</f>
        <v>174.88205628761997</v>
      </c>
      <c r="V145" s="2675">
        <f>MEDIAN(H145:H150)</f>
        <v>0</v>
      </c>
      <c r="W145" s="2676">
        <f>MEDIAN(I145:I150)</f>
        <v>0</v>
      </c>
      <c r="X145" s="2796">
        <f>MEDIAN(J145:J150)</f>
        <v>0</v>
      </c>
      <c r="Y145" s="2677">
        <f>SUM(U145:X150)</f>
        <v>174.88205628761997</v>
      </c>
      <c r="Z145" s="2678">
        <f t="shared" ref="Z145:AF145" si="19">MEDIAN(L145:L150)</f>
        <v>0</v>
      </c>
      <c r="AA145" s="2796">
        <f t="shared" si="19"/>
        <v>0</v>
      </c>
      <c r="AB145" s="2679">
        <f t="shared" si="19"/>
        <v>17.28485440052058</v>
      </c>
      <c r="AC145" s="2796">
        <f t="shared" si="19"/>
        <v>0</v>
      </c>
      <c r="AD145" s="2680">
        <f t="shared" si="19"/>
        <v>0</v>
      </c>
      <c r="AE145" s="2796">
        <f t="shared" si="19"/>
        <v>0</v>
      </c>
      <c r="AF145" s="2681">
        <f t="shared" si="19"/>
        <v>0</v>
      </c>
      <c r="AG145" s="1817">
        <f>Y145+Z145+AA145+AB145+AC145+AD145+AE145</f>
        <v>192.16691068814055</v>
      </c>
      <c r="AH145" s="2587"/>
      <c r="AI145" s="2597" t="s">
        <v>429</v>
      </c>
      <c r="AJ145" s="2597" t="s">
        <v>429</v>
      </c>
      <c r="AK145" s="2597"/>
      <c r="AL145" s="2597"/>
      <c r="AM145" s="2597" t="s">
        <v>429</v>
      </c>
      <c r="AN145" s="2597" t="s">
        <v>429</v>
      </c>
      <c r="AO145" s="2634"/>
      <c r="AP145" s="2587"/>
    </row>
    <row r="146" spans="1:42" ht="15.75" customHeight="1" x14ac:dyDescent="0.25">
      <c r="A146" s="2647"/>
      <c r="B146" s="3031" t="s">
        <v>889</v>
      </c>
      <c r="C146" s="2575" t="s">
        <v>429</v>
      </c>
      <c r="D146" s="2575" t="s">
        <v>1092</v>
      </c>
      <c r="E146" s="2711"/>
      <c r="F146" s="2577">
        <f>'exchange rates'!$O$41</f>
        <v>19.670400000000001</v>
      </c>
      <c r="G146" s="2895">
        <f>4160/F146</f>
        <v>211.48527737107531</v>
      </c>
      <c r="H146" s="2896">
        <v>0</v>
      </c>
      <c r="I146" s="2897">
        <v>0</v>
      </c>
      <c r="J146" s="2898">
        <v>0</v>
      </c>
      <c r="K146" s="566">
        <f>Tabel668926[[#This Row],[Fix.ch. 2017]]+Tabel668926[[#This Row],[Var. ch. 2017]]+Tabel668926[[#This Row],[Oth. ch. DW 2017]]</f>
        <v>211.48527737107531</v>
      </c>
      <c r="L146" s="2899">
        <v>0</v>
      </c>
      <c r="M146" s="2900">
        <v>0</v>
      </c>
      <c r="N146" s="2901">
        <v>0</v>
      </c>
      <c r="O146" s="2898">
        <v>0</v>
      </c>
      <c r="P146" s="2902">
        <v>0</v>
      </c>
      <c r="Q146" s="2898">
        <v>0</v>
      </c>
      <c r="R146" s="2586">
        <f>Tabel668926[[#This Row],[VAT DW 2017]]+Tabel668926[[#This Row],[VAT Sew. 2017]]+Tabel668926[[#This Row],[VAT WW 2017]]+Tabel668926[[#This Row],[VAT Other ch. 2017]]</f>
        <v>0</v>
      </c>
      <c r="S146" s="571">
        <f>Tabel668926[[#This Row],[Total. ch. DW 2017]]+Tabel668926[[#This Row],[Sew. 2017]]+Tabel668926[[#This Row],[VAT Sew. 2017]]+Tabel668926[[#This Row],[WW 2017]]+Tabel668926[[#This Row],[VAT WW 2017]]+Tabel668926[[#This Row],[Other ch. 2017]]+Tabel668926[[#This Row],[VAT Other ch. 2017]]</f>
        <v>211.48527737107531</v>
      </c>
      <c r="T146" s="2587"/>
      <c r="U146" s="2712"/>
      <c r="V146" s="2713"/>
      <c r="W146" s="2714"/>
      <c r="X146" s="2658"/>
      <c r="Y146" s="2715"/>
      <c r="Z146" s="2716"/>
      <c r="AA146" s="2658"/>
      <c r="AB146" s="2717"/>
      <c r="AC146" s="2658"/>
      <c r="AD146" s="2718"/>
      <c r="AE146" s="2658"/>
      <c r="AF146" s="2719"/>
      <c r="AG146" s="1832"/>
      <c r="AH146" s="2587"/>
      <c r="AI146" s="2598"/>
      <c r="AJ146" s="2634"/>
      <c r="AK146" s="2634"/>
      <c r="AL146" s="2598"/>
      <c r="AM146" s="2597" t="s">
        <v>429</v>
      </c>
      <c r="AN146" s="2597" t="s">
        <v>429</v>
      </c>
      <c r="AO146" s="2634"/>
      <c r="AP146" s="2587"/>
    </row>
    <row r="147" spans="1:42" ht="15.75" customHeight="1" x14ac:dyDescent="0.25">
      <c r="A147" s="2647"/>
      <c r="B147" s="3031" t="s">
        <v>621</v>
      </c>
      <c r="C147" s="2575"/>
      <c r="D147" s="2575" t="s">
        <v>1092</v>
      </c>
      <c r="E147" s="2600"/>
      <c r="F147" s="2577">
        <f>'exchange rates'!$O$41</f>
        <v>19.670400000000001</v>
      </c>
      <c r="G147" s="2895">
        <f>2260/F147</f>
        <v>114.8934439564015</v>
      </c>
      <c r="H147" s="2896">
        <v>0</v>
      </c>
      <c r="I147" s="2897">
        <v>0</v>
      </c>
      <c r="J147" s="2898">
        <v>0</v>
      </c>
      <c r="K147" s="566">
        <f>Tabel668926[[#This Row],[Fix.ch. 2017]]+Tabel668926[[#This Row],[Var. ch. 2017]]+Tabel668926[[#This Row],[Oth. ch. DW 2017]]+Tabel668926[[#This Row],[VAT DW 2017]]</f>
        <v>114.8934439564015</v>
      </c>
      <c r="L147" s="2899">
        <v>0</v>
      </c>
      <c r="M147" s="2900">
        <v>0</v>
      </c>
      <c r="N147" s="2901">
        <f>160/F147</f>
        <v>8.1340491296567432</v>
      </c>
      <c r="O147" s="2898">
        <v>0</v>
      </c>
      <c r="P147" s="2902">
        <v>0</v>
      </c>
      <c r="Q147" s="2898">
        <v>0</v>
      </c>
      <c r="R147" s="2586">
        <f>Tabel668926[[#This Row],[VAT DW 2017]]+Tabel668926[[#This Row],[VAT Sew. 2017]]+Tabel668926[[#This Row],[VAT WW 2017]]+Tabel668926[[#This Row],[VAT Other ch. 2017]]</f>
        <v>0</v>
      </c>
      <c r="S147" s="571">
        <f>Tabel668926[[#This Row],[Total. ch. DW 2017]]+Tabel668926[[#This Row],[Sew. 2017]]+Tabel668926[[#This Row],[VAT Sew. 2017]]+Tabel668926[[#This Row],[WW 2017]]+Tabel668926[[#This Row],[VAT WW 2017]]+Tabel668926[[#This Row],[Other ch. 2017]]+Tabel668926[[#This Row],[VAT Other ch. 2017]]</f>
        <v>123.02749308605824</v>
      </c>
      <c r="T147" s="2587"/>
      <c r="U147" s="2712"/>
      <c r="V147" s="2713"/>
      <c r="W147" s="2714"/>
      <c r="X147" s="2658"/>
      <c r="Y147" s="2715"/>
      <c r="Z147" s="2716"/>
      <c r="AA147" s="2658"/>
      <c r="AB147" s="2717"/>
      <c r="AC147" s="2658"/>
      <c r="AD147" s="2718"/>
      <c r="AE147" s="2658"/>
      <c r="AF147" s="2719"/>
      <c r="AG147" s="1832"/>
      <c r="AH147" s="2587"/>
      <c r="AI147" s="2597" t="s">
        <v>429</v>
      </c>
      <c r="AJ147" s="2634"/>
      <c r="AK147" s="2634"/>
      <c r="AL147" s="2598"/>
      <c r="AM147" s="2597" t="s">
        <v>429</v>
      </c>
      <c r="AN147" s="2597" t="s">
        <v>429</v>
      </c>
      <c r="AO147" s="2634"/>
      <c r="AP147" s="2587"/>
    </row>
    <row r="148" spans="1:42" ht="15.75" customHeight="1" x14ac:dyDescent="0.25">
      <c r="A148" s="2647"/>
      <c r="B148" s="3031" t="s">
        <v>622</v>
      </c>
      <c r="C148" s="2575"/>
      <c r="D148" s="2575" t="s">
        <v>1092</v>
      </c>
      <c r="E148" s="2600"/>
      <c r="F148" s="2577">
        <f>'exchange rates'!$O$41</f>
        <v>19.670400000000001</v>
      </c>
      <c r="G148" s="2895">
        <f>4600/F148</f>
        <v>233.85391247763135</v>
      </c>
      <c r="H148" s="2896">
        <v>0</v>
      </c>
      <c r="I148" s="2897">
        <v>0</v>
      </c>
      <c r="J148" s="2898">
        <v>0</v>
      </c>
      <c r="K148" s="566">
        <f>Tabel668926[[#This Row],[Fix.ch. 2017]]+Tabel668926[[#This Row],[Var. ch. 2017]]+Tabel668926[[#This Row],[Oth. ch. DW 2017]]+Tabel668926[[#This Row],[VAT DW 2017]]</f>
        <v>233.85391247763135</v>
      </c>
      <c r="L148" s="2899">
        <v>0</v>
      </c>
      <c r="M148" s="2900">
        <v>0</v>
      </c>
      <c r="N148" s="2901">
        <v>0</v>
      </c>
      <c r="O148" s="2898">
        <v>0</v>
      </c>
      <c r="P148" s="2902">
        <v>0</v>
      </c>
      <c r="Q148" s="2898">
        <v>0</v>
      </c>
      <c r="R148" s="2586">
        <f>Tabel668926[[#This Row],[VAT DW 2017]]+Tabel668926[[#This Row],[VAT Sew. 2017]]+Tabel668926[[#This Row],[VAT WW 2017]]+Tabel668926[[#This Row],[VAT Other ch. 2017]]</f>
        <v>0</v>
      </c>
      <c r="S148" s="571">
        <f>Tabel668926[[#This Row],[Total. ch. DW 2017]]+Tabel668926[[#This Row],[Sew. 2017]]+Tabel668926[[#This Row],[VAT Sew. 2017]]+Tabel668926[[#This Row],[WW 2017]]+Tabel668926[[#This Row],[VAT WW 2017]]+Tabel668926[[#This Row],[Other ch. 2017]]+Tabel668926[[#This Row],[VAT Other ch. 2017]]</f>
        <v>233.85391247763135</v>
      </c>
      <c r="T148" s="2587"/>
      <c r="U148" s="2712"/>
      <c r="V148" s="2713"/>
      <c r="W148" s="2714"/>
      <c r="X148" s="2658"/>
      <c r="Y148" s="2715"/>
      <c r="Z148" s="2716"/>
      <c r="AA148" s="2658"/>
      <c r="AB148" s="2717"/>
      <c r="AC148" s="2658"/>
      <c r="AD148" s="2718"/>
      <c r="AE148" s="2658"/>
      <c r="AF148" s="2719"/>
      <c r="AG148" s="1832"/>
      <c r="AH148" s="2587"/>
      <c r="AI148" s="2598"/>
      <c r="AJ148" s="2634"/>
      <c r="AK148" s="2634"/>
      <c r="AL148" s="2598"/>
      <c r="AM148" s="2597" t="s">
        <v>429</v>
      </c>
      <c r="AN148" s="2597" t="s">
        <v>429</v>
      </c>
      <c r="AO148" s="2634"/>
      <c r="AP148" s="2587"/>
    </row>
    <row r="149" spans="1:42" ht="15.75" customHeight="1" x14ac:dyDescent="0.25">
      <c r="A149" s="2647"/>
      <c r="B149" s="3031" t="s">
        <v>623</v>
      </c>
      <c r="C149" s="2575"/>
      <c r="D149" s="2575" t="s">
        <v>1092</v>
      </c>
      <c r="E149" s="2600"/>
      <c r="F149" s="2577">
        <f>'exchange rates'!$O$41</f>
        <v>19.670400000000001</v>
      </c>
      <c r="G149" s="2895">
        <f>2400/F149</f>
        <v>122.01073694485115</v>
      </c>
      <c r="H149" s="2896">
        <v>0</v>
      </c>
      <c r="I149" s="2897">
        <v>0</v>
      </c>
      <c r="J149" s="2898">
        <v>0</v>
      </c>
      <c r="K149" s="566">
        <f>Tabel668926[[#This Row],[Fix.ch. 2017]]+Tabel668926[[#This Row],[Var. ch. 2017]]+Tabel668926[[#This Row],[Oth. ch. DW 2017]]+Tabel668926[[#This Row],[VAT DW 2017]]</f>
        <v>122.01073694485115</v>
      </c>
      <c r="L149" s="2899">
        <v>0</v>
      </c>
      <c r="M149" s="2900">
        <v>0</v>
      </c>
      <c r="N149" s="2901">
        <f>520/F149</f>
        <v>26.435659671384414</v>
      </c>
      <c r="O149" s="2898">
        <v>0</v>
      </c>
      <c r="P149" s="2902">
        <v>0</v>
      </c>
      <c r="Q149" s="2898">
        <v>0</v>
      </c>
      <c r="R149" s="2586">
        <f>Tabel668926[[#This Row],[VAT DW 2017]]+Tabel668926[[#This Row],[VAT Sew. 2017]]+Tabel668926[[#This Row],[VAT WW 2017]]+Tabel668926[[#This Row],[VAT Other ch. 2017]]</f>
        <v>0</v>
      </c>
      <c r="S149" s="571">
        <f>Tabel668926[[#This Row],[Total. ch. DW 2017]]+Tabel668926[[#This Row],[Sew. 2017]]+Tabel668926[[#This Row],[VAT Sew. 2017]]+Tabel668926[[#This Row],[WW 2017]]+Tabel668926[[#This Row],[VAT WW 2017]]+Tabel668926[[#This Row],[Other ch. 2017]]+Tabel668926[[#This Row],[VAT Other ch. 2017]]</f>
        <v>148.44639661623557</v>
      </c>
      <c r="T149" s="2587"/>
      <c r="U149" s="2712"/>
      <c r="V149" s="2713"/>
      <c r="W149" s="2714"/>
      <c r="X149" s="2658"/>
      <c r="Y149" s="2715"/>
      <c r="Z149" s="2716"/>
      <c r="AA149" s="2658"/>
      <c r="AB149" s="2717"/>
      <c r="AC149" s="2658"/>
      <c r="AD149" s="2718"/>
      <c r="AE149" s="2658"/>
      <c r="AF149" s="2719"/>
      <c r="AG149" s="1832"/>
      <c r="AH149" s="2587"/>
      <c r="AI149" s="2598"/>
      <c r="AJ149" s="2634"/>
      <c r="AK149" s="2634"/>
      <c r="AL149" s="2598"/>
      <c r="AM149" s="2597" t="s">
        <v>429</v>
      </c>
      <c r="AN149" s="2597" t="s">
        <v>429</v>
      </c>
      <c r="AO149" s="2634"/>
      <c r="AP149" s="2587"/>
    </row>
    <row r="150" spans="1:42" ht="15.75" customHeight="1" thickBot="1" x14ac:dyDescent="0.3">
      <c r="A150" s="2661"/>
      <c r="B150" s="3031" t="s">
        <v>624</v>
      </c>
      <c r="C150" s="2575"/>
      <c r="D150" s="3032" t="s">
        <v>1092</v>
      </c>
      <c r="E150" s="2611"/>
      <c r="F150" s="2577">
        <f>'exchange rates'!$O$41</f>
        <v>19.670400000000001</v>
      </c>
      <c r="G150" s="2895">
        <f>4100/F150</f>
        <v>208.43500894745404</v>
      </c>
      <c r="H150" s="2896">
        <v>0</v>
      </c>
      <c r="I150" s="2897">
        <v>0</v>
      </c>
      <c r="J150" s="2898">
        <v>0</v>
      </c>
      <c r="K150" s="566">
        <f>Tabel668926[[#This Row],[Fix.ch. 2017]]+Tabel668926[[#This Row],[Var. ch. 2017]]+Tabel668926[[#This Row],[Oth. ch. DW 2017]]+Tabel668926[[#This Row],[VAT DW 2017]]</f>
        <v>208.43500894745404</v>
      </c>
      <c r="L150" s="2899">
        <v>0</v>
      </c>
      <c r="M150" s="2900">
        <v>0</v>
      </c>
      <c r="N150" s="2901">
        <f>680/F150</f>
        <v>34.569708801041159</v>
      </c>
      <c r="O150" s="2898">
        <v>0</v>
      </c>
      <c r="P150" s="2902">
        <v>0</v>
      </c>
      <c r="Q150" s="2898">
        <v>0</v>
      </c>
      <c r="R150" s="2586">
        <f>Tabel668926[[#This Row],[VAT DW 2017]]+Tabel668926[[#This Row],[VAT Sew. 2017]]+Tabel668926[[#This Row],[VAT WW 2017]]+Tabel668926[[#This Row],[VAT Other ch. 2017]]</f>
        <v>0</v>
      </c>
      <c r="S150" s="571">
        <f>Tabel668926[[#This Row],[Total. ch. DW 2017]]+Tabel668926[[#This Row],[Sew. 2017]]+Tabel668926[[#This Row],[VAT Sew. 2017]]+Tabel668926[[#This Row],[WW 2017]]+Tabel668926[[#This Row],[VAT WW 2017]]+Tabel668926[[#This Row],[Other ch. 2017]]+Tabel668926[[#This Row],[VAT Other ch. 2017]]</f>
        <v>243.00471774849518</v>
      </c>
      <c r="T150" s="2587"/>
      <c r="U150" s="2612"/>
      <c r="V150" s="2613"/>
      <c r="W150" s="2614"/>
      <c r="X150" s="2615"/>
      <c r="Y150" s="2616"/>
      <c r="Z150" s="2617"/>
      <c r="AA150" s="2615"/>
      <c r="AB150" s="2618"/>
      <c r="AC150" s="2615"/>
      <c r="AD150" s="2619"/>
      <c r="AE150" s="2615"/>
      <c r="AF150" s="2620"/>
      <c r="AG150" s="1794"/>
      <c r="AH150" s="2587"/>
      <c r="AI150" s="2598"/>
      <c r="AJ150" s="2634"/>
      <c r="AK150" s="2634"/>
      <c r="AL150" s="2598"/>
      <c r="AM150" s="2597" t="s">
        <v>429</v>
      </c>
      <c r="AN150" s="2597" t="s">
        <v>429</v>
      </c>
      <c r="AO150" s="2634"/>
      <c r="AP150" s="2587"/>
    </row>
    <row r="151" spans="1:42" ht="15.75" customHeight="1" x14ac:dyDescent="0.25">
      <c r="A151" s="3033" t="s">
        <v>39</v>
      </c>
      <c r="B151" s="3034" t="s">
        <v>494</v>
      </c>
      <c r="C151" s="3035"/>
      <c r="D151" s="3035" t="s">
        <v>1094</v>
      </c>
      <c r="E151" s="3036">
        <v>5100</v>
      </c>
      <c r="F151" s="2684">
        <v>8.5832200000000007</v>
      </c>
      <c r="G151" s="325">
        <f>84/F151</f>
        <v>9.7865369872844923</v>
      </c>
      <c r="H151" s="326">
        <f>1362.08/F151</f>
        <v>158.69102737667214</v>
      </c>
      <c r="I151" s="327">
        <v>0</v>
      </c>
      <c r="J151" s="561"/>
      <c r="K151" s="313">
        <f>Tabel668926[[#This Row],[Fix.ch. 2017]]+Tabel668926[[#This Row],[Var. ch. 2017]]+Tabel668926[[#This Row],[Oth. ch. DW 2017]]+Tabel668926[[#This Row],[VAT DW 2017]]</f>
        <v>168.47756436395662</v>
      </c>
      <c r="L151" s="328">
        <f>343.44/F151</f>
        <v>40.012955510868878</v>
      </c>
      <c r="M151" s="1097"/>
      <c r="N151" s="329">
        <v>0</v>
      </c>
      <c r="O151" s="561"/>
      <c r="P151" s="330">
        <v>0</v>
      </c>
      <c r="Q151" s="561"/>
      <c r="R151" s="2657">
        <f>Tabel668926[[#This Row],[VAT DW 2017]]+Tabel668926[[#This Row],[VAT Sew. 2017]]+Tabel668926[[#This Row],[VAT WW 2017]]+Tabel668926[[#This Row],[VAT Other ch. 2017]]</f>
        <v>0</v>
      </c>
      <c r="S151" s="318">
        <f>Tabel668926[[#This Row],[Total. ch. DW 2017]]+Tabel668926[[#This Row],[Sew. 2017]]+Tabel668926[[#This Row],[VAT Sew. 2017]]+Tabel668926[[#This Row],[WW 2017]]+Tabel668926[[#This Row],[VAT WW 2017]]+Tabel668926[[#This Row],[Other ch. 2017]]+Tabel668926[[#This Row],[VAT Other ch. 2017]]</f>
        <v>208.49051987482551</v>
      </c>
      <c r="T151" s="2587"/>
      <c r="U151" s="3037">
        <f>SUM(G151:G155)/5</f>
        <v>9.38109474066842</v>
      </c>
      <c r="V151" s="3038">
        <f>SUM(H151:H155)/5</f>
        <v>129.00333441295922</v>
      </c>
      <c r="W151" s="3039">
        <f>SUM(I151:I155)/5</f>
        <v>0</v>
      </c>
      <c r="X151" s="2729"/>
      <c r="Y151" s="3040">
        <f>SUM(K151:K155)/5</f>
        <v>138.38442915362765</v>
      </c>
      <c r="Z151" s="3041">
        <f>SUM(L151:L155)/5</f>
        <v>34.621971707587591</v>
      </c>
      <c r="AA151" s="2729"/>
      <c r="AB151" s="3042">
        <f>SUM(N151:N155)/5</f>
        <v>0</v>
      </c>
      <c r="AC151" s="2729"/>
      <c r="AD151" s="3043">
        <f>SUM(P151:P155)/5</f>
        <v>0</v>
      </c>
      <c r="AE151" s="2729"/>
      <c r="AF151" s="3044">
        <f t="shared" ref="AF151:AG151" si="20">SUM(R151:R155)/5</f>
        <v>0</v>
      </c>
      <c r="AG151" s="2076">
        <f t="shared" si="20"/>
        <v>173.00640086121524</v>
      </c>
      <c r="AH151" s="2587"/>
      <c r="AI151" s="2634"/>
      <c r="AJ151" s="2634"/>
      <c r="AK151" s="2634"/>
      <c r="AL151" s="2598" t="s">
        <v>429</v>
      </c>
      <c r="AM151" s="2634"/>
      <c r="AN151" s="2634"/>
      <c r="AO151" s="2634"/>
      <c r="AP151" s="2587"/>
    </row>
    <row r="152" spans="1:42" ht="15.75" customHeight="1" x14ac:dyDescent="0.25">
      <c r="A152" s="3045"/>
      <c r="B152" s="3046" t="s">
        <v>495</v>
      </c>
      <c r="C152" s="3047" t="s">
        <v>429</v>
      </c>
      <c r="D152" s="3047" t="s">
        <v>1094</v>
      </c>
      <c r="E152" s="3048"/>
      <c r="F152" s="2684">
        <v>8.5832200000000007</v>
      </c>
      <c r="G152" s="325">
        <f>102.6/F152</f>
        <v>11.953555891611771</v>
      </c>
      <c r="H152" s="326">
        <f>1117.04/F152</f>
        <v>130.1423009080508</v>
      </c>
      <c r="I152" s="327">
        <v>0</v>
      </c>
      <c r="J152" s="561"/>
      <c r="K152" s="313">
        <f>Tabel668926[[#This Row],[Fix.ch. 2017]]+Tabel668926[[#This Row],[Var. ch. 2017]]+Tabel668926[[#This Row],[Oth. ch. DW 2017]]+Tabel668926[[#This Row],[VAT DW 2017]]</f>
        <v>142.09585679966256</v>
      </c>
      <c r="L152" s="328">
        <f>328.8/F152</f>
        <v>38.307301921656439</v>
      </c>
      <c r="M152" s="1097"/>
      <c r="N152" s="329">
        <v>0</v>
      </c>
      <c r="O152" s="561"/>
      <c r="P152" s="330">
        <v>0</v>
      </c>
      <c r="Q152" s="561"/>
      <c r="R152" s="2657">
        <f>Tabel668926[[#This Row],[VAT DW 2017]]+Tabel668926[[#This Row],[VAT Sew. 2017]]+Tabel668926[[#This Row],[VAT WW 2017]]+Tabel668926[[#This Row],[VAT Other ch. 2017]]</f>
        <v>0</v>
      </c>
      <c r="S152" s="318">
        <f>Tabel668926[[#This Row],[Total. ch. DW 2017]]+Tabel668926[[#This Row],[Sew. 2017]]+Tabel668926[[#This Row],[VAT Sew. 2017]]+Tabel668926[[#This Row],[WW 2017]]+Tabel668926[[#This Row],[VAT WW 2017]]+Tabel668926[[#This Row],[Other ch. 2017]]+Tabel668926[[#This Row],[VAT Other ch. 2017]]</f>
        <v>180.40315872131899</v>
      </c>
      <c r="T152" s="2587"/>
      <c r="U152" s="2998"/>
      <c r="V152" s="2999"/>
      <c r="W152" s="3000"/>
      <c r="X152" s="2740"/>
      <c r="Y152" s="3001"/>
      <c r="Z152" s="3002"/>
      <c r="AA152" s="2740"/>
      <c r="AB152" s="3003"/>
      <c r="AC152" s="2740"/>
      <c r="AD152" s="3004"/>
      <c r="AE152" s="2740"/>
      <c r="AF152" s="3005"/>
      <c r="AG152" s="2077"/>
      <c r="AH152" s="2587"/>
      <c r="AI152" s="2634"/>
      <c r="AJ152" s="2634"/>
      <c r="AK152" s="2634"/>
      <c r="AL152" s="2598" t="s">
        <v>429</v>
      </c>
      <c r="AM152" s="2634"/>
      <c r="AN152" s="2634"/>
      <c r="AO152" s="2634"/>
      <c r="AP152" s="2587"/>
    </row>
    <row r="153" spans="1:42" ht="15.75" customHeight="1" x14ac:dyDescent="0.25">
      <c r="A153" s="3045"/>
      <c r="B153" s="3046" t="s">
        <v>496</v>
      </c>
      <c r="C153" s="3047"/>
      <c r="D153" s="3047" t="s">
        <v>1094</v>
      </c>
      <c r="E153" s="3048"/>
      <c r="F153" s="2684">
        <v>8.5832200000000007</v>
      </c>
      <c r="G153" s="325">
        <f>72/F153</f>
        <v>8.3884602748152783</v>
      </c>
      <c r="H153" s="326">
        <f>1045.2/F153</f>
        <v>121.77248165606846</v>
      </c>
      <c r="I153" s="327">
        <v>0</v>
      </c>
      <c r="J153" s="561"/>
      <c r="K153" s="313">
        <f>Tabel668926[[#This Row],[Fix.ch. 2017]]+Tabel668926[[#This Row],[Var. ch. 2017]]+Tabel668926[[#This Row],[Oth. ch. DW 2017]]+Tabel668926[[#This Row],[VAT DW 2017]]</f>
        <v>130.16094193088375</v>
      </c>
      <c r="L153" s="328">
        <f>223.4/F153</f>
        <v>26.027528130468518</v>
      </c>
      <c r="M153" s="1097"/>
      <c r="N153" s="329">
        <v>0</v>
      </c>
      <c r="O153" s="561"/>
      <c r="P153" s="330">
        <v>0</v>
      </c>
      <c r="Q153" s="561"/>
      <c r="R153" s="2657">
        <f>Tabel668926[[#This Row],[VAT DW 2017]]+Tabel668926[[#This Row],[VAT Sew. 2017]]+Tabel668926[[#This Row],[VAT WW 2017]]+Tabel668926[[#This Row],[VAT Other ch. 2017]]</f>
        <v>0</v>
      </c>
      <c r="S153" s="318">
        <f>Tabel668926[[#This Row],[Total. ch. DW 2017]]+Tabel668926[[#This Row],[Sew. 2017]]+Tabel668926[[#This Row],[VAT Sew. 2017]]+Tabel668926[[#This Row],[WW 2017]]+Tabel668926[[#This Row],[VAT WW 2017]]+Tabel668926[[#This Row],[Other ch. 2017]]+Tabel668926[[#This Row],[VAT Other ch. 2017]]</f>
        <v>156.18847006135226</v>
      </c>
      <c r="T153" s="2587"/>
      <c r="U153" s="2998"/>
      <c r="V153" s="2999"/>
      <c r="W153" s="3000"/>
      <c r="X153" s="2740"/>
      <c r="Y153" s="3001"/>
      <c r="Z153" s="3002"/>
      <c r="AA153" s="2740"/>
      <c r="AB153" s="3003"/>
      <c r="AC153" s="2740"/>
      <c r="AD153" s="3004"/>
      <c r="AE153" s="2740"/>
      <c r="AF153" s="3005"/>
      <c r="AG153" s="2077"/>
      <c r="AH153" s="2587"/>
      <c r="AI153" s="2634"/>
      <c r="AJ153" s="2634"/>
      <c r="AK153" s="2634"/>
      <c r="AL153" s="2598" t="s">
        <v>429</v>
      </c>
      <c r="AM153" s="2634"/>
      <c r="AN153" s="2634"/>
      <c r="AO153" s="2634"/>
      <c r="AP153" s="2587"/>
    </row>
    <row r="154" spans="1:42" ht="15.75" customHeight="1" x14ac:dyDescent="0.25">
      <c r="A154" s="3045"/>
      <c r="B154" s="3046" t="s">
        <v>497</v>
      </c>
      <c r="C154" s="3047"/>
      <c r="D154" s="3047" t="s">
        <v>1094</v>
      </c>
      <c r="E154" s="3048"/>
      <c r="F154" s="2684">
        <v>8.5832200000000007</v>
      </c>
      <c r="G154" s="325">
        <f>72/F154</f>
        <v>8.3884602748152783</v>
      </c>
      <c r="H154" s="326">
        <f>1074.24/F154</f>
        <v>125.15582730024396</v>
      </c>
      <c r="I154" s="327">
        <v>0</v>
      </c>
      <c r="J154" s="561"/>
      <c r="K154" s="313">
        <f>Tabel668926[[#This Row],[Fix.ch. 2017]]+Tabel668926[[#This Row],[Var. ch. 2017]]+Tabel668926[[#This Row],[Oth. ch. DW 2017]]+Tabel668926[[#This Row],[VAT DW 2017]]</f>
        <v>133.54428757505923</v>
      </c>
      <c r="L154" s="328">
        <f>233.08/F154</f>
        <v>27.155310011860351</v>
      </c>
      <c r="M154" s="1097"/>
      <c r="N154" s="329">
        <v>0</v>
      </c>
      <c r="O154" s="561"/>
      <c r="P154" s="330">
        <v>0</v>
      </c>
      <c r="Q154" s="561"/>
      <c r="R154" s="2657">
        <f>Tabel668926[[#This Row],[VAT DW 2017]]+Tabel668926[[#This Row],[VAT Sew. 2017]]+Tabel668926[[#This Row],[VAT WW 2017]]+Tabel668926[[#This Row],[VAT Other ch. 2017]]</f>
        <v>0</v>
      </c>
      <c r="S154" s="318">
        <f>Tabel668926[[#This Row],[Total. ch. DW 2017]]+Tabel668926[[#This Row],[Sew. 2017]]+Tabel668926[[#This Row],[VAT Sew. 2017]]+Tabel668926[[#This Row],[WW 2017]]+Tabel668926[[#This Row],[VAT WW 2017]]+Tabel668926[[#This Row],[Other ch. 2017]]+Tabel668926[[#This Row],[VAT Other ch. 2017]]</f>
        <v>160.69959758691959</v>
      </c>
      <c r="T154" s="2587"/>
      <c r="U154" s="2998"/>
      <c r="V154" s="2999"/>
      <c r="W154" s="3000"/>
      <c r="X154" s="2740"/>
      <c r="Y154" s="3001"/>
      <c r="Z154" s="3002"/>
      <c r="AA154" s="2740"/>
      <c r="AB154" s="3003"/>
      <c r="AC154" s="2740"/>
      <c r="AD154" s="3004"/>
      <c r="AE154" s="2740"/>
      <c r="AF154" s="3005"/>
      <c r="AG154" s="2077"/>
      <c r="AH154" s="2587"/>
      <c r="AI154" s="2634"/>
      <c r="AJ154" s="2634"/>
      <c r="AK154" s="2634"/>
      <c r="AL154" s="2598" t="s">
        <v>429</v>
      </c>
      <c r="AM154" s="2634"/>
      <c r="AN154" s="2634"/>
      <c r="AO154" s="2634"/>
      <c r="AP154" s="2587"/>
    </row>
    <row r="155" spans="1:42" ht="15.75" customHeight="1" thickBot="1" x14ac:dyDescent="0.3">
      <c r="A155" s="3049"/>
      <c r="B155" s="3050" t="s">
        <v>498</v>
      </c>
      <c r="C155" s="3051"/>
      <c r="D155" s="3051" t="s">
        <v>1094</v>
      </c>
      <c r="E155" s="2927"/>
      <c r="F155" s="2684">
        <v>8.5832200000000007</v>
      </c>
      <c r="G155" s="325">
        <f>72/F155</f>
        <v>8.3884602748152783</v>
      </c>
      <c r="H155" s="326">
        <f>937.76/F155</f>
        <v>109.25503482376077</v>
      </c>
      <c r="I155" s="327">
        <v>0</v>
      </c>
      <c r="J155" s="561"/>
      <c r="K155" s="313">
        <f>Tabel668926[[#This Row],[Fix.ch. 2017]]+Tabel668926[[#This Row],[Var. ch. 2017]]+Tabel668926[[#This Row],[Oth. ch. DW 2017]]+Tabel668926[[#This Row],[VAT DW 2017]]</f>
        <v>117.64349509857604</v>
      </c>
      <c r="L155" s="328">
        <f>357.12/F155</f>
        <v>41.606762963083781</v>
      </c>
      <c r="M155" s="1097"/>
      <c r="N155" s="329">
        <v>0</v>
      </c>
      <c r="O155" s="561"/>
      <c r="P155" s="330">
        <v>0</v>
      </c>
      <c r="Q155" s="561"/>
      <c r="R155" s="2657">
        <f>Tabel668926[[#This Row],[VAT DW 2017]]+Tabel668926[[#This Row],[VAT Sew. 2017]]+Tabel668926[[#This Row],[VAT WW 2017]]+Tabel668926[[#This Row],[VAT Other ch. 2017]]</f>
        <v>0</v>
      </c>
      <c r="S155" s="318">
        <f>Tabel668926[[#This Row],[Total. ch. DW 2017]]+Tabel668926[[#This Row],[Sew. 2017]]+Tabel668926[[#This Row],[VAT Sew. 2017]]+Tabel668926[[#This Row],[WW 2017]]+Tabel668926[[#This Row],[VAT WW 2017]]+Tabel668926[[#This Row],[Other ch. 2017]]+Tabel668926[[#This Row],[VAT Other ch. 2017]]</f>
        <v>159.25025806165982</v>
      </c>
      <c r="T155" s="2587"/>
      <c r="U155" s="2928"/>
      <c r="V155" s="2929"/>
      <c r="W155" s="2930"/>
      <c r="X155" s="2752"/>
      <c r="Y155" s="2931"/>
      <c r="Z155" s="2932"/>
      <c r="AA155" s="2752"/>
      <c r="AB155" s="2933"/>
      <c r="AC155" s="2752"/>
      <c r="AD155" s="2934"/>
      <c r="AE155" s="2752"/>
      <c r="AF155" s="2935"/>
      <c r="AG155" s="1995"/>
      <c r="AH155" s="2587"/>
      <c r="AI155" s="2634"/>
      <c r="AJ155" s="2634"/>
      <c r="AK155" s="2634"/>
      <c r="AL155" s="2598" t="s">
        <v>429</v>
      </c>
      <c r="AM155" s="2634"/>
      <c r="AN155" s="2634"/>
      <c r="AO155" s="2634"/>
      <c r="AP155" s="2587"/>
    </row>
    <row r="156" spans="1:42" ht="15.75" customHeight="1" thickBot="1" x14ac:dyDescent="0.3">
      <c r="A156" s="2769" t="s">
        <v>734</v>
      </c>
      <c r="B156" s="2983" t="s">
        <v>735</v>
      </c>
      <c r="C156" s="2984"/>
      <c r="D156" s="2984" t="s">
        <v>1104</v>
      </c>
      <c r="E156" s="3052">
        <v>11300</v>
      </c>
      <c r="F156" s="2684">
        <f>'exchange rates'!M43</f>
        <v>15.682219999999999</v>
      </c>
      <c r="G156" s="325"/>
      <c r="H156" s="326"/>
      <c r="I156" s="327"/>
      <c r="J156" s="561"/>
      <c r="K156" s="313">
        <f>Tabel668926[[#This Row],[Fix.ch. 2017]]+Tabel668926[[#This Row],[Var. ch. 2017]]+Tabel668926[[#This Row],[Oth. ch. DW 2017]]+Tabel668926[[#This Row],[VAT DW 2017]]</f>
        <v>0</v>
      </c>
      <c r="L156" s="328"/>
      <c r="M156" s="1097"/>
      <c r="N156" s="329"/>
      <c r="O156" s="561"/>
      <c r="P156" s="330"/>
      <c r="Q156" s="561"/>
      <c r="R156" s="2657">
        <f>Tabel668926[[#This Row],[VAT DW 2017]]+Tabel668926[[#This Row],[VAT Sew. 2017]]+Tabel668926[[#This Row],[VAT WW 2017]]+Tabel668926[[#This Row],[VAT Other ch. 2017]]</f>
        <v>0</v>
      </c>
      <c r="S156" s="318">
        <f>Tabel668926[[#This Row],[Total. ch. DW 2017]]+Tabel668926[[#This Row],[Sew. 2017]]+Tabel668926[[#This Row],[VAT Sew. 2017]]+Tabel668926[[#This Row],[WW 2017]]+Tabel668926[[#This Row],[VAT WW 2017]]+Tabel668926[[#This Row],[Other ch. 2017]]+Tabel668926[[#This Row],[VAT Other ch. 2017]]</f>
        <v>0</v>
      </c>
      <c r="T156" s="2587"/>
      <c r="U156" s="3053"/>
      <c r="V156" s="3054"/>
      <c r="W156" s="3055"/>
      <c r="X156" s="2740"/>
      <c r="Y156" s="1735"/>
      <c r="Z156" s="3056"/>
      <c r="AA156" s="2740"/>
      <c r="AB156" s="3057"/>
      <c r="AC156" s="2740"/>
      <c r="AD156" s="3058"/>
      <c r="AE156" s="2740"/>
      <c r="AF156" s="3059"/>
      <c r="AG156" s="1721"/>
      <c r="AH156" s="2587"/>
      <c r="AI156" s="2634"/>
      <c r="AJ156" s="2634"/>
      <c r="AK156" s="2634"/>
      <c r="AL156" s="2598"/>
      <c r="AM156" s="2634"/>
      <c r="AN156" s="2634"/>
      <c r="AO156" s="2634"/>
      <c r="AP156" s="2587"/>
    </row>
    <row r="157" spans="1:42" ht="15.75" customHeight="1" x14ac:dyDescent="0.25">
      <c r="A157" s="3060" t="s">
        <v>20</v>
      </c>
      <c r="B157" s="2659" t="s">
        <v>182</v>
      </c>
      <c r="C157" s="2659" t="s">
        <v>429</v>
      </c>
      <c r="D157" s="2659" t="s">
        <v>1106</v>
      </c>
      <c r="E157" s="2838">
        <v>53600</v>
      </c>
      <c r="F157" s="2577">
        <f>'exchange rates'!$O$44</f>
        <v>0.83301000000000003</v>
      </c>
      <c r="G157" s="2895">
        <f>42.15/F157</f>
        <v>50.599632657471098</v>
      </c>
      <c r="H157" s="2896">
        <f>236/F157</f>
        <v>283.30992425060924</v>
      </c>
      <c r="I157" s="2897">
        <v>0</v>
      </c>
      <c r="J157" s="2898">
        <f>16.69/F157</f>
        <v>20.035773880265545</v>
      </c>
      <c r="K157" s="566">
        <f>Tabel668926[[#This Row],[Fix.ch. 2017]]+Tabel668926[[#This Row],[Var. ch. 2017]]+Tabel668926[[#This Row],[Oth. ch. DW 2017]]+Tabel668926[[#This Row],[VAT DW 2017]]</f>
        <v>353.94533078834587</v>
      </c>
      <c r="L157" s="2899">
        <f>128/F157</f>
        <v>153.65961993253381</v>
      </c>
      <c r="M157" s="2900">
        <v>0</v>
      </c>
      <c r="N157" s="2901">
        <f>157.95/F157</f>
        <v>189.61357006518529</v>
      </c>
      <c r="O157" s="2898">
        <v>0</v>
      </c>
      <c r="P157" s="2902">
        <f>67.2/F157</f>
        <v>80.671300464580256</v>
      </c>
      <c r="Q157" s="2898">
        <f>4.03/F157</f>
        <v>4.8378770963133695</v>
      </c>
      <c r="R157" s="2586">
        <f>Tabel668926[[#This Row],[VAT DW 2017]]+Tabel668926[[#This Row],[VAT Sew. 2017]]+Tabel668926[[#This Row],[VAT WW 2017]]+Tabel668926[[#This Row],[VAT Other ch. 2017]]</f>
        <v>24.873650976578915</v>
      </c>
      <c r="S157" s="571">
        <f>Tabel668926[[#This Row],[Total. ch. DW 2017]]+Tabel668926[[#This Row],[Sew. 2017]]+Tabel668926[[#This Row],[VAT Sew. 2017]]+Tabel668926[[#This Row],[WW 2017]]+Tabel668926[[#This Row],[VAT WW 2017]]+Tabel668926[[#This Row],[Other ch. 2017]]+Tabel668926[[#This Row],[VAT Other ch. 2017]]</f>
        <v>782.72769834695862</v>
      </c>
      <c r="T157" s="2587"/>
      <c r="U157" s="2674">
        <f>MEDIAN(G157:G161)</f>
        <v>70.827481062652311</v>
      </c>
      <c r="V157" s="2675">
        <f>MEDIAN(H157:H161)</f>
        <v>216.08384053012568</v>
      </c>
      <c r="W157" s="2676">
        <f>MEDIAN(I157:I161)</f>
        <v>0</v>
      </c>
      <c r="X157" s="2591">
        <f>MEDIAN(J157:J161)</f>
        <v>17.778898212506451</v>
      </c>
      <c r="Y157" s="2677">
        <f>SUM(U157:X161)</f>
        <v>304.69021980528447</v>
      </c>
      <c r="Z157" s="2678">
        <f t="shared" ref="Z157:AF157" si="21">MEDIAN(L157:L161)</f>
        <v>172.86707242410054</v>
      </c>
      <c r="AA157" s="2591">
        <f t="shared" si="21"/>
        <v>0</v>
      </c>
      <c r="AB157" s="2679">
        <f t="shared" si="21"/>
        <v>191.94247367978772</v>
      </c>
      <c r="AC157" s="2591">
        <f t="shared" si="21"/>
        <v>0</v>
      </c>
      <c r="AD157" s="2680">
        <f t="shared" si="21"/>
        <v>80.671300464580256</v>
      </c>
      <c r="AE157" s="2591">
        <f t="shared" si="21"/>
        <v>4.8378770963133695</v>
      </c>
      <c r="AF157" s="2681">
        <f t="shared" si="21"/>
        <v>22.616775308819822</v>
      </c>
      <c r="AG157" s="1817">
        <f>Y157+Z157+AA157+AB157+AC157+AD157+AE157</f>
        <v>755.00894347006636</v>
      </c>
      <c r="AH157" s="2587"/>
      <c r="AI157" s="2597" t="s">
        <v>429</v>
      </c>
      <c r="AJ157" s="2597" t="s">
        <v>429</v>
      </c>
      <c r="AK157" s="2597"/>
      <c r="AL157" s="2597"/>
      <c r="AM157" s="2597" t="s">
        <v>429</v>
      </c>
      <c r="AN157" s="2597"/>
      <c r="AO157" s="3061" t="s">
        <v>925</v>
      </c>
      <c r="AP157" s="3062"/>
    </row>
    <row r="158" spans="1:42" ht="15.75" customHeight="1" x14ac:dyDescent="0.25">
      <c r="A158" s="3063"/>
      <c r="B158" s="2659" t="s">
        <v>183</v>
      </c>
      <c r="C158" s="2659"/>
      <c r="D158" s="2659" t="s">
        <v>1106</v>
      </c>
      <c r="E158" s="2847"/>
      <c r="F158" s="2577">
        <f>'exchange rates'!$O$44</f>
        <v>0.83301000000000003</v>
      </c>
      <c r="G158" s="2895">
        <f>59/F158</f>
        <v>70.827481062652311</v>
      </c>
      <c r="H158" s="2896">
        <f>180/F158</f>
        <v>216.08384053012568</v>
      </c>
      <c r="I158" s="2897">
        <f>7.84/F158</f>
        <v>9.4116517208676953</v>
      </c>
      <c r="J158" s="2898">
        <f>14.81/F158</f>
        <v>17.778898212506451</v>
      </c>
      <c r="K158" s="566">
        <f>Tabel668926[[#This Row],[Fix.ch. 2017]]+Tabel668926[[#This Row],[Var. ch. 2017]]+Tabel668926[[#This Row],[Oth. ch. DW 2017]]+Tabel668926[[#This Row],[VAT DW 2017]]</f>
        <v>314.10187152615214</v>
      </c>
      <c r="L158" s="2899">
        <f>190/F158</f>
        <v>228.08849833735488</v>
      </c>
      <c r="M158" s="2900">
        <v>0</v>
      </c>
      <c r="N158" s="2901">
        <f>159.89/F158</f>
        <v>191.94247367978772</v>
      </c>
      <c r="O158" s="2898">
        <v>0</v>
      </c>
      <c r="P158" s="2902">
        <f>67.2/F158</f>
        <v>80.671300464580256</v>
      </c>
      <c r="Q158" s="2898">
        <f>4.03/F158</f>
        <v>4.8378770963133695</v>
      </c>
      <c r="R158" s="2586">
        <f>Tabel668926[[#This Row],[VAT DW 2017]]+Tabel668926[[#This Row],[VAT Sew. 2017]]+Tabel668926[[#This Row],[VAT WW 2017]]+Tabel668926[[#This Row],[VAT Other ch. 2017]]</f>
        <v>22.616775308819822</v>
      </c>
      <c r="S158" s="571">
        <f>Tabel668926[[#This Row],[Total. ch. DW 2017]]+Tabel668926[[#This Row],[Sew. 2017]]+Tabel668926[[#This Row],[VAT Sew. 2017]]+Tabel668926[[#This Row],[WW 2017]]+Tabel668926[[#This Row],[VAT WW 2017]]+Tabel668926[[#This Row],[Other ch. 2017]]+Tabel668926[[#This Row],[VAT Other ch. 2017]]</f>
        <v>819.6420211041883</v>
      </c>
      <c r="T158" s="2587"/>
      <c r="U158" s="2601"/>
      <c r="V158" s="2602"/>
      <c r="W158" s="2603"/>
      <c r="X158" s="2658"/>
      <c r="Y158" s="2605"/>
      <c r="Z158" s="2606"/>
      <c r="AA158" s="2658"/>
      <c r="AB158" s="2607"/>
      <c r="AC158" s="2658"/>
      <c r="AD158" s="2608"/>
      <c r="AE158" s="2658"/>
      <c r="AF158" s="2609"/>
      <c r="AG158" s="1791"/>
      <c r="AH158" s="2587"/>
      <c r="AI158" s="2597" t="s">
        <v>429</v>
      </c>
      <c r="AJ158" s="2597" t="s">
        <v>429</v>
      </c>
      <c r="AK158" s="2597"/>
      <c r="AL158" s="2597"/>
      <c r="AM158" s="2597" t="s">
        <v>429</v>
      </c>
      <c r="AN158" s="2597"/>
      <c r="AO158" s="3061" t="s">
        <v>925</v>
      </c>
      <c r="AP158" s="3062"/>
    </row>
    <row r="159" spans="1:42" ht="15.75" customHeight="1" x14ac:dyDescent="0.25">
      <c r="A159" s="3063"/>
      <c r="B159" s="2659" t="s">
        <v>184</v>
      </c>
      <c r="C159" s="2659"/>
      <c r="D159" s="2659" t="s">
        <v>1106</v>
      </c>
      <c r="E159" s="2847"/>
      <c r="F159" s="2577">
        <f>'exchange rates'!$O$44</f>
        <v>0.83301000000000003</v>
      </c>
      <c r="G159" s="2895">
        <f>61.18/F159</f>
        <v>73.444496464628273</v>
      </c>
      <c r="H159" s="2896">
        <f>204/F159</f>
        <v>244.89501926747576</v>
      </c>
      <c r="I159" s="2897">
        <f>18.4/F159</f>
        <v>22.088570365301734</v>
      </c>
      <c r="J159" s="2898">
        <f>17.01/F159</f>
        <v>20.419922930096877</v>
      </c>
      <c r="K159" s="566">
        <f>Tabel668926[[#This Row],[Fix.ch. 2017]]+Tabel668926[[#This Row],[Var. ch. 2017]]+Tabel668926[[#This Row],[Oth. ch. DW 2017]]+Tabel668926[[#This Row],[VAT DW 2017]]</f>
        <v>360.84800902750266</v>
      </c>
      <c r="L159" s="2899">
        <f>137/F159</f>
        <v>164.4638119590401</v>
      </c>
      <c r="M159" s="2900">
        <v>0</v>
      </c>
      <c r="N159" s="2901">
        <f>280.5/F159</f>
        <v>336.7306514927792</v>
      </c>
      <c r="O159" s="2898">
        <v>0</v>
      </c>
      <c r="P159" s="2902">
        <f>67.2/F159</f>
        <v>80.671300464580256</v>
      </c>
      <c r="Q159" s="2898">
        <f t="shared" ref="Q159:Q161" si="22">4.03/F159</f>
        <v>4.8378770963133695</v>
      </c>
      <c r="R159" s="2586">
        <f>Tabel668926[[#This Row],[VAT DW 2017]]+Tabel668926[[#This Row],[VAT Sew. 2017]]+Tabel668926[[#This Row],[VAT WW 2017]]+Tabel668926[[#This Row],[VAT Other ch. 2017]]</f>
        <v>25.257800026410248</v>
      </c>
      <c r="S159" s="571">
        <f>Tabel668926[[#This Row],[Total. ch. DW 2017]]+Tabel668926[[#This Row],[Sew. 2017]]+Tabel668926[[#This Row],[VAT Sew. 2017]]+Tabel668926[[#This Row],[WW 2017]]+Tabel668926[[#This Row],[VAT WW 2017]]+Tabel668926[[#This Row],[Other ch. 2017]]+Tabel668926[[#This Row],[VAT Other ch. 2017]]</f>
        <v>947.55165004021558</v>
      </c>
      <c r="T159" s="2587"/>
      <c r="U159" s="2601"/>
      <c r="V159" s="2602"/>
      <c r="W159" s="2603"/>
      <c r="X159" s="2658"/>
      <c r="Y159" s="2605"/>
      <c r="Z159" s="2606"/>
      <c r="AA159" s="2658"/>
      <c r="AB159" s="2607"/>
      <c r="AC159" s="2658"/>
      <c r="AD159" s="2608"/>
      <c r="AE159" s="2658"/>
      <c r="AF159" s="2609"/>
      <c r="AG159" s="1791"/>
      <c r="AH159" s="2587"/>
      <c r="AI159" s="2682"/>
      <c r="AJ159" s="2597" t="s">
        <v>429</v>
      </c>
      <c r="AK159" s="2597"/>
      <c r="AL159" s="2597"/>
      <c r="AM159" s="2597" t="s">
        <v>429</v>
      </c>
      <c r="AN159" s="2597"/>
      <c r="AO159" s="3061" t="s">
        <v>925</v>
      </c>
      <c r="AP159" s="3062"/>
    </row>
    <row r="160" spans="1:42" ht="15.75" customHeight="1" x14ac:dyDescent="0.25">
      <c r="A160" s="3063"/>
      <c r="B160" s="2659" t="s">
        <v>185</v>
      </c>
      <c r="C160" s="2659"/>
      <c r="D160" s="2659" t="s">
        <v>1106</v>
      </c>
      <c r="E160" s="2847"/>
      <c r="F160" s="2577">
        <f>'exchange rates'!$O$44</f>
        <v>0.83301000000000003</v>
      </c>
      <c r="G160" s="2895">
        <f>45/F160</f>
        <v>54.020960132531421</v>
      </c>
      <c r="H160" s="2896">
        <f>126/F160</f>
        <v>151.25868837108797</v>
      </c>
      <c r="I160" s="2897">
        <v>0</v>
      </c>
      <c r="J160" s="2898">
        <f>10.26/F160</f>
        <v>12.316778910217163</v>
      </c>
      <c r="K160" s="566">
        <f>Tabel668926[[#This Row],[Fix.ch. 2017]]+Tabel668926[[#This Row],[Var. ch. 2017]]+Tabel668926[[#This Row],[Oth. ch. DW 2017]]+Tabel668926[[#This Row],[VAT DW 2017]]</f>
        <v>217.59642741383655</v>
      </c>
      <c r="L160" s="2899">
        <f>220/F160</f>
        <v>264.10247175904249</v>
      </c>
      <c r="M160" s="2900">
        <v>0</v>
      </c>
      <c r="N160" s="2901">
        <f>192.24/F160</f>
        <v>230.77754168617423</v>
      </c>
      <c r="O160" s="2898">
        <v>0</v>
      </c>
      <c r="P160" s="2902">
        <f>67.2/F160</f>
        <v>80.671300464580256</v>
      </c>
      <c r="Q160" s="2898">
        <f t="shared" si="22"/>
        <v>4.8378770963133695</v>
      </c>
      <c r="R160" s="2586">
        <f>Tabel668926[[#This Row],[VAT DW 2017]]+Tabel668926[[#This Row],[VAT Sew. 2017]]+Tabel668926[[#This Row],[VAT WW 2017]]+Tabel668926[[#This Row],[VAT Other ch. 2017]]</f>
        <v>17.154656006530534</v>
      </c>
      <c r="S160" s="571">
        <f>Tabel668926[[#This Row],[Total. ch. DW 2017]]+Tabel668926[[#This Row],[Sew. 2017]]+Tabel668926[[#This Row],[VAT Sew. 2017]]+Tabel668926[[#This Row],[WW 2017]]+Tabel668926[[#This Row],[VAT WW 2017]]+Tabel668926[[#This Row],[Other ch. 2017]]+Tabel668926[[#This Row],[VAT Other ch. 2017]]</f>
        <v>797.98561841994683</v>
      </c>
      <c r="T160" s="2587"/>
      <c r="U160" s="2601"/>
      <c r="V160" s="2602"/>
      <c r="W160" s="2603"/>
      <c r="X160" s="2658"/>
      <c r="Y160" s="2605"/>
      <c r="Z160" s="2606"/>
      <c r="AA160" s="2658"/>
      <c r="AB160" s="2607"/>
      <c r="AC160" s="2658"/>
      <c r="AD160" s="2608"/>
      <c r="AE160" s="2658"/>
      <c r="AF160" s="2609"/>
      <c r="AG160" s="1791"/>
      <c r="AH160" s="2587"/>
      <c r="AI160" s="2682"/>
      <c r="AJ160" s="2597" t="s">
        <v>429</v>
      </c>
      <c r="AK160" s="2597"/>
      <c r="AL160" s="2597"/>
      <c r="AM160" s="2597" t="s">
        <v>429</v>
      </c>
      <c r="AN160" s="2597"/>
      <c r="AO160" s="3061" t="s">
        <v>925</v>
      </c>
      <c r="AP160" s="3062"/>
    </row>
    <row r="161" spans="1:42" ht="15.75" customHeight="1" thickBot="1" x14ac:dyDescent="0.3">
      <c r="A161" s="3063"/>
      <c r="B161" s="2659" t="s">
        <v>186</v>
      </c>
      <c r="C161" s="2659"/>
      <c r="D161" s="2659" t="s">
        <v>1106</v>
      </c>
      <c r="E161" s="2847"/>
      <c r="F161" s="2577">
        <f>'exchange rates'!$O$44</f>
        <v>0.83301000000000003</v>
      </c>
      <c r="G161" s="2895">
        <f>70.44/F161</f>
        <v>84.560809594122517</v>
      </c>
      <c r="H161" s="2896">
        <f>92.3/F161</f>
        <v>110.80299156072556</v>
      </c>
      <c r="I161" s="2897">
        <v>0</v>
      </c>
      <c r="J161" s="2898">
        <f>9.76/F161</f>
        <v>11.716546019855704</v>
      </c>
      <c r="K161" s="566">
        <f>Tabel668926[[#This Row],[Fix.ch. 2017]]+Tabel668926[[#This Row],[Var. ch. 2017]]+Tabel668926[[#This Row],[Oth. ch. DW 2017]]+Tabel668926[[#This Row],[VAT DW 2017]]</f>
        <v>207.0803471747038</v>
      </c>
      <c r="L161" s="2899">
        <f>144/F161</f>
        <v>172.86707242410054</v>
      </c>
      <c r="M161" s="2900">
        <v>0</v>
      </c>
      <c r="N161" s="2901">
        <f>145.44/F161</f>
        <v>174.59574314834154</v>
      </c>
      <c r="O161" s="2898">
        <v>0</v>
      </c>
      <c r="P161" s="2902">
        <f>67.2/F161</f>
        <v>80.671300464580256</v>
      </c>
      <c r="Q161" s="2898">
        <f t="shared" si="22"/>
        <v>4.8378770963133695</v>
      </c>
      <c r="R161" s="2586">
        <f>Tabel668926[[#This Row],[VAT DW 2017]]+Tabel668926[[#This Row],[VAT Sew. 2017]]+Tabel668926[[#This Row],[VAT WW 2017]]+Tabel668926[[#This Row],[VAT Other ch. 2017]]</f>
        <v>16.554423116169072</v>
      </c>
      <c r="S161" s="571">
        <f>Tabel668926[[#This Row],[Total. ch. DW 2017]]+Tabel668926[[#This Row],[Sew. 2017]]+Tabel668926[[#This Row],[VAT Sew. 2017]]+Tabel668926[[#This Row],[WW 2017]]+Tabel668926[[#This Row],[VAT WW 2017]]+Tabel668926[[#This Row],[Other ch. 2017]]+Tabel668926[[#This Row],[VAT Other ch. 2017]]</f>
        <v>640.05234030803945</v>
      </c>
      <c r="T161" s="2587"/>
      <c r="U161" s="2601"/>
      <c r="V161" s="2602"/>
      <c r="W161" s="2603"/>
      <c r="X161" s="2615"/>
      <c r="Y161" s="2605"/>
      <c r="Z161" s="2606"/>
      <c r="AA161" s="2615"/>
      <c r="AB161" s="2607"/>
      <c r="AC161" s="2615"/>
      <c r="AD161" s="2608"/>
      <c r="AE161" s="2615"/>
      <c r="AF161" s="2609"/>
      <c r="AG161" s="1791"/>
      <c r="AH161" s="2587"/>
      <c r="AI161" s="2682"/>
      <c r="AJ161" s="2597" t="s">
        <v>429</v>
      </c>
      <c r="AK161" s="2597"/>
      <c r="AL161" s="2597"/>
      <c r="AM161" s="2597" t="s">
        <v>429</v>
      </c>
      <c r="AN161" s="2597"/>
      <c r="AO161" s="3061" t="s">
        <v>925</v>
      </c>
      <c r="AP161" s="3062"/>
    </row>
    <row r="162" spans="1:42" ht="15.75" customHeight="1" x14ac:dyDescent="0.25">
      <c r="A162" s="2912" t="s">
        <v>527</v>
      </c>
      <c r="B162" s="3064" t="s">
        <v>528</v>
      </c>
      <c r="C162" s="3065" t="s">
        <v>429</v>
      </c>
      <c r="D162" s="3065" t="s">
        <v>1108</v>
      </c>
      <c r="E162" s="3066">
        <v>27900</v>
      </c>
      <c r="F162" s="2684">
        <v>1.28559</v>
      </c>
      <c r="G162" s="325">
        <f>125/F162</f>
        <v>97.231621278945852</v>
      </c>
      <c r="H162" s="326">
        <v>0</v>
      </c>
      <c r="I162" s="327">
        <f>220/F162</f>
        <v>171.12765345094471</v>
      </c>
      <c r="J162" s="561"/>
      <c r="K162" s="313">
        <f>Tabel668926[[#This Row],[Fix.ch. 2017]]+Tabel668926[[#This Row],[Var. ch. 2017]]+Tabel668926[[#This Row],[Oth. ch. DW 2017]]+Tabel668926[[#This Row],[VAT DW 2017]]</f>
        <v>268.35927472989056</v>
      </c>
      <c r="L162" s="328">
        <v>0</v>
      </c>
      <c r="M162" s="1097"/>
      <c r="N162" s="329">
        <f>280/F162</f>
        <v>217.7988316648387</v>
      </c>
      <c r="O162" s="561"/>
      <c r="P162" s="330">
        <v>0</v>
      </c>
      <c r="Q162" s="561"/>
      <c r="R162" s="2657">
        <f>Tabel668926[[#This Row],[VAT DW 2017]]+Tabel668926[[#This Row],[VAT Sew. 2017]]+Tabel668926[[#This Row],[VAT WW 2017]]+Tabel668926[[#This Row],[VAT Other ch. 2017]]</f>
        <v>0</v>
      </c>
      <c r="S162" s="318">
        <f>Tabel668926[[#This Row],[Total. ch. DW 2017]]+Tabel668926[[#This Row],[Sew. 2017]]+Tabel668926[[#This Row],[VAT Sew. 2017]]+Tabel668926[[#This Row],[WW 2017]]+Tabel668926[[#This Row],[VAT WW 2017]]+Tabel668926[[#This Row],[Other ch. 2017]]+Tabel668926[[#This Row],[VAT Other ch. 2017]]</f>
        <v>486.15810639472926</v>
      </c>
      <c r="T162" s="2587"/>
      <c r="U162" s="3067">
        <f>SUM(G162:G166)/5</f>
        <v>118.23365147519814</v>
      </c>
      <c r="V162" s="3068">
        <f>SUM(H162:H166)/5</f>
        <v>98.009474249177416</v>
      </c>
      <c r="W162" s="3069">
        <f>SUM(I162:I166)/5</f>
        <v>34.22553069018894</v>
      </c>
      <c r="X162" s="2729"/>
      <c r="Y162" s="3070">
        <f>SUM(K162:K166)/5</f>
        <v>250.46865641456452</v>
      </c>
      <c r="Z162" s="3071">
        <f>SUM(L162:L166)/5</f>
        <v>0</v>
      </c>
      <c r="AA162" s="2729"/>
      <c r="AB162" s="3072">
        <f>SUM(N162:N166)/5</f>
        <v>238.80086186109102</v>
      </c>
      <c r="AC162" s="2729"/>
      <c r="AD162" s="3073">
        <f>SUM(P162:P166)/5</f>
        <v>0</v>
      </c>
      <c r="AE162" s="2729"/>
      <c r="AF162" s="3074">
        <f t="shared" ref="AF162:AG162" si="23">SUM(R162:R166)/5</f>
        <v>0</v>
      </c>
      <c r="AG162" s="2094">
        <f t="shared" si="23"/>
        <v>489.26951827565551</v>
      </c>
      <c r="AH162" s="2587"/>
      <c r="AI162" s="2634"/>
      <c r="AJ162" s="2634"/>
      <c r="AK162" s="2634"/>
      <c r="AL162" s="2634"/>
      <c r="AM162" s="2634"/>
      <c r="AN162" s="2634"/>
      <c r="AO162" s="2634"/>
      <c r="AP162" s="2587"/>
    </row>
    <row r="163" spans="1:42" ht="15.75" customHeight="1" x14ac:dyDescent="0.25">
      <c r="A163" s="2924"/>
      <c r="B163" s="2648" t="s">
        <v>529</v>
      </c>
      <c r="C163" s="2648"/>
      <c r="D163" s="2648" t="s">
        <v>1108</v>
      </c>
      <c r="E163" s="2736"/>
      <c r="F163" s="2684">
        <v>1.28559</v>
      </c>
      <c r="G163" s="325">
        <f>360/F163</f>
        <v>280.02706928336403</v>
      </c>
      <c r="H163" s="326">
        <v>0</v>
      </c>
      <c r="I163" s="327">
        <v>0</v>
      </c>
      <c r="J163" s="561"/>
      <c r="K163" s="313">
        <f>Tabel668926[[#This Row],[Fix.ch. 2017]]+Tabel668926[[#This Row],[Var. ch. 2017]]+Tabel668926[[#This Row],[Oth. ch. DW 2017]]+Tabel668926[[#This Row],[VAT DW 2017]]</f>
        <v>280.02706928336403</v>
      </c>
      <c r="L163" s="328">
        <v>0</v>
      </c>
      <c r="M163" s="1097"/>
      <c r="N163" s="329">
        <f>310/F163</f>
        <v>241.13442077178573</v>
      </c>
      <c r="O163" s="561"/>
      <c r="P163" s="330">
        <v>0</v>
      </c>
      <c r="Q163" s="561"/>
      <c r="R163" s="2657">
        <f>Tabel668926[[#This Row],[VAT DW 2017]]+Tabel668926[[#This Row],[VAT Sew. 2017]]+Tabel668926[[#This Row],[VAT WW 2017]]+Tabel668926[[#This Row],[VAT Other ch. 2017]]</f>
        <v>0</v>
      </c>
      <c r="S163" s="318">
        <f>Tabel668926[[#This Row],[Total. ch. DW 2017]]+Tabel668926[[#This Row],[Sew. 2017]]+Tabel668926[[#This Row],[VAT Sew. 2017]]+Tabel668926[[#This Row],[WW 2017]]+Tabel668926[[#This Row],[VAT WW 2017]]+Tabel668926[[#This Row],[Other ch. 2017]]+Tabel668926[[#This Row],[VAT Other ch. 2017]]</f>
        <v>521.16149005514978</v>
      </c>
      <c r="T163" s="2587"/>
      <c r="U163" s="2737"/>
      <c r="V163" s="2738"/>
      <c r="W163" s="2739"/>
      <c r="X163" s="2740"/>
      <c r="Y163" s="2741"/>
      <c r="Z163" s="2742"/>
      <c r="AA163" s="2740"/>
      <c r="AB163" s="2743"/>
      <c r="AC163" s="2740"/>
      <c r="AD163" s="2744"/>
      <c r="AE163" s="2740"/>
      <c r="AF163" s="2745"/>
      <c r="AG163" s="1876"/>
      <c r="AH163" s="2587"/>
      <c r="AI163" s="2634"/>
      <c r="AJ163" s="2634"/>
      <c r="AK163" s="2634"/>
      <c r="AL163" s="2634"/>
      <c r="AM163" s="2634"/>
      <c r="AN163" s="2634"/>
      <c r="AO163" s="2634"/>
      <c r="AP163" s="2587"/>
    </row>
    <row r="164" spans="1:42" ht="15.75" customHeight="1" x14ac:dyDescent="0.25">
      <c r="A164" s="2924"/>
      <c r="B164" s="2648" t="s">
        <v>530</v>
      </c>
      <c r="C164" s="2648"/>
      <c r="D164" s="2648" t="s">
        <v>1108</v>
      </c>
      <c r="E164" s="2736"/>
      <c r="F164" s="2684">
        <v>1.28559</v>
      </c>
      <c r="G164" s="325">
        <f>225/F164</f>
        <v>175.01691830210254</v>
      </c>
      <c r="H164" s="326">
        <v>0</v>
      </c>
      <c r="I164" s="327">
        <v>0</v>
      </c>
      <c r="J164" s="561"/>
      <c r="K164" s="313">
        <f>Tabel668926[[#This Row],[Fix.ch. 2017]]+Tabel668926[[#This Row],[Var. ch. 2017]]+Tabel668926[[#This Row],[Oth. ch. DW 2017]]+Tabel668926[[#This Row],[VAT DW 2017]]</f>
        <v>175.01691830210254</v>
      </c>
      <c r="L164" s="328">
        <v>0</v>
      </c>
      <c r="M164" s="1097"/>
      <c r="N164" s="329">
        <f>125/F164</f>
        <v>97.231621278945852</v>
      </c>
      <c r="O164" s="561"/>
      <c r="P164" s="330">
        <v>0</v>
      </c>
      <c r="Q164" s="561"/>
      <c r="R164" s="2657">
        <f>Tabel668926[[#This Row],[VAT DW 2017]]+Tabel668926[[#This Row],[VAT Sew. 2017]]+Tabel668926[[#This Row],[VAT WW 2017]]+Tabel668926[[#This Row],[VAT Other ch. 2017]]</f>
        <v>0</v>
      </c>
      <c r="S164" s="318">
        <f>Tabel668926[[#This Row],[Total. ch. DW 2017]]+Tabel668926[[#This Row],[Sew. 2017]]+Tabel668926[[#This Row],[VAT Sew. 2017]]+Tabel668926[[#This Row],[WW 2017]]+Tabel668926[[#This Row],[VAT WW 2017]]+Tabel668926[[#This Row],[Other ch. 2017]]+Tabel668926[[#This Row],[VAT Other ch. 2017]]</f>
        <v>272.24853958104836</v>
      </c>
      <c r="T164" s="2587"/>
      <c r="U164" s="2737"/>
      <c r="V164" s="2738"/>
      <c r="W164" s="2739"/>
      <c r="X164" s="2740"/>
      <c r="Y164" s="2741"/>
      <c r="Z164" s="2742"/>
      <c r="AA164" s="2740"/>
      <c r="AB164" s="2743"/>
      <c r="AC164" s="2740"/>
      <c r="AD164" s="2744"/>
      <c r="AE164" s="2740"/>
      <c r="AF164" s="2745"/>
      <c r="AG164" s="1876"/>
      <c r="AH164" s="2587"/>
      <c r="AI164" s="2634"/>
      <c r="AJ164" s="2634"/>
      <c r="AK164" s="2634"/>
      <c r="AL164" s="2634"/>
      <c r="AM164" s="2634"/>
      <c r="AN164" s="2634"/>
      <c r="AO164" s="2634"/>
      <c r="AP164" s="2587"/>
    </row>
    <row r="165" spans="1:42" ht="15.75" customHeight="1" x14ac:dyDescent="0.25">
      <c r="A165" s="2924"/>
      <c r="B165" s="2648" t="s">
        <v>531</v>
      </c>
      <c r="C165" s="2648"/>
      <c r="D165" s="2648" t="s">
        <v>1108</v>
      </c>
      <c r="E165" s="2736"/>
      <c r="F165" s="2684">
        <v>1.28559</v>
      </c>
      <c r="G165" s="325">
        <f>25/F165</f>
        <v>19.446324255789172</v>
      </c>
      <c r="H165" s="326">
        <f>280/F165</f>
        <v>217.7988316648387</v>
      </c>
      <c r="I165" s="327">
        <v>0</v>
      </c>
      <c r="J165" s="561"/>
      <c r="K165" s="313">
        <f>Tabel668926[[#This Row],[Fix.ch. 2017]]+Tabel668926[[#This Row],[Var. ch. 2017]]+Tabel668926[[#This Row],[Oth. ch. DW 2017]]+Tabel668926[[#This Row],[VAT DW 2017]]</f>
        <v>237.24515592062787</v>
      </c>
      <c r="L165" s="328">
        <v>0</v>
      </c>
      <c r="M165" s="1097"/>
      <c r="N165" s="329">
        <f>280/F165</f>
        <v>217.7988316648387</v>
      </c>
      <c r="O165" s="561"/>
      <c r="P165" s="330">
        <v>0</v>
      </c>
      <c r="Q165" s="561"/>
      <c r="R165" s="2657">
        <f>Tabel668926[[#This Row],[VAT DW 2017]]+Tabel668926[[#This Row],[VAT Sew. 2017]]+Tabel668926[[#This Row],[VAT WW 2017]]+Tabel668926[[#This Row],[VAT Other ch. 2017]]</f>
        <v>0</v>
      </c>
      <c r="S165" s="318">
        <f>Tabel668926[[#This Row],[Total. ch. DW 2017]]+Tabel668926[[#This Row],[Sew. 2017]]+Tabel668926[[#This Row],[VAT Sew. 2017]]+Tabel668926[[#This Row],[WW 2017]]+Tabel668926[[#This Row],[VAT WW 2017]]+Tabel668926[[#This Row],[Other ch. 2017]]+Tabel668926[[#This Row],[VAT Other ch. 2017]]</f>
        <v>455.04398758546654</v>
      </c>
      <c r="T165" s="2587"/>
      <c r="U165" s="2737"/>
      <c r="V165" s="2738"/>
      <c r="W165" s="2739"/>
      <c r="X165" s="2740"/>
      <c r="Y165" s="2741"/>
      <c r="Z165" s="2742"/>
      <c r="AA165" s="2740"/>
      <c r="AB165" s="2743"/>
      <c r="AC165" s="2740"/>
      <c r="AD165" s="2744"/>
      <c r="AE165" s="2740"/>
      <c r="AF165" s="2745"/>
      <c r="AG165" s="1876"/>
      <c r="AH165" s="2587"/>
      <c r="AI165" s="2634"/>
      <c r="AJ165" s="2634"/>
      <c r="AK165" s="2634"/>
      <c r="AL165" s="2634"/>
      <c r="AM165" s="2634"/>
      <c r="AN165" s="2634"/>
      <c r="AO165" s="2634"/>
      <c r="AP165" s="2587"/>
    </row>
    <row r="166" spans="1:42" ht="15.75" customHeight="1" thickBot="1" x14ac:dyDescent="0.3">
      <c r="A166" s="2925"/>
      <c r="B166" s="2662" t="s">
        <v>532</v>
      </c>
      <c r="C166" s="2747"/>
      <c r="D166" s="2747" t="s">
        <v>1108</v>
      </c>
      <c r="E166" s="2748"/>
      <c r="F166" s="2684">
        <v>1.28559</v>
      </c>
      <c r="G166" s="325">
        <f>25/F166</f>
        <v>19.446324255789172</v>
      </c>
      <c r="H166" s="326">
        <f>350/F166</f>
        <v>272.24853958104836</v>
      </c>
      <c r="I166" s="327">
        <v>0</v>
      </c>
      <c r="J166" s="561"/>
      <c r="K166" s="313">
        <f>Tabel668926[[#This Row],[Fix.ch. 2017]]+Tabel668926[[#This Row],[Var. ch. 2017]]+Tabel668926[[#This Row],[Oth. ch. DW 2017]]+Tabel668926[[#This Row],[VAT DW 2017]]</f>
        <v>291.69486383683756</v>
      </c>
      <c r="L166" s="328">
        <v>0</v>
      </c>
      <c r="M166" s="1097"/>
      <c r="N166" s="329">
        <f>540/F166</f>
        <v>420.04060392504607</v>
      </c>
      <c r="O166" s="561"/>
      <c r="P166" s="330">
        <v>0</v>
      </c>
      <c r="Q166" s="561"/>
      <c r="R166" s="2657">
        <f>Tabel668926[[#This Row],[VAT DW 2017]]+Tabel668926[[#This Row],[VAT Sew. 2017]]+Tabel668926[[#This Row],[VAT WW 2017]]+Tabel668926[[#This Row],[VAT Other ch. 2017]]</f>
        <v>0</v>
      </c>
      <c r="S166" s="318">
        <f>Tabel668926[[#This Row],[Total. ch. DW 2017]]+Tabel668926[[#This Row],[Sew. 2017]]+Tabel668926[[#This Row],[VAT Sew. 2017]]+Tabel668926[[#This Row],[WW 2017]]+Tabel668926[[#This Row],[VAT WW 2017]]+Tabel668926[[#This Row],[Other ch. 2017]]+Tabel668926[[#This Row],[VAT Other ch. 2017]]</f>
        <v>711.73546776188368</v>
      </c>
      <c r="T166" s="2587"/>
      <c r="U166" s="2749"/>
      <c r="V166" s="2750"/>
      <c r="W166" s="2751"/>
      <c r="X166" s="2752"/>
      <c r="Y166" s="2753"/>
      <c r="Z166" s="2754"/>
      <c r="AA166" s="2752"/>
      <c r="AB166" s="2755"/>
      <c r="AC166" s="2752"/>
      <c r="AD166" s="2756"/>
      <c r="AE166" s="2752"/>
      <c r="AF166" s="2757"/>
      <c r="AG166" s="1877"/>
      <c r="AH166" s="2587"/>
      <c r="AI166" s="2634"/>
      <c r="AJ166" s="2634"/>
      <c r="AK166" s="2634"/>
      <c r="AL166" s="2634"/>
      <c r="AM166" s="2634"/>
      <c r="AN166" s="2634"/>
      <c r="AO166" s="2634"/>
      <c r="AP166" s="2587"/>
    </row>
    <row r="167" spans="1:42" ht="15.75" customHeight="1" thickBot="1" x14ac:dyDescent="0.35">
      <c r="A167" s="2972" t="s">
        <v>46</v>
      </c>
      <c r="B167" s="3075" t="s">
        <v>477</v>
      </c>
      <c r="C167" s="2949"/>
      <c r="D167" s="2772" t="s">
        <v>1110</v>
      </c>
      <c r="E167" s="3076">
        <v>39500</v>
      </c>
      <c r="F167" s="2684">
        <v>0.64417999999999997</v>
      </c>
      <c r="G167" s="325">
        <f>94/F167</f>
        <v>145.92194728181565</v>
      </c>
      <c r="H167" s="326">
        <f>208/F167</f>
        <v>322.89111738954949</v>
      </c>
      <c r="I167" s="327">
        <v>0</v>
      </c>
      <c r="J167" s="561"/>
      <c r="K167" s="313">
        <f>Tabel668926[[#This Row],[Fix.ch. 2017]]+Tabel668926[[#This Row],[Var. ch. 2017]]+Tabel668926[[#This Row],[Oth. ch. DW 2017]]+Tabel668926[[#This Row],[VAT DW 2017]]</f>
        <v>468.81306467136517</v>
      </c>
      <c r="L167" s="328">
        <v>0</v>
      </c>
      <c r="M167" s="1097"/>
      <c r="N167" s="329">
        <f>449/F167</f>
        <v>697.01015244186408</v>
      </c>
      <c r="O167" s="561"/>
      <c r="P167" s="330">
        <v>0</v>
      </c>
      <c r="Q167" s="561"/>
      <c r="R167" s="2657">
        <f>Tabel668926[[#This Row],[VAT DW 2017]]+Tabel668926[[#This Row],[VAT Sew. 2017]]+Tabel668926[[#This Row],[VAT WW 2017]]+Tabel668926[[#This Row],[VAT Other ch. 2017]]</f>
        <v>0</v>
      </c>
      <c r="S167" s="318">
        <f>Tabel668926[[#This Row],[Total. ch. DW 2017]]+Tabel668926[[#This Row],[Sew. 2017]]+Tabel668926[[#This Row],[VAT Sew. 2017]]+Tabel668926[[#This Row],[WW 2017]]+Tabel668926[[#This Row],[VAT WW 2017]]+Tabel668926[[#This Row],[Other ch. 2017]]+Tabel668926[[#This Row],[VAT Other ch. 2017]]</f>
        <v>1165.8232171132292</v>
      </c>
      <c r="T167" s="2587"/>
      <c r="U167" s="3077">
        <f>Tabel668926[[#This Row],[Fix.ch. 2017]]</f>
        <v>145.92194728181565</v>
      </c>
      <c r="V167" s="3078">
        <f>Tabel668926[[#This Row],[Var. ch. 2017]]</f>
        <v>322.89111738954949</v>
      </c>
      <c r="W167" s="3079">
        <v>0</v>
      </c>
      <c r="X167" s="2977"/>
      <c r="Y167" s="3080">
        <f>Tabel668926[[#This Row],[Total. ch. DW 2017]]</f>
        <v>468.81306467136517</v>
      </c>
      <c r="Z167" s="3081">
        <v>0</v>
      </c>
      <c r="AA167" s="2977"/>
      <c r="AB167" s="3082">
        <f>Tabel668926[[#This Row],[WW 2017]]</f>
        <v>697.01015244186408</v>
      </c>
      <c r="AC167" s="2977"/>
      <c r="AD167" s="3083">
        <v>0</v>
      </c>
      <c r="AE167" s="2977"/>
      <c r="AF167" s="3084">
        <f>Tabel668926[[#This Row],[Total VAT 2017]]</f>
        <v>0</v>
      </c>
      <c r="AG167" s="393">
        <f>Tabel668926[[#This Row],[total charge 2017]]</f>
        <v>1165.8232171132292</v>
      </c>
      <c r="AH167" s="2587"/>
      <c r="AI167" s="2634"/>
      <c r="AJ167" s="2634"/>
      <c r="AK167" s="2634"/>
      <c r="AL167" s="2634"/>
      <c r="AM167" s="2634"/>
      <c r="AN167" s="2634"/>
      <c r="AO167" s="2634" t="s">
        <v>476</v>
      </c>
      <c r="AP167" s="2587"/>
    </row>
    <row r="168" spans="1:42" ht="15.75" customHeight="1" x14ac:dyDescent="0.25">
      <c r="A168" s="2687" t="s">
        <v>21</v>
      </c>
      <c r="B168" s="2865" t="s">
        <v>125</v>
      </c>
      <c r="C168" s="2837"/>
      <c r="D168" s="2689" t="s">
        <v>1112</v>
      </c>
      <c r="E168" s="2870">
        <v>70600</v>
      </c>
      <c r="F168" s="2824">
        <f>'exchange rates'!$O$47</f>
        <v>8.20533</v>
      </c>
      <c r="G168" s="2895">
        <f>2459/F168</f>
        <v>299.6832546649556</v>
      </c>
      <c r="H168" s="2896">
        <v>0</v>
      </c>
      <c r="I168" s="2897">
        <v>0</v>
      </c>
      <c r="J168" s="2898">
        <f>614.25/F168</f>
        <v>74.859877664883683</v>
      </c>
      <c r="K168" s="566">
        <f>Tabel668926[[#This Row],[Fix.ch. 2017]]+Tabel668926[[#This Row],[Var. ch. 2017]]+Tabel668926[[#This Row],[Oth. ch. DW 2017]]+Tabel668926[[#This Row],[VAT DW 2017]]</f>
        <v>374.5431323298393</v>
      </c>
      <c r="L168" s="2899">
        <f>3428/F168</f>
        <v>417.77722529136548</v>
      </c>
      <c r="M168" s="2900">
        <f>857/F168</f>
        <v>104.44430632284137</v>
      </c>
      <c r="N168" s="2901">
        <f>0</f>
        <v>0</v>
      </c>
      <c r="O168" s="2898">
        <v>0</v>
      </c>
      <c r="P168" s="2902">
        <v>0</v>
      </c>
      <c r="Q168" s="2898">
        <v>0</v>
      </c>
      <c r="R168" s="2586">
        <f>Tabel668926[[#This Row],[VAT DW 2017]]+Tabel668926[[#This Row],[VAT Sew. 2017]]+Tabel668926[[#This Row],[VAT WW 2017]]+Tabel668926[[#This Row],[VAT Other ch. 2017]]</f>
        <v>179.30418398772505</v>
      </c>
      <c r="S168" s="571">
        <f>Tabel668926[[#This Row],[Total. ch. DW 2017]]+Tabel668926[[#This Row],[Sew. 2017]]+Tabel668926[[#This Row],[VAT Sew. 2017]]+Tabel668926[[#This Row],[WW 2017]]+Tabel668926[[#This Row],[VAT WW 2017]]+Tabel668926[[#This Row],[Other ch. 2017]]+Tabel668926[[#This Row],[VAT Other ch. 2017]]</f>
        <v>896.76466394404611</v>
      </c>
      <c r="T168" s="2587"/>
      <c r="U168" s="2674">
        <f>MEDIAN(G168:G170)</f>
        <v>38.609050458665287</v>
      </c>
      <c r="V168" s="2675">
        <f>MEDIAN(H168:H170)</f>
        <v>213.03226073783748</v>
      </c>
      <c r="W168" s="2676">
        <f>MEDIAN(I168:I170)</f>
        <v>0</v>
      </c>
      <c r="X168" s="2591">
        <f>MEDIAN(J168:J170)</f>
        <v>65.884004665260264</v>
      </c>
      <c r="Y168" s="2677">
        <f>SUM(U168:X170)</f>
        <v>317.52531586176303</v>
      </c>
      <c r="Z168" s="2678">
        <f t="shared" ref="Z168:AF168" si="24">MEDIAN(L168:L170)</f>
        <v>357.32871194699055</v>
      </c>
      <c r="AA168" s="2591">
        <f t="shared" si="24"/>
        <v>94.024250091099319</v>
      </c>
      <c r="AB168" s="2679">
        <f t="shared" si="24"/>
        <v>0</v>
      </c>
      <c r="AC168" s="2591">
        <f t="shared" si="24"/>
        <v>0</v>
      </c>
      <c r="AD168" s="2680">
        <f t="shared" si="24"/>
        <v>0</v>
      </c>
      <c r="AE168" s="2591">
        <f t="shared" si="24"/>
        <v>0</v>
      </c>
      <c r="AF168" s="2681">
        <f t="shared" si="24"/>
        <v>158.25079551949767</v>
      </c>
      <c r="AG168" s="1817">
        <f>Y168+Z168+AA168+AB168+AC168+AD168+AE168</f>
        <v>768.87827789985295</v>
      </c>
      <c r="AH168" s="2587"/>
      <c r="AI168" s="2597" t="s">
        <v>429</v>
      </c>
      <c r="AJ168" s="2597" t="s">
        <v>429</v>
      </c>
      <c r="AK168" s="2598"/>
      <c r="AL168" s="2598"/>
      <c r="AM168" s="2597" t="s">
        <v>429</v>
      </c>
      <c r="AN168" s="2597" t="s">
        <v>429</v>
      </c>
      <c r="AO168" s="2634"/>
      <c r="AP168" s="2587"/>
    </row>
    <row r="169" spans="1:42" ht="15.75" customHeight="1" x14ac:dyDescent="0.25">
      <c r="A169" s="2691"/>
      <c r="B169" s="2868" t="s">
        <v>126</v>
      </c>
      <c r="C169" s="2837" t="s">
        <v>429</v>
      </c>
      <c r="D169" s="2689" t="s">
        <v>1112</v>
      </c>
      <c r="E169" s="2600"/>
      <c r="F169" s="2824">
        <f>'exchange rates'!$O$47</f>
        <v>8.20533</v>
      </c>
      <c r="G169" s="2895">
        <f>308/F169</f>
        <v>37.536576834813467</v>
      </c>
      <c r="H169" s="2896">
        <f>1954/F169</f>
        <v>238.13789329618675</v>
      </c>
      <c r="I169" s="2897">
        <v>0</v>
      </c>
      <c r="J169" s="2898">
        <f>527/F169</f>
        <v>64.226545428398367</v>
      </c>
      <c r="K169" s="566">
        <f>Tabel668926[[#This Row],[Fix.ch. 2017]]+Tabel668926[[#This Row],[Var. ch. 2017]]+Tabel668926[[#This Row],[Oth. ch. DW 2017]]+Tabel668926[[#This Row],[VAT DW 2017]]</f>
        <v>339.90101555939856</v>
      </c>
      <c r="L169" s="2899">
        <f>2932/F169</f>
        <v>357.32871194699055</v>
      </c>
      <c r="M169" s="2900">
        <f>771.5/F169</f>
        <v>94.024250091099319</v>
      </c>
      <c r="N169" s="2901">
        <v>0</v>
      </c>
      <c r="O169" s="2898">
        <v>0</v>
      </c>
      <c r="P169" s="2902">
        <v>0</v>
      </c>
      <c r="Q169" s="2898">
        <v>0</v>
      </c>
      <c r="R169" s="2586">
        <f>Tabel668926[[#This Row],[VAT DW 2017]]+Tabel668926[[#This Row],[VAT Sew. 2017]]+Tabel668926[[#This Row],[VAT WW 2017]]+Tabel668926[[#This Row],[VAT Other ch. 2017]]</f>
        <v>158.25079551949767</v>
      </c>
      <c r="S169" s="571">
        <f>Tabel668926[[#This Row],[Total. ch. DW 2017]]+Tabel668926[[#This Row],[Sew. 2017]]+Tabel668926[[#This Row],[VAT Sew. 2017]]+Tabel668926[[#This Row],[WW 2017]]+Tabel668926[[#This Row],[VAT WW 2017]]+Tabel668926[[#This Row],[Other ch. 2017]]+Tabel668926[[#This Row],[VAT Other ch. 2017]]</f>
        <v>791.25397759748842</v>
      </c>
      <c r="T169" s="2587"/>
      <c r="U169" s="2601"/>
      <c r="V169" s="2602"/>
      <c r="W169" s="2603"/>
      <c r="X169" s="2604"/>
      <c r="Y169" s="2605"/>
      <c r="Z169" s="2606"/>
      <c r="AA169" s="2604"/>
      <c r="AB169" s="2607"/>
      <c r="AC169" s="2604"/>
      <c r="AD169" s="2608"/>
      <c r="AE169" s="2604"/>
      <c r="AF169" s="2609"/>
      <c r="AG169" s="1791"/>
      <c r="AH169" s="2587"/>
      <c r="AI169" s="2597" t="s">
        <v>429</v>
      </c>
      <c r="AJ169" s="2597" t="s">
        <v>429</v>
      </c>
      <c r="AK169" s="2597"/>
      <c r="AL169" s="2597"/>
      <c r="AM169" s="2597" t="s">
        <v>429</v>
      </c>
      <c r="AN169" s="2597" t="s">
        <v>429</v>
      </c>
      <c r="AO169" s="2634"/>
      <c r="AP169" s="2587"/>
    </row>
    <row r="170" spans="1:42" ht="15.75" customHeight="1" thickBot="1" x14ac:dyDescent="0.3">
      <c r="A170" s="2694"/>
      <c r="B170" s="2836" t="s">
        <v>127</v>
      </c>
      <c r="C170" s="2837"/>
      <c r="D170" s="2696" t="s">
        <v>1112</v>
      </c>
      <c r="E170" s="2938"/>
      <c r="F170" s="2824">
        <f>'exchange rates'!$O$47</f>
        <v>8.20533</v>
      </c>
      <c r="G170" s="2895">
        <f>316.8/F170</f>
        <v>38.609050458665287</v>
      </c>
      <c r="H170" s="2896">
        <f>1748/F170</f>
        <v>213.03226073783748</v>
      </c>
      <c r="I170" s="2897">
        <f>97.6/F170</f>
        <v>11.894707464538293</v>
      </c>
      <c r="J170" s="2898">
        <f>540.6/F170</f>
        <v>65.884004665260264</v>
      </c>
      <c r="K170" s="566">
        <f>Tabel668926[[#This Row],[Fix.ch. 2017]]+Tabel668926[[#This Row],[Var. ch. 2017]]+Tabel668926[[#This Row],[Oth. ch. DW 2017]]+Tabel668926[[#This Row],[VAT DW 2017]]</f>
        <v>329.4200233263013</v>
      </c>
      <c r="L170" s="2899">
        <f>2239.6/F170</f>
        <v>272.9445372702865</v>
      </c>
      <c r="M170" s="2900">
        <f>559.9/F170</f>
        <v>68.236134317571626</v>
      </c>
      <c r="N170" s="2901">
        <v>0</v>
      </c>
      <c r="O170" s="2898">
        <v>0</v>
      </c>
      <c r="P170" s="2902">
        <v>0</v>
      </c>
      <c r="Q170" s="2898">
        <v>0</v>
      </c>
      <c r="R170" s="2586">
        <f>Tabel668926[[#This Row],[VAT DW 2017]]+Tabel668926[[#This Row],[VAT Sew. 2017]]+Tabel668926[[#This Row],[VAT WW 2017]]+Tabel668926[[#This Row],[VAT Other ch. 2017]]</f>
        <v>134.12013898283189</v>
      </c>
      <c r="S170" s="571">
        <f>Tabel668926[[#This Row],[Total. ch. DW 2017]]+Tabel668926[[#This Row],[Sew. 2017]]+Tabel668926[[#This Row],[VAT Sew. 2017]]+Tabel668926[[#This Row],[WW 2017]]+Tabel668926[[#This Row],[VAT WW 2017]]+Tabel668926[[#This Row],[Other ch. 2017]]+Tabel668926[[#This Row],[VAT Other ch. 2017]]</f>
        <v>670.60069491415948</v>
      </c>
      <c r="T170" s="2587"/>
      <c r="U170" s="2939"/>
      <c r="V170" s="2940"/>
      <c r="W170" s="2941"/>
      <c r="X170" s="2615"/>
      <c r="Y170" s="2942"/>
      <c r="Z170" s="2943"/>
      <c r="AA170" s="2615"/>
      <c r="AB170" s="2944"/>
      <c r="AC170" s="2615"/>
      <c r="AD170" s="2945"/>
      <c r="AE170" s="2615"/>
      <c r="AF170" s="2946"/>
      <c r="AG170" s="2002"/>
      <c r="AH170" s="2587"/>
      <c r="AI170" s="2597" t="s">
        <v>429</v>
      </c>
      <c r="AJ170" s="2597" t="s">
        <v>429</v>
      </c>
      <c r="AK170" s="2598"/>
      <c r="AL170" s="2598"/>
      <c r="AM170" s="2597" t="s">
        <v>429</v>
      </c>
      <c r="AN170" s="2597" t="s">
        <v>429</v>
      </c>
      <c r="AO170" s="2634"/>
      <c r="AP170" s="2587"/>
    </row>
    <row r="171" spans="1:42" ht="15.75" customHeight="1" x14ac:dyDescent="0.25">
      <c r="A171" s="2687" t="s">
        <v>22</v>
      </c>
      <c r="B171" s="2865" t="s">
        <v>128</v>
      </c>
      <c r="C171" s="2837"/>
      <c r="D171" s="2689" t="s">
        <v>1114</v>
      </c>
      <c r="E171" s="2759">
        <v>29300</v>
      </c>
      <c r="F171" s="2824">
        <f>'exchange rates'!$O$48</f>
        <v>3.4784999999999999</v>
      </c>
      <c r="G171" s="2895">
        <v>0</v>
      </c>
      <c r="H171" s="2896">
        <f>954/F171</f>
        <v>274.2561448900388</v>
      </c>
      <c r="I171" s="2897">
        <v>0</v>
      </c>
      <c r="J171" s="2898">
        <f>76.32/F171</f>
        <v>21.940491591203102</v>
      </c>
      <c r="K171" s="566">
        <f>Tabel668926[[#This Row],[Fix.ch. 2017]]+Tabel668926[[#This Row],[Var. ch. 2017]]+Tabel668926[[#This Row],[Oth. ch. DW 2017]]+Tabel668926[[#This Row],[VAT DW 2017]]</f>
        <v>296.19663648124191</v>
      </c>
      <c r="L171" s="2899">
        <v>0</v>
      </c>
      <c r="M171" s="2900">
        <v>0</v>
      </c>
      <c r="N171" s="2901">
        <f>976/F171</f>
        <v>280.58071007618224</v>
      </c>
      <c r="O171" s="2898">
        <f>78.08/F171</f>
        <v>22.446456806094581</v>
      </c>
      <c r="P171" s="2902">
        <v>0</v>
      </c>
      <c r="Q171" s="2898">
        <v>0</v>
      </c>
      <c r="R171" s="2586">
        <f>Tabel668926[[#This Row],[VAT DW 2017]]+Tabel668926[[#This Row],[VAT Sew. 2017]]+Tabel668926[[#This Row],[VAT WW 2017]]+Tabel668926[[#This Row],[VAT Other ch. 2017]]</f>
        <v>44.386948397297687</v>
      </c>
      <c r="S171" s="571">
        <f>Tabel668926[[#This Row],[Total. ch. DW 2017]]+Tabel668926[[#This Row],[Sew. 2017]]+Tabel668926[[#This Row],[VAT Sew. 2017]]+Tabel668926[[#This Row],[WW 2017]]+Tabel668926[[#This Row],[VAT WW 2017]]+Tabel668926[[#This Row],[Other ch. 2017]]+Tabel668926[[#This Row],[VAT Other ch. 2017]]</f>
        <v>599.22380336351875</v>
      </c>
      <c r="T171" s="2587"/>
      <c r="U171" s="2760">
        <f>MEDIAN(G171:G176)</f>
        <v>0</v>
      </c>
      <c r="V171" s="2761">
        <f>MEDIAN(H171:H176)</f>
        <v>217.91001868621532</v>
      </c>
      <c r="W171" s="2762">
        <f>MEDIAN(I171:I176)</f>
        <v>0</v>
      </c>
      <c r="X171" s="2591">
        <f>MEDIAN(J171:J176)</f>
        <v>17.432801494897227</v>
      </c>
      <c r="Y171" s="2763">
        <f>SUM(U171:X176)</f>
        <v>235.34282018111256</v>
      </c>
      <c r="Z171" s="2764">
        <f t="shared" ref="Z171:AF171" si="25">MEDIAN(L171:L176)</f>
        <v>0</v>
      </c>
      <c r="AA171" s="2591">
        <f t="shared" si="25"/>
        <v>0</v>
      </c>
      <c r="AB171" s="2765">
        <f t="shared" si="25"/>
        <v>298.69196492741122</v>
      </c>
      <c r="AC171" s="2591">
        <f t="shared" si="25"/>
        <v>23.895357194192897</v>
      </c>
      <c r="AD171" s="2766">
        <f t="shared" si="25"/>
        <v>0</v>
      </c>
      <c r="AE171" s="2591">
        <f t="shared" si="25"/>
        <v>0</v>
      </c>
      <c r="AF171" s="2767">
        <f t="shared" si="25"/>
        <v>42.639068564036222</v>
      </c>
      <c r="AG171" s="1909">
        <f>Y171+Z171+AA171+AB171+AC171+AD171+AE171</f>
        <v>557.93014230271672</v>
      </c>
      <c r="AH171" s="2587"/>
      <c r="AI171" s="2634"/>
      <c r="AJ171" s="2597" t="s">
        <v>429</v>
      </c>
      <c r="AK171" s="2634"/>
      <c r="AL171" s="2634"/>
      <c r="AM171" s="2634"/>
      <c r="AN171" s="2634"/>
      <c r="AO171" s="2634"/>
      <c r="AP171" s="2587"/>
    </row>
    <row r="172" spans="1:42" ht="15.75" customHeight="1" x14ac:dyDescent="0.25">
      <c r="A172" s="2691"/>
      <c r="B172" s="2836" t="s">
        <v>891</v>
      </c>
      <c r="C172" s="2837" t="s">
        <v>429</v>
      </c>
      <c r="D172" s="2689" t="s">
        <v>1114</v>
      </c>
      <c r="E172" s="2600"/>
      <c r="F172" s="2824">
        <f>'exchange rates'!$O$48</f>
        <v>3.4784999999999999</v>
      </c>
      <c r="G172" s="2895">
        <v>0</v>
      </c>
      <c r="H172" s="2896">
        <f>840/F172</f>
        <v>241.48339801638639</v>
      </c>
      <c r="I172" s="2897">
        <v>0</v>
      </c>
      <c r="J172" s="2898">
        <f>67.2/F172</f>
        <v>19.318671841310913</v>
      </c>
      <c r="K172" s="566">
        <f>Tabel668926[[#This Row],[Fix.ch. 2017]]+Tabel668926[[#This Row],[Var. ch. 2017]]+Tabel668926[[#This Row],[Oth. ch. DW 2017]]+Tabel668926[[#This Row],[VAT DW 2017]]</f>
        <v>260.80206985769729</v>
      </c>
      <c r="L172" s="2899">
        <v>0</v>
      </c>
      <c r="M172" s="2900">
        <v>0</v>
      </c>
      <c r="N172" s="2901">
        <f>1284/F172</f>
        <v>369.12462268219059</v>
      </c>
      <c r="O172" s="2898">
        <f>102.72/F172</f>
        <v>29.529969814575249</v>
      </c>
      <c r="P172" s="2902">
        <v>0</v>
      </c>
      <c r="Q172" s="2898">
        <v>0</v>
      </c>
      <c r="R172" s="2586">
        <f>Tabel668926[[#This Row],[VAT DW 2017]]+Tabel668926[[#This Row],[VAT Sew. 2017]]+Tabel668926[[#This Row],[VAT WW 2017]]+Tabel668926[[#This Row],[VAT Other ch. 2017]]</f>
        <v>48.848641655886162</v>
      </c>
      <c r="S172" s="571">
        <f>Tabel668926[[#This Row],[Total. ch. DW 2017]]+Tabel668926[[#This Row],[Sew. 2017]]+Tabel668926[[#This Row],[VAT Sew. 2017]]+Tabel668926[[#This Row],[WW 2017]]+Tabel668926[[#This Row],[VAT WW 2017]]+Tabel668926[[#This Row],[Other ch. 2017]]+Tabel668926[[#This Row],[VAT Other ch. 2017]]</f>
        <v>659.45666235446311</v>
      </c>
      <c r="T172" s="2587"/>
      <c r="U172" s="2601"/>
      <c r="V172" s="2602"/>
      <c r="W172" s="2603"/>
      <c r="X172" s="2604"/>
      <c r="Y172" s="2605"/>
      <c r="Z172" s="2606"/>
      <c r="AA172" s="2604"/>
      <c r="AB172" s="2607"/>
      <c r="AC172" s="2604"/>
      <c r="AD172" s="2608"/>
      <c r="AE172" s="2604"/>
      <c r="AF172" s="2609"/>
      <c r="AG172" s="1791"/>
      <c r="AH172" s="2587"/>
      <c r="AI172" s="2634"/>
      <c r="AJ172" s="2597" t="s">
        <v>429</v>
      </c>
      <c r="AK172" s="2634"/>
      <c r="AL172" s="2634"/>
      <c r="AM172" s="2634"/>
      <c r="AN172" s="2634"/>
      <c r="AO172" s="2634"/>
      <c r="AP172" s="2587"/>
    </row>
    <row r="173" spans="1:42" ht="15.75" customHeight="1" x14ac:dyDescent="0.25">
      <c r="A173" s="2691"/>
      <c r="B173" s="2868" t="s">
        <v>129</v>
      </c>
      <c r="C173" s="2837"/>
      <c r="D173" s="2689" t="s">
        <v>1114</v>
      </c>
      <c r="E173" s="2711"/>
      <c r="F173" s="2824">
        <f>'exchange rates'!$O$48</f>
        <v>3.4784999999999999</v>
      </c>
      <c r="G173" s="2895">
        <v>0</v>
      </c>
      <c r="H173" s="2896">
        <f>896/F173</f>
        <v>257.58229121747883</v>
      </c>
      <c r="I173" s="2897">
        <v>0</v>
      </c>
      <c r="J173" s="2898">
        <f>71.68/F173</f>
        <v>20.606583297398306</v>
      </c>
      <c r="K173" s="566">
        <f>Tabel668926[[#This Row],[Fix.ch. 2017]]+Tabel668926[[#This Row],[Var. ch. 2017]]+Tabel668926[[#This Row],[Oth. ch. DW 2017]]+Tabel668926[[#This Row],[VAT DW 2017]]</f>
        <v>278.18887451487711</v>
      </c>
      <c r="L173" s="2899">
        <v>0</v>
      </c>
      <c r="M173" s="2900">
        <v>0</v>
      </c>
      <c r="N173" s="2901">
        <f>1102/F173</f>
        <v>316.8032197786402</v>
      </c>
      <c r="O173" s="2898">
        <f>88.16/F173</f>
        <v>25.344257582291217</v>
      </c>
      <c r="P173" s="2902">
        <v>0</v>
      </c>
      <c r="Q173" s="2898">
        <v>0</v>
      </c>
      <c r="R173" s="2586">
        <f>Tabel668926[[#This Row],[VAT DW 2017]]+Tabel668926[[#This Row],[VAT Sew. 2017]]+Tabel668926[[#This Row],[VAT WW 2017]]+Tabel668926[[#This Row],[VAT Other ch. 2017]]</f>
        <v>45.950840879689522</v>
      </c>
      <c r="S173" s="571">
        <f>Tabel668926[[#This Row],[Total. ch. DW 2017]]+Tabel668926[[#This Row],[Sew. 2017]]+Tabel668926[[#This Row],[VAT Sew. 2017]]+Tabel668926[[#This Row],[WW 2017]]+Tabel668926[[#This Row],[VAT WW 2017]]+Tabel668926[[#This Row],[Other ch. 2017]]+Tabel668926[[#This Row],[VAT Other ch. 2017]]</f>
        <v>620.33635187580853</v>
      </c>
      <c r="T173" s="2587"/>
      <c r="U173" s="2712"/>
      <c r="V173" s="2713"/>
      <c r="W173" s="2714"/>
      <c r="X173" s="2604"/>
      <c r="Y173" s="2715"/>
      <c r="Z173" s="2716"/>
      <c r="AA173" s="2604"/>
      <c r="AB173" s="2717"/>
      <c r="AC173" s="2604"/>
      <c r="AD173" s="2718"/>
      <c r="AE173" s="2604"/>
      <c r="AF173" s="2719"/>
      <c r="AG173" s="1832"/>
      <c r="AH173" s="2587"/>
      <c r="AI173" s="2634"/>
      <c r="AJ173" s="2597" t="s">
        <v>429</v>
      </c>
      <c r="AK173" s="2634"/>
      <c r="AL173" s="2634"/>
      <c r="AM173" s="2634"/>
      <c r="AN173" s="2634"/>
      <c r="AO173" s="2634"/>
      <c r="AP173" s="2587"/>
    </row>
    <row r="174" spans="1:42" ht="15.75" customHeight="1" x14ac:dyDescent="0.25">
      <c r="A174" s="2691"/>
      <c r="B174" s="2868" t="s">
        <v>130</v>
      </c>
      <c r="C174" s="2837"/>
      <c r="D174" s="2689" t="s">
        <v>1114</v>
      </c>
      <c r="E174" s="2711"/>
      <c r="F174" s="2824">
        <f>'exchange rates'!$O$48</f>
        <v>3.4784999999999999</v>
      </c>
      <c r="G174" s="2895">
        <v>0</v>
      </c>
      <c r="H174" s="2896">
        <f>668/F174</f>
        <v>192.03679747017392</v>
      </c>
      <c r="I174" s="2897">
        <v>0</v>
      </c>
      <c r="J174" s="2898">
        <f>53.44/F174</f>
        <v>15.362943797613914</v>
      </c>
      <c r="K174" s="566">
        <f>Tabel668926[[#This Row],[Fix.ch. 2017]]+Tabel668926[[#This Row],[Var. ch. 2017]]+Tabel668926[[#This Row],[Oth. ch. DW 2017]]+Tabel668926[[#This Row],[VAT DW 2017]]</f>
        <v>207.39974126778785</v>
      </c>
      <c r="L174" s="2899">
        <v>0</v>
      </c>
      <c r="M174" s="2900">
        <v>0</v>
      </c>
      <c r="N174" s="2901">
        <f>1110/F174</f>
        <v>319.10306166451056</v>
      </c>
      <c r="O174" s="2898">
        <f>88.8/F174</f>
        <v>25.528244933160845</v>
      </c>
      <c r="P174" s="2902">
        <v>0</v>
      </c>
      <c r="Q174" s="2898">
        <v>0</v>
      </c>
      <c r="R174" s="2586">
        <f>Tabel668926[[#This Row],[VAT DW 2017]]+Tabel668926[[#This Row],[VAT Sew. 2017]]+Tabel668926[[#This Row],[VAT WW 2017]]+Tabel668926[[#This Row],[VAT Other ch. 2017]]</f>
        <v>40.891188730774758</v>
      </c>
      <c r="S174" s="571">
        <f>Tabel668926[[#This Row],[Total. ch. DW 2017]]+Tabel668926[[#This Row],[Sew. 2017]]+Tabel668926[[#This Row],[VAT Sew. 2017]]+Tabel668926[[#This Row],[WW 2017]]+Tabel668926[[#This Row],[VAT WW 2017]]+Tabel668926[[#This Row],[Other ch. 2017]]+Tabel668926[[#This Row],[VAT Other ch. 2017]]</f>
        <v>552.0310478654593</v>
      </c>
      <c r="T174" s="2587"/>
      <c r="U174" s="2712"/>
      <c r="V174" s="2713"/>
      <c r="W174" s="2714"/>
      <c r="X174" s="2604"/>
      <c r="Y174" s="2715"/>
      <c r="Z174" s="2716"/>
      <c r="AA174" s="2604"/>
      <c r="AB174" s="2717"/>
      <c r="AC174" s="2604"/>
      <c r="AD174" s="2718"/>
      <c r="AE174" s="2604"/>
      <c r="AF174" s="2719"/>
      <c r="AG174" s="1832"/>
      <c r="AH174" s="2587"/>
      <c r="AI174" s="2598"/>
      <c r="AJ174" s="2597" t="s">
        <v>429</v>
      </c>
      <c r="AK174" s="2634"/>
      <c r="AL174" s="2634"/>
      <c r="AM174" s="2634"/>
      <c r="AN174" s="2634"/>
      <c r="AO174" s="2634"/>
      <c r="AP174" s="2587"/>
    </row>
    <row r="175" spans="1:42" ht="15.75" customHeight="1" x14ac:dyDescent="0.25">
      <c r="A175" s="2691"/>
      <c r="B175" s="2868" t="s">
        <v>131</v>
      </c>
      <c r="C175" s="2837"/>
      <c r="D175" s="2689" t="s">
        <v>1114</v>
      </c>
      <c r="E175" s="2711"/>
      <c r="F175" s="2824">
        <f>'exchange rates'!$O$48</f>
        <v>3.4784999999999999</v>
      </c>
      <c r="G175" s="2895">
        <v>0</v>
      </c>
      <c r="H175" s="2896">
        <f>676/F175</f>
        <v>194.33663935604429</v>
      </c>
      <c r="I175" s="2897">
        <v>0</v>
      </c>
      <c r="J175" s="2898">
        <f>54.08/F175</f>
        <v>15.546931148483541</v>
      </c>
      <c r="K175" s="566">
        <f>Tabel668926[[#This Row],[Fix.ch. 2017]]+Tabel668926[[#This Row],[Var. ch. 2017]]+Tabel668926[[#This Row],[Oth. ch. DW 2017]]+Tabel668926[[#This Row],[VAT DW 2017]]</f>
        <v>209.88357050452782</v>
      </c>
      <c r="L175" s="2899">
        <v>0</v>
      </c>
      <c r="M175" s="2900">
        <v>0</v>
      </c>
      <c r="N175" s="2901">
        <f>664/F175</f>
        <v>190.88687652723877</v>
      </c>
      <c r="O175" s="2898">
        <f>53.12/F175</f>
        <v>15.2709501221791</v>
      </c>
      <c r="P175" s="2902">
        <v>0</v>
      </c>
      <c r="Q175" s="2898">
        <v>0</v>
      </c>
      <c r="R175" s="2586">
        <f>Tabel668926[[#This Row],[VAT DW 2017]]+Tabel668926[[#This Row],[VAT Sew. 2017]]+Tabel668926[[#This Row],[VAT WW 2017]]+Tabel668926[[#This Row],[VAT Other ch. 2017]]</f>
        <v>30.817881270662639</v>
      </c>
      <c r="S175" s="571">
        <f>Tabel668926[[#This Row],[Total. ch. DW 2017]]+Tabel668926[[#This Row],[Sew. 2017]]+Tabel668926[[#This Row],[VAT Sew. 2017]]+Tabel668926[[#This Row],[WW 2017]]+Tabel668926[[#This Row],[VAT WW 2017]]+Tabel668926[[#This Row],[Other ch. 2017]]+Tabel668926[[#This Row],[VAT Other ch. 2017]]</f>
        <v>416.0413971539457</v>
      </c>
      <c r="T175" s="2587"/>
      <c r="U175" s="2712"/>
      <c r="V175" s="2713"/>
      <c r="W175" s="2714"/>
      <c r="X175" s="2604"/>
      <c r="Y175" s="2715"/>
      <c r="Z175" s="2716"/>
      <c r="AA175" s="2604"/>
      <c r="AB175" s="2717"/>
      <c r="AC175" s="2604"/>
      <c r="AD175" s="2718"/>
      <c r="AE175" s="2604"/>
      <c r="AF175" s="2719"/>
      <c r="AG175" s="1832"/>
      <c r="AH175" s="2587"/>
      <c r="AI175" s="2598"/>
      <c r="AJ175" s="2597" t="s">
        <v>429</v>
      </c>
      <c r="AK175" s="2634"/>
      <c r="AL175" s="2634"/>
      <c r="AM175" s="2634"/>
      <c r="AN175" s="2634"/>
      <c r="AO175" s="2634"/>
      <c r="AP175" s="2587"/>
    </row>
    <row r="176" spans="1:42" ht="15.75" customHeight="1" thickBot="1" x14ac:dyDescent="0.3">
      <c r="A176" s="2694"/>
      <c r="B176" s="2936" t="s">
        <v>132</v>
      </c>
      <c r="C176" s="2837"/>
      <c r="D176" s="2689" t="s">
        <v>1114</v>
      </c>
      <c r="E176" s="2663"/>
      <c r="F176" s="2824">
        <f>'exchange rates'!$O$48</f>
        <v>3.4784999999999999</v>
      </c>
      <c r="G176" s="2895">
        <v>0</v>
      </c>
      <c r="H176" s="2896">
        <f>590/F176</f>
        <v>169.61333908293804</v>
      </c>
      <c r="I176" s="2897">
        <v>0</v>
      </c>
      <c r="J176" s="2898">
        <f>47.2/F176</f>
        <v>13.569067126635044</v>
      </c>
      <c r="K176" s="566">
        <f>Tabel668926[[#This Row],[Fix.ch. 2017]]+Tabel668926[[#This Row],[Var. ch. 2017]]+Tabel668926[[#This Row],[Oth. ch. DW 2017]]+Tabel668926[[#This Row],[VAT DW 2017]]</f>
        <v>183.18240620957309</v>
      </c>
      <c r="L176" s="2899">
        <v>0</v>
      </c>
      <c r="M176" s="2900">
        <v>0</v>
      </c>
      <c r="N176" s="2901">
        <f>902/F176</f>
        <v>259.30717263188154</v>
      </c>
      <c r="O176" s="2898">
        <f>72.16/F176</f>
        <v>20.744573810550524</v>
      </c>
      <c r="P176" s="2902">
        <v>0</v>
      </c>
      <c r="Q176" s="2898">
        <v>0</v>
      </c>
      <c r="R176" s="2586">
        <f>Tabel668926[[#This Row],[VAT DW 2017]]+Tabel668926[[#This Row],[VAT Sew. 2017]]+Tabel668926[[#This Row],[VAT WW 2017]]+Tabel668926[[#This Row],[VAT Other ch. 2017]]</f>
        <v>34.313640937185568</v>
      </c>
      <c r="S176" s="571">
        <f>Tabel668926[[#This Row],[Total. ch. DW 2017]]+Tabel668926[[#This Row],[Sew. 2017]]+Tabel668926[[#This Row],[VAT Sew. 2017]]+Tabel668926[[#This Row],[WW 2017]]+Tabel668926[[#This Row],[VAT WW 2017]]+Tabel668926[[#This Row],[Other ch. 2017]]+Tabel668926[[#This Row],[VAT Other ch. 2017]]</f>
        <v>463.23415265200521</v>
      </c>
      <c r="T176" s="2587"/>
      <c r="U176" s="2664"/>
      <c r="V176" s="2665"/>
      <c r="W176" s="2666"/>
      <c r="X176" s="2615"/>
      <c r="Y176" s="2667"/>
      <c r="Z176" s="2668"/>
      <c r="AA176" s="2615"/>
      <c r="AB176" s="2669"/>
      <c r="AC176" s="2615"/>
      <c r="AD176" s="2670"/>
      <c r="AE176" s="2615"/>
      <c r="AF176" s="2671"/>
      <c r="AG176" s="1792"/>
      <c r="AH176" s="2587"/>
      <c r="AI176" s="2598"/>
      <c r="AJ176" s="2597" t="s">
        <v>429</v>
      </c>
      <c r="AK176" s="2634"/>
      <c r="AL176" s="2634"/>
      <c r="AM176" s="2634"/>
      <c r="AN176" s="2634"/>
      <c r="AO176" s="2634"/>
      <c r="AP176" s="2587"/>
    </row>
    <row r="177" spans="1:42" ht="15.75" customHeight="1" x14ac:dyDescent="0.25">
      <c r="A177" s="2698" t="s">
        <v>23</v>
      </c>
      <c r="B177" s="2821" t="s">
        <v>133</v>
      </c>
      <c r="C177" s="2822" t="s">
        <v>429</v>
      </c>
      <c r="D177" s="2673" t="s">
        <v>1116</v>
      </c>
      <c r="E177" s="2823">
        <v>30300</v>
      </c>
      <c r="F177" s="2577">
        <f>'exchange rates'!$O$49</f>
        <v>0.83301000000000003</v>
      </c>
      <c r="G177" s="2895">
        <f>57/F177</f>
        <v>68.426549501206466</v>
      </c>
      <c r="H177" s="2896">
        <f>103.69/F177</f>
        <v>124.47629680315961</v>
      </c>
      <c r="I177" s="2897">
        <f>4.52/F177</f>
        <v>5.4261053288675996</v>
      </c>
      <c r="J177" s="2898">
        <f>9.91/F177</f>
        <v>11.896615886964142</v>
      </c>
      <c r="K177" s="566">
        <f>Tabel668926[[#This Row],[Fix.ch. 2017]]+Tabel668926[[#This Row],[Var. ch. 2017]]+Tabel668926[[#This Row],[Oth. ch. DW 2017]]+Tabel668926[[#This Row],[VAT DW 2017]]</f>
        <v>210.22556752019784</v>
      </c>
      <c r="L177" s="2899">
        <f>106.56/F177</f>
        <v>127.9216335938344</v>
      </c>
      <c r="M177" s="2900">
        <f>0</f>
        <v>0</v>
      </c>
      <c r="N177" s="2901">
        <v>0</v>
      </c>
      <c r="O177" s="2898">
        <v>0</v>
      </c>
      <c r="P177" s="2902">
        <f>14.53/F177</f>
        <v>17.442767793904032</v>
      </c>
      <c r="Q177" s="2898">
        <v>0</v>
      </c>
      <c r="R177" s="2586">
        <f>Tabel668926[[#This Row],[VAT DW 2017]]+Tabel668926[[#This Row],[VAT Sew. 2017]]+Tabel668926[[#This Row],[VAT WW 2017]]+Tabel668926[[#This Row],[VAT Other ch. 2017]]</f>
        <v>11.896615886964142</v>
      </c>
      <c r="S177" s="571">
        <f>Tabel668926[[#This Row],[Total. ch. DW 2017]]+Tabel668926[[#This Row],[Sew. 2017]]+Tabel668926[[#This Row],[VAT Sew. 2017]]+Tabel668926[[#This Row],[WW 2017]]+Tabel668926[[#This Row],[VAT WW 2017]]+Tabel668926[[#This Row],[Other ch. 2017]]+Tabel668926[[#This Row],[VAT Other ch. 2017]]</f>
        <v>355.58996890793622</v>
      </c>
      <c r="T177" s="2587"/>
      <c r="U177" s="2825">
        <f>MEDIAN(G177:G183)</f>
        <v>56.181798537832677</v>
      </c>
      <c r="V177" s="2826">
        <f>MEDIAN(H177:H183)</f>
        <v>163.26334617831719</v>
      </c>
      <c r="W177" s="2827">
        <f>MEDIAN(I177:I183)</f>
        <v>5.450114644482059</v>
      </c>
      <c r="X177" s="2815">
        <f>MEDIAN(J177:J183)</f>
        <v>13.517244690940084</v>
      </c>
      <c r="Y177" s="2828">
        <f>SUM(U177:X183)</f>
        <v>238.412504051572</v>
      </c>
      <c r="Z177" s="2829">
        <f t="shared" ref="Z177:AF177" si="26">MEDIAN(L177:L183)</f>
        <v>171.4505228028475</v>
      </c>
      <c r="AA177" s="2815">
        <f t="shared" si="26"/>
        <v>0</v>
      </c>
      <c r="AB177" s="2830">
        <f t="shared" si="26"/>
        <v>0</v>
      </c>
      <c r="AC177" s="2815">
        <f t="shared" si="26"/>
        <v>0</v>
      </c>
      <c r="AD177" s="2831">
        <f t="shared" si="26"/>
        <v>0</v>
      </c>
      <c r="AE177" s="2815">
        <f t="shared" si="26"/>
        <v>0</v>
      </c>
      <c r="AF177" s="2832">
        <f t="shared" si="26"/>
        <v>14.693701156048547</v>
      </c>
      <c r="AG177" s="1945">
        <f>Y177+Z177+AA177+AB177+AC177+AD177+AE177</f>
        <v>409.8630268544195</v>
      </c>
      <c r="AH177" s="2587"/>
      <c r="AI177" s="2634"/>
      <c r="AJ177" s="2634"/>
      <c r="AK177" s="2634"/>
      <c r="AL177" s="2597" t="s">
        <v>429</v>
      </c>
      <c r="AM177" s="2597" t="s">
        <v>429</v>
      </c>
      <c r="AN177" s="2682"/>
      <c r="AO177" s="2634"/>
      <c r="AP177" s="2587"/>
    </row>
    <row r="178" spans="1:42" ht="15.75" customHeight="1" x14ac:dyDescent="0.25">
      <c r="A178" s="2599"/>
      <c r="B178" s="2833" t="s">
        <v>134</v>
      </c>
      <c r="C178" s="2833"/>
      <c r="D178" s="2672" t="s">
        <v>1116</v>
      </c>
      <c r="E178" s="2600"/>
      <c r="F178" s="2577">
        <f>'exchange rates'!$O$49</f>
        <v>0.83301000000000003</v>
      </c>
      <c r="G178" s="2895">
        <f>48.84/F178</f>
        <v>58.630748730507442</v>
      </c>
      <c r="H178" s="2896">
        <f>150.66/F178</f>
        <v>180.8621745237152</v>
      </c>
      <c r="I178" s="2897">
        <f>4.54/F178</f>
        <v>5.450114644482059</v>
      </c>
      <c r="J178" s="2898">
        <f>12.24/F178</f>
        <v>14.693701156048547</v>
      </c>
      <c r="K178" s="566">
        <f>Tabel668926[[#This Row],[Fix.ch. 2017]]+Tabel668926[[#This Row],[Var. ch. 2017]]+Tabel668926[[#This Row],[Oth. ch. DW 2017]]+Tabel668926[[#This Row],[VAT DW 2017]]</f>
        <v>259.63673905475321</v>
      </c>
      <c r="L178" s="2899">
        <f>177.83/F178</f>
        <v>213.47882978595695</v>
      </c>
      <c r="M178" s="2900">
        <v>0</v>
      </c>
      <c r="N178" s="2901">
        <v>0</v>
      </c>
      <c r="O178" s="2898">
        <v>0</v>
      </c>
      <c r="P178" s="2902">
        <v>0</v>
      </c>
      <c r="Q178" s="2898"/>
      <c r="R178" s="2586">
        <f>Tabel668926[[#This Row],[VAT DW 2017]]+Tabel668926[[#This Row],[VAT Sew. 2017]]+Tabel668926[[#This Row],[VAT WW 2017]]+Tabel668926[[#This Row],[VAT Other ch. 2017]]</f>
        <v>14.693701156048547</v>
      </c>
      <c r="S178" s="571">
        <f>Tabel668926[[#This Row],[Total. ch. DW 2017]]+Tabel668926[[#This Row],[Sew. 2017]]+Tabel668926[[#This Row],[VAT Sew. 2017]]+Tabel668926[[#This Row],[WW 2017]]+Tabel668926[[#This Row],[VAT WW 2017]]+Tabel668926[[#This Row],[Other ch. 2017]]+Tabel668926[[#This Row],[VAT Other ch. 2017]]</f>
        <v>473.11556884071013</v>
      </c>
      <c r="T178" s="2587"/>
      <c r="U178" s="2601"/>
      <c r="V178" s="2602"/>
      <c r="W178" s="2603"/>
      <c r="X178" s="2604"/>
      <c r="Y178" s="2605"/>
      <c r="Z178" s="2606"/>
      <c r="AA178" s="2604"/>
      <c r="AB178" s="2607"/>
      <c r="AC178" s="2604"/>
      <c r="AD178" s="2608"/>
      <c r="AE178" s="2604"/>
      <c r="AF178" s="2609"/>
      <c r="AG178" s="1791"/>
      <c r="AH178" s="2587"/>
      <c r="AI178" s="2634"/>
      <c r="AJ178" s="2634"/>
      <c r="AK178" s="2634"/>
      <c r="AL178" s="2597" t="s">
        <v>429</v>
      </c>
      <c r="AM178" s="2597" t="s">
        <v>429</v>
      </c>
      <c r="AN178" s="2682"/>
      <c r="AO178" s="2634"/>
      <c r="AP178" s="2587"/>
    </row>
    <row r="179" spans="1:42" ht="15.75" customHeight="1" x14ac:dyDescent="0.25">
      <c r="A179" s="2599"/>
      <c r="B179" s="2833" t="s">
        <v>135</v>
      </c>
      <c r="C179" s="2833"/>
      <c r="D179" s="2672" t="s">
        <v>1116</v>
      </c>
      <c r="E179" s="2600"/>
      <c r="F179" s="2577">
        <f>'exchange rates'!$O$49</f>
        <v>0.83301000000000003</v>
      </c>
      <c r="G179" s="2895">
        <f>41.62/F179</f>
        <v>49.963385793687948</v>
      </c>
      <c r="H179" s="2896">
        <f>157.77/F179</f>
        <v>189.39748622465518</v>
      </c>
      <c r="I179" s="2897">
        <f>4.08/F179</f>
        <v>4.8979003853495158</v>
      </c>
      <c r="J179" s="2898">
        <f>12.21/F179</f>
        <v>14.65768718262686</v>
      </c>
      <c r="K179" s="566">
        <f>Tabel668926[[#This Row],[Fix.ch. 2017]]+Tabel668926[[#This Row],[Var. ch. 2017]]+Tabel668926[[#This Row],[Oth. ch. DW 2017]]+Tabel668926[[#This Row],[VAT DW 2017]]</f>
        <v>258.91645958631949</v>
      </c>
      <c r="L179" s="2899">
        <f>88.08/F179</f>
        <v>105.73702596607482</v>
      </c>
      <c r="M179" s="2900">
        <f>5.28/F179</f>
        <v>6.3384593222170205</v>
      </c>
      <c r="N179" s="2901">
        <v>0</v>
      </c>
      <c r="O179" s="2898">
        <v>0</v>
      </c>
      <c r="P179" s="2902">
        <v>0</v>
      </c>
      <c r="Q179" s="2898">
        <v>0</v>
      </c>
      <c r="R179" s="2586">
        <f>Tabel668926[[#This Row],[VAT DW 2017]]+Tabel668926[[#This Row],[VAT Sew. 2017]]+Tabel668926[[#This Row],[VAT WW 2017]]+Tabel668926[[#This Row],[VAT Other ch. 2017]]</f>
        <v>20.996146504843882</v>
      </c>
      <c r="S179" s="571">
        <f>Tabel668926[[#This Row],[Total. ch. DW 2017]]+Tabel668926[[#This Row],[Sew. 2017]]+Tabel668926[[#This Row],[VAT Sew. 2017]]+Tabel668926[[#This Row],[WW 2017]]+Tabel668926[[#This Row],[VAT WW 2017]]+Tabel668926[[#This Row],[Other ch. 2017]]+Tabel668926[[#This Row],[VAT Other ch. 2017]]</f>
        <v>370.99194487461136</v>
      </c>
      <c r="T179" s="2587"/>
      <c r="U179" s="2601"/>
      <c r="V179" s="2602"/>
      <c r="W179" s="2603"/>
      <c r="X179" s="2604"/>
      <c r="Y179" s="2605"/>
      <c r="Z179" s="2606"/>
      <c r="AA179" s="2604"/>
      <c r="AB179" s="2607"/>
      <c r="AC179" s="2604"/>
      <c r="AD179" s="2608"/>
      <c r="AE179" s="2604"/>
      <c r="AF179" s="2609"/>
      <c r="AG179" s="1791"/>
      <c r="AH179" s="2587"/>
      <c r="AI179" s="2634"/>
      <c r="AJ179" s="2634"/>
      <c r="AK179" s="2634"/>
      <c r="AL179" s="2597" t="s">
        <v>429</v>
      </c>
      <c r="AM179" s="2597" t="s">
        <v>429</v>
      </c>
      <c r="AN179" s="2682"/>
      <c r="AO179" s="2634"/>
      <c r="AP179" s="2587"/>
    </row>
    <row r="180" spans="1:42" ht="15.75" customHeight="1" x14ac:dyDescent="0.25">
      <c r="A180" s="2599"/>
      <c r="B180" s="2833" t="s">
        <v>136</v>
      </c>
      <c r="C180" s="2833"/>
      <c r="D180" s="2672" t="s">
        <v>1116</v>
      </c>
      <c r="E180" s="2600"/>
      <c r="F180" s="2577">
        <f>'exchange rates'!$O$49</f>
        <v>0.83301000000000003</v>
      </c>
      <c r="G180" s="2895">
        <f>38.11/F180</f>
        <v>45.749750903350495</v>
      </c>
      <c r="H180" s="2896">
        <f>175.63/F180</f>
        <v>210.83780506836652</v>
      </c>
      <c r="I180" s="2897">
        <f>5/F180</f>
        <v>6.0023289036146021</v>
      </c>
      <c r="J180" s="2898">
        <f>13.12/F180</f>
        <v>15.750111043084715</v>
      </c>
      <c r="K180" s="566">
        <f>Tabel668926[[#This Row],[Fix.ch. 2017]]+Tabel668926[[#This Row],[Var. ch. 2017]]+Tabel668926[[#This Row],[Oth. ch. DW 2017]]+Tabel668926[[#This Row],[VAT DW 2017]]</f>
        <v>278.33999591841632</v>
      </c>
      <c r="L180" s="2899">
        <f>182.36/F180</f>
        <v>218.91693977263179</v>
      </c>
      <c r="M180" s="2900">
        <v>0</v>
      </c>
      <c r="N180" s="2901">
        <v>0</v>
      </c>
      <c r="O180" s="2898">
        <v>0</v>
      </c>
      <c r="P180" s="2902">
        <v>0</v>
      </c>
      <c r="Q180" s="2898">
        <v>0</v>
      </c>
      <c r="R180" s="2586">
        <f>Tabel668926[[#This Row],[VAT DW 2017]]+Tabel668926[[#This Row],[VAT Sew. 2017]]+Tabel668926[[#This Row],[VAT WW 2017]]+Tabel668926[[#This Row],[VAT Other ch. 2017]]</f>
        <v>15.750111043084715</v>
      </c>
      <c r="S180" s="571">
        <f>Tabel668926[[#This Row],[Total. ch. DW 2017]]+Tabel668926[[#This Row],[Sew. 2017]]+Tabel668926[[#This Row],[VAT Sew. 2017]]+Tabel668926[[#This Row],[WW 2017]]+Tabel668926[[#This Row],[VAT WW 2017]]+Tabel668926[[#This Row],[Other ch. 2017]]+Tabel668926[[#This Row],[VAT Other ch. 2017]]</f>
        <v>497.25693569104811</v>
      </c>
      <c r="T180" s="2587"/>
      <c r="U180" s="2601"/>
      <c r="V180" s="2602"/>
      <c r="W180" s="2603"/>
      <c r="X180" s="2604"/>
      <c r="Y180" s="2605"/>
      <c r="Z180" s="2606"/>
      <c r="AA180" s="2604"/>
      <c r="AB180" s="2607"/>
      <c r="AC180" s="2604"/>
      <c r="AD180" s="2608"/>
      <c r="AE180" s="2604"/>
      <c r="AF180" s="2609"/>
      <c r="AG180" s="1791"/>
      <c r="AH180" s="2587"/>
      <c r="AI180" s="2634"/>
      <c r="AJ180" s="2634"/>
      <c r="AK180" s="2634"/>
      <c r="AL180" s="2597" t="s">
        <v>429</v>
      </c>
      <c r="AM180" s="2597" t="s">
        <v>429</v>
      </c>
      <c r="AN180" s="2682"/>
      <c r="AO180" s="2634"/>
      <c r="AP180" s="2587"/>
    </row>
    <row r="181" spans="1:42" ht="15.75" customHeight="1" x14ac:dyDescent="0.25">
      <c r="A181" s="2599"/>
      <c r="B181" s="2833" t="s">
        <v>137</v>
      </c>
      <c r="C181" s="2833"/>
      <c r="D181" s="2672" t="s">
        <v>1116</v>
      </c>
      <c r="E181" s="2600"/>
      <c r="F181" s="2577">
        <f>'exchange rates'!$O$49</f>
        <v>0.83301000000000003</v>
      </c>
      <c r="G181" s="2895">
        <f>55.97/F181</f>
        <v>67.190069747061855</v>
      </c>
      <c r="H181" s="2896">
        <f>112.38/F181</f>
        <v>134.9083444376418</v>
      </c>
      <c r="I181" s="2897">
        <f>3.42/F181</f>
        <v>4.1055929700723874</v>
      </c>
      <c r="J181" s="2898">
        <f>10.31/F181</f>
        <v>12.37680219925331</v>
      </c>
      <c r="K181" s="566">
        <f>Tabel668926[[#This Row],[Fix.ch. 2017]]+Tabel668926[[#This Row],[Var. ch. 2017]]+Tabel668926[[#This Row],[Oth. ch. DW 2017]]+Tabel668926[[#This Row],[VAT DW 2017]]</f>
        <v>218.58080935402936</v>
      </c>
      <c r="L181" s="2899">
        <f>142.82/F181</f>
        <v>171.4505228028475</v>
      </c>
      <c r="M181" s="2900">
        <v>0</v>
      </c>
      <c r="N181" s="2901">
        <v>0</v>
      </c>
      <c r="O181" s="2898">
        <v>0</v>
      </c>
      <c r="P181" s="2902">
        <v>0</v>
      </c>
      <c r="Q181" s="2898">
        <v>0</v>
      </c>
      <c r="R181" s="2586">
        <f>Tabel668926[[#This Row],[VAT DW 2017]]+Tabel668926[[#This Row],[VAT Sew. 2017]]+Tabel668926[[#This Row],[VAT WW 2017]]+Tabel668926[[#This Row],[VAT Other ch. 2017]]</f>
        <v>12.37680219925331</v>
      </c>
      <c r="S181" s="571">
        <f>Tabel668926[[#This Row],[Total. ch. DW 2017]]+Tabel668926[[#This Row],[Sew. 2017]]+Tabel668926[[#This Row],[VAT Sew. 2017]]+Tabel668926[[#This Row],[WW 2017]]+Tabel668926[[#This Row],[VAT WW 2017]]+Tabel668926[[#This Row],[Other ch. 2017]]+Tabel668926[[#This Row],[VAT Other ch. 2017]]</f>
        <v>390.03133215687683</v>
      </c>
      <c r="T181" s="2587"/>
      <c r="U181" s="2601"/>
      <c r="V181" s="2602"/>
      <c r="W181" s="2603"/>
      <c r="X181" s="2604"/>
      <c r="Y181" s="2605"/>
      <c r="Z181" s="2606"/>
      <c r="AA181" s="2604"/>
      <c r="AB181" s="2607"/>
      <c r="AC181" s="2604"/>
      <c r="AD181" s="2608"/>
      <c r="AE181" s="2604"/>
      <c r="AF181" s="2609"/>
      <c r="AG181" s="1791"/>
      <c r="AH181" s="2587"/>
      <c r="AI181" s="2634"/>
      <c r="AJ181" s="2634"/>
      <c r="AK181" s="2634"/>
      <c r="AL181" s="2597" t="s">
        <v>429</v>
      </c>
      <c r="AM181" s="2597" t="s">
        <v>429</v>
      </c>
      <c r="AN181" s="2682"/>
      <c r="AO181" s="2634"/>
      <c r="AP181" s="2587"/>
    </row>
    <row r="182" spans="1:42" ht="15.75" customHeight="1" x14ac:dyDescent="0.25">
      <c r="A182" s="2599"/>
      <c r="B182" s="2833" t="s">
        <v>138</v>
      </c>
      <c r="C182" s="2833"/>
      <c r="D182" s="2672" t="s">
        <v>1116</v>
      </c>
      <c r="E182" s="2600"/>
      <c r="F182" s="2577">
        <f>'exchange rates'!$O$49</f>
        <v>0.83301000000000003</v>
      </c>
      <c r="G182" s="2895">
        <f>46.8/F182</f>
        <v>56.181798537832677</v>
      </c>
      <c r="H182" s="2896">
        <f>136/F182</f>
        <v>163.26334617831719</v>
      </c>
      <c r="I182" s="2897">
        <f>4.86/F182</f>
        <v>5.8342636943133934</v>
      </c>
      <c r="J182" s="2898">
        <f>11.26/F182</f>
        <v>13.517244690940084</v>
      </c>
      <c r="K182" s="566">
        <f>Tabel668926[[#This Row],[Fix.ch. 2017]]+Tabel668926[[#This Row],[Var. ch. 2017]]+Tabel668926[[#This Row],[Oth. ch. DW 2017]]+Tabel668926[[#This Row],[VAT DW 2017]]</f>
        <v>238.79665310140334</v>
      </c>
      <c r="L182" s="2899">
        <f>133.32/F182</f>
        <v>160.04609788597975</v>
      </c>
      <c r="M182" s="2900">
        <f>8/F182</f>
        <v>9.6037262457833634</v>
      </c>
      <c r="N182" s="2901">
        <v>0</v>
      </c>
      <c r="O182" s="2898">
        <v>0</v>
      </c>
      <c r="P182" s="2902">
        <v>0</v>
      </c>
      <c r="Q182" s="2898">
        <v>0</v>
      </c>
      <c r="R182" s="2586">
        <f>Tabel668926[[#This Row],[VAT DW 2017]]+Tabel668926[[#This Row],[VAT Sew. 2017]]+Tabel668926[[#This Row],[VAT WW 2017]]+Tabel668926[[#This Row],[VAT Other ch. 2017]]</f>
        <v>23.120970936723445</v>
      </c>
      <c r="S182" s="571">
        <f>Tabel668926[[#This Row],[Total. ch. DW 2017]]+Tabel668926[[#This Row],[Sew. 2017]]+Tabel668926[[#This Row],[VAT Sew. 2017]]+Tabel668926[[#This Row],[WW 2017]]+Tabel668926[[#This Row],[VAT WW 2017]]+Tabel668926[[#This Row],[Other ch. 2017]]+Tabel668926[[#This Row],[VAT Other ch. 2017]]</f>
        <v>408.44647723316643</v>
      </c>
      <c r="T182" s="2587"/>
      <c r="U182" s="2601"/>
      <c r="V182" s="2602"/>
      <c r="W182" s="2603"/>
      <c r="X182" s="2604"/>
      <c r="Y182" s="2605"/>
      <c r="Z182" s="2606"/>
      <c r="AA182" s="2604"/>
      <c r="AB182" s="2607"/>
      <c r="AC182" s="2604"/>
      <c r="AD182" s="2608"/>
      <c r="AE182" s="2604"/>
      <c r="AF182" s="2609"/>
      <c r="AG182" s="1791"/>
      <c r="AH182" s="2587"/>
      <c r="AI182" s="2634"/>
      <c r="AJ182" s="2634"/>
      <c r="AK182" s="2634"/>
      <c r="AL182" s="2597" t="s">
        <v>429</v>
      </c>
      <c r="AM182" s="2597" t="s">
        <v>429</v>
      </c>
      <c r="AN182" s="2682"/>
      <c r="AO182" s="2634"/>
      <c r="AP182" s="2587"/>
    </row>
    <row r="183" spans="1:42" ht="15.75" customHeight="1" thickBot="1" x14ac:dyDescent="0.3">
      <c r="A183" s="2610"/>
      <c r="B183" s="2834" t="s">
        <v>139</v>
      </c>
      <c r="C183" s="2835"/>
      <c r="D183" s="2696" t="s">
        <v>1116</v>
      </c>
      <c r="E183" s="2663"/>
      <c r="F183" s="2577">
        <f>'exchange rates'!$O$49</f>
        <v>0.83301000000000003</v>
      </c>
      <c r="G183" s="2895">
        <f>33.94/F183</f>
        <v>40.743808597735921</v>
      </c>
      <c r="H183" s="2896">
        <f>111.18/F183</f>
        <v>133.46778550077431</v>
      </c>
      <c r="I183" s="2897">
        <f>5.36/F183</f>
        <v>6.4344965846748536</v>
      </c>
      <c r="J183" s="2898">
        <f>9.03/F183</f>
        <v>10.840205999927971</v>
      </c>
      <c r="K183" s="566">
        <f>Tabel668926[[#This Row],[Fix.ch. 2017]]+Tabel668926[[#This Row],[Var. ch. 2017]]+Tabel668926[[#This Row],[Oth. ch. DW 2017]]+Tabel668926[[#This Row],[VAT DW 2017]]</f>
        <v>191.48629668311307</v>
      </c>
      <c r="L183" s="2899">
        <f>198.69/F183</f>
        <v>238.52054597183707</v>
      </c>
      <c r="M183" s="2900">
        <v>0</v>
      </c>
      <c r="N183" s="2901">
        <v>0</v>
      </c>
      <c r="O183" s="2898">
        <v>0</v>
      </c>
      <c r="P183" s="2902">
        <v>0</v>
      </c>
      <c r="Q183" s="2898">
        <v>0</v>
      </c>
      <c r="R183" s="2586">
        <f>Tabel668926[[#This Row],[VAT DW 2017]]+Tabel668926[[#This Row],[VAT Sew. 2017]]+Tabel668926[[#This Row],[VAT WW 2017]]+Tabel668926[[#This Row],[VAT Other ch. 2017]]</f>
        <v>10.840205999927971</v>
      </c>
      <c r="S183" s="571">
        <f>Tabel668926[[#This Row],[Total. ch. DW 2017]]+Tabel668926[[#This Row],[Sew. 2017]]+Tabel668926[[#This Row],[VAT Sew. 2017]]+Tabel668926[[#This Row],[WW 2017]]+Tabel668926[[#This Row],[VAT WW 2017]]+Tabel668926[[#This Row],[Other ch. 2017]]+Tabel668926[[#This Row],[VAT Other ch. 2017]]</f>
        <v>430.00684265495011</v>
      </c>
      <c r="T183" s="2587"/>
      <c r="U183" s="2664"/>
      <c r="V183" s="2665"/>
      <c r="W183" s="2666"/>
      <c r="X183" s="2615"/>
      <c r="Y183" s="2667"/>
      <c r="Z183" s="2668"/>
      <c r="AA183" s="2615"/>
      <c r="AB183" s="2669"/>
      <c r="AC183" s="2615"/>
      <c r="AD183" s="2670"/>
      <c r="AE183" s="2615"/>
      <c r="AF183" s="2671"/>
      <c r="AG183" s="1792"/>
      <c r="AH183" s="2587"/>
      <c r="AI183" s="2634"/>
      <c r="AJ183" s="2634"/>
      <c r="AK183" s="2634"/>
      <c r="AL183" s="2597" t="s">
        <v>429</v>
      </c>
      <c r="AM183" s="2597" t="s">
        <v>429</v>
      </c>
      <c r="AN183" s="2597" t="s">
        <v>429</v>
      </c>
      <c r="AO183" s="2634"/>
      <c r="AP183" s="2587"/>
    </row>
    <row r="184" spans="1:42" ht="15.75" customHeight="1" x14ac:dyDescent="0.25">
      <c r="A184" s="2698" t="s">
        <v>40</v>
      </c>
      <c r="B184" s="3085" t="s">
        <v>869</v>
      </c>
      <c r="C184" s="3086"/>
      <c r="D184" s="3086" t="s">
        <v>1118</v>
      </c>
      <c r="E184" s="2870">
        <v>24000</v>
      </c>
      <c r="F184" s="2577">
        <f>'exchange rates'!$O$50</f>
        <v>3.8868399999999999</v>
      </c>
      <c r="G184" s="2895">
        <v>0</v>
      </c>
      <c r="H184" s="2896">
        <f>526/F184</f>
        <v>135.32844161323851</v>
      </c>
      <c r="I184" s="2897">
        <v>0</v>
      </c>
      <c r="J184" s="2898">
        <f>47.34/F184</f>
        <v>12.179559745191469</v>
      </c>
      <c r="K184" s="566">
        <f>Tabel668926[[#This Row],[Fix.ch. 2017]]+Tabel668926[[#This Row],[Var. ch. 2017]]+Tabel668926[[#This Row],[Oth. ch. DW 2017]]+Tabel668926[[#This Row],[VAT DW 2017]]</f>
        <v>147.50800135842996</v>
      </c>
      <c r="L184" s="2899">
        <v>0</v>
      </c>
      <c r="M184" s="2900">
        <v>0</v>
      </c>
      <c r="N184" s="2901">
        <f>558/F184</f>
        <v>143.56135060872072</v>
      </c>
      <c r="O184" s="2898">
        <f>106.02/F184</f>
        <v>27.276656615656936</v>
      </c>
      <c r="P184" s="2902">
        <v>0</v>
      </c>
      <c r="Q184" s="2898">
        <v>0</v>
      </c>
      <c r="R184" s="2586">
        <f>Tabel668926[[#This Row],[VAT DW 2017]]+Tabel668926[[#This Row],[VAT Sew. 2017]]+Tabel668926[[#This Row],[VAT WW 2017]]+Tabel668926[[#This Row],[VAT Other ch. 2017]]</f>
        <v>39.456216360848401</v>
      </c>
      <c r="S184" s="571">
        <f>Tabel668926[[#This Row],[Total. ch. DW 2017]]+Tabel668926[[#This Row],[Sew. 2017]]+Tabel668926[[#This Row],[VAT Sew. 2017]]+Tabel668926[[#This Row],[WW 2017]]+Tabel668926[[#This Row],[VAT WW 2017]]+Tabel668926[[#This Row],[Other ch. 2017]]+Tabel668926[[#This Row],[VAT Other ch. 2017]]</f>
        <v>318.3460085828076</v>
      </c>
      <c r="T184" s="2587"/>
      <c r="U184" s="2674">
        <f>MEDIAN(G184:G224)</f>
        <v>0</v>
      </c>
      <c r="V184" s="2675">
        <f>MEDIAN(H184:H224)</f>
        <v>183.69678196169639</v>
      </c>
      <c r="W184" s="2676">
        <f>MEDIAN(I184:I224)</f>
        <v>0</v>
      </c>
      <c r="X184" s="2815">
        <f>MEDIAN(J184:J224)</f>
        <v>16.532710376552679</v>
      </c>
      <c r="Y184" s="2677">
        <f>SUM(U184:X224)</f>
        <v>200.22949233824906</v>
      </c>
      <c r="Z184" s="2678">
        <f t="shared" ref="Z184:AF184" si="27">MEDIAN(L184:L224)</f>
        <v>0</v>
      </c>
      <c r="AA184" s="2815">
        <f t="shared" si="27"/>
        <v>0</v>
      </c>
      <c r="AB184" s="2679">
        <f t="shared" si="27"/>
        <v>133.78477117658562</v>
      </c>
      <c r="AC184" s="2815">
        <f t="shared" si="27"/>
        <v>25.419106523551264</v>
      </c>
      <c r="AD184" s="2680">
        <f t="shared" si="27"/>
        <v>0</v>
      </c>
      <c r="AE184" s="2815">
        <f t="shared" si="27"/>
        <v>0</v>
      </c>
      <c r="AF184" s="2681">
        <f t="shared" si="27"/>
        <v>42.353171213633701</v>
      </c>
      <c r="AG184" s="1817">
        <f>Y184+Z184+AA184+AB184+AC184+AD184+AE184</f>
        <v>359.43337003838593</v>
      </c>
      <c r="AH184" s="2587"/>
      <c r="AI184" s="2597" t="s">
        <v>429</v>
      </c>
      <c r="AJ184" s="2597" t="s">
        <v>429</v>
      </c>
      <c r="AK184" s="2597"/>
      <c r="AL184" s="2597"/>
      <c r="AM184" s="2597"/>
      <c r="AN184" s="2597" t="s">
        <v>429</v>
      </c>
      <c r="AO184" s="2682"/>
      <c r="AP184" s="2587"/>
    </row>
    <row r="185" spans="1:42" ht="15.75" customHeight="1" x14ac:dyDescent="0.25">
      <c r="A185" s="2599"/>
      <c r="B185" s="3087" t="s">
        <v>188</v>
      </c>
      <c r="C185" s="2914"/>
      <c r="D185" s="2914" t="s">
        <v>1118</v>
      </c>
      <c r="E185" s="2711"/>
      <c r="F185" s="2577">
        <f>'exchange rates'!$O$50</f>
        <v>3.8868399999999999</v>
      </c>
      <c r="G185" s="325"/>
      <c r="H185" s="326"/>
      <c r="I185" s="327"/>
      <c r="J185" s="561"/>
      <c r="K185" s="313"/>
      <c r="L185" s="328"/>
      <c r="M185" s="1097"/>
      <c r="N185" s="329"/>
      <c r="O185" s="561"/>
      <c r="P185" s="330"/>
      <c r="Q185" s="561"/>
      <c r="R185" s="2657"/>
      <c r="S185" s="318"/>
      <c r="T185" s="2587"/>
      <c r="U185" s="2601"/>
      <c r="V185" s="2602"/>
      <c r="W185" s="2603"/>
      <c r="X185" s="2604"/>
      <c r="Y185" s="2605"/>
      <c r="Z185" s="2606"/>
      <c r="AA185" s="2604"/>
      <c r="AB185" s="2607"/>
      <c r="AC185" s="2604"/>
      <c r="AD185" s="2608"/>
      <c r="AE185" s="2604"/>
      <c r="AF185" s="2609"/>
      <c r="AG185" s="1791"/>
      <c r="AH185" s="2587"/>
      <c r="AI185" s="2598"/>
      <c r="AJ185" s="2598"/>
      <c r="AK185" s="2634"/>
      <c r="AL185" s="2634"/>
      <c r="AM185" s="2634"/>
      <c r="AN185" s="2598"/>
      <c r="AO185" s="2634"/>
      <c r="AP185" s="2587"/>
    </row>
    <row r="186" spans="1:42" ht="15.75" customHeight="1" x14ac:dyDescent="0.25">
      <c r="A186" s="2599"/>
      <c r="B186" s="3085" t="s">
        <v>189</v>
      </c>
      <c r="C186" s="3086"/>
      <c r="D186" s="3086" t="s">
        <v>1118</v>
      </c>
      <c r="E186" s="2711"/>
      <c r="F186" s="2577">
        <f>'exchange rates'!$O$50</f>
        <v>3.8868399999999999</v>
      </c>
      <c r="G186" s="2895">
        <v>0</v>
      </c>
      <c r="H186" s="2896">
        <f>640/F186</f>
        <v>164.65817990964382</v>
      </c>
      <c r="I186" s="2897">
        <v>0</v>
      </c>
      <c r="J186" s="2898">
        <f>57.6/F186</f>
        <v>14.819236191867946</v>
      </c>
      <c r="K186" s="566">
        <f>Tabel668926[[#This Row],[Fix.ch. 2017]]+Tabel668926[[#This Row],[Var. ch. 2017]]+Tabel668926[[#This Row],[Oth. ch. DW 2017]]+Tabel668926[[#This Row],[VAT DW 2017]]</f>
        <v>179.47741610151178</v>
      </c>
      <c r="L186" s="2899">
        <v>0</v>
      </c>
      <c r="M186" s="2900">
        <v>0</v>
      </c>
      <c r="N186" s="2901">
        <f>360/F186</f>
        <v>92.620226199174652</v>
      </c>
      <c r="O186" s="2898">
        <f>68.4/F186</f>
        <v>17.597842977843186</v>
      </c>
      <c r="P186" s="2902">
        <v>0</v>
      </c>
      <c r="Q186" s="2898">
        <v>0</v>
      </c>
      <c r="R186" s="2586">
        <f>Tabel668926[[#This Row],[VAT DW 2017]]+Tabel668926[[#This Row],[VAT Sew. 2017]]+Tabel668926[[#This Row],[VAT WW 2017]]+Tabel668926[[#This Row],[VAT Other ch. 2017]]</f>
        <v>32.41707916971113</v>
      </c>
      <c r="S186" s="571">
        <f>Tabel668926[[#This Row],[Total. ch. DW 2017]]+Tabel668926[[#This Row],[Sew. 2017]]+Tabel668926[[#This Row],[VAT Sew. 2017]]+Tabel668926[[#This Row],[WW 2017]]+Tabel668926[[#This Row],[VAT WW 2017]]+Tabel668926[[#This Row],[Other ch. 2017]]+Tabel668926[[#This Row],[VAT Other ch. 2017]]</f>
        <v>289.69548527852959</v>
      </c>
      <c r="T186" s="2587"/>
      <c r="U186" s="2601"/>
      <c r="V186" s="2602"/>
      <c r="W186" s="2603"/>
      <c r="X186" s="2604"/>
      <c r="Y186" s="2605"/>
      <c r="Z186" s="2606"/>
      <c r="AA186" s="2604"/>
      <c r="AB186" s="2607"/>
      <c r="AC186" s="2604"/>
      <c r="AD186" s="2608"/>
      <c r="AE186" s="2604"/>
      <c r="AF186" s="2609"/>
      <c r="AG186" s="1791"/>
      <c r="AH186" s="2587"/>
      <c r="AI186" s="2597" t="s">
        <v>429</v>
      </c>
      <c r="AJ186" s="2597" t="s">
        <v>429</v>
      </c>
      <c r="AK186" s="2597"/>
      <c r="AL186" s="2597"/>
      <c r="AM186" s="2597"/>
      <c r="AN186" s="2597" t="s">
        <v>429</v>
      </c>
      <c r="AO186" s="2634"/>
      <c r="AP186" s="2587"/>
    </row>
    <row r="187" spans="1:42" ht="15.75" customHeight="1" x14ac:dyDescent="0.25">
      <c r="A187" s="2599"/>
      <c r="B187" s="3085" t="s">
        <v>190</v>
      </c>
      <c r="C187" s="3086"/>
      <c r="D187" s="3086" t="s">
        <v>1118</v>
      </c>
      <c r="E187" s="2711"/>
      <c r="F187" s="2577">
        <f>'exchange rates'!$O$50</f>
        <v>3.8868399999999999</v>
      </c>
      <c r="G187" s="2895">
        <v>0</v>
      </c>
      <c r="H187" s="2896">
        <f>744/F187</f>
        <v>191.41513414496094</v>
      </c>
      <c r="I187" s="2897">
        <v>0</v>
      </c>
      <c r="J187" s="2898">
        <f>66.96/F187</f>
        <v>17.227362073046486</v>
      </c>
      <c r="K187" s="566">
        <f>Tabel668926[[#This Row],[Fix.ch. 2017]]+Tabel668926[[#This Row],[Var. ch. 2017]]+Tabel668926[[#This Row],[Oth. ch. DW 2017]]+Tabel668926[[#This Row],[VAT DW 2017]]</f>
        <v>208.64249621800744</v>
      </c>
      <c r="L187" s="2899">
        <v>0</v>
      </c>
      <c r="M187" s="2900">
        <v>0</v>
      </c>
      <c r="N187" s="2901">
        <f>514/F187</f>
        <v>132.2411007399327</v>
      </c>
      <c r="O187" s="2898">
        <f>97.66/F187</f>
        <v>25.125809140587211</v>
      </c>
      <c r="P187" s="2902">
        <v>0</v>
      </c>
      <c r="Q187" s="2898">
        <v>0</v>
      </c>
      <c r="R187" s="2586">
        <f>Tabel668926[[#This Row],[VAT DW 2017]]+Tabel668926[[#This Row],[VAT Sew. 2017]]+Tabel668926[[#This Row],[VAT WW 2017]]+Tabel668926[[#This Row],[VAT Other ch. 2017]]</f>
        <v>42.353171213633701</v>
      </c>
      <c r="S187" s="571">
        <f>Tabel668926[[#This Row],[Total. ch. DW 2017]]+Tabel668926[[#This Row],[Sew. 2017]]+Tabel668926[[#This Row],[VAT Sew. 2017]]+Tabel668926[[#This Row],[WW 2017]]+Tabel668926[[#This Row],[VAT WW 2017]]+Tabel668926[[#This Row],[Other ch. 2017]]+Tabel668926[[#This Row],[VAT Other ch. 2017]]</f>
        <v>366.00940609852734</v>
      </c>
      <c r="T187" s="2587"/>
      <c r="U187" s="2601"/>
      <c r="V187" s="2602"/>
      <c r="W187" s="2603"/>
      <c r="X187" s="2604"/>
      <c r="Y187" s="2605"/>
      <c r="Z187" s="2606"/>
      <c r="AA187" s="2604"/>
      <c r="AB187" s="2607"/>
      <c r="AC187" s="2604"/>
      <c r="AD187" s="2608"/>
      <c r="AE187" s="2604"/>
      <c r="AF187" s="2609"/>
      <c r="AG187" s="1791"/>
      <c r="AH187" s="2587"/>
      <c r="AI187" s="2597" t="s">
        <v>429</v>
      </c>
      <c r="AJ187" s="2597" t="s">
        <v>429</v>
      </c>
      <c r="AK187" s="2597"/>
      <c r="AL187" s="2597"/>
      <c r="AM187" s="2597"/>
      <c r="AN187" s="2597" t="s">
        <v>429</v>
      </c>
      <c r="AO187" s="2634"/>
      <c r="AP187" s="2587"/>
    </row>
    <row r="188" spans="1:42" ht="15.75" customHeight="1" x14ac:dyDescent="0.25">
      <c r="A188" s="2599"/>
      <c r="B188" s="2659" t="s">
        <v>191</v>
      </c>
      <c r="C188" s="3086"/>
      <c r="D188" s="3086" t="s">
        <v>1118</v>
      </c>
      <c r="E188" s="2711"/>
      <c r="F188" s="2577">
        <f>'exchange rates'!$O$50</f>
        <v>3.8868399999999999</v>
      </c>
      <c r="G188" s="2895">
        <v>0</v>
      </c>
      <c r="H188" s="2896">
        <f>570/F188</f>
        <v>146.64869148202655</v>
      </c>
      <c r="I188" s="2897">
        <v>0</v>
      </c>
      <c r="J188" s="2898">
        <f>51.3/F188</f>
        <v>13.198382233382388</v>
      </c>
      <c r="K188" s="566">
        <f>Tabel668926[[#This Row],[Fix.ch. 2017]]+Tabel668926[[#This Row],[Var. ch. 2017]]+Tabel668926[[#This Row],[Oth. ch. DW 2017]]+Tabel668926[[#This Row],[VAT DW 2017]]</f>
        <v>159.84707371540892</v>
      </c>
      <c r="L188" s="2899">
        <v>0</v>
      </c>
      <c r="M188" s="2900">
        <v>0</v>
      </c>
      <c r="N188" s="2901">
        <f>568/F188</f>
        <v>146.1341346698089</v>
      </c>
      <c r="O188" s="2898">
        <f>107.92/F188</f>
        <v>27.76548558726369</v>
      </c>
      <c r="P188" s="2902">
        <v>0</v>
      </c>
      <c r="Q188" s="2898">
        <v>0</v>
      </c>
      <c r="R188" s="2586">
        <f>Tabel668926[[#This Row],[VAT DW 2017]]+Tabel668926[[#This Row],[VAT Sew. 2017]]+Tabel668926[[#This Row],[VAT WW 2017]]+Tabel668926[[#This Row],[VAT Other ch. 2017]]</f>
        <v>40.96386782064608</v>
      </c>
      <c r="S188" s="571">
        <f>Tabel668926[[#This Row],[Total. ch. DW 2017]]+Tabel668926[[#This Row],[Sew. 2017]]+Tabel668926[[#This Row],[VAT Sew. 2017]]+Tabel668926[[#This Row],[WW 2017]]+Tabel668926[[#This Row],[VAT WW 2017]]+Tabel668926[[#This Row],[Other ch. 2017]]+Tabel668926[[#This Row],[VAT Other ch. 2017]]</f>
        <v>333.74669397248152</v>
      </c>
      <c r="T188" s="2587"/>
      <c r="U188" s="2601"/>
      <c r="V188" s="2602"/>
      <c r="W188" s="2603"/>
      <c r="X188" s="2604"/>
      <c r="Y188" s="2605"/>
      <c r="Z188" s="2606"/>
      <c r="AA188" s="2604"/>
      <c r="AB188" s="2607"/>
      <c r="AC188" s="2604"/>
      <c r="AD188" s="2608"/>
      <c r="AE188" s="2604"/>
      <c r="AF188" s="2609"/>
      <c r="AG188" s="1791"/>
      <c r="AH188" s="2587"/>
      <c r="AI188" s="2597" t="s">
        <v>429</v>
      </c>
      <c r="AJ188" s="2597" t="s">
        <v>429</v>
      </c>
      <c r="AK188" s="2597"/>
      <c r="AL188" s="2597"/>
      <c r="AM188" s="2597"/>
      <c r="AN188" s="2597" t="s">
        <v>429</v>
      </c>
      <c r="AO188" s="2634"/>
      <c r="AP188" s="2587"/>
    </row>
    <row r="189" spans="1:42" ht="15.75" customHeight="1" x14ac:dyDescent="0.25">
      <c r="A189" s="2599"/>
      <c r="B189" s="2659" t="s">
        <v>218</v>
      </c>
      <c r="C189" s="3086"/>
      <c r="D189" s="3086" t="s">
        <v>1118</v>
      </c>
      <c r="E189" s="2711"/>
      <c r="F189" s="2577">
        <f>'exchange rates'!$O$50</f>
        <v>3.8868399999999999</v>
      </c>
      <c r="G189" s="2895">
        <v>0</v>
      </c>
      <c r="H189" s="2896">
        <f>804/F189</f>
        <v>206.85183851149006</v>
      </c>
      <c r="I189" s="2897">
        <v>0</v>
      </c>
      <c r="J189" s="2898">
        <f>72.36/F189</f>
        <v>18.616665466034107</v>
      </c>
      <c r="K189" s="566">
        <f>Tabel668926[[#This Row],[Fix.ch. 2017]]+Tabel668926[[#This Row],[Var. ch. 2017]]+Tabel668926[[#This Row],[Oth. ch. DW 2017]]+Tabel668926[[#This Row],[VAT DW 2017]]</f>
        <v>225.46850397752416</v>
      </c>
      <c r="L189" s="2899">
        <v>0</v>
      </c>
      <c r="M189" s="2900">
        <v>0</v>
      </c>
      <c r="N189" s="2901">
        <f>484/F189</f>
        <v>124.52274855666815</v>
      </c>
      <c r="O189" s="2898">
        <f>91.96/F189</f>
        <v>23.659322225766946</v>
      </c>
      <c r="P189" s="2902">
        <v>0</v>
      </c>
      <c r="Q189" s="2898">
        <v>0</v>
      </c>
      <c r="R189" s="2586">
        <f>Tabel668926[[#This Row],[VAT DW 2017]]+Tabel668926[[#This Row],[VAT Sew. 2017]]+Tabel668926[[#This Row],[VAT WW 2017]]+Tabel668926[[#This Row],[VAT Other ch. 2017]]</f>
        <v>42.275987691801049</v>
      </c>
      <c r="S189" s="571">
        <f>Tabel668926[[#This Row],[Total. ch. DW 2017]]+Tabel668926[[#This Row],[Sew. 2017]]+Tabel668926[[#This Row],[VAT Sew. 2017]]+Tabel668926[[#This Row],[WW 2017]]+Tabel668926[[#This Row],[VAT WW 2017]]+Tabel668926[[#This Row],[Other ch. 2017]]+Tabel668926[[#This Row],[VAT Other ch. 2017]]</f>
        <v>373.65057475995928</v>
      </c>
      <c r="T189" s="2587"/>
      <c r="U189" s="2601"/>
      <c r="V189" s="2602"/>
      <c r="W189" s="2603"/>
      <c r="X189" s="2604"/>
      <c r="Y189" s="2605"/>
      <c r="Z189" s="2606"/>
      <c r="AA189" s="2604"/>
      <c r="AB189" s="2607"/>
      <c r="AC189" s="2604"/>
      <c r="AD189" s="2608"/>
      <c r="AE189" s="2604"/>
      <c r="AF189" s="2609"/>
      <c r="AG189" s="1791"/>
      <c r="AH189" s="2587"/>
      <c r="AI189" s="2597" t="s">
        <v>429</v>
      </c>
      <c r="AJ189" s="2597" t="s">
        <v>429</v>
      </c>
      <c r="AK189" s="2597"/>
      <c r="AL189" s="2597"/>
      <c r="AM189" s="2597"/>
      <c r="AN189" s="2597" t="s">
        <v>429</v>
      </c>
      <c r="AO189" s="2634"/>
      <c r="AP189" s="2587"/>
    </row>
    <row r="190" spans="1:42" ht="15.75" customHeight="1" x14ac:dyDescent="0.25">
      <c r="A190" s="2599"/>
      <c r="B190" s="2710" t="s">
        <v>219</v>
      </c>
      <c r="C190" s="3088"/>
      <c r="D190" s="3086" t="s">
        <v>1118</v>
      </c>
      <c r="E190" s="2711"/>
      <c r="F190" s="2577">
        <f>'exchange rates'!$O$50</f>
        <v>3.8868399999999999</v>
      </c>
      <c r="G190" s="2895">
        <v>0</v>
      </c>
      <c r="H190" s="2896">
        <f>616/F190</f>
        <v>158.48349816303218</v>
      </c>
      <c r="I190" s="2897">
        <v>0</v>
      </c>
      <c r="J190" s="2898">
        <f>55.44/F190</f>
        <v>14.263514834672897</v>
      </c>
      <c r="K190" s="566">
        <f>Tabel668926[[#This Row],[Fix.ch. 2017]]+Tabel668926[[#This Row],[Var. ch. 2017]]+Tabel668926[[#This Row],[Oth. ch. DW 2017]]+Tabel668926[[#This Row],[VAT DW 2017]]</f>
        <v>172.74701299770507</v>
      </c>
      <c r="L190" s="2899">
        <v>0</v>
      </c>
      <c r="M190" s="2900">
        <v>0</v>
      </c>
      <c r="N190" s="2901">
        <f>426/F190</f>
        <v>109.60060100235667</v>
      </c>
      <c r="O190" s="2898">
        <f>80.94/F190</f>
        <v>20.824114190447766</v>
      </c>
      <c r="P190" s="2902">
        <v>0</v>
      </c>
      <c r="Q190" s="2898">
        <v>0</v>
      </c>
      <c r="R190" s="2586">
        <f>Tabel668926[[#This Row],[VAT DW 2017]]+Tabel668926[[#This Row],[VAT Sew. 2017]]+Tabel668926[[#This Row],[VAT WW 2017]]+Tabel668926[[#This Row],[VAT Other ch. 2017]]</f>
        <v>35.087629025120663</v>
      </c>
      <c r="S190" s="571">
        <f>Tabel668926[[#This Row],[Total. ch. DW 2017]]+Tabel668926[[#This Row],[Sew. 2017]]+Tabel668926[[#This Row],[VAT Sew. 2017]]+Tabel668926[[#This Row],[WW 2017]]+Tabel668926[[#This Row],[VAT WW 2017]]+Tabel668926[[#This Row],[Other ch. 2017]]+Tabel668926[[#This Row],[VAT Other ch. 2017]]</f>
        <v>303.1717281905095</v>
      </c>
      <c r="T190" s="2587"/>
      <c r="U190" s="2601"/>
      <c r="V190" s="2602"/>
      <c r="W190" s="2603"/>
      <c r="X190" s="2604"/>
      <c r="Y190" s="2605"/>
      <c r="Z190" s="2606"/>
      <c r="AA190" s="2604"/>
      <c r="AB190" s="2607"/>
      <c r="AC190" s="2604"/>
      <c r="AD190" s="2608"/>
      <c r="AE190" s="2604"/>
      <c r="AF190" s="2609"/>
      <c r="AG190" s="1791"/>
      <c r="AH190" s="2587"/>
      <c r="AI190" s="2597" t="s">
        <v>429</v>
      </c>
      <c r="AJ190" s="2597" t="s">
        <v>429</v>
      </c>
      <c r="AK190" s="2597"/>
      <c r="AL190" s="2597"/>
      <c r="AM190" s="2597"/>
      <c r="AN190" s="2597" t="s">
        <v>429</v>
      </c>
      <c r="AO190" s="2634"/>
      <c r="AP190" s="2587"/>
    </row>
    <row r="191" spans="1:42" ht="15.75" customHeight="1" x14ac:dyDescent="0.25">
      <c r="A191" s="2599"/>
      <c r="B191" s="2710" t="s">
        <v>513</v>
      </c>
      <c r="C191" s="3088"/>
      <c r="D191" s="3086" t="s">
        <v>1118</v>
      </c>
      <c r="E191" s="2711"/>
      <c r="F191" s="2577">
        <f>'exchange rates'!$O$50</f>
        <v>3.8868399999999999</v>
      </c>
      <c r="G191" s="2895">
        <v>0</v>
      </c>
      <c r="H191" s="2896">
        <f>818/F191</f>
        <v>210.45373619701351</v>
      </c>
      <c r="I191" s="2897">
        <v>0</v>
      </c>
      <c r="J191" s="2898">
        <f>73.62/F191</f>
        <v>18.940836257731217</v>
      </c>
      <c r="K191" s="566">
        <f>Tabel668926[[#This Row],[Fix.ch. 2017]]+Tabel668926[[#This Row],[Var. ch. 2017]]+Tabel668926[[#This Row],[Oth. ch. DW 2017]]+Tabel668926[[#This Row],[VAT DW 2017]]</f>
        <v>229.39457245474472</v>
      </c>
      <c r="L191" s="2899">
        <v>0</v>
      </c>
      <c r="M191" s="2900">
        <v>0</v>
      </c>
      <c r="N191" s="2901">
        <f>726/F191</f>
        <v>186.78412283500222</v>
      </c>
      <c r="O191" s="2898">
        <f>137.94/F191</f>
        <v>35.488983338650421</v>
      </c>
      <c r="P191" s="2902">
        <v>0</v>
      </c>
      <c r="Q191" s="2898">
        <v>0</v>
      </c>
      <c r="R191" s="2586">
        <f>Tabel668926[[#This Row],[VAT DW 2017]]+Tabel668926[[#This Row],[VAT Sew. 2017]]+Tabel668926[[#This Row],[VAT WW 2017]]+Tabel668926[[#This Row],[VAT Other ch. 2017]]</f>
        <v>54.429819596381634</v>
      </c>
      <c r="S191" s="571">
        <f>Tabel668926[[#This Row],[Total. ch. DW 2017]]+Tabel668926[[#This Row],[Sew. 2017]]+Tabel668926[[#This Row],[VAT Sew. 2017]]+Tabel668926[[#This Row],[WW 2017]]+Tabel668926[[#This Row],[VAT WW 2017]]+Tabel668926[[#This Row],[Other ch. 2017]]+Tabel668926[[#This Row],[VAT Other ch. 2017]]</f>
        <v>451.66767862839737</v>
      </c>
      <c r="T191" s="2587"/>
      <c r="U191" s="2601"/>
      <c r="V191" s="2602"/>
      <c r="W191" s="2603"/>
      <c r="X191" s="2604"/>
      <c r="Y191" s="2605"/>
      <c r="Z191" s="2606"/>
      <c r="AA191" s="2604"/>
      <c r="AB191" s="2607"/>
      <c r="AC191" s="2604"/>
      <c r="AD191" s="2608"/>
      <c r="AE191" s="2604"/>
      <c r="AF191" s="2609"/>
      <c r="AG191" s="1791"/>
      <c r="AH191" s="2587"/>
      <c r="AI191" s="2597" t="s">
        <v>429</v>
      </c>
      <c r="AJ191" s="2597" t="s">
        <v>429</v>
      </c>
      <c r="AK191" s="2597"/>
      <c r="AL191" s="2597"/>
      <c r="AM191" s="2597"/>
      <c r="AN191" s="2597" t="s">
        <v>429</v>
      </c>
      <c r="AO191" s="2634"/>
      <c r="AP191" s="2587"/>
    </row>
    <row r="192" spans="1:42" ht="15.75" customHeight="1" x14ac:dyDescent="0.25">
      <c r="A192" s="2599"/>
      <c r="B192" s="2710" t="s">
        <v>514</v>
      </c>
      <c r="C192" s="3088"/>
      <c r="D192" s="3086" t="s">
        <v>1118</v>
      </c>
      <c r="E192" s="2711"/>
      <c r="F192" s="2577">
        <f>'exchange rates'!$O$50</f>
        <v>3.8868399999999999</v>
      </c>
      <c r="G192" s="2895">
        <v>0</v>
      </c>
      <c r="H192" s="2896">
        <f>640/F192</f>
        <v>164.65817990964382</v>
      </c>
      <c r="I192" s="2897">
        <v>0</v>
      </c>
      <c r="J192" s="2898">
        <f>57.6/F192</f>
        <v>14.819236191867946</v>
      </c>
      <c r="K192" s="566">
        <f>Tabel668926[[#This Row],[Fix.ch. 2017]]+Tabel668926[[#This Row],[Var. ch. 2017]]+Tabel668926[[#This Row],[Oth. ch. DW 2017]]+Tabel668926[[#This Row],[VAT DW 2017]]</f>
        <v>179.47741610151178</v>
      </c>
      <c r="L192" s="2899">
        <v>0</v>
      </c>
      <c r="M192" s="2900">
        <v>0</v>
      </c>
      <c r="N192" s="2901">
        <f>642/F192</f>
        <v>165.17273672186147</v>
      </c>
      <c r="O192" s="2898">
        <f>121.98/F192</f>
        <v>31.38281997715368</v>
      </c>
      <c r="P192" s="2902">
        <v>0</v>
      </c>
      <c r="Q192" s="2898">
        <v>0</v>
      </c>
      <c r="R192" s="2586">
        <f>Tabel668926[[#This Row],[VAT DW 2017]]+Tabel668926[[#This Row],[VAT Sew. 2017]]+Tabel668926[[#This Row],[VAT WW 2017]]+Tabel668926[[#This Row],[VAT Other ch. 2017]]</f>
        <v>46.202056169021624</v>
      </c>
      <c r="S192" s="571">
        <f>Tabel668926[[#This Row],[Total. ch. DW 2017]]+Tabel668926[[#This Row],[Sew. 2017]]+Tabel668926[[#This Row],[VAT Sew. 2017]]+Tabel668926[[#This Row],[WW 2017]]+Tabel668926[[#This Row],[VAT WW 2017]]+Tabel668926[[#This Row],[Other ch. 2017]]+Tabel668926[[#This Row],[VAT Other ch. 2017]]</f>
        <v>376.03297280052692</v>
      </c>
      <c r="T192" s="2587"/>
      <c r="U192" s="2601"/>
      <c r="V192" s="2602"/>
      <c r="W192" s="2603"/>
      <c r="X192" s="2604"/>
      <c r="Y192" s="2605"/>
      <c r="Z192" s="2606"/>
      <c r="AA192" s="2604"/>
      <c r="AB192" s="2607"/>
      <c r="AC192" s="2604"/>
      <c r="AD192" s="2608"/>
      <c r="AE192" s="2604"/>
      <c r="AF192" s="2609"/>
      <c r="AG192" s="1791"/>
      <c r="AH192" s="2587"/>
      <c r="AI192" s="2597" t="s">
        <v>429</v>
      </c>
      <c r="AJ192" s="2597" t="s">
        <v>429</v>
      </c>
      <c r="AK192" s="2597"/>
      <c r="AL192" s="2597"/>
      <c r="AM192" s="2597"/>
      <c r="AN192" s="2597" t="s">
        <v>429</v>
      </c>
      <c r="AO192" s="2634"/>
      <c r="AP192" s="2587"/>
    </row>
    <row r="193" spans="1:42" ht="15.75" customHeight="1" x14ac:dyDescent="0.25">
      <c r="A193" s="2599"/>
      <c r="B193" s="2710" t="s">
        <v>515</v>
      </c>
      <c r="C193" s="3088"/>
      <c r="D193" s="3086" t="s">
        <v>1118</v>
      </c>
      <c r="E193" s="2711"/>
      <c r="F193" s="2577">
        <f>'exchange rates'!$O$50</f>
        <v>3.8868399999999999</v>
      </c>
      <c r="G193" s="2895">
        <v>0</v>
      </c>
      <c r="H193" s="2896">
        <f>742/F193</f>
        <v>190.90057733274332</v>
      </c>
      <c r="I193" s="2897">
        <v>0</v>
      </c>
      <c r="J193" s="2898">
        <f>66.78/F193</f>
        <v>17.181051959946899</v>
      </c>
      <c r="K193" s="566">
        <f>Tabel668926[[#This Row],[Fix.ch. 2017]]+Tabel668926[[#This Row],[Var. ch. 2017]]+Tabel668926[[#This Row],[Oth. ch. DW 2017]]+Tabel668926[[#This Row],[VAT DW 2017]]</f>
        <v>208.08162929269022</v>
      </c>
      <c r="L193" s="2899">
        <v>0</v>
      </c>
      <c r="M193" s="2900">
        <v>0</v>
      </c>
      <c r="N193" s="2901">
        <f>552/F193</f>
        <v>142.0176801720678</v>
      </c>
      <c r="O193" s="2898">
        <f>104.88/F193</f>
        <v>26.98335923269288</v>
      </c>
      <c r="P193" s="2902">
        <v>0</v>
      </c>
      <c r="Q193" s="2898">
        <v>0</v>
      </c>
      <c r="R193" s="2586">
        <f>Tabel668926[[#This Row],[VAT DW 2017]]+Tabel668926[[#This Row],[VAT Sew. 2017]]+Tabel668926[[#This Row],[VAT WW 2017]]+Tabel668926[[#This Row],[VAT Other ch. 2017]]</f>
        <v>44.164411192639776</v>
      </c>
      <c r="S193" s="571">
        <f>Tabel668926[[#This Row],[Total. ch. DW 2017]]+Tabel668926[[#This Row],[Sew. 2017]]+Tabel668926[[#This Row],[VAT Sew. 2017]]+Tabel668926[[#This Row],[WW 2017]]+Tabel668926[[#This Row],[VAT WW 2017]]+Tabel668926[[#This Row],[Other ch. 2017]]+Tabel668926[[#This Row],[VAT Other ch. 2017]]</f>
        <v>377.08266869745086</v>
      </c>
      <c r="T193" s="2587"/>
      <c r="U193" s="2601"/>
      <c r="V193" s="2602"/>
      <c r="W193" s="2603"/>
      <c r="X193" s="2604"/>
      <c r="Y193" s="2605"/>
      <c r="Z193" s="2606"/>
      <c r="AA193" s="2604"/>
      <c r="AB193" s="2607"/>
      <c r="AC193" s="2604"/>
      <c r="AD193" s="2608"/>
      <c r="AE193" s="2604"/>
      <c r="AF193" s="2609"/>
      <c r="AG193" s="1791"/>
      <c r="AH193" s="2587"/>
      <c r="AI193" s="2597" t="s">
        <v>429</v>
      </c>
      <c r="AJ193" s="2597" t="s">
        <v>429</v>
      </c>
      <c r="AK193" s="2597"/>
      <c r="AL193" s="2597"/>
      <c r="AM193" s="2597"/>
      <c r="AN193" s="2597" t="s">
        <v>429</v>
      </c>
      <c r="AO193" s="2634"/>
      <c r="AP193" s="2587"/>
    </row>
    <row r="194" spans="1:42" ht="15.75" customHeight="1" x14ac:dyDescent="0.25">
      <c r="A194" s="2599"/>
      <c r="B194" s="2710" t="s">
        <v>516</v>
      </c>
      <c r="C194" s="3088"/>
      <c r="D194" s="3086" t="s">
        <v>1118</v>
      </c>
      <c r="E194" s="2711"/>
      <c r="F194" s="2577">
        <f>'exchange rates'!$O$50</f>
        <v>3.8868399999999999</v>
      </c>
      <c r="G194" s="2895">
        <v>0</v>
      </c>
      <c r="H194" s="2896">
        <f>928/F194</f>
        <v>238.75436086898355</v>
      </c>
      <c r="I194" s="2897">
        <v>0</v>
      </c>
      <c r="J194" s="2898">
        <f>83.52/F194</f>
        <v>21.487892478208519</v>
      </c>
      <c r="K194" s="566">
        <f>Tabel668926[[#This Row],[Fix.ch. 2017]]+Tabel668926[[#This Row],[Var. ch. 2017]]+Tabel668926[[#This Row],[Oth. ch. DW 2017]]+Tabel668926[[#This Row],[VAT DW 2017]]</f>
        <v>260.24225334719205</v>
      </c>
      <c r="L194" s="2899">
        <v>0</v>
      </c>
      <c r="M194" s="2900">
        <v>0</v>
      </c>
      <c r="N194" s="2901">
        <f>520/F194</f>
        <v>133.78477117658562</v>
      </c>
      <c r="O194" s="2898">
        <f>98.8/F194</f>
        <v>25.419106523551264</v>
      </c>
      <c r="P194" s="2902">
        <v>0</v>
      </c>
      <c r="Q194" s="2898">
        <v>0</v>
      </c>
      <c r="R194" s="2586">
        <f>Tabel668926[[#This Row],[VAT DW 2017]]+Tabel668926[[#This Row],[VAT Sew. 2017]]+Tabel668926[[#This Row],[VAT WW 2017]]+Tabel668926[[#This Row],[VAT Other ch. 2017]]</f>
        <v>46.906999001759786</v>
      </c>
      <c r="S194" s="571">
        <f>Tabel668926[[#This Row],[Total. ch. DW 2017]]+Tabel668926[[#This Row],[Sew. 2017]]+Tabel668926[[#This Row],[VAT Sew. 2017]]+Tabel668926[[#This Row],[WW 2017]]+Tabel668926[[#This Row],[VAT WW 2017]]+Tabel668926[[#This Row],[Other ch. 2017]]+Tabel668926[[#This Row],[VAT Other ch. 2017]]</f>
        <v>419.44613104732889</v>
      </c>
      <c r="T194" s="2587"/>
      <c r="U194" s="2601"/>
      <c r="V194" s="2602"/>
      <c r="W194" s="2603"/>
      <c r="X194" s="2604"/>
      <c r="Y194" s="2605"/>
      <c r="Z194" s="2606"/>
      <c r="AA194" s="2604"/>
      <c r="AB194" s="2607"/>
      <c r="AC194" s="2604"/>
      <c r="AD194" s="2608"/>
      <c r="AE194" s="2604"/>
      <c r="AF194" s="2609"/>
      <c r="AG194" s="1791"/>
      <c r="AH194" s="2587"/>
      <c r="AI194" s="2597" t="s">
        <v>429</v>
      </c>
      <c r="AJ194" s="2597" t="s">
        <v>429</v>
      </c>
      <c r="AK194" s="2597"/>
      <c r="AL194" s="2597"/>
      <c r="AM194" s="2597"/>
      <c r="AN194" s="2597" t="s">
        <v>429</v>
      </c>
      <c r="AO194" s="2634"/>
      <c r="AP194" s="2587"/>
    </row>
    <row r="195" spans="1:42" ht="15.75" customHeight="1" x14ac:dyDescent="0.25">
      <c r="A195" s="2599"/>
      <c r="B195" s="2710" t="s">
        <v>875</v>
      </c>
      <c r="C195" s="3088"/>
      <c r="D195" s="3086" t="s">
        <v>1118</v>
      </c>
      <c r="E195" s="2711"/>
      <c r="F195" s="2577">
        <f>'exchange rates'!$O$50</f>
        <v>3.8868399999999999</v>
      </c>
      <c r="G195" s="2895">
        <v>0</v>
      </c>
      <c r="H195" s="2896">
        <f>700/F195</f>
        <v>180.09488427617293</v>
      </c>
      <c r="I195" s="2897">
        <v>0</v>
      </c>
      <c r="J195" s="2898">
        <f>63/F195</f>
        <v>16.208539584855565</v>
      </c>
      <c r="K195" s="566">
        <f>Tabel668926[[#This Row],[Fix.ch. 2017]]+Tabel668926[[#This Row],[Var. ch. 2017]]+Tabel668926[[#This Row],[Oth. ch. DW 2017]]+Tabel668926[[#This Row],[VAT DW 2017]]</f>
        <v>196.30342386102851</v>
      </c>
      <c r="L195" s="2899">
        <v>0</v>
      </c>
      <c r="M195" s="2900">
        <v>0</v>
      </c>
      <c r="N195" s="2901">
        <f>594/F195</f>
        <v>152.82337322863819</v>
      </c>
      <c r="O195" s="2898">
        <f>112.86/F195</f>
        <v>29.036440913441254</v>
      </c>
      <c r="P195" s="2902">
        <v>0</v>
      </c>
      <c r="Q195" s="2898">
        <v>0</v>
      </c>
      <c r="R195" s="2586">
        <f>Tabel668926[[#This Row],[VAT DW 2017]]+Tabel668926[[#This Row],[VAT Sew. 2017]]+Tabel668926[[#This Row],[VAT WW 2017]]+Tabel668926[[#This Row],[VAT Other ch. 2017]]</f>
        <v>45.244980498296819</v>
      </c>
      <c r="S195" s="571">
        <f>Tabel668926[[#This Row],[Total. ch. DW 2017]]+Tabel668926[[#This Row],[Sew. 2017]]+Tabel668926[[#This Row],[VAT Sew. 2017]]+Tabel668926[[#This Row],[WW 2017]]+Tabel668926[[#This Row],[VAT WW 2017]]+Tabel668926[[#This Row],[Other ch. 2017]]+Tabel668926[[#This Row],[VAT Other ch. 2017]]</f>
        <v>378.16323800310795</v>
      </c>
      <c r="T195" s="2587"/>
      <c r="U195" s="2601"/>
      <c r="V195" s="2602"/>
      <c r="W195" s="2603"/>
      <c r="X195" s="2604"/>
      <c r="Y195" s="2605"/>
      <c r="Z195" s="2606"/>
      <c r="AA195" s="2604"/>
      <c r="AB195" s="2607"/>
      <c r="AC195" s="2604"/>
      <c r="AD195" s="2608"/>
      <c r="AE195" s="2604"/>
      <c r="AF195" s="2609"/>
      <c r="AG195" s="1791"/>
      <c r="AH195" s="2587"/>
      <c r="AI195" s="2597" t="s">
        <v>429</v>
      </c>
      <c r="AJ195" s="2597" t="s">
        <v>429</v>
      </c>
      <c r="AK195" s="2597"/>
      <c r="AL195" s="2597"/>
      <c r="AM195" s="2597"/>
      <c r="AN195" s="2597" t="s">
        <v>429</v>
      </c>
      <c r="AO195" s="2634"/>
      <c r="AP195" s="2587"/>
    </row>
    <row r="196" spans="1:42" ht="15.75" customHeight="1" x14ac:dyDescent="0.25">
      <c r="A196" s="2599"/>
      <c r="B196" s="2710" t="s">
        <v>517</v>
      </c>
      <c r="C196" s="3088"/>
      <c r="D196" s="3086" t="s">
        <v>1118</v>
      </c>
      <c r="E196" s="2711"/>
      <c r="F196" s="2577">
        <f>'exchange rates'!$O$50</f>
        <v>3.8868399999999999</v>
      </c>
      <c r="G196" s="2895">
        <v>0</v>
      </c>
      <c r="H196" s="2896">
        <f>688/F196</f>
        <v>177.00754340286713</v>
      </c>
      <c r="I196" s="2897">
        <v>0</v>
      </c>
      <c r="J196" s="2898">
        <f>61.92/F196</f>
        <v>15.930678906258041</v>
      </c>
      <c r="K196" s="566">
        <f>Tabel668926[[#This Row],[Fix.ch. 2017]]+Tabel668926[[#This Row],[Var. ch. 2017]]+Tabel668926[[#This Row],[Oth. ch. DW 2017]]+Tabel668926[[#This Row],[VAT DW 2017]]</f>
        <v>192.93822230912517</v>
      </c>
      <c r="L196" s="2899">
        <v>0</v>
      </c>
      <c r="M196" s="2900">
        <v>0</v>
      </c>
      <c r="N196" s="2901">
        <f>598/F196</f>
        <v>153.85248685307346</v>
      </c>
      <c r="O196" s="2898">
        <f>113.62/F196</f>
        <v>29.231972502083959</v>
      </c>
      <c r="P196" s="2902">
        <v>0</v>
      </c>
      <c r="Q196" s="2898">
        <v>0</v>
      </c>
      <c r="R196" s="2586">
        <f>Tabel668926[[#This Row],[VAT DW 2017]]+Tabel668926[[#This Row],[VAT Sew. 2017]]+Tabel668926[[#This Row],[VAT WW 2017]]+Tabel668926[[#This Row],[VAT Other ch. 2017]]</f>
        <v>45.162651408342001</v>
      </c>
      <c r="S196" s="571">
        <f>Tabel668926[[#This Row],[Total. ch. DW 2017]]+Tabel668926[[#This Row],[Sew. 2017]]+Tabel668926[[#This Row],[VAT Sew. 2017]]+Tabel668926[[#This Row],[WW 2017]]+Tabel668926[[#This Row],[VAT WW 2017]]+Tabel668926[[#This Row],[Other ch. 2017]]+Tabel668926[[#This Row],[VAT Other ch. 2017]]</f>
        <v>376.02268166428257</v>
      </c>
      <c r="T196" s="2587"/>
      <c r="U196" s="2601"/>
      <c r="V196" s="2602"/>
      <c r="W196" s="2603"/>
      <c r="X196" s="2604"/>
      <c r="Y196" s="2605"/>
      <c r="Z196" s="2606"/>
      <c r="AA196" s="2604"/>
      <c r="AB196" s="2607"/>
      <c r="AC196" s="2604"/>
      <c r="AD196" s="2608"/>
      <c r="AE196" s="2604"/>
      <c r="AF196" s="2609"/>
      <c r="AG196" s="1791"/>
      <c r="AH196" s="2587"/>
      <c r="AI196" s="2597" t="s">
        <v>429</v>
      </c>
      <c r="AJ196" s="2597" t="s">
        <v>429</v>
      </c>
      <c r="AK196" s="2597"/>
      <c r="AL196" s="2597"/>
      <c r="AM196" s="2597"/>
      <c r="AN196" s="2597" t="s">
        <v>429</v>
      </c>
      <c r="AO196" s="2634"/>
      <c r="AP196" s="2587"/>
    </row>
    <row r="197" spans="1:42" ht="15.75" customHeight="1" x14ac:dyDescent="0.25">
      <c r="A197" s="2599"/>
      <c r="B197" s="3089" t="s">
        <v>518</v>
      </c>
      <c r="C197" s="2724"/>
      <c r="D197" s="2724" t="s">
        <v>1118</v>
      </c>
      <c r="E197" s="2711"/>
      <c r="F197" s="2577">
        <f>'exchange rates'!$O$50</f>
        <v>3.8868399999999999</v>
      </c>
      <c r="G197" s="325"/>
      <c r="H197" s="326"/>
      <c r="I197" s="327"/>
      <c r="J197" s="561"/>
      <c r="K197" s="313"/>
      <c r="L197" s="328"/>
      <c r="M197" s="1097"/>
      <c r="N197" s="329"/>
      <c r="O197" s="561"/>
      <c r="P197" s="330"/>
      <c r="Q197" s="561"/>
      <c r="R197" s="2657"/>
      <c r="S197" s="318"/>
      <c r="T197" s="2587"/>
      <c r="U197" s="2601"/>
      <c r="V197" s="2602"/>
      <c r="W197" s="2603"/>
      <c r="X197" s="2604"/>
      <c r="Y197" s="2605"/>
      <c r="Z197" s="2606"/>
      <c r="AA197" s="2604"/>
      <c r="AB197" s="2607"/>
      <c r="AC197" s="2604"/>
      <c r="AD197" s="2608"/>
      <c r="AE197" s="2604"/>
      <c r="AF197" s="2609"/>
      <c r="AG197" s="1791"/>
      <c r="AH197" s="2587"/>
      <c r="AI197" s="2598"/>
      <c r="AJ197" s="2598"/>
      <c r="AK197" s="2634"/>
      <c r="AL197" s="2634"/>
      <c r="AM197" s="2634"/>
      <c r="AN197" s="2598"/>
      <c r="AO197" s="2634"/>
      <c r="AP197" s="2587"/>
    </row>
    <row r="198" spans="1:42" ht="15.75" customHeight="1" x14ac:dyDescent="0.25">
      <c r="A198" s="2599"/>
      <c r="B198" s="3089" t="s">
        <v>519</v>
      </c>
      <c r="C198" s="2724"/>
      <c r="D198" s="2724" t="s">
        <v>1118</v>
      </c>
      <c r="E198" s="2711"/>
      <c r="F198" s="2577">
        <f>'exchange rates'!$O$50</f>
        <v>3.8868399999999999</v>
      </c>
      <c r="G198" s="325"/>
      <c r="H198" s="326"/>
      <c r="I198" s="327"/>
      <c r="J198" s="561"/>
      <c r="K198" s="313"/>
      <c r="L198" s="328"/>
      <c r="M198" s="1097"/>
      <c r="N198" s="329"/>
      <c r="O198" s="561"/>
      <c r="P198" s="330"/>
      <c r="Q198" s="561"/>
      <c r="R198" s="2657"/>
      <c r="S198" s="318"/>
      <c r="T198" s="2587"/>
      <c r="U198" s="2601"/>
      <c r="V198" s="2602"/>
      <c r="W198" s="2603"/>
      <c r="X198" s="2604"/>
      <c r="Y198" s="2605"/>
      <c r="Z198" s="2606"/>
      <c r="AA198" s="2604"/>
      <c r="AB198" s="2607"/>
      <c r="AC198" s="2604"/>
      <c r="AD198" s="2608"/>
      <c r="AE198" s="2604"/>
      <c r="AF198" s="2609"/>
      <c r="AG198" s="1791"/>
      <c r="AH198" s="2587"/>
      <c r="AI198" s="2598"/>
      <c r="AJ198" s="2598"/>
      <c r="AK198" s="2634"/>
      <c r="AL198" s="2634"/>
      <c r="AM198" s="2634"/>
      <c r="AN198" s="2598"/>
      <c r="AO198" s="2634"/>
      <c r="AP198" s="2587"/>
    </row>
    <row r="199" spans="1:42" ht="15.75" customHeight="1" x14ac:dyDescent="0.25">
      <c r="A199" s="2599"/>
      <c r="B199" s="3089" t="s">
        <v>596</v>
      </c>
      <c r="C199" s="2724"/>
      <c r="D199" s="2724" t="s">
        <v>1118</v>
      </c>
      <c r="E199" s="2711"/>
      <c r="F199" s="2577">
        <f>'exchange rates'!$O$50</f>
        <v>3.8868399999999999</v>
      </c>
      <c r="G199" s="325"/>
      <c r="H199" s="326"/>
      <c r="I199" s="327"/>
      <c r="J199" s="561"/>
      <c r="K199" s="313"/>
      <c r="L199" s="328"/>
      <c r="M199" s="1097"/>
      <c r="N199" s="329"/>
      <c r="O199" s="561"/>
      <c r="P199" s="330"/>
      <c r="Q199" s="561"/>
      <c r="R199" s="2657"/>
      <c r="S199" s="318"/>
      <c r="T199" s="2587"/>
      <c r="U199" s="2601"/>
      <c r="V199" s="2602"/>
      <c r="W199" s="2603"/>
      <c r="X199" s="2604"/>
      <c r="Y199" s="2605"/>
      <c r="Z199" s="2606"/>
      <c r="AA199" s="2604"/>
      <c r="AB199" s="2607"/>
      <c r="AC199" s="2604"/>
      <c r="AD199" s="2608"/>
      <c r="AE199" s="2604"/>
      <c r="AF199" s="2609"/>
      <c r="AG199" s="1791"/>
      <c r="AH199" s="2587"/>
      <c r="AI199" s="2598"/>
      <c r="AJ199" s="2598"/>
      <c r="AK199" s="2634"/>
      <c r="AL199" s="2634"/>
      <c r="AM199" s="2634"/>
      <c r="AN199" s="2598"/>
      <c r="AO199" s="2634"/>
      <c r="AP199" s="2587"/>
    </row>
    <row r="200" spans="1:42" ht="15.75" customHeight="1" x14ac:dyDescent="0.25">
      <c r="A200" s="2599"/>
      <c r="B200" s="2710" t="s">
        <v>873</v>
      </c>
      <c r="C200" s="2700"/>
      <c r="D200" s="2700" t="s">
        <v>1118</v>
      </c>
      <c r="E200" s="2711"/>
      <c r="F200" s="2577">
        <f>'exchange rates'!$O$50</f>
        <v>3.8868399999999999</v>
      </c>
      <c r="G200" s="2895">
        <v>0</v>
      </c>
      <c r="H200" s="2896">
        <f>764/F200</f>
        <v>196.56070226713732</v>
      </c>
      <c r="I200" s="2897">
        <v>0</v>
      </c>
      <c r="J200" s="2898">
        <f>68.76/F200</f>
        <v>17.690463204042359</v>
      </c>
      <c r="K200" s="566">
        <f>Tabel668926[[#This Row],[Fix.ch. 2017]]+Tabel668926[[#This Row],[Var. ch. 2017]]+Tabel668926[[#This Row],[Oth. ch. DW 2017]]+Tabel668926[[#This Row],[VAT DW 2017]]</f>
        <v>214.25116547117966</v>
      </c>
      <c r="L200" s="2899">
        <v>0</v>
      </c>
      <c r="M200" s="2900">
        <v>0</v>
      </c>
      <c r="N200" s="2901">
        <f>304/F200</f>
        <v>78.212635457080822</v>
      </c>
      <c r="O200" s="2898">
        <f>57.76/F200</f>
        <v>14.860400736845355</v>
      </c>
      <c r="P200" s="2902">
        <v>0</v>
      </c>
      <c r="Q200" s="2898">
        <v>0</v>
      </c>
      <c r="R200" s="2586">
        <f>Tabel668926[[#This Row],[VAT DW 2017]]+Tabel668926[[#This Row],[VAT Sew. 2017]]+Tabel668926[[#This Row],[VAT WW 2017]]+Tabel668926[[#This Row],[VAT Other ch. 2017]]</f>
        <v>32.550863940887716</v>
      </c>
      <c r="S200" s="571">
        <f>Tabel668926[[#This Row],[Total. ch. DW 2017]]+Tabel668926[[#This Row],[Sew. 2017]]+Tabel668926[[#This Row],[VAT Sew. 2017]]+Tabel668926[[#This Row],[WW 2017]]+Tabel668926[[#This Row],[VAT WW 2017]]+Tabel668926[[#This Row],[Other ch. 2017]]+Tabel668926[[#This Row],[VAT Other ch. 2017]]</f>
        <v>307.32420166510582</v>
      </c>
      <c r="T200" s="2587"/>
      <c r="U200" s="2601"/>
      <c r="V200" s="2602"/>
      <c r="W200" s="2603"/>
      <c r="X200" s="2604"/>
      <c r="Y200" s="2605"/>
      <c r="Z200" s="2606"/>
      <c r="AA200" s="2604"/>
      <c r="AB200" s="2607"/>
      <c r="AC200" s="2604"/>
      <c r="AD200" s="2608"/>
      <c r="AE200" s="2604"/>
      <c r="AF200" s="2609"/>
      <c r="AG200" s="1791"/>
      <c r="AH200" s="2587"/>
      <c r="AI200" s="2597" t="s">
        <v>429</v>
      </c>
      <c r="AJ200" s="2597" t="s">
        <v>429</v>
      </c>
      <c r="AK200" s="2597"/>
      <c r="AL200" s="2597"/>
      <c r="AM200" s="2597"/>
      <c r="AN200" s="2597" t="s">
        <v>429</v>
      </c>
      <c r="AO200" s="2634"/>
      <c r="AP200" s="2587"/>
    </row>
    <row r="201" spans="1:42" ht="15.75" customHeight="1" x14ac:dyDescent="0.25">
      <c r="A201" s="2599"/>
      <c r="B201" s="3090" t="s">
        <v>520</v>
      </c>
      <c r="C201" s="2700"/>
      <c r="D201" s="2700" t="s">
        <v>1118</v>
      </c>
      <c r="E201" s="2711"/>
      <c r="F201" s="2577">
        <f>'exchange rates'!$O$50</f>
        <v>3.8868399999999999</v>
      </c>
      <c r="G201" s="2895">
        <v>0</v>
      </c>
      <c r="H201" s="2896">
        <f>638/F201</f>
        <v>164.1436230974262</v>
      </c>
      <c r="I201" s="2897">
        <v>0</v>
      </c>
      <c r="J201" s="2898">
        <f>57.42/F201</f>
        <v>14.772926078768357</v>
      </c>
      <c r="K201" s="566">
        <f>Tabel668926[[#This Row],[Fix.ch. 2017]]+Tabel668926[[#This Row],[Var. ch. 2017]]+Tabel668926[[#This Row],[Oth. ch. DW 2017]]+Tabel668926[[#This Row],[VAT DW 2017]]</f>
        <v>178.91654917619456</v>
      </c>
      <c r="L201" s="2899">
        <v>0</v>
      </c>
      <c r="M201" s="2900">
        <v>0</v>
      </c>
      <c r="N201" s="2901">
        <f>614/F201</f>
        <v>157.96894135081456</v>
      </c>
      <c r="O201" s="2898">
        <f>116.66/F201</f>
        <v>30.014098856654762</v>
      </c>
      <c r="P201" s="2902">
        <v>0</v>
      </c>
      <c r="Q201" s="2898">
        <v>0</v>
      </c>
      <c r="R201" s="2586">
        <f>Tabel668926[[#This Row],[VAT DW 2017]]+Tabel668926[[#This Row],[VAT Sew. 2017]]+Tabel668926[[#This Row],[VAT WW 2017]]+Tabel668926[[#This Row],[VAT Other ch. 2017]]</f>
        <v>44.787024935423119</v>
      </c>
      <c r="S201" s="571">
        <f>Tabel668926[[#This Row],[Total. ch. DW 2017]]+Tabel668926[[#This Row],[Sew. 2017]]+Tabel668926[[#This Row],[VAT Sew. 2017]]+Tabel668926[[#This Row],[WW 2017]]+Tabel668926[[#This Row],[VAT WW 2017]]+Tabel668926[[#This Row],[Other ch. 2017]]+Tabel668926[[#This Row],[VAT Other ch. 2017]]</f>
        <v>366.89958938366385</v>
      </c>
      <c r="T201" s="2587"/>
      <c r="U201" s="2601"/>
      <c r="V201" s="2602"/>
      <c r="W201" s="2603"/>
      <c r="X201" s="2604"/>
      <c r="Y201" s="2605"/>
      <c r="Z201" s="2606"/>
      <c r="AA201" s="2604"/>
      <c r="AB201" s="2607"/>
      <c r="AC201" s="2604"/>
      <c r="AD201" s="2608"/>
      <c r="AE201" s="2604"/>
      <c r="AF201" s="2609"/>
      <c r="AG201" s="1791"/>
      <c r="AH201" s="2587"/>
      <c r="AI201" s="2597" t="s">
        <v>429</v>
      </c>
      <c r="AJ201" s="2597" t="s">
        <v>429</v>
      </c>
      <c r="AK201" s="2597"/>
      <c r="AL201" s="2597"/>
      <c r="AM201" s="2597"/>
      <c r="AN201" s="2597" t="s">
        <v>429</v>
      </c>
      <c r="AO201" s="2634"/>
      <c r="AP201" s="2587"/>
    </row>
    <row r="202" spans="1:42" ht="15.75" customHeight="1" x14ac:dyDescent="0.25">
      <c r="A202" s="2599"/>
      <c r="B202" s="3090" t="s">
        <v>597</v>
      </c>
      <c r="C202" s="2700"/>
      <c r="D202" s="2700" t="s">
        <v>1118</v>
      </c>
      <c r="E202" s="2711"/>
      <c r="F202" s="2577">
        <f>'exchange rates'!$O$50</f>
        <v>3.8868399999999999</v>
      </c>
      <c r="G202" s="2895">
        <v>0</v>
      </c>
      <c r="H202" s="2896">
        <f>820/F202</f>
        <v>210.96829300923116</v>
      </c>
      <c r="I202" s="2897">
        <v>0</v>
      </c>
      <c r="J202" s="2898">
        <f>73.8/F202</f>
        <v>18.987146370830803</v>
      </c>
      <c r="K202" s="566">
        <f>Tabel668926[[#This Row],[Fix.ch. 2017]]+Tabel668926[[#This Row],[Var. ch. 2017]]+Tabel668926[[#This Row],[Oth. ch. DW 2017]]+Tabel668926[[#This Row],[VAT DW 2017]]</f>
        <v>229.95543938006196</v>
      </c>
      <c r="L202" s="2899">
        <v>0</v>
      </c>
      <c r="M202" s="2900">
        <v>0</v>
      </c>
      <c r="N202" s="2901">
        <f>578/F202</f>
        <v>148.70691873089709</v>
      </c>
      <c r="O202" s="2898">
        <f>109.82/F202</f>
        <v>28.254314558870444</v>
      </c>
      <c r="P202" s="2902">
        <v>0</v>
      </c>
      <c r="Q202" s="2898">
        <v>0</v>
      </c>
      <c r="R202" s="2586">
        <f>Tabel668926[[#This Row],[VAT DW 2017]]+Tabel668926[[#This Row],[VAT Sew. 2017]]+Tabel668926[[#This Row],[VAT WW 2017]]+Tabel668926[[#This Row],[VAT Other ch. 2017]]</f>
        <v>47.241460929701248</v>
      </c>
      <c r="S202" s="571">
        <f>Tabel668926[[#This Row],[Total. ch. DW 2017]]+Tabel668926[[#This Row],[Sew. 2017]]+Tabel668926[[#This Row],[VAT Sew. 2017]]+Tabel668926[[#This Row],[WW 2017]]+Tabel668926[[#This Row],[VAT WW 2017]]+Tabel668926[[#This Row],[Other ch. 2017]]+Tabel668926[[#This Row],[VAT Other ch. 2017]]</f>
        <v>406.9166726698295</v>
      </c>
      <c r="T202" s="2587"/>
      <c r="U202" s="2601"/>
      <c r="V202" s="2602"/>
      <c r="W202" s="2603"/>
      <c r="X202" s="2604"/>
      <c r="Y202" s="2605"/>
      <c r="Z202" s="2606"/>
      <c r="AA202" s="2604"/>
      <c r="AB202" s="2607"/>
      <c r="AC202" s="2604"/>
      <c r="AD202" s="2608"/>
      <c r="AE202" s="2604"/>
      <c r="AF202" s="2609"/>
      <c r="AG202" s="1791"/>
      <c r="AH202" s="2587"/>
      <c r="AI202" s="2597" t="s">
        <v>429</v>
      </c>
      <c r="AJ202" s="2597" t="s">
        <v>429</v>
      </c>
      <c r="AK202" s="2597"/>
      <c r="AL202" s="2597"/>
      <c r="AM202" s="2597"/>
      <c r="AN202" s="2597" t="s">
        <v>429</v>
      </c>
      <c r="AO202" s="2634"/>
      <c r="AP202" s="2587"/>
    </row>
    <row r="203" spans="1:42" ht="15.75" customHeight="1" x14ac:dyDescent="0.25">
      <c r="A203" s="2599"/>
      <c r="B203" s="3091" t="s">
        <v>765</v>
      </c>
      <c r="C203" s="2724"/>
      <c r="D203" s="2724" t="s">
        <v>1118</v>
      </c>
      <c r="E203" s="2711"/>
      <c r="F203" s="2577">
        <f>'exchange rates'!$O$50</f>
        <v>3.8868399999999999</v>
      </c>
      <c r="G203" s="325"/>
      <c r="H203" s="326"/>
      <c r="I203" s="327"/>
      <c r="J203" s="561"/>
      <c r="K203" s="313"/>
      <c r="L203" s="328"/>
      <c r="M203" s="1097"/>
      <c r="N203" s="329"/>
      <c r="O203" s="561"/>
      <c r="P203" s="330"/>
      <c r="Q203" s="561"/>
      <c r="R203" s="2657"/>
      <c r="S203" s="318"/>
      <c r="T203" s="2587"/>
      <c r="U203" s="2712"/>
      <c r="V203" s="2713"/>
      <c r="W203" s="2714"/>
      <c r="X203" s="2604"/>
      <c r="Y203" s="2715"/>
      <c r="Z203" s="2716"/>
      <c r="AA203" s="2604"/>
      <c r="AB203" s="2717"/>
      <c r="AC203" s="2604"/>
      <c r="AD203" s="2718"/>
      <c r="AE203" s="2604"/>
      <c r="AF203" s="2719"/>
      <c r="AG203" s="1832"/>
      <c r="AH203" s="2587"/>
      <c r="AI203" s="2598"/>
      <c r="AJ203" s="2598"/>
      <c r="AK203" s="2634"/>
      <c r="AL203" s="2634"/>
      <c r="AM203" s="2634"/>
      <c r="AN203" s="2598"/>
      <c r="AO203" s="2634"/>
      <c r="AP203" s="2587"/>
    </row>
    <row r="204" spans="1:42" ht="15.75" customHeight="1" x14ac:dyDescent="0.25">
      <c r="A204" s="2599"/>
      <c r="B204" s="3090" t="s">
        <v>860</v>
      </c>
      <c r="C204" s="2700" t="s">
        <v>429</v>
      </c>
      <c r="D204" s="2700" t="s">
        <v>1118</v>
      </c>
      <c r="E204" s="2711"/>
      <c r="F204" s="2577">
        <f>'exchange rates'!$O$50</f>
        <v>3.8868399999999999</v>
      </c>
      <c r="G204" s="2895">
        <v>0</v>
      </c>
      <c r="H204" s="2896">
        <f>662/F204</f>
        <v>170.31830484403784</v>
      </c>
      <c r="I204" s="2897">
        <v>0</v>
      </c>
      <c r="J204" s="2898">
        <f>59.58/F204</f>
        <v>15.328647435963404</v>
      </c>
      <c r="K204" s="566">
        <f>Tabel668926[[#This Row],[Fix.ch. 2017]]+Tabel668926[[#This Row],[Var. ch. 2017]]+Tabel668926[[#This Row],[Oth. ch. DW 2017]]+Tabel668926[[#This Row],[VAT DW 2017]]</f>
        <v>185.64695228000124</v>
      </c>
      <c r="L204" s="2899">
        <v>0</v>
      </c>
      <c r="M204" s="2900">
        <v>0</v>
      </c>
      <c r="N204" s="2901">
        <f>348/F204</f>
        <v>89.532885325868833</v>
      </c>
      <c r="O204" s="2898">
        <f>66.12/F204</f>
        <v>17.011248211915078</v>
      </c>
      <c r="P204" s="2902">
        <v>0</v>
      </c>
      <c r="Q204" s="2898">
        <v>0</v>
      </c>
      <c r="R204" s="2586">
        <f>Tabel668926[[#This Row],[VAT DW 2017]]+Tabel668926[[#This Row],[VAT Sew. 2017]]+Tabel668926[[#This Row],[VAT WW 2017]]+Tabel668926[[#This Row],[VAT Other ch. 2017]]</f>
        <v>32.339895647878478</v>
      </c>
      <c r="S204" s="571">
        <f>Tabel668926[[#This Row],[Total. ch. DW 2017]]+Tabel668926[[#This Row],[Sew. 2017]]+Tabel668926[[#This Row],[VAT Sew. 2017]]+Tabel668926[[#This Row],[WW 2017]]+Tabel668926[[#This Row],[VAT WW 2017]]+Tabel668926[[#This Row],[Other ch. 2017]]+Tabel668926[[#This Row],[VAT Other ch. 2017]]</f>
        <v>292.19108581778517</v>
      </c>
      <c r="T204" s="2587"/>
      <c r="U204" s="2712"/>
      <c r="V204" s="2713"/>
      <c r="W204" s="2714"/>
      <c r="X204" s="2604"/>
      <c r="Y204" s="2715"/>
      <c r="Z204" s="2716"/>
      <c r="AA204" s="2604"/>
      <c r="AB204" s="2717"/>
      <c r="AC204" s="2604"/>
      <c r="AD204" s="2718"/>
      <c r="AE204" s="2604"/>
      <c r="AF204" s="2719"/>
      <c r="AG204" s="1832"/>
      <c r="AH204" s="2587"/>
      <c r="AI204" s="2597" t="s">
        <v>429</v>
      </c>
      <c r="AJ204" s="2597" t="s">
        <v>429</v>
      </c>
      <c r="AK204" s="2597"/>
      <c r="AL204" s="2597"/>
      <c r="AM204" s="2597"/>
      <c r="AN204" s="2597" t="s">
        <v>429</v>
      </c>
      <c r="AO204" s="2634"/>
      <c r="AP204" s="2587"/>
    </row>
    <row r="205" spans="1:42" ht="15.75" customHeight="1" x14ac:dyDescent="0.25">
      <c r="A205" s="2599"/>
      <c r="B205" s="3091" t="s">
        <v>766</v>
      </c>
      <c r="C205" s="2724"/>
      <c r="D205" s="2724" t="s">
        <v>1118</v>
      </c>
      <c r="E205" s="2711"/>
      <c r="F205" s="2577">
        <f>'exchange rates'!$O$50</f>
        <v>3.8868399999999999</v>
      </c>
      <c r="G205" s="325"/>
      <c r="H205" s="326"/>
      <c r="I205" s="327"/>
      <c r="J205" s="561"/>
      <c r="K205" s="313"/>
      <c r="L205" s="328"/>
      <c r="M205" s="1097"/>
      <c r="N205" s="329"/>
      <c r="O205" s="561"/>
      <c r="P205" s="330"/>
      <c r="Q205" s="561"/>
      <c r="R205" s="2657"/>
      <c r="S205" s="318"/>
      <c r="T205" s="2587"/>
      <c r="U205" s="2712"/>
      <c r="V205" s="2713"/>
      <c r="W205" s="2714"/>
      <c r="X205" s="2604"/>
      <c r="Y205" s="2715"/>
      <c r="Z205" s="2716"/>
      <c r="AA205" s="2604"/>
      <c r="AB205" s="2717"/>
      <c r="AC205" s="2604"/>
      <c r="AD205" s="2718"/>
      <c r="AE205" s="2604"/>
      <c r="AF205" s="2719"/>
      <c r="AG205" s="1832"/>
      <c r="AH205" s="2587"/>
      <c r="AI205" s="2598"/>
      <c r="AJ205" s="2598"/>
      <c r="AK205" s="2634"/>
      <c r="AL205" s="2634"/>
      <c r="AM205" s="2634"/>
      <c r="AN205" s="2598"/>
      <c r="AO205" s="2634"/>
      <c r="AP205" s="2587"/>
    </row>
    <row r="206" spans="1:42" ht="15.75" customHeight="1" x14ac:dyDescent="0.25">
      <c r="A206" s="2599"/>
      <c r="B206" s="3091" t="s">
        <v>767</v>
      </c>
      <c r="C206" s="2724"/>
      <c r="D206" s="2724" t="s">
        <v>1118</v>
      </c>
      <c r="E206" s="2711"/>
      <c r="F206" s="2577">
        <f>'exchange rates'!$O$50</f>
        <v>3.8868399999999999</v>
      </c>
      <c r="G206" s="325"/>
      <c r="H206" s="326"/>
      <c r="I206" s="327"/>
      <c r="J206" s="561"/>
      <c r="K206" s="313"/>
      <c r="L206" s="328"/>
      <c r="M206" s="1097"/>
      <c r="N206" s="329"/>
      <c r="O206" s="561"/>
      <c r="P206" s="330"/>
      <c r="Q206" s="561"/>
      <c r="R206" s="2657"/>
      <c r="S206" s="318"/>
      <c r="T206" s="2587"/>
      <c r="U206" s="2712"/>
      <c r="V206" s="2713"/>
      <c r="W206" s="2714"/>
      <c r="X206" s="2604"/>
      <c r="Y206" s="2715"/>
      <c r="Z206" s="2716"/>
      <c r="AA206" s="2604"/>
      <c r="AB206" s="2717"/>
      <c r="AC206" s="2604"/>
      <c r="AD206" s="2718"/>
      <c r="AE206" s="2604"/>
      <c r="AF206" s="2719"/>
      <c r="AG206" s="1832"/>
      <c r="AH206" s="2587"/>
      <c r="AI206" s="2598"/>
      <c r="AJ206" s="2598"/>
      <c r="AK206" s="2634"/>
      <c r="AL206" s="2634"/>
      <c r="AM206" s="2634"/>
      <c r="AN206" s="2598"/>
      <c r="AO206" s="2634"/>
      <c r="AP206" s="2587"/>
    </row>
    <row r="207" spans="1:42" ht="15.75" customHeight="1" x14ac:dyDescent="0.25">
      <c r="A207" s="2599"/>
      <c r="B207" s="3091" t="s">
        <v>768</v>
      </c>
      <c r="C207" s="2724"/>
      <c r="D207" s="2724" t="s">
        <v>1118</v>
      </c>
      <c r="E207" s="2711"/>
      <c r="F207" s="2577">
        <f>'exchange rates'!$O$50</f>
        <v>3.8868399999999999</v>
      </c>
      <c r="G207" s="325"/>
      <c r="H207" s="326"/>
      <c r="I207" s="327"/>
      <c r="J207" s="561"/>
      <c r="K207" s="313"/>
      <c r="L207" s="328"/>
      <c r="M207" s="1097"/>
      <c r="N207" s="329"/>
      <c r="O207" s="561"/>
      <c r="P207" s="330"/>
      <c r="Q207" s="561"/>
      <c r="R207" s="2657"/>
      <c r="S207" s="318"/>
      <c r="T207" s="2587"/>
      <c r="U207" s="2712"/>
      <c r="V207" s="2713"/>
      <c r="W207" s="2714"/>
      <c r="X207" s="2604"/>
      <c r="Y207" s="2715"/>
      <c r="Z207" s="2716"/>
      <c r="AA207" s="2604"/>
      <c r="AB207" s="2717"/>
      <c r="AC207" s="2604"/>
      <c r="AD207" s="2718"/>
      <c r="AE207" s="2604"/>
      <c r="AF207" s="2719"/>
      <c r="AG207" s="1832"/>
      <c r="AH207" s="2587"/>
      <c r="AI207" s="2598"/>
      <c r="AJ207" s="2598"/>
      <c r="AK207" s="2634"/>
      <c r="AL207" s="2634"/>
      <c r="AM207" s="2634"/>
      <c r="AN207" s="2598"/>
      <c r="AO207" s="2634"/>
      <c r="AP207" s="2587"/>
    </row>
    <row r="208" spans="1:42" ht="15.75" customHeight="1" x14ac:dyDescent="0.25">
      <c r="A208" s="2599"/>
      <c r="B208" s="3090" t="s">
        <v>769</v>
      </c>
      <c r="C208" s="2700"/>
      <c r="D208" s="2700" t="s">
        <v>1118</v>
      </c>
      <c r="E208" s="2711"/>
      <c r="F208" s="2577">
        <f>'exchange rates'!$O$50</f>
        <v>3.8868399999999999</v>
      </c>
      <c r="G208" s="2895">
        <v>0</v>
      </c>
      <c r="H208" s="2896">
        <f>696/F208</f>
        <v>179.06577065173767</v>
      </c>
      <c r="I208" s="2897">
        <v>0</v>
      </c>
      <c r="J208" s="2898">
        <f>62.64/F208</f>
        <v>16.115919358656392</v>
      </c>
      <c r="K208" s="566">
        <f>Tabel668926[[#This Row],[Fix.ch. 2017]]+Tabel668926[[#This Row],[Var. ch. 2017]]+Tabel668926[[#This Row],[Oth. ch. DW 2017]]+Tabel668926[[#This Row],[VAT DW 2017]]</f>
        <v>195.18169001039405</v>
      </c>
      <c r="L208" s="2899">
        <v>0</v>
      </c>
      <c r="M208" s="2900">
        <v>0</v>
      </c>
      <c r="N208" s="2901">
        <f>552/F208</f>
        <v>142.0176801720678</v>
      </c>
      <c r="O208" s="2898">
        <f>104.88/F208</f>
        <v>26.98335923269288</v>
      </c>
      <c r="P208" s="2902">
        <v>0</v>
      </c>
      <c r="Q208" s="2898">
        <v>0</v>
      </c>
      <c r="R208" s="2586">
        <f>Tabel668926[[#This Row],[VAT DW 2017]]+Tabel668926[[#This Row],[VAT Sew. 2017]]+Tabel668926[[#This Row],[VAT WW 2017]]+Tabel668926[[#This Row],[VAT Other ch. 2017]]</f>
        <v>43.099278591349275</v>
      </c>
      <c r="S208" s="571">
        <f>Tabel668926[[#This Row],[Total. ch. DW 2017]]+Tabel668926[[#This Row],[Sew. 2017]]+Tabel668926[[#This Row],[VAT Sew. 2017]]+Tabel668926[[#This Row],[WW 2017]]+Tabel668926[[#This Row],[VAT WW 2017]]+Tabel668926[[#This Row],[Other ch. 2017]]+Tabel668926[[#This Row],[VAT Other ch. 2017]]</f>
        <v>364.18272941515471</v>
      </c>
      <c r="T208" s="2587"/>
      <c r="U208" s="2712"/>
      <c r="V208" s="2713"/>
      <c r="W208" s="2714"/>
      <c r="X208" s="2604"/>
      <c r="Y208" s="2715"/>
      <c r="Z208" s="2716"/>
      <c r="AA208" s="2604"/>
      <c r="AB208" s="2717"/>
      <c r="AC208" s="2604"/>
      <c r="AD208" s="2718"/>
      <c r="AE208" s="2604"/>
      <c r="AF208" s="2719"/>
      <c r="AG208" s="1832"/>
      <c r="AH208" s="2587"/>
      <c r="AI208" s="2597" t="s">
        <v>429</v>
      </c>
      <c r="AJ208" s="2597" t="s">
        <v>429</v>
      </c>
      <c r="AK208" s="2597"/>
      <c r="AL208" s="2597"/>
      <c r="AM208" s="2597"/>
      <c r="AN208" s="2597" t="s">
        <v>429</v>
      </c>
      <c r="AO208" s="2634"/>
      <c r="AP208" s="2587"/>
    </row>
    <row r="209" spans="1:42" ht="15.75" customHeight="1" x14ac:dyDescent="0.25">
      <c r="A209" s="2599"/>
      <c r="B209" s="3091" t="s">
        <v>770</v>
      </c>
      <c r="C209" s="2724"/>
      <c r="D209" s="2724" t="s">
        <v>1118</v>
      </c>
      <c r="E209" s="2711"/>
      <c r="F209" s="2577">
        <f>'exchange rates'!$O$50</f>
        <v>3.8868399999999999</v>
      </c>
      <c r="G209" s="325"/>
      <c r="H209" s="326"/>
      <c r="I209" s="327"/>
      <c r="J209" s="561"/>
      <c r="K209" s="313"/>
      <c r="L209" s="328"/>
      <c r="M209" s="1097"/>
      <c r="N209" s="329"/>
      <c r="O209" s="561"/>
      <c r="P209" s="330"/>
      <c r="Q209" s="561"/>
      <c r="R209" s="2657"/>
      <c r="S209" s="318"/>
      <c r="T209" s="2587"/>
      <c r="U209" s="2712"/>
      <c r="V209" s="2713"/>
      <c r="W209" s="2714"/>
      <c r="X209" s="2604"/>
      <c r="Y209" s="2715"/>
      <c r="Z209" s="2716"/>
      <c r="AA209" s="2604"/>
      <c r="AB209" s="2717"/>
      <c r="AC209" s="2604"/>
      <c r="AD209" s="2718"/>
      <c r="AE209" s="2604"/>
      <c r="AF209" s="2719"/>
      <c r="AG209" s="1832"/>
      <c r="AH209" s="2587"/>
      <c r="AI209" s="2598"/>
      <c r="AJ209" s="2598"/>
      <c r="AK209" s="2634"/>
      <c r="AL209" s="2634"/>
      <c r="AM209" s="2634"/>
      <c r="AN209" s="2598"/>
      <c r="AO209" s="2634"/>
      <c r="AP209" s="2587"/>
    </row>
    <row r="210" spans="1:42" ht="15.75" customHeight="1" x14ac:dyDescent="0.25">
      <c r="A210" s="2599"/>
      <c r="B210" s="3090" t="s">
        <v>771</v>
      </c>
      <c r="C210" s="2700"/>
      <c r="D210" s="2700" t="s">
        <v>1118</v>
      </c>
      <c r="E210" s="2711"/>
      <c r="F210" s="2577">
        <f>'exchange rates'!$O$50</f>
        <v>3.8868399999999999</v>
      </c>
      <c r="G210" s="2895">
        <v>0</v>
      </c>
      <c r="H210" s="2896">
        <f>714/F210</f>
        <v>183.69678196169639</v>
      </c>
      <c r="I210" s="2897">
        <v>0</v>
      </c>
      <c r="J210" s="2898">
        <f>64.26/F210</f>
        <v>16.532710376552679</v>
      </c>
      <c r="K210" s="566">
        <f>Tabel668926[[#This Row],[Fix.ch. 2017]]+Tabel668926[[#This Row],[Var. ch. 2017]]+Tabel668926[[#This Row],[Oth. ch. DW 2017]]+Tabel668926[[#This Row],[VAT DW 2017]]</f>
        <v>200.22949233824906</v>
      </c>
      <c r="L210" s="2899">
        <v>0</v>
      </c>
      <c r="M210" s="2900">
        <v>0</v>
      </c>
      <c r="N210" s="2901">
        <f>488/F210</f>
        <v>125.55186218110342</v>
      </c>
      <c r="O210" s="2898">
        <f>92.72/F210</f>
        <v>23.854853814409651</v>
      </c>
      <c r="P210" s="2902">
        <v>0</v>
      </c>
      <c r="Q210" s="2898">
        <v>0</v>
      </c>
      <c r="R210" s="2586">
        <f>Tabel668926[[#This Row],[VAT DW 2017]]+Tabel668926[[#This Row],[VAT Sew. 2017]]+Tabel668926[[#This Row],[VAT WW 2017]]+Tabel668926[[#This Row],[VAT Other ch. 2017]]</f>
        <v>40.38756419096233</v>
      </c>
      <c r="S210" s="571">
        <f>Tabel668926[[#This Row],[Total. ch. DW 2017]]+Tabel668926[[#This Row],[Sew. 2017]]+Tabel668926[[#This Row],[VAT Sew. 2017]]+Tabel668926[[#This Row],[WW 2017]]+Tabel668926[[#This Row],[VAT WW 2017]]+Tabel668926[[#This Row],[Other ch. 2017]]+Tabel668926[[#This Row],[VAT Other ch. 2017]]</f>
        <v>349.63620833376211</v>
      </c>
      <c r="T210" s="2587"/>
      <c r="U210" s="2712"/>
      <c r="V210" s="2713"/>
      <c r="W210" s="2714"/>
      <c r="X210" s="2604"/>
      <c r="Y210" s="2715"/>
      <c r="Z210" s="2716"/>
      <c r="AA210" s="2604"/>
      <c r="AB210" s="2717"/>
      <c r="AC210" s="2604"/>
      <c r="AD210" s="2718"/>
      <c r="AE210" s="2604"/>
      <c r="AF210" s="2719"/>
      <c r="AG210" s="1832"/>
      <c r="AH210" s="2587"/>
      <c r="AI210" s="2597" t="s">
        <v>429</v>
      </c>
      <c r="AJ210" s="2597" t="s">
        <v>429</v>
      </c>
      <c r="AK210" s="2597"/>
      <c r="AL210" s="2597"/>
      <c r="AM210" s="2597"/>
      <c r="AN210" s="2597" t="s">
        <v>429</v>
      </c>
      <c r="AO210" s="2634"/>
      <c r="AP210" s="2587"/>
    </row>
    <row r="211" spans="1:42" ht="15.75" customHeight="1" x14ac:dyDescent="0.25">
      <c r="A211" s="2599"/>
      <c r="B211" s="3091" t="s">
        <v>772</v>
      </c>
      <c r="C211" s="2724"/>
      <c r="D211" s="2724" t="s">
        <v>1118</v>
      </c>
      <c r="E211" s="2711"/>
      <c r="F211" s="2577">
        <f>'exchange rates'!$O$50</f>
        <v>3.8868399999999999</v>
      </c>
      <c r="G211" s="325"/>
      <c r="H211" s="326"/>
      <c r="I211" s="327"/>
      <c r="J211" s="561"/>
      <c r="K211" s="313"/>
      <c r="L211" s="328"/>
      <c r="M211" s="1097"/>
      <c r="N211" s="329"/>
      <c r="O211" s="561"/>
      <c r="P211" s="330"/>
      <c r="Q211" s="561"/>
      <c r="R211" s="2657"/>
      <c r="S211" s="318"/>
      <c r="T211" s="2587"/>
      <c r="U211" s="2712"/>
      <c r="V211" s="2713"/>
      <c r="W211" s="2714"/>
      <c r="X211" s="2604"/>
      <c r="Y211" s="2715"/>
      <c r="Z211" s="2716"/>
      <c r="AA211" s="2604"/>
      <c r="AB211" s="2717"/>
      <c r="AC211" s="2604"/>
      <c r="AD211" s="2718"/>
      <c r="AE211" s="2604"/>
      <c r="AF211" s="2719"/>
      <c r="AG211" s="1832"/>
      <c r="AH211" s="2587"/>
      <c r="AI211" s="2598"/>
      <c r="AJ211" s="2598"/>
      <c r="AK211" s="2634"/>
      <c r="AL211" s="2634"/>
      <c r="AM211" s="2634"/>
      <c r="AN211" s="2598"/>
      <c r="AO211" s="2634"/>
      <c r="AP211" s="2587"/>
    </row>
    <row r="212" spans="1:42" ht="15.75" customHeight="1" x14ac:dyDescent="0.25">
      <c r="A212" s="2599"/>
      <c r="B212" s="3090" t="s">
        <v>861</v>
      </c>
      <c r="C212" s="2700"/>
      <c r="D212" s="2700" t="s">
        <v>1118</v>
      </c>
      <c r="E212" s="2711"/>
      <c r="F212" s="2577">
        <f>'exchange rates'!$O$50</f>
        <v>3.8868399999999999</v>
      </c>
      <c r="G212" s="2895">
        <v>0</v>
      </c>
      <c r="H212" s="2896">
        <f>778/F212</f>
        <v>200.16259995266077</v>
      </c>
      <c r="I212" s="2897">
        <v>0</v>
      </c>
      <c r="J212" s="2898">
        <f>70.02/F212</f>
        <v>18.014633995739469</v>
      </c>
      <c r="K212" s="566">
        <f>Tabel668926[[#This Row],[Fix.ch. 2017]]+Tabel668926[[#This Row],[Var. ch. 2017]]+Tabel668926[[#This Row],[Oth. ch. DW 2017]]+Tabel668926[[#This Row],[VAT DW 2017]]</f>
        <v>218.17723394840024</v>
      </c>
      <c r="L212" s="2899">
        <v>0</v>
      </c>
      <c r="M212" s="2900">
        <v>0</v>
      </c>
      <c r="N212" s="2901">
        <f>686/F212</f>
        <v>176.49298659064948</v>
      </c>
      <c r="O212" s="2898">
        <f>130.34/F212</f>
        <v>33.533667452223405</v>
      </c>
      <c r="P212" s="2902">
        <v>0</v>
      </c>
      <c r="Q212" s="2898">
        <v>0</v>
      </c>
      <c r="R212" s="2586">
        <f>Tabel668926[[#This Row],[VAT DW 2017]]+Tabel668926[[#This Row],[VAT Sew. 2017]]+Tabel668926[[#This Row],[VAT WW 2017]]+Tabel668926[[#This Row],[VAT Other ch. 2017]]</f>
        <v>51.548301447962871</v>
      </c>
      <c r="S212" s="571">
        <f>Tabel668926[[#This Row],[Total. ch. DW 2017]]+Tabel668926[[#This Row],[Sew. 2017]]+Tabel668926[[#This Row],[VAT Sew. 2017]]+Tabel668926[[#This Row],[WW 2017]]+Tabel668926[[#This Row],[VAT WW 2017]]+Tabel668926[[#This Row],[Other ch. 2017]]+Tabel668926[[#This Row],[VAT Other ch. 2017]]</f>
        <v>428.20388799127318</v>
      </c>
      <c r="T212" s="2587"/>
      <c r="U212" s="2712"/>
      <c r="V212" s="2713"/>
      <c r="W212" s="2714"/>
      <c r="X212" s="2604"/>
      <c r="Y212" s="2715"/>
      <c r="Z212" s="2716"/>
      <c r="AA212" s="2604"/>
      <c r="AB212" s="2717"/>
      <c r="AC212" s="2604"/>
      <c r="AD212" s="2718"/>
      <c r="AE212" s="2604"/>
      <c r="AF212" s="2719"/>
      <c r="AG212" s="1832"/>
      <c r="AH212" s="2587"/>
      <c r="AI212" s="2597" t="s">
        <v>429</v>
      </c>
      <c r="AJ212" s="2597" t="s">
        <v>429</v>
      </c>
      <c r="AK212" s="2597"/>
      <c r="AL212" s="2597"/>
      <c r="AM212" s="2597"/>
      <c r="AN212" s="2597" t="s">
        <v>429</v>
      </c>
      <c r="AO212" s="2634"/>
      <c r="AP212" s="2587"/>
    </row>
    <row r="213" spans="1:42" ht="15.75" customHeight="1" x14ac:dyDescent="0.25">
      <c r="A213" s="2599"/>
      <c r="B213" s="3090" t="s">
        <v>862</v>
      </c>
      <c r="C213" s="2700"/>
      <c r="D213" s="2700" t="s">
        <v>1118</v>
      </c>
      <c r="E213" s="2711"/>
      <c r="F213" s="2577">
        <f>'exchange rates'!$O$50</f>
        <v>3.8868399999999999</v>
      </c>
      <c r="G213" s="2895">
        <v>0</v>
      </c>
      <c r="H213" s="2896">
        <f>826/F213</f>
        <v>212.51196344588408</v>
      </c>
      <c r="I213" s="2897">
        <v>0</v>
      </c>
      <c r="J213" s="2898">
        <f>74.34/F213</f>
        <v>19.126076710129567</v>
      </c>
      <c r="K213" s="566">
        <f>Tabel668926[[#This Row],[Fix.ch. 2017]]+Tabel668926[[#This Row],[Var. ch. 2017]]+Tabel668926[[#This Row],[Oth. ch. DW 2017]]+Tabel668926[[#This Row],[VAT DW 2017]]</f>
        <v>231.63804015601363</v>
      </c>
      <c r="L213" s="2899">
        <v>0</v>
      </c>
      <c r="M213" s="2900">
        <v>0</v>
      </c>
      <c r="N213" s="2901">
        <f>520/F213</f>
        <v>133.78477117658562</v>
      </c>
      <c r="O213" s="2898">
        <f>98.8/F213</f>
        <v>25.419106523551264</v>
      </c>
      <c r="P213" s="2902">
        <v>0</v>
      </c>
      <c r="Q213" s="2898">
        <v>0</v>
      </c>
      <c r="R213" s="2586">
        <f>Tabel668926[[#This Row],[VAT DW 2017]]+Tabel668926[[#This Row],[VAT Sew. 2017]]+Tabel668926[[#This Row],[VAT WW 2017]]+Tabel668926[[#This Row],[VAT Other ch. 2017]]</f>
        <v>44.545183233680831</v>
      </c>
      <c r="S213" s="571">
        <f>Tabel668926[[#This Row],[Total. ch. DW 2017]]+Tabel668926[[#This Row],[Sew. 2017]]+Tabel668926[[#This Row],[VAT Sew. 2017]]+Tabel668926[[#This Row],[WW 2017]]+Tabel668926[[#This Row],[VAT WW 2017]]+Tabel668926[[#This Row],[Other ch. 2017]]+Tabel668926[[#This Row],[VAT Other ch. 2017]]</f>
        <v>390.84191785615053</v>
      </c>
      <c r="T213" s="2587"/>
      <c r="U213" s="2712"/>
      <c r="V213" s="2713"/>
      <c r="W213" s="2714"/>
      <c r="X213" s="2604"/>
      <c r="Y213" s="2715"/>
      <c r="Z213" s="2716"/>
      <c r="AA213" s="2604"/>
      <c r="AB213" s="2717"/>
      <c r="AC213" s="2604"/>
      <c r="AD213" s="2718"/>
      <c r="AE213" s="2604"/>
      <c r="AF213" s="2719"/>
      <c r="AG213" s="1832"/>
      <c r="AH213" s="2587"/>
      <c r="AI213" s="2597" t="s">
        <v>429</v>
      </c>
      <c r="AJ213" s="2597" t="s">
        <v>429</v>
      </c>
      <c r="AK213" s="2597"/>
      <c r="AL213" s="2597"/>
      <c r="AM213" s="2597"/>
      <c r="AN213" s="2597" t="s">
        <v>429</v>
      </c>
      <c r="AO213" s="2634"/>
      <c r="AP213" s="2587"/>
    </row>
    <row r="214" spans="1:42" ht="15.75" customHeight="1" x14ac:dyDescent="0.25">
      <c r="A214" s="2599"/>
      <c r="B214" s="3090" t="s">
        <v>863</v>
      </c>
      <c r="C214" s="2700"/>
      <c r="D214" s="2700" t="s">
        <v>1118</v>
      </c>
      <c r="E214" s="2711"/>
      <c r="F214" s="2577">
        <f>'exchange rates'!$O$50</f>
        <v>3.8868399999999999</v>
      </c>
      <c r="G214" s="2895">
        <v>0</v>
      </c>
      <c r="H214" s="2896">
        <f>712/F214</f>
        <v>183.18222514947877</v>
      </c>
      <c r="I214" s="2897">
        <v>0</v>
      </c>
      <c r="J214" s="2898">
        <f>64.08/F214</f>
        <v>16.486400263453088</v>
      </c>
      <c r="K214" s="566">
        <f>Tabel668926[[#This Row],[Fix.ch. 2017]]+Tabel668926[[#This Row],[Var. ch. 2017]]+Tabel668926[[#This Row],[Oth. ch. DW 2017]]+Tabel668926[[#This Row],[VAT DW 2017]]</f>
        <v>199.66862541293185</v>
      </c>
      <c r="L214" s="2899">
        <v>0</v>
      </c>
      <c r="M214" s="2900">
        <v>0</v>
      </c>
      <c r="N214" s="2901">
        <f>518/F214</f>
        <v>133.27021436436797</v>
      </c>
      <c r="O214" s="2898">
        <f>98.42/F214</f>
        <v>25.321340729229917</v>
      </c>
      <c r="P214" s="2902">
        <v>0</v>
      </c>
      <c r="Q214" s="2898">
        <v>0</v>
      </c>
      <c r="R214" s="2586">
        <f>Tabel668926[[#This Row],[VAT DW 2017]]+Tabel668926[[#This Row],[VAT Sew. 2017]]+Tabel668926[[#This Row],[VAT WW 2017]]+Tabel668926[[#This Row],[VAT Other ch. 2017]]</f>
        <v>41.807740992683009</v>
      </c>
      <c r="S214" s="571">
        <f>Tabel668926[[#This Row],[Total. ch. DW 2017]]+Tabel668926[[#This Row],[Sew. 2017]]+Tabel668926[[#This Row],[VAT Sew. 2017]]+Tabel668926[[#This Row],[WW 2017]]+Tabel668926[[#This Row],[VAT WW 2017]]+Tabel668926[[#This Row],[Other ch. 2017]]+Tabel668926[[#This Row],[VAT Other ch. 2017]]</f>
        <v>358.26018050652971</v>
      </c>
      <c r="T214" s="2587"/>
      <c r="U214" s="2712"/>
      <c r="V214" s="2713"/>
      <c r="W214" s="2714"/>
      <c r="X214" s="2604"/>
      <c r="Y214" s="2715"/>
      <c r="Z214" s="2716"/>
      <c r="AA214" s="2604"/>
      <c r="AB214" s="2717"/>
      <c r="AC214" s="2604"/>
      <c r="AD214" s="2718"/>
      <c r="AE214" s="2604"/>
      <c r="AF214" s="2719"/>
      <c r="AG214" s="1832"/>
      <c r="AH214" s="2587"/>
      <c r="AI214" s="2597" t="s">
        <v>429</v>
      </c>
      <c r="AJ214" s="2597" t="s">
        <v>429</v>
      </c>
      <c r="AK214" s="2597"/>
      <c r="AL214" s="2597"/>
      <c r="AM214" s="2597"/>
      <c r="AN214" s="2597" t="s">
        <v>429</v>
      </c>
      <c r="AO214" s="2634"/>
      <c r="AP214" s="2587"/>
    </row>
    <row r="215" spans="1:42" ht="15.75" customHeight="1" x14ac:dyDescent="0.25">
      <c r="A215" s="2599"/>
      <c r="B215" s="3090" t="s">
        <v>864</v>
      </c>
      <c r="C215" s="2700"/>
      <c r="D215" s="2700" t="s">
        <v>1118</v>
      </c>
      <c r="E215" s="2711"/>
      <c r="F215" s="2577">
        <f>'exchange rates'!$O$50</f>
        <v>3.8868399999999999</v>
      </c>
      <c r="G215" s="2895">
        <v>0</v>
      </c>
      <c r="H215" s="2896">
        <f>712/F215</f>
        <v>183.18222514947877</v>
      </c>
      <c r="I215" s="2897">
        <v>0</v>
      </c>
      <c r="J215" s="2898">
        <f>64.08/F215</f>
        <v>16.486400263453088</v>
      </c>
      <c r="K215" s="566">
        <f>Tabel668926[[#This Row],[Fix.ch. 2017]]+Tabel668926[[#This Row],[Var. ch. 2017]]+Tabel668926[[#This Row],[Oth. ch. DW 2017]]+Tabel668926[[#This Row],[VAT DW 2017]]</f>
        <v>199.66862541293185</v>
      </c>
      <c r="L215" s="2899">
        <v>0</v>
      </c>
      <c r="M215" s="2900">
        <v>0</v>
      </c>
      <c r="N215" s="2901">
        <f>608/F215</f>
        <v>156.42527091416164</v>
      </c>
      <c r="O215" s="2898">
        <f>115.52/F215</f>
        <v>29.72080147369071</v>
      </c>
      <c r="P215" s="2902">
        <v>0</v>
      </c>
      <c r="Q215" s="2898">
        <v>0</v>
      </c>
      <c r="R215" s="2586">
        <f>Tabel668926[[#This Row],[VAT DW 2017]]+Tabel668926[[#This Row],[VAT Sew. 2017]]+Tabel668926[[#This Row],[VAT WW 2017]]+Tabel668926[[#This Row],[VAT Other ch. 2017]]</f>
        <v>46.207201737143798</v>
      </c>
      <c r="S215" s="571">
        <f>Tabel668926[[#This Row],[Total. ch. DW 2017]]+Tabel668926[[#This Row],[Sew. 2017]]+Tabel668926[[#This Row],[VAT Sew. 2017]]+Tabel668926[[#This Row],[WW 2017]]+Tabel668926[[#This Row],[VAT WW 2017]]+Tabel668926[[#This Row],[Other ch. 2017]]+Tabel668926[[#This Row],[VAT Other ch. 2017]]</f>
        <v>385.81469780078419</v>
      </c>
      <c r="T215" s="2587"/>
      <c r="U215" s="2712"/>
      <c r="V215" s="2713"/>
      <c r="W215" s="2714"/>
      <c r="X215" s="2604"/>
      <c r="Y215" s="2715"/>
      <c r="Z215" s="2716"/>
      <c r="AA215" s="2604"/>
      <c r="AB215" s="2717"/>
      <c r="AC215" s="2604"/>
      <c r="AD215" s="2718"/>
      <c r="AE215" s="2604"/>
      <c r="AF215" s="2719"/>
      <c r="AG215" s="1832"/>
      <c r="AH215" s="2587"/>
      <c r="AI215" s="2597" t="s">
        <v>429</v>
      </c>
      <c r="AJ215" s="2597" t="s">
        <v>429</v>
      </c>
      <c r="AK215" s="2597"/>
      <c r="AL215" s="2597"/>
      <c r="AM215" s="2597"/>
      <c r="AN215" s="2597" t="s">
        <v>429</v>
      </c>
      <c r="AO215" s="2634"/>
      <c r="AP215" s="2587"/>
    </row>
    <row r="216" spans="1:42" ht="15.75" customHeight="1" x14ac:dyDescent="0.25">
      <c r="A216" s="2599"/>
      <c r="B216" s="3090" t="s">
        <v>865</v>
      </c>
      <c r="C216" s="2700"/>
      <c r="D216" s="2700" t="s">
        <v>1118</v>
      </c>
      <c r="E216" s="2711"/>
      <c r="F216" s="2577">
        <f>'exchange rates'!$O$50</f>
        <v>3.8868399999999999</v>
      </c>
      <c r="G216" s="2895">
        <v>0</v>
      </c>
      <c r="H216" s="2896">
        <f>694/F216</f>
        <v>178.55121383952002</v>
      </c>
      <c r="I216" s="2897">
        <v>0</v>
      </c>
      <c r="J216" s="2898">
        <f>62.46/F216</f>
        <v>16.069609245556801</v>
      </c>
      <c r="K216" s="566">
        <f>Tabel668926[[#This Row],[Fix.ch. 2017]]+Tabel668926[[#This Row],[Var. ch. 2017]]+Tabel668926[[#This Row],[Oth. ch. DW 2017]]+Tabel668926[[#This Row],[VAT DW 2017]]</f>
        <v>194.62082308507681</v>
      </c>
      <c r="L216" s="2899">
        <v>0</v>
      </c>
      <c r="M216" s="2900">
        <v>0</v>
      </c>
      <c r="N216" s="2901">
        <f>514/F216</f>
        <v>132.2411007399327</v>
      </c>
      <c r="O216" s="2898">
        <f>97.66/F216</f>
        <v>25.125809140587211</v>
      </c>
      <c r="P216" s="2902">
        <v>0</v>
      </c>
      <c r="Q216" s="2898">
        <v>0</v>
      </c>
      <c r="R216" s="2586">
        <f>Tabel668926[[#This Row],[VAT DW 2017]]+Tabel668926[[#This Row],[VAT Sew. 2017]]+Tabel668926[[#This Row],[VAT WW 2017]]+Tabel668926[[#This Row],[VAT Other ch. 2017]]</f>
        <v>41.195418386144013</v>
      </c>
      <c r="S216" s="571">
        <f>Tabel668926[[#This Row],[Total. ch. DW 2017]]+Tabel668926[[#This Row],[Sew. 2017]]+Tabel668926[[#This Row],[VAT Sew. 2017]]+Tabel668926[[#This Row],[WW 2017]]+Tabel668926[[#This Row],[VAT WW 2017]]+Tabel668926[[#This Row],[Other ch. 2017]]+Tabel668926[[#This Row],[VAT Other ch. 2017]]</f>
        <v>351.98773296559671</v>
      </c>
      <c r="T216" s="2587"/>
      <c r="U216" s="2712"/>
      <c r="V216" s="2713"/>
      <c r="W216" s="2714"/>
      <c r="X216" s="2604"/>
      <c r="Y216" s="2715"/>
      <c r="Z216" s="2716"/>
      <c r="AA216" s="2604"/>
      <c r="AB216" s="2717"/>
      <c r="AC216" s="2604"/>
      <c r="AD216" s="2718"/>
      <c r="AE216" s="2604"/>
      <c r="AF216" s="2719"/>
      <c r="AG216" s="1832"/>
      <c r="AH216" s="2587"/>
      <c r="AI216" s="2597" t="s">
        <v>429</v>
      </c>
      <c r="AJ216" s="2597" t="s">
        <v>429</v>
      </c>
      <c r="AK216" s="2597"/>
      <c r="AL216" s="2597"/>
      <c r="AM216" s="2597"/>
      <c r="AN216" s="2597" t="s">
        <v>429</v>
      </c>
      <c r="AO216" s="2634"/>
      <c r="AP216" s="2587"/>
    </row>
    <row r="217" spans="1:42" ht="15.75" customHeight="1" x14ac:dyDescent="0.25">
      <c r="A217" s="2599"/>
      <c r="B217" s="3090" t="s">
        <v>866</v>
      </c>
      <c r="C217" s="2700"/>
      <c r="D217" s="2700" t="s">
        <v>1118</v>
      </c>
      <c r="E217" s="2711"/>
      <c r="F217" s="2577">
        <f>'exchange rates'!$O$50</f>
        <v>3.8868399999999999</v>
      </c>
      <c r="G217" s="2895">
        <v>0</v>
      </c>
      <c r="H217" s="2896">
        <f>814/F217</f>
        <v>209.42462257257824</v>
      </c>
      <c r="I217" s="2897">
        <v>0</v>
      </c>
      <c r="J217" s="2898">
        <f>73.26/F217</f>
        <v>18.848216031532044</v>
      </c>
      <c r="K217" s="566">
        <f>Tabel668926[[#This Row],[Fix.ch. 2017]]+Tabel668926[[#This Row],[Var. ch. 2017]]+Tabel668926[[#This Row],[Oth. ch. DW 2017]]+Tabel668926[[#This Row],[VAT DW 2017]]</f>
        <v>228.27283860411029</v>
      </c>
      <c r="L217" s="2899">
        <v>0</v>
      </c>
      <c r="M217" s="2900">
        <v>0</v>
      </c>
      <c r="N217" s="2901">
        <f>452/F217</f>
        <v>116.28983956118596</v>
      </c>
      <c r="O217" s="2898">
        <f>85.88/F217</f>
        <v>22.09506951662533</v>
      </c>
      <c r="P217" s="2902">
        <v>0</v>
      </c>
      <c r="Q217" s="2898">
        <v>0</v>
      </c>
      <c r="R217" s="2586">
        <f>Tabel668926[[#This Row],[VAT DW 2017]]+Tabel668926[[#This Row],[VAT Sew. 2017]]+Tabel668926[[#This Row],[VAT WW 2017]]+Tabel668926[[#This Row],[VAT Other ch. 2017]]</f>
        <v>40.943285548157377</v>
      </c>
      <c r="S217" s="571">
        <f>Tabel668926[[#This Row],[Total. ch. DW 2017]]+Tabel668926[[#This Row],[Sew. 2017]]+Tabel668926[[#This Row],[VAT Sew. 2017]]+Tabel668926[[#This Row],[WW 2017]]+Tabel668926[[#This Row],[VAT WW 2017]]+Tabel668926[[#This Row],[Other ch. 2017]]+Tabel668926[[#This Row],[VAT Other ch. 2017]]</f>
        <v>366.65774768192159</v>
      </c>
      <c r="T217" s="2587"/>
      <c r="U217" s="2712"/>
      <c r="V217" s="2713"/>
      <c r="W217" s="2714"/>
      <c r="X217" s="2604"/>
      <c r="Y217" s="2715"/>
      <c r="Z217" s="2716"/>
      <c r="AA217" s="2604"/>
      <c r="AB217" s="2717"/>
      <c r="AC217" s="2604"/>
      <c r="AD217" s="2718"/>
      <c r="AE217" s="2604"/>
      <c r="AF217" s="2719"/>
      <c r="AG217" s="1832"/>
      <c r="AH217" s="2587"/>
      <c r="AI217" s="2597" t="s">
        <v>429</v>
      </c>
      <c r="AJ217" s="2597" t="s">
        <v>429</v>
      </c>
      <c r="AK217" s="2597"/>
      <c r="AL217" s="2597"/>
      <c r="AM217" s="2597"/>
      <c r="AN217" s="2597" t="s">
        <v>429</v>
      </c>
      <c r="AO217" s="2634"/>
      <c r="AP217" s="2587"/>
    </row>
    <row r="218" spans="1:42" ht="15.75" customHeight="1" x14ac:dyDescent="0.25">
      <c r="A218" s="2599"/>
      <c r="B218" s="3090" t="s">
        <v>867</v>
      </c>
      <c r="C218" s="2700"/>
      <c r="D218" s="2700" t="s">
        <v>1118</v>
      </c>
      <c r="E218" s="2711"/>
      <c r="F218" s="2577">
        <f>'exchange rates'!$O$50</f>
        <v>3.8868399999999999</v>
      </c>
      <c r="G218" s="2895">
        <v>0</v>
      </c>
      <c r="H218" s="2896">
        <f>632/F218</f>
        <v>162.59995266077328</v>
      </c>
      <c r="I218" s="2897">
        <v>0</v>
      </c>
      <c r="J218" s="2898">
        <f>56.88/F218</f>
        <v>14.633995739469595</v>
      </c>
      <c r="K218" s="566">
        <f>Tabel668926[[#This Row],[Fix.ch. 2017]]+Tabel668926[[#This Row],[Var. ch. 2017]]+Tabel668926[[#This Row],[Oth. ch. DW 2017]]+Tabel668926[[#This Row],[VAT DW 2017]]</f>
        <v>177.23394840024287</v>
      </c>
      <c r="L218" s="2899">
        <v>0</v>
      </c>
      <c r="M218" s="2900">
        <v>0</v>
      </c>
      <c r="N218" s="2901">
        <f>618/F218</f>
        <v>158.99805497524983</v>
      </c>
      <c r="O218" s="2898">
        <f>117.42/F218</f>
        <v>30.209630445297467</v>
      </c>
      <c r="P218" s="2902">
        <v>0</v>
      </c>
      <c r="Q218" s="2898">
        <v>0</v>
      </c>
      <c r="R218" s="2586">
        <f>Tabel668926[[#This Row],[VAT DW 2017]]+Tabel668926[[#This Row],[VAT Sew. 2017]]+Tabel668926[[#This Row],[VAT WW 2017]]+Tabel668926[[#This Row],[VAT Other ch. 2017]]</f>
        <v>44.843626184767061</v>
      </c>
      <c r="S218" s="571">
        <f>Tabel668926[[#This Row],[Total. ch. DW 2017]]+Tabel668926[[#This Row],[Sew. 2017]]+Tabel668926[[#This Row],[VAT Sew. 2017]]+Tabel668926[[#This Row],[WW 2017]]+Tabel668926[[#This Row],[VAT WW 2017]]+Tabel668926[[#This Row],[Other ch. 2017]]+Tabel668926[[#This Row],[VAT Other ch. 2017]]</f>
        <v>366.44163382079017</v>
      </c>
      <c r="T218" s="2587"/>
      <c r="U218" s="2712"/>
      <c r="V218" s="2713"/>
      <c r="W218" s="2714"/>
      <c r="X218" s="2604"/>
      <c r="Y218" s="2715"/>
      <c r="Z218" s="2716"/>
      <c r="AA218" s="2604"/>
      <c r="AB218" s="2717"/>
      <c r="AC218" s="2604"/>
      <c r="AD218" s="2718"/>
      <c r="AE218" s="2604"/>
      <c r="AF218" s="2719"/>
      <c r="AG218" s="1832"/>
      <c r="AH218" s="2587"/>
      <c r="AI218" s="2597" t="s">
        <v>429</v>
      </c>
      <c r="AJ218" s="2597" t="s">
        <v>429</v>
      </c>
      <c r="AK218" s="2597"/>
      <c r="AL218" s="2597"/>
      <c r="AM218" s="2597"/>
      <c r="AN218" s="2597" t="s">
        <v>429</v>
      </c>
      <c r="AO218" s="2634"/>
      <c r="AP218" s="2587"/>
    </row>
    <row r="219" spans="1:42" ht="15.75" customHeight="1" x14ac:dyDescent="0.25">
      <c r="A219" s="2599"/>
      <c r="B219" s="3090" t="s">
        <v>868</v>
      </c>
      <c r="C219" s="2700"/>
      <c r="D219" s="2700" t="s">
        <v>1118</v>
      </c>
      <c r="E219" s="2711"/>
      <c r="F219" s="2577">
        <f>'exchange rates'!$O$50</f>
        <v>3.8868399999999999</v>
      </c>
      <c r="G219" s="2895">
        <v>0</v>
      </c>
      <c r="H219" s="2896">
        <f>642/F219</f>
        <v>165.17273672186147</v>
      </c>
      <c r="I219" s="2897">
        <v>0</v>
      </c>
      <c r="J219" s="2898">
        <f>57.78/F219</f>
        <v>14.865546304967532</v>
      </c>
      <c r="K219" s="566">
        <f>Tabel668926[[#This Row],[Fix.ch. 2017]]+Tabel668926[[#This Row],[Var. ch. 2017]]+Tabel668926[[#This Row],[Oth. ch. DW 2017]]+Tabel668926[[#This Row],[VAT DW 2017]]</f>
        <v>180.03828302682899</v>
      </c>
      <c r="L219" s="2899">
        <v>0</v>
      </c>
      <c r="M219" s="2900">
        <v>0</v>
      </c>
      <c r="N219" s="2901">
        <f>426/F219</f>
        <v>109.60060100235667</v>
      </c>
      <c r="O219" s="2898">
        <f>80.94/F219</f>
        <v>20.824114190447766</v>
      </c>
      <c r="P219" s="2902">
        <v>0</v>
      </c>
      <c r="Q219" s="2898">
        <v>0</v>
      </c>
      <c r="R219" s="2586">
        <f>Tabel668926[[#This Row],[VAT DW 2017]]+Tabel668926[[#This Row],[VAT Sew. 2017]]+Tabel668926[[#This Row],[VAT WW 2017]]+Tabel668926[[#This Row],[VAT Other ch. 2017]]</f>
        <v>35.689660495415296</v>
      </c>
      <c r="S219" s="571">
        <f>Tabel668926[[#This Row],[Total. ch. DW 2017]]+Tabel668926[[#This Row],[Sew. 2017]]+Tabel668926[[#This Row],[VAT Sew. 2017]]+Tabel668926[[#This Row],[WW 2017]]+Tabel668926[[#This Row],[VAT WW 2017]]+Tabel668926[[#This Row],[Other ch. 2017]]+Tabel668926[[#This Row],[VAT Other ch. 2017]]</f>
        <v>310.46299821963339</v>
      </c>
      <c r="T219" s="2587"/>
      <c r="U219" s="2712"/>
      <c r="V219" s="2713"/>
      <c r="W219" s="2714"/>
      <c r="X219" s="2604"/>
      <c r="Y219" s="2715"/>
      <c r="Z219" s="2716"/>
      <c r="AA219" s="2604"/>
      <c r="AB219" s="2717"/>
      <c r="AC219" s="2604"/>
      <c r="AD219" s="2718"/>
      <c r="AE219" s="2604"/>
      <c r="AF219" s="2719"/>
      <c r="AG219" s="1832"/>
      <c r="AH219" s="2587"/>
      <c r="AI219" s="2597" t="s">
        <v>429</v>
      </c>
      <c r="AJ219" s="2597" t="s">
        <v>429</v>
      </c>
      <c r="AK219" s="2597"/>
      <c r="AL219" s="2597"/>
      <c r="AM219" s="2597"/>
      <c r="AN219" s="2597" t="s">
        <v>429</v>
      </c>
      <c r="AO219" s="2634"/>
      <c r="AP219" s="2587"/>
    </row>
    <row r="220" spans="1:42" ht="15.75" customHeight="1" x14ac:dyDescent="0.25">
      <c r="A220" s="2599"/>
      <c r="B220" s="3090" t="s">
        <v>870</v>
      </c>
      <c r="C220" s="2700"/>
      <c r="D220" s="2700" t="s">
        <v>1118</v>
      </c>
      <c r="E220" s="2711"/>
      <c r="F220" s="2577">
        <f>'exchange rates'!$O$50</f>
        <v>3.8868399999999999</v>
      </c>
      <c r="G220" s="2895">
        <v>0</v>
      </c>
      <c r="H220" s="2896">
        <f>844/F220</f>
        <v>217.1429747558428</v>
      </c>
      <c r="I220" s="2897">
        <v>0</v>
      </c>
      <c r="J220" s="2898">
        <f>75.96/F220</f>
        <v>19.54286772802585</v>
      </c>
      <c r="K220" s="566">
        <f>Tabel668926[[#This Row],[Fix.ch. 2017]]+Tabel668926[[#This Row],[Var. ch. 2017]]+Tabel668926[[#This Row],[Oth. ch. DW 2017]]+Tabel668926[[#This Row],[VAT DW 2017]]</f>
        <v>236.68584248386864</v>
      </c>
      <c r="L220" s="2899">
        <v>0</v>
      </c>
      <c r="M220" s="2900">
        <v>0</v>
      </c>
      <c r="N220" s="2901">
        <f>436/F220</f>
        <v>112.17338506344485</v>
      </c>
      <c r="O220" s="2898">
        <f>82.84/F220</f>
        <v>21.312943162054523</v>
      </c>
      <c r="P220" s="2902">
        <v>0</v>
      </c>
      <c r="Q220" s="2898">
        <v>0</v>
      </c>
      <c r="R220" s="2586">
        <f>Tabel668926[[#This Row],[VAT DW 2017]]+Tabel668926[[#This Row],[VAT Sew. 2017]]+Tabel668926[[#This Row],[VAT WW 2017]]+Tabel668926[[#This Row],[VAT Other ch. 2017]]</f>
        <v>40.855810890080377</v>
      </c>
      <c r="S220" s="571">
        <f>Tabel668926[[#This Row],[Total. ch. DW 2017]]+Tabel668926[[#This Row],[Sew. 2017]]+Tabel668926[[#This Row],[VAT Sew. 2017]]+Tabel668926[[#This Row],[WW 2017]]+Tabel668926[[#This Row],[VAT WW 2017]]+Tabel668926[[#This Row],[Other ch. 2017]]+Tabel668926[[#This Row],[VAT Other ch. 2017]]</f>
        <v>370.172170709368</v>
      </c>
      <c r="T220" s="2587"/>
      <c r="U220" s="2712"/>
      <c r="V220" s="2713"/>
      <c r="W220" s="2714"/>
      <c r="X220" s="2604"/>
      <c r="Y220" s="2715"/>
      <c r="Z220" s="2716"/>
      <c r="AA220" s="2604"/>
      <c r="AB220" s="2717"/>
      <c r="AC220" s="2604"/>
      <c r="AD220" s="2718"/>
      <c r="AE220" s="2604"/>
      <c r="AF220" s="2719"/>
      <c r="AG220" s="1832"/>
      <c r="AH220" s="2587"/>
      <c r="AI220" s="2597" t="s">
        <v>429</v>
      </c>
      <c r="AJ220" s="2597" t="s">
        <v>429</v>
      </c>
      <c r="AK220" s="2597"/>
      <c r="AL220" s="2597"/>
      <c r="AM220" s="2597"/>
      <c r="AN220" s="2597" t="s">
        <v>429</v>
      </c>
      <c r="AO220" s="2634"/>
      <c r="AP220" s="2587"/>
    </row>
    <row r="221" spans="1:42" ht="15.75" customHeight="1" x14ac:dyDescent="0.25">
      <c r="A221" s="2599"/>
      <c r="B221" s="3090" t="s">
        <v>871</v>
      </c>
      <c r="C221" s="2700"/>
      <c r="D221" s="2700" t="s">
        <v>1118</v>
      </c>
      <c r="E221" s="2711"/>
      <c r="F221" s="2577">
        <f>'exchange rates'!$O$50</f>
        <v>3.8868399999999999</v>
      </c>
      <c r="G221" s="2895">
        <v>0</v>
      </c>
      <c r="H221" s="2896">
        <f>738/F221</f>
        <v>189.87146370830803</v>
      </c>
      <c r="I221" s="2897">
        <v>0</v>
      </c>
      <c r="J221" s="2898">
        <f>66.42/F221</f>
        <v>17.088431733747726</v>
      </c>
      <c r="K221" s="566">
        <f>Tabel668926[[#This Row],[Fix.ch. 2017]]+Tabel668926[[#This Row],[Var. ch. 2017]]+Tabel668926[[#This Row],[Oth. ch. DW 2017]]+Tabel668926[[#This Row],[VAT DW 2017]]</f>
        <v>206.95989544205577</v>
      </c>
      <c r="L221" s="2899">
        <v>0</v>
      </c>
      <c r="M221" s="2900">
        <v>0</v>
      </c>
      <c r="N221" s="2901">
        <f>406/F221</f>
        <v>104.4550328801803</v>
      </c>
      <c r="O221" s="2898">
        <f>77.14/F221</f>
        <v>19.846456247234258</v>
      </c>
      <c r="P221" s="2902">
        <v>0</v>
      </c>
      <c r="Q221" s="2898">
        <v>0</v>
      </c>
      <c r="R221" s="2586">
        <f>Tabel668926[[#This Row],[VAT DW 2017]]+Tabel668926[[#This Row],[VAT Sew. 2017]]+Tabel668926[[#This Row],[VAT WW 2017]]+Tabel668926[[#This Row],[VAT Other ch. 2017]]</f>
        <v>36.934887980981983</v>
      </c>
      <c r="S221" s="571">
        <f>Tabel668926[[#This Row],[Total. ch. DW 2017]]+Tabel668926[[#This Row],[Sew. 2017]]+Tabel668926[[#This Row],[VAT Sew. 2017]]+Tabel668926[[#This Row],[WW 2017]]+Tabel668926[[#This Row],[VAT WW 2017]]+Tabel668926[[#This Row],[Other ch. 2017]]+Tabel668926[[#This Row],[VAT Other ch. 2017]]</f>
        <v>331.26138456947029</v>
      </c>
      <c r="T221" s="2587"/>
      <c r="U221" s="2712"/>
      <c r="V221" s="2713"/>
      <c r="W221" s="2714"/>
      <c r="X221" s="2604"/>
      <c r="Y221" s="2715"/>
      <c r="Z221" s="2716"/>
      <c r="AA221" s="2604"/>
      <c r="AB221" s="2717"/>
      <c r="AC221" s="2604"/>
      <c r="AD221" s="2718"/>
      <c r="AE221" s="2604"/>
      <c r="AF221" s="2719"/>
      <c r="AG221" s="1832"/>
      <c r="AH221" s="2587"/>
      <c r="AI221" s="2597" t="s">
        <v>429</v>
      </c>
      <c r="AJ221" s="2597" t="s">
        <v>429</v>
      </c>
      <c r="AK221" s="2597"/>
      <c r="AL221" s="2597"/>
      <c r="AM221" s="2597"/>
      <c r="AN221" s="2597" t="s">
        <v>429</v>
      </c>
      <c r="AO221" s="2634"/>
      <c r="AP221" s="2587"/>
    </row>
    <row r="222" spans="1:42" ht="15.75" customHeight="1" x14ac:dyDescent="0.25">
      <c r="A222" s="2599"/>
      <c r="B222" s="3090" t="s">
        <v>872</v>
      </c>
      <c r="C222" s="2700"/>
      <c r="D222" s="2700" t="s">
        <v>1118</v>
      </c>
      <c r="E222" s="2711"/>
      <c r="F222" s="2577">
        <f>'exchange rates'!$O$50</f>
        <v>3.8868399999999999</v>
      </c>
      <c r="G222" s="2895">
        <v>0</v>
      </c>
      <c r="H222" s="2896">
        <f>806/F222</f>
        <v>207.36639532370771</v>
      </c>
      <c r="I222" s="2897">
        <v>0</v>
      </c>
      <c r="J222" s="2898">
        <f>72.54/F222</f>
        <v>18.662975579133693</v>
      </c>
      <c r="K222" s="566">
        <f>Tabel668926[[#This Row],[Fix.ch. 2017]]+Tabel668926[[#This Row],[Var. ch. 2017]]+Tabel668926[[#This Row],[Oth. ch. DW 2017]]+Tabel668926[[#This Row],[VAT DW 2017]]</f>
        <v>226.02937090284141</v>
      </c>
      <c r="L222" s="2899">
        <v>0</v>
      </c>
      <c r="M222" s="2900">
        <v>0</v>
      </c>
      <c r="N222" s="2901">
        <f>446/F222</f>
        <v>114.74616912453304</v>
      </c>
      <c r="O222" s="2898">
        <f>84.74/F222</f>
        <v>21.801772133661277</v>
      </c>
      <c r="P222" s="2902">
        <v>0</v>
      </c>
      <c r="Q222" s="2898">
        <v>0</v>
      </c>
      <c r="R222" s="2586">
        <f>Tabel668926[[#This Row],[VAT DW 2017]]+Tabel668926[[#This Row],[VAT Sew. 2017]]+Tabel668926[[#This Row],[VAT WW 2017]]+Tabel668926[[#This Row],[VAT Other ch. 2017]]</f>
        <v>40.464747712794974</v>
      </c>
      <c r="S222" s="571">
        <f>Tabel668926[[#This Row],[Total. ch. DW 2017]]+Tabel668926[[#This Row],[Sew. 2017]]+Tabel668926[[#This Row],[VAT Sew. 2017]]+Tabel668926[[#This Row],[WW 2017]]+Tabel668926[[#This Row],[VAT WW 2017]]+Tabel668926[[#This Row],[Other ch. 2017]]+Tabel668926[[#This Row],[VAT Other ch. 2017]]</f>
        <v>362.57731216103576</v>
      </c>
      <c r="T222" s="2587"/>
      <c r="U222" s="2712"/>
      <c r="V222" s="2713"/>
      <c r="W222" s="2714"/>
      <c r="X222" s="2604"/>
      <c r="Y222" s="2715"/>
      <c r="Z222" s="2716"/>
      <c r="AA222" s="2604"/>
      <c r="AB222" s="2717"/>
      <c r="AC222" s="2604"/>
      <c r="AD222" s="2718"/>
      <c r="AE222" s="2604"/>
      <c r="AF222" s="2719"/>
      <c r="AG222" s="1832"/>
      <c r="AH222" s="2587"/>
      <c r="AI222" s="2597" t="s">
        <v>429</v>
      </c>
      <c r="AJ222" s="2597" t="s">
        <v>429</v>
      </c>
      <c r="AK222" s="2597"/>
      <c r="AL222" s="2597"/>
      <c r="AM222" s="2597"/>
      <c r="AN222" s="2597" t="s">
        <v>429</v>
      </c>
      <c r="AO222" s="2634"/>
      <c r="AP222" s="2587"/>
    </row>
    <row r="223" spans="1:42" ht="15.75" customHeight="1" x14ac:dyDescent="0.25">
      <c r="A223" s="2599"/>
      <c r="B223" s="3090" t="s">
        <v>874</v>
      </c>
      <c r="C223" s="2700"/>
      <c r="D223" s="2700" t="s">
        <v>1118</v>
      </c>
      <c r="E223" s="2711"/>
      <c r="F223" s="2577">
        <f>'exchange rates'!$O$50</f>
        <v>3.8868399999999999</v>
      </c>
      <c r="G223" s="2895">
        <v>0</v>
      </c>
      <c r="H223" s="2896">
        <f>762/F223</f>
        <v>196.0461454549197</v>
      </c>
      <c r="I223" s="2897">
        <v>0</v>
      </c>
      <c r="J223" s="2898">
        <f>68.58/F223</f>
        <v>17.644153090942773</v>
      </c>
      <c r="K223" s="566">
        <f>Tabel668926[[#This Row],[Fix.ch. 2017]]+Tabel668926[[#This Row],[Var. ch. 2017]]+Tabel668926[[#This Row],[Oth. ch. DW 2017]]+Tabel668926[[#This Row],[VAT DW 2017]]</f>
        <v>213.69029854586248</v>
      </c>
      <c r="L223" s="2899">
        <v>0</v>
      </c>
      <c r="M223" s="2900">
        <v>0</v>
      </c>
      <c r="N223" s="2901">
        <f>718/F223</f>
        <v>184.72589558613168</v>
      </c>
      <c r="O223" s="2898">
        <f>136.42/F223</f>
        <v>35.097920161365018</v>
      </c>
      <c r="P223" s="2902">
        <v>0</v>
      </c>
      <c r="Q223" s="2898">
        <v>0</v>
      </c>
      <c r="R223" s="2586">
        <f>Tabel668926[[#This Row],[VAT DW 2017]]+Tabel668926[[#This Row],[VAT Sew. 2017]]+Tabel668926[[#This Row],[VAT WW 2017]]+Tabel668926[[#This Row],[VAT Other ch. 2017]]</f>
        <v>52.74207325230779</v>
      </c>
      <c r="S223" s="571">
        <f>Tabel668926[[#This Row],[Total. ch. DW 2017]]+Tabel668926[[#This Row],[Sew. 2017]]+Tabel668926[[#This Row],[VAT Sew. 2017]]+Tabel668926[[#This Row],[WW 2017]]+Tabel668926[[#This Row],[VAT WW 2017]]+Tabel668926[[#This Row],[Other ch. 2017]]+Tabel668926[[#This Row],[VAT Other ch. 2017]]</f>
        <v>433.51411429335923</v>
      </c>
      <c r="T223" s="2587"/>
      <c r="U223" s="2712"/>
      <c r="V223" s="2713"/>
      <c r="W223" s="2714"/>
      <c r="X223" s="2604"/>
      <c r="Y223" s="2715"/>
      <c r="Z223" s="2716"/>
      <c r="AA223" s="2604"/>
      <c r="AB223" s="2717"/>
      <c r="AC223" s="2604"/>
      <c r="AD223" s="2718"/>
      <c r="AE223" s="2604"/>
      <c r="AF223" s="2719"/>
      <c r="AG223" s="1832"/>
      <c r="AH223" s="2587"/>
      <c r="AI223" s="2597" t="s">
        <v>429</v>
      </c>
      <c r="AJ223" s="2597" t="s">
        <v>429</v>
      </c>
      <c r="AK223" s="2597"/>
      <c r="AL223" s="2597"/>
      <c r="AM223" s="2597"/>
      <c r="AN223" s="2597" t="s">
        <v>429</v>
      </c>
      <c r="AO223" s="2634"/>
      <c r="AP223" s="2587"/>
    </row>
    <row r="224" spans="1:42" ht="15.75" customHeight="1" thickBot="1" x14ac:dyDescent="0.3">
      <c r="A224" s="2599"/>
      <c r="B224" s="3092" t="s">
        <v>598</v>
      </c>
      <c r="C224" s="2700"/>
      <c r="D224" s="2700" t="s">
        <v>1118</v>
      </c>
      <c r="E224" s="2711"/>
      <c r="F224" s="2577">
        <f>'exchange rates'!$O$50</f>
        <v>3.8868399999999999</v>
      </c>
      <c r="G224" s="2895">
        <v>0</v>
      </c>
      <c r="H224" s="2896">
        <f>734/F224</f>
        <v>188.84235008387276</v>
      </c>
      <c r="I224" s="2897">
        <v>0</v>
      </c>
      <c r="J224" s="2898">
        <f>66.06/F224</f>
        <v>16.995811507548549</v>
      </c>
      <c r="K224" s="566">
        <f>Tabel668926[[#This Row],[Fix.ch. 2017]]+Tabel668926[[#This Row],[Var. ch. 2017]]+Tabel668926[[#This Row],[Oth. ch. DW 2017]]+Tabel668926[[#This Row],[VAT DW 2017]]</f>
        <v>205.83816159142131</v>
      </c>
      <c r="L224" s="2899">
        <v>0</v>
      </c>
      <c r="M224" s="2900">
        <v>0</v>
      </c>
      <c r="N224" s="2901">
        <f>758/F224</f>
        <v>195.0170318304844</v>
      </c>
      <c r="O224" s="2898">
        <f>144.02/F224</f>
        <v>37.053236047792041</v>
      </c>
      <c r="P224" s="2902">
        <v>0</v>
      </c>
      <c r="Q224" s="2898">
        <v>0</v>
      </c>
      <c r="R224" s="2586">
        <f>Tabel668926[[#This Row],[VAT DW 2017]]+Tabel668926[[#This Row],[VAT Sew. 2017]]+Tabel668926[[#This Row],[VAT WW 2017]]+Tabel668926[[#This Row],[VAT Other ch. 2017]]</f>
        <v>54.049047555340593</v>
      </c>
      <c r="S224" s="571">
        <f>Tabel668926[[#This Row],[Total. ch. DW 2017]]+Tabel668926[[#This Row],[Sew. 2017]]+Tabel668926[[#This Row],[VAT Sew. 2017]]+Tabel668926[[#This Row],[WW 2017]]+Tabel668926[[#This Row],[VAT WW 2017]]+Tabel668926[[#This Row],[Other ch. 2017]]+Tabel668926[[#This Row],[VAT Other ch. 2017]]</f>
        <v>437.90842946969775</v>
      </c>
      <c r="T224" s="2587"/>
      <c r="U224" s="2712"/>
      <c r="V224" s="2713"/>
      <c r="W224" s="2714"/>
      <c r="X224" s="2658"/>
      <c r="Y224" s="2715"/>
      <c r="Z224" s="2716"/>
      <c r="AA224" s="2658"/>
      <c r="AB224" s="2717"/>
      <c r="AC224" s="2658"/>
      <c r="AD224" s="2718"/>
      <c r="AE224" s="2658"/>
      <c r="AF224" s="2719"/>
      <c r="AG224" s="1832"/>
      <c r="AH224" s="2587"/>
      <c r="AI224" s="2597" t="s">
        <v>429</v>
      </c>
      <c r="AJ224" s="2597" t="s">
        <v>429</v>
      </c>
      <c r="AK224" s="2597"/>
      <c r="AL224" s="2597"/>
      <c r="AM224" s="2597"/>
      <c r="AN224" s="2597" t="s">
        <v>429</v>
      </c>
      <c r="AO224" s="2634"/>
      <c r="AP224" s="2587"/>
    </row>
    <row r="225" spans="1:42" ht="15.75" customHeight="1" x14ac:dyDescent="0.25">
      <c r="A225" s="3093" t="s">
        <v>693</v>
      </c>
      <c r="B225" s="3094" t="s">
        <v>887</v>
      </c>
      <c r="C225" s="2700" t="s">
        <v>429</v>
      </c>
      <c r="D225" s="2637" t="s">
        <v>1120</v>
      </c>
      <c r="E225" s="3095">
        <v>27900</v>
      </c>
      <c r="F225" s="2577">
        <f>'exchange rates'!$O$51</f>
        <v>57.611829999999998</v>
      </c>
      <c r="G225" s="2895">
        <v>0</v>
      </c>
      <c r="H225" s="2896">
        <f>6148/F225</f>
        <v>106.71419394245939</v>
      </c>
      <c r="I225" s="2897">
        <v>0</v>
      </c>
      <c r="J225" s="2898">
        <v>0</v>
      </c>
      <c r="K225" s="566">
        <f>Tabel668926[[#This Row],[Fix.ch. 2017]]+Tabel668926[[#This Row],[Var. ch. 2017]]+Tabel668926[[#This Row],[Oth. ch. DW 2017]]</f>
        <v>106.71419394245939</v>
      </c>
      <c r="L225" s="2899">
        <f>4408/F225</f>
        <v>76.512063581385974</v>
      </c>
      <c r="M225" s="2900">
        <v>0</v>
      </c>
      <c r="N225" s="2901">
        <v>0</v>
      </c>
      <c r="O225" s="2898">
        <v>0</v>
      </c>
      <c r="P225" s="2902">
        <v>0</v>
      </c>
      <c r="Q225" s="2898">
        <v>0</v>
      </c>
      <c r="R225" s="2586">
        <f>Tabel668926[[#This Row],[VAT DW 2017]]+Tabel668926[[#This Row],[VAT Sew. 2017]]+Tabel668926[[#This Row],[VAT WW 2017]]+Tabel668926[[#This Row],[VAT Other ch. 2017]]</f>
        <v>0</v>
      </c>
      <c r="S225" s="571">
        <f>Tabel668926[[#This Row],[Total. ch. DW 2017]]+Tabel668926[[#This Row],[Sew. 2017]]+Tabel668926[[#This Row],[VAT Sew. 2017]]+Tabel668926[[#This Row],[WW 2017]]+Tabel668926[[#This Row],[VAT WW 2017]]+Tabel668926[[#This Row],[Other ch. 2017]]+Tabel668926[[#This Row],[VAT Other ch. 2017]]</f>
        <v>183.22625752384536</v>
      </c>
      <c r="T225" s="2587"/>
      <c r="U225" s="3096">
        <f>G226</f>
        <v>0</v>
      </c>
      <c r="V225" s="3097">
        <f>H226</f>
        <v>96.577386970696821</v>
      </c>
      <c r="W225" s="3098">
        <f>I226</f>
        <v>4.0095931686252637</v>
      </c>
      <c r="X225" s="2796">
        <f>J226</f>
        <v>0</v>
      </c>
      <c r="Y225" s="3099">
        <f>SUM(U225:X226)</f>
        <v>100.58698013932208</v>
      </c>
      <c r="Z225" s="3100">
        <f t="shared" ref="Z225:AF225" si="28">L226</f>
        <v>84.392389549160299</v>
      </c>
      <c r="AA225" s="2796">
        <f t="shared" si="28"/>
        <v>0</v>
      </c>
      <c r="AB225" s="3101">
        <f t="shared" si="28"/>
        <v>0</v>
      </c>
      <c r="AC225" s="2796">
        <f t="shared" si="28"/>
        <v>0</v>
      </c>
      <c r="AD225" s="3102">
        <f t="shared" si="28"/>
        <v>4.3741016385002878</v>
      </c>
      <c r="AE225" s="2796">
        <f t="shared" si="28"/>
        <v>0</v>
      </c>
      <c r="AF225" s="3103">
        <f t="shared" si="28"/>
        <v>0</v>
      </c>
      <c r="AG225" s="2253">
        <f>Y225+Z225+AA225+AB225+AC225+AD225+AE225</f>
        <v>189.35347132698269</v>
      </c>
      <c r="AH225" s="2587"/>
      <c r="AI225" s="2597"/>
      <c r="AJ225" s="2597"/>
      <c r="AK225" s="2597"/>
      <c r="AL225" s="2597"/>
      <c r="AM225" s="2597"/>
      <c r="AN225" s="2597"/>
      <c r="AO225" s="2634"/>
      <c r="AP225" s="2587"/>
    </row>
    <row r="226" spans="1:42" ht="15.75" customHeight="1" thickBot="1" x14ac:dyDescent="0.3">
      <c r="A226" s="3104"/>
      <c r="B226" s="3105" t="s">
        <v>694</v>
      </c>
      <c r="C226" s="3105"/>
      <c r="D226" s="3106" t="s">
        <v>1120</v>
      </c>
      <c r="E226" s="2611"/>
      <c r="F226" s="2577">
        <f>'exchange rates'!$O$51</f>
        <v>57.611829999999998</v>
      </c>
      <c r="G226" s="2895">
        <f>0</f>
        <v>0</v>
      </c>
      <c r="H226" s="2896">
        <f>5564/F226</f>
        <v>96.577386970696821</v>
      </c>
      <c r="I226" s="2897">
        <f>231/F226</f>
        <v>4.0095931686252637</v>
      </c>
      <c r="J226" s="2898">
        <v>0</v>
      </c>
      <c r="K226" s="566">
        <f>Tabel668926[[#This Row],[Fix.ch. 2017]]+Tabel668926[[#This Row],[Var. ch. 2017]]+Tabel668926[[#This Row],[Oth. ch. DW 2017]]+Tabel668926[[#This Row],[VAT DW 2017]]</f>
        <v>100.58698013932208</v>
      </c>
      <c r="L226" s="2899">
        <f>4862/F226</f>
        <v>84.392389549160299</v>
      </c>
      <c r="M226" s="2900">
        <v>0</v>
      </c>
      <c r="N226" s="2901">
        <f>0</f>
        <v>0</v>
      </c>
      <c r="O226" s="2898">
        <v>0</v>
      </c>
      <c r="P226" s="2902">
        <f>252/F226</f>
        <v>4.3741016385002878</v>
      </c>
      <c r="Q226" s="2898">
        <v>0</v>
      </c>
      <c r="R226" s="2586">
        <f>Tabel668926[[#This Row],[VAT DW 2017]]+Tabel668926[[#This Row],[VAT Sew. 2017]]+Tabel668926[[#This Row],[VAT WW 2017]]+Tabel668926[[#This Row],[VAT Other ch. 2017]]</f>
        <v>0</v>
      </c>
      <c r="S226" s="571">
        <f>Tabel668926[[#This Row],[Total. ch. DW 2017]]+Tabel668926[[#This Row],[Sew. 2017]]+Tabel668926[[#This Row],[VAT Sew. 2017]]+Tabel668926[[#This Row],[WW 2017]]+Tabel668926[[#This Row],[VAT WW 2017]]+Tabel668926[[#This Row],[Other ch. 2017]]+Tabel668926[[#This Row],[VAT Other ch. 2017]]</f>
        <v>189.35347132698269</v>
      </c>
      <c r="T226" s="2587"/>
      <c r="U226" s="2612"/>
      <c r="V226" s="2613"/>
      <c r="W226" s="2614"/>
      <c r="X226" s="2615"/>
      <c r="Y226" s="2616"/>
      <c r="Z226" s="2617"/>
      <c r="AA226" s="2615"/>
      <c r="AB226" s="2618"/>
      <c r="AC226" s="2615"/>
      <c r="AD226" s="2619"/>
      <c r="AE226" s="2615"/>
      <c r="AF226" s="2620"/>
      <c r="AG226" s="1794"/>
      <c r="AH226" s="2587"/>
      <c r="AI226" s="2597" t="s">
        <v>429</v>
      </c>
      <c r="AJ226" s="2598"/>
      <c r="AK226" s="2634"/>
      <c r="AL226" s="2634"/>
      <c r="AM226" s="2634"/>
      <c r="AN226" s="2598"/>
      <c r="AO226" s="2634"/>
      <c r="AP226" s="2587"/>
    </row>
    <row r="227" spans="1:42" ht="15.75" customHeight="1" x14ac:dyDescent="0.25">
      <c r="A227" s="3107" t="s">
        <v>47</v>
      </c>
      <c r="B227" s="2822" t="s">
        <v>1154</v>
      </c>
      <c r="C227" s="2837" t="s">
        <v>429</v>
      </c>
      <c r="D227" s="2689"/>
      <c r="E227" s="2576">
        <v>43600</v>
      </c>
      <c r="F227" s="2824">
        <f>'exchange rates'!$O$52</f>
        <v>0.73992000000000002</v>
      </c>
      <c r="G227" s="2895"/>
      <c r="H227" s="2896"/>
      <c r="I227" s="2897"/>
      <c r="J227" s="2898"/>
      <c r="K227" s="566">
        <f>Tabel668926[[#This Row],[Fix.ch. 2017]]+Tabel668926[[#This Row],[Var. ch. 2017]]+Tabel668926[[#This Row],[Oth. ch. DW 2017]]</f>
        <v>0</v>
      </c>
      <c r="L227" s="2899"/>
      <c r="M227" s="2900"/>
      <c r="N227" s="2901"/>
      <c r="O227" s="2898"/>
      <c r="P227" s="2902"/>
      <c r="Q227" s="2898"/>
      <c r="R227" s="2586"/>
      <c r="S227" s="571">
        <f>Tabel668926[[#This Row],[Total. ch. DW 2017]]+Tabel668926[[#This Row],[Sew. 2017]]+Tabel668926[[#This Row],[WW 2017]]+Tabel668926[[#This Row],[Other ch. 2017]]+Tabel668926[[#This Row],[Total VAT 2017]]</f>
        <v>0</v>
      </c>
      <c r="T227" s="2587"/>
      <c r="U227" s="3108"/>
      <c r="V227" s="3109"/>
      <c r="W227" s="3110"/>
      <c r="X227" s="3111"/>
      <c r="Y227" s="3112"/>
      <c r="Z227" s="3113"/>
      <c r="AA227" s="3111"/>
      <c r="AB227" s="3114"/>
      <c r="AC227" s="3111"/>
      <c r="AD227" s="3115"/>
      <c r="AE227" s="3111"/>
      <c r="AF227" s="3116"/>
      <c r="AG227" s="3117"/>
      <c r="AH227" s="2587"/>
      <c r="AI227" s="2597" t="s">
        <v>429</v>
      </c>
      <c r="AJ227" s="2598"/>
      <c r="AK227" s="2634"/>
      <c r="AL227" s="2634"/>
      <c r="AM227" s="2597" t="s">
        <v>429</v>
      </c>
      <c r="AN227" s="2598"/>
      <c r="AO227" s="2634"/>
      <c r="AP227" s="2587"/>
    </row>
    <row r="228" spans="1:42" ht="15.75" customHeight="1" x14ac:dyDescent="0.25">
      <c r="A228" s="3118"/>
      <c r="B228" s="3119" t="s">
        <v>204</v>
      </c>
      <c r="C228" s="2949"/>
      <c r="D228" s="2785" t="s">
        <v>1121</v>
      </c>
      <c r="E228" s="2600"/>
      <c r="F228" s="2824">
        <f>'exchange rates'!$O$52</f>
        <v>0.73992000000000002</v>
      </c>
      <c r="G228" s="325"/>
      <c r="H228" s="326"/>
      <c r="I228" s="327"/>
      <c r="J228" s="561"/>
      <c r="K228" s="313">
        <f>Tabel668926[[#This Row],[Fix.ch. 2017]]+Tabel668926[[#This Row],[Var. ch. 2017]]+Tabel668926[[#This Row],[Oth. ch. DW 2017]]+Tabel668926[[#This Row],[VAT DW 2017]]</f>
        <v>0</v>
      </c>
      <c r="L228" s="328"/>
      <c r="M228" s="1097"/>
      <c r="N228" s="329"/>
      <c r="O228" s="561"/>
      <c r="P228" s="330"/>
      <c r="Q228" s="561"/>
      <c r="R228" s="2657">
        <f>Tabel668926[[#This Row],[VAT DW 2017]]+Tabel668926[[#This Row],[VAT Sew. 2017]]+Tabel668926[[#This Row],[VAT WW 2017]]+Tabel668926[[#This Row],[VAT Other ch. 2017]]</f>
        <v>0</v>
      </c>
      <c r="S228" s="318">
        <f>Tabel668926[[#This Row],[Total. ch. DW 2017]]+Tabel668926[[#This Row],[Sew. 2017]]+Tabel668926[[#This Row],[VAT Sew. 2017]]+Tabel668926[[#This Row],[WW 2017]]+Tabel668926[[#This Row],[VAT WW 2017]]+Tabel668926[[#This Row],[Other ch. 2017]]+Tabel668926[[#This Row],[VAT Other ch. 2017]]</f>
        <v>0</v>
      </c>
      <c r="T228" s="2587"/>
      <c r="U228" s="3013"/>
      <c r="V228" s="3014"/>
      <c r="W228" s="3015"/>
      <c r="X228" s="3016"/>
      <c r="Y228" s="3017"/>
      <c r="Z228" s="3018"/>
      <c r="AA228" s="3016"/>
      <c r="AB228" s="3019"/>
      <c r="AC228" s="3016"/>
      <c r="AD228" s="3020"/>
      <c r="AE228" s="3016"/>
      <c r="AF228" s="3021"/>
      <c r="AG228" s="3022"/>
      <c r="AH228" s="2587"/>
      <c r="AI228" s="2866"/>
      <c r="AJ228" s="2866"/>
      <c r="AK228" s="2634"/>
      <c r="AL228" s="2634"/>
      <c r="AM228" s="2634"/>
      <c r="AN228" s="2634"/>
      <c r="AO228" s="2634"/>
      <c r="AP228" s="2587"/>
    </row>
    <row r="229" spans="1:42" ht="15.75" customHeight="1" x14ac:dyDescent="0.25">
      <c r="A229" s="3118"/>
      <c r="B229" s="3119" t="s">
        <v>205</v>
      </c>
      <c r="C229" s="2949"/>
      <c r="D229" s="2785" t="s">
        <v>1121</v>
      </c>
      <c r="E229" s="2600"/>
      <c r="F229" s="2824">
        <f>'exchange rates'!$O$52</f>
        <v>0.73992000000000002</v>
      </c>
      <c r="G229" s="325"/>
      <c r="H229" s="326"/>
      <c r="I229" s="327"/>
      <c r="J229" s="561"/>
      <c r="K229" s="313">
        <f>Tabel668926[[#This Row],[Fix.ch. 2017]]+Tabel668926[[#This Row],[Var. ch. 2017]]+Tabel668926[[#This Row],[Oth. ch. DW 2017]]+Tabel668926[[#This Row],[VAT DW 2017]]</f>
        <v>0</v>
      </c>
      <c r="L229" s="328"/>
      <c r="M229" s="1097"/>
      <c r="N229" s="329"/>
      <c r="O229" s="561"/>
      <c r="P229" s="330"/>
      <c r="Q229" s="561"/>
      <c r="R229" s="2657">
        <f>Tabel668926[[#This Row],[VAT DW 2017]]+Tabel668926[[#This Row],[VAT Sew. 2017]]+Tabel668926[[#This Row],[VAT WW 2017]]+Tabel668926[[#This Row],[VAT Other ch. 2017]]</f>
        <v>0</v>
      </c>
      <c r="S229" s="318">
        <f>Tabel668926[[#This Row],[Total. ch. DW 2017]]+Tabel668926[[#This Row],[Sew. 2017]]+Tabel668926[[#This Row],[VAT Sew. 2017]]+Tabel668926[[#This Row],[WW 2017]]+Tabel668926[[#This Row],[VAT WW 2017]]+Tabel668926[[#This Row],[Other ch. 2017]]+Tabel668926[[#This Row],[VAT Other ch. 2017]]</f>
        <v>0</v>
      </c>
      <c r="T229" s="2587"/>
      <c r="U229" s="3120"/>
      <c r="V229" s="3121"/>
      <c r="W229" s="3122"/>
      <c r="X229" s="3123"/>
      <c r="Y229" s="3124"/>
      <c r="Z229" s="3125"/>
      <c r="AA229" s="3123"/>
      <c r="AB229" s="3126"/>
      <c r="AC229" s="3123"/>
      <c r="AD229" s="3127"/>
      <c r="AE229" s="3123"/>
      <c r="AF229" s="3128"/>
      <c r="AG229" s="3129"/>
      <c r="AH229" s="2587"/>
      <c r="AI229" s="2866"/>
      <c r="AJ229" s="2866"/>
      <c r="AK229" s="2634"/>
      <c r="AL229" s="2634"/>
      <c r="AM229" s="2634"/>
      <c r="AN229" s="2634"/>
      <c r="AO229" s="2634"/>
      <c r="AP229" s="2587"/>
    </row>
    <row r="230" spans="1:42" ht="15.75" customHeight="1" x14ac:dyDescent="0.25">
      <c r="A230" s="3118"/>
      <c r="B230" s="3119" t="s">
        <v>206</v>
      </c>
      <c r="C230" s="2949"/>
      <c r="D230" s="2785" t="s">
        <v>1121</v>
      </c>
      <c r="E230" s="2600"/>
      <c r="F230" s="2824">
        <f>'exchange rates'!$O$52</f>
        <v>0.73992000000000002</v>
      </c>
      <c r="G230" s="325"/>
      <c r="H230" s="326"/>
      <c r="I230" s="327"/>
      <c r="J230" s="561"/>
      <c r="K230" s="313">
        <f>Tabel668926[[#This Row],[Fix.ch. 2017]]+Tabel668926[[#This Row],[Var. ch. 2017]]+Tabel668926[[#This Row],[Oth. ch. DW 2017]]+Tabel668926[[#This Row],[VAT DW 2017]]</f>
        <v>0</v>
      </c>
      <c r="L230" s="328"/>
      <c r="M230" s="1097"/>
      <c r="N230" s="329"/>
      <c r="O230" s="561"/>
      <c r="P230" s="330"/>
      <c r="Q230" s="561"/>
      <c r="R230" s="2657">
        <f>Tabel668926[[#This Row],[VAT DW 2017]]+Tabel668926[[#This Row],[VAT Sew. 2017]]+Tabel668926[[#This Row],[VAT WW 2017]]+Tabel668926[[#This Row],[VAT Other ch. 2017]]</f>
        <v>0</v>
      </c>
      <c r="S230" s="318">
        <f>Tabel668926[[#This Row],[Total. ch. DW 2017]]+Tabel668926[[#This Row],[Sew. 2017]]+Tabel668926[[#This Row],[VAT Sew. 2017]]+Tabel668926[[#This Row],[WW 2017]]+Tabel668926[[#This Row],[VAT WW 2017]]+Tabel668926[[#This Row],[Other ch. 2017]]+Tabel668926[[#This Row],[VAT Other ch. 2017]]</f>
        <v>0</v>
      </c>
      <c r="T230" s="2587"/>
      <c r="U230" s="3120"/>
      <c r="V230" s="3121"/>
      <c r="W230" s="3122"/>
      <c r="X230" s="3123"/>
      <c r="Y230" s="3124"/>
      <c r="Z230" s="3125"/>
      <c r="AA230" s="3123"/>
      <c r="AB230" s="3126"/>
      <c r="AC230" s="3123"/>
      <c r="AD230" s="3127"/>
      <c r="AE230" s="3123"/>
      <c r="AF230" s="3128"/>
      <c r="AG230" s="3129"/>
      <c r="AH230" s="2587"/>
      <c r="AI230" s="2866"/>
      <c r="AJ230" s="2866"/>
      <c r="AK230" s="2634"/>
      <c r="AL230" s="2634"/>
      <c r="AM230" s="2634"/>
      <c r="AN230" s="2634"/>
      <c r="AO230" s="2634"/>
      <c r="AP230" s="2587"/>
    </row>
    <row r="231" spans="1:42" ht="15.75" customHeight="1" x14ac:dyDescent="0.25">
      <c r="A231" s="3118"/>
      <c r="B231" s="3119" t="s">
        <v>207</v>
      </c>
      <c r="C231" s="2949"/>
      <c r="D231" s="2785" t="s">
        <v>1121</v>
      </c>
      <c r="E231" s="2600"/>
      <c r="F231" s="2824">
        <f>'exchange rates'!$O$52</f>
        <v>0.73992000000000002</v>
      </c>
      <c r="G231" s="325"/>
      <c r="H231" s="326"/>
      <c r="I231" s="327"/>
      <c r="J231" s="561"/>
      <c r="K231" s="313">
        <f>Tabel668926[[#This Row],[Fix.ch. 2017]]+Tabel668926[[#This Row],[Var. ch. 2017]]+Tabel668926[[#This Row],[Oth. ch. DW 2017]]+Tabel668926[[#This Row],[VAT DW 2017]]</f>
        <v>0</v>
      </c>
      <c r="L231" s="328"/>
      <c r="M231" s="1097"/>
      <c r="N231" s="329"/>
      <c r="O231" s="561"/>
      <c r="P231" s="330"/>
      <c r="Q231" s="561"/>
      <c r="R231" s="2657">
        <f>Tabel668926[[#This Row],[VAT DW 2017]]+Tabel668926[[#This Row],[VAT Sew. 2017]]+Tabel668926[[#This Row],[VAT WW 2017]]+Tabel668926[[#This Row],[VAT Other ch. 2017]]</f>
        <v>0</v>
      </c>
      <c r="S231" s="318">
        <f>Tabel668926[[#This Row],[Total. ch. DW 2017]]+Tabel668926[[#This Row],[Sew. 2017]]+Tabel668926[[#This Row],[VAT Sew. 2017]]+Tabel668926[[#This Row],[WW 2017]]+Tabel668926[[#This Row],[VAT WW 2017]]+Tabel668926[[#This Row],[Other ch. 2017]]+Tabel668926[[#This Row],[VAT Other ch. 2017]]</f>
        <v>0</v>
      </c>
      <c r="T231" s="2587"/>
      <c r="U231" s="3120"/>
      <c r="V231" s="3121"/>
      <c r="W231" s="3122"/>
      <c r="X231" s="3123"/>
      <c r="Y231" s="3124"/>
      <c r="Z231" s="3125"/>
      <c r="AA231" s="3123"/>
      <c r="AB231" s="3126"/>
      <c r="AC231" s="3123"/>
      <c r="AD231" s="3127"/>
      <c r="AE231" s="3123"/>
      <c r="AF231" s="3128"/>
      <c r="AG231" s="3129"/>
      <c r="AH231" s="2587"/>
      <c r="AI231" s="2866"/>
      <c r="AJ231" s="2866"/>
      <c r="AK231" s="2634"/>
      <c r="AL231" s="2634"/>
      <c r="AM231" s="2634"/>
      <c r="AN231" s="2634"/>
      <c r="AO231" s="2634"/>
      <c r="AP231" s="2587"/>
    </row>
    <row r="232" spans="1:42" ht="15.75" customHeight="1" x14ac:dyDescent="0.25">
      <c r="A232" s="3118"/>
      <c r="B232" s="3119" t="s">
        <v>208</v>
      </c>
      <c r="C232" s="2949"/>
      <c r="D232" s="2785" t="s">
        <v>1121</v>
      </c>
      <c r="E232" s="2600"/>
      <c r="F232" s="2824">
        <f>'exchange rates'!$O$52</f>
        <v>0.73992000000000002</v>
      </c>
      <c r="G232" s="325"/>
      <c r="H232" s="326"/>
      <c r="I232" s="327"/>
      <c r="J232" s="561"/>
      <c r="K232" s="313">
        <f>Tabel668926[[#This Row],[Fix.ch. 2017]]+Tabel668926[[#This Row],[Var. ch. 2017]]+Tabel668926[[#This Row],[Oth. ch. DW 2017]]+Tabel668926[[#This Row],[VAT DW 2017]]</f>
        <v>0</v>
      </c>
      <c r="L232" s="328"/>
      <c r="M232" s="1097"/>
      <c r="N232" s="329"/>
      <c r="O232" s="561"/>
      <c r="P232" s="330"/>
      <c r="Q232" s="561"/>
      <c r="R232" s="2657">
        <f>Tabel668926[[#This Row],[VAT DW 2017]]+Tabel668926[[#This Row],[VAT Sew. 2017]]+Tabel668926[[#This Row],[VAT WW 2017]]+Tabel668926[[#This Row],[VAT Other ch. 2017]]</f>
        <v>0</v>
      </c>
      <c r="S232" s="318">
        <f>Tabel668926[[#This Row],[Total. ch. DW 2017]]+Tabel668926[[#This Row],[Sew. 2017]]+Tabel668926[[#This Row],[VAT Sew. 2017]]+Tabel668926[[#This Row],[WW 2017]]+Tabel668926[[#This Row],[VAT WW 2017]]+Tabel668926[[#This Row],[Other ch. 2017]]+Tabel668926[[#This Row],[VAT Other ch. 2017]]</f>
        <v>0</v>
      </c>
      <c r="T232" s="2587"/>
      <c r="U232" s="3120"/>
      <c r="V232" s="3121"/>
      <c r="W232" s="3122"/>
      <c r="X232" s="3123"/>
      <c r="Y232" s="3124"/>
      <c r="Z232" s="3125"/>
      <c r="AA232" s="3123"/>
      <c r="AB232" s="3126"/>
      <c r="AC232" s="3123"/>
      <c r="AD232" s="3127"/>
      <c r="AE232" s="3123"/>
      <c r="AF232" s="3128"/>
      <c r="AG232" s="3129"/>
      <c r="AH232" s="2587"/>
      <c r="AI232" s="2866"/>
      <c r="AJ232" s="2866"/>
      <c r="AK232" s="2634"/>
      <c r="AL232" s="2634"/>
      <c r="AM232" s="2634"/>
      <c r="AN232" s="2634"/>
      <c r="AO232" s="2634"/>
      <c r="AP232" s="2587"/>
    </row>
    <row r="233" spans="1:42" ht="15.75" customHeight="1" x14ac:dyDescent="0.25">
      <c r="A233" s="3118"/>
      <c r="B233" s="3119" t="s">
        <v>209</v>
      </c>
      <c r="C233" s="2949"/>
      <c r="D233" s="2785" t="s">
        <v>1121</v>
      </c>
      <c r="E233" s="2600"/>
      <c r="F233" s="2824">
        <f>'exchange rates'!$O$52</f>
        <v>0.73992000000000002</v>
      </c>
      <c r="G233" s="325"/>
      <c r="H233" s="326"/>
      <c r="I233" s="327"/>
      <c r="J233" s="561"/>
      <c r="K233" s="313">
        <f>Tabel668926[[#This Row],[Fix.ch. 2017]]+Tabel668926[[#This Row],[Var. ch. 2017]]+Tabel668926[[#This Row],[Oth. ch. DW 2017]]+Tabel668926[[#This Row],[VAT DW 2017]]</f>
        <v>0</v>
      </c>
      <c r="L233" s="328"/>
      <c r="M233" s="1097"/>
      <c r="N233" s="329"/>
      <c r="O233" s="561"/>
      <c r="P233" s="330"/>
      <c r="Q233" s="561"/>
      <c r="R233" s="2657">
        <f>Tabel668926[[#This Row],[VAT DW 2017]]+Tabel668926[[#This Row],[VAT Sew. 2017]]+Tabel668926[[#This Row],[VAT WW 2017]]+Tabel668926[[#This Row],[VAT Other ch. 2017]]</f>
        <v>0</v>
      </c>
      <c r="S233" s="318">
        <f>Tabel668926[[#This Row],[Total. ch. DW 2017]]+Tabel668926[[#This Row],[Sew. 2017]]+Tabel668926[[#This Row],[VAT Sew. 2017]]+Tabel668926[[#This Row],[WW 2017]]+Tabel668926[[#This Row],[VAT WW 2017]]+Tabel668926[[#This Row],[Other ch. 2017]]+Tabel668926[[#This Row],[VAT Other ch. 2017]]</f>
        <v>0</v>
      </c>
      <c r="T233" s="2587"/>
      <c r="U233" s="3120"/>
      <c r="V233" s="3121"/>
      <c r="W233" s="3122"/>
      <c r="X233" s="3123"/>
      <c r="Y233" s="3124"/>
      <c r="Z233" s="3125"/>
      <c r="AA233" s="3123"/>
      <c r="AB233" s="3126"/>
      <c r="AC233" s="3123"/>
      <c r="AD233" s="3127"/>
      <c r="AE233" s="3123"/>
      <c r="AF233" s="3128"/>
      <c r="AG233" s="3129"/>
      <c r="AH233" s="2587"/>
      <c r="AI233" s="2866"/>
      <c r="AJ233" s="2866"/>
      <c r="AK233" s="2634"/>
      <c r="AL233" s="2634"/>
      <c r="AM233" s="2634"/>
      <c r="AN233" s="2634"/>
      <c r="AO233" s="2634"/>
      <c r="AP233" s="2587"/>
    </row>
    <row r="234" spans="1:42" ht="15.75" customHeight="1" x14ac:dyDescent="0.25">
      <c r="A234" s="3118"/>
      <c r="B234" s="3119" t="s">
        <v>210</v>
      </c>
      <c r="C234" s="2949"/>
      <c r="D234" s="2785" t="s">
        <v>1121</v>
      </c>
      <c r="E234" s="2600"/>
      <c r="F234" s="2824">
        <f>'exchange rates'!$O$52</f>
        <v>0.73992000000000002</v>
      </c>
      <c r="G234" s="325"/>
      <c r="H234" s="326"/>
      <c r="I234" s="327"/>
      <c r="J234" s="561"/>
      <c r="K234" s="313">
        <f>Tabel668926[[#This Row],[Fix.ch. 2017]]+Tabel668926[[#This Row],[Var. ch. 2017]]+Tabel668926[[#This Row],[Oth. ch. DW 2017]]+Tabel668926[[#This Row],[VAT DW 2017]]</f>
        <v>0</v>
      </c>
      <c r="L234" s="328"/>
      <c r="M234" s="1097"/>
      <c r="N234" s="329"/>
      <c r="O234" s="561"/>
      <c r="P234" s="330"/>
      <c r="Q234" s="561"/>
      <c r="R234" s="2657">
        <f>Tabel668926[[#This Row],[VAT DW 2017]]+Tabel668926[[#This Row],[VAT Sew. 2017]]+Tabel668926[[#This Row],[VAT WW 2017]]+Tabel668926[[#This Row],[VAT Other ch. 2017]]</f>
        <v>0</v>
      </c>
      <c r="S234" s="318">
        <f>Tabel668926[[#This Row],[Total. ch. DW 2017]]+Tabel668926[[#This Row],[Sew. 2017]]+Tabel668926[[#This Row],[VAT Sew. 2017]]+Tabel668926[[#This Row],[WW 2017]]+Tabel668926[[#This Row],[VAT WW 2017]]+Tabel668926[[#This Row],[Other ch. 2017]]+Tabel668926[[#This Row],[VAT Other ch. 2017]]</f>
        <v>0</v>
      </c>
      <c r="T234" s="2587"/>
      <c r="U234" s="3120"/>
      <c r="V234" s="3121"/>
      <c r="W234" s="3122"/>
      <c r="X234" s="3123"/>
      <c r="Y234" s="3124"/>
      <c r="Z234" s="3125"/>
      <c r="AA234" s="3123"/>
      <c r="AB234" s="3126"/>
      <c r="AC234" s="3123"/>
      <c r="AD234" s="3127"/>
      <c r="AE234" s="3123"/>
      <c r="AF234" s="3128"/>
      <c r="AG234" s="3129"/>
      <c r="AH234" s="2587"/>
      <c r="AI234" s="2866"/>
      <c r="AJ234" s="2866"/>
      <c r="AK234" s="2634"/>
      <c r="AL234" s="2634"/>
      <c r="AM234" s="2634"/>
      <c r="AN234" s="2634"/>
      <c r="AO234" s="2634"/>
      <c r="AP234" s="2587"/>
    </row>
    <row r="235" spans="1:42" ht="15.75" customHeight="1" thickBot="1" x14ac:dyDescent="0.3">
      <c r="A235" s="3130"/>
      <c r="B235" s="3131" t="s">
        <v>211</v>
      </c>
      <c r="C235" s="3131"/>
      <c r="D235" s="2686" t="s">
        <v>1121</v>
      </c>
      <c r="E235" s="2611"/>
      <c r="F235" s="2824">
        <f>'exchange rates'!$O$52</f>
        <v>0.73992000000000002</v>
      </c>
      <c r="G235" s="325"/>
      <c r="H235" s="326"/>
      <c r="I235" s="327"/>
      <c r="J235" s="561"/>
      <c r="K235" s="313">
        <f>Tabel668926[[#This Row],[Fix.ch. 2017]]+Tabel668926[[#This Row],[Var. ch. 2017]]+Tabel668926[[#This Row],[Oth. ch. DW 2017]]+Tabel668926[[#This Row],[VAT DW 2017]]</f>
        <v>0</v>
      </c>
      <c r="L235" s="328"/>
      <c r="M235" s="1097"/>
      <c r="N235" s="329"/>
      <c r="O235" s="561"/>
      <c r="P235" s="330"/>
      <c r="Q235" s="561"/>
      <c r="R235" s="2657">
        <f>Tabel668926[[#This Row],[VAT DW 2017]]+Tabel668926[[#This Row],[VAT Sew. 2017]]+Tabel668926[[#This Row],[VAT WW 2017]]+Tabel668926[[#This Row],[VAT Other ch. 2017]]</f>
        <v>0</v>
      </c>
      <c r="S235" s="318">
        <f>Tabel668926[[#This Row],[Total. ch. DW 2017]]+Tabel668926[[#This Row],[Sew. 2017]]+Tabel668926[[#This Row],[VAT Sew. 2017]]+Tabel668926[[#This Row],[WW 2017]]+Tabel668926[[#This Row],[VAT WW 2017]]+Tabel668926[[#This Row],[Other ch. 2017]]+Tabel668926[[#This Row],[VAT Other ch. 2017]]</f>
        <v>0</v>
      </c>
      <c r="T235" s="2587"/>
      <c r="U235" s="3120"/>
      <c r="V235" s="3121"/>
      <c r="W235" s="3122"/>
      <c r="X235" s="3123"/>
      <c r="Y235" s="3124"/>
      <c r="Z235" s="3125"/>
      <c r="AA235" s="3123"/>
      <c r="AB235" s="3126"/>
      <c r="AC235" s="3123"/>
      <c r="AD235" s="3127"/>
      <c r="AE235" s="3123"/>
      <c r="AF235" s="3128"/>
      <c r="AG235" s="3129"/>
      <c r="AH235" s="2587"/>
      <c r="AI235" s="2866"/>
      <c r="AJ235" s="2866"/>
      <c r="AK235" s="2634"/>
      <c r="AL235" s="2634"/>
      <c r="AM235" s="2634"/>
      <c r="AN235" s="2634"/>
      <c r="AO235" s="2634"/>
      <c r="AP235" s="2587"/>
    </row>
    <row r="236" spans="1:42" ht="15.75" customHeight="1" x14ac:dyDescent="0.25">
      <c r="A236" s="3132" t="s">
        <v>41</v>
      </c>
      <c r="B236" s="2648" t="s">
        <v>192</v>
      </c>
      <c r="C236" s="2648" t="s">
        <v>429</v>
      </c>
      <c r="D236" s="2648" t="s">
        <v>1123</v>
      </c>
      <c r="E236" s="3133"/>
      <c r="F236" s="2684"/>
      <c r="G236" s="325"/>
      <c r="H236" s="326"/>
      <c r="I236" s="327"/>
      <c r="J236" s="561"/>
      <c r="K236" s="313">
        <f>Tabel668926[[#This Row],[Fix.ch. 2017]]+Tabel668926[[#This Row],[Var. ch. 2017]]+Tabel668926[[#This Row],[Oth. ch. DW 2017]]+Tabel668926[[#This Row],[VAT DW 2017]]</f>
        <v>0</v>
      </c>
      <c r="L236" s="328"/>
      <c r="M236" s="1097"/>
      <c r="N236" s="329"/>
      <c r="O236" s="561"/>
      <c r="P236" s="330"/>
      <c r="Q236" s="561"/>
      <c r="R236" s="2657">
        <f>Tabel668926[[#This Row],[VAT DW 2017]]+Tabel668926[[#This Row],[VAT Sew. 2017]]+Tabel668926[[#This Row],[VAT WW 2017]]+Tabel668926[[#This Row],[VAT Other ch. 2017]]</f>
        <v>0</v>
      </c>
      <c r="S236" s="318">
        <f>Tabel668926[[#This Row],[Total. ch. DW 2017]]+Tabel668926[[#This Row],[Sew. 2017]]+Tabel668926[[#This Row],[VAT Sew. 2017]]+Tabel668926[[#This Row],[WW 2017]]+Tabel668926[[#This Row],[VAT WW 2017]]+Tabel668926[[#This Row],[Other ch. 2017]]+Tabel668926[[#This Row],[VAT Other ch. 2017]]</f>
        <v>0</v>
      </c>
      <c r="T236" s="2587"/>
      <c r="U236" s="3120"/>
      <c r="V236" s="3121"/>
      <c r="W236" s="3122"/>
      <c r="X236" s="3123"/>
      <c r="Y236" s="3124"/>
      <c r="Z236" s="3125"/>
      <c r="AA236" s="3123"/>
      <c r="AB236" s="3126"/>
      <c r="AC236" s="3123"/>
      <c r="AD236" s="3127"/>
      <c r="AE236" s="3123"/>
      <c r="AF236" s="3128"/>
      <c r="AG236" s="3129"/>
      <c r="AH236" s="2587"/>
      <c r="AI236" s="2634"/>
      <c r="AJ236" s="2634"/>
      <c r="AK236" s="2634"/>
      <c r="AL236" s="2634"/>
      <c r="AM236" s="2634"/>
      <c r="AN236" s="2634"/>
      <c r="AO236" s="2634"/>
      <c r="AP236" s="2587"/>
    </row>
    <row r="237" spans="1:42" ht="15.75" customHeight="1" x14ac:dyDescent="0.25">
      <c r="A237" s="3134"/>
      <c r="B237" s="2648" t="s">
        <v>193</v>
      </c>
      <c r="C237" s="2648"/>
      <c r="D237" s="2648" t="s">
        <v>1123</v>
      </c>
      <c r="E237" s="3135"/>
      <c r="F237" s="2684"/>
      <c r="G237" s="325"/>
      <c r="H237" s="326"/>
      <c r="I237" s="327"/>
      <c r="J237" s="561"/>
      <c r="K237" s="313">
        <f>Tabel668926[[#This Row],[Fix.ch. 2017]]+Tabel668926[[#This Row],[Var. ch. 2017]]+Tabel668926[[#This Row],[Oth. ch. DW 2017]]+Tabel668926[[#This Row],[VAT DW 2017]]</f>
        <v>0</v>
      </c>
      <c r="L237" s="328"/>
      <c r="M237" s="1097"/>
      <c r="N237" s="329"/>
      <c r="O237" s="561"/>
      <c r="P237" s="330"/>
      <c r="Q237" s="561"/>
      <c r="R237" s="2657">
        <f>Tabel668926[[#This Row],[VAT DW 2017]]+Tabel668926[[#This Row],[VAT Sew. 2017]]+Tabel668926[[#This Row],[VAT WW 2017]]+Tabel668926[[#This Row],[VAT Other ch. 2017]]</f>
        <v>0</v>
      </c>
      <c r="S237" s="318">
        <f>Tabel668926[[#This Row],[Total. ch. DW 2017]]+Tabel668926[[#This Row],[Sew. 2017]]+Tabel668926[[#This Row],[VAT Sew. 2017]]+Tabel668926[[#This Row],[WW 2017]]+Tabel668926[[#This Row],[VAT WW 2017]]+Tabel668926[[#This Row],[Other ch. 2017]]+Tabel668926[[#This Row],[VAT Other ch. 2017]]</f>
        <v>0</v>
      </c>
      <c r="T237" s="2587"/>
      <c r="U237" s="3120"/>
      <c r="V237" s="3121"/>
      <c r="W237" s="3122"/>
      <c r="X237" s="3123"/>
      <c r="Y237" s="3124"/>
      <c r="Z237" s="3125"/>
      <c r="AA237" s="3123"/>
      <c r="AB237" s="3126"/>
      <c r="AC237" s="3123"/>
      <c r="AD237" s="3127"/>
      <c r="AE237" s="3123"/>
      <c r="AF237" s="3128"/>
      <c r="AG237" s="3129"/>
      <c r="AH237" s="2587"/>
      <c r="AI237" s="2634"/>
      <c r="AJ237" s="2634"/>
      <c r="AK237" s="2634"/>
      <c r="AL237" s="2634"/>
      <c r="AM237" s="2634"/>
      <c r="AN237" s="2634"/>
      <c r="AO237" s="2634"/>
      <c r="AP237" s="2587"/>
    </row>
    <row r="238" spans="1:42" ht="15.75" customHeight="1" thickBot="1" x14ac:dyDescent="0.3">
      <c r="A238" s="3136"/>
      <c r="B238" s="2648" t="s">
        <v>194</v>
      </c>
      <c r="C238" s="2648"/>
      <c r="D238" s="2648" t="s">
        <v>1123</v>
      </c>
      <c r="E238" s="3137"/>
      <c r="F238" s="2684"/>
      <c r="G238" s="325"/>
      <c r="H238" s="326"/>
      <c r="I238" s="327"/>
      <c r="J238" s="561"/>
      <c r="K238" s="313">
        <f>Tabel668926[[#This Row],[Fix.ch. 2017]]+Tabel668926[[#This Row],[Var. ch. 2017]]+Tabel668926[[#This Row],[Oth. ch. DW 2017]]+Tabel668926[[#This Row],[VAT DW 2017]]</f>
        <v>0</v>
      </c>
      <c r="L238" s="328"/>
      <c r="M238" s="1097"/>
      <c r="N238" s="329"/>
      <c r="O238" s="561"/>
      <c r="P238" s="330"/>
      <c r="Q238" s="561"/>
      <c r="R238" s="2657">
        <f>Tabel668926[[#This Row],[VAT DW 2017]]+Tabel668926[[#This Row],[VAT Sew. 2017]]+Tabel668926[[#This Row],[VAT WW 2017]]+Tabel668926[[#This Row],[VAT Other ch. 2017]]</f>
        <v>0</v>
      </c>
      <c r="S238" s="318">
        <f>Tabel668926[[#This Row],[Total. ch. DW 2017]]+Tabel668926[[#This Row],[Sew. 2017]]+Tabel668926[[#This Row],[VAT Sew. 2017]]+Tabel668926[[#This Row],[WW 2017]]+Tabel668926[[#This Row],[VAT WW 2017]]+Tabel668926[[#This Row],[Other ch. 2017]]+Tabel668926[[#This Row],[VAT Other ch. 2017]]</f>
        <v>0</v>
      </c>
      <c r="T238" s="2587"/>
      <c r="U238" s="3138"/>
      <c r="V238" s="3139"/>
      <c r="W238" s="3140"/>
      <c r="X238" s="3141"/>
      <c r="Y238" s="3142"/>
      <c r="Z238" s="3143"/>
      <c r="AA238" s="3141"/>
      <c r="AB238" s="3144"/>
      <c r="AC238" s="3141"/>
      <c r="AD238" s="3145"/>
      <c r="AE238" s="3141"/>
      <c r="AF238" s="3146"/>
      <c r="AG238" s="3147"/>
      <c r="AH238" s="2587"/>
      <c r="AI238" s="2634"/>
      <c r="AJ238" s="2634"/>
      <c r="AK238" s="2634"/>
      <c r="AL238" s="2634"/>
      <c r="AM238" s="2634"/>
      <c r="AN238" s="2634"/>
      <c r="AO238" s="2634"/>
      <c r="AP238" s="2587"/>
    </row>
    <row r="239" spans="1:42" ht="15.75" customHeight="1" thickBot="1" x14ac:dyDescent="0.35">
      <c r="A239" s="3008" t="s">
        <v>42</v>
      </c>
      <c r="B239" s="2983" t="s">
        <v>42</v>
      </c>
      <c r="C239" s="2984" t="s">
        <v>429</v>
      </c>
      <c r="D239" s="2984" t="s">
        <v>1125</v>
      </c>
      <c r="E239" s="2882">
        <v>59900</v>
      </c>
      <c r="F239" s="2684">
        <v>1.2966299999999999</v>
      </c>
      <c r="G239" s="325">
        <v>0</v>
      </c>
      <c r="H239" s="326">
        <f>234/F239</f>
        <v>180.46782813909905</v>
      </c>
      <c r="I239" s="327">
        <f>70.2/F239</f>
        <v>54.140348441729721</v>
      </c>
      <c r="J239" s="561"/>
      <c r="K239" s="313">
        <f>Tabel668926[[#This Row],[Fix.ch. 2017]]+Tabel668926[[#This Row],[Var. ch. 2017]]+Tabel668926[[#This Row],[Oth. ch. DW 2017]]+Tabel668926[[#This Row],[VAT DW 2017]]</f>
        <v>234.60817658082877</v>
      </c>
      <c r="L239" s="328">
        <v>0</v>
      </c>
      <c r="M239" s="1097"/>
      <c r="N239" s="329">
        <f>56.06/F239</f>
        <v>43.23515574990553</v>
      </c>
      <c r="O239" s="561"/>
      <c r="P239" s="330">
        <f>67.29/F239</f>
        <v>51.896069040512721</v>
      </c>
      <c r="Q239" s="561"/>
      <c r="R239" s="2657">
        <f>Tabel668926[[#This Row],[VAT DW 2017]]+Tabel668926[[#This Row],[VAT Sew. 2017]]+Tabel668926[[#This Row],[VAT WW 2017]]+Tabel668926[[#This Row],[VAT Other ch. 2017]]</f>
        <v>0</v>
      </c>
      <c r="S239" s="318">
        <f>Tabel668926[[#This Row],[Total. ch. DW 2017]]+Tabel668926[[#This Row],[Sew. 2017]]+Tabel668926[[#This Row],[VAT Sew. 2017]]+Tabel668926[[#This Row],[WW 2017]]+Tabel668926[[#This Row],[VAT WW 2017]]+Tabel668926[[#This Row],[Other ch. 2017]]+Tabel668926[[#This Row],[VAT Other ch. 2017]]</f>
        <v>329.73940137124703</v>
      </c>
      <c r="T239" s="2587"/>
      <c r="U239" s="2974">
        <f>Tabel668926[[#This Row],[Fix.ch. 2017]]</f>
        <v>0</v>
      </c>
      <c r="V239" s="2975">
        <f>Tabel668926[[#This Row],[Var. ch. 2017]]</f>
        <v>180.46782813909905</v>
      </c>
      <c r="W239" s="2976">
        <f>Tabel668926[[#This Row],[Oth. ch. DW 2017]]</f>
        <v>54.140348441729721</v>
      </c>
      <c r="X239" s="2977"/>
      <c r="Y239" s="2978">
        <f>Tabel668926[[#This Row],[Total. ch. DW 2017]]</f>
        <v>234.60817658082877</v>
      </c>
      <c r="Z239" s="2979">
        <f>Tabel668926[[#This Row],[Sew. 2017]]</f>
        <v>0</v>
      </c>
      <c r="AA239" s="2977"/>
      <c r="AB239" s="2980">
        <f>Tabel668926[[#This Row],[WW 2017]]</f>
        <v>43.23515574990553</v>
      </c>
      <c r="AC239" s="2977"/>
      <c r="AD239" s="2981">
        <f>Tabel668926[[#This Row],[Other ch. 2017]]</f>
        <v>51.896069040512721</v>
      </c>
      <c r="AE239" s="2977"/>
      <c r="AF239" s="2982">
        <f>Tabel668926[[#This Row],[Total VAT 2017]]</f>
        <v>0</v>
      </c>
      <c r="AG239" s="339">
        <f>Tabel668926[[#This Row],[total charge 2017]]</f>
        <v>329.73940137124703</v>
      </c>
      <c r="AH239" s="2587"/>
      <c r="AI239" s="2634"/>
      <c r="AJ239" s="2634"/>
      <c r="AK239" s="2634"/>
      <c r="AL239" s="2598" t="s">
        <v>429</v>
      </c>
      <c r="AM239" s="2634"/>
      <c r="AN239" s="2634"/>
      <c r="AO239" s="2634"/>
      <c r="AP239" s="2587"/>
    </row>
    <row r="240" spans="1:42" ht="15.75" customHeight="1" x14ac:dyDescent="0.25">
      <c r="A240" s="2722" t="s">
        <v>24</v>
      </c>
      <c r="B240" s="3148" t="s">
        <v>140</v>
      </c>
      <c r="C240" s="2949" t="s">
        <v>429</v>
      </c>
      <c r="D240" s="2785" t="s">
        <v>1127</v>
      </c>
      <c r="E240" s="3149">
        <v>23400</v>
      </c>
      <c r="F240" s="2883">
        <v>0.77166999999999997</v>
      </c>
      <c r="G240" s="325">
        <f>0.9*200/F240</f>
        <v>233.26033148884886</v>
      </c>
      <c r="H240" s="326">
        <v>0</v>
      </c>
      <c r="I240" s="327">
        <v>0</v>
      </c>
      <c r="J240" s="561"/>
      <c r="K240" s="313">
        <f>Tabel668926[[#This Row],[Fix.ch. 2017]]+Tabel668926[[#This Row],[Var. ch. 2017]]+Tabel668926[[#This Row],[Oth. ch. DW 2017]]+Tabel668926[[#This Row],[VAT DW 2017]]</f>
        <v>233.26033148884886</v>
      </c>
      <c r="L240" s="328">
        <f>1.02*200/F240</f>
        <v>264.3617090206954</v>
      </c>
      <c r="M240" s="1097"/>
      <c r="N240" s="329">
        <v>0</v>
      </c>
      <c r="O240" s="561"/>
      <c r="P240" s="330">
        <v>0</v>
      </c>
      <c r="Q240" s="561"/>
      <c r="R240" s="2657">
        <f>Tabel668926[[#This Row],[VAT DW 2017]]+Tabel668926[[#This Row],[VAT Sew. 2017]]+Tabel668926[[#This Row],[VAT WW 2017]]+Tabel668926[[#This Row],[VAT Other ch. 2017]]</f>
        <v>0</v>
      </c>
      <c r="S240" s="318">
        <f>Tabel668926[[#This Row],[Total. ch. DW 2017]]+Tabel668926[[#This Row],[Sew. 2017]]+Tabel668926[[#This Row],[VAT Sew. 2017]]+Tabel668926[[#This Row],[WW 2017]]+Tabel668926[[#This Row],[VAT WW 2017]]+Tabel668926[[#This Row],[Other ch. 2017]]+Tabel668926[[#This Row],[VAT Other ch. 2017]]</f>
        <v>497.62204050954426</v>
      </c>
      <c r="T240" s="2587"/>
      <c r="U240" s="2726">
        <f>SUM(G240:G242)/3</f>
        <v>264.3617090206954</v>
      </c>
      <c r="V240" s="2727">
        <v>0</v>
      </c>
      <c r="W240" s="2728">
        <v>0</v>
      </c>
      <c r="X240" s="2729"/>
      <c r="Y240" s="2730">
        <f>SUM(K240:K242)/3</f>
        <v>264.3617090206954</v>
      </c>
      <c r="Z240" s="2731">
        <f>SUM(L240:L242)/3</f>
        <v>282.50417924760586</v>
      </c>
      <c r="AA240" s="2729"/>
      <c r="AB240" s="2732">
        <v>0</v>
      </c>
      <c r="AC240" s="2729"/>
      <c r="AD240" s="2733">
        <v>0</v>
      </c>
      <c r="AE240" s="2729"/>
      <c r="AF240" s="2734">
        <f>SUM(R240:R242)/3</f>
        <v>0</v>
      </c>
      <c r="AG240" s="1875">
        <f>SUM(S240:S242)/3</f>
        <v>546.86588826830121</v>
      </c>
      <c r="AH240" s="2587"/>
      <c r="AI240" s="2634"/>
      <c r="AJ240" s="2598" t="s">
        <v>429</v>
      </c>
      <c r="AK240" s="2598" t="s">
        <v>429</v>
      </c>
      <c r="AL240" s="2598"/>
      <c r="AM240" s="2598" t="s">
        <v>429</v>
      </c>
      <c r="AN240" s="2634"/>
      <c r="AO240" s="2634"/>
      <c r="AP240" s="2587"/>
    </row>
    <row r="241" spans="1:42" ht="15.75" customHeight="1" x14ac:dyDescent="0.25">
      <c r="A241" s="2735"/>
      <c r="B241" s="2996" t="s">
        <v>141</v>
      </c>
      <c r="C241" s="2949"/>
      <c r="D241" s="2785" t="s">
        <v>1127</v>
      </c>
      <c r="E241" s="3150"/>
      <c r="F241" s="2883">
        <v>0.77166999999999997</v>
      </c>
      <c r="G241" s="325">
        <f>0.96*200/F241</f>
        <v>248.81102025477213</v>
      </c>
      <c r="H241" s="326">
        <v>0</v>
      </c>
      <c r="I241" s="327">
        <v>0</v>
      </c>
      <c r="J241" s="561"/>
      <c r="K241" s="313">
        <f>Tabel668926[[#This Row],[Fix.ch. 2017]]+Tabel668926[[#This Row],[Var. ch. 2017]]+Tabel668926[[#This Row],[Oth. ch. DW 2017]]+Tabel668926[[#This Row],[VAT DW 2017]]</f>
        <v>248.81102025477213</v>
      </c>
      <c r="L241" s="328">
        <f>1.1*200/F241</f>
        <v>285.09596070859311</v>
      </c>
      <c r="M241" s="1097"/>
      <c r="N241" s="329">
        <v>0</v>
      </c>
      <c r="O241" s="561"/>
      <c r="P241" s="330">
        <v>0</v>
      </c>
      <c r="Q241" s="561"/>
      <c r="R241" s="2657">
        <f>Tabel668926[[#This Row],[VAT DW 2017]]+Tabel668926[[#This Row],[VAT Sew. 2017]]+Tabel668926[[#This Row],[VAT WW 2017]]+Tabel668926[[#This Row],[VAT Other ch. 2017]]</f>
        <v>0</v>
      </c>
      <c r="S241" s="318">
        <f>Tabel668926[[#This Row],[Total. ch. DW 2017]]+Tabel668926[[#This Row],[Sew. 2017]]+Tabel668926[[#This Row],[VAT Sew. 2017]]+Tabel668926[[#This Row],[WW 2017]]+Tabel668926[[#This Row],[VAT WW 2017]]+Tabel668926[[#This Row],[Other ch. 2017]]+Tabel668926[[#This Row],[VAT Other ch. 2017]]</f>
        <v>533.90698096336519</v>
      </c>
      <c r="T241" s="2587"/>
      <c r="U241" s="3151"/>
      <c r="V241" s="3152"/>
      <c r="W241" s="3153"/>
      <c r="X241" s="2740"/>
      <c r="Y241" s="2374"/>
      <c r="Z241" s="3154"/>
      <c r="AA241" s="2740"/>
      <c r="AB241" s="3155"/>
      <c r="AC241" s="2740"/>
      <c r="AD241" s="3156"/>
      <c r="AE241" s="2740"/>
      <c r="AF241" s="3157"/>
      <c r="AG241" s="2146"/>
      <c r="AH241" s="2587"/>
      <c r="AI241" s="2634"/>
      <c r="AJ241" s="2598" t="s">
        <v>429</v>
      </c>
      <c r="AK241" s="2598" t="s">
        <v>429</v>
      </c>
      <c r="AL241" s="2598"/>
      <c r="AM241" s="2598" t="s">
        <v>429</v>
      </c>
      <c r="AN241" s="2634"/>
      <c r="AO241" s="2634"/>
      <c r="AP241" s="2587"/>
    </row>
    <row r="242" spans="1:42" ht="15.75" customHeight="1" thickBot="1" x14ac:dyDescent="0.3">
      <c r="A242" s="2746"/>
      <c r="B242" s="3006" t="s">
        <v>142</v>
      </c>
      <c r="C242" s="2949"/>
      <c r="D242" s="2785" t="s">
        <v>1127</v>
      </c>
      <c r="E242" s="2748"/>
      <c r="F242" s="2883">
        <v>0.77166999999999997</v>
      </c>
      <c r="G242" s="325">
        <f>1.2*200/F242</f>
        <v>311.01377531846515</v>
      </c>
      <c r="H242" s="326">
        <v>0</v>
      </c>
      <c r="I242" s="327">
        <v>0</v>
      </c>
      <c r="J242" s="561"/>
      <c r="K242" s="313">
        <f>Tabel668926[[#This Row],[Fix.ch. 2017]]+Tabel668926[[#This Row],[Var. ch. 2017]]+Tabel668926[[#This Row],[Oth. ch. DW 2017]]+Tabel668926[[#This Row],[VAT DW 2017]]</f>
        <v>311.01377531846515</v>
      </c>
      <c r="L242" s="328">
        <f>1.15*200/F242</f>
        <v>298.05486801352907</v>
      </c>
      <c r="M242" s="1097"/>
      <c r="N242" s="329">
        <v>0</v>
      </c>
      <c r="O242" s="561"/>
      <c r="P242" s="330">
        <v>0</v>
      </c>
      <c r="Q242" s="561"/>
      <c r="R242" s="2657">
        <f>Tabel668926[[#This Row],[VAT DW 2017]]+Tabel668926[[#This Row],[VAT Sew. 2017]]+Tabel668926[[#This Row],[VAT WW 2017]]+Tabel668926[[#This Row],[VAT Other ch. 2017]]</f>
        <v>0</v>
      </c>
      <c r="S242" s="318">
        <f>Tabel668926[[#This Row],[Total. ch. DW 2017]]+Tabel668926[[#This Row],[Sew. 2017]]+Tabel668926[[#This Row],[VAT Sew. 2017]]+Tabel668926[[#This Row],[WW 2017]]+Tabel668926[[#This Row],[VAT WW 2017]]+Tabel668926[[#This Row],[Other ch. 2017]]+Tabel668926[[#This Row],[VAT Other ch. 2017]]</f>
        <v>609.06864333199428</v>
      </c>
      <c r="T242" s="2587"/>
      <c r="U242" s="2749"/>
      <c r="V242" s="2750"/>
      <c r="W242" s="2751"/>
      <c r="X242" s="2752"/>
      <c r="Y242" s="2753"/>
      <c r="Z242" s="2754"/>
      <c r="AA242" s="2752"/>
      <c r="AB242" s="2755"/>
      <c r="AC242" s="2752"/>
      <c r="AD242" s="2756"/>
      <c r="AE242" s="2752"/>
      <c r="AF242" s="2757"/>
      <c r="AG242" s="1877"/>
      <c r="AH242" s="2587"/>
      <c r="AI242" s="2634"/>
      <c r="AJ242" s="2598" t="s">
        <v>429</v>
      </c>
      <c r="AK242" s="2598" t="s">
        <v>429</v>
      </c>
      <c r="AL242" s="2598"/>
      <c r="AM242" s="2598" t="s">
        <v>429</v>
      </c>
      <c r="AN242" s="2634"/>
      <c r="AO242" s="2634"/>
      <c r="AP242" s="2587"/>
    </row>
    <row r="243" spans="1:42" ht="15.75" customHeight="1" thickBot="1" x14ac:dyDescent="0.35">
      <c r="A243" s="2972" t="s">
        <v>43</v>
      </c>
      <c r="B243" s="3158" t="s">
        <v>644</v>
      </c>
      <c r="C243" s="2648" t="s">
        <v>429</v>
      </c>
      <c r="D243" s="3027" t="s">
        <v>1129</v>
      </c>
      <c r="E243" s="2882">
        <v>11500</v>
      </c>
      <c r="F243" s="2684">
        <f>'exchange rates'!K56</f>
        <v>10.498559999999999</v>
      </c>
      <c r="G243" s="325">
        <v>0</v>
      </c>
      <c r="H243" s="326">
        <f>1099.22/F243</f>
        <v>104.70197817605462</v>
      </c>
      <c r="I243" s="327">
        <v>0</v>
      </c>
      <c r="J243" s="561"/>
      <c r="K243" s="313">
        <f>Tabel668926[[#This Row],[Fix.ch. 2017]]+Tabel668926[[#This Row],[Var. ch. 2017]]+Tabel668926[[#This Row],[Oth. ch. DW 2017]]+Tabel668926[[#This Row],[VAT DW 2017]]</f>
        <v>104.70197817605462</v>
      </c>
      <c r="L243" s="328">
        <f>860.9/F243</f>
        <v>82.00172214094124</v>
      </c>
      <c r="M243" s="1097"/>
      <c r="N243" s="329">
        <v>0</v>
      </c>
      <c r="O243" s="561"/>
      <c r="P243" s="330">
        <v>0</v>
      </c>
      <c r="Q243" s="561"/>
      <c r="R243" s="2657">
        <f>Tabel668926[[#This Row],[VAT DW 2017]]+Tabel668926[[#This Row],[VAT Sew. 2017]]+Tabel668926[[#This Row],[VAT WW 2017]]+Tabel668926[[#This Row],[VAT Other ch. 2017]]</f>
        <v>0</v>
      </c>
      <c r="S243" s="318">
        <f>Tabel668926[[#This Row],[Total. ch. DW 2017]]+Tabel668926[[#This Row],[Sew. 2017]]+Tabel668926[[#This Row],[VAT Sew. 2017]]+Tabel668926[[#This Row],[WW 2017]]+Tabel668926[[#This Row],[VAT WW 2017]]+Tabel668926[[#This Row],[Other ch. 2017]]+Tabel668926[[#This Row],[VAT Other ch. 2017]]</f>
        <v>186.70370031699588</v>
      </c>
      <c r="T243" s="2587"/>
      <c r="U243" s="2884">
        <f>Tabel668926[[#This Row],[Fix.ch. 2017]]</f>
        <v>0</v>
      </c>
      <c r="V243" s="2885">
        <f>Tabel668926[[#This Row],[Var. ch. 2017]]</f>
        <v>104.70197817605462</v>
      </c>
      <c r="W243" s="2976">
        <f>Tabel668926[[#This Row],[Oth. ch. DW 2017]]</f>
        <v>0</v>
      </c>
      <c r="X243" s="2977"/>
      <c r="Y243" s="2978">
        <f>Tabel668926[[#This Row],[Total. ch. DW 2017]]</f>
        <v>104.70197817605462</v>
      </c>
      <c r="Z243" s="2979">
        <f>Tabel668926[[#This Row],[Sew. 2017]]</f>
        <v>82.00172214094124</v>
      </c>
      <c r="AA243" s="2977"/>
      <c r="AB243" s="2980">
        <f>Tabel668926[[#This Row],[WW 2017]]</f>
        <v>0</v>
      </c>
      <c r="AC243" s="2977"/>
      <c r="AD243" s="2981">
        <f>Tabel668926[[#This Row],[Other ch. 2017]]</f>
        <v>0</v>
      </c>
      <c r="AE243" s="2977"/>
      <c r="AF243" s="2982">
        <f>Tabel668926[[#This Row],[Total VAT 2017]]</f>
        <v>0</v>
      </c>
      <c r="AG243" s="339">
        <f>SUM(Y243:AF243)</f>
        <v>186.70370031699588</v>
      </c>
      <c r="AH243" s="2587"/>
      <c r="AI243" s="2634"/>
      <c r="AJ243" s="2634"/>
      <c r="AK243" s="2634"/>
      <c r="AL243" s="2598" t="s">
        <v>429</v>
      </c>
      <c r="AM243" s="2598"/>
      <c r="AN243" s="2598" t="s">
        <v>429</v>
      </c>
      <c r="AO243" s="2634"/>
      <c r="AP243" s="2587"/>
    </row>
    <row r="244" spans="1:42" ht="15.75" customHeight="1" thickBot="1" x14ac:dyDescent="0.3">
      <c r="A244" s="2972" t="s">
        <v>450</v>
      </c>
      <c r="B244" s="2648" t="s">
        <v>177</v>
      </c>
      <c r="C244" s="2648"/>
      <c r="D244" s="3027" t="s">
        <v>1028</v>
      </c>
      <c r="E244" s="2882">
        <v>40800</v>
      </c>
      <c r="F244" s="2684">
        <v>0.97958999999999996</v>
      </c>
      <c r="G244" s="2649">
        <f>142.4/F244</f>
        <v>145.36693922967774</v>
      </c>
      <c r="H244" s="2650">
        <f>352/F244</f>
        <v>359.33400708459664</v>
      </c>
      <c r="I244" s="2651">
        <f>36/F244</f>
        <v>36.750068906379198</v>
      </c>
      <c r="J244" s="2652"/>
      <c r="K244" s="313">
        <f>Tabel668926[[#This Row],[Fix.ch. 2017]]+Tabel668926[[#This Row],[Var. ch. 2017]]+Tabel668926[[#This Row],[Oth. ch. DW 2017]]+Tabel668926[[#This Row],[VAT DW 2017]]</f>
        <v>541.45101522065352</v>
      </c>
      <c r="L244" s="2653">
        <f>457.3/F244</f>
        <v>466.82795863575581</v>
      </c>
      <c r="M244" s="2654"/>
      <c r="N244" s="2655">
        <f>0</f>
        <v>0</v>
      </c>
      <c r="O244" s="2652"/>
      <c r="P244" s="2656">
        <v>0</v>
      </c>
      <c r="Q244" s="2652"/>
      <c r="R244" s="2657">
        <f>Tabel668926[[#This Row],[VAT DW 2017]]+Tabel668926[[#This Row],[VAT Sew. 2017]]+Tabel668926[[#This Row],[VAT WW 2017]]+Tabel668926[[#This Row],[VAT Other ch. 2017]]</f>
        <v>0</v>
      </c>
      <c r="S244" s="318">
        <f>Tabel668926[[#This Row],[Total. ch. DW 2017]]+Tabel668926[[#This Row],[Sew. 2017]]+Tabel668926[[#This Row],[VAT Sew. 2017]]+Tabel668926[[#This Row],[WW 2017]]+Tabel668926[[#This Row],[VAT WW 2017]]+Tabel668926[[#This Row],[Other ch. 2017]]+Tabel668926[[#This Row],[VAT Other ch. 2017]]</f>
        <v>1008.2789738564093</v>
      </c>
      <c r="T244" s="2587"/>
      <c r="U244" s="2884">
        <f>Tabel668926[[#This Row],[Fix.ch. 2017]]</f>
        <v>145.36693922967774</v>
      </c>
      <c r="V244" s="2885">
        <v>359.33400708459664</v>
      </c>
      <c r="W244" s="2886">
        <v>36.750068906379198</v>
      </c>
      <c r="X244" s="2887"/>
      <c r="Y244" s="2888">
        <v>541.45101522065352</v>
      </c>
      <c r="Z244" s="2889">
        <v>466.82795863575581</v>
      </c>
      <c r="AA244" s="2887"/>
      <c r="AB244" s="2890">
        <v>0</v>
      </c>
      <c r="AC244" s="2887"/>
      <c r="AD244" s="2891">
        <v>0</v>
      </c>
      <c r="AE244" s="2887"/>
      <c r="AF244" s="2892">
        <v>0</v>
      </c>
      <c r="AG244" s="348">
        <v>1008.2789738564093</v>
      </c>
      <c r="AH244" s="2587"/>
      <c r="AI244" s="2634"/>
      <c r="AJ244" s="2634"/>
      <c r="AK244" s="2634"/>
      <c r="AL244" s="2598" t="s">
        <v>429</v>
      </c>
      <c r="AM244" s="2598" t="s">
        <v>429</v>
      </c>
      <c r="AN244" s="2598" t="s">
        <v>429</v>
      </c>
      <c r="AO244" s="2634" t="s">
        <v>452</v>
      </c>
      <c r="AP244" s="2587"/>
    </row>
    <row r="245" spans="1:42" ht="15.75" customHeight="1" x14ac:dyDescent="0.25">
      <c r="A245" s="2698" t="s">
        <v>25</v>
      </c>
      <c r="B245" s="2821" t="s">
        <v>143</v>
      </c>
      <c r="C245" s="2822" t="s">
        <v>429</v>
      </c>
      <c r="D245" s="2673" t="s">
        <v>1131</v>
      </c>
      <c r="E245" s="2823">
        <v>39400</v>
      </c>
      <c r="F245" s="2824">
        <f>'exchange rates'!$O$57</f>
        <v>1066.97433</v>
      </c>
      <c r="G245" s="2895">
        <v>0</v>
      </c>
      <c r="H245" s="2896">
        <f>114420/F245</f>
        <v>107.2378189267215</v>
      </c>
      <c r="I245" s="2897">
        <v>0</v>
      </c>
      <c r="J245" s="2898">
        <v>0</v>
      </c>
      <c r="K245" s="566">
        <f>Tabel668926[[#This Row],[Fix.ch. 2017]]+Tabel668926[[#This Row],[Var. ch. 2017]]+Tabel668926[[#This Row],[Oth. ch. DW 2017]]+Tabel668926[[#This Row],[VAT DW 2017]]</f>
        <v>107.2378189267215</v>
      </c>
      <c r="L245" s="2899">
        <v>0</v>
      </c>
      <c r="M245" s="2900">
        <v>0</v>
      </c>
      <c r="N245" s="2901">
        <v>0</v>
      </c>
      <c r="O245" s="2898">
        <v>0</v>
      </c>
      <c r="P245" s="2902">
        <v>0</v>
      </c>
      <c r="Q245" s="2898">
        <v>0</v>
      </c>
      <c r="R245" s="2586">
        <f>Tabel668926[[#This Row],[VAT DW 2017]]+Tabel668926[[#This Row],[VAT Sew. 2017]]+Tabel668926[[#This Row],[VAT WW 2017]]+Tabel668926[[#This Row],[VAT Other ch. 2017]]</f>
        <v>0</v>
      </c>
      <c r="S245" s="571">
        <f>Tabel668926[[#This Row],[Total. ch. DW 2017]]+Tabel668926[[#This Row],[Sew. 2017]]+Tabel668926[[#This Row],[VAT Sew. 2017]]+Tabel668926[[#This Row],[WW 2017]]+Tabel668926[[#This Row],[VAT WW 2017]]+Tabel668926[[#This Row],[Other ch. 2017]]+Tabel668926[[#This Row],[VAT Other ch. 2017]]</f>
        <v>107.2378189267215</v>
      </c>
      <c r="T245" s="2587"/>
      <c r="U245" s="2825">
        <f>MEDIAN(G245:G252)</f>
        <v>0</v>
      </c>
      <c r="V245" s="2826">
        <f>MEDIAN(H245:H252)</f>
        <v>127.39762914446123</v>
      </c>
      <c r="W245" s="2827">
        <f>MEDIAN(I245:I252)</f>
        <v>0</v>
      </c>
      <c r="X245" s="2591">
        <f>MEDIAN(J245:J252)</f>
        <v>0</v>
      </c>
      <c r="Y245" s="2828">
        <f>SUM(U245:X252)</f>
        <v>127.39762914446123</v>
      </c>
      <c r="Z245" s="2829">
        <f t="shared" ref="Z245:AF245" si="29">MEDIAN(L245:L252)</f>
        <v>0</v>
      </c>
      <c r="AA245" s="2591">
        <f t="shared" si="29"/>
        <v>0</v>
      </c>
      <c r="AB245" s="2830">
        <f t="shared" si="29"/>
        <v>0</v>
      </c>
      <c r="AC245" s="2591">
        <f t="shared" si="29"/>
        <v>0</v>
      </c>
      <c r="AD245" s="2831">
        <f t="shared" si="29"/>
        <v>0</v>
      </c>
      <c r="AE245" s="2591">
        <f t="shared" si="29"/>
        <v>0</v>
      </c>
      <c r="AF245" s="2832">
        <f t="shared" si="29"/>
        <v>0</v>
      </c>
      <c r="AG245" s="1945">
        <f>Y245+Z245+AA245+AB245+AC245+AD245+AE245</f>
        <v>127.39762914446123</v>
      </c>
      <c r="AH245" s="2587"/>
      <c r="AI245" s="2634"/>
      <c r="AJ245" s="2634"/>
      <c r="AK245" s="2634"/>
      <c r="AL245" s="2597" t="s">
        <v>429</v>
      </c>
      <c r="AM245" s="2634"/>
      <c r="AN245" s="2634"/>
      <c r="AO245" s="2634"/>
      <c r="AP245" s="2587"/>
    </row>
    <row r="246" spans="1:42" ht="15.75" customHeight="1" x14ac:dyDescent="0.25">
      <c r="A246" s="2599"/>
      <c r="B246" s="2833" t="s">
        <v>144</v>
      </c>
      <c r="C246" s="2833"/>
      <c r="D246" s="2672" t="s">
        <v>1131</v>
      </c>
      <c r="E246" s="2600"/>
      <c r="F246" s="2824">
        <f>'exchange rates'!$O$57</f>
        <v>1066.97433</v>
      </c>
      <c r="G246" s="2895">
        <v>0</v>
      </c>
      <c r="H246" s="2896">
        <f>154060/F246</f>
        <v>144.38960307508054</v>
      </c>
      <c r="I246" s="2897">
        <v>0</v>
      </c>
      <c r="J246" s="2898">
        <v>0</v>
      </c>
      <c r="K246" s="566">
        <f>Tabel668926[[#This Row],[Fix.ch. 2017]]+Tabel668926[[#This Row],[Var. ch. 2017]]+Tabel668926[[#This Row],[Oth. ch. DW 2017]]+Tabel668926[[#This Row],[VAT DW 2017]]</f>
        <v>144.38960307508054</v>
      </c>
      <c r="L246" s="2899">
        <v>0</v>
      </c>
      <c r="M246" s="2900">
        <v>0</v>
      </c>
      <c r="N246" s="2901">
        <v>0</v>
      </c>
      <c r="O246" s="2898">
        <v>0</v>
      </c>
      <c r="P246" s="2902">
        <v>0</v>
      </c>
      <c r="Q246" s="2898">
        <v>0</v>
      </c>
      <c r="R246" s="2586">
        <f>Tabel668926[[#This Row],[VAT DW 2017]]+Tabel668926[[#This Row],[VAT Sew. 2017]]+Tabel668926[[#This Row],[VAT WW 2017]]+Tabel668926[[#This Row],[VAT Other ch. 2017]]</f>
        <v>0</v>
      </c>
      <c r="S246" s="571">
        <f>Tabel668926[[#This Row],[Total. ch. DW 2017]]+Tabel668926[[#This Row],[Sew. 2017]]+Tabel668926[[#This Row],[VAT Sew. 2017]]+Tabel668926[[#This Row],[WW 2017]]+Tabel668926[[#This Row],[VAT WW 2017]]+Tabel668926[[#This Row],[Other ch. 2017]]+Tabel668926[[#This Row],[VAT Other ch. 2017]]</f>
        <v>144.38960307508054</v>
      </c>
      <c r="T246" s="2587"/>
      <c r="U246" s="2601"/>
      <c r="V246" s="2602"/>
      <c r="W246" s="2603"/>
      <c r="X246" s="2604"/>
      <c r="Y246" s="2605"/>
      <c r="Z246" s="2606"/>
      <c r="AA246" s="2604"/>
      <c r="AB246" s="2607"/>
      <c r="AC246" s="2604"/>
      <c r="AD246" s="2608"/>
      <c r="AE246" s="2604"/>
      <c r="AF246" s="2609"/>
      <c r="AG246" s="1791"/>
      <c r="AH246" s="2587"/>
      <c r="AI246" s="2634"/>
      <c r="AJ246" s="2634"/>
      <c r="AK246" s="2634"/>
      <c r="AL246" s="2597" t="s">
        <v>429</v>
      </c>
      <c r="AM246" s="2634"/>
      <c r="AN246" s="2634"/>
      <c r="AO246" s="2634"/>
      <c r="AP246" s="2587"/>
    </row>
    <row r="247" spans="1:42" ht="15.75" customHeight="1" x14ac:dyDescent="0.25">
      <c r="A247" s="2599"/>
      <c r="B247" s="2833" t="s">
        <v>145</v>
      </c>
      <c r="C247" s="2833"/>
      <c r="D247" s="2672" t="s">
        <v>1131</v>
      </c>
      <c r="E247" s="2600"/>
      <c r="F247" s="2824">
        <f>'exchange rates'!$O$57</f>
        <v>1066.97433</v>
      </c>
      <c r="G247" s="2895">
        <v>0</v>
      </c>
      <c r="H247" s="2896">
        <f>137860/F247</f>
        <v>129.20648240900042</v>
      </c>
      <c r="I247" s="2897">
        <v>0</v>
      </c>
      <c r="J247" s="2898">
        <v>0</v>
      </c>
      <c r="K247" s="566">
        <f>Tabel668926[[#This Row],[Fix.ch. 2017]]+Tabel668926[[#This Row],[Var. ch. 2017]]+Tabel668926[[#This Row],[Oth. ch. DW 2017]]+Tabel668926[[#This Row],[VAT DW 2017]]</f>
        <v>129.20648240900042</v>
      </c>
      <c r="L247" s="2899">
        <v>0</v>
      </c>
      <c r="M247" s="2900">
        <v>0</v>
      </c>
      <c r="N247" s="2901">
        <v>0</v>
      </c>
      <c r="O247" s="2898">
        <v>0</v>
      </c>
      <c r="P247" s="2902">
        <v>0</v>
      </c>
      <c r="Q247" s="2898">
        <v>0</v>
      </c>
      <c r="R247" s="2586">
        <f>Tabel668926[[#This Row],[VAT DW 2017]]+Tabel668926[[#This Row],[VAT Sew. 2017]]+Tabel668926[[#This Row],[VAT WW 2017]]+Tabel668926[[#This Row],[VAT Other ch. 2017]]</f>
        <v>0</v>
      </c>
      <c r="S247" s="571">
        <f>Tabel668926[[#This Row],[Total. ch. DW 2017]]+Tabel668926[[#This Row],[Sew. 2017]]+Tabel668926[[#This Row],[VAT Sew. 2017]]+Tabel668926[[#This Row],[WW 2017]]+Tabel668926[[#This Row],[VAT WW 2017]]+Tabel668926[[#This Row],[Other ch. 2017]]+Tabel668926[[#This Row],[VAT Other ch. 2017]]</f>
        <v>129.20648240900042</v>
      </c>
      <c r="T247" s="2587"/>
      <c r="U247" s="2601"/>
      <c r="V247" s="2602"/>
      <c r="W247" s="2603"/>
      <c r="X247" s="2604"/>
      <c r="Y247" s="2605"/>
      <c r="Z247" s="2606"/>
      <c r="AA247" s="2604"/>
      <c r="AB247" s="2607"/>
      <c r="AC247" s="2604"/>
      <c r="AD247" s="2608"/>
      <c r="AE247" s="2604"/>
      <c r="AF247" s="2609"/>
      <c r="AG247" s="1791"/>
      <c r="AH247" s="2587"/>
      <c r="AI247" s="2634"/>
      <c r="AJ247" s="2634"/>
      <c r="AK247" s="2634"/>
      <c r="AL247" s="2597" t="s">
        <v>429</v>
      </c>
      <c r="AM247" s="2634"/>
      <c r="AN247" s="2634"/>
      <c r="AO247" s="2634"/>
      <c r="AP247" s="2587"/>
    </row>
    <row r="248" spans="1:42" ht="15.75" customHeight="1" x14ac:dyDescent="0.25">
      <c r="A248" s="2599"/>
      <c r="B248" s="2833" t="s">
        <v>146</v>
      </c>
      <c r="C248" s="2833"/>
      <c r="D248" s="2672" t="s">
        <v>1131</v>
      </c>
      <c r="E248" s="2600"/>
      <c r="F248" s="2824">
        <f>'exchange rates'!$O$57</f>
        <v>1066.97433</v>
      </c>
      <c r="G248" s="2895">
        <v>0</v>
      </c>
      <c r="H248" s="2896">
        <f>134300/F248</f>
        <v>125.86994478114576</v>
      </c>
      <c r="I248" s="2897">
        <v>0</v>
      </c>
      <c r="J248" s="2898">
        <v>0</v>
      </c>
      <c r="K248" s="566">
        <f>Tabel668926[[#This Row],[Fix.ch. 2017]]+Tabel668926[[#This Row],[Var. ch. 2017]]+Tabel668926[[#This Row],[Oth. ch. DW 2017]]+Tabel668926[[#This Row],[VAT DW 2017]]</f>
        <v>125.86994478114576</v>
      </c>
      <c r="L248" s="2899">
        <v>0</v>
      </c>
      <c r="M248" s="2900">
        <v>0</v>
      </c>
      <c r="N248" s="2901">
        <v>0</v>
      </c>
      <c r="O248" s="2898">
        <v>0</v>
      </c>
      <c r="P248" s="2902">
        <v>0</v>
      </c>
      <c r="Q248" s="2898">
        <v>0</v>
      </c>
      <c r="R248" s="2586">
        <f>Tabel668926[[#This Row],[VAT DW 2017]]+Tabel668926[[#This Row],[VAT Sew. 2017]]+Tabel668926[[#This Row],[VAT WW 2017]]+Tabel668926[[#This Row],[VAT Other ch. 2017]]</f>
        <v>0</v>
      </c>
      <c r="S248" s="571">
        <f>Tabel668926[[#This Row],[Total. ch. DW 2017]]+Tabel668926[[#This Row],[Sew. 2017]]+Tabel668926[[#This Row],[VAT Sew. 2017]]+Tabel668926[[#This Row],[WW 2017]]+Tabel668926[[#This Row],[VAT WW 2017]]+Tabel668926[[#This Row],[Other ch. 2017]]+Tabel668926[[#This Row],[VAT Other ch. 2017]]</f>
        <v>125.86994478114576</v>
      </c>
      <c r="T248" s="2587"/>
      <c r="U248" s="2601"/>
      <c r="V248" s="2602"/>
      <c r="W248" s="2603"/>
      <c r="X248" s="2604"/>
      <c r="Y248" s="2605"/>
      <c r="Z248" s="2606"/>
      <c r="AA248" s="2604"/>
      <c r="AB248" s="2607"/>
      <c r="AC248" s="2604"/>
      <c r="AD248" s="2608"/>
      <c r="AE248" s="2604"/>
      <c r="AF248" s="2609"/>
      <c r="AG248" s="1791"/>
      <c r="AH248" s="2587"/>
      <c r="AI248" s="2634"/>
      <c r="AJ248" s="2634"/>
      <c r="AK248" s="2634"/>
      <c r="AL248" s="2597" t="s">
        <v>429</v>
      </c>
      <c r="AM248" s="2634"/>
      <c r="AN248" s="2634"/>
      <c r="AO248" s="2634"/>
      <c r="AP248" s="2587"/>
    </row>
    <row r="249" spans="1:42" ht="15.75" customHeight="1" x14ac:dyDescent="0.25">
      <c r="A249" s="2599"/>
      <c r="B249" s="2833" t="s">
        <v>147</v>
      </c>
      <c r="C249" s="2833"/>
      <c r="D249" s="2672" t="s">
        <v>1131</v>
      </c>
      <c r="E249" s="2600"/>
      <c r="F249" s="2824">
        <f>'exchange rates'!$O$57</f>
        <v>1066.97433</v>
      </c>
      <c r="G249" s="2895">
        <v>0</v>
      </c>
      <c r="H249" s="2896">
        <f>124480/F249</f>
        <v>116.66634941442312</v>
      </c>
      <c r="I249" s="2897">
        <v>0</v>
      </c>
      <c r="J249" s="2898">
        <v>0</v>
      </c>
      <c r="K249" s="566">
        <f>Tabel668926[[#This Row],[Fix.ch. 2017]]+Tabel668926[[#This Row],[Var. ch. 2017]]+Tabel668926[[#This Row],[Oth. ch. DW 2017]]+Tabel668926[[#This Row],[VAT DW 2017]]</f>
        <v>116.66634941442312</v>
      </c>
      <c r="L249" s="2899">
        <v>0</v>
      </c>
      <c r="M249" s="2900">
        <v>0</v>
      </c>
      <c r="N249" s="2901">
        <v>0</v>
      </c>
      <c r="O249" s="2898">
        <v>0</v>
      </c>
      <c r="P249" s="2902">
        <v>0</v>
      </c>
      <c r="Q249" s="2898">
        <v>0</v>
      </c>
      <c r="R249" s="2586">
        <f>Tabel668926[[#This Row],[VAT DW 2017]]+Tabel668926[[#This Row],[VAT Sew. 2017]]+Tabel668926[[#This Row],[VAT WW 2017]]+Tabel668926[[#This Row],[VAT Other ch. 2017]]</f>
        <v>0</v>
      </c>
      <c r="S249" s="571">
        <f>Tabel668926[[#This Row],[Total. ch. DW 2017]]+Tabel668926[[#This Row],[Sew. 2017]]+Tabel668926[[#This Row],[VAT Sew. 2017]]+Tabel668926[[#This Row],[WW 2017]]+Tabel668926[[#This Row],[VAT WW 2017]]+Tabel668926[[#This Row],[Other ch. 2017]]+Tabel668926[[#This Row],[VAT Other ch. 2017]]</f>
        <v>116.66634941442312</v>
      </c>
      <c r="T249" s="2587"/>
      <c r="U249" s="2601"/>
      <c r="V249" s="2602"/>
      <c r="W249" s="2603"/>
      <c r="X249" s="2604"/>
      <c r="Y249" s="2605"/>
      <c r="Z249" s="2606"/>
      <c r="AA249" s="2604"/>
      <c r="AB249" s="2607"/>
      <c r="AC249" s="2604"/>
      <c r="AD249" s="2608"/>
      <c r="AE249" s="2604"/>
      <c r="AF249" s="2609"/>
      <c r="AG249" s="1791"/>
      <c r="AH249" s="2587"/>
      <c r="AI249" s="2634"/>
      <c r="AJ249" s="2634"/>
      <c r="AK249" s="2634"/>
      <c r="AL249" s="2597" t="s">
        <v>429</v>
      </c>
      <c r="AM249" s="2634"/>
      <c r="AN249" s="2634"/>
      <c r="AO249" s="2634"/>
      <c r="AP249" s="2587"/>
    </row>
    <row r="250" spans="1:42" ht="15.75" customHeight="1" x14ac:dyDescent="0.25">
      <c r="A250" s="2599"/>
      <c r="B250" s="2833" t="s">
        <v>148</v>
      </c>
      <c r="C250" s="2833"/>
      <c r="D250" s="2672" t="s">
        <v>1131</v>
      </c>
      <c r="E250" s="2600"/>
      <c r="F250" s="2824">
        <f>'exchange rates'!$O$57</f>
        <v>1066.97433</v>
      </c>
      <c r="G250" s="2895">
        <v>0</v>
      </c>
      <c r="H250" s="2896">
        <f>105980/F250</f>
        <v>99.327600505627913</v>
      </c>
      <c r="I250" s="2897">
        <v>0</v>
      </c>
      <c r="J250" s="2898">
        <v>0</v>
      </c>
      <c r="K250" s="566">
        <f>Tabel668926[[#This Row],[Fix.ch. 2017]]+Tabel668926[[#This Row],[Var. ch. 2017]]+Tabel668926[[#This Row],[Oth. ch. DW 2017]]+Tabel668926[[#This Row],[VAT DW 2017]]</f>
        <v>99.327600505627913</v>
      </c>
      <c r="L250" s="2899">
        <v>0</v>
      </c>
      <c r="M250" s="2900">
        <v>0</v>
      </c>
      <c r="N250" s="2901">
        <v>0</v>
      </c>
      <c r="O250" s="2898">
        <v>0</v>
      </c>
      <c r="P250" s="2902">
        <v>0</v>
      </c>
      <c r="Q250" s="2898">
        <v>0</v>
      </c>
      <c r="R250" s="2586">
        <f>Tabel668926[[#This Row],[VAT DW 2017]]+Tabel668926[[#This Row],[VAT Sew. 2017]]+Tabel668926[[#This Row],[VAT WW 2017]]+Tabel668926[[#This Row],[VAT Other ch. 2017]]</f>
        <v>0</v>
      </c>
      <c r="S250" s="571">
        <f>Tabel668926[[#This Row],[Total. ch. DW 2017]]+Tabel668926[[#This Row],[Sew. 2017]]+Tabel668926[[#This Row],[VAT Sew. 2017]]+Tabel668926[[#This Row],[WW 2017]]+Tabel668926[[#This Row],[VAT WW 2017]]+Tabel668926[[#This Row],[Other ch. 2017]]+Tabel668926[[#This Row],[VAT Other ch. 2017]]</f>
        <v>99.327600505627913</v>
      </c>
      <c r="T250" s="2587"/>
      <c r="U250" s="2601"/>
      <c r="V250" s="2602"/>
      <c r="W250" s="2603"/>
      <c r="X250" s="2604"/>
      <c r="Y250" s="2605"/>
      <c r="Z250" s="2606"/>
      <c r="AA250" s="2604"/>
      <c r="AB250" s="2607"/>
      <c r="AC250" s="2604"/>
      <c r="AD250" s="2608"/>
      <c r="AE250" s="2604"/>
      <c r="AF250" s="2609"/>
      <c r="AG250" s="1791"/>
      <c r="AH250" s="2587"/>
      <c r="AI250" s="2634"/>
      <c r="AJ250" s="2634"/>
      <c r="AK250" s="2634"/>
      <c r="AL250" s="2597" t="s">
        <v>429</v>
      </c>
      <c r="AM250" s="2634"/>
      <c r="AN250" s="2634"/>
      <c r="AO250" s="2634"/>
      <c r="AP250" s="2587"/>
    </row>
    <row r="251" spans="1:42" ht="15.75" customHeight="1" x14ac:dyDescent="0.25">
      <c r="A251" s="2599"/>
      <c r="B251" s="2833" t="s">
        <v>149</v>
      </c>
      <c r="C251" s="2833"/>
      <c r="D251" s="2672" t="s">
        <v>1131</v>
      </c>
      <c r="E251" s="2600"/>
      <c r="F251" s="2824">
        <f>'exchange rates'!$O$57</f>
        <v>1066.97433</v>
      </c>
      <c r="G251" s="2895">
        <v>0</v>
      </c>
      <c r="H251" s="2896">
        <f>173080/F251</f>
        <v>162.2157114126635</v>
      </c>
      <c r="I251" s="2897">
        <v>0</v>
      </c>
      <c r="J251" s="2898">
        <v>0</v>
      </c>
      <c r="K251" s="566">
        <f>Tabel668926[[#This Row],[Fix.ch. 2017]]+Tabel668926[[#This Row],[Var. ch. 2017]]+Tabel668926[[#This Row],[Oth. ch. DW 2017]]+Tabel668926[[#This Row],[VAT DW 2017]]</f>
        <v>162.2157114126635</v>
      </c>
      <c r="L251" s="2899">
        <v>0</v>
      </c>
      <c r="M251" s="2900">
        <v>0</v>
      </c>
      <c r="N251" s="2901">
        <v>0</v>
      </c>
      <c r="O251" s="2898">
        <v>0</v>
      </c>
      <c r="P251" s="2902">
        <v>0</v>
      </c>
      <c r="Q251" s="2898">
        <v>0</v>
      </c>
      <c r="R251" s="2586">
        <f>Tabel668926[[#This Row],[VAT DW 2017]]+Tabel668926[[#This Row],[VAT Sew. 2017]]+Tabel668926[[#This Row],[VAT WW 2017]]+Tabel668926[[#This Row],[VAT Other ch. 2017]]</f>
        <v>0</v>
      </c>
      <c r="S251" s="571">
        <f>Tabel668926[[#This Row],[Total. ch. DW 2017]]+Tabel668926[[#This Row],[Sew. 2017]]+Tabel668926[[#This Row],[VAT Sew. 2017]]+Tabel668926[[#This Row],[WW 2017]]+Tabel668926[[#This Row],[VAT WW 2017]]+Tabel668926[[#This Row],[Other ch. 2017]]+Tabel668926[[#This Row],[VAT Other ch. 2017]]</f>
        <v>162.2157114126635</v>
      </c>
      <c r="T251" s="2587"/>
      <c r="U251" s="2601"/>
      <c r="V251" s="2602"/>
      <c r="W251" s="2603"/>
      <c r="X251" s="2604"/>
      <c r="Y251" s="2605"/>
      <c r="Z251" s="2606"/>
      <c r="AA251" s="2604"/>
      <c r="AB251" s="2607"/>
      <c r="AC251" s="2604"/>
      <c r="AD251" s="2608"/>
      <c r="AE251" s="2604"/>
      <c r="AF251" s="2609"/>
      <c r="AG251" s="1791"/>
      <c r="AH251" s="2587"/>
      <c r="AI251" s="2634"/>
      <c r="AJ251" s="2634"/>
      <c r="AK251" s="2634"/>
      <c r="AL251" s="2597" t="s">
        <v>429</v>
      </c>
      <c r="AM251" s="2634"/>
      <c r="AN251" s="2634"/>
      <c r="AO251" s="2634"/>
      <c r="AP251" s="2587"/>
    </row>
    <row r="252" spans="1:42" ht="15.75" customHeight="1" thickBot="1" x14ac:dyDescent="0.3">
      <c r="A252" s="2610"/>
      <c r="B252" s="2834" t="s">
        <v>150</v>
      </c>
      <c r="C252" s="2835"/>
      <c r="D252" s="2696" t="s">
        <v>1131</v>
      </c>
      <c r="E252" s="2663"/>
      <c r="F252" s="2824">
        <f>'exchange rates'!$O$57</f>
        <v>1066.97433</v>
      </c>
      <c r="G252" s="2895">
        <v>0</v>
      </c>
      <c r="H252" s="2896">
        <f>137560/F252</f>
        <v>128.92531350777671</v>
      </c>
      <c r="I252" s="2897">
        <v>0</v>
      </c>
      <c r="J252" s="2898">
        <v>0</v>
      </c>
      <c r="K252" s="566">
        <f>Tabel668926[[#This Row],[Fix.ch. 2017]]+Tabel668926[[#This Row],[Var. ch. 2017]]+Tabel668926[[#This Row],[Oth. ch. DW 2017]]+Tabel668926[[#This Row],[VAT DW 2017]]</f>
        <v>128.92531350777671</v>
      </c>
      <c r="L252" s="2899">
        <v>0</v>
      </c>
      <c r="M252" s="2900">
        <v>0</v>
      </c>
      <c r="N252" s="2901">
        <v>0</v>
      </c>
      <c r="O252" s="2898">
        <v>0</v>
      </c>
      <c r="P252" s="2902">
        <v>0</v>
      </c>
      <c r="Q252" s="2898">
        <v>0</v>
      </c>
      <c r="R252" s="2586">
        <f>Tabel668926[[#This Row],[VAT DW 2017]]+Tabel668926[[#This Row],[VAT Sew. 2017]]+Tabel668926[[#This Row],[VAT WW 2017]]+Tabel668926[[#This Row],[VAT Other ch. 2017]]</f>
        <v>0</v>
      </c>
      <c r="S252" s="571">
        <f>Tabel668926[[#This Row],[Total. ch. DW 2017]]+Tabel668926[[#This Row],[Sew. 2017]]+Tabel668926[[#This Row],[VAT Sew. 2017]]+Tabel668926[[#This Row],[WW 2017]]+Tabel668926[[#This Row],[VAT WW 2017]]+Tabel668926[[#This Row],[Other ch. 2017]]+Tabel668926[[#This Row],[VAT Other ch. 2017]]</f>
        <v>128.92531350777671</v>
      </c>
      <c r="T252" s="2587"/>
      <c r="U252" s="2664"/>
      <c r="V252" s="2665"/>
      <c r="W252" s="2666"/>
      <c r="X252" s="2615"/>
      <c r="Y252" s="2667"/>
      <c r="Z252" s="2668"/>
      <c r="AA252" s="2615"/>
      <c r="AB252" s="2669"/>
      <c r="AC252" s="2615"/>
      <c r="AD252" s="2670"/>
      <c r="AE252" s="2615"/>
      <c r="AF252" s="2671"/>
      <c r="AG252" s="1792"/>
      <c r="AH252" s="2587"/>
      <c r="AI252" s="2634"/>
      <c r="AJ252" s="2634"/>
      <c r="AK252" s="2634"/>
      <c r="AL252" s="2597" t="s">
        <v>429</v>
      </c>
      <c r="AM252" s="2634"/>
      <c r="AN252" s="2634"/>
      <c r="AO252" s="2634"/>
      <c r="AP252" s="2587"/>
    </row>
    <row r="253" spans="1:42" ht="15.75" customHeight="1" x14ac:dyDescent="0.25">
      <c r="A253" s="2698" t="s">
        <v>26</v>
      </c>
      <c r="B253" s="2821" t="s">
        <v>151</v>
      </c>
      <c r="C253" s="2822"/>
      <c r="D253" s="2673" t="s">
        <v>1133</v>
      </c>
      <c r="E253" s="2823">
        <v>38200</v>
      </c>
      <c r="F253" s="2824">
        <f>'exchange rates'!$O$58</f>
        <v>0.83301000000000003</v>
      </c>
      <c r="G253" s="2895">
        <v>0</v>
      </c>
      <c r="H253" s="2896">
        <f>353.56/F253</f>
        <v>424.43668143239574</v>
      </c>
      <c r="I253" s="2897">
        <v>0</v>
      </c>
      <c r="J253" s="2898">
        <f>35.36/F253</f>
        <v>42.44847000636247</v>
      </c>
      <c r="K253" s="566">
        <f>Tabel668926[[#This Row],[Fix.ch. 2017]]+Tabel668926[[#This Row],[Var. ch. 2017]]+Tabel668926[[#This Row],[Oth. ch. DW 2017]]+Tabel668926[[#This Row],[VAT DW 2017]]</f>
        <v>466.88515143875821</v>
      </c>
      <c r="L253" s="2899">
        <f>34.86/F253</f>
        <v>41.848237116001009</v>
      </c>
      <c r="M253" s="2900">
        <f>3.49/F253</f>
        <v>4.1896255747229922</v>
      </c>
      <c r="N253" s="2901">
        <f>169.02/F253</f>
        <v>202.90272625778803</v>
      </c>
      <c r="O253" s="2898">
        <f>16.9/F253</f>
        <v>20.287871694217355</v>
      </c>
      <c r="P253" s="2902">
        <v>0</v>
      </c>
      <c r="Q253" s="2898">
        <v>0</v>
      </c>
      <c r="R253" s="2586">
        <f>Tabel668926[[#This Row],[VAT DW 2017]]+Tabel668926[[#This Row],[VAT Sew. 2017]]+Tabel668926[[#This Row],[VAT WW 2017]]+Tabel668926[[#This Row],[VAT Other ch. 2017]]</f>
        <v>66.925967275302824</v>
      </c>
      <c r="S253" s="571">
        <f>Tabel668926[[#This Row],[Total. ch. DW 2017]]+Tabel668926[[#This Row],[Sew. 2017]]+Tabel668926[[#This Row],[VAT Sew. 2017]]+Tabel668926[[#This Row],[WW 2017]]+Tabel668926[[#This Row],[VAT WW 2017]]+Tabel668926[[#This Row],[Other ch. 2017]]+Tabel668926[[#This Row],[VAT Other ch. 2017]]</f>
        <v>736.11361208148753</v>
      </c>
      <c r="T253" s="2587"/>
      <c r="U253" s="2825">
        <f>MEDIAN(G253:G257)</f>
        <v>0</v>
      </c>
      <c r="V253" s="2826">
        <f>MEDIAN(H253:H257)</f>
        <v>199.20529165316142</v>
      </c>
      <c r="W253" s="2827">
        <f>MEDIAN(I253:I257)</f>
        <v>0</v>
      </c>
      <c r="X253" s="2591">
        <f>MEDIAN(J253:J257)</f>
        <v>19.91572730219325</v>
      </c>
      <c r="Y253" s="2828">
        <f>SUM(U253:X257)</f>
        <v>219.12101895535469</v>
      </c>
      <c r="Z253" s="2829">
        <f t="shared" ref="Z253:AF253" si="30">MEDIAN(L253:L257)</f>
        <v>41.848237116001009</v>
      </c>
      <c r="AA253" s="2591">
        <f t="shared" si="30"/>
        <v>4.1896255747229922</v>
      </c>
      <c r="AB253" s="2830">
        <f t="shared" si="30"/>
        <v>176.32441387258254</v>
      </c>
      <c r="AC253" s="2591">
        <f t="shared" si="30"/>
        <v>17.6348423188197</v>
      </c>
      <c r="AD253" s="2831">
        <f t="shared" si="30"/>
        <v>0</v>
      </c>
      <c r="AE253" s="2591">
        <f t="shared" si="30"/>
        <v>0</v>
      </c>
      <c r="AF253" s="2832">
        <f t="shared" si="30"/>
        <v>45.161522670796273</v>
      </c>
      <c r="AG253" s="1945">
        <f>Y253+Z253+AA253+AB253+AC253+AD253+AE253</f>
        <v>459.1181378374809</v>
      </c>
      <c r="AH253" s="2587"/>
      <c r="AI253" s="2634"/>
      <c r="AJ253" s="2634"/>
      <c r="AK253" s="2634"/>
      <c r="AL253" s="2597" t="s">
        <v>429</v>
      </c>
      <c r="AM253" s="2597" t="s">
        <v>429</v>
      </c>
      <c r="AN253" s="2634"/>
      <c r="AO253" s="2634"/>
      <c r="AP253" s="3062" t="s">
        <v>937</v>
      </c>
    </row>
    <row r="254" spans="1:42" ht="15.75" customHeight="1" x14ac:dyDescent="0.25">
      <c r="A254" s="2599"/>
      <c r="B254" s="2833" t="s">
        <v>152</v>
      </c>
      <c r="C254" s="2833"/>
      <c r="D254" s="2672" t="s">
        <v>1133</v>
      </c>
      <c r="E254" s="2600"/>
      <c r="F254" s="2824">
        <f>'exchange rates'!$O$58</f>
        <v>0.83301000000000003</v>
      </c>
      <c r="G254" s="2895">
        <v>0</v>
      </c>
      <c r="H254" s="2896">
        <f>153.64/F254</f>
        <v>184.43956255026947</v>
      </c>
      <c r="I254" s="2897">
        <v>0</v>
      </c>
      <c r="J254" s="2898">
        <f>15.36/F254</f>
        <v>18.439154391904058</v>
      </c>
      <c r="K254" s="566">
        <f>Tabel668926[[#This Row],[Fix.ch. 2017]]+Tabel668926[[#This Row],[Var. ch. 2017]]+Tabel668926[[#This Row],[Oth. ch. DW 2017]]+Tabel668926[[#This Row],[VAT DW 2017]]</f>
        <v>202.87871694217353</v>
      </c>
      <c r="L254" s="2899">
        <v>0</v>
      </c>
      <c r="M254" s="2900">
        <v>0</v>
      </c>
      <c r="N254" s="2901">
        <f>146.88/F254</f>
        <v>176.32441387258254</v>
      </c>
      <c r="O254" s="2898">
        <f>14.69/F254</f>
        <v>17.6348423188197</v>
      </c>
      <c r="P254" s="2902">
        <v>0</v>
      </c>
      <c r="Q254" s="2898">
        <v>0</v>
      </c>
      <c r="R254" s="2586">
        <f>Tabel668926[[#This Row],[VAT DW 2017]]+Tabel668926[[#This Row],[VAT Sew. 2017]]+Tabel668926[[#This Row],[VAT WW 2017]]+Tabel668926[[#This Row],[VAT Other ch. 2017]]</f>
        <v>36.073996710723762</v>
      </c>
      <c r="S254" s="571">
        <f>Tabel668926[[#This Row],[Total. ch. DW 2017]]+Tabel668926[[#This Row],[Sew. 2017]]+Tabel668926[[#This Row],[VAT Sew. 2017]]+Tabel668926[[#This Row],[WW 2017]]+Tabel668926[[#This Row],[VAT WW 2017]]+Tabel668926[[#This Row],[Other ch. 2017]]+Tabel668926[[#This Row],[VAT Other ch. 2017]]</f>
        <v>396.83797313357576</v>
      </c>
      <c r="T254" s="2587"/>
      <c r="U254" s="2601"/>
      <c r="V254" s="2602"/>
      <c r="W254" s="2603"/>
      <c r="X254" s="2604"/>
      <c r="Y254" s="2605"/>
      <c r="Z254" s="2606"/>
      <c r="AA254" s="2604"/>
      <c r="AB254" s="2607"/>
      <c r="AC254" s="2604"/>
      <c r="AD254" s="2608"/>
      <c r="AE254" s="2604"/>
      <c r="AF254" s="2609"/>
      <c r="AG254" s="1791"/>
      <c r="AH254" s="2587"/>
      <c r="AI254" s="2634"/>
      <c r="AJ254" s="2634"/>
      <c r="AK254" s="2634"/>
      <c r="AL254" s="2597" t="s">
        <v>429</v>
      </c>
      <c r="AM254" s="2597" t="s">
        <v>429</v>
      </c>
      <c r="AN254" s="2597" t="s">
        <v>429</v>
      </c>
      <c r="AO254" s="2634"/>
      <c r="AP254" s="3062" t="s">
        <v>937</v>
      </c>
    </row>
    <row r="255" spans="1:42" ht="15.75" customHeight="1" x14ac:dyDescent="0.25">
      <c r="A255" s="2599"/>
      <c r="B255" s="2833" t="s">
        <v>153</v>
      </c>
      <c r="C255" s="2833" t="s">
        <v>429</v>
      </c>
      <c r="D255" s="2672" t="s">
        <v>1133</v>
      </c>
      <c r="E255" s="2600"/>
      <c r="F255" s="2824">
        <f>'exchange rates'!$O$58</f>
        <v>0.83301000000000003</v>
      </c>
      <c r="G255" s="2895">
        <v>0</v>
      </c>
      <c r="H255" s="2896">
        <f>165.94/F255</f>
        <v>199.20529165316142</v>
      </c>
      <c r="I255" s="2897">
        <v>0</v>
      </c>
      <c r="J255" s="2898">
        <f>16.59/F255</f>
        <v>19.91572730219325</v>
      </c>
      <c r="K255" s="566">
        <f>Tabel668926[[#This Row],[Fix.ch. 2017]]+Tabel668926[[#This Row],[Var. ch. 2017]]+Tabel668926[[#This Row],[Oth. ch. DW 2017]]+Tabel668926[[#This Row],[VAT DW 2017]]</f>
        <v>219.12101895535469</v>
      </c>
      <c r="L255" s="2899">
        <f>28.84/F255</f>
        <v>34.621433116049026</v>
      </c>
      <c r="M255" s="2900">
        <f>2.88/F255</f>
        <v>3.4573414484820106</v>
      </c>
      <c r="N255" s="2901">
        <f>83.32/F255</f>
        <v>100.02280884983372</v>
      </c>
      <c r="O255" s="2898">
        <f>8.33/F255</f>
        <v>9.999879953421928</v>
      </c>
      <c r="P255" s="2902">
        <v>0</v>
      </c>
      <c r="Q255" s="2898">
        <v>0</v>
      </c>
      <c r="R255" s="2586">
        <f>Tabel668926[[#This Row],[VAT DW 2017]]+Tabel668926[[#This Row],[VAT Sew. 2017]]+Tabel668926[[#This Row],[VAT WW 2017]]+Tabel668926[[#This Row],[VAT Other ch. 2017]]</f>
        <v>33.37294870409719</v>
      </c>
      <c r="S255" s="571">
        <f>Tabel668926[[#This Row],[Total. ch. DW 2017]]+Tabel668926[[#This Row],[Sew. 2017]]+Tabel668926[[#This Row],[VAT Sew. 2017]]+Tabel668926[[#This Row],[WW 2017]]+Tabel668926[[#This Row],[VAT WW 2017]]+Tabel668926[[#This Row],[Other ch. 2017]]+Tabel668926[[#This Row],[VAT Other ch. 2017]]</f>
        <v>367.22248232314138</v>
      </c>
      <c r="T255" s="2587"/>
      <c r="U255" s="2601"/>
      <c r="V255" s="2602"/>
      <c r="W255" s="2603"/>
      <c r="X255" s="2604"/>
      <c r="Y255" s="2605"/>
      <c r="Z255" s="2606"/>
      <c r="AA255" s="2604"/>
      <c r="AB255" s="2607"/>
      <c r="AC255" s="2604"/>
      <c r="AD255" s="2608"/>
      <c r="AE255" s="2604"/>
      <c r="AF255" s="2609"/>
      <c r="AG255" s="1791"/>
      <c r="AH255" s="2587"/>
      <c r="AI255" s="2634"/>
      <c r="AJ255" s="2634"/>
      <c r="AK255" s="2634"/>
      <c r="AL255" s="2597" t="s">
        <v>429</v>
      </c>
      <c r="AM255" s="2597" t="s">
        <v>429</v>
      </c>
      <c r="AN255" s="2634"/>
      <c r="AO255" s="2634"/>
      <c r="AP255" s="3062" t="s">
        <v>937</v>
      </c>
    </row>
    <row r="256" spans="1:42" ht="15.75" customHeight="1" x14ac:dyDescent="0.25">
      <c r="A256" s="2599"/>
      <c r="B256" s="2833" t="s">
        <v>214</v>
      </c>
      <c r="C256" s="2833"/>
      <c r="D256" s="2672" t="s">
        <v>1133</v>
      </c>
      <c r="E256" s="2600"/>
      <c r="F256" s="2824">
        <f>'exchange rates'!$O$58</f>
        <v>0.83301000000000003</v>
      </c>
      <c r="G256" s="2895">
        <v>0</v>
      </c>
      <c r="H256" s="2896">
        <f>160.24/F256</f>
        <v>192.36263670304078</v>
      </c>
      <c r="I256" s="2897">
        <v>0</v>
      </c>
      <c r="J256" s="2898">
        <f>16.02/F256</f>
        <v>19.231461807181184</v>
      </c>
      <c r="K256" s="566">
        <f>Tabel668926[[#This Row],[Fix.ch. 2017]]+Tabel668926[[#This Row],[Var. ch. 2017]]+Tabel668926[[#This Row],[Oth. ch. DW 2017]]+Tabel668926[[#This Row],[VAT DW 2017]]</f>
        <v>211.59409851022195</v>
      </c>
      <c r="L256" s="2899">
        <f>82.72/F256</f>
        <v>99.302529381399978</v>
      </c>
      <c r="M256" s="2900">
        <f>8.27/F256</f>
        <v>9.9278520065785525</v>
      </c>
      <c r="N256" s="2901">
        <f>156.06/F256</f>
        <v>187.34468973961896</v>
      </c>
      <c r="O256" s="2898">
        <f>15.81/F256</f>
        <v>18.979363993229374</v>
      </c>
      <c r="P256" s="2902">
        <v>0</v>
      </c>
      <c r="Q256" s="2898">
        <v>0</v>
      </c>
      <c r="R256" s="2586">
        <f>Tabel668926[[#This Row],[VAT DW 2017]]+Tabel668926[[#This Row],[VAT Sew. 2017]]+Tabel668926[[#This Row],[VAT WW 2017]]+Tabel668926[[#This Row],[VAT Other ch. 2017]]</f>
        <v>48.138677806989108</v>
      </c>
      <c r="S256" s="571">
        <f>Tabel668926[[#This Row],[Total. ch. DW 2017]]+Tabel668926[[#This Row],[Sew. 2017]]+Tabel668926[[#This Row],[VAT Sew. 2017]]+Tabel668926[[#This Row],[WW 2017]]+Tabel668926[[#This Row],[VAT WW 2017]]+Tabel668926[[#This Row],[Other ch. 2017]]+Tabel668926[[#This Row],[VAT Other ch. 2017]]</f>
        <v>527.14853363104885</v>
      </c>
      <c r="T256" s="2587"/>
      <c r="U256" s="2601"/>
      <c r="V256" s="2602"/>
      <c r="W256" s="2603"/>
      <c r="X256" s="2604"/>
      <c r="Y256" s="2605"/>
      <c r="Z256" s="2606"/>
      <c r="AA256" s="2604"/>
      <c r="AB256" s="2607"/>
      <c r="AC256" s="2604"/>
      <c r="AD256" s="2608"/>
      <c r="AE256" s="2604"/>
      <c r="AF256" s="2609"/>
      <c r="AG256" s="1791"/>
      <c r="AH256" s="2587"/>
      <c r="AI256" s="2634"/>
      <c r="AJ256" s="2634"/>
      <c r="AK256" s="2634"/>
      <c r="AL256" s="2597" t="s">
        <v>429</v>
      </c>
      <c r="AM256" s="2597" t="s">
        <v>429</v>
      </c>
      <c r="AN256" s="2634"/>
      <c r="AO256" s="2634"/>
      <c r="AP256" s="3062" t="s">
        <v>937</v>
      </c>
    </row>
    <row r="257" spans="1:42" ht="15.75" customHeight="1" thickBot="1" x14ac:dyDescent="0.3">
      <c r="A257" s="2610"/>
      <c r="B257" s="2834" t="s">
        <v>154</v>
      </c>
      <c r="C257" s="2835"/>
      <c r="D257" s="2696" t="s">
        <v>1133</v>
      </c>
      <c r="E257" s="2663"/>
      <c r="F257" s="2824">
        <f>'exchange rates'!$O$58</f>
        <v>0.83301000000000003</v>
      </c>
      <c r="G257" s="2895">
        <v>0</v>
      </c>
      <c r="H257" s="2896">
        <f>182.64/F257</f>
        <v>219.25307019123417</v>
      </c>
      <c r="I257" s="2897">
        <v>0</v>
      </c>
      <c r="J257" s="2898">
        <f>18.26/F257</f>
        <v>21.92050515600053</v>
      </c>
      <c r="K257" s="566">
        <f>Tabel668926[[#This Row],[Fix.ch. 2017]]+Tabel668926[[#This Row],[Var. ch. 2017]]+Tabel668926[[#This Row],[Oth. ch. DW 2017]]+Tabel668926[[#This Row],[VAT DW 2017]]</f>
        <v>241.1735753472347</v>
      </c>
      <c r="L257" s="2899">
        <f>60.58/F257</f>
        <v>72.724216996194514</v>
      </c>
      <c r="M257" s="2900">
        <f>6.06/F257</f>
        <v>7.2748226311808972</v>
      </c>
      <c r="N257" s="2901">
        <f>133.02/F257</f>
        <v>159.68595815176289</v>
      </c>
      <c r="O257" s="2898">
        <f>13.3/F257</f>
        <v>15.966194883614843</v>
      </c>
      <c r="P257" s="2902">
        <v>0</v>
      </c>
      <c r="Q257" s="2898">
        <v>0</v>
      </c>
      <c r="R257" s="2586">
        <f>Tabel668926[[#This Row],[VAT DW 2017]]+Tabel668926[[#This Row],[VAT Sew. 2017]]+Tabel668926[[#This Row],[VAT WW 2017]]+Tabel668926[[#This Row],[VAT Other ch. 2017]]</f>
        <v>45.161522670796273</v>
      </c>
      <c r="S257" s="571">
        <f>Tabel668926[[#This Row],[Total. ch. DW 2017]]+Tabel668926[[#This Row],[Sew. 2017]]+Tabel668926[[#This Row],[VAT Sew. 2017]]+Tabel668926[[#This Row],[WW 2017]]+Tabel668926[[#This Row],[VAT WW 2017]]+Tabel668926[[#This Row],[Other ch. 2017]]+Tabel668926[[#This Row],[VAT Other ch. 2017]]</f>
        <v>496.82476800998785</v>
      </c>
      <c r="T257" s="2587"/>
      <c r="U257" s="2664"/>
      <c r="V257" s="2665"/>
      <c r="W257" s="2666"/>
      <c r="X257" s="2615"/>
      <c r="Y257" s="2667"/>
      <c r="Z257" s="2668"/>
      <c r="AA257" s="2615"/>
      <c r="AB257" s="2669"/>
      <c r="AC257" s="2615"/>
      <c r="AD257" s="2670"/>
      <c r="AE257" s="2615"/>
      <c r="AF257" s="2671"/>
      <c r="AG257" s="1792"/>
      <c r="AH257" s="2587"/>
      <c r="AI257" s="2634"/>
      <c r="AJ257" s="2598"/>
      <c r="AK257" s="2598"/>
      <c r="AL257" s="2597" t="s">
        <v>429</v>
      </c>
      <c r="AM257" s="2597" t="s">
        <v>429</v>
      </c>
      <c r="AN257" s="2634"/>
      <c r="AO257" s="2634"/>
      <c r="AP257" s="3062" t="s">
        <v>937</v>
      </c>
    </row>
    <row r="258" spans="1:42" ht="15.75" customHeight="1" x14ac:dyDescent="0.25">
      <c r="A258" s="2698" t="s">
        <v>48</v>
      </c>
      <c r="B258" s="2821" t="s">
        <v>155</v>
      </c>
      <c r="C258" s="2822" t="s">
        <v>429</v>
      </c>
      <c r="D258" s="2673" t="s">
        <v>1135</v>
      </c>
      <c r="E258" s="2823">
        <v>51300</v>
      </c>
      <c r="F258" s="2824">
        <f>'exchange rates'!$O$59</f>
        <v>8.1602899999999998</v>
      </c>
      <c r="G258" s="2895">
        <f>1683/F258</f>
        <v>206.24267029725661</v>
      </c>
      <c r="H258" s="2896">
        <f>730/F258</f>
        <v>89.457605060604465</v>
      </c>
      <c r="I258" s="2897">
        <f>0</f>
        <v>0</v>
      </c>
      <c r="J258" s="2898">
        <f>603.25/F258</f>
        <v>73.925068839465268</v>
      </c>
      <c r="K258" s="566">
        <f>Tabel668926[[#This Row],[Fix.ch. 2017]]+Tabel668926[[#This Row],[Var. ch. 2017]]+Tabel668926[[#This Row],[Oth. ch. DW 2017]]+Tabel668926[[#This Row],[VAT DW 2017]]</f>
        <v>369.62534419732634</v>
      </c>
      <c r="L258" s="2899">
        <f>650/F258</f>
        <v>79.654031903277954</v>
      </c>
      <c r="M258" s="2900">
        <f>162.5/F258</f>
        <v>19.913507975819488</v>
      </c>
      <c r="N258" s="2901">
        <v>0</v>
      </c>
      <c r="O258" s="2898">
        <v>0</v>
      </c>
      <c r="P258" s="2902">
        <v>0</v>
      </c>
      <c r="Q258" s="2898">
        <v>0</v>
      </c>
      <c r="R258" s="2586">
        <f>Tabel668926[[#This Row],[VAT DW 2017]]+Tabel668926[[#This Row],[VAT Sew. 2017]]+Tabel668926[[#This Row],[VAT WW 2017]]+Tabel668926[[#This Row],[VAT Other ch. 2017]]</f>
        <v>93.838576815284753</v>
      </c>
      <c r="S258" s="571">
        <f>Tabel668926[[#This Row],[Total. ch. DW 2017]]+Tabel668926[[#This Row],[Sew. 2017]]+Tabel668926[[#This Row],[VAT Sew. 2017]]+Tabel668926[[#This Row],[WW 2017]]+Tabel668926[[#This Row],[VAT WW 2017]]+Tabel668926[[#This Row],[Other ch. 2017]]+Tabel668926[[#This Row],[VAT Other ch. 2017]]</f>
        <v>469.19288407642375</v>
      </c>
      <c r="T258" s="2587"/>
      <c r="U258" s="2674">
        <f>MEDIAN(G258:G262)</f>
        <v>206.24267029725661</v>
      </c>
      <c r="V258" s="2675">
        <f t="shared" ref="V258:X258" si="31">MEDIAN(H258:H262)</f>
        <v>155.63172387255847</v>
      </c>
      <c r="W258" s="2676">
        <f t="shared" si="31"/>
        <v>0</v>
      </c>
      <c r="X258" s="2796">
        <f t="shared" si="31"/>
        <v>80.297391391727501</v>
      </c>
      <c r="Y258" s="2677">
        <f>SUM(U258:X262)</f>
        <v>442.17178556154261</v>
      </c>
      <c r="Z258" s="2678">
        <f t="shared" ref="Z258:AF258" si="32">MEDIAN(L258:L262)</f>
        <v>181.61119273947372</v>
      </c>
      <c r="AA258" s="2796">
        <f t="shared" si="32"/>
        <v>45.402798184868431</v>
      </c>
      <c r="AB258" s="2679">
        <f t="shared" si="32"/>
        <v>0</v>
      </c>
      <c r="AC258" s="2796">
        <f t="shared" si="32"/>
        <v>0</v>
      </c>
      <c r="AD258" s="2680">
        <f t="shared" si="32"/>
        <v>0</v>
      </c>
      <c r="AE258" s="2796">
        <f t="shared" si="32"/>
        <v>0</v>
      </c>
      <c r="AF258" s="2681">
        <f t="shared" si="32"/>
        <v>162.6780420793869</v>
      </c>
      <c r="AG258" s="1817">
        <f>Y258+Z258+AA258+AB258+AC258+AD258+AE258</f>
        <v>669.18577648588473</v>
      </c>
      <c r="AH258" s="2587"/>
      <c r="AI258" s="2634"/>
      <c r="AJ258" s="2597" t="s">
        <v>429</v>
      </c>
      <c r="AK258" s="2598"/>
      <c r="AL258" s="2598"/>
      <c r="AM258" s="2597" t="s">
        <v>429</v>
      </c>
      <c r="AN258" s="2598"/>
      <c r="AO258" s="2634"/>
      <c r="AP258" s="2587"/>
    </row>
    <row r="259" spans="1:42" ht="15.75" customHeight="1" x14ac:dyDescent="0.25">
      <c r="A259" s="2599"/>
      <c r="B259" s="2833" t="s">
        <v>156</v>
      </c>
      <c r="C259" s="2833"/>
      <c r="D259" s="2672" t="s">
        <v>1135</v>
      </c>
      <c r="E259" s="2847"/>
      <c r="F259" s="2824">
        <f>'exchange rates'!$O$59</f>
        <v>8.1602899999999998</v>
      </c>
      <c r="G259" s="2895">
        <f>2443/F259</f>
        <v>299.37661529185851</v>
      </c>
      <c r="H259" s="2896">
        <f>1438/F259</f>
        <v>176.21922750294414</v>
      </c>
      <c r="I259" s="2897">
        <v>0</v>
      </c>
      <c r="J259" s="2898">
        <f>970.25/F259</f>
        <v>118.89896069870066</v>
      </c>
      <c r="K259" s="566">
        <f>Tabel668926[[#This Row],[Fix.ch. 2017]]+Tabel668926[[#This Row],[Var. ch. 2017]]+Tabel668926[[#This Row],[Oth. ch. DW 2017]]+Tabel668926[[#This Row],[VAT DW 2017]]</f>
        <v>594.49480349350335</v>
      </c>
      <c r="L259" s="2899">
        <f>1482/F259</f>
        <v>181.61119273947372</v>
      </c>
      <c r="M259" s="2900">
        <f>370.5/F259</f>
        <v>45.402798184868431</v>
      </c>
      <c r="N259" s="2901">
        <v>0</v>
      </c>
      <c r="O259" s="2898">
        <v>0</v>
      </c>
      <c r="P259" s="2902">
        <v>0</v>
      </c>
      <c r="Q259" s="2898">
        <v>0</v>
      </c>
      <c r="R259" s="2586">
        <f>Tabel668926[[#This Row],[VAT DW 2017]]+Tabel668926[[#This Row],[VAT Sew. 2017]]+Tabel668926[[#This Row],[VAT WW 2017]]+Tabel668926[[#This Row],[VAT Other ch. 2017]]</f>
        <v>164.30175888356911</v>
      </c>
      <c r="S259" s="571">
        <f>Tabel668926[[#This Row],[Total. ch. DW 2017]]+Tabel668926[[#This Row],[Sew. 2017]]+Tabel668926[[#This Row],[VAT Sew. 2017]]+Tabel668926[[#This Row],[WW 2017]]+Tabel668926[[#This Row],[VAT WW 2017]]+Tabel668926[[#This Row],[Other ch. 2017]]+Tabel668926[[#This Row],[VAT Other ch. 2017]]</f>
        <v>821.50879441784548</v>
      </c>
      <c r="T259" s="2587"/>
      <c r="U259" s="2601"/>
      <c r="V259" s="2602"/>
      <c r="W259" s="2603"/>
      <c r="X259" s="2604"/>
      <c r="Y259" s="2605"/>
      <c r="Z259" s="2606"/>
      <c r="AA259" s="2604"/>
      <c r="AB259" s="2607"/>
      <c r="AC259" s="2604"/>
      <c r="AD259" s="2608"/>
      <c r="AE259" s="2604"/>
      <c r="AF259" s="2609"/>
      <c r="AG259" s="1791"/>
      <c r="AH259" s="2587"/>
      <c r="AI259" s="2634"/>
      <c r="AJ259" s="2597" t="s">
        <v>429</v>
      </c>
      <c r="AK259" s="2598"/>
      <c r="AL259" s="2598"/>
      <c r="AM259" s="2597" t="s">
        <v>429</v>
      </c>
      <c r="AN259" s="2598"/>
      <c r="AO259" s="2634"/>
      <c r="AP259" s="2587"/>
    </row>
    <row r="260" spans="1:42" ht="15.75" customHeight="1" x14ac:dyDescent="0.25">
      <c r="A260" s="2599"/>
      <c r="B260" s="2833" t="s">
        <v>157</v>
      </c>
      <c r="C260" s="2833"/>
      <c r="D260" s="2672" t="s">
        <v>1135</v>
      </c>
      <c r="E260" s="2847"/>
      <c r="F260" s="2824">
        <f>'exchange rates'!$O$59</f>
        <v>8.1602899999999998</v>
      </c>
      <c r="G260" s="2895">
        <f>1653/F260</f>
        <v>202.56633036325914</v>
      </c>
      <c r="H260" s="2896">
        <f>968/F260</f>
        <v>118.62323520365085</v>
      </c>
      <c r="I260" s="2897">
        <v>0</v>
      </c>
      <c r="J260" s="2898">
        <f>655.25/F260</f>
        <v>80.297391391727501</v>
      </c>
      <c r="K260" s="566">
        <f>Tabel668926[[#This Row],[Fix.ch. 2017]]+Tabel668926[[#This Row],[Var. ch. 2017]]+Tabel668926[[#This Row],[Oth. ch. DW 2017]]+Tabel668926[[#This Row],[VAT DW 2017]]</f>
        <v>401.48695695863751</v>
      </c>
      <c r="L260" s="2899">
        <f>1028/F260</f>
        <v>125.97591507164574</v>
      </c>
      <c r="M260" s="2900">
        <f>257/F260</f>
        <v>31.493978767911436</v>
      </c>
      <c r="N260" s="2901">
        <v>0</v>
      </c>
      <c r="O260" s="2898">
        <v>0</v>
      </c>
      <c r="P260" s="2902">
        <v>0</v>
      </c>
      <c r="Q260" s="2898">
        <v>0</v>
      </c>
      <c r="R260" s="2586">
        <f>Tabel668926[[#This Row],[VAT DW 2017]]+Tabel668926[[#This Row],[VAT Sew. 2017]]+Tabel668926[[#This Row],[VAT WW 2017]]+Tabel668926[[#This Row],[VAT Other ch. 2017]]</f>
        <v>111.79137015963894</v>
      </c>
      <c r="S260" s="571">
        <f>Tabel668926[[#This Row],[Total. ch. DW 2017]]+Tabel668926[[#This Row],[Sew. 2017]]+Tabel668926[[#This Row],[VAT Sew. 2017]]+Tabel668926[[#This Row],[WW 2017]]+Tabel668926[[#This Row],[VAT WW 2017]]+Tabel668926[[#This Row],[Other ch. 2017]]+Tabel668926[[#This Row],[VAT Other ch. 2017]]</f>
        <v>558.95685079819475</v>
      </c>
      <c r="T260" s="2587"/>
      <c r="U260" s="2601"/>
      <c r="V260" s="2602"/>
      <c r="W260" s="2603"/>
      <c r="X260" s="2604"/>
      <c r="Y260" s="2605"/>
      <c r="Z260" s="2606"/>
      <c r="AA260" s="2604"/>
      <c r="AB260" s="2607"/>
      <c r="AC260" s="2604"/>
      <c r="AD260" s="2608"/>
      <c r="AE260" s="2604"/>
      <c r="AF260" s="2609"/>
      <c r="AG260" s="1791"/>
      <c r="AH260" s="2587"/>
      <c r="AI260" s="2634"/>
      <c r="AJ260" s="2597" t="s">
        <v>429</v>
      </c>
      <c r="AK260" s="2598"/>
      <c r="AL260" s="2598"/>
      <c r="AM260" s="2597" t="s">
        <v>429</v>
      </c>
      <c r="AN260" s="2598"/>
      <c r="AO260" s="2634"/>
      <c r="AP260" s="2587"/>
    </row>
    <row r="261" spans="1:42" ht="15.75" customHeight="1" x14ac:dyDescent="0.25">
      <c r="A261" s="2599"/>
      <c r="B261" s="2833" t="s">
        <v>158</v>
      </c>
      <c r="C261" s="2833"/>
      <c r="D261" s="2672" t="s">
        <v>1135</v>
      </c>
      <c r="E261" s="2847"/>
      <c r="F261" s="2824">
        <f>'exchange rates'!$O$59</f>
        <v>8.1602899999999998</v>
      </c>
      <c r="G261" s="2895">
        <f>0</f>
        <v>0</v>
      </c>
      <c r="H261" s="2896">
        <f>2470/F261</f>
        <v>302.6853212324562</v>
      </c>
      <c r="I261" s="2897">
        <v>0</v>
      </c>
      <c r="J261" s="2898">
        <f>617.5/F261</f>
        <v>75.671330308114051</v>
      </c>
      <c r="K261" s="566">
        <f>Tabel668926[[#This Row],[Fix.ch. 2017]]+Tabel668926[[#This Row],[Var. ch. 2017]]+Tabel668926[[#This Row],[Oth. ch. DW 2017]]+Tabel668926[[#This Row],[VAT DW 2017]]</f>
        <v>378.35665154057028</v>
      </c>
      <c r="L261" s="2899">
        <f>3706/F261</f>
        <v>454.15052651315091</v>
      </c>
      <c r="M261" s="2900">
        <f>926.5/F261</f>
        <v>113.53763162828773</v>
      </c>
      <c r="N261" s="2901">
        <v>0</v>
      </c>
      <c r="O261" s="2898">
        <v>0</v>
      </c>
      <c r="P261" s="2902">
        <v>0</v>
      </c>
      <c r="Q261" s="2898">
        <v>0</v>
      </c>
      <c r="R261" s="2586">
        <f>Tabel668926[[#This Row],[VAT DW 2017]]+Tabel668926[[#This Row],[VAT Sew. 2017]]+Tabel668926[[#This Row],[VAT WW 2017]]+Tabel668926[[#This Row],[VAT Other ch. 2017]]</f>
        <v>189.20896193640178</v>
      </c>
      <c r="S261" s="571">
        <f>Tabel668926[[#This Row],[Total. ch. DW 2017]]+Tabel668926[[#This Row],[Sew. 2017]]+Tabel668926[[#This Row],[VAT Sew. 2017]]+Tabel668926[[#This Row],[WW 2017]]+Tabel668926[[#This Row],[VAT WW 2017]]+Tabel668926[[#This Row],[Other ch. 2017]]+Tabel668926[[#This Row],[VAT Other ch. 2017]]</f>
        <v>946.04480968200892</v>
      </c>
      <c r="T261" s="2587"/>
      <c r="U261" s="2601"/>
      <c r="V261" s="2602"/>
      <c r="W261" s="2603"/>
      <c r="X261" s="2604"/>
      <c r="Y261" s="2605"/>
      <c r="Z261" s="2606"/>
      <c r="AA261" s="2604"/>
      <c r="AB261" s="2607"/>
      <c r="AC261" s="2604"/>
      <c r="AD261" s="2608"/>
      <c r="AE261" s="2604"/>
      <c r="AF261" s="2609"/>
      <c r="AG261" s="1791"/>
      <c r="AH261" s="2587"/>
      <c r="AI261" s="2634"/>
      <c r="AJ261" s="2597" t="s">
        <v>429</v>
      </c>
      <c r="AK261" s="2598"/>
      <c r="AL261" s="2598"/>
      <c r="AM261" s="2597"/>
      <c r="AN261" s="2598"/>
      <c r="AO261" s="2634"/>
      <c r="AP261" s="2587"/>
    </row>
    <row r="262" spans="1:42" ht="15.75" customHeight="1" thickBot="1" x14ac:dyDescent="0.3">
      <c r="A262" s="2610"/>
      <c r="B262" s="2834" t="s">
        <v>159</v>
      </c>
      <c r="C262" s="2835"/>
      <c r="D262" s="2696" t="s">
        <v>1135</v>
      </c>
      <c r="E262" s="2663"/>
      <c r="F262" s="2824">
        <f>'exchange rates'!$O$59</f>
        <v>8.1602899999999998</v>
      </c>
      <c r="G262" s="2895">
        <f>2330/F262</f>
        <v>285.5290682071348</v>
      </c>
      <c r="H262" s="2896">
        <f>1270/F262</f>
        <v>155.63172387255847</v>
      </c>
      <c r="I262" s="2897">
        <v>0</v>
      </c>
      <c r="J262" s="2898">
        <f>900/F262</f>
        <v>110.29019801992331</v>
      </c>
      <c r="K262" s="566">
        <f>Tabel668926[[#This Row],[Fix.ch. 2017]]+Tabel668926[[#This Row],[Var. ch. 2017]]+Tabel668926[[#This Row],[Oth. ch. DW 2017]]+Tabel668926[[#This Row],[VAT DW 2017]]</f>
        <v>551.45099009961655</v>
      </c>
      <c r="L262" s="2899">
        <f>1710/F262</f>
        <v>209.5513762378543</v>
      </c>
      <c r="M262" s="2900">
        <f>427.5/F262</f>
        <v>52.387844059463575</v>
      </c>
      <c r="N262" s="2901">
        <v>0</v>
      </c>
      <c r="O262" s="2898">
        <v>0</v>
      </c>
      <c r="P262" s="2902">
        <v>0</v>
      </c>
      <c r="Q262" s="2898">
        <v>0</v>
      </c>
      <c r="R262" s="2586">
        <f>Tabel668926[[#This Row],[VAT DW 2017]]+Tabel668926[[#This Row],[VAT Sew. 2017]]+Tabel668926[[#This Row],[VAT WW 2017]]+Tabel668926[[#This Row],[VAT Other ch. 2017]]</f>
        <v>162.6780420793869</v>
      </c>
      <c r="S262" s="571">
        <f>Tabel668926[[#This Row],[Total. ch. DW 2017]]+Tabel668926[[#This Row],[Sew. 2017]]+Tabel668926[[#This Row],[VAT Sew. 2017]]+Tabel668926[[#This Row],[WW 2017]]+Tabel668926[[#This Row],[VAT WW 2017]]+Tabel668926[[#This Row],[Other ch. 2017]]+Tabel668926[[#This Row],[VAT Other ch. 2017]]</f>
        <v>813.39021039693444</v>
      </c>
      <c r="T262" s="2587"/>
      <c r="U262" s="3159"/>
      <c r="V262" s="3160"/>
      <c r="W262" s="3161"/>
      <c r="X262" s="2615"/>
      <c r="Y262" s="3162"/>
      <c r="Z262" s="3163"/>
      <c r="AA262" s="2615"/>
      <c r="AB262" s="3164"/>
      <c r="AC262" s="2615"/>
      <c r="AD262" s="3165"/>
      <c r="AE262" s="2615"/>
      <c r="AF262" s="3166"/>
      <c r="AG262" s="2174"/>
      <c r="AH262" s="2587"/>
      <c r="AI262" s="2634"/>
      <c r="AJ262" s="2597" t="s">
        <v>429</v>
      </c>
      <c r="AK262" s="2598"/>
      <c r="AL262" s="2598"/>
      <c r="AM262" s="2597" t="s">
        <v>429</v>
      </c>
      <c r="AN262" s="2598"/>
      <c r="AO262" s="2634"/>
      <c r="AP262" s="2587"/>
    </row>
    <row r="263" spans="1:42" ht="15.75" customHeight="1" x14ac:dyDescent="0.25">
      <c r="A263" s="2687" t="s">
        <v>28</v>
      </c>
      <c r="B263" s="2868" t="s">
        <v>160</v>
      </c>
      <c r="C263" s="2837"/>
      <c r="D263" s="2689" t="s">
        <v>1137</v>
      </c>
      <c r="E263" s="2838">
        <v>61400</v>
      </c>
      <c r="F263" s="2824">
        <f>'exchange rates'!$O$60</f>
        <v>0.97441999999999995</v>
      </c>
      <c r="G263" s="2895">
        <f>112/F263</f>
        <v>114.94016953675008</v>
      </c>
      <c r="H263" s="2896">
        <f>216/F263</f>
        <v>221.67032696373229</v>
      </c>
      <c r="I263" s="2897">
        <v>0</v>
      </c>
      <c r="J263" s="2898">
        <f>26.24/F263</f>
        <v>26.928839720038585</v>
      </c>
      <c r="K263" s="566">
        <f>Tabel668926[[#This Row],[Fix.ch. 2017]]+Tabel668926[[#This Row],[Var. ch. 2017]]+Tabel668926[[#This Row],[Oth. ch. DW 2017]]+Tabel668926[[#This Row],[VAT DW 2017]]</f>
        <v>363.53933622052097</v>
      </c>
      <c r="L263" s="2899">
        <f>479/F263</f>
        <v>491.57447507235077</v>
      </c>
      <c r="M263" s="2900">
        <f>11.98/F263</f>
        <v>12.294493134377374</v>
      </c>
      <c r="N263" s="2901">
        <v>0</v>
      </c>
      <c r="O263" s="2898">
        <v>0</v>
      </c>
      <c r="P263" s="2902">
        <v>0</v>
      </c>
      <c r="Q263" s="2898">
        <v>0</v>
      </c>
      <c r="R263" s="2586">
        <f>Tabel668926[[#This Row],[VAT DW 2017]]+Tabel668926[[#This Row],[VAT Sew. 2017]]+Tabel668926[[#This Row],[VAT WW 2017]]+Tabel668926[[#This Row],[VAT Other ch. 2017]]</f>
        <v>39.223332854415958</v>
      </c>
      <c r="S263" s="571">
        <f>Tabel668926[[#This Row],[Total. ch. DW 2017]]+Tabel668926[[#This Row],[Sew. 2017]]+Tabel668926[[#This Row],[VAT Sew. 2017]]+Tabel668926[[#This Row],[WW 2017]]+Tabel668926[[#This Row],[VAT WW 2017]]+Tabel668926[[#This Row],[Other ch. 2017]]+Tabel668926[[#This Row],[VAT Other ch. 2017]]</f>
        <v>867.40830442724916</v>
      </c>
      <c r="T263" s="2587"/>
      <c r="U263" s="2839">
        <f>MEDIAN(G263:G267)</f>
        <v>71.837605960468792</v>
      </c>
      <c r="V263" s="2840">
        <f>MEDIAN(H263:H267)</f>
        <v>394.08058126885737</v>
      </c>
      <c r="W263" s="2841">
        <f>MEDIAN(I263:I267)</f>
        <v>0</v>
      </c>
      <c r="X263" s="2815">
        <f>MEDIAN(J263:J267)</f>
        <v>35.959853040783237</v>
      </c>
      <c r="Y263" s="2828">
        <f>SUM(U263:X267)</f>
        <v>501.87804027010941</v>
      </c>
      <c r="Z263" s="2843">
        <f t="shared" ref="Z263:AF263" si="33">MEDIAN(L263:L267)</f>
        <v>447.2711972250159</v>
      </c>
      <c r="AA263" s="2815">
        <f t="shared" si="33"/>
        <v>11.186141499558714</v>
      </c>
      <c r="AB263" s="2844">
        <f t="shared" si="33"/>
        <v>0</v>
      </c>
      <c r="AC263" s="2815">
        <f t="shared" si="33"/>
        <v>0</v>
      </c>
      <c r="AD263" s="2845">
        <f t="shared" si="33"/>
        <v>0</v>
      </c>
      <c r="AE263" s="2815">
        <f t="shared" si="33"/>
        <v>0</v>
      </c>
      <c r="AF263" s="2846">
        <f t="shared" si="33"/>
        <v>47.125469510067532</v>
      </c>
      <c r="AG263" s="1963">
        <f>Y263+Z263+AA263+AB263+AC263+AD263+AE263</f>
        <v>960.33537899468411</v>
      </c>
      <c r="AH263" s="2587"/>
      <c r="AI263" s="2634"/>
      <c r="AJ263" s="2597" t="s">
        <v>429</v>
      </c>
      <c r="AK263" s="2634"/>
      <c r="AL263" s="2634"/>
      <c r="AM263" s="2597" t="s">
        <v>429</v>
      </c>
      <c r="AN263" s="2634"/>
      <c r="AO263" s="2634"/>
      <c r="AP263" s="2587"/>
    </row>
    <row r="264" spans="1:42" ht="15.75" customHeight="1" x14ac:dyDescent="0.25">
      <c r="A264" s="2691"/>
      <c r="B264" s="2868" t="s">
        <v>603</v>
      </c>
      <c r="C264" s="2837"/>
      <c r="D264" s="2689" t="s">
        <v>1137</v>
      </c>
      <c r="E264" s="2847"/>
      <c r="F264" s="2824">
        <f>'exchange rates'!$O$60</f>
        <v>0.97441999999999995</v>
      </c>
      <c r="G264" s="2895">
        <f>136/F264</f>
        <v>139.57020586605367</v>
      </c>
      <c r="H264" s="2896">
        <f>384/F264</f>
        <v>394.08058126885737</v>
      </c>
      <c r="I264" s="2897">
        <v>0</v>
      </c>
      <c r="J264" s="2898">
        <f>41.6/F264</f>
        <v>42.692062970792882</v>
      </c>
      <c r="K264" s="566">
        <f>Tabel668926[[#This Row],[Fix.ch. 2017]]+Tabel668926[[#This Row],[Var. ch. 2017]]+Tabel668926[[#This Row],[Oth. ch. DW 2017]]+Tabel668926[[#This Row],[VAT DW 2017]]</f>
        <v>576.34285010570397</v>
      </c>
      <c r="L264" s="2899">
        <f>462.25/F264</f>
        <v>474.38476221752427</v>
      </c>
      <c r="M264" s="2900">
        <f>11.56/F264</f>
        <v>11.863467498614561</v>
      </c>
      <c r="N264" s="2901">
        <v>0</v>
      </c>
      <c r="O264" s="2898">
        <v>0</v>
      </c>
      <c r="P264" s="2902">
        <v>0</v>
      </c>
      <c r="Q264" s="2898">
        <v>0</v>
      </c>
      <c r="R264" s="2586">
        <f>Tabel668926[[#This Row],[VAT DW 2017]]+Tabel668926[[#This Row],[VAT Sew. 2017]]+Tabel668926[[#This Row],[VAT WW 2017]]+Tabel668926[[#This Row],[VAT Other ch. 2017]]</f>
        <v>54.555530469407444</v>
      </c>
      <c r="S264" s="571">
        <f>Tabel668926[[#This Row],[Total. ch. DW 2017]]+Tabel668926[[#This Row],[Sew. 2017]]+Tabel668926[[#This Row],[VAT Sew. 2017]]+Tabel668926[[#This Row],[WW 2017]]+Tabel668926[[#This Row],[VAT WW 2017]]+Tabel668926[[#This Row],[Other ch. 2017]]+Tabel668926[[#This Row],[VAT Other ch. 2017]]</f>
        <v>1062.5910798218426</v>
      </c>
      <c r="T264" s="2587"/>
      <c r="U264" s="2848"/>
      <c r="V264" s="2849"/>
      <c r="W264" s="2850"/>
      <c r="X264" s="2604"/>
      <c r="Y264" s="2605"/>
      <c r="Z264" s="2852"/>
      <c r="AA264" s="2604"/>
      <c r="AB264" s="2853"/>
      <c r="AC264" s="2604"/>
      <c r="AD264" s="2854"/>
      <c r="AE264" s="2604"/>
      <c r="AF264" s="2855"/>
      <c r="AG264" s="1964"/>
      <c r="AH264" s="2587"/>
      <c r="AI264" s="2634"/>
      <c r="AJ264" s="2597" t="s">
        <v>429</v>
      </c>
      <c r="AK264" s="2634"/>
      <c r="AL264" s="2634"/>
      <c r="AM264" s="2597" t="s">
        <v>429</v>
      </c>
      <c r="AN264" s="2634"/>
      <c r="AO264" s="2634"/>
      <c r="AP264" s="2587"/>
    </row>
    <row r="265" spans="1:42" ht="15.75" customHeight="1" x14ac:dyDescent="0.25">
      <c r="A265" s="2691"/>
      <c r="B265" s="2868" t="s">
        <v>162</v>
      </c>
      <c r="C265" s="2837"/>
      <c r="D265" s="2689" t="s">
        <v>1137</v>
      </c>
      <c r="E265" s="2847"/>
      <c r="F265" s="2824">
        <f>'exchange rates'!$O$60</f>
        <v>0.97441999999999995</v>
      </c>
      <c r="G265" s="2895">
        <f>70/F265</f>
        <v>71.837605960468792</v>
      </c>
      <c r="H265" s="2896">
        <f>292/F265</f>
        <v>299.66544200652697</v>
      </c>
      <c r="I265" s="2897">
        <v>0</v>
      </c>
      <c r="J265" s="2898">
        <f>28.96/F265</f>
        <v>29.720243837359661</v>
      </c>
      <c r="K265" s="566">
        <f>Tabel668926[[#This Row],[Fix.ch. 2017]]+Tabel668926[[#This Row],[Var. ch. 2017]]+Tabel668926[[#This Row],[Oth. ch. DW 2017]]+Tabel668926[[#This Row],[VAT DW 2017]]</f>
        <v>401.22329180435543</v>
      </c>
      <c r="L265" s="2899">
        <f>350/F265</f>
        <v>359.18802980234398</v>
      </c>
      <c r="M265" s="2900">
        <f>8.75/F265</f>
        <v>8.9797007450585991</v>
      </c>
      <c r="N265" s="2901">
        <v>0</v>
      </c>
      <c r="O265" s="2898">
        <v>0</v>
      </c>
      <c r="P265" s="2902">
        <v>0</v>
      </c>
      <c r="Q265" s="2898">
        <v>0</v>
      </c>
      <c r="R265" s="2586">
        <f>Tabel668926[[#This Row],[VAT DW 2017]]+Tabel668926[[#This Row],[VAT Sew. 2017]]+Tabel668926[[#This Row],[VAT WW 2017]]+Tabel668926[[#This Row],[VAT Other ch. 2017]]</f>
        <v>38.699944582418262</v>
      </c>
      <c r="S265" s="571">
        <f>Tabel668926[[#This Row],[Total. ch. DW 2017]]+Tabel668926[[#This Row],[Sew. 2017]]+Tabel668926[[#This Row],[VAT Sew. 2017]]+Tabel668926[[#This Row],[WW 2017]]+Tabel668926[[#This Row],[VAT WW 2017]]+Tabel668926[[#This Row],[Other ch. 2017]]+Tabel668926[[#This Row],[VAT Other ch. 2017]]</f>
        <v>769.39102235175801</v>
      </c>
      <c r="T265" s="2587"/>
      <c r="U265" s="2848"/>
      <c r="V265" s="2849"/>
      <c r="W265" s="2850"/>
      <c r="X265" s="2604"/>
      <c r="Y265" s="2605"/>
      <c r="Z265" s="2852"/>
      <c r="AA265" s="2604"/>
      <c r="AB265" s="2853"/>
      <c r="AC265" s="2604"/>
      <c r="AD265" s="2854"/>
      <c r="AE265" s="2604"/>
      <c r="AF265" s="2855"/>
      <c r="AG265" s="1964"/>
      <c r="AH265" s="2587"/>
      <c r="AI265" s="2634"/>
      <c r="AJ265" s="2597" t="s">
        <v>429</v>
      </c>
      <c r="AK265" s="2634"/>
      <c r="AL265" s="2634"/>
      <c r="AM265" s="2597" t="s">
        <v>429</v>
      </c>
      <c r="AN265" s="2634"/>
      <c r="AO265" s="2634"/>
      <c r="AP265" s="2587"/>
    </row>
    <row r="266" spans="1:42" ht="15.75" customHeight="1" x14ac:dyDescent="0.25">
      <c r="A266" s="2691"/>
      <c r="B266" s="2868" t="s">
        <v>161</v>
      </c>
      <c r="C266" s="2837"/>
      <c r="D266" s="2689" t="s">
        <v>1137</v>
      </c>
      <c r="E266" s="2847"/>
      <c r="F266" s="2824">
        <f>'exchange rates'!$O$60</f>
        <v>0.97441999999999995</v>
      </c>
      <c r="G266" s="2895">
        <f>28/F266</f>
        <v>28.735042384187519</v>
      </c>
      <c r="H266" s="2896">
        <f>410/F266</f>
        <v>420.76312062560294</v>
      </c>
      <c r="I266" s="2897">
        <v>0</v>
      </c>
      <c r="J266" s="2898">
        <f>35.04/F266</f>
        <v>35.959853040783237</v>
      </c>
      <c r="K266" s="566">
        <f>Tabel668926[[#This Row],[Fix.ch. 2017]]+Tabel668926[[#This Row],[Var. ch. 2017]]+Tabel668926[[#This Row],[Oth. ch. DW 2017]]+Tabel668926[[#This Row],[VAT DW 2017]]</f>
        <v>485.45801605057369</v>
      </c>
      <c r="L266" s="2899">
        <f>435/F266</f>
        <v>446.41940846862752</v>
      </c>
      <c r="M266" s="2900">
        <f>10.88/F266</f>
        <v>11.165616469284293</v>
      </c>
      <c r="N266" s="2901">
        <v>0</v>
      </c>
      <c r="O266" s="2898">
        <v>0</v>
      </c>
      <c r="P266" s="2902">
        <v>0</v>
      </c>
      <c r="Q266" s="2898">
        <v>0</v>
      </c>
      <c r="R266" s="2586">
        <f>Tabel668926[[#This Row],[VAT DW 2017]]+Tabel668926[[#This Row],[VAT Sew. 2017]]+Tabel668926[[#This Row],[VAT WW 2017]]+Tabel668926[[#This Row],[VAT Other ch. 2017]]</f>
        <v>47.125469510067532</v>
      </c>
      <c r="S266" s="571">
        <f>Tabel668926[[#This Row],[Total. ch. DW 2017]]+Tabel668926[[#This Row],[Sew. 2017]]+Tabel668926[[#This Row],[VAT Sew. 2017]]+Tabel668926[[#This Row],[WW 2017]]+Tabel668926[[#This Row],[VAT WW 2017]]+Tabel668926[[#This Row],[Other ch. 2017]]+Tabel668926[[#This Row],[VAT Other ch. 2017]]</f>
        <v>943.04304098848547</v>
      </c>
      <c r="T266" s="2587"/>
      <c r="U266" s="2848"/>
      <c r="V266" s="2849"/>
      <c r="W266" s="2850"/>
      <c r="X266" s="2604"/>
      <c r="Y266" s="2605"/>
      <c r="Z266" s="2852"/>
      <c r="AA266" s="2604"/>
      <c r="AB266" s="2853"/>
      <c r="AC266" s="2604"/>
      <c r="AD266" s="2854"/>
      <c r="AE266" s="2604"/>
      <c r="AF266" s="2855"/>
      <c r="AG266" s="1964"/>
      <c r="AH266" s="2587"/>
      <c r="AI266" s="2634"/>
      <c r="AJ266" s="2597" t="s">
        <v>429</v>
      </c>
      <c r="AK266" s="2634"/>
      <c r="AL266" s="2634"/>
      <c r="AM266" s="2597" t="s">
        <v>429</v>
      </c>
      <c r="AN266" s="2634"/>
      <c r="AO266" s="2634"/>
      <c r="AP266" s="2587"/>
    </row>
    <row r="267" spans="1:42" ht="15.75" customHeight="1" thickBot="1" x14ac:dyDescent="0.3">
      <c r="A267" s="2694"/>
      <c r="B267" s="2869" t="s">
        <v>163</v>
      </c>
      <c r="C267" s="2837" t="s">
        <v>429</v>
      </c>
      <c r="D267" s="2689" t="s">
        <v>1137</v>
      </c>
      <c r="E267" s="2663"/>
      <c r="F267" s="2824">
        <f>'exchange rates'!$O$60</f>
        <v>0.97441999999999995</v>
      </c>
      <c r="G267" s="2895">
        <f>54/F267</f>
        <v>55.417581740933073</v>
      </c>
      <c r="H267" s="2896">
        <f>464/F267</f>
        <v>476.18070236653602</v>
      </c>
      <c r="I267" s="2897">
        <v>0</v>
      </c>
      <c r="J267" s="2898">
        <f>41.44/F267</f>
        <v>42.527862728597526</v>
      </c>
      <c r="K267" s="566">
        <f>Tabel668926[[#This Row],[Fix.ch. 2017]]+Tabel668926[[#This Row],[Var. ch. 2017]]+Tabel668926[[#This Row],[Oth. ch. DW 2017]]+Tabel668926[[#This Row],[VAT DW 2017]]</f>
        <v>574.1261468360666</v>
      </c>
      <c r="L267" s="2899">
        <f>435.83/F267</f>
        <v>447.2711972250159</v>
      </c>
      <c r="M267" s="2900">
        <f>10.9/F267</f>
        <v>11.186141499558714</v>
      </c>
      <c r="N267" s="2901">
        <v>0</v>
      </c>
      <c r="O267" s="2898">
        <v>0</v>
      </c>
      <c r="P267" s="2902">
        <v>0</v>
      </c>
      <c r="Q267" s="2898">
        <v>0</v>
      </c>
      <c r="R267" s="2586">
        <f>Tabel668926[[#This Row],[VAT DW 2017]]+Tabel668926[[#This Row],[VAT Sew. 2017]]+Tabel668926[[#This Row],[VAT WW 2017]]+Tabel668926[[#This Row],[VAT Other ch. 2017]]</f>
        <v>53.714004228156242</v>
      </c>
      <c r="S267" s="571">
        <f>Tabel668926[[#This Row],[Total. ch. DW 2017]]+Tabel668926[[#This Row],[Sew. 2017]]+Tabel668926[[#This Row],[VAT Sew. 2017]]+Tabel668926[[#This Row],[WW 2017]]+Tabel668926[[#This Row],[VAT WW 2017]]+Tabel668926[[#This Row],[Other ch. 2017]]+Tabel668926[[#This Row],[VAT Other ch. 2017]]</f>
        <v>1032.5834855606413</v>
      </c>
      <c r="T267" s="2587"/>
      <c r="U267" s="2664"/>
      <c r="V267" s="2665"/>
      <c r="W267" s="2666"/>
      <c r="X267" s="2615"/>
      <c r="Y267" s="2667"/>
      <c r="Z267" s="2668"/>
      <c r="AA267" s="2615"/>
      <c r="AB267" s="2669"/>
      <c r="AC267" s="2615"/>
      <c r="AD267" s="2670"/>
      <c r="AE267" s="2615"/>
      <c r="AF267" s="2671"/>
      <c r="AG267" s="1792"/>
      <c r="AH267" s="2587"/>
      <c r="AI267" s="2634"/>
      <c r="AJ267" s="2597" t="s">
        <v>429</v>
      </c>
      <c r="AK267" s="2634"/>
      <c r="AL267" s="2634"/>
      <c r="AM267" s="2597" t="s">
        <v>429</v>
      </c>
      <c r="AN267" s="2634"/>
      <c r="AO267" s="2634"/>
      <c r="AP267" s="2587"/>
    </row>
    <row r="268" spans="1:42" ht="15.75" customHeight="1" thickBot="1" x14ac:dyDescent="0.3">
      <c r="A268" s="2879" t="s">
        <v>706</v>
      </c>
      <c r="B268" s="2948" t="s">
        <v>708</v>
      </c>
      <c r="C268" s="2949"/>
      <c r="D268" s="2772" t="s">
        <v>1139</v>
      </c>
      <c r="E268" s="3167">
        <v>3000</v>
      </c>
      <c r="F268" s="2883">
        <f>'exchange rates'!M61</f>
        <v>2171.8366799999999</v>
      </c>
      <c r="G268" s="325"/>
      <c r="H268" s="326"/>
      <c r="I268" s="327"/>
      <c r="J268" s="561"/>
      <c r="K268" s="313">
        <f>Tabel668926[[#This Row],[Fix.ch. 2017]]+Tabel668926[[#This Row],[Var. ch. 2017]]+Tabel668926[[#This Row],[Oth. ch. DW 2017]]+Tabel668926[[#This Row],[VAT DW 2017]]</f>
        <v>0</v>
      </c>
      <c r="L268" s="328"/>
      <c r="M268" s="1097"/>
      <c r="N268" s="329"/>
      <c r="O268" s="561"/>
      <c r="P268" s="330"/>
      <c r="Q268" s="561"/>
      <c r="R268" s="2657">
        <f>Tabel668926[[#This Row],[VAT DW 2017]]+Tabel668926[[#This Row],[VAT Sew. 2017]]+Tabel668926[[#This Row],[VAT WW 2017]]+Tabel668926[[#This Row],[VAT Other ch. 2017]]</f>
        <v>0</v>
      </c>
      <c r="S268" s="318">
        <f>Tabel668926[[#This Row],[Total. ch. DW 2017]]+Tabel668926[[#This Row],[Sew. 2017]]+Tabel668926[[#This Row],[VAT Sew. 2017]]+Tabel668926[[#This Row],[WW 2017]]+Tabel668926[[#This Row],[VAT WW 2017]]+Tabel668926[[#This Row],[Other ch. 2017]]+Tabel668926[[#This Row],[VAT Other ch. 2017]]</f>
        <v>0</v>
      </c>
      <c r="T268" s="2587"/>
      <c r="U268" s="2884"/>
      <c r="V268" s="2885"/>
      <c r="W268" s="2886"/>
      <c r="X268" s="2887"/>
      <c r="Y268" s="2888"/>
      <c r="Z268" s="2889"/>
      <c r="AA268" s="2887"/>
      <c r="AB268" s="2890"/>
      <c r="AC268" s="2887"/>
      <c r="AD268" s="2891"/>
      <c r="AE268" s="2887"/>
      <c r="AF268" s="2892"/>
      <c r="AG268" s="348"/>
      <c r="AH268" s="2587"/>
      <c r="AI268" s="2634"/>
      <c r="AJ268" s="2598"/>
      <c r="AK268" s="2634"/>
      <c r="AL268" s="2634"/>
      <c r="AM268" s="2598"/>
      <c r="AN268" s="2634"/>
      <c r="AO268" s="2634"/>
      <c r="AP268" s="2587"/>
    </row>
    <row r="269" spans="1:42" ht="15.75" customHeight="1" thickBot="1" x14ac:dyDescent="0.3">
      <c r="A269" s="2879" t="s">
        <v>737</v>
      </c>
      <c r="B269" s="2880" t="s">
        <v>738</v>
      </c>
      <c r="C269" s="2881"/>
      <c r="D269" s="2772" t="s">
        <v>1141</v>
      </c>
      <c r="E269" s="3167">
        <v>16100</v>
      </c>
      <c r="F269" s="2883">
        <f>'exchange rates'!M62</f>
        <v>36.151380000000003</v>
      </c>
      <c r="G269" s="325"/>
      <c r="H269" s="326"/>
      <c r="I269" s="327"/>
      <c r="J269" s="561"/>
      <c r="K269" s="313">
        <f>Tabel668926[[#This Row],[Fix.ch. 2017]]+Tabel668926[[#This Row],[Var. ch. 2017]]+Tabel668926[[#This Row],[Oth. ch. DW 2017]]+Tabel668926[[#This Row],[VAT DW 2017]]</f>
        <v>0</v>
      </c>
      <c r="L269" s="328"/>
      <c r="M269" s="1097"/>
      <c r="N269" s="329">
        <f>(3.358*200)/F269</f>
        <v>18.577437431157538</v>
      </c>
      <c r="O269" s="561"/>
      <c r="P269" s="330"/>
      <c r="Q269" s="561"/>
      <c r="R269" s="2657">
        <f>Tabel668926[[#This Row],[VAT DW 2017]]+Tabel668926[[#This Row],[VAT Sew. 2017]]+Tabel668926[[#This Row],[VAT WW 2017]]+Tabel668926[[#This Row],[VAT Other ch. 2017]]</f>
        <v>0</v>
      </c>
      <c r="S269" s="318">
        <f>Tabel668926[[#This Row],[Total. ch. DW 2017]]+Tabel668926[[#This Row],[Sew. 2017]]+Tabel668926[[#This Row],[VAT Sew. 2017]]+Tabel668926[[#This Row],[WW 2017]]+Tabel668926[[#This Row],[VAT WW 2017]]+Tabel668926[[#This Row],[Other ch. 2017]]+Tabel668926[[#This Row],[VAT Other ch. 2017]]</f>
        <v>18.577437431157538</v>
      </c>
      <c r="T269" s="2587"/>
      <c r="U269" s="2884"/>
      <c r="V269" s="2885"/>
      <c r="W269" s="2886"/>
      <c r="X269" s="2887"/>
      <c r="Y269" s="2888">
        <f>Tabel668926[[#This Row],[Total. ch. DW 2017]]</f>
        <v>0</v>
      </c>
      <c r="Z269" s="2889"/>
      <c r="AA269" s="2887"/>
      <c r="AB269" s="2890">
        <f>Tabel668926[[#This Row],[WW 2017]]</f>
        <v>18.577437431157538</v>
      </c>
      <c r="AC269" s="2887"/>
      <c r="AD269" s="2891"/>
      <c r="AE269" s="2887"/>
      <c r="AF269" s="2892"/>
      <c r="AG269" s="3168">
        <f>SUM(Y269:AF269)</f>
        <v>18.577437431157538</v>
      </c>
      <c r="AH269" s="2587"/>
      <c r="AI269" s="2634"/>
      <c r="AJ269" s="2598"/>
      <c r="AK269" s="2598" t="s">
        <v>429</v>
      </c>
      <c r="AL269" s="2634"/>
      <c r="AM269" s="2598" t="s">
        <v>429</v>
      </c>
      <c r="AN269" s="2634"/>
      <c r="AO269" s="2634"/>
      <c r="AP269" s="2587"/>
    </row>
    <row r="270" spans="1:42" ht="15.75" customHeight="1" thickBot="1" x14ac:dyDescent="0.3">
      <c r="A270" s="2972" t="s">
        <v>29</v>
      </c>
      <c r="B270" s="2948" t="s">
        <v>164</v>
      </c>
      <c r="C270" s="2949"/>
      <c r="D270" s="2772" t="s">
        <v>1143</v>
      </c>
      <c r="E270" s="2882"/>
      <c r="F270" s="2883"/>
      <c r="G270" s="325"/>
      <c r="H270" s="326"/>
      <c r="I270" s="327"/>
      <c r="J270" s="561"/>
      <c r="K270" s="313">
        <f>Tabel668926[[#This Row],[Fix.ch. 2017]]+Tabel668926[[#This Row],[Var. ch. 2017]]+Tabel668926[[#This Row],[Oth. ch. DW 2017]]+Tabel668926[[#This Row],[VAT DW 2017]]</f>
        <v>0</v>
      </c>
      <c r="L270" s="328"/>
      <c r="M270" s="1097"/>
      <c r="N270" s="329"/>
      <c r="O270" s="561"/>
      <c r="P270" s="330"/>
      <c r="Q270" s="561"/>
      <c r="R270" s="2657">
        <f>Tabel668926[[#This Row],[VAT DW 2017]]+Tabel668926[[#This Row],[VAT Sew. 2017]]+Tabel668926[[#This Row],[VAT WW 2017]]+Tabel668926[[#This Row],[VAT Other ch. 2017]]</f>
        <v>0</v>
      </c>
      <c r="S270" s="318">
        <f>Tabel668926[[#This Row],[Total. ch. DW 2017]]+Tabel668926[[#This Row],[Sew. 2017]]+Tabel668926[[#This Row],[VAT Sew. 2017]]+Tabel668926[[#This Row],[WW 2017]]+Tabel668926[[#This Row],[VAT WW 2017]]+Tabel668926[[#This Row],[Other ch. 2017]]+Tabel668926[[#This Row],[VAT Other ch. 2017]]</f>
        <v>0</v>
      </c>
      <c r="T270" s="2587"/>
      <c r="U270" s="3169"/>
      <c r="V270" s="3170"/>
      <c r="W270" s="3171"/>
      <c r="X270" s="3172"/>
      <c r="Y270" s="3173"/>
      <c r="Z270" s="3174"/>
      <c r="AA270" s="3172"/>
      <c r="AB270" s="3175"/>
      <c r="AC270" s="3172"/>
      <c r="AD270" s="3176"/>
      <c r="AE270" s="3172"/>
      <c r="AF270" s="3177"/>
      <c r="AG270" s="3178"/>
      <c r="AH270" s="2587"/>
      <c r="AI270" s="2634"/>
      <c r="AJ270" s="2634"/>
      <c r="AK270" s="2634"/>
      <c r="AL270" s="2634"/>
      <c r="AM270" s="2634"/>
      <c r="AN270" s="2634"/>
      <c r="AO270" s="2634"/>
      <c r="AP270" s="2587"/>
    </row>
    <row r="271" spans="1:42" ht="15.75" customHeight="1" x14ac:dyDescent="0.25">
      <c r="A271" s="2698" t="s">
        <v>927</v>
      </c>
      <c r="B271" s="2822" t="s">
        <v>928</v>
      </c>
      <c r="C271" s="2822" t="s">
        <v>429</v>
      </c>
      <c r="D271" s="2673" t="s">
        <v>1145</v>
      </c>
      <c r="E271" s="2576">
        <v>26500</v>
      </c>
      <c r="F271" s="2824">
        <f>'exchange rates'!$O$64</f>
        <v>3.7947000000000002</v>
      </c>
      <c r="G271" s="2895">
        <f>884/F271</f>
        <v>232.95649194929769</v>
      </c>
      <c r="H271" s="2896">
        <v>0</v>
      </c>
      <c r="I271" s="2897">
        <v>0</v>
      </c>
      <c r="J271" s="2898">
        <f>70.72/F271</f>
        <v>18.636519355943815</v>
      </c>
      <c r="K271" s="566">
        <f>Tabel668926[[#This Row],[Fix.ch. 2017]]+Tabel668926[[#This Row],[Var. ch. 2017]]+Tabel668926[[#This Row],[Oth. ch. DW 2017]]+Tabel668926[[#This Row],[VAT DW 2017]]</f>
        <v>251.5930113052415</v>
      </c>
      <c r="L271" s="2899">
        <f>0</f>
        <v>0</v>
      </c>
      <c r="M271" s="2900">
        <v>0</v>
      </c>
      <c r="N271" s="2901">
        <f>442/F271</f>
        <v>116.47824597464884</v>
      </c>
      <c r="O271" s="2898">
        <f>35.36/F271</f>
        <v>9.3182596779719074</v>
      </c>
      <c r="P271" s="2902">
        <f>48/F271</f>
        <v>12.649221282314807</v>
      </c>
      <c r="Q271" s="2898">
        <v>0</v>
      </c>
      <c r="R271" s="2586">
        <f>Tabel668926[[#This Row],[VAT DW 2017]]+Tabel668926[[#This Row],[VAT Sew. 2017]]+Tabel668926[[#This Row],[VAT WW 2017]]+Tabel668926[[#This Row],[VAT Other ch. 2017]]</f>
        <v>27.95477903391572</v>
      </c>
      <c r="S271" s="571">
        <f>Tabel668926[[#This Row],[Total. ch. DW 2017]]+Tabel668926[[#This Row],[Sew. 2017]]+Tabel668926[[#This Row],[VAT Sew. 2017]]+Tabel668926[[#This Row],[WW 2017]]+Tabel668926[[#This Row],[VAT WW 2017]]+Tabel668926[[#This Row],[Other ch. 2017]]+Tabel668926[[#This Row],[VAT Other ch. 2017]]</f>
        <v>390.03873824017705</v>
      </c>
      <c r="T271" s="2587"/>
      <c r="U271" s="2588">
        <f>MEDIAN(G271:G273)</f>
        <v>232.95649194929769</v>
      </c>
      <c r="V271" s="2589">
        <f>MEDIAN(H271:H273)</f>
        <v>0</v>
      </c>
      <c r="W271" s="2590">
        <f>MEDIAN(I271:I273)</f>
        <v>0</v>
      </c>
      <c r="X271" s="2591">
        <f>MEDIAN(J271:J273)</f>
        <v>18.636519355943815</v>
      </c>
      <c r="Y271" s="2592">
        <f>SUM(U271:X273)</f>
        <v>251.5930113052415</v>
      </c>
      <c r="Z271" s="2593">
        <f t="shared" ref="Z271:AF271" si="34">MEDIAN(L271:L273)</f>
        <v>0</v>
      </c>
      <c r="AA271" s="2591">
        <f t="shared" si="34"/>
        <v>0</v>
      </c>
      <c r="AB271" s="2594">
        <f t="shared" si="34"/>
        <v>116.47824597464884</v>
      </c>
      <c r="AC271" s="2591">
        <f t="shared" si="34"/>
        <v>7.88468126597623</v>
      </c>
      <c r="AD271" s="2595">
        <f t="shared" si="34"/>
        <v>12.649221282314807</v>
      </c>
      <c r="AE271" s="2591">
        <f t="shared" si="34"/>
        <v>0</v>
      </c>
      <c r="AF271" s="2596">
        <f t="shared" si="34"/>
        <v>25.340606635570662</v>
      </c>
      <c r="AG271" s="1793">
        <f>Y271+Z271+AA271+AB271+AC271+AD271+AE271</f>
        <v>388.60515982818134</v>
      </c>
      <c r="AH271" s="2587"/>
      <c r="AI271" s="2634"/>
      <c r="AJ271" s="2634"/>
      <c r="AK271" s="2634"/>
      <c r="AL271" s="2634"/>
      <c r="AM271" s="2634"/>
      <c r="AN271" s="2634"/>
      <c r="AO271" s="2634"/>
      <c r="AP271" s="2587"/>
    </row>
    <row r="272" spans="1:42" ht="15.75" customHeight="1" x14ac:dyDescent="0.25">
      <c r="A272" s="2599"/>
      <c r="B272" s="2833" t="s">
        <v>929</v>
      </c>
      <c r="C272" s="2833"/>
      <c r="D272" s="2672" t="s">
        <v>1145</v>
      </c>
      <c r="E272" s="2600"/>
      <c r="F272" s="2824">
        <f>'exchange rates'!$O$64</f>
        <v>3.7947000000000002</v>
      </c>
      <c r="G272" s="2895">
        <f>1296/F272</f>
        <v>341.52897462249979</v>
      </c>
      <c r="H272" s="2896">
        <v>0</v>
      </c>
      <c r="I272" s="2897">
        <f>(4.47*12)/F272</f>
        <v>14.135504782986796</v>
      </c>
      <c r="J272" s="2898">
        <f>71.2/F272</f>
        <v>18.763011568766963</v>
      </c>
      <c r="K272" s="566">
        <f>Tabel668926[[#This Row],[Fix.ch. 2017]]+Tabel668926[[#This Row],[Var. ch. 2017]]+Tabel668926[[#This Row],[Oth. ch. DW 2017]]+Tabel668926[[#This Row],[VAT DW 2017]]</f>
        <v>374.42749097425354</v>
      </c>
      <c r="L272" s="2899">
        <v>0</v>
      </c>
      <c r="M272" s="2900">
        <v>0</v>
      </c>
      <c r="N272" s="2901">
        <f>458/F272</f>
        <v>120.69465306875378</v>
      </c>
      <c r="O272" s="2898">
        <f>24.96/F272</f>
        <v>6.5775950668037</v>
      </c>
      <c r="P272" s="2902">
        <f>48/F272</f>
        <v>12.649221282314807</v>
      </c>
      <c r="Q272" s="2898">
        <v>0</v>
      </c>
      <c r="R272" s="2586">
        <f>Tabel668926[[#This Row],[VAT DW 2017]]+Tabel668926[[#This Row],[VAT Sew. 2017]]+Tabel668926[[#This Row],[VAT WW 2017]]+Tabel668926[[#This Row],[VAT Other ch. 2017]]</f>
        <v>25.340606635570662</v>
      </c>
      <c r="S272" s="571">
        <f>Tabel668926[[#This Row],[Total. ch. DW 2017]]+Tabel668926[[#This Row],[Sew. 2017]]+Tabel668926[[#This Row],[VAT Sew. 2017]]+Tabel668926[[#This Row],[WW 2017]]+Tabel668926[[#This Row],[VAT WW 2017]]+Tabel668926[[#This Row],[Other ch. 2017]]+Tabel668926[[#This Row],[VAT Other ch. 2017]]</f>
        <v>514.34896039212583</v>
      </c>
      <c r="T272" s="2587"/>
      <c r="U272" s="2601"/>
      <c r="V272" s="2602"/>
      <c r="W272" s="2603"/>
      <c r="X272" s="2604"/>
      <c r="Y272" s="2605"/>
      <c r="Z272" s="2606"/>
      <c r="AA272" s="2604"/>
      <c r="AB272" s="2607"/>
      <c r="AC272" s="2604"/>
      <c r="AD272" s="2608"/>
      <c r="AE272" s="2604"/>
      <c r="AF272" s="2609"/>
      <c r="AG272" s="1791"/>
      <c r="AH272" s="2587"/>
      <c r="AI272" s="2634"/>
      <c r="AJ272" s="2634"/>
      <c r="AK272" s="2634"/>
      <c r="AL272" s="2597" t="s">
        <v>429</v>
      </c>
      <c r="AM272" s="2597" t="s">
        <v>429</v>
      </c>
      <c r="AN272" s="2634"/>
      <c r="AO272" s="2634"/>
      <c r="AP272" s="2587"/>
    </row>
    <row r="273" spans="1:42" ht="15.75" customHeight="1" thickBot="1" x14ac:dyDescent="0.3">
      <c r="A273" s="2610"/>
      <c r="B273" s="2835" t="s">
        <v>930</v>
      </c>
      <c r="C273" s="2835"/>
      <c r="D273" s="2696" t="s">
        <v>1145</v>
      </c>
      <c r="E273" s="2611"/>
      <c r="F273" s="2824">
        <f>'exchange rates'!$O$64</f>
        <v>3.7947000000000002</v>
      </c>
      <c r="G273" s="2895">
        <f>458/F273</f>
        <v>120.69465306875378</v>
      </c>
      <c r="H273" s="2896">
        <v>0</v>
      </c>
      <c r="I273" s="2897">
        <v>0</v>
      </c>
      <c r="J273" s="2898">
        <f>36.64/F273</f>
        <v>9.6555722455003021</v>
      </c>
      <c r="K273" s="566">
        <f>Tabel668926[[#This Row],[Fix.ch. 2017]]+Tabel668926[[#This Row],[Var. ch. 2017]]+Tabel668926[[#This Row],[Oth. ch. DW 2017]]+Tabel668926[[#This Row],[VAT DW 2017]]</f>
        <v>130.35022531425409</v>
      </c>
      <c r="L273" s="2899">
        <v>0</v>
      </c>
      <c r="M273" s="2900">
        <v>0</v>
      </c>
      <c r="N273" s="2901">
        <f>374/F273</f>
        <v>98.558515824702866</v>
      </c>
      <c r="O273" s="2898">
        <f>29.92/F273</f>
        <v>7.88468126597623</v>
      </c>
      <c r="P273" s="2902">
        <f>48/F273</f>
        <v>12.649221282314807</v>
      </c>
      <c r="Q273" s="2898">
        <v>0</v>
      </c>
      <c r="R273" s="2586">
        <f>Tabel668926[[#This Row],[VAT DW 2017]]+Tabel668926[[#This Row],[VAT Sew. 2017]]+Tabel668926[[#This Row],[VAT WW 2017]]+Tabel668926[[#This Row],[VAT Other ch. 2017]]</f>
        <v>17.540253511476532</v>
      </c>
      <c r="S273" s="571">
        <f>Tabel668926[[#This Row],[Total. ch. DW 2017]]+Tabel668926[[#This Row],[Sew. 2017]]+Tabel668926[[#This Row],[VAT Sew. 2017]]+Tabel668926[[#This Row],[WW 2017]]+Tabel668926[[#This Row],[VAT WW 2017]]+Tabel668926[[#This Row],[Other ch. 2017]]+Tabel668926[[#This Row],[VAT Other ch. 2017]]</f>
        <v>249.44264368724799</v>
      </c>
      <c r="T273" s="2587"/>
      <c r="U273" s="2612"/>
      <c r="V273" s="2613"/>
      <c r="W273" s="2614"/>
      <c r="X273" s="2615"/>
      <c r="Y273" s="2616"/>
      <c r="Z273" s="2617"/>
      <c r="AA273" s="2615"/>
      <c r="AB273" s="2618"/>
      <c r="AC273" s="2615"/>
      <c r="AD273" s="2619"/>
      <c r="AE273" s="2615"/>
      <c r="AF273" s="2620"/>
      <c r="AG273" s="1794"/>
      <c r="AH273" s="2587"/>
      <c r="AI273" s="2634"/>
      <c r="AJ273" s="2634"/>
      <c r="AK273" s="2634"/>
      <c r="AL273" s="2634"/>
      <c r="AM273" s="2634"/>
      <c r="AN273" s="2634"/>
      <c r="AO273" s="2634"/>
      <c r="AP273" s="2587"/>
    </row>
    <row r="274" spans="1:42" ht="15.75" customHeight="1" x14ac:dyDescent="0.25">
      <c r="A274" s="2698" t="s">
        <v>505</v>
      </c>
      <c r="B274" s="3179" t="s">
        <v>746</v>
      </c>
      <c r="C274" s="2822" t="s">
        <v>429</v>
      </c>
      <c r="D274" s="2673" t="s">
        <v>1147</v>
      </c>
      <c r="E274" s="3180">
        <v>2400</v>
      </c>
      <c r="F274" s="2824">
        <f>'exchange rates'!$O$65</f>
        <v>3628.4174400000002</v>
      </c>
      <c r="G274" s="2895">
        <f>18000/F274</f>
        <v>4.9608404483911857</v>
      </c>
      <c r="H274" s="2896">
        <f>639800/F274</f>
        <v>176.33031771559337</v>
      </c>
      <c r="I274" s="2897">
        <v>0</v>
      </c>
      <c r="J274" s="2898">
        <f>115164/F274</f>
        <v>31.739457188806806</v>
      </c>
      <c r="K274" s="566">
        <f>Tabel668926[[#This Row],[Fix.ch. 2017]]+Tabel668926[[#This Row],[Var. ch. 2017]]+Tabel668926[[#This Row],[Oth. ch. DW 2017]]+Tabel668926[[#This Row],[VAT DW 2017]]</f>
        <v>213.03061535279136</v>
      </c>
      <c r="L274" s="2899">
        <f>479850/F274</f>
        <v>132.24773828669504</v>
      </c>
      <c r="M274" s="2900">
        <f>86373/F274</f>
        <v>23.804592891605107</v>
      </c>
      <c r="N274" s="2901">
        <v>0</v>
      </c>
      <c r="O274" s="2898">
        <v>0</v>
      </c>
      <c r="P274" s="2902">
        <v>0</v>
      </c>
      <c r="Q274" s="2898">
        <v>0</v>
      </c>
      <c r="R274" s="2586">
        <f>Tabel668926[[#This Row],[VAT DW 2017]]+Tabel668926[[#This Row],[VAT Sew. 2017]]+Tabel668926[[#This Row],[VAT WW 2017]]+Tabel668926[[#This Row],[VAT Other ch. 2017]]</f>
        <v>55.544050080411914</v>
      </c>
      <c r="S274" s="571">
        <f>Tabel668926[[#This Row],[Total. ch. DW 2017]]+Tabel668926[[#This Row],[Sew. 2017]]+Tabel668926[[#This Row],[VAT Sew. 2017]]+Tabel668926[[#This Row],[WW 2017]]+Tabel668926[[#This Row],[VAT WW 2017]]+Tabel668926[[#This Row],[Other ch. 2017]]+Tabel668926[[#This Row],[VAT Other ch. 2017]]</f>
        <v>369.08294653109152</v>
      </c>
      <c r="T274" s="2587"/>
      <c r="U274" s="2871">
        <f>MEDIAN(G274:G277)</f>
        <v>4.9608404483911857</v>
      </c>
      <c r="V274" s="2872">
        <f>MEDIAN(H274:H277)</f>
        <v>176.33031771559337</v>
      </c>
      <c r="W274" s="2873">
        <f>MEDIAN(I274:I277)</f>
        <v>0</v>
      </c>
      <c r="X274" s="2796">
        <f>MEDIAN(J274:J277)</f>
        <v>31.739457188806806</v>
      </c>
      <c r="Y274" s="2874">
        <f>SUM(U274:X277)</f>
        <v>213.03061535279136</v>
      </c>
      <c r="Z274" s="2875">
        <f t="shared" ref="Z274:AF274" si="35">MEDIAN(L274:L277)</f>
        <v>132.24773828669504</v>
      </c>
      <c r="AA274" s="2796">
        <f t="shared" si="35"/>
        <v>23.804592891605107</v>
      </c>
      <c r="AB274" s="2876">
        <f t="shared" si="35"/>
        <v>0</v>
      </c>
      <c r="AC274" s="2796">
        <f t="shared" si="35"/>
        <v>0</v>
      </c>
      <c r="AD274" s="2877">
        <f t="shared" si="35"/>
        <v>0</v>
      </c>
      <c r="AE274" s="2796">
        <f t="shared" si="35"/>
        <v>0</v>
      </c>
      <c r="AF274" s="2878">
        <f t="shared" si="35"/>
        <v>55.544050080411914</v>
      </c>
      <c r="AG274" s="2190">
        <f>Y274+Z274+AA274+AB274+AC274+AD274+AE274</f>
        <v>369.08294653109152</v>
      </c>
      <c r="AH274" s="2587"/>
      <c r="AI274" s="2634"/>
      <c r="AJ274" s="2597" t="s">
        <v>429</v>
      </c>
      <c r="AK274" s="2682"/>
      <c r="AL274" s="2682"/>
      <c r="AM274" s="2597" t="s">
        <v>429</v>
      </c>
      <c r="AN274" s="2598"/>
      <c r="AO274" s="2634"/>
      <c r="AP274" s="2587"/>
    </row>
    <row r="275" spans="1:42" ht="15.75" customHeight="1" x14ac:dyDescent="0.25">
      <c r="A275" s="2599"/>
      <c r="B275" s="2833" t="s">
        <v>747</v>
      </c>
      <c r="C275" s="2833"/>
      <c r="D275" s="2672" t="s">
        <v>1147</v>
      </c>
      <c r="E275" s="3181"/>
      <c r="F275" s="2824">
        <f>'exchange rates'!$O$65</f>
        <v>3628.4174400000002</v>
      </c>
      <c r="G275" s="2895">
        <f>18000/F275</f>
        <v>4.9608404483911857</v>
      </c>
      <c r="H275" s="2896">
        <f>639800/F275</f>
        <v>176.33031771559337</v>
      </c>
      <c r="I275" s="2897">
        <v>0</v>
      </c>
      <c r="J275" s="2898">
        <f>115164/F275</f>
        <v>31.739457188806806</v>
      </c>
      <c r="K275" s="566">
        <f>Tabel668926[[#This Row],[Fix.ch. 2017]]+Tabel668926[[#This Row],[Var. ch. 2017]]+Tabel668926[[#This Row],[Oth. ch. DW 2017]]+Tabel668926[[#This Row],[VAT DW 2017]]</f>
        <v>213.03061535279136</v>
      </c>
      <c r="L275" s="2899">
        <f>479850/F275</f>
        <v>132.24773828669504</v>
      </c>
      <c r="M275" s="2900">
        <f>86373/F275</f>
        <v>23.804592891605107</v>
      </c>
      <c r="N275" s="2901">
        <v>0</v>
      </c>
      <c r="O275" s="2898">
        <v>0</v>
      </c>
      <c r="P275" s="2902">
        <v>0</v>
      </c>
      <c r="Q275" s="2898">
        <v>0</v>
      </c>
      <c r="R275" s="2586">
        <f>Tabel668926[[#This Row],[VAT DW 2017]]+Tabel668926[[#This Row],[VAT Sew. 2017]]+Tabel668926[[#This Row],[VAT WW 2017]]+Tabel668926[[#This Row],[VAT Other ch. 2017]]</f>
        <v>55.544050080411914</v>
      </c>
      <c r="S275" s="571">
        <f>Tabel668926[[#This Row],[Total. ch. DW 2017]]+Tabel668926[[#This Row],[Sew. 2017]]+Tabel668926[[#This Row],[VAT Sew. 2017]]+Tabel668926[[#This Row],[WW 2017]]+Tabel668926[[#This Row],[VAT WW 2017]]+Tabel668926[[#This Row],[Other ch. 2017]]+Tabel668926[[#This Row],[VAT Other ch. 2017]]</f>
        <v>369.08294653109152</v>
      </c>
      <c r="T275" s="2587"/>
      <c r="U275" s="2601"/>
      <c r="V275" s="2602"/>
      <c r="W275" s="2603"/>
      <c r="X275" s="2604"/>
      <c r="Y275" s="2605"/>
      <c r="Z275" s="2606"/>
      <c r="AA275" s="2604"/>
      <c r="AB275" s="2607"/>
      <c r="AC275" s="2604"/>
      <c r="AD275" s="2608"/>
      <c r="AE275" s="2604"/>
      <c r="AF275" s="2609"/>
      <c r="AG275" s="1791"/>
      <c r="AH275" s="2587"/>
      <c r="AI275" s="2634"/>
      <c r="AJ275" s="2597" t="s">
        <v>429</v>
      </c>
      <c r="AK275" s="2682"/>
      <c r="AL275" s="2682"/>
      <c r="AM275" s="2597" t="s">
        <v>429</v>
      </c>
      <c r="AN275" s="2598"/>
      <c r="AO275" s="2634"/>
      <c r="AP275" s="2587"/>
    </row>
    <row r="276" spans="1:42" ht="15.75" customHeight="1" x14ac:dyDescent="0.25">
      <c r="A276" s="2599"/>
      <c r="B276" s="2833" t="s">
        <v>748</v>
      </c>
      <c r="C276" s="2833"/>
      <c r="D276" s="2672" t="s">
        <v>1147</v>
      </c>
      <c r="E276" s="3181"/>
      <c r="F276" s="2824">
        <f>'exchange rates'!$O$65</f>
        <v>3628.4174400000002</v>
      </c>
      <c r="G276" s="2895">
        <f t="shared" ref="G276:G277" si="36">18000/F276</f>
        <v>4.9608404483911857</v>
      </c>
      <c r="H276" s="2896">
        <f t="shared" ref="H276:H277" si="37">639800/F276</f>
        <v>176.33031771559337</v>
      </c>
      <c r="I276" s="2897">
        <v>0</v>
      </c>
      <c r="J276" s="2898">
        <f t="shared" ref="J276:J277" si="38">115164/F276</f>
        <v>31.739457188806806</v>
      </c>
      <c r="K276" s="566">
        <f>Tabel668926[[#This Row],[Fix.ch. 2017]]+Tabel668926[[#This Row],[Var. ch. 2017]]+Tabel668926[[#This Row],[Oth. ch. DW 2017]]+Tabel668926[[#This Row],[VAT DW 2017]]</f>
        <v>213.03061535279136</v>
      </c>
      <c r="L276" s="2899">
        <f t="shared" ref="L276:L277" si="39">479850/F276</f>
        <v>132.24773828669504</v>
      </c>
      <c r="M276" s="2900">
        <f t="shared" ref="M276:M277" si="40">86373/F276</f>
        <v>23.804592891605107</v>
      </c>
      <c r="N276" s="2901">
        <v>0</v>
      </c>
      <c r="O276" s="2898">
        <v>0</v>
      </c>
      <c r="P276" s="2902">
        <v>0</v>
      </c>
      <c r="Q276" s="2898">
        <v>0</v>
      </c>
      <c r="R276" s="2586">
        <f>Tabel668926[[#This Row],[VAT DW 2017]]+Tabel668926[[#This Row],[VAT Sew. 2017]]+Tabel668926[[#This Row],[VAT WW 2017]]+Tabel668926[[#This Row],[VAT Other ch. 2017]]</f>
        <v>55.544050080411914</v>
      </c>
      <c r="S276" s="571">
        <f>Tabel668926[[#This Row],[Total. ch. DW 2017]]+Tabel668926[[#This Row],[Sew. 2017]]+Tabel668926[[#This Row],[VAT Sew. 2017]]+Tabel668926[[#This Row],[WW 2017]]+Tabel668926[[#This Row],[VAT WW 2017]]+Tabel668926[[#This Row],[Other ch. 2017]]+Tabel668926[[#This Row],[VAT Other ch. 2017]]</f>
        <v>369.08294653109152</v>
      </c>
      <c r="T276" s="2587"/>
      <c r="U276" s="2601"/>
      <c r="V276" s="2602"/>
      <c r="W276" s="2603"/>
      <c r="X276" s="2604"/>
      <c r="Y276" s="2605"/>
      <c r="Z276" s="2606"/>
      <c r="AA276" s="2604"/>
      <c r="AB276" s="2607"/>
      <c r="AC276" s="2604"/>
      <c r="AD276" s="2608"/>
      <c r="AE276" s="2604"/>
      <c r="AF276" s="2609"/>
      <c r="AG276" s="1791"/>
      <c r="AH276" s="2587"/>
      <c r="AI276" s="2634"/>
      <c r="AJ276" s="2597" t="s">
        <v>429</v>
      </c>
      <c r="AK276" s="2682"/>
      <c r="AL276" s="2682"/>
      <c r="AM276" s="2597" t="s">
        <v>429</v>
      </c>
      <c r="AN276" s="2598"/>
      <c r="AO276" s="2634"/>
      <c r="AP276" s="2587"/>
    </row>
    <row r="277" spans="1:42" ht="15.75" customHeight="1" thickBot="1" x14ac:dyDescent="0.3">
      <c r="A277" s="2610"/>
      <c r="B277" s="2835" t="s">
        <v>749</v>
      </c>
      <c r="C277" s="2835"/>
      <c r="D277" s="2696" t="s">
        <v>1147</v>
      </c>
      <c r="E277" s="3182"/>
      <c r="F277" s="2824">
        <f>'exchange rates'!$O$65</f>
        <v>3628.4174400000002</v>
      </c>
      <c r="G277" s="2895">
        <f t="shared" si="36"/>
        <v>4.9608404483911857</v>
      </c>
      <c r="H277" s="2896">
        <f t="shared" si="37"/>
        <v>176.33031771559337</v>
      </c>
      <c r="I277" s="2897">
        <v>0</v>
      </c>
      <c r="J277" s="2898">
        <f t="shared" si="38"/>
        <v>31.739457188806806</v>
      </c>
      <c r="K277" s="566">
        <f>Tabel668926[[#This Row],[Fix.ch. 2017]]+Tabel668926[[#This Row],[Var. ch. 2017]]+Tabel668926[[#This Row],[Oth. ch. DW 2017]]+Tabel668926[[#This Row],[VAT DW 2017]]</f>
        <v>213.03061535279136</v>
      </c>
      <c r="L277" s="2899">
        <f t="shared" si="39"/>
        <v>132.24773828669504</v>
      </c>
      <c r="M277" s="2900">
        <f t="shared" si="40"/>
        <v>23.804592891605107</v>
      </c>
      <c r="N277" s="2901">
        <v>0</v>
      </c>
      <c r="O277" s="2898">
        <v>0</v>
      </c>
      <c r="P277" s="2902">
        <v>0</v>
      </c>
      <c r="Q277" s="2898">
        <v>0</v>
      </c>
      <c r="R277" s="2586">
        <f>Tabel668926[[#This Row],[VAT DW 2017]]+Tabel668926[[#This Row],[VAT Sew. 2017]]+Tabel668926[[#This Row],[VAT WW 2017]]+Tabel668926[[#This Row],[VAT Other ch. 2017]]</f>
        <v>55.544050080411914</v>
      </c>
      <c r="S277" s="571">
        <f>Tabel668926[[#This Row],[Total. ch. DW 2017]]+Tabel668926[[#This Row],[Sew. 2017]]+Tabel668926[[#This Row],[VAT Sew. 2017]]+Tabel668926[[#This Row],[WW 2017]]+Tabel668926[[#This Row],[VAT WW 2017]]+Tabel668926[[#This Row],[Other ch. 2017]]+Tabel668926[[#This Row],[VAT Other ch. 2017]]</f>
        <v>369.08294653109152</v>
      </c>
      <c r="T277" s="2587"/>
      <c r="U277" s="2612"/>
      <c r="V277" s="2613"/>
      <c r="W277" s="2614"/>
      <c r="X277" s="2615"/>
      <c r="Y277" s="2616"/>
      <c r="Z277" s="2617"/>
      <c r="AA277" s="2615"/>
      <c r="AB277" s="2618"/>
      <c r="AC277" s="2615"/>
      <c r="AD277" s="2619"/>
      <c r="AE277" s="2615"/>
      <c r="AF277" s="2620"/>
      <c r="AG277" s="1794"/>
      <c r="AH277" s="2587"/>
      <c r="AI277" s="2634"/>
      <c r="AJ277" s="2597" t="s">
        <v>429</v>
      </c>
      <c r="AK277" s="2682"/>
      <c r="AL277" s="2682"/>
      <c r="AM277" s="2597" t="s">
        <v>429</v>
      </c>
      <c r="AN277" s="2598"/>
      <c r="AO277" s="2634"/>
      <c r="AP277" s="2587"/>
    </row>
    <row r="278" spans="1:42" ht="15.75" customHeight="1" x14ac:dyDescent="0.25">
      <c r="A278" s="2687" t="s">
        <v>456</v>
      </c>
      <c r="B278" s="3183" t="s">
        <v>165</v>
      </c>
      <c r="C278" s="2837"/>
      <c r="D278" s="2689" t="s">
        <v>1149</v>
      </c>
      <c r="E278" s="3184">
        <v>43600</v>
      </c>
      <c r="F278" s="2824">
        <f>'exchange rates'!$O$66</f>
        <v>0.73992000000000002</v>
      </c>
      <c r="G278" s="2895">
        <f>26.08/F278</f>
        <v>35.247053735538977</v>
      </c>
      <c r="H278" s="2896">
        <f>303.86/F278</f>
        <v>410.66601794788625</v>
      </c>
      <c r="I278" s="2897">
        <v>0</v>
      </c>
      <c r="J278" s="2898">
        <v>0</v>
      </c>
      <c r="K278" s="566">
        <f>Tabel668926[[#This Row],[Fix.ch. 2017]]+Tabel668926[[#This Row],[Var. ch. 2017]]+Tabel668926[[#This Row],[Oth. ch. DW 2017]]+Tabel668926[[#This Row],[VAT DW 2017]]</f>
        <v>445.91307168342524</v>
      </c>
      <c r="L278" s="2899">
        <v>0</v>
      </c>
      <c r="M278" s="2900">
        <v>0</v>
      </c>
      <c r="N278" s="2901">
        <f>262.02/F278</f>
        <v>354.11936425559514</v>
      </c>
      <c r="O278" s="2898">
        <v>0</v>
      </c>
      <c r="P278" s="2902">
        <v>0</v>
      </c>
      <c r="Q278" s="2898">
        <v>0</v>
      </c>
      <c r="R278" s="2586">
        <f>Tabel668926[[#This Row],[VAT DW 2017]]+Tabel668926[[#This Row],[VAT Sew. 2017]]+Tabel668926[[#This Row],[VAT WW 2017]]+Tabel668926[[#This Row],[VAT Other ch. 2017]]</f>
        <v>0</v>
      </c>
      <c r="S278" s="571">
        <f>Tabel668926[[#This Row],[Total. ch. DW 2017]]+Tabel668926[[#This Row],[Sew. 2017]]+Tabel668926[[#This Row],[VAT Sew. 2017]]+Tabel668926[[#This Row],[WW 2017]]+Tabel668926[[#This Row],[VAT WW 2017]]+Tabel668926[[#This Row],[Other ch. 2017]]+Tabel668926[[#This Row],[VAT Other ch. 2017]]</f>
        <v>800.03243593902039</v>
      </c>
      <c r="T278" s="2587"/>
      <c r="U278" s="3185">
        <f>MEDIAN(G278:G282)</f>
        <v>42.301870472483515</v>
      </c>
      <c r="V278" s="3186">
        <f>MEDIAN(H278:H282)</f>
        <v>364.36371499621583</v>
      </c>
      <c r="W278" s="3187">
        <f>MEDIAN(I278:I282)</f>
        <v>0</v>
      </c>
      <c r="X278" s="2796">
        <f>MEDIAN(J278:J282)</f>
        <v>0</v>
      </c>
      <c r="Y278" s="3188">
        <f>SUM(U278:X282)</f>
        <v>406.66558546869936</v>
      </c>
      <c r="Z278" s="3189">
        <f t="shared" ref="Z278:AF278" si="41">MEDIAN(L278:L282)</f>
        <v>0</v>
      </c>
      <c r="AA278" s="2796">
        <f t="shared" si="41"/>
        <v>0</v>
      </c>
      <c r="AB278" s="3190">
        <f t="shared" si="41"/>
        <v>447.87274299924314</v>
      </c>
      <c r="AC278" s="2796">
        <f t="shared" si="41"/>
        <v>0</v>
      </c>
      <c r="AD278" s="3191">
        <f t="shared" si="41"/>
        <v>0</v>
      </c>
      <c r="AE278" s="2796">
        <f t="shared" si="41"/>
        <v>0</v>
      </c>
      <c r="AF278" s="3192">
        <f t="shared" si="41"/>
        <v>0</v>
      </c>
      <c r="AG278" s="2202">
        <f>Y278+Z278+AA278+AB278+AC278+AD278+AE278</f>
        <v>854.53832846794251</v>
      </c>
      <c r="AH278" s="2587"/>
      <c r="AI278" s="2634"/>
      <c r="AJ278" s="2634"/>
      <c r="AK278" s="2634"/>
      <c r="AL278" s="2634"/>
      <c r="AM278" s="2634"/>
      <c r="AN278" s="2634"/>
      <c r="AO278" s="2634"/>
      <c r="AP278" s="3193"/>
    </row>
    <row r="279" spans="1:42" ht="15.75" customHeight="1" x14ac:dyDescent="0.25">
      <c r="A279" s="2691"/>
      <c r="B279" s="2868" t="s">
        <v>166</v>
      </c>
      <c r="C279" s="2837" t="s">
        <v>429</v>
      </c>
      <c r="D279" s="2689" t="s">
        <v>1149</v>
      </c>
      <c r="E279" s="2600"/>
      <c r="F279" s="2824">
        <f>'exchange rates'!$O$66</f>
        <v>0.73992000000000002</v>
      </c>
      <c r="G279" s="2895">
        <f>34.45/F279</f>
        <v>46.559087468915564</v>
      </c>
      <c r="H279" s="2896">
        <f>256.18/F279</f>
        <v>346.22661909395612</v>
      </c>
      <c r="I279" s="2897">
        <v>0</v>
      </c>
      <c r="J279" s="2898">
        <v>0</v>
      </c>
      <c r="K279" s="566">
        <f>Tabel668926[[#This Row],[Fix.ch. 2017]]+Tabel668926[[#This Row],[Var. ch. 2017]]+Tabel668926[[#This Row],[Oth. ch. DW 2017]]+Tabel668926[[#This Row],[VAT DW 2017]]</f>
        <v>392.78570656287167</v>
      </c>
      <c r="L279" s="2899">
        <v>0</v>
      </c>
      <c r="M279" s="2900">
        <v>0</v>
      </c>
      <c r="N279" s="2901">
        <f>411.25/F279</f>
        <v>555.80333008973946</v>
      </c>
      <c r="O279" s="2898">
        <v>0</v>
      </c>
      <c r="P279" s="2902">
        <v>0</v>
      </c>
      <c r="Q279" s="2898">
        <v>0</v>
      </c>
      <c r="R279" s="2586">
        <f>Tabel668926[[#This Row],[VAT DW 2017]]+Tabel668926[[#This Row],[VAT Sew. 2017]]+Tabel668926[[#This Row],[VAT WW 2017]]+Tabel668926[[#This Row],[VAT Other ch. 2017]]</f>
        <v>0</v>
      </c>
      <c r="S279" s="571">
        <f>Tabel668926[[#This Row],[Total. ch. DW 2017]]+Tabel668926[[#This Row],[Sew. 2017]]+Tabel668926[[#This Row],[VAT Sew. 2017]]+Tabel668926[[#This Row],[WW 2017]]+Tabel668926[[#This Row],[VAT WW 2017]]+Tabel668926[[#This Row],[Other ch. 2017]]+Tabel668926[[#This Row],[VAT Other ch. 2017]]</f>
        <v>948.58903665261118</v>
      </c>
      <c r="T279" s="2587"/>
      <c r="U279" s="2601"/>
      <c r="V279" s="2602"/>
      <c r="W279" s="2603"/>
      <c r="X279" s="2604"/>
      <c r="Y279" s="2605"/>
      <c r="Z279" s="2606"/>
      <c r="AA279" s="2604"/>
      <c r="AB279" s="2607"/>
      <c r="AC279" s="2604"/>
      <c r="AD279" s="2608"/>
      <c r="AE279" s="2604"/>
      <c r="AF279" s="2609"/>
      <c r="AG279" s="1791"/>
      <c r="AH279" s="2587"/>
      <c r="AI279" s="2634"/>
      <c r="AJ279" s="2634"/>
      <c r="AK279" s="2634"/>
      <c r="AL279" s="2634"/>
      <c r="AM279" s="2634"/>
      <c r="AN279" s="2634"/>
      <c r="AO279" s="2634"/>
      <c r="AP279" s="3193"/>
    </row>
    <row r="280" spans="1:42" ht="15.75" customHeight="1" x14ac:dyDescent="0.25">
      <c r="A280" s="2691"/>
      <c r="B280" s="2868" t="s">
        <v>167</v>
      </c>
      <c r="C280" s="2837" t="s">
        <v>429</v>
      </c>
      <c r="D280" s="2689" t="s">
        <v>1149</v>
      </c>
      <c r="E280" s="2600"/>
      <c r="F280" s="2824">
        <f>'exchange rates'!$O$66</f>
        <v>0.73992000000000002</v>
      </c>
      <c r="G280" s="2895">
        <f>31.3/F280</f>
        <v>42.301870472483515</v>
      </c>
      <c r="H280" s="2896">
        <f>256.74/F280</f>
        <v>346.98345767109959</v>
      </c>
      <c r="I280" s="2897">
        <v>0</v>
      </c>
      <c r="J280" s="2898">
        <v>0</v>
      </c>
      <c r="K280" s="566">
        <f>Tabel668926[[#This Row],[Fix.ch. 2017]]+Tabel668926[[#This Row],[Var. ch. 2017]]+Tabel668926[[#This Row],[Oth. ch. DW 2017]]+Tabel668926[[#This Row],[VAT DW 2017]]</f>
        <v>389.28532814358311</v>
      </c>
      <c r="L280" s="2899">
        <v>0</v>
      </c>
      <c r="M280" s="2900">
        <v>0</v>
      </c>
      <c r="N280" s="2901">
        <f>195.87/F280</f>
        <v>264.71780733052219</v>
      </c>
      <c r="O280" s="2898">
        <v>0</v>
      </c>
      <c r="P280" s="2902">
        <v>0</v>
      </c>
      <c r="Q280" s="2898">
        <v>0</v>
      </c>
      <c r="R280" s="2586">
        <f>Tabel668926[[#This Row],[VAT DW 2017]]+Tabel668926[[#This Row],[VAT Sew. 2017]]+Tabel668926[[#This Row],[VAT WW 2017]]+Tabel668926[[#This Row],[VAT Other ch. 2017]]</f>
        <v>0</v>
      </c>
      <c r="S280" s="571">
        <f>Tabel668926[[#This Row],[Total. ch. DW 2017]]+Tabel668926[[#This Row],[Sew. 2017]]+Tabel668926[[#This Row],[VAT Sew. 2017]]+Tabel668926[[#This Row],[WW 2017]]+Tabel668926[[#This Row],[VAT WW 2017]]+Tabel668926[[#This Row],[Other ch. 2017]]+Tabel668926[[#This Row],[VAT Other ch. 2017]]</f>
        <v>654.00313547410531</v>
      </c>
      <c r="T280" s="2587"/>
      <c r="U280" s="2601"/>
      <c r="V280" s="2602"/>
      <c r="W280" s="2603"/>
      <c r="X280" s="2604"/>
      <c r="Y280" s="2605"/>
      <c r="Z280" s="2606"/>
      <c r="AA280" s="2604"/>
      <c r="AB280" s="2607"/>
      <c r="AC280" s="2604"/>
      <c r="AD280" s="2608"/>
      <c r="AE280" s="2604"/>
      <c r="AF280" s="2609"/>
      <c r="AG280" s="1791"/>
      <c r="AH280" s="2587"/>
      <c r="AI280" s="2634"/>
      <c r="AJ280" s="2634"/>
      <c r="AK280" s="2634"/>
      <c r="AL280" s="2634"/>
      <c r="AM280" s="2634"/>
      <c r="AN280" s="2634"/>
      <c r="AO280" s="2634"/>
      <c r="AP280" s="3193"/>
    </row>
    <row r="281" spans="1:42" ht="15.75" customHeight="1" x14ac:dyDescent="0.25">
      <c r="A281" s="2691"/>
      <c r="B281" s="2868" t="s">
        <v>168</v>
      </c>
      <c r="C281" s="2837"/>
      <c r="D281" s="2689" t="s">
        <v>1149</v>
      </c>
      <c r="E281" s="2600"/>
      <c r="F281" s="2824">
        <f>'exchange rates'!$O$66</f>
        <v>0.73992000000000002</v>
      </c>
      <c r="G281" s="2895">
        <f>31.84/F281</f>
        <v>43.031679100443291</v>
      </c>
      <c r="H281" s="2896">
        <f>352.4/F281</f>
        <v>476.26770461671526</v>
      </c>
      <c r="I281" s="2897">
        <v>0</v>
      </c>
      <c r="J281" s="2898">
        <v>0</v>
      </c>
      <c r="K281" s="566">
        <f>Tabel668926[[#This Row],[Fix.ch. 2017]]+Tabel668926[[#This Row],[Var. ch. 2017]]+Tabel668926[[#This Row],[Oth. ch. DW 2017]]+Tabel668926[[#This Row],[VAT DW 2017]]</f>
        <v>519.29938371715855</v>
      </c>
      <c r="L281" s="2899">
        <v>0</v>
      </c>
      <c r="M281" s="2900">
        <v>0</v>
      </c>
      <c r="N281" s="2901">
        <f>331.39/F281</f>
        <v>447.87274299924314</v>
      </c>
      <c r="O281" s="2898">
        <v>0</v>
      </c>
      <c r="P281" s="2902">
        <v>0</v>
      </c>
      <c r="Q281" s="2898">
        <v>0</v>
      </c>
      <c r="R281" s="2586">
        <f>Tabel668926[[#This Row],[VAT DW 2017]]+Tabel668926[[#This Row],[VAT Sew. 2017]]+Tabel668926[[#This Row],[VAT WW 2017]]+Tabel668926[[#This Row],[VAT Other ch. 2017]]</f>
        <v>0</v>
      </c>
      <c r="S281" s="571">
        <f>Tabel668926[[#This Row],[Total. ch. DW 2017]]+Tabel668926[[#This Row],[Sew. 2017]]+Tabel668926[[#This Row],[VAT Sew. 2017]]+Tabel668926[[#This Row],[WW 2017]]+Tabel668926[[#This Row],[VAT WW 2017]]+Tabel668926[[#This Row],[Other ch. 2017]]+Tabel668926[[#This Row],[VAT Other ch. 2017]]</f>
        <v>967.17212671640164</v>
      </c>
      <c r="T281" s="2587"/>
      <c r="U281" s="2601"/>
      <c r="V281" s="2602"/>
      <c r="W281" s="2603"/>
      <c r="X281" s="2604"/>
      <c r="Y281" s="2605"/>
      <c r="Z281" s="2606"/>
      <c r="AA281" s="2604"/>
      <c r="AB281" s="2607"/>
      <c r="AC281" s="2604"/>
      <c r="AD281" s="2608"/>
      <c r="AE281" s="2604"/>
      <c r="AF281" s="2609"/>
      <c r="AG281" s="1791"/>
      <c r="AH281" s="2587"/>
      <c r="AI281" s="2634"/>
      <c r="AJ281" s="2634"/>
      <c r="AK281" s="2634"/>
      <c r="AL281" s="2634"/>
      <c r="AM281" s="2634"/>
      <c r="AN281" s="2634"/>
      <c r="AO281" s="2634"/>
      <c r="AP281" s="3193"/>
    </row>
    <row r="282" spans="1:42" ht="15.75" customHeight="1" thickBot="1" x14ac:dyDescent="0.3">
      <c r="A282" s="2694"/>
      <c r="B282" s="2868" t="s">
        <v>169</v>
      </c>
      <c r="C282" s="2837"/>
      <c r="D282" s="2689" t="s">
        <v>1149</v>
      </c>
      <c r="E282" s="2663"/>
      <c r="F282" s="2824">
        <f>'exchange rates'!$O$66</f>
        <v>0.73992000000000002</v>
      </c>
      <c r="G282" s="2895">
        <f>24.07/F282</f>
        <v>32.530543842577572</v>
      </c>
      <c r="H282" s="2896">
        <f>269.6/F282</f>
        <v>364.36371499621583</v>
      </c>
      <c r="I282" s="2897">
        <v>0</v>
      </c>
      <c r="J282" s="2898">
        <v>0</v>
      </c>
      <c r="K282" s="566">
        <f>Tabel668926[[#This Row],[Fix.ch. 2017]]+Tabel668926[[#This Row],[Var. ch. 2017]]+Tabel668926[[#This Row],[Oth. ch. DW 2017]]+Tabel668926[[#This Row],[VAT DW 2017]]</f>
        <v>396.89425883879341</v>
      </c>
      <c r="L282" s="2899">
        <v>0</v>
      </c>
      <c r="M282" s="2900">
        <v>0</v>
      </c>
      <c r="N282" s="2901">
        <f>390.01/F282</f>
        <v>527.09752405665472</v>
      </c>
      <c r="O282" s="2898">
        <v>0</v>
      </c>
      <c r="P282" s="2902">
        <v>0</v>
      </c>
      <c r="Q282" s="2898">
        <v>0</v>
      </c>
      <c r="R282" s="2586">
        <f>Tabel668926[[#This Row],[VAT DW 2017]]+Tabel668926[[#This Row],[VAT Sew. 2017]]+Tabel668926[[#This Row],[VAT WW 2017]]+Tabel668926[[#This Row],[VAT Other ch. 2017]]</f>
        <v>0</v>
      </c>
      <c r="S282" s="571">
        <f>Tabel668926[[#This Row],[Total. ch. DW 2017]]+Tabel668926[[#This Row],[Sew. 2017]]+Tabel668926[[#This Row],[VAT Sew. 2017]]+Tabel668926[[#This Row],[WW 2017]]+Tabel668926[[#This Row],[VAT WW 2017]]+Tabel668926[[#This Row],[Other ch. 2017]]+Tabel668926[[#This Row],[VAT Other ch. 2017]]</f>
        <v>923.99178289544807</v>
      </c>
      <c r="T282" s="2587"/>
      <c r="U282" s="2664"/>
      <c r="V282" s="2665"/>
      <c r="W282" s="2666"/>
      <c r="X282" s="2615"/>
      <c r="Y282" s="2667"/>
      <c r="Z282" s="2668"/>
      <c r="AA282" s="2615"/>
      <c r="AB282" s="2669"/>
      <c r="AC282" s="2615"/>
      <c r="AD282" s="2670"/>
      <c r="AE282" s="2615"/>
      <c r="AF282" s="2671"/>
      <c r="AG282" s="1792"/>
      <c r="AH282" s="2587"/>
      <c r="AI282" s="2634"/>
      <c r="AJ282" s="2634"/>
      <c r="AK282" s="2634"/>
      <c r="AL282" s="2634"/>
      <c r="AM282" s="2634"/>
      <c r="AN282" s="2634"/>
      <c r="AO282" s="2634"/>
      <c r="AP282" s="3193"/>
    </row>
    <row r="283" spans="1:42" ht="15.75" customHeight="1" x14ac:dyDescent="0.25">
      <c r="A283" s="3194" t="s">
        <v>31</v>
      </c>
      <c r="B283" s="2821" t="s">
        <v>170</v>
      </c>
      <c r="C283" s="2822"/>
      <c r="D283" s="2673" t="s">
        <v>1151</v>
      </c>
      <c r="E283" s="2823">
        <v>59500</v>
      </c>
      <c r="F283" s="2824">
        <v>1</v>
      </c>
      <c r="G283" s="2895" t="s">
        <v>5</v>
      </c>
      <c r="H283" s="2896">
        <v>269.10000000000002</v>
      </c>
      <c r="I283" s="2897" t="s">
        <v>5</v>
      </c>
      <c r="J283" s="2898" t="s">
        <v>5</v>
      </c>
      <c r="K283" s="566">
        <f>Tabel668926[[#This Row],[Var. ch. 2017]]</f>
        <v>269.10000000000002</v>
      </c>
      <c r="L283" s="2899" t="s">
        <v>5</v>
      </c>
      <c r="M283" s="2900" t="s">
        <v>5</v>
      </c>
      <c r="N283" s="2901">
        <v>427.87</v>
      </c>
      <c r="O283" s="2898" t="s">
        <v>5</v>
      </c>
      <c r="P283" s="2902" t="s">
        <v>5</v>
      </c>
      <c r="Q283" s="2898" t="s">
        <v>5</v>
      </c>
      <c r="R283" s="2586" t="s">
        <v>5</v>
      </c>
      <c r="S283" s="571">
        <f>Tabel668926[[#This Row],[Total. ch. DW 2017]]+Tabel668926[[#This Row],[WW 2017]]</f>
        <v>696.97</v>
      </c>
      <c r="T283" s="2587"/>
      <c r="U283" s="2825">
        <f>MEDIAN(G283:G289)</f>
        <v>84.960000000000008</v>
      </c>
      <c r="V283" s="2826">
        <f>MEDIAN(H283:H289)</f>
        <v>249.32</v>
      </c>
      <c r="W283" s="2827">
        <f>MEDIAN(I283:I289)</f>
        <v>47.32</v>
      </c>
      <c r="X283" s="2591" t="s">
        <v>5</v>
      </c>
      <c r="Y283" s="2828">
        <f>SUM(U283:W289)</f>
        <v>381.59999999999997</v>
      </c>
      <c r="Z283" s="2829" t="s">
        <v>5</v>
      </c>
      <c r="AA283" s="2591" t="s">
        <v>5</v>
      </c>
      <c r="AB283" s="2830">
        <f>MEDIAN(N283:N289)</f>
        <v>332.24</v>
      </c>
      <c r="AC283" s="2591" t="s">
        <v>5</v>
      </c>
      <c r="AD283" s="2831">
        <f>MEDIAN(P283:P289)</f>
        <v>16.670000000000002</v>
      </c>
      <c r="AE283" s="2591" t="s">
        <v>5</v>
      </c>
      <c r="AF283" s="2832" t="s">
        <v>5</v>
      </c>
      <c r="AG283" s="1945">
        <f>Y283+AB283+AD283</f>
        <v>730.50999999999988</v>
      </c>
      <c r="AH283" s="2587"/>
      <c r="AI283" s="2598"/>
      <c r="AJ283" s="2597" t="s">
        <v>429</v>
      </c>
      <c r="AK283" s="2597"/>
      <c r="AL283" s="2597"/>
      <c r="AM283" s="2597"/>
      <c r="AN283" s="2597" t="s">
        <v>429</v>
      </c>
      <c r="AO283" s="2598"/>
      <c r="AP283" s="2587"/>
    </row>
    <row r="284" spans="1:42" ht="15.75" customHeight="1" x14ac:dyDescent="0.25">
      <c r="A284" s="3118"/>
      <c r="B284" s="2833" t="s">
        <v>171</v>
      </c>
      <c r="C284" s="2833" t="s">
        <v>429</v>
      </c>
      <c r="D284" s="2672" t="s">
        <v>1151</v>
      </c>
      <c r="E284" s="2600"/>
      <c r="F284" s="2824">
        <v>1</v>
      </c>
      <c r="G284" s="2895">
        <v>121.92</v>
      </c>
      <c r="H284" s="2896">
        <v>259.12</v>
      </c>
      <c r="I284" s="2897">
        <v>47.32</v>
      </c>
      <c r="J284" s="2898" t="s">
        <v>5</v>
      </c>
      <c r="K284" s="566">
        <f>Tabel668926[[#This Row],[Fix.ch. 2017]]+Tabel668926[[#This Row],[Var. ch. 2017]]+Tabel668926[[#This Row],[Oth. ch. DW 2017]]</f>
        <v>428.36</v>
      </c>
      <c r="L284" s="2899" t="s">
        <v>5</v>
      </c>
      <c r="M284" s="2900" t="s">
        <v>5</v>
      </c>
      <c r="N284" s="2901">
        <v>588.34</v>
      </c>
      <c r="O284" s="2898" t="s">
        <v>5</v>
      </c>
      <c r="P284" s="2902">
        <v>334.2</v>
      </c>
      <c r="Q284" s="2898" t="s">
        <v>5</v>
      </c>
      <c r="R284" s="2586" t="s">
        <v>5</v>
      </c>
      <c r="S284" s="571">
        <f>Tabel668926[[#This Row],[Total. ch. DW 2017]]+Tabel668926[[#This Row],[WW 2017]]+Tabel668926[[#This Row],[Other ch. 2017]]</f>
        <v>1350.9</v>
      </c>
      <c r="T284" s="2587"/>
      <c r="U284" s="2848"/>
      <c r="V284" s="2849"/>
      <c r="W284" s="2850"/>
      <c r="X284" s="2604"/>
      <c r="Y284" s="2851"/>
      <c r="Z284" s="2852"/>
      <c r="AA284" s="2604"/>
      <c r="AB284" s="2853"/>
      <c r="AC284" s="2604"/>
      <c r="AD284" s="2854"/>
      <c r="AE284" s="2604"/>
      <c r="AF284" s="2855"/>
      <c r="AG284" s="1964"/>
      <c r="AH284" s="2587"/>
      <c r="AI284" s="2598"/>
      <c r="AJ284" s="2598"/>
      <c r="AK284" s="2598"/>
      <c r="AL284" s="2597" t="s">
        <v>429</v>
      </c>
      <c r="AM284" s="2597" t="s">
        <v>429</v>
      </c>
      <c r="AN284" s="2597" t="s">
        <v>429</v>
      </c>
      <c r="AO284" s="2598"/>
      <c r="AP284" s="2587"/>
    </row>
    <row r="285" spans="1:42" ht="15.75" customHeight="1" x14ac:dyDescent="0.25">
      <c r="A285" s="3118"/>
      <c r="B285" s="2833" t="s">
        <v>172</v>
      </c>
      <c r="C285" s="2833"/>
      <c r="D285" s="2672" t="s">
        <v>1151</v>
      </c>
      <c r="E285" s="2600"/>
      <c r="F285" s="2824">
        <v>1</v>
      </c>
      <c r="G285" s="2895" t="s">
        <v>5</v>
      </c>
      <c r="H285" s="2896">
        <v>408.34</v>
      </c>
      <c r="I285" s="2897" t="s">
        <v>5</v>
      </c>
      <c r="J285" s="2898" t="s">
        <v>5</v>
      </c>
      <c r="K285" s="566">
        <f>Tabel668926[[#This Row],[Var. ch. 2017]]</f>
        <v>408.34</v>
      </c>
      <c r="L285" s="2899" t="s">
        <v>5</v>
      </c>
      <c r="M285" s="2900" t="s">
        <v>5</v>
      </c>
      <c r="N285" s="2901">
        <v>332.24</v>
      </c>
      <c r="O285" s="2898" t="s">
        <v>5</v>
      </c>
      <c r="P285" s="2902" t="s">
        <v>5</v>
      </c>
      <c r="Q285" s="2898" t="s">
        <v>5</v>
      </c>
      <c r="R285" s="2586" t="s">
        <v>5</v>
      </c>
      <c r="S285" s="571">
        <f>Tabel668926[[#This Row],[Total. ch. DW 2017]]+Tabel668926[[#This Row],[WW 2017]]</f>
        <v>740.57999999999993</v>
      </c>
      <c r="T285" s="2587"/>
      <c r="U285" s="2848"/>
      <c r="V285" s="2849"/>
      <c r="W285" s="2850"/>
      <c r="X285" s="2604"/>
      <c r="Y285" s="2851"/>
      <c r="Z285" s="2852"/>
      <c r="AA285" s="2604"/>
      <c r="AB285" s="2853"/>
      <c r="AC285" s="2604"/>
      <c r="AD285" s="2854"/>
      <c r="AE285" s="2604"/>
      <c r="AF285" s="2855"/>
      <c r="AG285" s="1964"/>
      <c r="AH285" s="2587"/>
      <c r="AI285" s="2598"/>
      <c r="AJ285" s="2598"/>
      <c r="AK285" s="2598"/>
      <c r="AL285" s="2597" t="s">
        <v>429</v>
      </c>
      <c r="AM285" s="2597"/>
      <c r="AN285" s="2597" t="s">
        <v>429</v>
      </c>
      <c r="AO285" s="2598"/>
      <c r="AP285" s="2587"/>
    </row>
    <row r="286" spans="1:42" ht="15.75" customHeight="1" x14ac:dyDescent="0.25">
      <c r="A286" s="3118"/>
      <c r="B286" s="2833" t="s">
        <v>173</v>
      </c>
      <c r="C286" s="2833"/>
      <c r="D286" s="2672" t="s">
        <v>1151</v>
      </c>
      <c r="E286" s="2600"/>
      <c r="F286" s="2824">
        <v>1</v>
      </c>
      <c r="G286" s="2895" t="s">
        <v>5</v>
      </c>
      <c r="H286" s="2896">
        <v>205.11</v>
      </c>
      <c r="I286" s="2897" t="s">
        <v>5</v>
      </c>
      <c r="J286" s="2898" t="s">
        <v>5</v>
      </c>
      <c r="K286" s="566">
        <f>Tabel668926[[#This Row],[Var. ch. 2017]]</f>
        <v>205.11</v>
      </c>
      <c r="L286" s="2899" t="s">
        <v>5</v>
      </c>
      <c r="M286" s="2900" t="s">
        <v>5</v>
      </c>
      <c r="N286" s="2901">
        <v>205.11</v>
      </c>
      <c r="O286" s="2898" t="s">
        <v>5</v>
      </c>
      <c r="P286" s="2902" t="s">
        <v>5</v>
      </c>
      <c r="Q286" s="2898" t="s">
        <v>5</v>
      </c>
      <c r="R286" s="2586" t="s">
        <v>5</v>
      </c>
      <c r="S286" s="571">
        <f>Tabel668926[[#This Row],[Total. ch. DW 2017]]+Tabel668926[[#This Row],[WW 2017]]</f>
        <v>410.22</v>
      </c>
      <c r="T286" s="2587"/>
      <c r="U286" s="2848"/>
      <c r="V286" s="2849"/>
      <c r="W286" s="2850"/>
      <c r="X286" s="2604"/>
      <c r="Y286" s="2851"/>
      <c r="Z286" s="2852"/>
      <c r="AA286" s="2604"/>
      <c r="AB286" s="2853"/>
      <c r="AC286" s="2604"/>
      <c r="AD286" s="2854"/>
      <c r="AE286" s="2604"/>
      <c r="AF286" s="2855"/>
      <c r="AG286" s="1964"/>
      <c r="AH286" s="2587"/>
      <c r="AI286" s="2598"/>
      <c r="AJ286" s="2597" t="s">
        <v>429</v>
      </c>
      <c r="AK286" s="2597"/>
      <c r="AL286" s="2597"/>
      <c r="AM286" s="2597"/>
      <c r="AN286" s="2597" t="s">
        <v>429</v>
      </c>
      <c r="AO286" s="2598"/>
      <c r="AP286" s="2587"/>
    </row>
    <row r="287" spans="1:42" ht="15.75" customHeight="1" x14ac:dyDescent="0.25">
      <c r="A287" s="3118"/>
      <c r="B287" s="2833" t="s">
        <v>174</v>
      </c>
      <c r="C287" s="2833"/>
      <c r="D287" s="2672" t="s">
        <v>1151</v>
      </c>
      <c r="E287" s="2600"/>
      <c r="F287" s="2824">
        <v>1</v>
      </c>
      <c r="G287" s="2895">
        <v>184.68</v>
      </c>
      <c r="H287" s="2896">
        <v>120.99</v>
      </c>
      <c r="I287" s="2897" t="s">
        <v>5</v>
      </c>
      <c r="J287" s="2898" t="s">
        <v>5</v>
      </c>
      <c r="K287" s="566">
        <f>Tabel668926[[#This Row],[Fix.ch. 2017]]+Tabel668926[[#This Row],[Var. ch. 2017]]</f>
        <v>305.67</v>
      </c>
      <c r="L287" s="2899" t="s">
        <v>5</v>
      </c>
      <c r="M287" s="2900" t="s">
        <v>5</v>
      </c>
      <c r="N287" s="2901">
        <v>362.52</v>
      </c>
      <c r="O287" s="2898" t="s">
        <v>5</v>
      </c>
      <c r="P287" s="2902">
        <v>16.670000000000002</v>
      </c>
      <c r="Q287" s="2898" t="s">
        <v>5</v>
      </c>
      <c r="R287" s="2586" t="s">
        <v>5</v>
      </c>
      <c r="S287" s="571">
        <f>Tabel668926[[#This Row],[Total. ch. DW 2017]]+Tabel668926[[#This Row],[WW 2017]]+Tabel668926[[#This Row],[Other ch. 2017]]</f>
        <v>684.86</v>
      </c>
      <c r="T287" s="2587"/>
      <c r="U287" s="2848"/>
      <c r="V287" s="2849"/>
      <c r="W287" s="2850"/>
      <c r="X287" s="2604"/>
      <c r="Y287" s="2851"/>
      <c r="Z287" s="2852"/>
      <c r="AA287" s="2604"/>
      <c r="AB287" s="2853"/>
      <c r="AC287" s="2604"/>
      <c r="AD287" s="2854"/>
      <c r="AE287" s="2604"/>
      <c r="AF287" s="2855"/>
      <c r="AG287" s="1964"/>
      <c r="AH287" s="2587"/>
      <c r="AI287" s="2598"/>
      <c r="AJ287" s="2598"/>
      <c r="AK287" s="2598"/>
      <c r="AL287" s="2597" t="s">
        <v>429</v>
      </c>
      <c r="AM287" s="2597" t="s">
        <v>429</v>
      </c>
      <c r="AN287" s="2597" t="s">
        <v>429</v>
      </c>
      <c r="AO287" s="2598"/>
      <c r="AP287" s="2587"/>
    </row>
    <row r="288" spans="1:42" ht="15.75" customHeight="1" x14ac:dyDescent="0.25">
      <c r="A288" s="3118"/>
      <c r="B288" s="2833" t="s">
        <v>175</v>
      </c>
      <c r="C288" s="2833"/>
      <c r="D288" s="2672" t="s">
        <v>1151</v>
      </c>
      <c r="E288" s="2600"/>
      <c r="F288" s="2824">
        <v>1</v>
      </c>
      <c r="G288" s="2895">
        <v>38.4</v>
      </c>
      <c r="H288" s="2896">
        <v>93.57</v>
      </c>
      <c r="I288" s="2897" t="s">
        <v>5</v>
      </c>
      <c r="J288" s="2898" t="s">
        <v>5</v>
      </c>
      <c r="K288" s="566">
        <f>Tabel668926[[#This Row],[Fix.ch. 2017]]+Tabel668926[[#This Row],[Var. ch. 2017]]</f>
        <v>131.97</v>
      </c>
      <c r="L288" s="2899" t="s">
        <v>5</v>
      </c>
      <c r="M288" s="2900" t="s">
        <v>5</v>
      </c>
      <c r="N288" s="2901">
        <v>248.71</v>
      </c>
      <c r="O288" s="2898" t="s">
        <v>5</v>
      </c>
      <c r="P288" s="2902" t="s">
        <v>5</v>
      </c>
      <c r="Q288" s="2898" t="s">
        <v>5</v>
      </c>
      <c r="R288" s="2586" t="s">
        <v>5</v>
      </c>
      <c r="S288" s="571">
        <f>Tabel668926[[#This Row],[Total. ch. DW 2017]]+Tabel668926[[#This Row],[WW 2017]]</f>
        <v>380.68</v>
      </c>
      <c r="T288" s="2587"/>
      <c r="U288" s="2848"/>
      <c r="V288" s="2849"/>
      <c r="W288" s="2850"/>
      <c r="X288" s="2604"/>
      <c r="Y288" s="2851"/>
      <c r="Z288" s="2852"/>
      <c r="AA288" s="2604"/>
      <c r="AB288" s="2853"/>
      <c r="AC288" s="2604"/>
      <c r="AD288" s="2854"/>
      <c r="AE288" s="2604"/>
      <c r="AF288" s="2855"/>
      <c r="AG288" s="1964"/>
      <c r="AH288" s="2587"/>
      <c r="AI288" s="2598"/>
      <c r="AJ288" s="2598"/>
      <c r="AK288" s="2598"/>
      <c r="AL288" s="2597" t="s">
        <v>429</v>
      </c>
      <c r="AM288" s="2597" t="s">
        <v>429</v>
      </c>
      <c r="AN288" s="2597" t="s">
        <v>429</v>
      </c>
      <c r="AO288" s="2598"/>
      <c r="AP288" s="2587"/>
    </row>
    <row r="289" spans="1:42" ht="15.75" customHeight="1" thickBot="1" x14ac:dyDescent="0.3">
      <c r="A289" s="3118"/>
      <c r="B289" s="3195" t="s">
        <v>212</v>
      </c>
      <c r="C289" s="3196"/>
      <c r="D289" s="2696" t="s">
        <v>1151</v>
      </c>
      <c r="E289" s="2798"/>
      <c r="F289" s="2824">
        <v>1</v>
      </c>
      <c r="G289" s="3197">
        <v>48</v>
      </c>
      <c r="H289" s="3198">
        <v>249.32</v>
      </c>
      <c r="I289" s="3199" t="s">
        <v>5</v>
      </c>
      <c r="J289" s="3200" t="s">
        <v>5</v>
      </c>
      <c r="K289" s="566">
        <f>Tabel668926[[#This Row],[Fix.ch. 2017]]+Tabel668926[[#This Row],[Var. ch. 2017]]</f>
        <v>297.32</v>
      </c>
      <c r="L289" s="2899" t="s">
        <v>5</v>
      </c>
      <c r="M289" s="2900" t="s">
        <v>5</v>
      </c>
      <c r="N289" s="3201">
        <v>308.33</v>
      </c>
      <c r="O289" s="2898" t="s">
        <v>5</v>
      </c>
      <c r="P289" s="3202">
        <v>12.36</v>
      </c>
      <c r="Q289" s="2898" t="s">
        <v>5</v>
      </c>
      <c r="R289" s="2586" t="s">
        <v>5</v>
      </c>
      <c r="S289" s="571">
        <f>Tabel668926[[#This Row],[Total. ch. DW 2017]]+Tabel668926[[#This Row],[WW 2017]]+Tabel668926[[#This Row],[Other ch. 2017]]</f>
        <v>618.01</v>
      </c>
      <c r="T289" s="2587"/>
      <c r="U289" s="2857"/>
      <c r="V289" s="2858"/>
      <c r="W289" s="2859"/>
      <c r="X289" s="2615"/>
      <c r="Y289" s="2860"/>
      <c r="Z289" s="2861"/>
      <c r="AA289" s="2615"/>
      <c r="AB289" s="2862"/>
      <c r="AC289" s="2615"/>
      <c r="AD289" s="2863"/>
      <c r="AE289" s="2615"/>
      <c r="AF289" s="2864"/>
      <c r="AG289" s="1965"/>
      <c r="AH289" s="2587"/>
      <c r="AI289" s="2598"/>
      <c r="AJ289" s="2597" t="s">
        <v>429</v>
      </c>
      <c r="AK289" s="2597"/>
      <c r="AL289" s="2597"/>
      <c r="AM289" s="2597" t="s">
        <v>429</v>
      </c>
      <c r="AN289" s="2597" t="s">
        <v>429</v>
      </c>
      <c r="AO289" s="2598"/>
      <c r="AP289" s="2587"/>
    </row>
    <row r="290" spans="1:42" ht="15.75" customHeight="1" thickBot="1" x14ac:dyDescent="0.3">
      <c r="A290" s="2722" t="s">
        <v>718</v>
      </c>
      <c r="B290" s="2996" t="s">
        <v>761</v>
      </c>
      <c r="C290" s="2949" t="s">
        <v>429</v>
      </c>
      <c r="D290" s="2785" t="s">
        <v>1153</v>
      </c>
      <c r="E290" s="3203">
        <v>4300</v>
      </c>
      <c r="F290" s="3204">
        <f>'exchange rates'!$M$68</f>
        <v>11.06053</v>
      </c>
      <c r="G290" s="3205">
        <f>10/F290</f>
        <v>0.90411580638540834</v>
      </c>
      <c r="H290" s="3206">
        <f>908.98/F290</f>
        <v>82.182318568820847</v>
      </c>
      <c r="I290" s="3207">
        <v>0</v>
      </c>
      <c r="J290" s="3208"/>
      <c r="K290" s="3209" t="e">
        <f>Tabel668926[[#This Row],[Fix.ch. 2017]]+Tabel668926[[#This Row],[Var. ch. 2017]]+Tabel668926[[#This Row],[Oth. ch. DW 2017]]+Tabel668926[[#This Row],[VAT DW 2017]]</f>
        <v>#VALUE!</v>
      </c>
      <c r="L290" s="3210">
        <v>0</v>
      </c>
      <c r="M290" s="3211"/>
      <c r="N290" s="3212">
        <f>272.69/F290</f>
        <v>24.654333924323698</v>
      </c>
      <c r="O290" s="3208"/>
      <c r="P290" s="3213">
        <f>22.7/F290</f>
        <v>2.0523428804948769</v>
      </c>
      <c r="Q290" s="3208"/>
      <c r="R290" s="3214" t="e">
        <f>Tabel668926[[#This Row],[VAT DW 2017]]+Tabel668926[[#This Row],[VAT Sew. 2017]]+Tabel668926[[#This Row],[VAT WW 2017]]+Tabel668926[[#This Row],[VAT Other ch. 2017]]</f>
        <v>#VALUE!</v>
      </c>
      <c r="S290" s="3215" t="e">
        <f>Tabel668926[[#This Row],[Total. ch. DW 2017]]+Tabel668926[[#This Row],[Sew. 2017]]+Tabel668926[[#This Row],[VAT Sew. 2017]]+Tabel668926[[#This Row],[WW 2017]]+Tabel668926[[#This Row],[VAT WW 2017]]+Tabel668926[[#This Row],[Other ch. 2017]]+Tabel668926[[#This Row],[VAT Other ch. 2017]]</f>
        <v>#VALUE!</v>
      </c>
      <c r="T290" s="2587"/>
      <c r="U290" s="2987">
        <f>MEDIAN(G290:G293)</f>
        <v>0.45205790319270417</v>
      </c>
      <c r="V290" s="2988">
        <f>MEDIAN(H290:H293)</f>
        <v>75.057886014503822</v>
      </c>
      <c r="W290" s="2989">
        <f>MEDIAN(I290:I293)</f>
        <v>0</v>
      </c>
      <c r="X290" s="2729"/>
      <c r="Y290" s="3070">
        <f>SUM(U290:W293)</f>
        <v>75.509943917696532</v>
      </c>
      <c r="Z290" s="2991">
        <f>MEDIAN(L290:L293)</f>
        <v>0</v>
      </c>
      <c r="AA290" s="2729"/>
      <c r="AB290" s="2992">
        <f>MEDIAN(N290:N293)</f>
        <v>24.397112977407048</v>
      </c>
      <c r="AC290" s="2729"/>
      <c r="AD290" s="2993">
        <f>MEDIAN(P290:P293)</f>
        <v>1.6011890931085579</v>
      </c>
      <c r="AE290" s="2729"/>
      <c r="AF290" s="2994" t="e">
        <f>MEDIAN(R290:R293)</f>
        <v>#VALUE!</v>
      </c>
      <c r="AG290" s="2995" t="e">
        <f>SUM(Y290:AF293)</f>
        <v>#VALUE!</v>
      </c>
      <c r="AH290" s="2587"/>
      <c r="AI290" s="2598" t="s">
        <v>429</v>
      </c>
      <c r="AJ290" s="2598"/>
      <c r="AK290" s="2634"/>
      <c r="AL290" s="2598" t="s">
        <v>429</v>
      </c>
      <c r="AM290" s="2598" t="s">
        <v>429</v>
      </c>
      <c r="AN290" s="2598" t="s">
        <v>429</v>
      </c>
      <c r="AO290" s="2634"/>
      <c r="AP290" s="2587"/>
    </row>
    <row r="291" spans="1:42" ht="15.75" customHeight="1" thickBot="1" x14ac:dyDescent="0.3">
      <c r="A291" s="2735"/>
      <c r="B291" s="2996" t="s">
        <v>762</v>
      </c>
      <c r="C291" s="2949"/>
      <c r="D291" s="2785" t="s">
        <v>1153</v>
      </c>
      <c r="E291" s="3048"/>
      <c r="F291" s="3216">
        <f>'exchange rates'!$M$68</f>
        <v>11.06053</v>
      </c>
      <c r="G291" s="3205">
        <f>5/F291</f>
        <v>0.45205790319270417</v>
      </c>
      <c r="H291" s="3206">
        <f>669/F291</f>
        <v>60.485347447183813</v>
      </c>
      <c r="I291" s="3207">
        <v>0</v>
      </c>
      <c r="J291" s="3208"/>
      <c r="K291" s="3209" t="e">
        <f>Tabel668926[[#This Row],[Fix.ch. 2017]]+Tabel668926[[#This Row],[Var. ch. 2017]]+Tabel668926[[#This Row],[Oth. ch. DW 2017]]+Tabel668926[[#This Row],[VAT DW 2017]]</f>
        <v>#VALUE!</v>
      </c>
      <c r="L291" s="3210">
        <v>0</v>
      </c>
      <c r="M291" s="3211"/>
      <c r="N291" s="3212">
        <f>267/F291</f>
        <v>24.139892030490401</v>
      </c>
      <c r="O291" s="3208"/>
      <c r="P291" s="3213">
        <f>16.72/F291</f>
        <v>1.5116816282764025</v>
      </c>
      <c r="Q291" s="3208"/>
      <c r="R291" s="3214" t="e">
        <f>Tabel668926[[#This Row],[VAT DW 2017]]+Tabel668926[[#This Row],[VAT Sew. 2017]]+Tabel668926[[#This Row],[VAT WW 2017]]+Tabel668926[[#This Row],[VAT Other ch. 2017]]</f>
        <v>#VALUE!</v>
      </c>
      <c r="S291" s="3215" t="e">
        <f>Tabel668926[[#This Row],[Total. ch. DW 2017]]+Tabel668926[[#This Row],[Sew. 2017]]+Tabel668926[[#This Row],[VAT Sew. 2017]]+Tabel668926[[#This Row],[WW 2017]]+Tabel668926[[#This Row],[VAT WW 2017]]+Tabel668926[[#This Row],[Other ch. 2017]]+Tabel668926[[#This Row],[VAT Other ch. 2017]]</f>
        <v>#VALUE!</v>
      </c>
      <c r="T291" s="2587"/>
      <c r="U291" s="2998"/>
      <c r="V291" s="2999"/>
      <c r="W291" s="3000"/>
      <c r="X291" s="2740"/>
      <c r="Y291" s="2741"/>
      <c r="Z291" s="3002"/>
      <c r="AA291" s="2740"/>
      <c r="AB291" s="3003"/>
      <c r="AC291" s="2740"/>
      <c r="AD291" s="3004"/>
      <c r="AE291" s="2740"/>
      <c r="AF291" s="3005"/>
      <c r="AG291" s="2077"/>
      <c r="AH291" s="2587"/>
      <c r="AI291" s="2598" t="s">
        <v>429</v>
      </c>
      <c r="AJ291" s="2598"/>
      <c r="AK291" s="2634"/>
      <c r="AL291" s="2598" t="s">
        <v>429</v>
      </c>
      <c r="AM291" s="2598" t="s">
        <v>429</v>
      </c>
      <c r="AN291" s="2598" t="s">
        <v>429</v>
      </c>
      <c r="AO291" s="2634"/>
      <c r="AP291" s="2587"/>
    </row>
    <row r="292" spans="1:42" ht="15.75" customHeight="1" thickBot="1" x14ac:dyDescent="0.3">
      <c r="A292" s="2735"/>
      <c r="B292" s="2996" t="s">
        <v>763</v>
      </c>
      <c r="C292" s="2949"/>
      <c r="D292" s="2785" t="s">
        <v>1153</v>
      </c>
      <c r="E292" s="3048"/>
      <c r="F292" s="3216">
        <f>'exchange rates'!$M$68</f>
        <v>11.06053</v>
      </c>
      <c r="G292" s="3205">
        <f>5/F292</f>
        <v>0.45205790319270417</v>
      </c>
      <c r="H292" s="3206">
        <f>751.38/F292</f>
        <v>67.933453460186811</v>
      </c>
      <c r="I292" s="3207">
        <v>0</v>
      </c>
      <c r="J292" s="3208"/>
      <c r="K292" s="3209" t="e">
        <f>Tabel668926[[#This Row],[Fix.ch. 2017]]+Tabel668926[[#This Row],[Var. ch. 2017]]+Tabel668926[[#This Row],[Oth. ch. DW 2017]]+Tabel668926[[#This Row],[VAT DW 2017]]</f>
        <v>#VALUE!</v>
      </c>
      <c r="L292" s="3210">
        <v>0</v>
      </c>
      <c r="M292" s="3211"/>
      <c r="N292" s="3212">
        <f>150.2/F292</f>
        <v>13.579819411908831</v>
      </c>
      <c r="O292" s="3208"/>
      <c r="P292" s="3213">
        <f>18.7/F292</f>
        <v>1.6906965579407134</v>
      </c>
      <c r="Q292" s="3208"/>
      <c r="R292" s="3214" t="e">
        <f>Tabel668926[[#This Row],[VAT DW 2017]]+Tabel668926[[#This Row],[VAT Sew. 2017]]+Tabel668926[[#This Row],[VAT WW 2017]]+Tabel668926[[#This Row],[VAT Other ch. 2017]]</f>
        <v>#VALUE!</v>
      </c>
      <c r="S292" s="3215" t="e">
        <f>Tabel668926[[#This Row],[Total. ch. DW 2017]]+Tabel668926[[#This Row],[Sew. 2017]]+Tabel668926[[#This Row],[VAT Sew. 2017]]+Tabel668926[[#This Row],[WW 2017]]+Tabel668926[[#This Row],[VAT WW 2017]]+Tabel668926[[#This Row],[Other ch. 2017]]+Tabel668926[[#This Row],[VAT Other ch. 2017]]</f>
        <v>#VALUE!</v>
      </c>
      <c r="T292" s="2587"/>
      <c r="U292" s="2998"/>
      <c r="V292" s="2999"/>
      <c r="W292" s="3000"/>
      <c r="X292" s="2740"/>
      <c r="Y292" s="2741"/>
      <c r="Z292" s="3002"/>
      <c r="AA292" s="2740"/>
      <c r="AB292" s="3003"/>
      <c r="AC292" s="2740"/>
      <c r="AD292" s="3004"/>
      <c r="AE292" s="2740"/>
      <c r="AF292" s="3005"/>
      <c r="AG292" s="2077"/>
      <c r="AH292" s="2587"/>
      <c r="AI292" s="2598" t="s">
        <v>429</v>
      </c>
      <c r="AJ292" s="2598"/>
      <c r="AK292" s="2634"/>
      <c r="AL292" s="2598" t="s">
        <v>429</v>
      </c>
      <c r="AM292" s="2598" t="s">
        <v>429</v>
      </c>
      <c r="AN292" s="2598" t="s">
        <v>429</v>
      </c>
      <c r="AO292" s="2634"/>
      <c r="AP292" s="2587"/>
    </row>
    <row r="293" spans="1:42" ht="15.75" customHeight="1" thickBot="1" x14ac:dyDescent="0.3">
      <c r="A293" s="2746"/>
      <c r="B293" s="3006" t="s">
        <v>764</v>
      </c>
      <c r="C293" s="2949"/>
      <c r="D293" s="2686" t="s">
        <v>1153</v>
      </c>
      <c r="E293" s="2748"/>
      <c r="F293" s="3217">
        <f>'exchange rates'!$M$68</f>
        <v>11.06053</v>
      </c>
      <c r="G293" s="3218">
        <f>5/F293</f>
        <v>0.45205790319270417</v>
      </c>
      <c r="H293" s="3219">
        <f>1319.38/F293</f>
        <v>119.28723126287801</v>
      </c>
      <c r="I293" s="3220">
        <v>0</v>
      </c>
      <c r="J293" s="3221"/>
      <c r="K293" s="3209" t="e">
        <f>Tabel668926[[#This Row],[Fix.ch. 2017]]+Tabel668926[[#This Row],[Var. ch. 2017]]+Tabel668926[[#This Row],[Oth. ch. DW 2017]]+Tabel668926[[#This Row],[VAT DW 2017]]</f>
        <v>#VALUE!</v>
      </c>
      <c r="L293" s="3222">
        <v>0</v>
      </c>
      <c r="M293" s="3223"/>
      <c r="N293" s="3212">
        <f>527.75/F293</f>
        <v>47.714711681989925</v>
      </c>
      <c r="O293" s="3208"/>
      <c r="P293" s="3213">
        <v>0</v>
      </c>
      <c r="Q293" s="3221"/>
      <c r="R293" s="3214" t="e">
        <f>Tabel668926[[#This Row],[VAT DW 2017]]+Tabel668926[[#This Row],[VAT Sew. 2017]]+Tabel668926[[#This Row],[VAT WW 2017]]+Tabel668926[[#This Row],[VAT Other ch. 2017]]</f>
        <v>#VALUE!</v>
      </c>
      <c r="S293" s="3215" t="e">
        <f>Tabel668926[[#This Row],[Total. ch. DW 2017]]+Tabel668926[[#This Row],[Sew. 2017]]+Tabel668926[[#This Row],[VAT Sew. 2017]]+Tabel668926[[#This Row],[WW 2017]]+Tabel668926[[#This Row],[VAT WW 2017]]+Tabel668926[[#This Row],[Other ch. 2017]]+Tabel668926[[#This Row],[VAT Other ch. 2017]]</f>
        <v>#VALUE!</v>
      </c>
      <c r="T293" s="2587"/>
      <c r="U293" s="2749"/>
      <c r="V293" s="2750"/>
      <c r="W293" s="2751"/>
      <c r="X293" s="2752"/>
      <c r="Y293" s="2753"/>
      <c r="Z293" s="2754"/>
      <c r="AA293" s="2752"/>
      <c r="AB293" s="2755"/>
      <c r="AC293" s="2752"/>
      <c r="AD293" s="2756"/>
      <c r="AE293" s="2752"/>
      <c r="AF293" s="2757"/>
      <c r="AG293" s="1877"/>
      <c r="AH293" s="2587"/>
      <c r="AI293" s="2634"/>
      <c r="AJ293" s="2598"/>
      <c r="AK293" s="2634"/>
      <c r="AL293" s="2598" t="s">
        <v>429</v>
      </c>
      <c r="AM293" s="2598" t="s">
        <v>429</v>
      </c>
      <c r="AN293" s="2634"/>
      <c r="AO293" s="2634"/>
      <c r="AP293" s="2587"/>
    </row>
    <row r="294" spans="1:42" ht="15.75" customHeight="1" x14ac:dyDescent="0.25">
      <c r="A294" s="3224"/>
    </row>
    <row r="295" spans="1:42" ht="15.75" customHeight="1" x14ac:dyDescent="0.25">
      <c r="A295" s="3224"/>
    </row>
    <row r="296" spans="1:42" ht="15.75" customHeight="1" x14ac:dyDescent="0.25">
      <c r="A296" s="3224"/>
    </row>
    <row r="297" spans="1:42" s="3240" customFormat="1" ht="15.75" customHeight="1" thickBot="1" x14ac:dyDescent="0.3">
      <c r="A297" s="3225" t="s">
        <v>58</v>
      </c>
      <c r="B297" s="3226" t="s">
        <v>1190</v>
      </c>
      <c r="C297" s="3226" t="s">
        <v>1022</v>
      </c>
      <c r="D297" s="3227" t="s">
        <v>1192</v>
      </c>
      <c r="E297" s="3228" t="s">
        <v>1193</v>
      </c>
      <c r="F297" s="3229" t="s">
        <v>1194</v>
      </c>
      <c r="G297" s="3230" t="s">
        <v>1195</v>
      </c>
      <c r="H297" s="3231" t="s">
        <v>1196</v>
      </c>
      <c r="I297" s="3232" t="s">
        <v>1198</v>
      </c>
      <c r="J297" s="3230" t="s">
        <v>1197</v>
      </c>
      <c r="K297" s="3233" t="s">
        <v>1199</v>
      </c>
      <c r="L297" s="3230" t="s">
        <v>1200</v>
      </c>
      <c r="M297" s="3234" t="s">
        <v>1205</v>
      </c>
      <c r="N297" s="3235" t="s">
        <v>1208</v>
      </c>
      <c r="O297" s="3236" t="s">
        <v>1206</v>
      </c>
      <c r="P297" s="3230" t="s">
        <v>1207</v>
      </c>
      <c r="Q297" s="3237" t="s">
        <v>1201</v>
      </c>
      <c r="R297" s="3238" t="s">
        <v>1202</v>
      </c>
      <c r="S297" s="3239" t="s">
        <v>1203</v>
      </c>
      <c r="T297" s="3239" t="s">
        <v>1204</v>
      </c>
    </row>
    <row r="298" spans="1:42" ht="15.75" customHeight="1" x14ac:dyDescent="0.25">
      <c r="A298" s="2574" t="s">
        <v>217</v>
      </c>
      <c r="B298" s="2575" t="s">
        <v>429</v>
      </c>
      <c r="C298" s="2575" t="s">
        <v>1024</v>
      </c>
      <c r="D298" s="2578" t="s">
        <v>5</v>
      </c>
      <c r="E298" s="2579" t="s">
        <v>5</v>
      </c>
      <c r="F298" s="2580" t="s">
        <v>5</v>
      </c>
      <c r="G298" s="2581" t="s">
        <v>5</v>
      </c>
      <c r="H298" s="566" t="s">
        <v>5</v>
      </c>
      <c r="I298" s="2582" t="s">
        <v>5</v>
      </c>
      <c r="J298" s="2581" t="s">
        <v>5</v>
      </c>
      <c r="K298" s="2584" t="s">
        <v>5</v>
      </c>
      <c r="L298" s="2581" t="s">
        <v>5</v>
      </c>
      <c r="M298" s="3241" t="s">
        <v>5</v>
      </c>
      <c r="N298" s="3242" t="s">
        <v>5</v>
      </c>
      <c r="O298" s="2585" t="s">
        <v>5</v>
      </c>
      <c r="P298" s="2581" t="s">
        <v>5</v>
      </c>
      <c r="Q298" s="2586" t="s">
        <v>5</v>
      </c>
      <c r="R298" s="571">
        <v>79.756820995801704</v>
      </c>
      <c r="S298" s="2515">
        <f>R298</f>
        <v>79.756820995801704</v>
      </c>
      <c r="T298" s="2515">
        <f>R298-S298</f>
        <v>0</v>
      </c>
    </row>
    <row r="299" spans="1:42" ht="15.75" customHeight="1" x14ac:dyDescent="0.25">
      <c r="A299" s="2575" t="s">
        <v>942</v>
      </c>
      <c r="B299" s="2575"/>
      <c r="C299" s="2575" t="s">
        <v>1024</v>
      </c>
      <c r="D299" s="2578" t="s">
        <v>5</v>
      </c>
      <c r="E299" s="2579" t="s">
        <v>5</v>
      </c>
      <c r="F299" s="2580" t="s">
        <v>5</v>
      </c>
      <c r="G299" s="2581" t="s">
        <v>5</v>
      </c>
      <c r="H299" s="566" t="s">
        <v>5</v>
      </c>
      <c r="I299" s="2582" t="s">
        <v>5</v>
      </c>
      <c r="J299" s="2581" t="s">
        <v>5</v>
      </c>
      <c r="K299" s="2584" t="s">
        <v>5</v>
      </c>
      <c r="L299" s="2581" t="s">
        <v>5</v>
      </c>
      <c r="M299" s="3241" t="s">
        <v>5</v>
      </c>
      <c r="N299" s="3242" t="s">
        <v>5</v>
      </c>
      <c r="O299" s="2585" t="s">
        <v>5</v>
      </c>
      <c r="P299" s="2581" t="s">
        <v>5</v>
      </c>
      <c r="Q299" s="2586" t="s">
        <v>5</v>
      </c>
      <c r="R299" s="571">
        <v>106.03544353340726</v>
      </c>
      <c r="S299" s="2515">
        <f t="shared" ref="S299:S304" si="42">R299</f>
        <v>106.03544353340726</v>
      </c>
      <c r="T299" s="2515">
        <f t="shared" ref="T299:T362" si="43">R299-S299</f>
        <v>0</v>
      </c>
    </row>
    <row r="300" spans="1:42" ht="15.75" customHeight="1" x14ac:dyDescent="0.25">
      <c r="A300" s="2575" t="s">
        <v>943</v>
      </c>
      <c r="B300" s="2575"/>
      <c r="C300" s="2575" t="s">
        <v>1024</v>
      </c>
      <c r="D300" s="2578" t="s">
        <v>5</v>
      </c>
      <c r="E300" s="2579" t="s">
        <v>5</v>
      </c>
      <c r="F300" s="2580" t="s">
        <v>5</v>
      </c>
      <c r="G300" s="2581" t="s">
        <v>5</v>
      </c>
      <c r="H300" s="566" t="s">
        <v>5</v>
      </c>
      <c r="I300" s="2582" t="s">
        <v>5</v>
      </c>
      <c r="J300" s="2581" t="s">
        <v>5</v>
      </c>
      <c r="K300" s="2584" t="s">
        <v>5</v>
      </c>
      <c r="L300" s="2581" t="s">
        <v>5</v>
      </c>
      <c r="M300" s="3241" t="s">
        <v>5</v>
      </c>
      <c r="N300" s="3242" t="s">
        <v>5</v>
      </c>
      <c r="O300" s="2585" t="s">
        <v>5</v>
      </c>
      <c r="P300" s="2581" t="s">
        <v>5</v>
      </c>
      <c r="Q300" s="2586" t="s">
        <v>5</v>
      </c>
      <c r="R300" s="571">
        <v>104.3720286081561</v>
      </c>
      <c r="S300" s="2515">
        <f t="shared" si="42"/>
        <v>104.3720286081561</v>
      </c>
      <c r="T300" s="2515">
        <f t="shared" si="43"/>
        <v>0</v>
      </c>
    </row>
    <row r="301" spans="1:42" ht="15.75" customHeight="1" x14ac:dyDescent="0.25">
      <c r="A301" s="2575" t="s">
        <v>944</v>
      </c>
      <c r="B301" s="2575"/>
      <c r="C301" s="2575" t="s">
        <v>1024</v>
      </c>
      <c r="D301" s="2578" t="s">
        <v>5</v>
      </c>
      <c r="E301" s="2579" t="s">
        <v>5</v>
      </c>
      <c r="F301" s="2580" t="s">
        <v>5</v>
      </c>
      <c r="G301" s="2581" t="s">
        <v>5</v>
      </c>
      <c r="H301" s="566" t="s">
        <v>5</v>
      </c>
      <c r="I301" s="2582" t="s">
        <v>5</v>
      </c>
      <c r="J301" s="2581" t="s">
        <v>5</v>
      </c>
      <c r="K301" s="2584" t="s">
        <v>5</v>
      </c>
      <c r="L301" s="2581" t="s">
        <v>5</v>
      </c>
      <c r="M301" s="3241" t="s">
        <v>5</v>
      </c>
      <c r="N301" s="3242" t="s">
        <v>5</v>
      </c>
      <c r="O301" s="2585" t="s">
        <v>5</v>
      </c>
      <c r="P301" s="2581" t="s">
        <v>5</v>
      </c>
      <c r="Q301" s="2586" t="s">
        <v>5</v>
      </c>
      <c r="R301" s="571">
        <v>42.096117856226968</v>
      </c>
      <c r="S301" s="2515">
        <f t="shared" si="42"/>
        <v>42.096117856226968</v>
      </c>
      <c r="T301" s="2515">
        <f t="shared" si="43"/>
        <v>0</v>
      </c>
    </row>
    <row r="302" spans="1:42" ht="15.75" customHeight="1" x14ac:dyDescent="0.25">
      <c r="A302" s="2575" t="s">
        <v>945</v>
      </c>
      <c r="B302" s="2575"/>
      <c r="C302" s="2575" t="s">
        <v>1024</v>
      </c>
      <c r="D302" s="2578" t="s">
        <v>5</v>
      </c>
      <c r="E302" s="2579" t="s">
        <v>5</v>
      </c>
      <c r="F302" s="2580" t="s">
        <v>5</v>
      </c>
      <c r="G302" s="2581" t="s">
        <v>5</v>
      </c>
      <c r="H302" s="566" t="s">
        <v>5</v>
      </c>
      <c r="I302" s="2582" t="s">
        <v>5</v>
      </c>
      <c r="J302" s="2581" t="s">
        <v>5</v>
      </c>
      <c r="K302" s="2584" t="s">
        <v>5</v>
      </c>
      <c r="L302" s="2581" t="s">
        <v>5</v>
      </c>
      <c r="M302" s="3241" t="s">
        <v>5</v>
      </c>
      <c r="N302" s="3242" t="s">
        <v>5</v>
      </c>
      <c r="O302" s="2585" t="s">
        <v>5</v>
      </c>
      <c r="P302" s="2581" t="s">
        <v>5</v>
      </c>
      <c r="Q302" s="2586" t="s">
        <v>5</v>
      </c>
      <c r="R302" s="571">
        <v>62.109246683788257</v>
      </c>
      <c r="S302" s="2515">
        <f t="shared" si="42"/>
        <v>62.109246683788257</v>
      </c>
      <c r="T302" s="2515">
        <f t="shared" si="43"/>
        <v>0</v>
      </c>
    </row>
    <row r="303" spans="1:42" ht="15.75" customHeight="1" x14ac:dyDescent="0.25">
      <c r="A303" s="2575" t="s">
        <v>946</v>
      </c>
      <c r="B303" s="2575"/>
      <c r="C303" s="2575" t="s">
        <v>1024</v>
      </c>
      <c r="D303" s="2578" t="s">
        <v>5</v>
      </c>
      <c r="E303" s="2579" t="s">
        <v>5</v>
      </c>
      <c r="F303" s="2580" t="s">
        <v>5</v>
      </c>
      <c r="G303" s="2581" t="s">
        <v>5</v>
      </c>
      <c r="H303" s="566" t="s">
        <v>5</v>
      </c>
      <c r="I303" s="2582" t="s">
        <v>5</v>
      </c>
      <c r="J303" s="2581" t="s">
        <v>5</v>
      </c>
      <c r="K303" s="2584" t="s">
        <v>5</v>
      </c>
      <c r="L303" s="2581" t="s">
        <v>5</v>
      </c>
      <c r="M303" s="3241" t="s">
        <v>5</v>
      </c>
      <c r="N303" s="3242" t="s">
        <v>5</v>
      </c>
      <c r="O303" s="2585" t="s">
        <v>5</v>
      </c>
      <c r="P303" s="2581" t="s">
        <v>5</v>
      </c>
      <c r="Q303" s="2586" t="s">
        <v>5</v>
      </c>
      <c r="R303" s="571">
        <v>33.30485707480905</v>
      </c>
      <c r="S303" s="2515">
        <f t="shared" si="42"/>
        <v>33.30485707480905</v>
      </c>
      <c r="T303" s="2515">
        <f t="shared" si="43"/>
        <v>0</v>
      </c>
    </row>
    <row r="304" spans="1:42" ht="15.75" customHeight="1" thickBot="1" x14ac:dyDescent="0.3">
      <c r="A304" s="2575" t="s">
        <v>947</v>
      </c>
      <c r="B304" s="2575"/>
      <c r="C304" s="2575" t="s">
        <v>1024</v>
      </c>
      <c r="D304" s="2578" t="s">
        <v>5</v>
      </c>
      <c r="E304" s="2579" t="s">
        <v>5</v>
      </c>
      <c r="F304" s="2580" t="s">
        <v>5</v>
      </c>
      <c r="G304" s="2581" t="s">
        <v>5</v>
      </c>
      <c r="H304" s="566" t="s">
        <v>5</v>
      </c>
      <c r="I304" s="2582" t="s">
        <v>5</v>
      </c>
      <c r="J304" s="2581" t="s">
        <v>5</v>
      </c>
      <c r="K304" s="2584" t="s">
        <v>5</v>
      </c>
      <c r="L304" s="2581" t="s">
        <v>5</v>
      </c>
      <c r="M304" s="3241" t="s">
        <v>5</v>
      </c>
      <c r="N304" s="3242" t="s">
        <v>5</v>
      </c>
      <c r="O304" s="2585" t="s">
        <v>5</v>
      </c>
      <c r="P304" s="2581" t="s">
        <v>5</v>
      </c>
      <c r="Q304" s="2586" t="s">
        <v>5</v>
      </c>
      <c r="R304" s="571">
        <v>104.3994475354954</v>
      </c>
      <c r="S304" s="2515">
        <f t="shared" si="42"/>
        <v>104.3994475354954</v>
      </c>
      <c r="T304" s="2515">
        <f t="shared" si="43"/>
        <v>0</v>
      </c>
    </row>
    <row r="305" spans="1:20" ht="15.75" customHeight="1" thickBot="1" x14ac:dyDescent="0.3">
      <c r="A305" s="2622" t="s">
        <v>526</v>
      </c>
      <c r="B305" s="2623" t="s">
        <v>429</v>
      </c>
      <c r="C305" s="2623" t="s">
        <v>1026</v>
      </c>
      <c r="D305" s="2578">
        <v>52.78568919107235</v>
      </c>
      <c r="E305" s="2579">
        <v>0</v>
      </c>
      <c r="F305" s="2580">
        <v>0</v>
      </c>
      <c r="G305" s="2581">
        <v>10.557137838214471</v>
      </c>
      <c r="H305" s="566">
        <v>63.342827029286823</v>
      </c>
      <c r="I305" s="2582">
        <v>9.3151216219539439</v>
      </c>
      <c r="J305" s="2581">
        <v>1.8630243243907889</v>
      </c>
      <c r="K305" s="2584">
        <v>0</v>
      </c>
      <c r="L305" s="2581">
        <v>0</v>
      </c>
      <c r="M305" s="3243">
        <f t="shared" ref="M305:M362" si="44">I305+K305</f>
        <v>9.3151216219539439</v>
      </c>
      <c r="N305" s="3244">
        <f t="shared" ref="N305:N362" si="45">J305+L305</f>
        <v>1.8630243243907889</v>
      </c>
      <c r="O305" s="2585">
        <v>0</v>
      </c>
      <c r="P305" s="2581">
        <v>0</v>
      </c>
      <c r="Q305" s="2586">
        <v>12.42016216260526</v>
      </c>
      <c r="R305" s="571">
        <v>74.520972975631565</v>
      </c>
      <c r="S305" s="2515">
        <f t="shared" ref="S305:S362" si="46">H305+M305+N305+O305+P305</f>
        <v>74.520972975631565</v>
      </c>
      <c r="T305" s="2515">
        <f t="shared" si="43"/>
        <v>0</v>
      </c>
    </row>
    <row r="306" spans="1:20" ht="15.75" customHeight="1" x14ac:dyDescent="0.25">
      <c r="A306" s="2636" t="s">
        <v>176</v>
      </c>
      <c r="B306" s="2637"/>
      <c r="C306" s="2637" t="s">
        <v>1028</v>
      </c>
      <c r="D306" s="2578">
        <v>149.97854997854998</v>
      </c>
      <c r="E306" s="2579">
        <v>548.74614874614872</v>
      </c>
      <c r="F306" s="2580">
        <v>0</v>
      </c>
      <c r="G306" s="2581">
        <v>0</v>
      </c>
      <c r="H306" s="566">
        <v>698.72469872469867</v>
      </c>
      <c r="I306" s="2582">
        <v>407.1604071604072</v>
      </c>
      <c r="J306" s="2581">
        <v>0</v>
      </c>
      <c r="K306" s="2584">
        <v>0</v>
      </c>
      <c r="L306" s="2581">
        <v>0</v>
      </c>
      <c r="M306" s="3243">
        <f t="shared" si="44"/>
        <v>407.1604071604072</v>
      </c>
      <c r="N306" s="3244">
        <f t="shared" si="45"/>
        <v>0</v>
      </c>
      <c r="O306" s="2585">
        <v>0</v>
      </c>
      <c r="P306" s="2581">
        <v>0</v>
      </c>
      <c r="Q306" s="2586">
        <v>0</v>
      </c>
      <c r="R306" s="571">
        <v>1105.885105885106</v>
      </c>
      <c r="S306" s="2515">
        <f t="shared" si="46"/>
        <v>1105.885105885106</v>
      </c>
      <c r="T306" s="2515">
        <f t="shared" si="43"/>
        <v>0</v>
      </c>
    </row>
    <row r="307" spans="1:20" ht="15.75" customHeight="1" x14ac:dyDescent="0.25">
      <c r="A307" s="2659" t="s">
        <v>178</v>
      </c>
      <c r="B307" s="2659"/>
      <c r="C307" s="2659" t="s">
        <v>1028</v>
      </c>
      <c r="D307" s="2578">
        <v>129.72192972192974</v>
      </c>
      <c r="E307" s="2579">
        <v>336.16473616473621</v>
      </c>
      <c r="F307" s="2580">
        <v>0</v>
      </c>
      <c r="G307" s="2581">
        <v>0</v>
      </c>
      <c r="H307" s="566">
        <v>465.88666588666592</v>
      </c>
      <c r="I307" s="2582">
        <v>485.28528528528528</v>
      </c>
      <c r="J307" s="2581">
        <v>0</v>
      </c>
      <c r="K307" s="2584">
        <v>0</v>
      </c>
      <c r="L307" s="2581">
        <v>0</v>
      </c>
      <c r="M307" s="3243">
        <f t="shared" si="44"/>
        <v>485.28528528528528</v>
      </c>
      <c r="N307" s="3244">
        <f t="shared" si="45"/>
        <v>0</v>
      </c>
      <c r="O307" s="2585">
        <v>0</v>
      </c>
      <c r="P307" s="2581">
        <v>0</v>
      </c>
      <c r="Q307" s="2586">
        <v>0</v>
      </c>
      <c r="R307" s="571">
        <v>951.17195117195115</v>
      </c>
      <c r="S307" s="2515">
        <f t="shared" si="46"/>
        <v>951.17195117195115</v>
      </c>
      <c r="T307" s="2515">
        <f t="shared" si="43"/>
        <v>0</v>
      </c>
    </row>
    <row r="308" spans="1:20" ht="15.75" customHeight="1" x14ac:dyDescent="0.25">
      <c r="A308" s="2659" t="s">
        <v>179</v>
      </c>
      <c r="B308" s="2659"/>
      <c r="C308" s="2659" t="s">
        <v>1028</v>
      </c>
      <c r="D308" s="2578">
        <v>184.32978432978433</v>
      </c>
      <c r="E308" s="2579">
        <v>267.22826722826727</v>
      </c>
      <c r="F308" s="2580">
        <v>0</v>
      </c>
      <c r="G308" s="2581">
        <v>0</v>
      </c>
      <c r="H308" s="566">
        <v>451.5580515580516</v>
      </c>
      <c r="I308" s="2582">
        <v>591.24059124059124</v>
      </c>
      <c r="J308" s="2581">
        <v>0</v>
      </c>
      <c r="K308" s="2584">
        <v>0</v>
      </c>
      <c r="L308" s="2581">
        <v>0</v>
      </c>
      <c r="M308" s="3243">
        <f t="shared" si="44"/>
        <v>591.24059124059124</v>
      </c>
      <c r="N308" s="3244">
        <f t="shared" si="45"/>
        <v>0</v>
      </c>
      <c r="O308" s="2585">
        <v>0</v>
      </c>
      <c r="P308" s="2581">
        <v>0</v>
      </c>
      <c r="Q308" s="2586">
        <v>0</v>
      </c>
      <c r="R308" s="571">
        <v>1042.798642798643</v>
      </c>
      <c r="S308" s="2515">
        <f t="shared" si="46"/>
        <v>1042.798642798643</v>
      </c>
      <c r="T308" s="2515">
        <f t="shared" si="43"/>
        <v>0</v>
      </c>
    </row>
    <row r="309" spans="1:20" ht="15.75" customHeight="1" x14ac:dyDescent="0.25">
      <c r="A309" s="2659" t="s">
        <v>180</v>
      </c>
      <c r="B309" s="2659"/>
      <c r="C309" s="2659" t="s">
        <v>1028</v>
      </c>
      <c r="D309" s="2578">
        <v>70.200070200070201</v>
      </c>
      <c r="E309" s="2579">
        <v>312.00031200031202</v>
      </c>
      <c r="F309" s="2580">
        <v>0</v>
      </c>
      <c r="G309" s="2581">
        <v>0</v>
      </c>
      <c r="H309" s="566">
        <v>382.20038220038225</v>
      </c>
      <c r="I309" s="2582">
        <v>455.52045552045553</v>
      </c>
      <c r="J309" s="2581">
        <v>0</v>
      </c>
      <c r="K309" s="2584">
        <v>0</v>
      </c>
      <c r="L309" s="2581">
        <v>0</v>
      </c>
      <c r="M309" s="3243">
        <f t="shared" si="44"/>
        <v>455.52045552045553</v>
      </c>
      <c r="N309" s="3244">
        <f t="shared" si="45"/>
        <v>0</v>
      </c>
      <c r="O309" s="2585">
        <v>0</v>
      </c>
      <c r="P309" s="2581">
        <v>0</v>
      </c>
      <c r="Q309" s="2586">
        <v>0</v>
      </c>
      <c r="R309" s="571">
        <v>837.72083772083784</v>
      </c>
      <c r="S309" s="2515">
        <f t="shared" si="46"/>
        <v>837.72083772083784</v>
      </c>
      <c r="T309" s="2515">
        <f t="shared" si="43"/>
        <v>0</v>
      </c>
    </row>
    <row r="310" spans="1:20" ht="15.75" customHeight="1" thickBot="1" x14ac:dyDescent="0.3">
      <c r="A310" s="2659" t="s">
        <v>544</v>
      </c>
      <c r="B310" s="2659" t="s">
        <v>429</v>
      </c>
      <c r="C310" s="2659" t="s">
        <v>1028</v>
      </c>
      <c r="D310" s="2578">
        <v>79.154479154479162</v>
      </c>
      <c r="E310" s="2579">
        <v>407.1604071604072</v>
      </c>
      <c r="F310" s="2580">
        <v>0</v>
      </c>
      <c r="G310" s="2581">
        <v>0</v>
      </c>
      <c r="H310" s="566">
        <v>486.31488631488639</v>
      </c>
      <c r="I310" s="2582">
        <v>412.62041262041265</v>
      </c>
      <c r="J310" s="2581">
        <v>0</v>
      </c>
      <c r="K310" s="2584">
        <v>0</v>
      </c>
      <c r="L310" s="2581">
        <v>0</v>
      </c>
      <c r="M310" s="3243">
        <f t="shared" si="44"/>
        <v>412.62041262041265</v>
      </c>
      <c r="N310" s="3244">
        <f t="shared" si="45"/>
        <v>0</v>
      </c>
      <c r="O310" s="2585">
        <v>0</v>
      </c>
      <c r="P310" s="2581">
        <v>0</v>
      </c>
      <c r="Q310" s="2586">
        <v>0</v>
      </c>
      <c r="R310" s="571">
        <v>898.93529893529899</v>
      </c>
      <c r="S310" s="2515">
        <f t="shared" si="46"/>
        <v>898.93529893529899</v>
      </c>
      <c r="T310" s="2515">
        <f t="shared" si="43"/>
        <v>0</v>
      </c>
    </row>
    <row r="311" spans="1:20" ht="15.75" customHeight="1" x14ac:dyDescent="0.25">
      <c r="A311" s="2672" t="s">
        <v>932</v>
      </c>
      <c r="B311" s="2672"/>
      <c r="C311" s="2673" t="s">
        <v>1030</v>
      </c>
      <c r="D311" s="2578">
        <v>44.009075521302258</v>
      </c>
      <c r="E311" s="2579">
        <v>356.77843003085195</v>
      </c>
      <c r="F311" s="2580">
        <v>0</v>
      </c>
      <c r="G311" s="2581">
        <v>40.083552418338314</v>
      </c>
      <c r="H311" s="566">
        <v>440.87105797049253</v>
      </c>
      <c r="I311" s="2582">
        <v>0</v>
      </c>
      <c r="J311" s="2581">
        <v>0</v>
      </c>
      <c r="K311" s="2584">
        <v>463.85997767133642</v>
      </c>
      <c r="L311" s="2581">
        <v>46.385997767133645</v>
      </c>
      <c r="M311" s="3243">
        <f t="shared" si="44"/>
        <v>463.85997767133642</v>
      </c>
      <c r="N311" s="3244">
        <f t="shared" si="45"/>
        <v>46.385997767133645</v>
      </c>
      <c r="O311" s="2585">
        <v>0</v>
      </c>
      <c r="P311" s="2581">
        <v>0</v>
      </c>
      <c r="Q311" s="2586">
        <v>86.469550185471959</v>
      </c>
      <c r="R311" s="571">
        <v>951.11703340896258</v>
      </c>
      <c r="S311" s="2515">
        <f t="shared" si="46"/>
        <v>951.11703340896258</v>
      </c>
      <c r="T311" s="2515">
        <f t="shared" si="43"/>
        <v>0</v>
      </c>
    </row>
    <row r="312" spans="1:20" ht="15.75" customHeight="1" x14ac:dyDescent="0.25">
      <c r="A312" s="2688" t="s">
        <v>67</v>
      </c>
      <c r="B312" s="2689"/>
      <c r="C312" s="2689" t="s">
        <v>1032</v>
      </c>
      <c r="D312" s="2578">
        <v>0</v>
      </c>
      <c r="E312" s="2579">
        <v>414.25673161186535</v>
      </c>
      <c r="F312" s="2580">
        <v>0</v>
      </c>
      <c r="G312" s="2581">
        <v>24.849641660964451</v>
      </c>
      <c r="H312" s="566">
        <v>439.10637327282979</v>
      </c>
      <c r="I312" s="2582">
        <v>318.4595623101763</v>
      </c>
      <c r="J312" s="2581">
        <v>19.111415229108893</v>
      </c>
      <c r="K312" s="2584">
        <v>227.46425613137896</v>
      </c>
      <c r="L312" s="2581">
        <v>13.649295926819605</v>
      </c>
      <c r="M312" s="3243">
        <f t="shared" si="44"/>
        <v>545.92381844155523</v>
      </c>
      <c r="N312" s="3244">
        <f t="shared" si="45"/>
        <v>32.760711155928497</v>
      </c>
      <c r="O312" s="2585">
        <v>0</v>
      </c>
      <c r="P312" s="2581">
        <v>0</v>
      </c>
      <c r="Q312" s="2586">
        <v>57.610352816892949</v>
      </c>
      <c r="R312" s="571">
        <v>1017.7909028703135</v>
      </c>
      <c r="S312" s="2515">
        <f t="shared" si="46"/>
        <v>1017.7909028703134</v>
      </c>
      <c r="T312" s="2515">
        <f t="shared" si="43"/>
        <v>0</v>
      </c>
    </row>
    <row r="313" spans="1:20" ht="15.75" customHeight="1" x14ac:dyDescent="0.25">
      <c r="A313" s="2692" t="s">
        <v>71</v>
      </c>
      <c r="B313" s="2689"/>
      <c r="C313" s="2689" t="s">
        <v>1032</v>
      </c>
      <c r="D313" s="2578">
        <v>0</v>
      </c>
      <c r="E313" s="2579">
        <v>354.86968943950251</v>
      </c>
      <c r="F313" s="2580">
        <v>0</v>
      </c>
      <c r="G313" s="2581">
        <v>21.296262950024605</v>
      </c>
      <c r="H313" s="566">
        <v>376.16595238952709</v>
      </c>
      <c r="I313" s="2582">
        <v>268.4601625430667</v>
      </c>
      <c r="J313" s="2581">
        <v>16.110250777301591</v>
      </c>
      <c r="K313" s="2584">
        <v>250.21308267607833</v>
      </c>
      <c r="L313" s="2581">
        <v>15.017826916843735</v>
      </c>
      <c r="M313" s="3243">
        <f t="shared" si="44"/>
        <v>518.67324521914497</v>
      </c>
      <c r="N313" s="3244">
        <f t="shared" si="45"/>
        <v>31.128077694145325</v>
      </c>
      <c r="O313" s="2585">
        <v>0</v>
      </c>
      <c r="P313" s="2581">
        <v>0</v>
      </c>
      <c r="Q313" s="2586">
        <v>52.424340644169931</v>
      </c>
      <c r="R313" s="571">
        <v>925.96727530281748</v>
      </c>
      <c r="S313" s="2515">
        <f t="shared" si="46"/>
        <v>925.96727530281737</v>
      </c>
      <c r="T313" s="2515">
        <f t="shared" si="43"/>
        <v>0</v>
      </c>
    </row>
    <row r="314" spans="1:20" ht="15.75" customHeight="1" x14ac:dyDescent="0.25">
      <c r="A314" s="2692" t="s">
        <v>68</v>
      </c>
      <c r="B314" s="2689" t="s">
        <v>429</v>
      </c>
      <c r="C314" s="2689" t="s">
        <v>1032</v>
      </c>
      <c r="D314" s="2578">
        <v>28.81117873735009</v>
      </c>
      <c r="E314" s="2579">
        <v>548.51682452791681</v>
      </c>
      <c r="F314" s="2580">
        <v>0</v>
      </c>
      <c r="G314" s="2581">
        <v>34.645442431663483</v>
      </c>
      <c r="H314" s="566">
        <v>611.97344569693041</v>
      </c>
      <c r="I314" s="2582">
        <v>256.5395373404881</v>
      </c>
      <c r="J314" s="2581">
        <v>15.389971308867841</v>
      </c>
      <c r="K314" s="2584">
        <v>141.29482239108773</v>
      </c>
      <c r="L314" s="2581">
        <v>8.4752884119038185</v>
      </c>
      <c r="M314" s="3243">
        <f t="shared" si="44"/>
        <v>397.83435973157583</v>
      </c>
      <c r="N314" s="3244">
        <f t="shared" si="45"/>
        <v>23.865259720771661</v>
      </c>
      <c r="O314" s="2585">
        <v>0</v>
      </c>
      <c r="P314" s="2581">
        <v>0</v>
      </c>
      <c r="Q314" s="2586">
        <v>58.510702152435144</v>
      </c>
      <c r="R314" s="571">
        <v>1033.673065149278</v>
      </c>
      <c r="S314" s="2515">
        <f t="shared" si="46"/>
        <v>1033.673065149278</v>
      </c>
      <c r="T314" s="2515">
        <f t="shared" si="43"/>
        <v>0</v>
      </c>
    </row>
    <row r="315" spans="1:20" ht="15.75" customHeight="1" x14ac:dyDescent="0.25">
      <c r="A315" s="2692" t="s">
        <v>72</v>
      </c>
      <c r="B315" s="2689"/>
      <c r="C315" s="2689" t="s">
        <v>1032</v>
      </c>
      <c r="D315" s="2578">
        <v>67.430162903206437</v>
      </c>
      <c r="E315" s="2579">
        <v>623.75001500582232</v>
      </c>
      <c r="F315" s="2580">
        <v>6.2184127441447279</v>
      </c>
      <c r="G315" s="2581">
        <v>41.848237116001009</v>
      </c>
      <c r="H315" s="566">
        <v>739.2468277691745</v>
      </c>
      <c r="I315" s="2582">
        <v>0</v>
      </c>
      <c r="J315" s="2581">
        <v>0</v>
      </c>
      <c r="K315" s="2584">
        <v>537.80866976386835</v>
      </c>
      <c r="L315" s="2581">
        <v>32.244510870217646</v>
      </c>
      <c r="M315" s="3243">
        <f t="shared" si="44"/>
        <v>537.80866976386835</v>
      </c>
      <c r="N315" s="3244">
        <f t="shared" si="45"/>
        <v>32.244510870217646</v>
      </c>
      <c r="O315" s="2585">
        <v>0</v>
      </c>
      <c r="P315" s="2581">
        <v>0</v>
      </c>
      <c r="Q315" s="2586">
        <v>74.092747986218654</v>
      </c>
      <c r="R315" s="571">
        <v>1309.3000084032606</v>
      </c>
      <c r="S315" s="2515">
        <f t="shared" si="46"/>
        <v>1309.3000084032606</v>
      </c>
      <c r="T315" s="2515">
        <f t="shared" si="43"/>
        <v>0</v>
      </c>
    </row>
    <row r="316" spans="1:20" ht="15.75" customHeight="1" x14ac:dyDescent="0.25">
      <c r="A316" s="2692" t="s">
        <v>69</v>
      </c>
      <c r="B316" s="2689"/>
      <c r="C316" s="2689" t="s">
        <v>1032</v>
      </c>
      <c r="D316" s="2578">
        <v>0</v>
      </c>
      <c r="E316" s="2579">
        <v>414.25673161186535</v>
      </c>
      <c r="F316" s="2580">
        <v>0</v>
      </c>
      <c r="G316" s="2581">
        <v>24.849641660964451</v>
      </c>
      <c r="H316" s="566">
        <v>439.10637327282979</v>
      </c>
      <c r="I316" s="2582">
        <v>318.4595623101763</v>
      </c>
      <c r="J316" s="2581">
        <v>19.111415229108893</v>
      </c>
      <c r="K316" s="2584">
        <v>227.46425613137896</v>
      </c>
      <c r="L316" s="2581">
        <v>13.649295926819605</v>
      </c>
      <c r="M316" s="3243">
        <f t="shared" si="44"/>
        <v>545.92381844155523</v>
      </c>
      <c r="N316" s="3244">
        <f t="shared" si="45"/>
        <v>32.760711155928497</v>
      </c>
      <c r="O316" s="2585">
        <v>0</v>
      </c>
      <c r="P316" s="2581">
        <v>0</v>
      </c>
      <c r="Q316" s="2586">
        <v>57.610352816892949</v>
      </c>
      <c r="R316" s="571">
        <v>1017.7909028703135</v>
      </c>
      <c r="S316" s="2515">
        <f t="shared" si="46"/>
        <v>1017.7909028703134</v>
      </c>
      <c r="T316" s="2515">
        <f t="shared" si="43"/>
        <v>0</v>
      </c>
    </row>
    <row r="317" spans="1:20" ht="15.75" customHeight="1" x14ac:dyDescent="0.25">
      <c r="A317" s="2692" t="s">
        <v>70</v>
      </c>
      <c r="B317" s="2689"/>
      <c r="C317" s="2689" t="s">
        <v>1032</v>
      </c>
      <c r="D317" s="2578">
        <v>0</v>
      </c>
      <c r="E317" s="2579">
        <v>414.25673161186535</v>
      </c>
      <c r="F317" s="2580">
        <v>0</v>
      </c>
      <c r="G317" s="2581">
        <v>24.849641660964451</v>
      </c>
      <c r="H317" s="566">
        <v>439.10637327282979</v>
      </c>
      <c r="I317" s="2582">
        <v>318.4595623101763</v>
      </c>
      <c r="J317" s="2581">
        <v>19.111415229108893</v>
      </c>
      <c r="K317" s="2584">
        <v>227.46425613137896</v>
      </c>
      <c r="L317" s="2581">
        <v>13.649295926819605</v>
      </c>
      <c r="M317" s="3243">
        <f t="shared" si="44"/>
        <v>545.92381844155523</v>
      </c>
      <c r="N317" s="3244">
        <f t="shared" si="45"/>
        <v>32.760711155928497</v>
      </c>
      <c r="O317" s="2585">
        <v>0</v>
      </c>
      <c r="P317" s="2581">
        <v>0</v>
      </c>
      <c r="Q317" s="2586">
        <v>57.610352816892949</v>
      </c>
      <c r="R317" s="571">
        <v>1017.7909028703135</v>
      </c>
      <c r="S317" s="2515">
        <f t="shared" si="46"/>
        <v>1017.7909028703134</v>
      </c>
      <c r="T317" s="2515">
        <f t="shared" si="43"/>
        <v>0</v>
      </c>
    </row>
    <row r="318" spans="1:20" ht="15.75" customHeight="1" x14ac:dyDescent="0.25">
      <c r="A318" s="2688" t="s">
        <v>216</v>
      </c>
      <c r="B318" s="2689"/>
      <c r="C318" s="2689" t="s">
        <v>1032</v>
      </c>
      <c r="D318" s="2578">
        <v>0</v>
      </c>
      <c r="E318" s="2579">
        <v>518.03699835536179</v>
      </c>
      <c r="F318" s="2580">
        <v>0</v>
      </c>
      <c r="G318" s="2581">
        <v>31.080059062916412</v>
      </c>
      <c r="H318" s="566">
        <v>549.11705741827825</v>
      </c>
      <c r="I318" s="2582">
        <v>350.30791947275543</v>
      </c>
      <c r="J318" s="2581">
        <v>21.020155820458339</v>
      </c>
      <c r="K318" s="2584">
        <v>250.21308267607833</v>
      </c>
      <c r="L318" s="2581">
        <v>15.017826916843735</v>
      </c>
      <c r="M318" s="3243">
        <f t="shared" si="44"/>
        <v>600.52100214883376</v>
      </c>
      <c r="N318" s="3244">
        <f t="shared" si="45"/>
        <v>36.037982737302073</v>
      </c>
      <c r="O318" s="2585">
        <v>0</v>
      </c>
      <c r="P318" s="2581">
        <v>0</v>
      </c>
      <c r="Q318" s="2586">
        <v>67.118041800218478</v>
      </c>
      <c r="R318" s="571">
        <v>1185.6760423044138</v>
      </c>
      <c r="S318" s="2515">
        <f t="shared" si="46"/>
        <v>1185.6760423044143</v>
      </c>
      <c r="T318" s="2515">
        <f t="shared" si="43"/>
        <v>0</v>
      </c>
    </row>
    <row r="319" spans="1:20" ht="15.75" customHeight="1" thickBot="1" x14ac:dyDescent="0.3">
      <c r="A319" s="2695" t="s">
        <v>629</v>
      </c>
      <c r="B319" s="2689"/>
      <c r="C319" s="2696" t="s">
        <v>1032</v>
      </c>
      <c r="D319" s="2578">
        <v>62.904406909881033</v>
      </c>
      <c r="E319" s="2579">
        <v>581.86576391639949</v>
      </c>
      <c r="F319" s="2580">
        <v>6.2184127441447279</v>
      </c>
      <c r="G319" s="2581">
        <v>39.063156504723828</v>
      </c>
      <c r="H319" s="566">
        <v>690.05174007514904</v>
      </c>
      <c r="I319" s="2582">
        <v>0</v>
      </c>
      <c r="J319" s="2581">
        <v>0</v>
      </c>
      <c r="K319" s="2584">
        <v>537.80866976386835</v>
      </c>
      <c r="L319" s="2581">
        <v>32.268520185832102</v>
      </c>
      <c r="M319" s="3243">
        <f t="shared" si="44"/>
        <v>537.80866976386835</v>
      </c>
      <c r="N319" s="3244">
        <f t="shared" si="45"/>
        <v>32.268520185832102</v>
      </c>
      <c r="O319" s="2585">
        <v>0</v>
      </c>
      <c r="P319" s="2581">
        <v>0</v>
      </c>
      <c r="Q319" s="2586">
        <v>71.331676690555923</v>
      </c>
      <c r="R319" s="571">
        <v>1260.1289300248495</v>
      </c>
      <c r="S319" s="2515">
        <f t="shared" si="46"/>
        <v>1260.1289300248495</v>
      </c>
      <c r="T319" s="2515">
        <f t="shared" si="43"/>
        <v>0</v>
      </c>
    </row>
    <row r="320" spans="1:20" ht="15.75" customHeight="1" x14ac:dyDescent="0.25">
      <c r="A320" s="2699" t="s">
        <v>935</v>
      </c>
      <c r="B320" s="2700"/>
      <c r="C320" s="2700" t="s">
        <v>1034</v>
      </c>
      <c r="D320" s="2578" t="s">
        <v>5</v>
      </c>
      <c r="E320" s="2579" t="s">
        <v>5</v>
      </c>
      <c r="F320" s="2580" t="s">
        <v>5</v>
      </c>
      <c r="G320" s="2581" t="s">
        <v>5</v>
      </c>
      <c r="H320" s="566" t="s">
        <v>5</v>
      </c>
      <c r="I320" s="2582" t="s">
        <v>5</v>
      </c>
      <c r="J320" s="2581" t="s">
        <v>5</v>
      </c>
      <c r="K320" s="2584" t="s">
        <v>5</v>
      </c>
      <c r="L320" s="2581" t="s">
        <v>5</v>
      </c>
      <c r="M320" s="3241" t="s">
        <v>5</v>
      </c>
      <c r="N320" s="3242" t="s">
        <v>5</v>
      </c>
      <c r="O320" s="2585" t="s">
        <v>5</v>
      </c>
      <c r="P320" s="2581" t="s">
        <v>5</v>
      </c>
      <c r="Q320" s="2586" t="s">
        <v>5</v>
      </c>
      <c r="R320" s="571">
        <v>178.75853405923792</v>
      </c>
      <c r="S320" s="2515">
        <f>R320</f>
        <v>178.75853405923792</v>
      </c>
      <c r="T320" s="2515">
        <f t="shared" si="43"/>
        <v>0</v>
      </c>
    </row>
    <row r="321" spans="1:20" ht="15.75" customHeight="1" x14ac:dyDescent="0.25">
      <c r="A321" s="2710" t="s">
        <v>462</v>
      </c>
      <c r="B321" s="2700"/>
      <c r="C321" s="2700" t="s">
        <v>1034</v>
      </c>
      <c r="D321" s="2578" t="s">
        <v>5</v>
      </c>
      <c r="E321" s="2579" t="s">
        <v>5</v>
      </c>
      <c r="F321" s="2580" t="s">
        <v>5</v>
      </c>
      <c r="G321" s="2581" t="s">
        <v>5</v>
      </c>
      <c r="H321" s="566" t="s">
        <v>5</v>
      </c>
      <c r="I321" s="2582" t="s">
        <v>5</v>
      </c>
      <c r="J321" s="2581" t="s">
        <v>5</v>
      </c>
      <c r="K321" s="2584" t="s">
        <v>5</v>
      </c>
      <c r="L321" s="2581" t="s">
        <v>5</v>
      </c>
      <c r="M321" s="3241" t="s">
        <v>5</v>
      </c>
      <c r="N321" s="3242" t="s">
        <v>5</v>
      </c>
      <c r="O321" s="2585" t="s">
        <v>5</v>
      </c>
      <c r="P321" s="2581" t="s">
        <v>5</v>
      </c>
      <c r="Q321" s="2586" t="s">
        <v>5</v>
      </c>
      <c r="R321" s="571">
        <v>146.75109383917169</v>
      </c>
      <c r="S321" s="2515">
        <f t="shared" ref="S321:S322" si="47">R321</f>
        <v>146.75109383917169</v>
      </c>
      <c r="T321" s="2515">
        <f t="shared" si="43"/>
        <v>0</v>
      </c>
    </row>
    <row r="322" spans="1:20" ht="15.75" customHeight="1" thickBot="1" x14ac:dyDescent="0.3">
      <c r="A322" s="2720" t="s">
        <v>933</v>
      </c>
      <c r="B322" s="2700" t="s">
        <v>429</v>
      </c>
      <c r="C322" s="2721" t="s">
        <v>1034</v>
      </c>
      <c r="D322" s="2578" t="s">
        <v>5</v>
      </c>
      <c r="E322" s="2579" t="s">
        <v>5</v>
      </c>
      <c r="F322" s="2580" t="s">
        <v>5</v>
      </c>
      <c r="G322" s="2581" t="s">
        <v>5</v>
      </c>
      <c r="H322" s="566" t="s">
        <v>5</v>
      </c>
      <c r="I322" s="2582" t="s">
        <v>5</v>
      </c>
      <c r="J322" s="2581" t="s">
        <v>5</v>
      </c>
      <c r="K322" s="2584" t="s">
        <v>5</v>
      </c>
      <c r="L322" s="2581" t="s">
        <v>5</v>
      </c>
      <c r="M322" s="3241" t="s">
        <v>5</v>
      </c>
      <c r="N322" s="3242" t="s">
        <v>5</v>
      </c>
      <c r="O322" s="2585" t="s">
        <v>5</v>
      </c>
      <c r="P322" s="2581" t="s">
        <v>5</v>
      </c>
      <c r="Q322" s="2586" t="s">
        <v>5</v>
      </c>
      <c r="R322" s="571">
        <v>263.91040332394249</v>
      </c>
      <c r="S322" s="2515">
        <f t="shared" si="47"/>
        <v>263.91040332394249</v>
      </c>
      <c r="T322" s="2515">
        <f t="shared" si="43"/>
        <v>0</v>
      </c>
    </row>
    <row r="323" spans="1:20" ht="15.75" customHeight="1" x14ac:dyDescent="0.25">
      <c r="A323" s="2758" t="s">
        <v>73</v>
      </c>
      <c r="B323" s="2689" t="s">
        <v>429</v>
      </c>
      <c r="C323" s="2689" t="s">
        <v>1036</v>
      </c>
      <c r="D323" s="2578">
        <v>143.36741582687893</v>
      </c>
      <c r="E323" s="2579">
        <v>0</v>
      </c>
      <c r="F323" s="2580">
        <v>0</v>
      </c>
      <c r="G323" s="2581">
        <v>28.673483165375785</v>
      </c>
      <c r="H323" s="566">
        <v>172.04089899225471</v>
      </c>
      <c r="I323" s="2582">
        <v>41.97915771643202</v>
      </c>
      <c r="J323" s="2581">
        <v>8.3958315432864037</v>
      </c>
      <c r="K323" s="2584">
        <v>35.473615731136995</v>
      </c>
      <c r="L323" s="2581">
        <v>7.0947231462273992</v>
      </c>
      <c r="M323" s="3243">
        <f t="shared" si="44"/>
        <v>77.452773447569015</v>
      </c>
      <c r="N323" s="3244">
        <f t="shared" si="45"/>
        <v>15.490554689513804</v>
      </c>
      <c r="O323" s="2585">
        <v>0</v>
      </c>
      <c r="P323" s="2581">
        <v>0</v>
      </c>
      <c r="Q323" s="2586">
        <v>44.164037854889592</v>
      </c>
      <c r="R323" s="571">
        <v>264.98422712933751</v>
      </c>
      <c r="S323" s="2515">
        <f t="shared" si="46"/>
        <v>264.98422712933757</v>
      </c>
      <c r="T323" s="2515">
        <f t="shared" si="43"/>
        <v>0</v>
      </c>
    </row>
    <row r="324" spans="1:20" ht="15.75" customHeight="1" x14ac:dyDescent="0.25">
      <c r="A324" s="2692" t="s">
        <v>74</v>
      </c>
      <c r="B324" s="2689"/>
      <c r="C324" s="2689" t="s">
        <v>1036</v>
      </c>
      <c r="D324" s="2578">
        <v>157.97419877499416</v>
      </c>
      <c r="E324" s="2579">
        <v>0</v>
      </c>
      <c r="F324" s="2580">
        <v>0</v>
      </c>
      <c r="G324" s="2581">
        <v>31.59483975499883</v>
      </c>
      <c r="H324" s="566">
        <v>189.56903852999301</v>
      </c>
      <c r="I324" s="2582">
        <v>35.105377505554259</v>
      </c>
      <c r="J324" s="2581">
        <v>7.0210755011108512</v>
      </c>
      <c r="K324" s="2584">
        <v>68.369563883194843</v>
      </c>
      <c r="L324" s="2581">
        <v>13.673912776638968</v>
      </c>
      <c r="M324" s="3243">
        <f t="shared" si="44"/>
        <v>103.4749413887491</v>
      </c>
      <c r="N324" s="3244">
        <f t="shared" si="45"/>
        <v>20.694988277749818</v>
      </c>
      <c r="O324" s="2585">
        <v>0</v>
      </c>
      <c r="P324" s="2581">
        <v>0</v>
      </c>
      <c r="Q324" s="2586">
        <v>52.289828032748645</v>
      </c>
      <c r="R324" s="571">
        <v>313.73896819649195</v>
      </c>
      <c r="S324" s="2515">
        <f t="shared" si="46"/>
        <v>313.73896819649195</v>
      </c>
      <c r="T324" s="2515">
        <f t="shared" si="43"/>
        <v>0</v>
      </c>
    </row>
    <row r="325" spans="1:20" ht="15.75" customHeight="1" x14ac:dyDescent="0.25">
      <c r="A325" s="2692" t="s">
        <v>75</v>
      </c>
      <c r="B325" s="2689"/>
      <c r="C325" s="2689" t="s">
        <v>1036</v>
      </c>
      <c r="D325" s="2578">
        <v>181.66419128748359</v>
      </c>
      <c r="E325" s="2579">
        <v>0</v>
      </c>
      <c r="F325" s="2580">
        <v>0</v>
      </c>
      <c r="G325" s="2581">
        <v>36.332838257496718</v>
      </c>
      <c r="H325" s="566">
        <v>217.99702954498031</v>
      </c>
      <c r="I325" s="2582">
        <v>14.72952902330948</v>
      </c>
      <c r="J325" s="2581">
        <v>2.9459058046618956</v>
      </c>
      <c r="K325" s="2584">
        <v>38.051283310216157</v>
      </c>
      <c r="L325" s="2581">
        <v>7.6102566620432315</v>
      </c>
      <c r="M325" s="3243">
        <f t="shared" si="44"/>
        <v>52.780812333525638</v>
      </c>
      <c r="N325" s="3244">
        <f t="shared" si="45"/>
        <v>10.556162466705127</v>
      </c>
      <c r="O325" s="2585">
        <v>0</v>
      </c>
      <c r="P325" s="2581">
        <v>0</v>
      </c>
      <c r="Q325" s="2586">
        <v>46.88900072420185</v>
      </c>
      <c r="R325" s="571">
        <v>281.3340043452111</v>
      </c>
      <c r="S325" s="2515">
        <f t="shared" si="46"/>
        <v>281.3340043452111</v>
      </c>
      <c r="T325" s="2515">
        <f t="shared" si="43"/>
        <v>0</v>
      </c>
    </row>
    <row r="326" spans="1:20" ht="15.75" customHeight="1" x14ac:dyDescent="0.25">
      <c r="A326" s="2692" t="s">
        <v>76</v>
      </c>
      <c r="B326" s="2689"/>
      <c r="C326" s="2689" t="s">
        <v>1036</v>
      </c>
      <c r="D326" s="2578">
        <v>257.76675790791586</v>
      </c>
      <c r="E326" s="2579">
        <v>0</v>
      </c>
      <c r="F326" s="2580">
        <v>0</v>
      </c>
      <c r="G326" s="2581">
        <v>51.553351581583179</v>
      </c>
      <c r="H326" s="566">
        <v>309.32010948949903</v>
      </c>
      <c r="I326" s="2582">
        <v>9.8196860155396521</v>
      </c>
      <c r="J326" s="2581">
        <v>1.9639372031079307</v>
      </c>
      <c r="K326" s="2584">
        <v>20.866832783021763</v>
      </c>
      <c r="L326" s="2581">
        <v>4.1733665566043525</v>
      </c>
      <c r="M326" s="3243">
        <f t="shared" si="44"/>
        <v>30.686518798561416</v>
      </c>
      <c r="N326" s="3244">
        <f t="shared" si="45"/>
        <v>6.1373037597122835</v>
      </c>
      <c r="O326" s="2585">
        <v>0</v>
      </c>
      <c r="P326" s="2581">
        <v>0</v>
      </c>
      <c r="Q326" s="2586">
        <v>57.690655341295461</v>
      </c>
      <c r="R326" s="571">
        <v>346.14393204777281</v>
      </c>
      <c r="S326" s="2515">
        <f t="shared" si="46"/>
        <v>346.14393204777269</v>
      </c>
      <c r="T326" s="2515">
        <f t="shared" si="43"/>
        <v>0</v>
      </c>
    </row>
    <row r="327" spans="1:20" ht="15.75" customHeight="1" thickBot="1" x14ac:dyDescent="0.3">
      <c r="A327" s="2768" t="s">
        <v>77</v>
      </c>
      <c r="B327" s="2689"/>
      <c r="C327" s="2689" t="s">
        <v>1036</v>
      </c>
      <c r="D327" s="2578">
        <v>222.17039610158466</v>
      </c>
      <c r="E327" s="2579">
        <v>0</v>
      </c>
      <c r="F327" s="2580">
        <v>0</v>
      </c>
      <c r="G327" s="2581">
        <v>44.434079220316931</v>
      </c>
      <c r="H327" s="566">
        <v>266.60447532190159</v>
      </c>
      <c r="I327" s="2582">
        <v>12.274607519424565</v>
      </c>
      <c r="J327" s="2581">
        <v>2.454921503884913</v>
      </c>
      <c r="K327" s="2584">
        <v>44.188587069928438</v>
      </c>
      <c r="L327" s="2581">
        <v>8.837717413985688</v>
      </c>
      <c r="M327" s="3243">
        <f t="shared" si="44"/>
        <v>56.463194589353002</v>
      </c>
      <c r="N327" s="3244">
        <f t="shared" si="45"/>
        <v>11.292638917870601</v>
      </c>
      <c r="O327" s="2585">
        <v>0</v>
      </c>
      <c r="P327" s="2581">
        <v>0</v>
      </c>
      <c r="Q327" s="2586">
        <v>55.726718138187529</v>
      </c>
      <c r="R327" s="571">
        <v>334.36030882912519</v>
      </c>
      <c r="S327" s="2515">
        <f t="shared" si="46"/>
        <v>334.36030882912519</v>
      </c>
      <c r="T327" s="2515">
        <f t="shared" si="43"/>
        <v>0</v>
      </c>
    </row>
    <row r="328" spans="1:20" ht="15.75" customHeight="1" x14ac:dyDescent="0.25">
      <c r="A328" s="2782" t="s">
        <v>548</v>
      </c>
      <c r="B328" s="2673"/>
      <c r="C328" s="2673" t="s">
        <v>1040</v>
      </c>
      <c r="D328" s="2578">
        <v>148.76072487853753</v>
      </c>
      <c r="E328" s="2579">
        <v>278.24648732893871</v>
      </c>
      <c r="F328" s="2580">
        <v>0</v>
      </c>
      <c r="G328" s="2581">
        <v>0</v>
      </c>
      <c r="H328" s="566">
        <v>427.00721220747624</v>
      </c>
      <c r="I328" s="2582">
        <v>0</v>
      </c>
      <c r="J328" s="2581">
        <v>0</v>
      </c>
      <c r="K328" s="2584">
        <v>458.01890918343815</v>
      </c>
      <c r="L328" s="2581">
        <v>0</v>
      </c>
      <c r="M328" s="3243">
        <f t="shared" si="44"/>
        <v>458.01890918343815</v>
      </c>
      <c r="N328" s="3244">
        <f t="shared" si="45"/>
        <v>0</v>
      </c>
      <c r="O328" s="2585">
        <v>0</v>
      </c>
      <c r="P328" s="2581">
        <v>0</v>
      </c>
      <c r="Q328" s="2586">
        <v>0</v>
      </c>
      <c r="R328" s="571">
        <v>885.02612139091434</v>
      </c>
      <c r="S328" s="2515">
        <f t="shared" si="46"/>
        <v>885.02612139091434</v>
      </c>
      <c r="T328" s="2515">
        <f t="shared" si="43"/>
        <v>0</v>
      </c>
    </row>
    <row r="329" spans="1:20" ht="15.75" customHeight="1" x14ac:dyDescent="0.25">
      <c r="A329" s="2672" t="s">
        <v>940</v>
      </c>
      <c r="B329" s="2672" t="s">
        <v>429</v>
      </c>
      <c r="C329" s="2672" t="s">
        <v>1040</v>
      </c>
      <c r="D329" s="2578">
        <v>87.214433957013028</v>
      </c>
      <c r="E329" s="2579">
        <v>301.62453581851003</v>
      </c>
      <c r="F329" s="2580">
        <v>0</v>
      </c>
      <c r="G329" s="2581">
        <v>0</v>
      </c>
      <c r="H329" s="566">
        <v>388.83896977552308</v>
      </c>
      <c r="I329" s="2582">
        <v>0</v>
      </c>
      <c r="J329" s="2581">
        <v>0</v>
      </c>
      <c r="K329" s="2584">
        <v>429.39272735947327</v>
      </c>
      <c r="L329" s="2581">
        <v>0</v>
      </c>
      <c r="M329" s="3243">
        <f t="shared" si="44"/>
        <v>429.39272735947327</v>
      </c>
      <c r="N329" s="3244">
        <f t="shared" si="45"/>
        <v>0</v>
      </c>
      <c r="O329" s="2585">
        <v>0</v>
      </c>
      <c r="P329" s="2581">
        <v>0</v>
      </c>
      <c r="Q329" s="2586">
        <v>0</v>
      </c>
      <c r="R329" s="571">
        <v>818.23169713499635</v>
      </c>
      <c r="S329" s="2515">
        <f t="shared" si="46"/>
        <v>818.23169713499635</v>
      </c>
      <c r="T329" s="2515">
        <f t="shared" si="43"/>
        <v>0</v>
      </c>
    </row>
    <row r="330" spans="1:20" ht="15.75" customHeight="1" x14ac:dyDescent="0.25">
      <c r="A330" s="2672" t="s">
        <v>549</v>
      </c>
      <c r="B330" s="2672"/>
      <c r="C330" s="2672" t="s">
        <v>1040</v>
      </c>
      <c r="D330" s="2578">
        <v>142.60609578638508</v>
      </c>
      <c r="E330" s="2579">
        <v>283.60594470375878</v>
      </c>
      <c r="F330" s="2580">
        <v>0</v>
      </c>
      <c r="G330" s="2581">
        <v>0</v>
      </c>
      <c r="H330" s="566">
        <v>426.21204049014386</v>
      </c>
      <c r="I330" s="2582">
        <v>0</v>
      </c>
      <c r="J330" s="2581">
        <v>0</v>
      </c>
      <c r="K330" s="2584">
        <v>406.33274755683493</v>
      </c>
      <c r="L330" s="2581">
        <v>0</v>
      </c>
      <c r="M330" s="3243">
        <f t="shared" si="44"/>
        <v>406.33274755683493</v>
      </c>
      <c r="N330" s="3244">
        <f t="shared" si="45"/>
        <v>0</v>
      </c>
      <c r="O330" s="2585">
        <v>0</v>
      </c>
      <c r="P330" s="2581">
        <v>0</v>
      </c>
      <c r="Q330" s="2586">
        <v>0</v>
      </c>
      <c r="R330" s="571">
        <v>832.54478804697874</v>
      </c>
      <c r="S330" s="2515">
        <f t="shared" si="46"/>
        <v>832.54478804697874</v>
      </c>
      <c r="T330" s="2515">
        <f t="shared" si="43"/>
        <v>0</v>
      </c>
    </row>
    <row r="331" spans="1:20" ht="15.75" customHeight="1" x14ac:dyDescent="0.25">
      <c r="A331" s="2672" t="s">
        <v>722</v>
      </c>
      <c r="B331" s="2672"/>
      <c r="C331" s="2672" t="s">
        <v>1040</v>
      </c>
      <c r="D331" s="2578">
        <v>190.84121215976592</v>
      </c>
      <c r="E331" s="2579">
        <v>573.31880819663002</v>
      </c>
      <c r="F331" s="2580">
        <v>0</v>
      </c>
      <c r="G331" s="2581">
        <v>0</v>
      </c>
      <c r="H331" s="566">
        <v>764.16002035639599</v>
      </c>
      <c r="I331" s="2582">
        <v>0</v>
      </c>
      <c r="J331" s="2581">
        <v>0</v>
      </c>
      <c r="K331" s="2584">
        <v>394.40517179684952</v>
      </c>
      <c r="L331" s="2581">
        <v>0</v>
      </c>
      <c r="M331" s="3243">
        <f t="shared" si="44"/>
        <v>394.40517179684952</v>
      </c>
      <c r="N331" s="3244">
        <f t="shared" si="45"/>
        <v>0</v>
      </c>
      <c r="O331" s="2585">
        <v>0</v>
      </c>
      <c r="P331" s="2581">
        <v>0</v>
      </c>
      <c r="Q331" s="2586">
        <v>0</v>
      </c>
      <c r="R331" s="571">
        <v>1158.5651921532456</v>
      </c>
      <c r="S331" s="2515">
        <f t="shared" si="46"/>
        <v>1158.5651921532456</v>
      </c>
      <c r="T331" s="2515">
        <f t="shared" si="43"/>
        <v>0</v>
      </c>
    </row>
    <row r="332" spans="1:20" ht="15.75" customHeight="1" x14ac:dyDescent="0.25">
      <c r="A332" s="2672" t="s">
        <v>723</v>
      </c>
      <c r="B332" s="2672"/>
      <c r="C332" s="2672" t="s">
        <v>1040</v>
      </c>
      <c r="D332" s="2578">
        <v>489.8257778767325</v>
      </c>
      <c r="E332" s="2579">
        <v>0</v>
      </c>
      <c r="F332" s="2580">
        <v>0</v>
      </c>
      <c r="G332" s="2581">
        <v>0</v>
      </c>
      <c r="H332" s="566">
        <v>489.8257778767325</v>
      </c>
      <c r="I332" s="2582">
        <v>0</v>
      </c>
      <c r="J332" s="2581">
        <v>0</v>
      </c>
      <c r="K332" s="2584">
        <v>305.34593945562546</v>
      </c>
      <c r="L332" s="2581">
        <v>0</v>
      </c>
      <c r="M332" s="3243">
        <f t="shared" si="44"/>
        <v>305.34593945562546</v>
      </c>
      <c r="N332" s="3244">
        <f t="shared" si="45"/>
        <v>0</v>
      </c>
      <c r="O332" s="2585">
        <v>0</v>
      </c>
      <c r="P332" s="2581">
        <v>0</v>
      </c>
      <c r="Q332" s="2586">
        <v>0</v>
      </c>
      <c r="R332" s="571">
        <v>795.17171733235796</v>
      </c>
      <c r="S332" s="2515">
        <f t="shared" si="46"/>
        <v>795.17171733235796</v>
      </c>
      <c r="T332" s="2515">
        <f t="shared" si="43"/>
        <v>0</v>
      </c>
    </row>
    <row r="333" spans="1:20" ht="15.75" customHeight="1" thickBot="1" x14ac:dyDescent="0.3">
      <c r="A333" s="2783" t="s">
        <v>552</v>
      </c>
      <c r="B333" s="2696"/>
      <c r="C333" s="2696" t="s">
        <v>1040</v>
      </c>
      <c r="D333" s="2578">
        <v>167.65400488235434</v>
      </c>
      <c r="E333" s="2579">
        <v>166.31811639723597</v>
      </c>
      <c r="F333" s="2580">
        <v>0</v>
      </c>
      <c r="G333" s="2581">
        <v>0</v>
      </c>
      <c r="H333" s="566">
        <v>333.97212127959028</v>
      </c>
      <c r="I333" s="2582">
        <v>0</v>
      </c>
      <c r="J333" s="2581">
        <v>0</v>
      </c>
      <c r="K333" s="2584">
        <v>337.15280814891975</v>
      </c>
      <c r="L333" s="2581">
        <v>0</v>
      </c>
      <c r="M333" s="3243">
        <f t="shared" si="44"/>
        <v>337.15280814891975</v>
      </c>
      <c r="N333" s="3244">
        <f t="shared" si="45"/>
        <v>0</v>
      </c>
      <c r="O333" s="2585">
        <v>0</v>
      </c>
      <c r="P333" s="2581">
        <v>0</v>
      </c>
      <c r="Q333" s="2586">
        <v>0</v>
      </c>
      <c r="R333" s="571">
        <v>671.12492942851009</v>
      </c>
      <c r="S333" s="2515">
        <f t="shared" si="46"/>
        <v>671.12492942851009</v>
      </c>
      <c r="T333" s="2515">
        <f t="shared" si="43"/>
        <v>0</v>
      </c>
    </row>
    <row r="334" spans="1:20" ht="15.75" customHeight="1" x14ac:dyDescent="0.25">
      <c r="A334" s="2758" t="s">
        <v>78</v>
      </c>
      <c r="B334" s="2689" t="s">
        <v>429</v>
      </c>
      <c r="C334" s="2689" t="s">
        <v>1044</v>
      </c>
      <c r="D334" s="2795">
        <v>125.19686977064671</v>
      </c>
      <c r="E334" s="2579">
        <v>0</v>
      </c>
      <c r="F334" s="2580">
        <v>0</v>
      </c>
      <c r="G334" s="2581">
        <v>0</v>
      </c>
      <c r="H334" s="566">
        <v>125.19686977064671</v>
      </c>
      <c r="I334" s="2582">
        <v>0</v>
      </c>
      <c r="J334" s="2581">
        <v>0</v>
      </c>
      <c r="K334" s="2584">
        <v>41.834826262427406</v>
      </c>
      <c r="L334" s="2581">
        <v>0</v>
      </c>
      <c r="M334" s="3243">
        <f t="shared" si="44"/>
        <v>41.834826262427406</v>
      </c>
      <c r="N334" s="3244">
        <f t="shared" si="45"/>
        <v>0</v>
      </c>
      <c r="O334" s="2585">
        <v>48.294615611772812</v>
      </c>
      <c r="P334" s="2581">
        <v>0</v>
      </c>
      <c r="Q334" s="2586">
        <v>0</v>
      </c>
      <c r="R334" s="571">
        <v>215.32631164484695</v>
      </c>
      <c r="S334" s="2515">
        <f t="shared" si="46"/>
        <v>215.32631164484695</v>
      </c>
      <c r="T334" s="2515">
        <f t="shared" si="43"/>
        <v>0</v>
      </c>
    </row>
    <row r="335" spans="1:20" ht="15.75" customHeight="1" x14ac:dyDescent="0.25">
      <c r="A335" s="2692" t="s">
        <v>79</v>
      </c>
      <c r="B335" s="2689"/>
      <c r="C335" s="2689" t="s">
        <v>1044</v>
      </c>
      <c r="D335" s="2795">
        <v>101.51097548971356</v>
      </c>
      <c r="E335" s="2579">
        <v>0</v>
      </c>
      <c r="F335" s="2580">
        <v>0</v>
      </c>
      <c r="G335" s="2581">
        <v>0</v>
      </c>
      <c r="H335" s="566">
        <v>101.51097548971356</v>
      </c>
      <c r="I335" s="2582">
        <v>0</v>
      </c>
      <c r="J335" s="2581">
        <v>0</v>
      </c>
      <c r="K335" s="2584">
        <v>52.293532828034259</v>
      </c>
      <c r="L335" s="2581">
        <v>0</v>
      </c>
      <c r="M335" s="3243">
        <f t="shared" si="44"/>
        <v>52.293532828034259</v>
      </c>
      <c r="N335" s="3244">
        <f t="shared" si="45"/>
        <v>0</v>
      </c>
      <c r="O335" s="2585">
        <v>0</v>
      </c>
      <c r="P335" s="2581">
        <v>0</v>
      </c>
      <c r="Q335" s="2586">
        <v>0</v>
      </c>
      <c r="R335" s="571">
        <v>153.80450831774783</v>
      </c>
      <c r="S335" s="2515">
        <f t="shared" si="46"/>
        <v>153.80450831774783</v>
      </c>
      <c r="T335" s="2515">
        <f t="shared" si="43"/>
        <v>0</v>
      </c>
    </row>
    <row r="336" spans="1:20" ht="15.75" customHeight="1" x14ac:dyDescent="0.25">
      <c r="A336" s="2692" t="s">
        <v>80</v>
      </c>
      <c r="B336" s="2689"/>
      <c r="C336" s="2689" t="s">
        <v>1044</v>
      </c>
      <c r="D336" s="2795">
        <v>120.27512550447879</v>
      </c>
      <c r="E336" s="2579">
        <v>0</v>
      </c>
      <c r="F336" s="2580">
        <v>42.757653312333893</v>
      </c>
      <c r="G336" s="2581">
        <v>0</v>
      </c>
      <c r="H336" s="566">
        <v>163.03277881681268</v>
      </c>
      <c r="I336" s="2582">
        <v>0</v>
      </c>
      <c r="J336" s="2581">
        <v>0</v>
      </c>
      <c r="K336" s="2584">
        <v>27.684811497194605</v>
      </c>
      <c r="L336" s="2581">
        <v>0</v>
      </c>
      <c r="M336" s="3243">
        <f t="shared" si="44"/>
        <v>27.684811497194605</v>
      </c>
      <c r="N336" s="3244">
        <f t="shared" si="45"/>
        <v>0</v>
      </c>
      <c r="O336" s="2585">
        <v>0</v>
      </c>
      <c r="P336" s="2581">
        <v>0</v>
      </c>
      <c r="Q336" s="2586">
        <v>0</v>
      </c>
      <c r="R336" s="571">
        <v>190.71759031400728</v>
      </c>
      <c r="S336" s="2515">
        <f t="shared" si="46"/>
        <v>190.71759031400728</v>
      </c>
      <c r="T336" s="2515">
        <f t="shared" si="43"/>
        <v>0</v>
      </c>
    </row>
    <row r="337" spans="1:20" ht="15.75" customHeight="1" x14ac:dyDescent="0.25">
      <c r="A337" s="2768" t="s">
        <v>81</v>
      </c>
      <c r="B337" s="2689"/>
      <c r="C337" s="2689" t="s">
        <v>1044</v>
      </c>
      <c r="D337" s="2795">
        <v>123.35121567083374</v>
      </c>
      <c r="E337" s="2579">
        <v>0</v>
      </c>
      <c r="F337" s="2580">
        <v>0</v>
      </c>
      <c r="G337" s="2581">
        <v>0</v>
      </c>
      <c r="H337" s="566">
        <v>123.35121567083374</v>
      </c>
      <c r="I337" s="2582">
        <v>0</v>
      </c>
      <c r="J337" s="2581">
        <v>0</v>
      </c>
      <c r="K337" s="2584">
        <v>27.684811497194605</v>
      </c>
      <c r="L337" s="2581">
        <v>0</v>
      </c>
      <c r="M337" s="3243">
        <f t="shared" si="44"/>
        <v>27.684811497194605</v>
      </c>
      <c r="N337" s="3244">
        <f t="shared" si="45"/>
        <v>0</v>
      </c>
      <c r="O337" s="2585">
        <v>0</v>
      </c>
      <c r="P337" s="2581">
        <v>0</v>
      </c>
      <c r="Q337" s="2586">
        <v>0</v>
      </c>
      <c r="R337" s="571">
        <v>151.03602716802834</v>
      </c>
      <c r="S337" s="2515">
        <f t="shared" si="46"/>
        <v>151.03602716802834</v>
      </c>
      <c r="T337" s="2515">
        <f t="shared" si="43"/>
        <v>0</v>
      </c>
    </row>
    <row r="338" spans="1:20" ht="15.75" customHeight="1" thickBot="1" x14ac:dyDescent="0.3">
      <c r="A338" s="2797" t="s">
        <v>468</v>
      </c>
      <c r="B338" s="2689"/>
      <c r="C338" s="2689" t="s">
        <v>1044</v>
      </c>
      <c r="D338" s="2795">
        <v>91.359877940742194</v>
      </c>
      <c r="E338" s="2579">
        <v>0</v>
      </c>
      <c r="F338" s="2580">
        <v>0</v>
      </c>
      <c r="G338" s="2581">
        <v>0</v>
      </c>
      <c r="H338" s="566">
        <v>91.359877940742194</v>
      </c>
      <c r="I338" s="2582">
        <v>0</v>
      </c>
      <c r="J338" s="2581">
        <v>0</v>
      </c>
      <c r="K338" s="2584">
        <v>36.913081996259471</v>
      </c>
      <c r="L338" s="2581">
        <v>0</v>
      </c>
      <c r="M338" s="3243">
        <f t="shared" si="44"/>
        <v>36.913081996259471</v>
      </c>
      <c r="N338" s="3244">
        <f t="shared" si="45"/>
        <v>0</v>
      </c>
      <c r="O338" s="2585">
        <v>0</v>
      </c>
      <c r="P338" s="2581">
        <v>0</v>
      </c>
      <c r="Q338" s="2586">
        <v>0</v>
      </c>
      <c r="R338" s="571">
        <v>128.27295993700167</v>
      </c>
      <c r="S338" s="2515">
        <f t="shared" si="46"/>
        <v>128.27295993700167</v>
      </c>
      <c r="T338" s="2515">
        <f t="shared" si="43"/>
        <v>0</v>
      </c>
    </row>
    <row r="339" spans="1:20" ht="15.75" customHeight="1" thickBot="1" x14ac:dyDescent="0.3">
      <c r="A339" s="2692" t="s">
        <v>84</v>
      </c>
      <c r="B339" s="2689" t="s">
        <v>429</v>
      </c>
      <c r="C339" s="2800" t="s">
        <v>1046</v>
      </c>
      <c r="D339" s="2578">
        <v>0</v>
      </c>
      <c r="E339" s="2579">
        <v>113.95744452081885</v>
      </c>
      <c r="F339" s="2580">
        <v>0</v>
      </c>
      <c r="G339" s="2581">
        <v>0</v>
      </c>
      <c r="H339" s="566">
        <v>113.95744452081885</v>
      </c>
      <c r="I339" s="2582">
        <v>0</v>
      </c>
      <c r="J339" s="2581">
        <v>0</v>
      </c>
      <c r="K339" s="2584">
        <v>74.75305252297953</v>
      </c>
      <c r="L339" s="2581">
        <v>0</v>
      </c>
      <c r="M339" s="3243">
        <f t="shared" si="44"/>
        <v>74.75305252297953</v>
      </c>
      <c r="N339" s="3244">
        <f t="shared" si="45"/>
        <v>0</v>
      </c>
      <c r="O339" s="2585">
        <v>0</v>
      </c>
      <c r="P339" s="2581">
        <v>0</v>
      </c>
      <c r="Q339" s="2586">
        <v>0</v>
      </c>
      <c r="R339" s="571">
        <v>188.7104970437984</v>
      </c>
      <c r="S339" s="2515">
        <f t="shared" si="46"/>
        <v>188.7104970437984</v>
      </c>
      <c r="T339" s="2515">
        <f t="shared" si="43"/>
        <v>0</v>
      </c>
    </row>
    <row r="340" spans="1:20" ht="15.75" customHeight="1" x14ac:dyDescent="0.25">
      <c r="A340" s="2758" t="s">
        <v>82</v>
      </c>
      <c r="B340" s="2689" t="s">
        <v>429</v>
      </c>
      <c r="C340" s="2689" t="s">
        <v>1048</v>
      </c>
      <c r="D340" s="2578">
        <v>27.510121600805885</v>
      </c>
      <c r="E340" s="2579">
        <v>52.525452762322999</v>
      </c>
      <c r="F340" s="2580">
        <v>3.3713384314713095</v>
      </c>
      <c r="G340" s="2581">
        <v>0</v>
      </c>
      <c r="H340" s="566">
        <v>83.406912794600203</v>
      </c>
      <c r="I340" s="2582">
        <v>0</v>
      </c>
      <c r="J340" s="2581">
        <v>0</v>
      </c>
      <c r="K340" s="2584">
        <v>33.713384314713096</v>
      </c>
      <c r="L340" s="2581">
        <v>0</v>
      </c>
      <c r="M340" s="3243">
        <f t="shared" si="44"/>
        <v>33.713384314713096</v>
      </c>
      <c r="N340" s="3244">
        <f t="shared" si="45"/>
        <v>0</v>
      </c>
      <c r="O340" s="2585">
        <v>0</v>
      </c>
      <c r="P340" s="2581">
        <v>3.9950360412935018</v>
      </c>
      <c r="Q340" s="2586">
        <v>3.9950360412935018</v>
      </c>
      <c r="R340" s="571">
        <v>121.1153331506068</v>
      </c>
      <c r="S340" s="2515">
        <f t="shared" si="46"/>
        <v>121.1153331506068</v>
      </c>
      <c r="T340" s="2515">
        <f t="shared" si="43"/>
        <v>0</v>
      </c>
    </row>
    <row r="341" spans="1:20" ht="15.75" customHeight="1" thickBot="1" x14ac:dyDescent="0.3">
      <c r="A341" s="2768" t="s">
        <v>83</v>
      </c>
      <c r="B341" s="2689"/>
      <c r="C341" s="2689" t="s">
        <v>1048</v>
      </c>
      <c r="D341" s="2578">
        <v>14.442813840423089</v>
      </c>
      <c r="E341" s="2579">
        <v>77.675637461098972</v>
      </c>
      <c r="F341" s="2580">
        <v>3.3713384314713095</v>
      </c>
      <c r="G341" s="2581">
        <v>0</v>
      </c>
      <c r="H341" s="566">
        <v>95.489789732993373</v>
      </c>
      <c r="I341" s="2582">
        <v>0</v>
      </c>
      <c r="J341" s="2581">
        <v>0</v>
      </c>
      <c r="K341" s="2584">
        <v>33.713384314713096</v>
      </c>
      <c r="L341" s="2581">
        <v>0</v>
      </c>
      <c r="M341" s="3243">
        <f t="shared" si="44"/>
        <v>33.713384314713096</v>
      </c>
      <c r="N341" s="3244">
        <f t="shared" si="45"/>
        <v>0</v>
      </c>
      <c r="O341" s="2585">
        <v>0</v>
      </c>
      <c r="P341" s="2581">
        <v>4.6018769589583375</v>
      </c>
      <c r="Q341" s="2586">
        <v>4.6018769589583375</v>
      </c>
      <c r="R341" s="571">
        <v>133.8050510066648</v>
      </c>
      <c r="S341" s="2515">
        <f t="shared" si="46"/>
        <v>133.8050510066648</v>
      </c>
      <c r="T341" s="2515">
        <f t="shared" si="43"/>
        <v>0</v>
      </c>
    </row>
    <row r="342" spans="1:20" ht="15.75" customHeight="1" x14ac:dyDescent="0.25">
      <c r="A342" s="2821" t="s">
        <v>85</v>
      </c>
      <c r="B342" s="2822"/>
      <c r="C342" s="2673" t="s">
        <v>1050</v>
      </c>
      <c r="D342" s="2578">
        <v>79.230741527712752</v>
      </c>
      <c r="E342" s="2579">
        <v>273.70619800482586</v>
      </c>
      <c r="F342" s="2580">
        <v>0</v>
      </c>
      <c r="G342" s="2581">
        <v>17.646846976626929</v>
      </c>
      <c r="H342" s="566">
        <v>370.58378650916558</v>
      </c>
      <c r="I342" s="2582">
        <v>120.04657807229205</v>
      </c>
      <c r="J342" s="2581">
        <v>0</v>
      </c>
      <c r="K342" s="2584">
        <v>107.56173395277366</v>
      </c>
      <c r="L342" s="2581">
        <v>0</v>
      </c>
      <c r="M342" s="3243">
        <f t="shared" si="44"/>
        <v>227.60831202506571</v>
      </c>
      <c r="N342" s="3244">
        <f t="shared" si="45"/>
        <v>0</v>
      </c>
      <c r="O342" s="2585">
        <v>30.731923986506764</v>
      </c>
      <c r="P342" s="2581">
        <v>0</v>
      </c>
      <c r="Q342" s="2586">
        <v>17.646846976626929</v>
      </c>
      <c r="R342" s="571">
        <v>628.92402252073805</v>
      </c>
      <c r="S342" s="2515">
        <f t="shared" si="46"/>
        <v>628.92402252073805</v>
      </c>
      <c r="T342" s="2515">
        <f t="shared" si="43"/>
        <v>0</v>
      </c>
    </row>
    <row r="343" spans="1:20" ht="15.75" customHeight="1" x14ac:dyDescent="0.25">
      <c r="A343" s="2833" t="s">
        <v>878</v>
      </c>
      <c r="B343" s="2833" t="s">
        <v>429</v>
      </c>
      <c r="C343" s="2672" t="s">
        <v>1050</v>
      </c>
      <c r="D343" s="2578">
        <v>50.419562790362662</v>
      </c>
      <c r="E343" s="2579">
        <v>264.10247175904249</v>
      </c>
      <c r="F343" s="2580">
        <v>0</v>
      </c>
      <c r="G343" s="2581">
        <v>15.726101727470258</v>
      </c>
      <c r="H343" s="566">
        <v>330.24813627687541</v>
      </c>
      <c r="I343" s="2582">
        <v>132.05123587952124</v>
      </c>
      <c r="J343" s="2581">
        <v>0</v>
      </c>
      <c r="K343" s="2584">
        <v>131.4510029891598</v>
      </c>
      <c r="L343" s="2581">
        <v>0</v>
      </c>
      <c r="M343" s="3243">
        <f t="shared" si="44"/>
        <v>263.50223886868105</v>
      </c>
      <c r="N343" s="3244">
        <f t="shared" si="45"/>
        <v>0</v>
      </c>
      <c r="O343" s="2585">
        <v>0</v>
      </c>
      <c r="P343" s="2581">
        <v>0</v>
      </c>
      <c r="Q343" s="2586">
        <v>15.726101727470258</v>
      </c>
      <c r="R343" s="571">
        <v>593.75037514555652</v>
      </c>
      <c r="S343" s="2515">
        <f t="shared" si="46"/>
        <v>593.75037514555652</v>
      </c>
      <c r="T343" s="2515">
        <f t="shared" si="43"/>
        <v>0</v>
      </c>
    </row>
    <row r="344" spans="1:20" ht="15.75" customHeight="1" x14ac:dyDescent="0.25">
      <c r="A344" s="2833" t="s">
        <v>879</v>
      </c>
      <c r="B344" s="2833"/>
      <c r="C344" s="2672" t="s">
        <v>1050</v>
      </c>
      <c r="D344" s="2578">
        <v>79.230741527712752</v>
      </c>
      <c r="E344" s="2579">
        <v>264.10247175904249</v>
      </c>
      <c r="F344" s="2580">
        <v>0</v>
      </c>
      <c r="G344" s="2581">
        <v>17.166660664337762</v>
      </c>
      <c r="H344" s="566">
        <v>360.49987395109304</v>
      </c>
      <c r="I344" s="2582">
        <v>153.65961993253381</v>
      </c>
      <c r="J344" s="2581">
        <v>0</v>
      </c>
      <c r="K344" s="2584">
        <v>188.53315086253468</v>
      </c>
      <c r="L344" s="2581">
        <v>0</v>
      </c>
      <c r="M344" s="3243">
        <f t="shared" si="44"/>
        <v>342.1927707950685</v>
      </c>
      <c r="N344" s="3244">
        <f t="shared" si="45"/>
        <v>0</v>
      </c>
      <c r="O344" s="2585">
        <v>43.216768106025135</v>
      </c>
      <c r="P344" s="2581">
        <v>0</v>
      </c>
      <c r="Q344" s="2586">
        <v>17.166660664337762</v>
      </c>
      <c r="R344" s="571">
        <v>745.90941285218662</v>
      </c>
      <c r="S344" s="2515">
        <f t="shared" si="46"/>
        <v>745.90941285218662</v>
      </c>
      <c r="T344" s="2515">
        <f t="shared" si="43"/>
        <v>0</v>
      </c>
    </row>
    <row r="345" spans="1:20" ht="15.75" customHeight="1" thickBot="1" x14ac:dyDescent="0.3">
      <c r="A345" s="2834" t="s">
        <v>86</v>
      </c>
      <c r="B345" s="2835"/>
      <c r="C345" s="2696" t="s">
        <v>1050</v>
      </c>
      <c r="D345" s="2578">
        <v>57.622357474700181</v>
      </c>
      <c r="E345" s="2579">
        <v>250.41716185880119</v>
      </c>
      <c r="F345" s="2580">
        <v>0</v>
      </c>
      <c r="G345" s="2581">
        <v>15.401975966675069</v>
      </c>
      <c r="H345" s="566">
        <v>323.44149530017648</v>
      </c>
      <c r="I345" s="2582">
        <v>102.56779630496632</v>
      </c>
      <c r="J345" s="2581">
        <v>0</v>
      </c>
      <c r="K345" s="2584">
        <v>189.07336046385998</v>
      </c>
      <c r="L345" s="2581">
        <v>0</v>
      </c>
      <c r="M345" s="3243">
        <f t="shared" si="44"/>
        <v>291.64115676882631</v>
      </c>
      <c r="N345" s="3244">
        <f t="shared" si="45"/>
        <v>0</v>
      </c>
      <c r="O345" s="2585">
        <v>42.016302325302213</v>
      </c>
      <c r="P345" s="2581">
        <v>0</v>
      </c>
      <c r="Q345" s="2586">
        <v>15.401975966675069</v>
      </c>
      <c r="R345" s="571">
        <v>657.09895439430511</v>
      </c>
      <c r="S345" s="2515">
        <f t="shared" si="46"/>
        <v>657.098954394305</v>
      </c>
      <c r="T345" s="2515">
        <f t="shared" si="43"/>
        <v>0</v>
      </c>
    </row>
    <row r="346" spans="1:20" ht="15.75" customHeight="1" x14ac:dyDescent="0.25">
      <c r="A346" s="2822" t="s">
        <v>911</v>
      </c>
      <c r="B346" s="2822" t="s">
        <v>429</v>
      </c>
      <c r="C346" s="2673" t="s">
        <v>1052</v>
      </c>
      <c r="D346" s="2578">
        <v>0</v>
      </c>
      <c r="E346" s="2579">
        <v>379.49790086992158</v>
      </c>
      <c r="F346" s="2580">
        <v>0</v>
      </c>
      <c r="G346" s="2581">
        <v>56.966987348816566</v>
      </c>
      <c r="H346" s="566">
        <v>436.46488821873817</v>
      </c>
      <c r="I346" s="2582">
        <v>0</v>
      </c>
      <c r="J346" s="2581">
        <v>0</v>
      </c>
      <c r="K346" s="2584">
        <v>318.77071633636467</v>
      </c>
      <c r="L346" s="2581">
        <v>47.754504246202664</v>
      </c>
      <c r="M346" s="3243">
        <f t="shared" si="44"/>
        <v>318.77071633636467</v>
      </c>
      <c r="N346" s="3244">
        <f t="shared" si="45"/>
        <v>47.754504246202664</v>
      </c>
      <c r="O346" s="2585">
        <v>0</v>
      </c>
      <c r="P346" s="2581">
        <v>0</v>
      </c>
      <c r="Q346" s="2586">
        <v>104.72149159501923</v>
      </c>
      <c r="R346" s="571">
        <v>802.9901088013055</v>
      </c>
      <c r="S346" s="2515">
        <f t="shared" si="46"/>
        <v>802.9901088013055</v>
      </c>
      <c r="T346" s="2515">
        <f t="shared" si="43"/>
        <v>0</v>
      </c>
    </row>
    <row r="347" spans="1:20" ht="15.75" customHeight="1" x14ac:dyDescent="0.25">
      <c r="A347" s="2833" t="s">
        <v>912</v>
      </c>
      <c r="B347" s="2833"/>
      <c r="C347" s="2672" t="s">
        <v>1052</v>
      </c>
      <c r="D347" s="2578">
        <v>0</v>
      </c>
      <c r="E347" s="2579">
        <v>303.07189309007362</v>
      </c>
      <c r="F347" s="2580">
        <v>0</v>
      </c>
      <c r="G347" s="2581">
        <v>45.498385935358449</v>
      </c>
      <c r="H347" s="566">
        <v>348.57027902543206</v>
      </c>
      <c r="I347" s="2582">
        <v>0</v>
      </c>
      <c r="J347" s="2581">
        <v>0</v>
      </c>
      <c r="K347" s="2584">
        <v>316.04457337742787</v>
      </c>
      <c r="L347" s="2581">
        <v>47.378484527728631</v>
      </c>
      <c r="M347" s="3243">
        <f t="shared" si="44"/>
        <v>316.04457337742787</v>
      </c>
      <c r="N347" s="3244">
        <f t="shared" si="45"/>
        <v>47.378484527728631</v>
      </c>
      <c r="O347" s="2585">
        <v>0</v>
      </c>
      <c r="P347" s="2581">
        <v>0</v>
      </c>
      <c r="Q347" s="2586">
        <v>92.876870463087073</v>
      </c>
      <c r="R347" s="571">
        <v>711.99333693058861</v>
      </c>
      <c r="S347" s="2515">
        <f t="shared" si="46"/>
        <v>711.99333693058861</v>
      </c>
      <c r="T347" s="2515">
        <f t="shared" si="43"/>
        <v>0</v>
      </c>
    </row>
    <row r="348" spans="1:20" ht="15.75" customHeight="1" x14ac:dyDescent="0.25">
      <c r="A348" s="2833" t="s">
        <v>913</v>
      </c>
      <c r="B348" s="2833"/>
      <c r="C348" s="2672" t="s">
        <v>1052</v>
      </c>
      <c r="D348" s="2578">
        <v>0</v>
      </c>
      <c r="E348" s="2579">
        <v>305.04599661206231</v>
      </c>
      <c r="F348" s="2580">
        <v>0</v>
      </c>
      <c r="G348" s="2581">
        <v>45.780400724213976</v>
      </c>
      <c r="H348" s="566">
        <v>350.82639733627627</v>
      </c>
      <c r="I348" s="2582">
        <v>0</v>
      </c>
      <c r="J348" s="2581">
        <v>0</v>
      </c>
      <c r="K348" s="2584">
        <v>321.2148445064459</v>
      </c>
      <c r="L348" s="2581">
        <v>48.224528894295212</v>
      </c>
      <c r="M348" s="3243">
        <f t="shared" si="44"/>
        <v>321.2148445064459</v>
      </c>
      <c r="N348" s="3244">
        <f t="shared" si="45"/>
        <v>48.224528894295212</v>
      </c>
      <c r="O348" s="2585">
        <v>0</v>
      </c>
      <c r="P348" s="2581">
        <v>0</v>
      </c>
      <c r="Q348" s="2586">
        <v>94.004929618509181</v>
      </c>
      <c r="R348" s="571">
        <v>720.26577073701742</v>
      </c>
      <c r="S348" s="2515">
        <f t="shared" si="46"/>
        <v>720.26577073701742</v>
      </c>
      <c r="T348" s="2515">
        <f t="shared" si="43"/>
        <v>0</v>
      </c>
    </row>
    <row r="349" spans="1:20" ht="15.75" customHeight="1" x14ac:dyDescent="0.25">
      <c r="A349" s="2833" t="s">
        <v>914</v>
      </c>
      <c r="B349" s="2833"/>
      <c r="C349" s="2672" t="s">
        <v>1052</v>
      </c>
      <c r="D349" s="2578">
        <v>0</v>
      </c>
      <c r="E349" s="2579">
        <v>423.58621286100242</v>
      </c>
      <c r="F349" s="2580">
        <v>0</v>
      </c>
      <c r="G349" s="2581">
        <v>63.547332422112213</v>
      </c>
      <c r="H349" s="566">
        <v>487.13354528311464</v>
      </c>
      <c r="I349" s="2582">
        <v>0</v>
      </c>
      <c r="J349" s="2581">
        <v>0</v>
      </c>
      <c r="K349" s="2584">
        <v>280.51070998163141</v>
      </c>
      <c r="L349" s="2581">
        <v>42.114208469092112</v>
      </c>
      <c r="M349" s="3243">
        <f t="shared" si="44"/>
        <v>280.51070998163141</v>
      </c>
      <c r="N349" s="3244">
        <f t="shared" si="45"/>
        <v>42.114208469092112</v>
      </c>
      <c r="O349" s="2585">
        <v>0</v>
      </c>
      <c r="P349" s="2581">
        <v>0</v>
      </c>
      <c r="Q349" s="2586">
        <v>105.66154089120433</v>
      </c>
      <c r="R349" s="571">
        <v>809.7584637338382</v>
      </c>
      <c r="S349" s="2515">
        <f t="shared" si="46"/>
        <v>809.7584637338382</v>
      </c>
      <c r="T349" s="2515">
        <f t="shared" si="43"/>
        <v>0</v>
      </c>
    </row>
    <row r="350" spans="1:20" ht="15.75" customHeight="1" thickBot="1" x14ac:dyDescent="0.3">
      <c r="A350" s="2835" t="s">
        <v>915</v>
      </c>
      <c r="B350" s="2835"/>
      <c r="C350" s="2696" t="s">
        <v>1052</v>
      </c>
      <c r="D350" s="2578">
        <v>0</v>
      </c>
      <c r="E350" s="2579">
        <v>408.54542412204091</v>
      </c>
      <c r="F350" s="2580">
        <v>0</v>
      </c>
      <c r="G350" s="2581">
        <v>61.29121411126799</v>
      </c>
      <c r="H350" s="566">
        <v>469.83663823330892</v>
      </c>
      <c r="I350" s="2582">
        <v>0</v>
      </c>
      <c r="J350" s="2581">
        <v>0</v>
      </c>
      <c r="K350" s="2584">
        <v>395.00871425697562</v>
      </c>
      <c r="L350" s="2581">
        <v>59.223105659660789</v>
      </c>
      <c r="M350" s="3243">
        <f t="shared" si="44"/>
        <v>395.00871425697562</v>
      </c>
      <c r="N350" s="3244">
        <f t="shared" si="45"/>
        <v>59.223105659660789</v>
      </c>
      <c r="O350" s="2585">
        <v>0</v>
      </c>
      <c r="P350" s="2581">
        <v>0</v>
      </c>
      <c r="Q350" s="2586">
        <v>120.51431977092878</v>
      </c>
      <c r="R350" s="571">
        <v>924.06845814994529</v>
      </c>
      <c r="S350" s="2515">
        <f t="shared" si="46"/>
        <v>924.06845814994529</v>
      </c>
      <c r="T350" s="2515">
        <f t="shared" si="43"/>
        <v>0</v>
      </c>
    </row>
    <row r="351" spans="1:20" ht="15.75" customHeight="1" x14ac:dyDescent="0.25">
      <c r="A351" s="2836" t="s">
        <v>87</v>
      </c>
      <c r="B351" s="2837"/>
      <c r="C351" s="2689" t="s">
        <v>1054</v>
      </c>
      <c r="D351" s="2578">
        <v>161.19308675089545</v>
      </c>
      <c r="E351" s="2579">
        <v>164.48142572061369</v>
      </c>
      <c r="F351" s="2580">
        <v>201.4913584386193</v>
      </c>
      <c r="G351" s="2581">
        <v>131.79146772753211</v>
      </c>
      <c r="H351" s="566">
        <v>658.95733863766054</v>
      </c>
      <c r="I351" s="2582">
        <v>0</v>
      </c>
      <c r="J351" s="2581">
        <v>0</v>
      </c>
      <c r="K351" s="2584">
        <v>766.09432374664311</v>
      </c>
      <c r="L351" s="2581">
        <v>191.52317795394393</v>
      </c>
      <c r="M351" s="3243">
        <f t="shared" si="44"/>
        <v>766.09432374664311</v>
      </c>
      <c r="N351" s="3244">
        <f t="shared" si="45"/>
        <v>191.52317795394393</v>
      </c>
      <c r="O351" s="2585">
        <v>24.654482618549455</v>
      </c>
      <c r="P351" s="2581">
        <v>6.1640236373542416</v>
      </c>
      <c r="Q351" s="2586">
        <v>329.47866931883027</v>
      </c>
      <c r="R351" s="571">
        <v>1647.3933465941514</v>
      </c>
      <c r="S351" s="2515">
        <f t="shared" si="46"/>
        <v>1647.3933465941514</v>
      </c>
      <c r="T351" s="2515">
        <f t="shared" si="43"/>
        <v>0</v>
      </c>
    </row>
    <row r="352" spans="1:20" ht="15.75" customHeight="1" x14ac:dyDescent="0.25">
      <c r="A352" s="2836" t="s">
        <v>213</v>
      </c>
      <c r="B352" s="2837"/>
      <c r="C352" s="2689" t="s">
        <v>1054</v>
      </c>
      <c r="D352" s="2578">
        <v>88.720674947692842</v>
      </c>
      <c r="E352" s="2579">
        <v>273.06108895601687</v>
      </c>
      <c r="F352" s="2580">
        <v>201.4913584386193</v>
      </c>
      <c r="G352" s="2581">
        <v>140.81828058558224</v>
      </c>
      <c r="H352" s="566">
        <v>704.09140292791119</v>
      </c>
      <c r="I352" s="2582">
        <v>0</v>
      </c>
      <c r="J352" s="2581">
        <v>0</v>
      </c>
      <c r="K352" s="2584">
        <v>800.09155767327456</v>
      </c>
      <c r="L352" s="2581">
        <v>200.02288941831864</v>
      </c>
      <c r="M352" s="3243">
        <f t="shared" si="44"/>
        <v>800.09155767327456</v>
      </c>
      <c r="N352" s="3244">
        <f t="shared" si="45"/>
        <v>200.02288941831864</v>
      </c>
      <c r="O352" s="2585">
        <v>18.382459613072115</v>
      </c>
      <c r="P352" s="2581">
        <v>4.5956149032680287</v>
      </c>
      <c r="Q352" s="2586">
        <v>345.43678490716889</v>
      </c>
      <c r="R352" s="571">
        <v>1727.1839245358447</v>
      </c>
      <c r="S352" s="2515">
        <f t="shared" si="46"/>
        <v>1727.1839245358447</v>
      </c>
      <c r="T352" s="2515">
        <f t="shared" si="43"/>
        <v>0</v>
      </c>
    </row>
    <row r="353" spans="1:20" ht="15.75" customHeight="1" x14ac:dyDescent="0.25">
      <c r="A353" s="2836" t="s">
        <v>88</v>
      </c>
      <c r="B353" s="2837" t="s">
        <v>429</v>
      </c>
      <c r="C353" s="2689" t="s">
        <v>1054</v>
      </c>
      <c r="D353" s="2578">
        <v>61.898145312343843</v>
      </c>
      <c r="E353" s="2579">
        <v>268.67663699639252</v>
      </c>
      <c r="F353" s="2580">
        <v>201.4913584386193</v>
      </c>
      <c r="G353" s="2581">
        <v>133.01653518683892</v>
      </c>
      <c r="H353" s="566">
        <v>665.08267593419464</v>
      </c>
      <c r="I353" s="2582">
        <v>0</v>
      </c>
      <c r="J353" s="2581">
        <v>0</v>
      </c>
      <c r="K353" s="2584">
        <v>501.12190388378622</v>
      </c>
      <c r="L353" s="2581">
        <v>125.28087895366345</v>
      </c>
      <c r="M353" s="3243">
        <f t="shared" si="44"/>
        <v>501.12190388378622</v>
      </c>
      <c r="N353" s="3244">
        <f t="shared" si="45"/>
        <v>125.28087895366345</v>
      </c>
      <c r="O353" s="2585">
        <v>22.433241883122115</v>
      </c>
      <c r="P353" s="2581">
        <v>5.6079074880636517</v>
      </c>
      <c r="Q353" s="2586">
        <v>263.90532162856601</v>
      </c>
      <c r="R353" s="571">
        <v>1319.5266081428299</v>
      </c>
      <c r="S353" s="2515">
        <f t="shared" si="46"/>
        <v>1319.5266081428299</v>
      </c>
      <c r="T353" s="2515">
        <f t="shared" si="43"/>
        <v>0</v>
      </c>
    </row>
    <row r="354" spans="1:20" ht="15.75" customHeight="1" x14ac:dyDescent="0.25">
      <c r="A354" s="2836" t="s">
        <v>89</v>
      </c>
      <c r="B354" s="2837"/>
      <c r="C354" s="2689" t="s">
        <v>1054</v>
      </c>
      <c r="D354" s="2578">
        <v>106.77430066379313</v>
      </c>
      <c r="E354" s="2579">
        <v>156.48624861776929</v>
      </c>
      <c r="F354" s="2580">
        <v>201.4913584386193</v>
      </c>
      <c r="G354" s="2581">
        <v>116.18797693004542</v>
      </c>
      <c r="H354" s="566">
        <v>580.93988465022721</v>
      </c>
      <c r="I354" s="2582">
        <v>0</v>
      </c>
      <c r="J354" s="2581">
        <v>0</v>
      </c>
      <c r="K354" s="2584">
        <v>835.62657364750942</v>
      </c>
      <c r="L354" s="2581">
        <v>208.90624042916048</v>
      </c>
      <c r="M354" s="3243">
        <f t="shared" si="44"/>
        <v>835.62657364750942</v>
      </c>
      <c r="N354" s="3244">
        <f t="shared" si="45"/>
        <v>208.90624042916048</v>
      </c>
      <c r="O354" s="2585">
        <v>16.246651213622751</v>
      </c>
      <c r="P354" s="2581">
        <v>4.0620657861225649</v>
      </c>
      <c r="Q354" s="2586">
        <v>329.15628314532847</v>
      </c>
      <c r="R354" s="571">
        <v>1645.7814157266423</v>
      </c>
      <c r="S354" s="2515">
        <f t="shared" si="46"/>
        <v>1645.7814157266423</v>
      </c>
      <c r="T354" s="2515">
        <f t="shared" si="43"/>
        <v>0</v>
      </c>
    </row>
    <row r="355" spans="1:20" ht="15.75" customHeight="1" thickBot="1" x14ac:dyDescent="0.3">
      <c r="A355" s="2856" t="s">
        <v>90</v>
      </c>
      <c r="B355" s="2837"/>
      <c r="C355" s="2696" t="s">
        <v>1054</v>
      </c>
      <c r="D355" s="2578">
        <v>77.372681640429803</v>
      </c>
      <c r="E355" s="2579">
        <v>306.3313420614017</v>
      </c>
      <c r="F355" s="2580">
        <v>201.4913584386193</v>
      </c>
      <c r="G355" s="2581">
        <v>146.29884553511269</v>
      </c>
      <c r="H355" s="566">
        <v>731.49422767556348</v>
      </c>
      <c r="I355" s="2582">
        <v>0</v>
      </c>
      <c r="J355" s="2581">
        <v>0</v>
      </c>
      <c r="K355" s="2584">
        <v>1090.1230548024257</v>
      </c>
      <c r="L355" s="2581">
        <v>272.53076370060643</v>
      </c>
      <c r="M355" s="3243">
        <f t="shared" si="44"/>
        <v>1090.1230548024257</v>
      </c>
      <c r="N355" s="3244">
        <f t="shared" si="45"/>
        <v>272.53076370060643</v>
      </c>
      <c r="O355" s="2585">
        <v>17.337928410926313</v>
      </c>
      <c r="P355" s="2581">
        <v>4.3344821027315783</v>
      </c>
      <c r="Q355" s="2586">
        <v>423.16409133845065</v>
      </c>
      <c r="R355" s="571">
        <v>2115.8204566922536</v>
      </c>
      <c r="S355" s="2515">
        <f t="shared" si="46"/>
        <v>2115.8204566922536</v>
      </c>
      <c r="T355" s="2515">
        <f t="shared" si="43"/>
        <v>0</v>
      </c>
    </row>
    <row r="356" spans="1:20" ht="15.75" customHeight="1" x14ac:dyDescent="0.25">
      <c r="A356" s="2865" t="s">
        <v>91</v>
      </c>
      <c r="B356" s="2837"/>
      <c r="C356" s="2689" t="s">
        <v>1056</v>
      </c>
      <c r="D356" s="2578">
        <v>47.44240765416982</v>
      </c>
      <c r="E356" s="2579">
        <v>271.30526644338005</v>
      </c>
      <c r="F356" s="2580">
        <v>0</v>
      </c>
      <c r="G356" s="2581">
        <v>76.493679547664485</v>
      </c>
      <c r="H356" s="566">
        <v>395.24135364521436</v>
      </c>
      <c r="I356" s="2582">
        <v>333.72948704097189</v>
      </c>
      <c r="J356" s="2581">
        <v>80.095076889833251</v>
      </c>
      <c r="K356" s="2584">
        <v>0</v>
      </c>
      <c r="L356" s="2581">
        <v>0</v>
      </c>
      <c r="M356" s="3243">
        <f t="shared" si="44"/>
        <v>333.72948704097189</v>
      </c>
      <c r="N356" s="3244">
        <f t="shared" si="45"/>
        <v>80.095076889833251</v>
      </c>
      <c r="O356" s="2585">
        <v>47.44240765416982</v>
      </c>
      <c r="P356" s="2581">
        <v>11.380415601253286</v>
      </c>
      <c r="Q356" s="2586">
        <v>167.96917203875103</v>
      </c>
      <c r="R356" s="571">
        <v>867.88874083144265</v>
      </c>
      <c r="S356" s="2515">
        <f t="shared" si="46"/>
        <v>867.88874083144265</v>
      </c>
      <c r="T356" s="2515">
        <f t="shared" si="43"/>
        <v>0</v>
      </c>
    </row>
    <row r="357" spans="1:20" ht="15.75" customHeight="1" x14ac:dyDescent="0.25">
      <c r="A357" s="2868" t="s">
        <v>92</v>
      </c>
      <c r="B357" s="2837" t="s">
        <v>429</v>
      </c>
      <c r="C357" s="2689" t="s">
        <v>1056</v>
      </c>
      <c r="D357" s="2578">
        <v>47.44240765416982</v>
      </c>
      <c r="E357" s="2579">
        <v>271.30526644338005</v>
      </c>
      <c r="F357" s="2580">
        <v>0</v>
      </c>
      <c r="G357" s="2581">
        <v>76.493679547664485</v>
      </c>
      <c r="H357" s="566">
        <v>395.24135364521436</v>
      </c>
      <c r="I357" s="2582">
        <v>333.72948704097189</v>
      </c>
      <c r="J357" s="2581">
        <v>80.095076889833251</v>
      </c>
      <c r="K357" s="2584">
        <v>0</v>
      </c>
      <c r="L357" s="2581">
        <v>0</v>
      </c>
      <c r="M357" s="3243">
        <f t="shared" si="44"/>
        <v>333.72948704097189</v>
      </c>
      <c r="N357" s="3244">
        <f t="shared" si="45"/>
        <v>80.095076889833251</v>
      </c>
      <c r="O357" s="2585">
        <v>47.44240765416982</v>
      </c>
      <c r="P357" s="2581">
        <v>11.380415601253286</v>
      </c>
      <c r="Q357" s="2586">
        <v>167.96917203875103</v>
      </c>
      <c r="R357" s="571">
        <v>867.88874083144265</v>
      </c>
      <c r="S357" s="2515">
        <f t="shared" si="46"/>
        <v>867.88874083144265</v>
      </c>
      <c r="T357" s="2515">
        <f t="shared" si="43"/>
        <v>0</v>
      </c>
    </row>
    <row r="358" spans="1:20" ht="15.75" customHeight="1" x14ac:dyDescent="0.25">
      <c r="A358" s="2868" t="s">
        <v>93</v>
      </c>
      <c r="B358" s="2837"/>
      <c r="C358" s="2689" t="s">
        <v>1056</v>
      </c>
      <c r="D358" s="2578">
        <v>50.347534843519284</v>
      </c>
      <c r="E358" s="2579">
        <v>295.31458205783844</v>
      </c>
      <c r="F358" s="2580">
        <v>0</v>
      </c>
      <c r="G358" s="2581">
        <v>82.964190105761034</v>
      </c>
      <c r="H358" s="566">
        <v>428.62630700711873</v>
      </c>
      <c r="I358" s="2582">
        <v>384.14904983133454</v>
      </c>
      <c r="J358" s="2581">
        <v>92.195771959520286</v>
      </c>
      <c r="K358" s="2584">
        <v>0</v>
      </c>
      <c r="L358" s="2581">
        <v>0</v>
      </c>
      <c r="M358" s="3243">
        <f t="shared" si="44"/>
        <v>384.14904983133454</v>
      </c>
      <c r="N358" s="3244">
        <f t="shared" si="45"/>
        <v>92.195771959520286</v>
      </c>
      <c r="O358" s="2585">
        <v>50.347534843519284</v>
      </c>
      <c r="P358" s="2581">
        <v>12.08869041187981</v>
      </c>
      <c r="Q358" s="2586">
        <v>187.24865247716113</v>
      </c>
      <c r="R358" s="571">
        <v>967.40735405337261</v>
      </c>
      <c r="S358" s="2515">
        <f t="shared" si="46"/>
        <v>967.40735405337261</v>
      </c>
      <c r="T358" s="2515">
        <f t="shared" si="43"/>
        <v>0</v>
      </c>
    </row>
    <row r="359" spans="1:20" ht="15.75" customHeight="1" x14ac:dyDescent="0.25">
      <c r="A359" s="2868" t="s">
        <v>94</v>
      </c>
      <c r="B359" s="2837"/>
      <c r="C359" s="2689" t="s">
        <v>1056</v>
      </c>
      <c r="D359" s="2578">
        <v>96.817565215303546</v>
      </c>
      <c r="E359" s="2579">
        <v>276.10712956627168</v>
      </c>
      <c r="F359" s="2580">
        <v>0</v>
      </c>
      <c r="G359" s="2581">
        <v>89.506728610700947</v>
      </c>
      <c r="H359" s="566">
        <v>462.4314233922762</v>
      </c>
      <c r="I359" s="2582">
        <v>398.5546392000096</v>
      </c>
      <c r="J359" s="2581">
        <v>95.653113408002312</v>
      </c>
      <c r="K359" s="2584">
        <v>0</v>
      </c>
      <c r="L359" s="2581">
        <v>0</v>
      </c>
      <c r="M359" s="3243">
        <f t="shared" si="44"/>
        <v>398.5546392000096</v>
      </c>
      <c r="N359" s="3244">
        <f t="shared" si="45"/>
        <v>95.653113408002312</v>
      </c>
      <c r="O359" s="2585">
        <v>0</v>
      </c>
      <c r="P359" s="2581">
        <v>0</v>
      </c>
      <c r="Q359" s="2586">
        <v>185.15984201870327</v>
      </c>
      <c r="R359" s="571">
        <v>956.63917600028822</v>
      </c>
      <c r="S359" s="2515">
        <f t="shared" si="46"/>
        <v>956.63917600028822</v>
      </c>
      <c r="T359" s="2515">
        <f t="shared" si="43"/>
        <v>0</v>
      </c>
    </row>
    <row r="360" spans="1:20" ht="15.75" customHeight="1" x14ac:dyDescent="0.25">
      <c r="A360" s="2868" t="s">
        <v>95</v>
      </c>
      <c r="B360" s="2837"/>
      <c r="C360" s="2689" t="s">
        <v>1056</v>
      </c>
      <c r="D360" s="2578">
        <v>129.72233226491878</v>
      </c>
      <c r="E360" s="2579">
        <v>338.84347126685151</v>
      </c>
      <c r="F360" s="2580">
        <v>0</v>
      </c>
      <c r="G360" s="2581">
        <v>112.45963433812319</v>
      </c>
      <c r="H360" s="566">
        <v>581.02543786989349</v>
      </c>
      <c r="I360" s="2582">
        <v>360.95605094776772</v>
      </c>
      <c r="J360" s="2581">
        <v>89.218616823327437</v>
      </c>
      <c r="K360" s="2584">
        <v>0</v>
      </c>
      <c r="L360" s="2581">
        <v>0</v>
      </c>
      <c r="M360" s="3243">
        <f t="shared" si="44"/>
        <v>360.95605094776772</v>
      </c>
      <c r="N360" s="3244">
        <f t="shared" si="45"/>
        <v>89.218616823327437</v>
      </c>
      <c r="O360" s="2585">
        <v>0</v>
      </c>
      <c r="P360" s="2581">
        <v>0</v>
      </c>
      <c r="Q360" s="2586">
        <v>201.67825116145065</v>
      </c>
      <c r="R360" s="571">
        <v>1031.2001056409886</v>
      </c>
      <c r="S360" s="2515">
        <f t="shared" si="46"/>
        <v>1031.2001056409886</v>
      </c>
      <c r="T360" s="2515">
        <f t="shared" si="43"/>
        <v>0</v>
      </c>
    </row>
    <row r="361" spans="1:20" ht="15.75" customHeight="1" thickBot="1" x14ac:dyDescent="0.3">
      <c r="A361" s="2869" t="s">
        <v>195</v>
      </c>
      <c r="B361" s="2837"/>
      <c r="C361" s="2696" t="s">
        <v>1056</v>
      </c>
      <c r="D361" s="2578">
        <v>47.44240765416982</v>
      </c>
      <c r="E361" s="2579">
        <v>271.30526644338005</v>
      </c>
      <c r="F361" s="2580">
        <v>0</v>
      </c>
      <c r="G361" s="2581">
        <v>76.493679547664485</v>
      </c>
      <c r="H361" s="566">
        <v>395.24135364521436</v>
      </c>
      <c r="I361" s="2582">
        <v>333.72948704097189</v>
      </c>
      <c r="J361" s="2581">
        <v>80.095076889833251</v>
      </c>
      <c r="K361" s="2584">
        <v>0</v>
      </c>
      <c r="L361" s="2581">
        <v>0</v>
      </c>
      <c r="M361" s="3243">
        <f t="shared" si="44"/>
        <v>333.72948704097189</v>
      </c>
      <c r="N361" s="3244">
        <f t="shared" si="45"/>
        <v>80.095076889833251</v>
      </c>
      <c r="O361" s="2585">
        <v>47.44240765416982</v>
      </c>
      <c r="P361" s="2581">
        <v>11.380415601253286</v>
      </c>
      <c r="Q361" s="2586">
        <v>167.96917203875103</v>
      </c>
      <c r="R361" s="571">
        <v>867.88874083144265</v>
      </c>
      <c r="S361" s="2515">
        <f t="shared" si="46"/>
        <v>867.88874083144265</v>
      </c>
      <c r="T361" s="2515">
        <f t="shared" si="43"/>
        <v>0</v>
      </c>
    </row>
    <row r="362" spans="1:20" ht="15.75" customHeight="1" x14ac:dyDescent="0.25">
      <c r="A362" s="2865" t="s">
        <v>97</v>
      </c>
      <c r="B362" s="2837"/>
      <c r="C362" s="2689" t="s">
        <v>1058</v>
      </c>
      <c r="D362" s="2578">
        <v>66.409766989591958</v>
      </c>
      <c r="E362" s="2579">
        <v>259.3006086361508</v>
      </c>
      <c r="F362" s="2580">
        <v>93.63633089638779</v>
      </c>
      <c r="G362" s="2581">
        <v>22.976915043036698</v>
      </c>
      <c r="H362" s="566">
        <v>442.32362156516723</v>
      </c>
      <c r="I362" s="2582">
        <v>264.10247175904254</v>
      </c>
      <c r="J362" s="2581">
        <v>32.076445660916434</v>
      </c>
      <c r="K362" s="2584">
        <v>0</v>
      </c>
      <c r="L362" s="2581">
        <v>0</v>
      </c>
      <c r="M362" s="3243">
        <f t="shared" si="44"/>
        <v>264.10247175904254</v>
      </c>
      <c r="N362" s="3244">
        <f t="shared" si="45"/>
        <v>32.076445660916434</v>
      </c>
      <c r="O362" s="2585">
        <v>57.622357474700181</v>
      </c>
      <c r="P362" s="2581">
        <v>0</v>
      </c>
      <c r="Q362" s="2586">
        <v>55.053360703953132</v>
      </c>
      <c r="R362" s="571">
        <v>796.12489645982635</v>
      </c>
      <c r="S362" s="2515">
        <f t="shared" si="46"/>
        <v>796.12489645982635</v>
      </c>
      <c r="T362" s="2515">
        <f t="shared" si="43"/>
        <v>0</v>
      </c>
    </row>
    <row r="363" spans="1:20" ht="15.75" customHeight="1" x14ac:dyDescent="0.25">
      <c r="A363" s="2868" t="s">
        <v>98</v>
      </c>
      <c r="B363" s="2837"/>
      <c r="C363" s="2689" t="s">
        <v>1058</v>
      </c>
      <c r="D363" s="2578">
        <v>27.178545275566918</v>
      </c>
      <c r="E363" s="2579">
        <v>283.30992425060924</v>
      </c>
      <c r="F363" s="2580">
        <v>120.04657807229205</v>
      </c>
      <c r="G363" s="2581">
        <v>23.709199169277678</v>
      </c>
      <c r="H363" s="566">
        <v>454.24424676774589</v>
      </c>
      <c r="I363" s="2582">
        <v>384.14904983133454</v>
      </c>
      <c r="J363" s="2581">
        <v>45.509657747205907</v>
      </c>
      <c r="K363" s="2584">
        <v>0</v>
      </c>
      <c r="L363" s="2581">
        <v>0</v>
      </c>
      <c r="M363" s="3243">
        <f t="shared" ref="M363:M426" si="48">I363+K363</f>
        <v>384.14904983133454</v>
      </c>
      <c r="N363" s="3244">
        <f t="shared" ref="N363:N426" si="49">J363+L363</f>
        <v>45.509657747205907</v>
      </c>
      <c r="O363" s="2585">
        <v>72.027946843375233</v>
      </c>
      <c r="P363" s="2581">
        <v>0</v>
      </c>
      <c r="Q363" s="2586">
        <v>69.218856916483588</v>
      </c>
      <c r="R363" s="571">
        <v>955.93090118966165</v>
      </c>
      <c r="S363" s="2515">
        <f t="shared" ref="S363:S426" si="50">H363+M363+N363+O363+P363</f>
        <v>955.93090118966165</v>
      </c>
      <c r="T363" s="2515">
        <f t="shared" ref="T363:T426" si="51">R363-S363</f>
        <v>0</v>
      </c>
    </row>
    <row r="364" spans="1:20" ht="15.75" customHeight="1" x14ac:dyDescent="0.25">
      <c r="A364" s="2868" t="s">
        <v>99</v>
      </c>
      <c r="B364" s="2837"/>
      <c r="C364" s="2689" t="s">
        <v>1058</v>
      </c>
      <c r="D364" s="2578">
        <v>44.801382936579394</v>
      </c>
      <c r="E364" s="2579">
        <v>273.70619800482581</v>
      </c>
      <c r="F364" s="2580">
        <v>110.44285182650869</v>
      </c>
      <c r="G364" s="2581">
        <v>23.553138617783702</v>
      </c>
      <c r="H364" s="566">
        <v>452.50357138569757</v>
      </c>
      <c r="I364" s="2582">
        <v>350.53600797109277</v>
      </c>
      <c r="J364" s="2581">
        <v>41.512106697398586</v>
      </c>
      <c r="K364" s="2584">
        <v>0</v>
      </c>
      <c r="L364" s="2581">
        <v>0</v>
      </c>
      <c r="M364" s="3243">
        <f t="shared" si="48"/>
        <v>350.53600797109277</v>
      </c>
      <c r="N364" s="3244">
        <f t="shared" si="49"/>
        <v>41.512106697398586</v>
      </c>
      <c r="O364" s="2585">
        <v>63.864779534459373</v>
      </c>
      <c r="P364" s="2581">
        <v>0</v>
      </c>
      <c r="Q364" s="2586">
        <v>65.065245315182295</v>
      </c>
      <c r="R364" s="571">
        <v>908.41646558864829</v>
      </c>
      <c r="S364" s="2515">
        <f t="shared" si="50"/>
        <v>908.41646558864829</v>
      </c>
      <c r="T364" s="2515">
        <f t="shared" si="51"/>
        <v>0</v>
      </c>
    </row>
    <row r="365" spans="1:20" ht="15.75" customHeight="1" x14ac:dyDescent="0.25">
      <c r="A365" s="2868" t="s">
        <v>100</v>
      </c>
      <c r="B365" s="2837"/>
      <c r="C365" s="2689" t="s">
        <v>1058</v>
      </c>
      <c r="D365" s="2578">
        <v>49.447185507977089</v>
      </c>
      <c r="E365" s="2579">
        <v>247.2959508289216</v>
      </c>
      <c r="F365" s="2580">
        <v>84.032604650604426</v>
      </c>
      <c r="G365" s="2581">
        <v>20.876099926771587</v>
      </c>
      <c r="H365" s="566">
        <v>401.65184091427471</v>
      </c>
      <c r="I365" s="2582">
        <v>235.29129302169241</v>
      </c>
      <c r="J365" s="2581">
        <v>29.303369707446489</v>
      </c>
      <c r="K365" s="2584">
        <v>0</v>
      </c>
      <c r="L365" s="2581">
        <v>0</v>
      </c>
      <c r="M365" s="3243">
        <f t="shared" si="48"/>
        <v>235.29129302169241</v>
      </c>
      <c r="N365" s="3244">
        <f t="shared" si="49"/>
        <v>29.303369707446489</v>
      </c>
      <c r="O365" s="2585">
        <v>57.936879509249586</v>
      </c>
      <c r="P365" s="2581">
        <v>0</v>
      </c>
      <c r="Q365" s="2586">
        <v>50.17946963421808</v>
      </c>
      <c r="R365" s="571">
        <v>724.18338315266317</v>
      </c>
      <c r="S365" s="2515">
        <f t="shared" si="50"/>
        <v>724.18338315266317</v>
      </c>
      <c r="T365" s="2515">
        <f t="shared" si="51"/>
        <v>0</v>
      </c>
    </row>
    <row r="366" spans="1:20" ht="15.75" customHeight="1" x14ac:dyDescent="0.25">
      <c r="A366" s="2868" t="s">
        <v>101</v>
      </c>
      <c r="B366" s="2837" t="s">
        <v>429</v>
      </c>
      <c r="C366" s="2689" t="s">
        <v>1058</v>
      </c>
      <c r="D366" s="2578">
        <v>24.741599740699389</v>
      </c>
      <c r="E366" s="2579">
        <v>244.89501926747576</v>
      </c>
      <c r="F366" s="2580">
        <v>115.24471494940036</v>
      </c>
      <c r="G366" s="2581">
        <v>21.248244318795692</v>
      </c>
      <c r="H366" s="566">
        <v>406.12957827637121</v>
      </c>
      <c r="I366" s="2582">
        <v>74.428878404821063</v>
      </c>
      <c r="J366" s="2581">
        <v>0</v>
      </c>
      <c r="K366" s="2584">
        <v>249.69688239036745</v>
      </c>
      <c r="L366" s="2581">
        <v>39.687398710699753</v>
      </c>
      <c r="M366" s="3243">
        <f t="shared" si="48"/>
        <v>324.12576079518851</v>
      </c>
      <c r="N366" s="3244">
        <f t="shared" si="49"/>
        <v>39.687398710699753</v>
      </c>
      <c r="O366" s="2585">
        <v>72.027946843375233</v>
      </c>
      <c r="P366" s="2581">
        <v>0</v>
      </c>
      <c r="Q366" s="2586">
        <v>60.935643029495445</v>
      </c>
      <c r="R366" s="571">
        <v>841.97068462563482</v>
      </c>
      <c r="S366" s="2515">
        <f t="shared" si="50"/>
        <v>841.97068462563482</v>
      </c>
      <c r="T366" s="2515">
        <f t="shared" si="51"/>
        <v>0</v>
      </c>
    </row>
    <row r="367" spans="1:20" ht="15.75" customHeight="1" x14ac:dyDescent="0.25">
      <c r="A367" s="2868" t="s">
        <v>630</v>
      </c>
      <c r="B367" s="2837"/>
      <c r="C367" s="2689" t="s">
        <v>1058</v>
      </c>
      <c r="D367" s="2578">
        <v>32.040431687494745</v>
      </c>
      <c r="E367" s="2579">
        <v>240.0931561445841</v>
      </c>
      <c r="F367" s="2580">
        <v>84.032604650604426</v>
      </c>
      <c r="G367" s="2581">
        <v>19.591601541398063</v>
      </c>
      <c r="H367" s="566">
        <v>375.75779402408131</v>
      </c>
      <c r="I367" s="2582">
        <v>120.04657807229205</v>
      </c>
      <c r="J367" s="2581">
        <v>0</v>
      </c>
      <c r="K367" s="2584">
        <v>112.84378338795452</v>
      </c>
      <c r="L367" s="2581">
        <v>31.644277979856181</v>
      </c>
      <c r="M367" s="3243">
        <f t="shared" si="48"/>
        <v>232.89036146024657</v>
      </c>
      <c r="N367" s="3244">
        <f t="shared" si="49"/>
        <v>31.644277979856181</v>
      </c>
      <c r="O367" s="2585">
        <v>84.032604650604426</v>
      </c>
      <c r="P367" s="2581">
        <v>0</v>
      </c>
      <c r="Q367" s="2586">
        <v>51.235879521254247</v>
      </c>
      <c r="R367" s="571">
        <v>724.32503811478841</v>
      </c>
      <c r="S367" s="2515">
        <f t="shared" si="50"/>
        <v>724.32503811478841</v>
      </c>
      <c r="T367" s="2515">
        <f t="shared" si="51"/>
        <v>0</v>
      </c>
    </row>
    <row r="368" spans="1:20" ht="15.75" customHeight="1" x14ac:dyDescent="0.25">
      <c r="A368" s="2868" t="s">
        <v>631</v>
      </c>
      <c r="B368" s="2837"/>
      <c r="C368" s="2689" t="s">
        <v>1058</v>
      </c>
      <c r="D368" s="2578">
        <v>13.145100298915978</v>
      </c>
      <c r="E368" s="2579">
        <v>223.28663521446322</v>
      </c>
      <c r="F368" s="2580">
        <v>105.640988703617</v>
      </c>
      <c r="G368" s="2581">
        <v>18.799294126120934</v>
      </c>
      <c r="H368" s="566">
        <v>360.87201834311708</v>
      </c>
      <c r="I368" s="2582">
        <v>278.5080611277175</v>
      </c>
      <c r="J368" s="2581">
        <v>35.053600797109276</v>
      </c>
      <c r="K368" s="2584">
        <v>0</v>
      </c>
      <c r="L368" s="2581">
        <v>0</v>
      </c>
      <c r="M368" s="3243">
        <f t="shared" si="48"/>
        <v>278.5080611277175</v>
      </c>
      <c r="N368" s="3244">
        <f t="shared" si="49"/>
        <v>35.053600797109276</v>
      </c>
      <c r="O368" s="2585">
        <v>72.027946843375233</v>
      </c>
      <c r="P368" s="2581">
        <v>0</v>
      </c>
      <c r="Q368" s="2586">
        <v>53.85289492323021</v>
      </c>
      <c r="R368" s="571">
        <v>746.4616271113191</v>
      </c>
      <c r="S368" s="2515">
        <f t="shared" si="50"/>
        <v>746.4616271113191</v>
      </c>
      <c r="T368" s="2515">
        <f t="shared" si="51"/>
        <v>0</v>
      </c>
    </row>
    <row r="369" spans="1:20" ht="15.75" customHeight="1" x14ac:dyDescent="0.25">
      <c r="A369" s="2868" t="s">
        <v>632</v>
      </c>
      <c r="B369" s="2837"/>
      <c r="C369" s="2689" t="s">
        <v>1058</v>
      </c>
      <c r="D369" s="2578">
        <v>49.147069062796362</v>
      </c>
      <c r="E369" s="2579">
        <v>343.33321328675527</v>
      </c>
      <c r="F369" s="2580">
        <v>98.438194019279479</v>
      </c>
      <c r="G369" s="2581">
        <v>27.034489381880167</v>
      </c>
      <c r="H369" s="566">
        <v>517.95296575071131</v>
      </c>
      <c r="I369" s="2582">
        <v>218.48477209157153</v>
      </c>
      <c r="J369" s="2581">
        <v>26.974466092844022</v>
      </c>
      <c r="K369" s="2584">
        <v>0</v>
      </c>
      <c r="L369" s="2581">
        <v>0</v>
      </c>
      <c r="M369" s="3243">
        <f t="shared" si="48"/>
        <v>218.48477209157153</v>
      </c>
      <c r="N369" s="3244">
        <f t="shared" si="49"/>
        <v>26.974466092844022</v>
      </c>
      <c r="O369" s="2585">
        <v>50.347534843519284</v>
      </c>
      <c r="P369" s="2581">
        <v>0</v>
      </c>
      <c r="Q369" s="2586">
        <v>54.008955474724189</v>
      </c>
      <c r="R369" s="571">
        <v>813.75973877864612</v>
      </c>
      <c r="S369" s="2515">
        <f t="shared" si="50"/>
        <v>813.75973877864612</v>
      </c>
      <c r="T369" s="2515">
        <f t="shared" si="51"/>
        <v>0</v>
      </c>
    </row>
    <row r="370" spans="1:20" ht="15.75" customHeight="1" x14ac:dyDescent="0.25">
      <c r="A370" s="2868" t="s">
        <v>633</v>
      </c>
      <c r="B370" s="2837"/>
      <c r="C370" s="2689" t="s">
        <v>1058</v>
      </c>
      <c r="D370" s="2578">
        <v>36.458145760555098</v>
      </c>
      <c r="E370" s="2579">
        <v>362.54066577832197</v>
      </c>
      <c r="F370" s="2580">
        <v>124.84844119518372</v>
      </c>
      <c r="G370" s="2581">
        <v>28.763160106121177</v>
      </c>
      <c r="H370" s="566">
        <v>552.61041284018199</v>
      </c>
      <c r="I370" s="2582">
        <v>482.58724385061396</v>
      </c>
      <c r="J370" s="2581">
        <v>55.533547016242295</v>
      </c>
      <c r="K370" s="2584">
        <v>0</v>
      </c>
      <c r="L370" s="2581">
        <v>0</v>
      </c>
      <c r="M370" s="3243">
        <f t="shared" si="48"/>
        <v>482.58724385061396</v>
      </c>
      <c r="N370" s="3244">
        <f t="shared" si="49"/>
        <v>55.533547016242295</v>
      </c>
      <c r="O370" s="2585">
        <v>72.027946843375233</v>
      </c>
      <c r="P370" s="2581">
        <v>0</v>
      </c>
      <c r="Q370" s="2586">
        <v>84.296707122363472</v>
      </c>
      <c r="R370" s="571">
        <v>1162.7591505504136</v>
      </c>
      <c r="S370" s="2515">
        <f t="shared" si="50"/>
        <v>1162.7591505504136</v>
      </c>
      <c r="T370" s="2515">
        <f t="shared" si="51"/>
        <v>0</v>
      </c>
    </row>
    <row r="371" spans="1:20" ht="15.75" customHeight="1" x14ac:dyDescent="0.25">
      <c r="A371" s="2868" t="s">
        <v>634</v>
      </c>
      <c r="B371" s="2837"/>
      <c r="C371" s="2689" t="s">
        <v>1058</v>
      </c>
      <c r="D371" s="2578">
        <v>22.712812571277656</v>
      </c>
      <c r="E371" s="2579">
        <v>338.53135016386358</v>
      </c>
      <c r="F371" s="2580">
        <v>88.834467773496115</v>
      </c>
      <c r="G371" s="2581">
        <v>24.741599740699389</v>
      </c>
      <c r="H371" s="566">
        <v>474.8202302493367</v>
      </c>
      <c r="I371" s="2582">
        <v>309.7201714265135</v>
      </c>
      <c r="J371" s="2581">
        <v>34.861526272193608</v>
      </c>
      <c r="K371" s="2584">
        <v>0</v>
      </c>
      <c r="L371" s="2581">
        <v>0</v>
      </c>
      <c r="M371" s="3243">
        <f t="shared" si="48"/>
        <v>309.7201714265135</v>
      </c>
      <c r="N371" s="3244">
        <f t="shared" si="49"/>
        <v>34.861526272193608</v>
      </c>
      <c r="O371" s="2585">
        <v>38.414904983133454</v>
      </c>
      <c r="P371" s="2581">
        <v>0</v>
      </c>
      <c r="Q371" s="2586">
        <v>59.603126012893</v>
      </c>
      <c r="R371" s="571">
        <v>857.81683293117726</v>
      </c>
      <c r="S371" s="2515">
        <f t="shared" si="50"/>
        <v>857.81683293117726</v>
      </c>
      <c r="T371" s="2515">
        <f t="shared" si="51"/>
        <v>0</v>
      </c>
    </row>
    <row r="372" spans="1:20" ht="15.75" customHeight="1" thickBot="1" x14ac:dyDescent="0.3">
      <c r="A372" s="2868" t="s">
        <v>635</v>
      </c>
      <c r="B372" s="2837"/>
      <c r="C372" s="2689" t="s">
        <v>1058</v>
      </c>
      <c r="D372" s="2578">
        <v>14.837757049735297</v>
      </c>
      <c r="E372" s="2579">
        <v>388.95091295422623</v>
      </c>
      <c r="F372" s="2580">
        <v>91.23539933494196</v>
      </c>
      <c r="G372" s="2581">
        <v>27.226563906795835</v>
      </c>
      <c r="H372" s="566">
        <v>522.25063324569931</v>
      </c>
      <c r="I372" s="2582">
        <v>489.79003853495152</v>
      </c>
      <c r="J372" s="2581">
        <v>53.972941501302508</v>
      </c>
      <c r="K372" s="2584">
        <v>0</v>
      </c>
      <c r="L372" s="2581">
        <v>0</v>
      </c>
      <c r="M372" s="3243">
        <f t="shared" si="48"/>
        <v>489.79003853495152</v>
      </c>
      <c r="N372" s="3244">
        <f t="shared" si="49"/>
        <v>53.972941501302508</v>
      </c>
      <c r="O372" s="2585">
        <v>50.179469634218073</v>
      </c>
      <c r="P372" s="2581">
        <v>0</v>
      </c>
      <c r="Q372" s="2586">
        <v>81.199505408098346</v>
      </c>
      <c r="R372" s="571">
        <v>1116.1930829161715</v>
      </c>
      <c r="S372" s="2515">
        <f t="shared" si="50"/>
        <v>1116.1930829161715</v>
      </c>
      <c r="T372" s="2515">
        <f t="shared" si="51"/>
        <v>0</v>
      </c>
    </row>
    <row r="373" spans="1:20" ht="15.75" customHeight="1" thickBot="1" x14ac:dyDescent="0.3">
      <c r="A373" s="2856" t="s">
        <v>939</v>
      </c>
      <c r="B373" s="2837" t="s">
        <v>429</v>
      </c>
      <c r="C373" s="2800" t="s">
        <v>1062</v>
      </c>
      <c r="D373" s="2895">
        <v>26.290200597831955</v>
      </c>
      <c r="E373" s="2896">
        <v>406.71780650892543</v>
      </c>
      <c r="F373" s="2897">
        <v>0</v>
      </c>
      <c r="G373" s="2898">
        <v>30.311760963253743</v>
      </c>
      <c r="H373" s="566">
        <v>463.31976807001115</v>
      </c>
      <c r="I373" s="2899">
        <v>0</v>
      </c>
      <c r="J373" s="2898">
        <v>0</v>
      </c>
      <c r="K373" s="2901">
        <v>530.60587507953085</v>
      </c>
      <c r="L373" s="2898">
        <v>0</v>
      </c>
      <c r="M373" s="3243">
        <f t="shared" si="48"/>
        <v>530.60587507953085</v>
      </c>
      <c r="N373" s="3244">
        <f t="shared" si="49"/>
        <v>0</v>
      </c>
      <c r="O373" s="2902">
        <v>0</v>
      </c>
      <c r="P373" s="2898">
        <v>0</v>
      </c>
      <c r="Q373" s="2586">
        <v>30.311760963253743</v>
      </c>
      <c r="R373" s="571">
        <v>993.925643149542</v>
      </c>
      <c r="S373" s="2515">
        <f t="shared" si="50"/>
        <v>993.925643149542</v>
      </c>
      <c r="T373" s="2515">
        <f t="shared" si="51"/>
        <v>0</v>
      </c>
    </row>
    <row r="374" spans="1:20" ht="15.75" customHeight="1" x14ac:dyDescent="0.25">
      <c r="A374" s="2865" t="s">
        <v>102</v>
      </c>
      <c r="B374" s="2837" t="s">
        <v>429</v>
      </c>
      <c r="C374" s="2689" t="s">
        <v>1066</v>
      </c>
      <c r="D374" s="2895">
        <v>6.5670679389832856</v>
      </c>
      <c r="E374" s="2896">
        <v>133.19558972714333</v>
      </c>
      <c r="F374" s="2897">
        <v>0</v>
      </c>
      <c r="G374" s="2898">
        <v>37.735917569854188</v>
      </c>
      <c r="H374" s="566">
        <v>177.49857523598081</v>
      </c>
      <c r="I374" s="2899">
        <v>3.5307647624886607</v>
      </c>
      <c r="J374" s="2898">
        <v>0.95330648587193834</v>
      </c>
      <c r="K374" s="2901">
        <v>228.42580080468213</v>
      </c>
      <c r="L374" s="2898">
        <v>61.674966217264178</v>
      </c>
      <c r="M374" s="3243">
        <f t="shared" si="48"/>
        <v>231.9565655671708</v>
      </c>
      <c r="N374" s="3244">
        <f t="shared" si="49"/>
        <v>62.628272703136119</v>
      </c>
      <c r="O374" s="2902">
        <v>0</v>
      </c>
      <c r="P374" s="2898">
        <v>0</v>
      </c>
      <c r="Q374" s="2586">
        <v>100.3641902729903</v>
      </c>
      <c r="R374" s="571">
        <v>472.08341350628774</v>
      </c>
      <c r="S374" s="2515">
        <f t="shared" si="50"/>
        <v>472.08341350628774</v>
      </c>
      <c r="T374" s="2515">
        <f t="shared" si="51"/>
        <v>0</v>
      </c>
    </row>
    <row r="375" spans="1:20" ht="15.75" customHeight="1" x14ac:dyDescent="0.25">
      <c r="A375" s="2868" t="s">
        <v>103</v>
      </c>
      <c r="B375" s="2837"/>
      <c r="C375" s="2689" t="s">
        <v>1066</v>
      </c>
      <c r="D375" s="2895">
        <v>4.7553297840520141</v>
      </c>
      <c r="E375" s="2896">
        <v>189.2088162655302</v>
      </c>
      <c r="F375" s="2897">
        <v>0</v>
      </c>
      <c r="G375" s="2898">
        <v>52.370319433387195</v>
      </c>
      <c r="H375" s="566">
        <v>246.33446548296939</v>
      </c>
      <c r="I375" s="2899">
        <v>3.2989858940539563</v>
      </c>
      <c r="J375" s="2898">
        <v>0.89072619139456821</v>
      </c>
      <c r="K375" s="2901">
        <v>150.42448561412303</v>
      </c>
      <c r="L375" s="2898">
        <v>40.614611115813211</v>
      </c>
      <c r="M375" s="3243">
        <f t="shared" si="48"/>
        <v>153.723471508177</v>
      </c>
      <c r="N375" s="3244">
        <f t="shared" si="49"/>
        <v>41.505337307207782</v>
      </c>
      <c r="O375" s="2902">
        <v>4.7553297840520141</v>
      </c>
      <c r="P375" s="2898">
        <v>1.2839390416940439</v>
      </c>
      <c r="Q375" s="2586">
        <v>95.159595782289017</v>
      </c>
      <c r="R375" s="571">
        <v>447.60254312410024</v>
      </c>
      <c r="S375" s="2515">
        <f t="shared" si="50"/>
        <v>447.60254312410024</v>
      </c>
      <c r="T375" s="2515">
        <f t="shared" si="51"/>
        <v>0</v>
      </c>
    </row>
    <row r="376" spans="1:20" ht="15.75" customHeight="1" x14ac:dyDescent="0.25">
      <c r="A376" s="2868" t="s">
        <v>104</v>
      </c>
      <c r="B376" s="2837"/>
      <c r="C376" s="2689" t="s">
        <v>1066</v>
      </c>
      <c r="D376" s="2895">
        <v>0</v>
      </c>
      <c r="E376" s="2896">
        <v>192.46917234817835</v>
      </c>
      <c r="F376" s="2897">
        <v>0</v>
      </c>
      <c r="G376" s="2898">
        <v>51.966676534008158</v>
      </c>
      <c r="H376" s="566">
        <v>244.43584888218652</v>
      </c>
      <c r="I376" s="2899">
        <v>0</v>
      </c>
      <c r="J376" s="2898">
        <v>0</v>
      </c>
      <c r="K376" s="2901">
        <v>148.03716326924555</v>
      </c>
      <c r="L376" s="2898">
        <v>39.970034082696309</v>
      </c>
      <c r="M376" s="3243">
        <f t="shared" si="48"/>
        <v>148.03716326924555</v>
      </c>
      <c r="N376" s="3244">
        <f t="shared" si="49"/>
        <v>39.970034082696309</v>
      </c>
      <c r="O376" s="2902">
        <v>0</v>
      </c>
      <c r="P376" s="2898">
        <v>0</v>
      </c>
      <c r="Q376" s="2586">
        <v>91.93671061670446</v>
      </c>
      <c r="R376" s="571">
        <v>432.44304623412836</v>
      </c>
      <c r="S376" s="2515">
        <f t="shared" si="50"/>
        <v>432.44304623412836</v>
      </c>
      <c r="T376" s="2515">
        <f t="shared" si="51"/>
        <v>0</v>
      </c>
    </row>
    <row r="377" spans="1:20" ht="15.75" customHeight="1" x14ac:dyDescent="0.25">
      <c r="A377" s="2936" t="s">
        <v>105</v>
      </c>
      <c r="B377" s="2837"/>
      <c r="C377" s="2689" t="s">
        <v>1066</v>
      </c>
      <c r="D377" s="2895">
        <v>0</v>
      </c>
      <c r="E377" s="2896">
        <v>262.68271755933142</v>
      </c>
      <c r="F377" s="2897">
        <v>0</v>
      </c>
      <c r="G377" s="2898">
        <v>70.924333741019481</v>
      </c>
      <c r="H377" s="566">
        <v>333.60705130035092</v>
      </c>
      <c r="I377" s="2899">
        <v>3.0903849124627225</v>
      </c>
      <c r="J377" s="2898">
        <v>0.8344039263649351</v>
      </c>
      <c r="K377" s="2901">
        <v>191.60386457268879</v>
      </c>
      <c r="L377" s="2898">
        <v>51.733043434625976</v>
      </c>
      <c r="M377" s="3243">
        <f t="shared" si="48"/>
        <v>194.69424948515152</v>
      </c>
      <c r="N377" s="3244">
        <f t="shared" si="49"/>
        <v>52.567447360990911</v>
      </c>
      <c r="O377" s="2902">
        <v>0</v>
      </c>
      <c r="P377" s="2898">
        <v>0</v>
      </c>
      <c r="Q377" s="2586">
        <v>123.49178110201041</v>
      </c>
      <c r="R377" s="571">
        <v>580.86874814649332</v>
      </c>
      <c r="S377" s="2515">
        <f t="shared" si="50"/>
        <v>580.86874814649332</v>
      </c>
      <c r="T377" s="2515">
        <f t="shared" si="51"/>
        <v>0</v>
      </c>
    </row>
    <row r="378" spans="1:20" ht="15.75" customHeight="1" thickBot="1" x14ac:dyDescent="0.3">
      <c r="A378" s="2937" t="s">
        <v>613</v>
      </c>
      <c r="B378" s="2837"/>
      <c r="C378" s="2689" t="s">
        <v>1066</v>
      </c>
      <c r="D378" s="2895">
        <v>0</v>
      </c>
      <c r="E378" s="2896">
        <v>168.27145848359524</v>
      </c>
      <c r="F378" s="2897">
        <v>0</v>
      </c>
      <c r="G378" s="2898">
        <v>45.433293790570715</v>
      </c>
      <c r="H378" s="566">
        <v>213.70475227416597</v>
      </c>
      <c r="I378" s="2899">
        <v>4.8673562371287877</v>
      </c>
      <c r="J378" s="2898">
        <v>1.3141861840247728</v>
      </c>
      <c r="K378" s="2901">
        <v>102.21448097970455</v>
      </c>
      <c r="L378" s="2898">
        <v>27.597909864520229</v>
      </c>
      <c r="M378" s="3243">
        <f t="shared" si="48"/>
        <v>107.08183721683334</v>
      </c>
      <c r="N378" s="3244">
        <f t="shared" si="49"/>
        <v>28.912096048545003</v>
      </c>
      <c r="O378" s="2902">
        <v>0</v>
      </c>
      <c r="P378" s="2898">
        <v>0</v>
      </c>
      <c r="Q378" s="2586">
        <v>74.345389839115711</v>
      </c>
      <c r="R378" s="571">
        <v>349.69868553954427</v>
      </c>
      <c r="S378" s="2515">
        <f t="shared" si="50"/>
        <v>349.69868553954427</v>
      </c>
      <c r="T378" s="2515">
        <f t="shared" si="51"/>
        <v>0</v>
      </c>
    </row>
    <row r="379" spans="1:20" ht="15.75" customHeight="1" x14ac:dyDescent="0.25">
      <c r="A379" s="2865" t="s">
        <v>107</v>
      </c>
      <c r="B379" s="2837"/>
      <c r="C379" s="2689" t="s">
        <v>1074</v>
      </c>
      <c r="D379" s="2895">
        <v>30.419802883518805</v>
      </c>
      <c r="E379" s="2896">
        <v>265.27892822415095</v>
      </c>
      <c r="F379" s="2897">
        <v>0.96037262457833639</v>
      </c>
      <c r="G379" s="2898">
        <v>29.663509441663365</v>
      </c>
      <c r="H379" s="566">
        <v>326.32261317391146</v>
      </c>
      <c r="I379" s="2899">
        <v>52.652429142507287</v>
      </c>
      <c r="J379" s="2898">
        <v>5.2700447773736201</v>
      </c>
      <c r="K379" s="2901">
        <v>141.88305062364196</v>
      </c>
      <c r="L379" s="2898">
        <v>14.18950552814492</v>
      </c>
      <c r="M379" s="3243">
        <f t="shared" si="48"/>
        <v>194.53547976614925</v>
      </c>
      <c r="N379" s="3244">
        <f t="shared" si="49"/>
        <v>19.45955030551854</v>
      </c>
      <c r="O379" s="2902">
        <v>1.9207452491566728</v>
      </c>
      <c r="P379" s="2898">
        <v>0.19207452491566729</v>
      </c>
      <c r="Q379" s="2586">
        <v>49.315134272097573</v>
      </c>
      <c r="R379" s="571">
        <v>542.4304630196516</v>
      </c>
      <c r="S379" s="2515">
        <f t="shared" si="50"/>
        <v>542.4304630196516</v>
      </c>
      <c r="T379" s="2515">
        <f t="shared" si="51"/>
        <v>0</v>
      </c>
    </row>
    <row r="380" spans="1:20" ht="15.75" customHeight="1" x14ac:dyDescent="0.25">
      <c r="A380" s="2868" t="s">
        <v>108</v>
      </c>
      <c r="B380" s="2837"/>
      <c r="C380" s="2689" t="s">
        <v>1074</v>
      </c>
      <c r="D380" s="2895">
        <v>0.60023289036146021</v>
      </c>
      <c r="E380" s="2896">
        <v>47.022244630916795</v>
      </c>
      <c r="F380" s="2897">
        <v>0.96037262457833639</v>
      </c>
      <c r="G380" s="2898">
        <v>4.861886411927828</v>
      </c>
      <c r="H380" s="566">
        <v>53.444736557784417</v>
      </c>
      <c r="I380" s="2899">
        <v>33.432971993133336</v>
      </c>
      <c r="J380" s="2898">
        <v>3.3492995282169482</v>
      </c>
      <c r="K380" s="2901">
        <v>85.749270717038215</v>
      </c>
      <c r="L380" s="2898">
        <v>8.5713256743616508</v>
      </c>
      <c r="M380" s="3243">
        <f t="shared" si="48"/>
        <v>119.18224271017155</v>
      </c>
      <c r="N380" s="3244">
        <f t="shared" si="49"/>
        <v>11.920625202578599</v>
      </c>
      <c r="O380" s="2902">
        <v>1.9207452491566728</v>
      </c>
      <c r="P380" s="2898">
        <v>0.19207452491566729</v>
      </c>
      <c r="Q380" s="2586">
        <v>16.974586139422094</v>
      </c>
      <c r="R380" s="571">
        <v>186.6604242446069</v>
      </c>
      <c r="S380" s="2515">
        <f t="shared" si="50"/>
        <v>186.6604242446069</v>
      </c>
      <c r="T380" s="2515">
        <f t="shared" si="51"/>
        <v>0</v>
      </c>
    </row>
    <row r="381" spans="1:20" ht="15.75" customHeight="1" x14ac:dyDescent="0.25">
      <c r="A381" s="2868" t="s">
        <v>109</v>
      </c>
      <c r="B381" s="2837"/>
      <c r="C381" s="2689" t="s">
        <v>1074</v>
      </c>
      <c r="D381" s="2895">
        <v>13.013049063036458</v>
      </c>
      <c r="E381" s="2896">
        <v>197.45261161330595</v>
      </c>
      <c r="F381" s="2897">
        <v>0.96037262457833639</v>
      </c>
      <c r="G381" s="2898">
        <v>21.140202398530629</v>
      </c>
      <c r="H381" s="566">
        <v>232.56623569945134</v>
      </c>
      <c r="I381" s="2899">
        <v>27.910829401807902</v>
      </c>
      <c r="J381" s="2898">
        <v>2.7850806112771753</v>
      </c>
      <c r="K381" s="2901">
        <v>74.524915667278904</v>
      </c>
      <c r="L381" s="2898">
        <v>7.4548924982893361</v>
      </c>
      <c r="M381" s="3243">
        <f t="shared" si="48"/>
        <v>102.43574506908681</v>
      </c>
      <c r="N381" s="3244">
        <f t="shared" si="49"/>
        <v>10.239973109566511</v>
      </c>
      <c r="O381" s="2902">
        <v>1.9207452491566728</v>
      </c>
      <c r="P381" s="2898">
        <v>0.19207452491566729</v>
      </c>
      <c r="Q381" s="2586">
        <v>31.572250033012811</v>
      </c>
      <c r="R381" s="571">
        <v>347.35477365217696</v>
      </c>
      <c r="S381" s="2515">
        <f t="shared" si="50"/>
        <v>347.35477365217696</v>
      </c>
      <c r="T381" s="2515">
        <f t="shared" si="51"/>
        <v>0</v>
      </c>
    </row>
    <row r="382" spans="1:20" ht="15.75" customHeight="1" x14ac:dyDescent="0.25">
      <c r="A382" s="2868" t="s">
        <v>110</v>
      </c>
      <c r="B382" s="2837" t="s">
        <v>429</v>
      </c>
      <c r="C382" s="2689" t="s">
        <v>1074</v>
      </c>
      <c r="D382" s="2895">
        <v>22.028547076265593</v>
      </c>
      <c r="E382" s="2896">
        <v>126.15694889617171</v>
      </c>
      <c r="F382" s="2897">
        <v>0.96037262457833639</v>
      </c>
      <c r="G382" s="2898">
        <v>14.909784996578672</v>
      </c>
      <c r="H382" s="566">
        <v>164.05565359359431</v>
      </c>
      <c r="I382" s="2899">
        <v>55.005342072724218</v>
      </c>
      <c r="J382" s="2898">
        <v>5.498133275710976</v>
      </c>
      <c r="K382" s="2901">
        <v>159.12173923482311</v>
      </c>
      <c r="L382" s="2898">
        <v>15.906171594578696</v>
      </c>
      <c r="M382" s="3243">
        <f t="shared" si="48"/>
        <v>214.12708130754731</v>
      </c>
      <c r="N382" s="3244">
        <f t="shared" si="49"/>
        <v>21.404304870289671</v>
      </c>
      <c r="O382" s="2902">
        <v>1.9207452491566728</v>
      </c>
      <c r="P382" s="2898">
        <v>0.19207452491566729</v>
      </c>
      <c r="Q382" s="2586">
        <v>36.506164391784012</v>
      </c>
      <c r="R382" s="571">
        <v>401.69985954550367</v>
      </c>
      <c r="S382" s="2515">
        <f t="shared" si="50"/>
        <v>401.69985954550361</v>
      </c>
      <c r="T382" s="2515">
        <f t="shared" si="51"/>
        <v>0</v>
      </c>
    </row>
    <row r="383" spans="1:20" ht="15.75" customHeight="1" thickBot="1" x14ac:dyDescent="0.3">
      <c r="A383" s="2869" t="s">
        <v>111</v>
      </c>
      <c r="B383" s="2837"/>
      <c r="C383" s="2696" t="s">
        <v>1074</v>
      </c>
      <c r="D383" s="2895">
        <v>10.372024345446034</v>
      </c>
      <c r="E383" s="2896">
        <v>180.92219781275136</v>
      </c>
      <c r="F383" s="2897">
        <v>0.96037262457833639</v>
      </c>
      <c r="G383" s="2898">
        <v>19.231461807181184</v>
      </c>
      <c r="H383" s="566">
        <v>211.48605658995689</v>
      </c>
      <c r="I383" s="2899">
        <v>63.708718982965387</v>
      </c>
      <c r="J383" s="2898">
        <v>6.3744732956387073</v>
      </c>
      <c r="K383" s="2901">
        <v>169.86590797229326</v>
      </c>
      <c r="L383" s="2898">
        <v>16.986590797229326</v>
      </c>
      <c r="M383" s="3243">
        <f t="shared" si="48"/>
        <v>233.57462695525865</v>
      </c>
      <c r="N383" s="3244">
        <f t="shared" si="49"/>
        <v>23.361064092868034</v>
      </c>
      <c r="O383" s="2902">
        <v>1.9207452491566728</v>
      </c>
      <c r="P383" s="2898">
        <v>0.19207452491566729</v>
      </c>
      <c r="Q383" s="2586">
        <v>42.784600424964886</v>
      </c>
      <c r="R383" s="571">
        <v>470.53456741215587</v>
      </c>
      <c r="S383" s="2515">
        <f t="shared" si="50"/>
        <v>470.53456741215587</v>
      </c>
      <c r="T383" s="2515">
        <f t="shared" si="51"/>
        <v>0</v>
      </c>
    </row>
    <row r="384" spans="1:20" ht="15.75" customHeight="1" x14ac:dyDescent="0.25">
      <c r="A384" s="2865" t="s">
        <v>112</v>
      </c>
      <c r="B384" s="2837"/>
      <c r="C384" s="2689" t="s">
        <v>1076</v>
      </c>
      <c r="D384" s="2895">
        <v>66.571407420741423</v>
      </c>
      <c r="E384" s="2896">
        <v>102.67973880575155</v>
      </c>
      <c r="F384" s="2897">
        <v>0</v>
      </c>
      <c r="G384" s="2898">
        <v>13.49180523727026</v>
      </c>
      <c r="H384" s="566">
        <v>182.74295146376323</v>
      </c>
      <c r="I384" s="2899">
        <v>128.66921626280902</v>
      </c>
      <c r="J384" s="2898">
        <v>10.260872930450278</v>
      </c>
      <c r="K384" s="2901">
        <v>0</v>
      </c>
      <c r="L384" s="2898">
        <v>0</v>
      </c>
      <c r="M384" s="3243">
        <f t="shared" si="48"/>
        <v>128.66921626280902</v>
      </c>
      <c r="N384" s="3244">
        <f t="shared" si="49"/>
        <v>10.260872930450278</v>
      </c>
      <c r="O384" s="2902">
        <v>0</v>
      </c>
      <c r="P384" s="2898">
        <v>0</v>
      </c>
      <c r="Q384" s="2586">
        <v>23.752678167720539</v>
      </c>
      <c r="R384" s="571">
        <v>321.67304065702251</v>
      </c>
      <c r="S384" s="2515">
        <f t="shared" si="50"/>
        <v>321.67304065702251</v>
      </c>
      <c r="T384" s="2515">
        <f t="shared" si="51"/>
        <v>0</v>
      </c>
    </row>
    <row r="385" spans="1:20" ht="15.75" customHeight="1" x14ac:dyDescent="0.25">
      <c r="A385" s="2868" t="s">
        <v>113</v>
      </c>
      <c r="B385" s="2837"/>
      <c r="C385" s="2689" t="s">
        <v>1076</v>
      </c>
      <c r="D385" s="2895">
        <v>90.537114092208327</v>
      </c>
      <c r="E385" s="2896">
        <v>79.530641398645741</v>
      </c>
      <c r="F385" s="2897">
        <v>0</v>
      </c>
      <c r="G385" s="2898">
        <v>13.562814738519052</v>
      </c>
      <c r="H385" s="566">
        <v>183.63057022937312</v>
      </c>
      <c r="I385" s="2899">
        <v>101.89863429201486</v>
      </c>
      <c r="J385" s="2898">
        <v>8.1305878929865525</v>
      </c>
      <c r="K385" s="2901">
        <v>0</v>
      </c>
      <c r="L385" s="2898">
        <v>0</v>
      </c>
      <c r="M385" s="3243">
        <f t="shared" si="48"/>
        <v>101.89863429201486</v>
      </c>
      <c r="N385" s="3244">
        <f t="shared" si="49"/>
        <v>8.1305878929865525</v>
      </c>
      <c r="O385" s="2902">
        <v>0</v>
      </c>
      <c r="P385" s="2898">
        <v>0</v>
      </c>
      <c r="Q385" s="2586">
        <v>21.693402631505606</v>
      </c>
      <c r="R385" s="571">
        <v>293.65979241437458</v>
      </c>
      <c r="S385" s="2515">
        <f t="shared" si="50"/>
        <v>293.65979241437458</v>
      </c>
      <c r="T385" s="2515">
        <f t="shared" si="51"/>
        <v>0</v>
      </c>
    </row>
    <row r="386" spans="1:20" ht="15.75" customHeight="1" x14ac:dyDescent="0.25">
      <c r="A386" s="2868" t="s">
        <v>114</v>
      </c>
      <c r="B386" s="2837"/>
      <c r="C386" s="2689" t="s">
        <v>1076</v>
      </c>
      <c r="D386" s="2895">
        <v>86.27654401728087</v>
      </c>
      <c r="E386" s="2896">
        <v>91.602256610940188</v>
      </c>
      <c r="F386" s="2897">
        <v>0</v>
      </c>
      <c r="G386" s="2898">
        <v>14.210776437414268</v>
      </c>
      <c r="H386" s="566">
        <v>192.08957706563532</v>
      </c>
      <c r="I386" s="2899">
        <v>161.36909158787719</v>
      </c>
      <c r="J386" s="2898">
        <v>12.897100664311637</v>
      </c>
      <c r="K386" s="2901">
        <v>0</v>
      </c>
      <c r="L386" s="2898">
        <v>0</v>
      </c>
      <c r="M386" s="3243">
        <f t="shared" si="48"/>
        <v>161.36909158787719</v>
      </c>
      <c r="N386" s="3244">
        <f t="shared" si="49"/>
        <v>12.897100664311637</v>
      </c>
      <c r="O386" s="2902">
        <v>0</v>
      </c>
      <c r="P386" s="2898">
        <v>0</v>
      </c>
      <c r="Q386" s="2586">
        <v>27.107877101725904</v>
      </c>
      <c r="R386" s="571">
        <v>366.35576931782418</v>
      </c>
      <c r="S386" s="2515">
        <f t="shared" si="50"/>
        <v>366.35576931782418</v>
      </c>
      <c r="T386" s="2515">
        <f t="shared" si="51"/>
        <v>0</v>
      </c>
    </row>
    <row r="387" spans="1:20" ht="15.75" customHeight="1" x14ac:dyDescent="0.25">
      <c r="A387" s="2868" t="s">
        <v>115</v>
      </c>
      <c r="B387" s="2837"/>
      <c r="C387" s="2689" t="s">
        <v>1076</v>
      </c>
      <c r="D387" s="2895">
        <v>90.537114092208327</v>
      </c>
      <c r="E387" s="2896">
        <v>117.16567706050489</v>
      </c>
      <c r="F387" s="2897">
        <v>0</v>
      </c>
      <c r="G387" s="2898">
        <v>16.607347104560958</v>
      </c>
      <c r="H387" s="566">
        <v>224.31013825727416</v>
      </c>
      <c r="I387" s="2899">
        <v>191.93868187548165</v>
      </c>
      <c r="J387" s="2898">
        <v>15.346928457394922</v>
      </c>
      <c r="K387" s="2901">
        <v>0</v>
      </c>
      <c r="L387" s="2898">
        <v>0</v>
      </c>
      <c r="M387" s="3243">
        <f t="shared" si="48"/>
        <v>191.93868187548165</v>
      </c>
      <c r="N387" s="3244">
        <f t="shared" si="49"/>
        <v>15.346928457394922</v>
      </c>
      <c r="O387" s="2902">
        <v>0</v>
      </c>
      <c r="P387" s="2898">
        <v>0</v>
      </c>
      <c r="Q387" s="2586">
        <v>31.954275561955882</v>
      </c>
      <c r="R387" s="571">
        <v>431.59574859015072</v>
      </c>
      <c r="S387" s="2515">
        <f t="shared" si="50"/>
        <v>431.59574859015072</v>
      </c>
      <c r="T387" s="2515">
        <f t="shared" si="51"/>
        <v>0</v>
      </c>
    </row>
    <row r="388" spans="1:20" ht="15.75" customHeight="1" x14ac:dyDescent="0.25">
      <c r="A388" s="2868" t="s">
        <v>116</v>
      </c>
      <c r="B388" s="2837"/>
      <c r="C388" s="2689" t="s">
        <v>1076</v>
      </c>
      <c r="D388" s="2895">
        <v>140.59881247260589</v>
      </c>
      <c r="E388" s="2896">
        <v>149.11995262246077</v>
      </c>
      <c r="F388" s="2897">
        <v>0</v>
      </c>
      <c r="G388" s="2898">
        <v>23.095840281169224</v>
      </c>
      <c r="H388" s="566">
        <v>312.81460537623587</v>
      </c>
      <c r="I388" s="2899">
        <v>113.86373525243611</v>
      </c>
      <c r="J388" s="2898">
        <v>9.0714637845330302</v>
      </c>
      <c r="K388" s="2901">
        <v>0</v>
      </c>
      <c r="L388" s="2898">
        <v>0</v>
      </c>
      <c r="M388" s="3243">
        <f t="shared" si="48"/>
        <v>113.86373525243611</v>
      </c>
      <c r="N388" s="3244">
        <f t="shared" si="49"/>
        <v>9.0714637845330302</v>
      </c>
      <c r="O388" s="2902">
        <v>0</v>
      </c>
      <c r="P388" s="2898">
        <v>0</v>
      </c>
      <c r="Q388" s="2586">
        <v>32.167304065702254</v>
      </c>
      <c r="R388" s="571">
        <v>435.74980441320503</v>
      </c>
      <c r="S388" s="2515">
        <f t="shared" si="50"/>
        <v>435.74980441320503</v>
      </c>
      <c r="T388" s="2515">
        <f t="shared" si="51"/>
        <v>0</v>
      </c>
    </row>
    <row r="389" spans="1:20" ht="15.75" customHeight="1" x14ac:dyDescent="0.25">
      <c r="A389" s="2868" t="s">
        <v>117</v>
      </c>
      <c r="B389" s="2837"/>
      <c r="C389" s="2689" t="s">
        <v>1076</v>
      </c>
      <c r="D389" s="2895">
        <v>133.14281484148285</v>
      </c>
      <c r="E389" s="2896">
        <v>215.26530303570945</v>
      </c>
      <c r="F389" s="2897">
        <v>0</v>
      </c>
      <c r="G389" s="2898">
        <v>27.809095926557713</v>
      </c>
      <c r="H389" s="566">
        <v>376.21721380374998</v>
      </c>
      <c r="I389" s="2899">
        <v>147.94829585185573</v>
      </c>
      <c r="J389" s="2898">
        <v>11.814205770267577</v>
      </c>
      <c r="K389" s="2901">
        <v>0</v>
      </c>
      <c r="L389" s="2898">
        <v>0</v>
      </c>
      <c r="M389" s="3243">
        <f t="shared" si="48"/>
        <v>147.94829585185573</v>
      </c>
      <c r="N389" s="3244">
        <f t="shared" si="49"/>
        <v>11.814205770267577</v>
      </c>
      <c r="O389" s="2902">
        <v>0</v>
      </c>
      <c r="P389" s="2898">
        <v>0</v>
      </c>
      <c r="Q389" s="2586">
        <v>39.623301696825294</v>
      </c>
      <c r="R389" s="571">
        <v>535.97971542587334</v>
      </c>
      <c r="S389" s="2515">
        <f t="shared" si="50"/>
        <v>535.97971542587334</v>
      </c>
      <c r="T389" s="2515">
        <f t="shared" si="51"/>
        <v>0</v>
      </c>
    </row>
    <row r="390" spans="1:20" ht="15.75" customHeight="1" x14ac:dyDescent="0.25">
      <c r="A390" s="2868" t="s">
        <v>118</v>
      </c>
      <c r="B390" s="2837" t="s">
        <v>429</v>
      </c>
      <c r="C390" s="2689" t="s">
        <v>1076</v>
      </c>
      <c r="D390" s="2895">
        <v>124.62167469162793</v>
      </c>
      <c r="E390" s="2896">
        <v>102.60872930450277</v>
      </c>
      <c r="F390" s="2897">
        <v>0</v>
      </c>
      <c r="G390" s="2898">
        <v>18.15180375672216</v>
      </c>
      <c r="H390" s="566">
        <v>245.38220775285285</v>
      </c>
      <c r="I390" s="2899">
        <v>161.1915678347552</v>
      </c>
      <c r="J390" s="2898">
        <v>12.87934828899944</v>
      </c>
      <c r="K390" s="2901">
        <v>0</v>
      </c>
      <c r="L390" s="2898">
        <v>0</v>
      </c>
      <c r="M390" s="3243">
        <f t="shared" si="48"/>
        <v>161.1915678347552</v>
      </c>
      <c r="N390" s="3244">
        <f t="shared" si="49"/>
        <v>12.87934828899944</v>
      </c>
      <c r="O390" s="2902">
        <v>0</v>
      </c>
      <c r="P390" s="2898">
        <v>0</v>
      </c>
      <c r="Q390" s="2586">
        <v>31.031152045721598</v>
      </c>
      <c r="R390" s="571">
        <v>419.45312387660749</v>
      </c>
      <c r="S390" s="2515">
        <f t="shared" si="50"/>
        <v>419.45312387660749</v>
      </c>
      <c r="T390" s="2515">
        <f t="shared" si="51"/>
        <v>0</v>
      </c>
    </row>
    <row r="391" spans="1:20" ht="15.75" customHeight="1" thickBot="1" x14ac:dyDescent="0.3">
      <c r="A391" s="2869" t="s">
        <v>119</v>
      </c>
      <c r="B391" s="2837"/>
      <c r="C391" s="2689" t="s">
        <v>1076</v>
      </c>
      <c r="D391" s="2895">
        <v>84.146258979817148</v>
      </c>
      <c r="E391" s="2896">
        <v>121.35523763418355</v>
      </c>
      <c r="F391" s="2897">
        <v>0</v>
      </c>
      <c r="G391" s="2898">
        <v>16.403194788470685</v>
      </c>
      <c r="H391" s="566">
        <v>221.90469140247137</v>
      </c>
      <c r="I391" s="2899">
        <v>155.15576022860799</v>
      </c>
      <c r="J391" s="2898">
        <v>12.391157967914003</v>
      </c>
      <c r="K391" s="2901">
        <v>0</v>
      </c>
      <c r="L391" s="2898">
        <v>0</v>
      </c>
      <c r="M391" s="3243">
        <f t="shared" si="48"/>
        <v>155.15576022860799</v>
      </c>
      <c r="N391" s="3244">
        <f t="shared" si="49"/>
        <v>12.391157967914003</v>
      </c>
      <c r="O391" s="2902">
        <v>0</v>
      </c>
      <c r="P391" s="2898">
        <v>0</v>
      </c>
      <c r="Q391" s="2586">
        <v>28.79435275638469</v>
      </c>
      <c r="R391" s="571">
        <v>389.45160959899334</v>
      </c>
      <c r="S391" s="2515">
        <f t="shared" si="50"/>
        <v>389.45160959899334</v>
      </c>
      <c r="T391" s="2515">
        <f t="shared" si="51"/>
        <v>0</v>
      </c>
    </row>
    <row r="392" spans="1:20" ht="15.75" customHeight="1" thickBot="1" x14ac:dyDescent="0.3">
      <c r="A392" s="3024" t="s">
        <v>587</v>
      </c>
      <c r="B392" s="3025"/>
      <c r="C392" s="2800" t="s">
        <v>1084</v>
      </c>
      <c r="D392" s="2895">
        <v>0</v>
      </c>
      <c r="E392" s="2896">
        <v>680.71517096752939</v>
      </c>
      <c r="F392" s="2897">
        <v>0</v>
      </c>
      <c r="G392" s="2898">
        <v>0</v>
      </c>
      <c r="H392" s="566">
        <v>680.71517096752939</v>
      </c>
      <c r="I392" s="2899">
        <v>0</v>
      </c>
      <c r="J392" s="2898">
        <v>0</v>
      </c>
      <c r="K392" s="2901">
        <v>0</v>
      </c>
      <c r="L392" s="2898">
        <v>0</v>
      </c>
      <c r="M392" s="3243">
        <f t="shared" si="48"/>
        <v>0</v>
      </c>
      <c r="N392" s="3244">
        <f t="shared" si="49"/>
        <v>0</v>
      </c>
      <c r="O392" s="2902">
        <v>0</v>
      </c>
      <c r="P392" s="2898">
        <v>0</v>
      </c>
      <c r="Q392" s="2586">
        <v>0</v>
      </c>
      <c r="R392" s="571">
        <v>680.71517096752939</v>
      </c>
      <c r="S392" s="2515">
        <f t="shared" si="50"/>
        <v>680.71517096752939</v>
      </c>
      <c r="T392" s="2515">
        <f t="shared" si="51"/>
        <v>0</v>
      </c>
    </row>
    <row r="393" spans="1:20" ht="15.75" customHeight="1" thickBot="1" x14ac:dyDescent="0.3">
      <c r="A393" s="3028" t="s">
        <v>775</v>
      </c>
      <c r="B393" s="3028"/>
      <c r="C393" s="2622" t="s">
        <v>1088</v>
      </c>
      <c r="D393" s="2895">
        <v>70.827481062652311</v>
      </c>
      <c r="E393" s="2896">
        <v>789.11417630040455</v>
      </c>
      <c r="F393" s="2897">
        <v>0</v>
      </c>
      <c r="G393" s="2898">
        <v>0</v>
      </c>
      <c r="H393" s="566">
        <v>859.94165736305683</v>
      </c>
      <c r="I393" s="2899">
        <v>0</v>
      </c>
      <c r="J393" s="2898">
        <v>0</v>
      </c>
      <c r="K393" s="2901">
        <v>0</v>
      </c>
      <c r="L393" s="2898">
        <v>0</v>
      </c>
      <c r="M393" s="3243">
        <f t="shared" si="48"/>
        <v>0</v>
      </c>
      <c r="N393" s="3244">
        <f t="shared" si="49"/>
        <v>0</v>
      </c>
      <c r="O393" s="2902">
        <v>0</v>
      </c>
      <c r="P393" s="2898">
        <v>0</v>
      </c>
      <c r="Q393" s="2586">
        <v>0</v>
      </c>
      <c r="R393" s="571">
        <v>859.94165736305683</v>
      </c>
      <c r="S393" s="2515">
        <f t="shared" si="50"/>
        <v>859.94165736305683</v>
      </c>
      <c r="T393" s="2515">
        <f t="shared" si="51"/>
        <v>0</v>
      </c>
    </row>
    <row r="394" spans="1:20" ht="15.75" customHeight="1" x14ac:dyDescent="0.25">
      <c r="A394" s="3030" t="s">
        <v>620</v>
      </c>
      <c r="B394" s="2623"/>
      <c r="C394" s="2623" t="s">
        <v>1092</v>
      </c>
      <c r="D394" s="2895">
        <v>141.32910362778591</v>
      </c>
      <c r="E394" s="2896">
        <v>0</v>
      </c>
      <c r="F394" s="2897">
        <v>0</v>
      </c>
      <c r="G394" s="2898">
        <v>0</v>
      </c>
      <c r="H394" s="566">
        <v>141.32910362778591</v>
      </c>
      <c r="I394" s="2899">
        <v>0</v>
      </c>
      <c r="J394" s="2898">
        <v>0</v>
      </c>
      <c r="K394" s="2901">
        <v>46.770782495526269</v>
      </c>
      <c r="L394" s="2898">
        <v>0</v>
      </c>
      <c r="M394" s="3243">
        <f t="shared" si="48"/>
        <v>46.770782495526269</v>
      </c>
      <c r="N394" s="3244">
        <f t="shared" si="49"/>
        <v>0</v>
      </c>
      <c r="O394" s="2902">
        <v>0</v>
      </c>
      <c r="P394" s="2898">
        <v>0</v>
      </c>
      <c r="Q394" s="2586">
        <v>0</v>
      </c>
      <c r="R394" s="571">
        <v>188.09988612331219</v>
      </c>
      <c r="S394" s="2515">
        <f t="shared" si="50"/>
        <v>188.09988612331219</v>
      </c>
      <c r="T394" s="2515">
        <f t="shared" si="51"/>
        <v>0</v>
      </c>
    </row>
    <row r="395" spans="1:20" ht="15.75" customHeight="1" x14ac:dyDescent="0.25">
      <c r="A395" s="3031" t="s">
        <v>889</v>
      </c>
      <c r="B395" s="2575" t="s">
        <v>429</v>
      </c>
      <c r="C395" s="2575" t="s">
        <v>1092</v>
      </c>
      <c r="D395" s="2895">
        <v>211.48527737107531</v>
      </c>
      <c r="E395" s="2896">
        <v>0</v>
      </c>
      <c r="F395" s="2897">
        <v>0</v>
      </c>
      <c r="G395" s="2898">
        <v>0</v>
      </c>
      <c r="H395" s="566">
        <v>211.48527737107531</v>
      </c>
      <c r="I395" s="2899">
        <v>0</v>
      </c>
      <c r="J395" s="2898">
        <v>0</v>
      </c>
      <c r="K395" s="2901">
        <v>0</v>
      </c>
      <c r="L395" s="2898">
        <v>0</v>
      </c>
      <c r="M395" s="3243">
        <f t="shared" si="48"/>
        <v>0</v>
      </c>
      <c r="N395" s="3244">
        <f t="shared" si="49"/>
        <v>0</v>
      </c>
      <c r="O395" s="2902">
        <v>0</v>
      </c>
      <c r="P395" s="2898">
        <v>0</v>
      </c>
      <c r="Q395" s="2586">
        <v>0</v>
      </c>
      <c r="R395" s="571">
        <v>211.48527737107531</v>
      </c>
      <c r="S395" s="2515">
        <f t="shared" si="50"/>
        <v>211.48527737107531</v>
      </c>
      <c r="T395" s="2515">
        <f t="shared" si="51"/>
        <v>0</v>
      </c>
    </row>
    <row r="396" spans="1:20" ht="15.75" customHeight="1" x14ac:dyDescent="0.25">
      <c r="A396" s="3031" t="s">
        <v>621</v>
      </c>
      <c r="B396" s="2575"/>
      <c r="C396" s="2575" t="s">
        <v>1092</v>
      </c>
      <c r="D396" s="2895">
        <v>114.8934439564015</v>
      </c>
      <c r="E396" s="2896">
        <v>0</v>
      </c>
      <c r="F396" s="2897">
        <v>0</v>
      </c>
      <c r="G396" s="2898">
        <v>0</v>
      </c>
      <c r="H396" s="566">
        <v>114.8934439564015</v>
      </c>
      <c r="I396" s="2899">
        <v>0</v>
      </c>
      <c r="J396" s="2898">
        <v>0</v>
      </c>
      <c r="K396" s="2901">
        <v>8.1340491296567432</v>
      </c>
      <c r="L396" s="2898">
        <v>0</v>
      </c>
      <c r="M396" s="3243">
        <f t="shared" si="48"/>
        <v>8.1340491296567432</v>
      </c>
      <c r="N396" s="3244">
        <f t="shared" si="49"/>
        <v>0</v>
      </c>
      <c r="O396" s="2902">
        <v>0</v>
      </c>
      <c r="P396" s="2898">
        <v>0</v>
      </c>
      <c r="Q396" s="2586">
        <v>0</v>
      </c>
      <c r="R396" s="571">
        <v>123.02749308605824</v>
      </c>
      <c r="S396" s="2515">
        <f t="shared" si="50"/>
        <v>123.02749308605824</v>
      </c>
      <c r="T396" s="2515">
        <f t="shared" si="51"/>
        <v>0</v>
      </c>
    </row>
    <row r="397" spans="1:20" ht="15.75" customHeight="1" x14ac:dyDescent="0.25">
      <c r="A397" s="3031" t="s">
        <v>622</v>
      </c>
      <c r="B397" s="2575"/>
      <c r="C397" s="2575" t="s">
        <v>1092</v>
      </c>
      <c r="D397" s="2895">
        <v>233.85391247763135</v>
      </c>
      <c r="E397" s="2896">
        <v>0</v>
      </c>
      <c r="F397" s="2897">
        <v>0</v>
      </c>
      <c r="G397" s="2898">
        <v>0</v>
      </c>
      <c r="H397" s="566">
        <v>233.85391247763135</v>
      </c>
      <c r="I397" s="2899">
        <v>0</v>
      </c>
      <c r="J397" s="2898">
        <v>0</v>
      </c>
      <c r="K397" s="2901">
        <v>0</v>
      </c>
      <c r="L397" s="2898">
        <v>0</v>
      </c>
      <c r="M397" s="3243">
        <f t="shared" si="48"/>
        <v>0</v>
      </c>
      <c r="N397" s="3244">
        <f t="shared" si="49"/>
        <v>0</v>
      </c>
      <c r="O397" s="2902">
        <v>0</v>
      </c>
      <c r="P397" s="2898">
        <v>0</v>
      </c>
      <c r="Q397" s="2586">
        <v>0</v>
      </c>
      <c r="R397" s="571">
        <v>233.85391247763135</v>
      </c>
      <c r="S397" s="2515">
        <f t="shared" si="50"/>
        <v>233.85391247763135</v>
      </c>
      <c r="T397" s="2515">
        <f t="shared" si="51"/>
        <v>0</v>
      </c>
    </row>
    <row r="398" spans="1:20" ht="15.75" customHeight="1" x14ac:dyDescent="0.25">
      <c r="A398" s="3031" t="s">
        <v>623</v>
      </c>
      <c r="B398" s="2575"/>
      <c r="C398" s="2575" t="s">
        <v>1092</v>
      </c>
      <c r="D398" s="2895">
        <v>122.01073694485115</v>
      </c>
      <c r="E398" s="2896">
        <v>0</v>
      </c>
      <c r="F398" s="2897">
        <v>0</v>
      </c>
      <c r="G398" s="2898">
        <v>0</v>
      </c>
      <c r="H398" s="566">
        <v>122.01073694485115</v>
      </c>
      <c r="I398" s="2899">
        <v>0</v>
      </c>
      <c r="J398" s="2898">
        <v>0</v>
      </c>
      <c r="K398" s="2901">
        <v>26.435659671384414</v>
      </c>
      <c r="L398" s="2898">
        <v>0</v>
      </c>
      <c r="M398" s="3243">
        <f t="shared" si="48"/>
        <v>26.435659671384414</v>
      </c>
      <c r="N398" s="3244">
        <f t="shared" si="49"/>
        <v>0</v>
      </c>
      <c r="O398" s="2902">
        <v>0</v>
      </c>
      <c r="P398" s="2898">
        <v>0</v>
      </c>
      <c r="Q398" s="2586">
        <v>0</v>
      </c>
      <c r="R398" s="571">
        <v>148.44639661623557</v>
      </c>
      <c r="S398" s="2515">
        <f t="shared" si="50"/>
        <v>148.44639661623557</v>
      </c>
      <c r="T398" s="2515">
        <f t="shared" si="51"/>
        <v>0</v>
      </c>
    </row>
    <row r="399" spans="1:20" ht="15.75" customHeight="1" thickBot="1" x14ac:dyDescent="0.3">
      <c r="A399" s="3031" t="s">
        <v>624</v>
      </c>
      <c r="B399" s="2575"/>
      <c r="C399" s="3032" t="s">
        <v>1092</v>
      </c>
      <c r="D399" s="2895">
        <v>208.43500894745404</v>
      </c>
      <c r="E399" s="2896">
        <v>0</v>
      </c>
      <c r="F399" s="2897">
        <v>0</v>
      </c>
      <c r="G399" s="2898">
        <v>0</v>
      </c>
      <c r="H399" s="566">
        <v>208.43500894745404</v>
      </c>
      <c r="I399" s="2899">
        <v>0</v>
      </c>
      <c r="J399" s="2898">
        <v>0</v>
      </c>
      <c r="K399" s="2901">
        <v>34.569708801041159</v>
      </c>
      <c r="L399" s="2898">
        <v>0</v>
      </c>
      <c r="M399" s="3243">
        <f t="shared" si="48"/>
        <v>34.569708801041159</v>
      </c>
      <c r="N399" s="3244">
        <f t="shared" si="49"/>
        <v>0</v>
      </c>
      <c r="O399" s="2902">
        <v>0</v>
      </c>
      <c r="P399" s="2898">
        <v>0</v>
      </c>
      <c r="Q399" s="2586">
        <v>0</v>
      </c>
      <c r="R399" s="571">
        <v>243.00471774849518</v>
      </c>
      <c r="S399" s="2515">
        <f t="shared" si="50"/>
        <v>243.00471774849518</v>
      </c>
      <c r="T399" s="2515">
        <f t="shared" si="51"/>
        <v>0</v>
      </c>
    </row>
    <row r="400" spans="1:20" ht="15.75" customHeight="1" x14ac:dyDescent="0.25">
      <c r="A400" s="2659" t="s">
        <v>182</v>
      </c>
      <c r="B400" s="2659" t="s">
        <v>429</v>
      </c>
      <c r="C400" s="2659" t="s">
        <v>1106</v>
      </c>
      <c r="D400" s="2895">
        <v>50.599632657471098</v>
      </c>
      <c r="E400" s="2896">
        <v>283.30992425060924</v>
      </c>
      <c r="F400" s="2897">
        <v>0</v>
      </c>
      <c r="G400" s="2898">
        <v>20.035773880265545</v>
      </c>
      <c r="H400" s="566">
        <v>353.94533078834587</v>
      </c>
      <c r="I400" s="2899">
        <v>153.65961993253381</v>
      </c>
      <c r="J400" s="2898">
        <v>0</v>
      </c>
      <c r="K400" s="2901">
        <v>189.61357006518529</v>
      </c>
      <c r="L400" s="2898">
        <v>0</v>
      </c>
      <c r="M400" s="3243">
        <f t="shared" si="48"/>
        <v>343.2731899977191</v>
      </c>
      <c r="N400" s="3244">
        <f t="shared" si="49"/>
        <v>0</v>
      </c>
      <c r="O400" s="2902">
        <v>80.671300464580256</v>
      </c>
      <c r="P400" s="2898">
        <v>4.8378770963133695</v>
      </c>
      <c r="Q400" s="2586">
        <v>24.873650976578915</v>
      </c>
      <c r="R400" s="571">
        <v>782.72769834695862</v>
      </c>
      <c r="S400" s="2515">
        <f t="shared" si="50"/>
        <v>782.72769834695862</v>
      </c>
      <c r="T400" s="2515">
        <f t="shared" si="51"/>
        <v>0</v>
      </c>
    </row>
    <row r="401" spans="1:20" ht="15.75" customHeight="1" x14ac:dyDescent="0.25">
      <c r="A401" s="2659" t="s">
        <v>183</v>
      </c>
      <c r="B401" s="2659"/>
      <c r="C401" s="2659" t="s">
        <v>1106</v>
      </c>
      <c r="D401" s="2895">
        <v>70.827481062652311</v>
      </c>
      <c r="E401" s="2896">
        <v>216.08384053012568</v>
      </c>
      <c r="F401" s="2897">
        <v>9.4116517208676953</v>
      </c>
      <c r="G401" s="2898">
        <v>17.778898212506451</v>
      </c>
      <c r="H401" s="566">
        <v>314.10187152615214</v>
      </c>
      <c r="I401" s="2899">
        <v>228.08849833735488</v>
      </c>
      <c r="J401" s="2898">
        <v>0</v>
      </c>
      <c r="K401" s="2901">
        <v>191.94247367978772</v>
      </c>
      <c r="L401" s="2898">
        <v>0</v>
      </c>
      <c r="M401" s="3243">
        <f t="shared" si="48"/>
        <v>420.03097201714263</v>
      </c>
      <c r="N401" s="3244">
        <f t="shared" si="49"/>
        <v>0</v>
      </c>
      <c r="O401" s="2902">
        <v>80.671300464580256</v>
      </c>
      <c r="P401" s="2898">
        <v>4.8378770963133695</v>
      </c>
      <c r="Q401" s="2586">
        <v>22.616775308819822</v>
      </c>
      <c r="R401" s="571">
        <v>819.6420211041883</v>
      </c>
      <c r="S401" s="2515">
        <f t="shared" si="50"/>
        <v>819.6420211041883</v>
      </c>
      <c r="T401" s="2515">
        <f t="shared" si="51"/>
        <v>0</v>
      </c>
    </row>
    <row r="402" spans="1:20" ht="15.75" customHeight="1" x14ac:dyDescent="0.25">
      <c r="A402" s="2659" t="s">
        <v>184</v>
      </c>
      <c r="B402" s="2659"/>
      <c r="C402" s="2659" t="s">
        <v>1106</v>
      </c>
      <c r="D402" s="2895">
        <v>73.444496464628273</v>
      </c>
      <c r="E402" s="2896">
        <v>244.89501926747576</v>
      </c>
      <c r="F402" s="2897">
        <v>22.088570365301734</v>
      </c>
      <c r="G402" s="2898">
        <v>20.419922930096877</v>
      </c>
      <c r="H402" s="566">
        <v>360.84800902750266</v>
      </c>
      <c r="I402" s="2899">
        <v>164.4638119590401</v>
      </c>
      <c r="J402" s="2898">
        <v>0</v>
      </c>
      <c r="K402" s="2901">
        <v>336.7306514927792</v>
      </c>
      <c r="L402" s="2898">
        <v>0</v>
      </c>
      <c r="M402" s="3243">
        <f t="shared" si="48"/>
        <v>501.19446345181927</v>
      </c>
      <c r="N402" s="3244">
        <f t="shared" si="49"/>
        <v>0</v>
      </c>
      <c r="O402" s="2902">
        <v>80.671300464580256</v>
      </c>
      <c r="P402" s="2898">
        <v>4.8378770963133695</v>
      </c>
      <c r="Q402" s="2586">
        <v>25.257800026410248</v>
      </c>
      <c r="R402" s="571">
        <v>947.55165004021558</v>
      </c>
      <c r="S402" s="2515">
        <f t="shared" si="50"/>
        <v>947.55165004021558</v>
      </c>
      <c r="T402" s="2515">
        <f t="shared" si="51"/>
        <v>0</v>
      </c>
    </row>
    <row r="403" spans="1:20" ht="15.75" customHeight="1" x14ac:dyDescent="0.25">
      <c r="A403" s="2659" t="s">
        <v>185</v>
      </c>
      <c r="B403" s="2659"/>
      <c r="C403" s="2659" t="s">
        <v>1106</v>
      </c>
      <c r="D403" s="2895">
        <v>54.020960132531421</v>
      </c>
      <c r="E403" s="2896">
        <v>151.25868837108797</v>
      </c>
      <c r="F403" s="2897">
        <v>0</v>
      </c>
      <c r="G403" s="2898">
        <v>12.316778910217163</v>
      </c>
      <c r="H403" s="566">
        <v>217.59642741383655</v>
      </c>
      <c r="I403" s="2899">
        <v>264.10247175904249</v>
      </c>
      <c r="J403" s="2898">
        <v>0</v>
      </c>
      <c r="K403" s="2901">
        <v>230.77754168617423</v>
      </c>
      <c r="L403" s="2898">
        <v>0</v>
      </c>
      <c r="M403" s="3243">
        <f t="shared" si="48"/>
        <v>494.88001344521672</v>
      </c>
      <c r="N403" s="3244">
        <f t="shared" si="49"/>
        <v>0</v>
      </c>
      <c r="O403" s="2902">
        <v>80.671300464580256</v>
      </c>
      <c r="P403" s="2898">
        <v>4.8378770963133695</v>
      </c>
      <c r="Q403" s="2586">
        <v>17.154656006530534</v>
      </c>
      <c r="R403" s="571">
        <v>797.98561841994683</v>
      </c>
      <c r="S403" s="2515">
        <f t="shared" si="50"/>
        <v>797.98561841994683</v>
      </c>
      <c r="T403" s="2515">
        <f t="shared" si="51"/>
        <v>0</v>
      </c>
    </row>
    <row r="404" spans="1:20" ht="15.75" customHeight="1" thickBot="1" x14ac:dyDescent="0.3">
      <c r="A404" s="2659" t="s">
        <v>186</v>
      </c>
      <c r="B404" s="2659"/>
      <c r="C404" s="2659" t="s">
        <v>1106</v>
      </c>
      <c r="D404" s="2895">
        <v>84.560809594122517</v>
      </c>
      <c r="E404" s="2896">
        <v>110.80299156072556</v>
      </c>
      <c r="F404" s="2897">
        <v>0</v>
      </c>
      <c r="G404" s="2898">
        <v>11.716546019855704</v>
      </c>
      <c r="H404" s="566">
        <v>207.0803471747038</v>
      </c>
      <c r="I404" s="2899">
        <v>172.86707242410054</v>
      </c>
      <c r="J404" s="2898">
        <v>0</v>
      </c>
      <c r="K404" s="2901">
        <v>174.59574314834154</v>
      </c>
      <c r="L404" s="2898">
        <v>0</v>
      </c>
      <c r="M404" s="3243">
        <f t="shared" si="48"/>
        <v>347.46281557244208</v>
      </c>
      <c r="N404" s="3244">
        <f t="shared" si="49"/>
        <v>0</v>
      </c>
      <c r="O404" s="2902">
        <v>80.671300464580256</v>
      </c>
      <c r="P404" s="2898">
        <v>4.8378770963133695</v>
      </c>
      <c r="Q404" s="2586">
        <v>16.554423116169072</v>
      </c>
      <c r="R404" s="571">
        <v>640.05234030803945</v>
      </c>
      <c r="S404" s="2515">
        <f t="shared" si="50"/>
        <v>640.05234030803945</v>
      </c>
      <c r="T404" s="2515">
        <f t="shared" si="51"/>
        <v>0</v>
      </c>
    </row>
    <row r="405" spans="1:20" ht="15.75" customHeight="1" x14ac:dyDescent="0.25">
      <c r="A405" s="2865" t="s">
        <v>125</v>
      </c>
      <c r="B405" s="2837"/>
      <c r="C405" s="2689" t="s">
        <v>1112</v>
      </c>
      <c r="D405" s="2895">
        <v>299.6832546649556</v>
      </c>
      <c r="E405" s="2896">
        <v>0</v>
      </c>
      <c r="F405" s="2897">
        <v>0</v>
      </c>
      <c r="G405" s="2898">
        <v>74.859877664883683</v>
      </c>
      <c r="H405" s="566">
        <v>374.5431323298393</v>
      </c>
      <c r="I405" s="2899">
        <v>417.77722529136548</v>
      </c>
      <c r="J405" s="2898">
        <v>104.44430632284137</v>
      </c>
      <c r="K405" s="2901">
        <v>0</v>
      </c>
      <c r="L405" s="2898">
        <v>0</v>
      </c>
      <c r="M405" s="3243">
        <f t="shared" si="48"/>
        <v>417.77722529136548</v>
      </c>
      <c r="N405" s="3244">
        <f t="shared" si="49"/>
        <v>104.44430632284137</v>
      </c>
      <c r="O405" s="2902">
        <v>0</v>
      </c>
      <c r="P405" s="2898">
        <v>0</v>
      </c>
      <c r="Q405" s="2586">
        <v>179.30418398772505</v>
      </c>
      <c r="R405" s="571">
        <v>896.76466394404611</v>
      </c>
      <c r="S405" s="2515">
        <f t="shared" si="50"/>
        <v>896.76466394404611</v>
      </c>
      <c r="T405" s="2515">
        <f t="shared" si="51"/>
        <v>0</v>
      </c>
    </row>
    <row r="406" spans="1:20" ht="15.75" customHeight="1" x14ac:dyDescent="0.25">
      <c r="A406" s="2868" t="s">
        <v>126</v>
      </c>
      <c r="B406" s="2837" t="s">
        <v>429</v>
      </c>
      <c r="C406" s="2689" t="s">
        <v>1112</v>
      </c>
      <c r="D406" s="2895">
        <v>37.536576834813467</v>
      </c>
      <c r="E406" s="2896">
        <v>238.13789329618675</v>
      </c>
      <c r="F406" s="2897">
        <v>0</v>
      </c>
      <c r="G406" s="2898">
        <v>64.226545428398367</v>
      </c>
      <c r="H406" s="566">
        <v>339.90101555939856</v>
      </c>
      <c r="I406" s="2899">
        <v>357.32871194699055</v>
      </c>
      <c r="J406" s="2898">
        <v>94.024250091099319</v>
      </c>
      <c r="K406" s="2901">
        <v>0</v>
      </c>
      <c r="L406" s="2898">
        <v>0</v>
      </c>
      <c r="M406" s="3243">
        <f t="shared" si="48"/>
        <v>357.32871194699055</v>
      </c>
      <c r="N406" s="3244">
        <f t="shared" si="49"/>
        <v>94.024250091099319</v>
      </c>
      <c r="O406" s="2902">
        <v>0</v>
      </c>
      <c r="P406" s="2898">
        <v>0</v>
      </c>
      <c r="Q406" s="2586">
        <v>158.25079551949767</v>
      </c>
      <c r="R406" s="571">
        <v>791.25397759748842</v>
      </c>
      <c r="S406" s="2515">
        <f t="shared" si="50"/>
        <v>791.25397759748842</v>
      </c>
      <c r="T406" s="2515">
        <f t="shared" si="51"/>
        <v>0</v>
      </c>
    </row>
    <row r="407" spans="1:20" ht="15.75" customHeight="1" thickBot="1" x14ac:dyDescent="0.3">
      <c r="A407" s="2836" t="s">
        <v>127</v>
      </c>
      <c r="B407" s="2837"/>
      <c r="C407" s="2696" t="s">
        <v>1112</v>
      </c>
      <c r="D407" s="2895">
        <v>38.609050458665287</v>
      </c>
      <c r="E407" s="2896">
        <v>213.03226073783748</v>
      </c>
      <c r="F407" s="2897">
        <v>11.894707464538293</v>
      </c>
      <c r="G407" s="2898">
        <v>65.884004665260264</v>
      </c>
      <c r="H407" s="566">
        <v>329.4200233263013</v>
      </c>
      <c r="I407" s="2899">
        <v>272.9445372702865</v>
      </c>
      <c r="J407" s="2898">
        <v>68.236134317571626</v>
      </c>
      <c r="K407" s="2901">
        <v>0</v>
      </c>
      <c r="L407" s="2898">
        <v>0</v>
      </c>
      <c r="M407" s="3243">
        <f t="shared" si="48"/>
        <v>272.9445372702865</v>
      </c>
      <c r="N407" s="3244">
        <f t="shared" si="49"/>
        <v>68.236134317571626</v>
      </c>
      <c r="O407" s="2902">
        <v>0</v>
      </c>
      <c r="P407" s="2898">
        <v>0</v>
      </c>
      <c r="Q407" s="2586">
        <v>134.12013898283189</v>
      </c>
      <c r="R407" s="571">
        <v>670.60069491415948</v>
      </c>
      <c r="S407" s="2515">
        <f t="shared" si="50"/>
        <v>670.60069491415948</v>
      </c>
      <c r="T407" s="2515">
        <f t="shared" si="51"/>
        <v>0</v>
      </c>
    </row>
    <row r="408" spans="1:20" ht="15.75" customHeight="1" x14ac:dyDescent="0.25">
      <c r="A408" s="2865" t="s">
        <v>128</v>
      </c>
      <c r="B408" s="2837"/>
      <c r="C408" s="2689" t="s">
        <v>1114</v>
      </c>
      <c r="D408" s="2895">
        <v>0</v>
      </c>
      <c r="E408" s="2896">
        <v>274.2561448900388</v>
      </c>
      <c r="F408" s="2897">
        <v>0</v>
      </c>
      <c r="G408" s="2898">
        <v>21.940491591203102</v>
      </c>
      <c r="H408" s="566">
        <v>296.19663648124191</v>
      </c>
      <c r="I408" s="2899">
        <v>0</v>
      </c>
      <c r="J408" s="2898">
        <v>0</v>
      </c>
      <c r="K408" s="2901">
        <v>280.58071007618224</v>
      </c>
      <c r="L408" s="2898">
        <v>22.446456806094581</v>
      </c>
      <c r="M408" s="3243">
        <f t="shared" si="48"/>
        <v>280.58071007618224</v>
      </c>
      <c r="N408" s="3244">
        <f t="shared" si="49"/>
        <v>22.446456806094581</v>
      </c>
      <c r="O408" s="2902">
        <v>0</v>
      </c>
      <c r="P408" s="2898">
        <v>0</v>
      </c>
      <c r="Q408" s="2586">
        <v>44.386948397297687</v>
      </c>
      <c r="R408" s="571">
        <v>599.22380336351875</v>
      </c>
      <c r="S408" s="2515">
        <f t="shared" si="50"/>
        <v>599.22380336351875</v>
      </c>
      <c r="T408" s="2515">
        <f t="shared" si="51"/>
        <v>0</v>
      </c>
    </row>
    <row r="409" spans="1:20" ht="15.75" customHeight="1" x14ac:dyDescent="0.25">
      <c r="A409" s="2836" t="s">
        <v>891</v>
      </c>
      <c r="B409" s="2837" t="s">
        <v>429</v>
      </c>
      <c r="C409" s="2689" t="s">
        <v>1114</v>
      </c>
      <c r="D409" s="2895">
        <v>0</v>
      </c>
      <c r="E409" s="2896">
        <v>241.48339801638639</v>
      </c>
      <c r="F409" s="2897">
        <v>0</v>
      </c>
      <c r="G409" s="2898">
        <v>19.318671841310913</v>
      </c>
      <c r="H409" s="566">
        <v>260.80206985769729</v>
      </c>
      <c r="I409" s="2899">
        <v>0</v>
      </c>
      <c r="J409" s="2898">
        <v>0</v>
      </c>
      <c r="K409" s="2901">
        <v>369.12462268219059</v>
      </c>
      <c r="L409" s="2898">
        <v>29.529969814575249</v>
      </c>
      <c r="M409" s="3243">
        <f t="shared" si="48"/>
        <v>369.12462268219059</v>
      </c>
      <c r="N409" s="3244">
        <f t="shared" si="49"/>
        <v>29.529969814575249</v>
      </c>
      <c r="O409" s="2902">
        <v>0</v>
      </c>
      <c r="P409" s="2898">
        <v>0</v>
      </c>
      <c r="Q409" s="2586">
        <v>48.848641655886162</v>
      </c>
      <c r="R409" s="571">
        <v>659.45666235446311</v>
      </c>
      <c r="S409" s="2515">
        <f t="shared" si="50"/>
        <v>659.45666235446311</v>
      </c>
      <c r="T409" s="2515">
        <f t="shared" si="51"/>
        <v>0</v>
      </c>
    </row>
    <row r="410" spans="1:20" ht="15.75" customHeight="1" x14ac:dyDescent="0.25">
      <c r="A410" s="2868" t="s">
        <v>129</v>
      </c>
      <c r="B410" s="2837"/>
      <c r="C410" s="2689" t="s">
        <v>1114</v>
      </c>
      <c r="D410" s="2895">
        <v>0</v>
      </c>
      <c r="E410" s="2896">
        <v>257.58229121747883</v>
      </c>
      <c r="F410" s="2897">
        <v>0</v>
      </c>
      <c r="G410" s="2898">
        <v>20.606583297398306</v>
      </c>
      <c r="H410" s="566">
        <v>278.18887451487711</v>
      </c>
      <c r="I410" s="2899">
        <v>0</v>
      </c>
      <c r="J410" s="2898">
        <v>0</v>
      </c>
      <c r="K410" s="2901">
        <v>316.8032197786402</v>
      </c>
      <c r="L410" s="2898">
        <v>25.344257582291217</v>
      </c>
      <c r="M410" s="3243">
        <f t="shared" si="48"/>
        <v>316.8032197786402</v>
      </c>
      <c r="N410" s="3244">
        <f t="shared" si="49"/>
        <v>25.344257582291217</v>
      </c>
      <c r="O410" s="2902">
        <v>0</v>
      </c>
      <c r="P410" s="2898">
        <v>0</v>
      </c>
      <c r="Q410" s="2586">
        <v>45.950840879689522</v>
      </c>
      <c r="R410" s="571">
        <v>620.33635187580853</v>
      </c>
      <c r="S410" s="2515">
        <f t="shared" si="50"/>
        <v>620.33635187580853</v>
      </c>
      <c r="T410" s="2515">
        <f t="shared" si="51"/>
        <v>0</v>
      </c>
    </row>
    <row r="411" spans="1:20" ht="15.75" customHeight="1" x14ac:dyDescent="0.25">
      <c r="A411" s="2868" t="s">
        <v>130</v>
      </c>
      <c r="B411" s="2837"/>
      <c r="C411" s="2689" t="s">
        <v>1114</v>
      </c>
      <c r="D411" s="2895">
        <v>0</v>
      </c>
      <c r="E411" s="2896">
        <v>192.03679747017392</v>
      </c>
      <c r="F411" s="2897">
        <v>0</v>
      </c>
      <c r="G411" s="2898">
        <v>15.362943797613914</v>
      </c>
      <c r="H411" s="566">
        <v>207.39974126778785</v>
      </c>
      <c r="I411" s="2899">
        <v>0</v>
      </c>
      <c r="J411" s="2898">
        <v>0</v>
      </c>
      <c r="K411" s="2901">
        <v>319.10306166451056</v>
      </c>
      <c r="L411" s="2898">
        <v>25.528244933160845</v>
      </c>
      <c r="M411" s="3243">
        <f t="shared" si="48"/>
        <v>319.10306166451056</v>
      </c>
      <c r="N411" s="3244">
        <f t="shared" si="49"/>
        <v>25.528244933160845</v>
      </c>
      <c r="O411" s="2902">
        <v>0</v>
      </c>
      <c r="P411" s="2898">
        <v>0</v>
      </c>
      <c r="Q411" s="2586">
        <v>40.891188730774758</v>
      </c>
      <c r="R411" s="571">
        <v>552.0310478654593</v>
      </c>
      <c r="S411" s="2515">
        <f t="shared" si="50"/>
        <v>552.0310478654593</v>
      </c>
      <c r="T411" s="2515">
        <f t="shared" si="51"/>
        <v>0</v>
      </c>
    </row>
    <row r="412" spans="1:20" ht="15.75" customHeight="1" x14ac:dyDescent="0.25">
      <c r="A412" s="2868" t="s">
        <v>131</v>
      </c>
      <c r="B412" s="2837"/>
      <c r="C412" s="2689" t="s">
        <v>1114</v>
      </c>
      <c r="D412" s="2895">
        <v>0</v>
      </c>
      <c r="E412" s="2896">
        <v>194.33663935604429</v>
      </c>
      <c r="F412" s="2897">
        <v>0</v>
      </c>
      <c r="G412" s="2898">
        <v>15.546931148483541</v>
      </c>
      <c r="H412" s="566">
        <v>209.88357050452782</v>
      </c>
      <c r="I412" s="2899">
        <v>0</v>
      </c>
      <c r="J412" s="2898">
        <v>0</v>
      </c>
      <c r="K412" s="2901">
        <v>190.88687652723877</v>
      </c>
      <c r="L412" s="2898">
        <v>15.2709501221791</v>
      </c>
      <c r="M412" s="3243">
        <f t="shared" si="48"/>
        <v>190.88687652723877</v>
      </c>
      <c r="N412" s="3244">
        <f t="shared" si="49"/>
        <v>15.2709501221791</v>
      </c>
      <c r="O412" s="2902">
        <v>0</v>
      </c>
      <c r="P412" s="2898">
        <v>0</v>
      </c>
      <c r="Q412" s="2586">
        <v>30.817881270662639</v>
      </c>
      <c r="R412" s="571">
        <v>416.0413971539457</v>
      </c>
      <c r="S412" s="2515">
        <f t="shared" si="50"/>
        <v>416.0413971539457</v>
      </c>
      <c r="T412" s="2515">
        <f t="shared" si="51"/>
        <v>0</v>
      </c>
    </row>
    <row r="413" spans="1:20" ht="15.75" customHeight="1" thickBot="1" x14ac:dyDescent="0.3">
      <c r="A413" s="2936" t="s">
        <v>132</v>
      </c>
      <c r="B413" s="2837"/>
      <c r="C413" s="2689" t="s">
        <v>1114</v>
      </c>
      <c r="D413" s="2895">
        <v>0</v>
      </c>
      <c r="E413" s="2896">
        <v>169.61333908293804</v>
      </c>
      <c r="F413" s="2897">
        <v>0</v>
      </c>
      <c r="G413" s="2898">
        <v>13.569067126635044</v>
      </c>
      <c r="H413" s="566">
        <v>183.18240620957309</v>
      </c>
      <c r="I413" s="2899">
        <v>0</v>
      </c>
      <c r="J413" s="2898">
        <v>0</v>
      </c>
      <c r="K413" s="2901">
        <v>259.30717263188154</v>
      </c>
      <c r="L413" s="2898">
        <v>20.744573810550524</v>
      </c>
      <c r="M413" s="3243">
        <f t="shared" si="48"/>
        <v>259.30717263188154</v>
      </c>
      <c r="N413" s="3244">
        <f t="shared" si="49"/>
        <v>20.744573810550524</v>
      </c>
      <c r="O413" s="2902">
        <v>0</v>
      </c>
      <c r="P413" s="2898">
        <v>0</v>
      </c>
      <c r="Q413" s="2586">
        <v>34.313640937185568</v>
      </c>
      <c r="R413" s="571">
        <v>463.23415265200521</v>
      </c>
      <c r="S413" s="2515">
        <f t="shared" si="50"/>
        <v>463.23415265200521</v>
      </c>
      <c r="T413" s="2515">
        <f t="shared" si="51"/>
        <v>0</v>
      </c>
    </row>
    <row r="414" spans="1:20" ht="15.75" customHeight="1" x14ac:dyDescent="0.25">
      <c r="A414" s="2821" t="s">
        <v>133</v>
      </c>
      <c r="B414" s="2822" t="s">
        <v>429</v>
      </c>
      <c r="C414" s="2673" t="s">
        <v>1116</v>
      </c>
      <c r="D414" s="2895">
        <v>68.426549501206466</v>
      </c>
      <c r="E414" s="2896">
        <v>124.47629680315961</v>
      </c>
      <c r="F414" s="2897">
        <v>5.4261053288675996</v>
      </c>
      <c r="G414" s="2898">
        <v>11.896615886964142</v>
      </c>
      <c r="H414" s="566">
        <v>210.22556752019784</v>
      </c>
      <c r="I414" s="2899">
        <v>127.9216335938344</v>
      </c>
      <c r="J414" s="2898">
        <v>0</v>
      </c>
      <c r="K414" s="2901">
        <v>0</v>
      </c>
      <c r="L414" s="2898">
        <v>0</v>
      </c>
      <c r="M414" s="3243">
        <f t="shared" si="48"/>
        <v>127.9216335938344</v>
      </c>
      <c r="N414" s="3244">
        <f t="shared" si="49"/>
        <v>0</v>
      </c>
      <c r="O414" s="2902">
        <v>17.442767793904032</v>
      </c>
      <c r="P414" s="2898">
        <v>0</v>
      </c>
      <c r="Q414" s="2586">
        <v>11.896615886964142</v>
      </c>
      <c r="R414" s="571">
        <v>355.58996890793622</v>
      </c>
      <c r="S414" s="2515">
        <f t="shared" si="50"/>
        <v>355.58996890793622</v>
      </c>
      <c r="T414" s="2515">
        <f t="shared" si="51"/>
        <v>0</v>
      </c>
    </row>
    <row r="415" spans="1:20" ht="15.75" customHeight="1" x14ac:dyDescent="0.25">
      <c r="A415" s="2833" t="s">
        <v>134</v>
      </c>
      <c r="B415" s="2833"/>
      <c r="C415" s="2672" t="s">
        <v>1116</v>
      </c>
      <c r="D415" s="2895">
        <v>58.630748730507442</v>
      </c>
      <c r="E415" s="2896">
        <v>180.8621745237152</v>
      </c>
      <c r="F415" s="2897">
        <v>5.450114644482059</v>
      </c>
      <c r="G415" s="2898">
        <v>14.693701156048547</v>
      </c>
      <c r="H415" s="566">
        <v>259.63673905475321</v>
      </c>
      <c r="I415" s="2899">
        <v>213.47882978595695</v>
      </c>
      <c r="J415" s="2898">
        <v>0</v>
      </c>
      <c r="K415" s="2901">
        <v>0</v>
      </c>
      <c r="L415" s="2898">
        <v>0</v>
      </c>
      <c r="M415" s="3243">
        <f t="shared" si="48"/>
        <v>213.47882978595695</v>
      </c>
      <c r="N415" s="3244">
        <f t="shared" si="49"/>
        <v>0</v>
      </c>
      <c r="O415" s="2902">
        <v>0</v>
      </c>
      <c r="P415" s="2898"/>
      <c r="Q415" s="2586">
        <v>14.693701156048547</v>
      </c>
      <c r="R415" s="571">
        <v>473.11556884071013</v>
      </c>
      <c r="S415" s="2515">
        <f t="shared" si="50"/>
        <v>473.11556884071013</v>
      </c>
      <c r="T415" s="2515">
        <f t="shared" si="51"/>
        <v>0</v>
      </c>
    </row>
    <row r="416" spans="1:20" ht="15.75" customHeight="1" x14ac:dyDescent="0.25">
      <c r="A416" s="2833" t="s">
        <v>135</v>
      </c>
      <c r="B416" s="2833"/>
      <c r="C416" s="2672" t="s">
        <v>1116</v>
      </c>
      <c r="D416" s="2895">
        <v>49.963385793687948</v>
      </c>
      <c r="E416" s="2896">
        <v>189.39748622465518</v>
      </c>
      <c r="F416" s="2897">
        <v>4.8979003853495158</v>
      </c>
      <c r="G416" s="2898">
        <v>14.65768718262686</v>
      </c>
      <c r="H416" s="566">
        <v>258.91645958631949</v>
      </c>
      <c r="I416" s="2899">
        <v>105.73702596607482</v>
      </c>
      <c r="J416" s="2898">
        <v>6.3384593222170205</v>
      </c>
      <c r="K416" s="2901">
        <v>0</v>
      </c>
      <c r="L416" s="2898">
        <v>0</v>
      </c>
      <c r="M416" s="3243">
        <f t="shared" si="48"/>
        <v>105.73702596607482</v>
      </c>
      <c r="N416" s="3244">
        <f t="shared" si="49"/>
        <v>6.3384593222170205</v>
      </c>
      <c r="O416" s="2902">
        <v>0</v>
      </c>
      <c r="P416" s="2898">
        <v>0</v>
      </c>
      <c r="Q416" s="2586">
        <v>20.996146504843882</v>
      </c>
      <c r="R416" s="571">
        <v>370.99194487461136</v>
      </c>
      <c r="S416" s="2515">
        <f t="shared" si="50"/>
        <v>370.99194487461136</v>
      </c>
      <c r="T416" s="2515">
        <f t="shared" si="51"/>
        <v>0</v>
      </c>
    </row>
    <row r="417" spans="1:20" ht="15.75" customHeight="1" x14ac:dyDescent="0.25">
      <c r="A417" s="2833" t="s">
        <v>136</v>
      </c>
      <c r="B417" s="2833"/>
      <c r="C417" s="2672" t="s">
        <v>1116</v>
      </c>
      <c r="D417" s="2895">
        <v>45.749750903350495</v>
      </c>
      <c r="E417" s="2896">
        <v>210.83780506836652</v>
      </c>
      <c r="F417" s="2897">
        <v>6.0023289036146021</v>
      </c>
      <c r="G417" s="2898">
        <v>15.750111043084715</v>
      </c>
      <c r="H417" s="566">
        <v>278.33999591841632</v>
      </c>
      <c r="I417" s="2899">
        <v>218.91693977263179</v>
      </c>
      <c r="J417" s="2898">
        <v>0</v>
      </c>
      <c r="K417" s="2901">
        <v>0</v>
      </c>
      <c r="L417" s="2898">
        <v>0</v>
      </c>
      <c r="M417" s="3243">
        <f t="shared" si="48"/>
        <v>218.91693977263179</v>
      </c>
      <c r="N417" s="3244">
        <f t="shared" si="49"/>
        <v>0</v>
      </c>
      <c r="O417" s="2902">
        <v>0</v>
      </c>
      <c r="P417" s="2898">
        <v>0</v>
      </c>
      <c r="Q417" s="2586">
        <v>15.750111043084715</v>
      </c>
      <c r="R417" s="571">
        <v>497.25693569104811</v>
      </c>
      <c r="S417" s="2515">
        <f t="shared" si="50"/>
        <v>497.25693569104811</v>
      </c>
      <c r="T417" s="2515">
        <f t="shared" si="51"/>
        <v>0</v>
      </c>
    </row>
    <row r="418" spans="1:20" ht="15.75" customHeight="1" x14ac:dyDescent="0.25">
      <c r="A418" s="2833" t="s">
        <v>137</v>
      </c>
      <c r="B418" s="2833"/>
      <c r="C418" s="2672" t="s">
        <v>1116</v>
      </c>
      <c r="D418" s="2895">
        <v>67.190069747061855</v>
      </c>
      <c r="E418" s="2896">
        <v>134.9083444376418</v>
      </c>
      <c r="F418" s="2897">
        <v>4.1055929700723874</v>
      </c>
      <c r="G418" s="2898">
        <v>12.37680219925331</v>
      </c>
      <c r="H418" s="566">
        <v>218.58080935402936</v>
      </c>
      <c r="I418" s="2899">
        <v>171.4505228028475</v>
      </c>
      <c r="J418" s="2898">
        <v>0</v>
      </c>
      <c r="K418" s="2901">
        <v>0</v>
      </c>
      <c r="L418" s="2898">
        <v>0</v>
      </c>
      <c r="M418" s="3243">
        <f t="shared" si="48"/>
        <v>171.4505228028475</v>
      </c>
      <c r="N418" s="3244">
        <f t="shared" si="49"/>
        <v>0</v>
      </c>
      <c r="O418" s="2902">
        <v>0</v>
      </c>
      <c r="P418" s="2898">
        <v>0</v>
      </c>
      <c r="Q418" s="2586">
        <v>12.37680219925331</v>
      </c>
      <c r="R418" s="571">
        <v>390.03133215687683</v>
      </c>
      <c r="S418" s="2515">
        <f t="shared" si="50"/>
        <v>390.03133215687683</v>
      </c>
      <c r="T418" s="2515">
        <f t="shared" si="51"/>
        <v>0</v>
      </c>
    </row>
    <row r="419" spans="1:20" ht="15.75" customHeight="1" x14ac:dyDescent="0.25">
      <c r="A419" s="2833" t="s">
        <v>138</v>
      </c>
      <c r="B419" s="2833"/>
      <c r="C419" s="2672" t="s">
        <v>1116</v>
      </c>
      <c r="D419" s="2895">
        <v>56.181798537832677</v>
      </c>
      <c r="E419" s="2896">
        <v>163.26334617831719</v>
      </c>
      <c r="F419" s="2897">
        <v>5.8342636943133934</v>
      </c>
      <c r="G419" s="2898">
        <v>13.517244690940084</v>
      </c>
      <c r="H419" s="566">
        <v>238.79665310140334</v>
      </c>
      <c r="I419" s="2899">
        <v>160.04609788597975</v>
      </c>
      <c r="J419" s="2898">
        <v>9.6037262457833634</v>
      </c>
      <c r="K419" s="2901">
        <v>0</v>
      </c>
      <c r="L419" s="2898">
        <v>0</v>
      </c>
      <c r="M419" s="3243">
        <f t="shared" si="48"/>
        <v>160.04609788597975</v>
      </c>
      <c r="N419" s="3244">
        <f t="shared" si="49"/>
        <v>9.6037262457833634</v>
      </c>
      <c r="O419" s="2902">
        <v>0</v>
      </c>
      <c r="P419" s="2898">
        <v>0</v>
      </c>
      <c r="Q419" s="2586">
        <v>23.120970936723445</v>
      </c>
      <c r="R419" s="571">
        <v>408.44647723316643</v>
      </c>
      <c r="S419" s="2515">
        <f t="shared" si="50"/>
        <v>408.44647723316643</v>
      </c>
      <c r="T419" s="2515">
        <f t="shared" si="51"/>
        <v>0</v>
      </c>
    </row>
    <row r="420" spans="1:20" ht="15.75" customHeight="1" thickBot="1" x14ac:dyDescent="0.3">
      <c r="A420" s="2834" t="s">
        <v>139</v>
      </c>
      <c r="B420" s="2835"/>
      <c r="C420" s="2696" t="s">
        <v>1116</v>
      </c>
      <c r="D420" s="2895">
        <v>40.743808597735921</v>
      </c>
      <c r="E420" s="2896">
        <v>133.46778550077431</v>
      </c>
      <c r="F420" s="2897">
        <v>6.4344965846748536</v>
      </c>
      <c r="G420" s="2898">
        <v>10.840205999927971</v>
      </c>
      <c r="H420" s="566">
        <v>191.48629668311307</v>
      </c>
      <c r="I420" s="2899">
        <v>238.52054597183707</v>
      </c>
      <c r="J420" s="2898">
        <v>0</v>
      </c>
      <c r="K420" s="2901">
        <v>0</v>
      </c>
      <c r="L420" s="2898">
        <v>0</v>
      </c>
      <c r="M420" s="3243">
        <f t="shared" si="48"/>
        <v>238.52054597183707</v>
      </c>
      <c r="N420" s="3244">
        <f t="shared" si="49"/>
        <v>0</v>
      </c>
      <c r="O420" s="2902">
        <v>0</v>
      </c>
      <c r="P420" s="2898">
        <v>0</v>
      </c>
      <c r="Q420" s="2586">
        <v>10.840205999927971</v>
      </c>
      <c r="R420" s="571">
        <v>430.00684265495011</v>
      </c>
      <c r="S420" s="2515">
        <f t="shared" si="50"/>
        <v>430.00684265495011</v>
      </c>
      <c r="T420" s="2515">
        <f t="shared" si="51"/>
        <v>0</v>
      </c>
    </row>
    <row r="421" spans="1:20" ht="15.75" customHeight="1" x14ac:dyDescent="0.25">
      <c r="A421" s="3085" t="s">
        <v>869</v>
      </c>
      <c r="B421" s="3086"/>
      <c r="C421" s="3086" t="s">
        <v>1118</v>
      </c>
      <c r="D421" s="2895">
        <v>0</v>
      </c>
      <c r="E421" s="2896">
        <v>135.32844161323851</v>
      </c>
      <c r="F421" s="2897">
        <v>0</v>
      </c>
      <c r="G421" s="2898">
        <v>12.179559745191469</v>
      </c>
      <c r="H421" s="566">
        <v>147.50800135842996</v>
      </c>
      <c r="I421" s="2899">
        <v>0</v>
      </c>
      <c r="J421" s="2898">
        <v>0</v>
      </c>
      <c r="K421" s="2901">
        <v>143.56135060872072</v>
      </c>
      <c r="L421" s="2898">
        <v>27.276656615656936</v>
      </c>
      <c r="M421" s="3243">
        <f t="shared" si="48"/>
        <v>143.56135060872072</v>
      </c>
      <c r="N421" s="3244">
        <f t="shared" si="49"/>
        <v>27.276656615656936</v>
      </c>
      <c r="O421" s="2902">
        <v>0</v>
      </c>
      <c r="P421" s="2898">
        <v>0</v>
      </c>
      <c r="Q421" s="2586">
        <v>39.456216360848401</v>
      </c>
      <c r="R421" s="571">
        <v>318.3460085828076</v>
      </c>
      <c r="S421" s="2515">
        <f t="shared" si="50"/>
        <v>318.3460085828076</v>
      </c>
      <c r="T421" s="2515">
        <f t="shared" si="51"/>
        <v>0</v>
      </c>
    </row>
    <row r="422" spans="1:20" ht="15.75" customHeight="1" x14ac:dyDescent="0.25">
      <c r="A422" s="3085" t="s">
        <v>189</v>
      </c>
      <c r="B422" s="3086"/>
      <c r="C422" s="3086" t="s">
        <v>1118</v>
      </c>
      <c r="D422" s="2895">
        <v>0</v>
      </c>
      <c r="E422" s="2896">
        <v>164.65817990964382</v>
      </c>
      <c r="F422" s="2897">
        <v>0</v>
      </c>
      <c r="G422" s="2898">
        <v>14.819236191867946</v>
      </c>
      <c r="H422" s="566">
        <v>179.47741610151178</v>
      </c>
      <c r="I422" s="2899">
        <v>0</v>
      </c>
      <c r="J422" s="2898">
        <v>0</v>
      </c>
      <c r="K422" s="2901">
        <v>92.620226199174652</v>
      </c>
      <c r="L422" s="2898">
        <v>17.597842977843186</v>
      </c>
      <c r="M422" s="3243">
        <f t="shared" si="48"/>
        <v>92.620226199174652</v>
      </c>
      <c r="N422" s="3244">
        <f t="shared" si="49"/>
        <v>17.597842977843186</v>
      </c>
      <c r="O422" s="2902">
        <v>0</v>
      </c>
      <c r="P422" s="2898">
        <v>0</v>
      </c>
      <c r="Q422" s="2586">
        <v>32.41707916971113</v>
      </c>
      <c r="R422" s="571">
        <v>289.69548527852959</v>
      </c>
      <c r="S422" s="2515">
        <f t="shared" si="50"/>
        <v>289.69548527852959</v>
      </c>
      <c r="T422" s="2515">
        <f t="shared" si="51"/>
        <v>0</v>
      </c>
    </row>
    <row r="423" spans="1:20" ht="15.75" customHeight="1" x14ac:dyDescent="0.25">
      <c r="A423" s="3085" t="s">
        <v>190</v>
      </c>
      <c r="B423" s="3086"/>
      <c r="C423" s="3086" t="s">
        <v>1118</v>
      </c>
      <c r="D423" s="2895">
        <v>0</v>
      </c>
      <c r="E423" s="2896">
        <v>191.41513414496094</v>
      </c>
      <c r="F423" s="2897">
        <v>0</v>
      </c>
      <c r="G423" s="2898">
        <v>17.227362073046486</v>
      </c>
      <c r="H423" s="566">
        <v>208.64249621800744</v>
      </c>
      <c r="I423" s="2899">
        <v>0</v>
      </c>
      <c r="J423" s="2898">
        <v>0</v>
      </c>
      <c r="K423" s="2901">
        <v>132.2411007399327</v>
      </c>
      <c r="L423" s="2898">
        <v>25.125809140587211</v>
      </c>
      <c r="M423" s="3243">
        <f t="shared" si="48"/>
        <v>132.2411007399327</v>
      </c>
      <c r="N423" s="3244">
        <f t="shared" si="49"/>
        <v>25.125809140587211</v>
      </c>
      <c r="O423" s="2902">
        <v>0</v>
      </c>
      <c r="P423" s="2898">
        <v>0</v>
      </c>
      <c r="Q423" s="2586">
        <v>42.353171213633701</v>
      </c>
      <c r="R423" s="571">
        <v>366.00940609852734</v>
      </c>
      <c r="S423" s="2515">
        <f t="shared" si="50"/>
        <v>366.00940609852734</v>
      </c>
      <c r="T423" s="2515">
        <f t="shared" si="51"/>
        <v>0</v>
      </c>
    </row>
    <row r="424" spans="1:20" ht="15.75" customHeight="1" x14ac:dyDescent="0.25">
      <c r="A424" s="2659" t="s">
        <v>191</v>
      </c>
      <c r="B424" s="3086"/>
      <c r="C424" s="3086" t="s">
        <v>1118</v>
      </c>
      <c r="D424" s="2895">
        <v>0</v>
      </c>
      <c r="E424" s="2896">
        <v>146.64869148202655</v>
      </c>
      <c r="F424" s="2897">
        <v>0</v>
      </c>
      <c r="G424" s="2898">
        <v>13.198382233382388</v>
      </c>
      <c r="H424" s="566">
        <v>159.84707371540892</v>
      </c>
      <c r="I424" s="2899">
        <v>0</v>
      </c>
      <c r="J424" s="2898">
        <v>0</v>
      </c>
      <c r="K424" s="2901">
        <v>146.1341346698089</v>
      </c>
      <c r="L424" s="2898">
        <v>27.76548558726369</v>
      </c>
      <c r="M424" s="3243">
        <f t="shared" si="48"/>
        <v>146.1341346698089</v>
      </c>
      <c r="N424" s="3244">
        <f t="shared" si="49"/>
        <v>27.76548558726369</v>
      </c>
      <c r="O424" s="2902">
        <v>0</v>
      </c>
      <c r="P424" s="2898">
        <v>0</v>
      </c>
      <c r="Q424" s="2586">
        <v>40.96386782064608</v>
      </c>
      <c r="R424" s="571">
        <v>333.74669397248152</v>
      </c>
      <c r="S424" s="2515">
        <f t="shared" si="50"/>
        <v>333.74669397248152</v>
      </c>
      <c r="T424" s="2515">
        <f t="shared" si="51"/>
        <v>0</v>
      </c>
    </row>
    <row r="425" spans="1:20" ht="15.75" customHeight="1" x14ac:dyDescent="0.25">
      <c r="A425" s="2659" t="s">
        <v>218</v>
      </c>
      <c r="B425" s="3086"/>
      <c r="C425" s="3086" t="s">
        <v>1118</v>
      </c>
      <c r="D425" s="2895">
        <v>0</v>
      </c>
      <c r="E425" s="2896">
        <v>206.85183851149006</v>
      </c>
      <c r="F425" s="2897">
        <v>0</v>
      </c>
      <c r="G425" s="2898">
        <v>18.616665466034107</v>
      </c>
      <c r="H425" s="566">
        <v>225.46850397752416</v>
      </c>
      <c r="I425" s="2899">
        <v>0</v>
      </c>
      <c r="J425" s="2898">
        <v>0</v>
      </c>
      <c r="K425" s="2901">
        <v>124.52274855666815</v>
      </c>
      <c r="L425" s="2898">
        <v>23.659322225766946</v>
      </c>
      <c r="M425" s="3243">
        <f t="shared" si="48"/>
        <v>124.52274855666815</v>
      </c>
      <c r="N425" s="3244">
        <f t="shared" si="49"/>
        <v>23.659322225766946</v>
      </c>
      <c r="O425" s="2902">
        <v>0</v>
      </c>
      <c r="P425" s="2898">
        <v>0</v>
      </c>
      <c r="Q425" s="2586">
        <v>42.275987691801049</v>
      </c>
      <c r="R425" s="571">
        <v>373.65057475995928</v>
      </c>
      <c r="S425" s="2515">
        <f t="shared" si="50"/>
        <v>373.65057475995928</v>
      </c>
      <c r="T425" s="2515">
        <f t="shared" si="51"/>
        <v>0</v>
      </c>
    </row>
    <row r="426" spans="1:20" ht="15.75" customHeight="1" x14ac:dyDescent="0.25">
      <c r="A426" s="2710" t="s">
        <v>219</v>
      </c>
      <c r="B426" s="3088"/>
      <c r="C426" s="3086" t="s">
        <v>1118</v>
      </c>
      <c r="D426" s="2895">
        <v>0</v>
      </c>
      <c r="E426" s="2896">
        <v>158.48349816303218</v>
      </c>
      <c r="F426" s="2897">
        <v>0</v>
      </c>
      <c r="G426" s="2898">
        <v>14.263514834672897</v>
      </c>
      <c r="H426" s="566">
        <v>172.74701299770507</v>
      </c>
      <c r="I426" s="2899">
        <v>0</v>
      </c>
      <c r="J426" s="2898">
        <v>0</v>
      </c>
      <c r="K426" s="2901">
        <v>109.60060100235667</v>
      </c>
      <c r="L426" s="2898">
        <v>20.824114190447766</v>
      </c>
      <c r="M426" s="3243">
        <f t="shared" si="48"/>
        <v>109.60060100235667</v>
      </c>
      <c r="N426" s="3244">
        <f t="shared" si="49"/>
        <v>20.824114190447766</v>
      </c>
      <c r="O426" s="2902">
        <v>0</v>
      </c>
      <c r="P426" s="2898">
        <v>0</v>
      </c>
      <c r="Q426" s="2586">
        <v>35.087629025120663</v>
      </c>
      <c r="R426" s="571">
        <v>303.1717281905095</v>
      </c>
      <c r="S426" s="2515">
        <f t="shared" si="50"/>
        <v>303.1717281905095</v>
      </c>
      <c r="T426" s="2515">
        <f t="shared" si="51"/>
        <v>0</v>
      </c>
    </row>
    <row r="427" spans="1:20" ht="15.75" customHeight="1" x14ac:dyDescent="0.25">
      <c r="A427" s="2710" t="s">
        <v>513</v>
      </c>
      <c r="B427" s="3088"/>
      <c r="C427" s="3086" t="s">
        <v>1118</v>
      </c>
      <c r="D427" s="2895">
        <v>0</v>
      </c>
      <c r="E427" s="2896">
        <v>210.45373619701351</v>
      </c>
      <c r="F427" s="2897">
        <v>0</v>
      </c>
      <c r="G427" s="2898">
        <v>18.940836257731217</v>
      </c>
      <c r="H427" s="566">
        <v>229.39457245474472</v>
      </c>
      <c r="I427" s="2899">
        <v>0</v>
      </c>
      <c r="J427" s="2898">
        <v>0</v>
      </c>
      <c r="K427" s="2901">
        <v>186.78412283500222</v>
      </c>
      <c r="L427" s="2898">
        <v>35.488983338650421</v>
      </c>
      <c r="M427" s="3243">
        <f t="shared" ref="M427:M488" si="52">I427+K427</f>
        <v>186.78412283500222</v>
      </c>
      <c r="N427" s="3244">
        <f t="shared" ref="N427:N488" si="53">J427+L427</f>
        <v>35.488983338650421</v>
      </c>
      <c r="O427" s="2902">
        <v>0</v>
      </c>
      <c r="P427" s="2898">
        <v>0</v>
      </c>
      <c r="Q427" s="2586">
        <v>54.429819596381634</v>
      </c>
      <c r="R427" s="571">
        <v>451.66767862839737</v>
      </c>
      <c r="S427" s="2515">
        <f t="shared" ref="S427:S488" si="54">H427+M427+N427+O427+P427</f>
        <v>451.66767862839737</v>
      </c>
      <c r="T427" s="2515">
        <f t="shared" ref="T427:T490" si="55">R427-S427</f>
        <v>0</v>
      </c>
    </row>
    <row r="428" spans="1:20" ht="15.75" customHeight="1" x14ac:dyDescent="0.25">
      <c r="A428" s="2710" t="s">
        <v>514</v>
      </c>
      <c r="B428" s="3088"/>
      <c r="C428" s="3086" t="s">
        <v>1118</v>
      </c>
      <c r="D428" s="2895">
        <v>0</v>
      </c>
      <c r="E428" s="2896">
        <v>164.65817990964382</v>
      </c>
      <c r="F428" s="2897">
        <v>0</v>
      </c>
      <c r="G428" s="2898">
        <v>14.819236191867946</v>
      </c>
      <c r="H428" s="566">
        <v>179.47741610151178</v>
      </c>
      <c r="I428" s="2899">
        <v>0</v>
      </c>
      <c r="J428" s="2898">
        <v>0</v>
      </c>
      <c r="K428" s="2901">
        <v>165.17273672186147</v>
      </c>
      <c r="L428" s="2898">
        <v>31.38281997715368</v>
      </c>
      <c r="M428" s="3243">
        <f t="shared" si="52"/>
        <v>165.17273672186147</v>
      </c>
      <c r="N428" s="3244">
        <f t="shared" si="53"/>
        <v>31.38281997715368</v>
      </c>
      <c r="O428" s="2902">
        <v>0</v>
      </c>
      <c r="P428" s="2898">
        <v>0</v>
      </c>
      <c r="Q428" s="2586">
        <v>46.202056169021624</v>
      </c>
      <c r="R428" s="571">
        <v>376.03297280052692</v>
      </c>
      <c r="S428" s="2515">
        <f t="shared" si="54"/>
        <v>376.03297280052692</v>
      </c>
      <c r="T428" s="2515">
        <f t="shared" si="55"/>
        <v>0</v>
      </c>
    </row>
    <row r="429" spans="1:20" ht="15.75" customHeight="1" x14ac:dyDescent="0.25">
      <c r="A429" s="2710" t="s">
        <v>515</v>
      </c>
      <c r="B429" s="3088"/>
      <c r="C429" s="3086" t="s">
        <v>1118</v>
      </c>
      <c r="D429" s="2895">
        <v>0</v>
      </c>
      <c r="E429" s="2896">
        <v>190.90057733274332</v>
      </c>
      <c r="F429" s="2897">
        <v>0</v>
      </c>
      <c r="G429" s="2898">
        <v>17.181051959946899</v>
      </c>
      <c r="H429" s="566">
        <v>208.08162929269022</v>
      </c>
      <c r="I429" s="2899">
        <v>0</v>
      </c>
      <c r="J429" s="2898">
        <v>0</v>
      </c>
      <c r="K429" s="2901">
        <v>142.0176801720678</v>
      </c>
      <c r="L429" s="2898">
        <v>26.98335923269288</v>
      </c>
      <c r="M429" s="3243">
        <f t="shared" si="52"/>
        <v>142.0176801720678</v>
      </c>
      <c r="N429" s="3244">
        <f t="shared" si="53"/>
        <v>26.98335923269288</v>
      </c>
      <c r="O429" s="2902">
        <v>0</v>
      </c>
      <c r="P429" s="2898">
        <v>0</v>
      </c>
      <c r="Q429" s="2586">
        <v>44.164411192639776</v>
      </c>
      <c r="R429" s="571">
        <v>377.08266869745086</v>
      </c>
      <c r="S429" s="2515">
        <f t="shared" si="54"/>
        <v>377.08266869745086</v>
      </c>
      <c r="T429" s="2515">
        <f t="shared" si="55"/>
        <v>0</v>
      </c>
    </row>
    <row r="430" spans="1:20" ht="15.75" customHeight="1" x14ac:dyDescent="0.25">
      <c r="A430" s="2710" t="s">
        <v>516</v>
      </c>
      <c r="B430" s="3088"/>
      <c r="C430" s="3086" t="s">
        <v>1118</v>
      </c>
      <c r="D430" s="2895">
        <v>0</v>
      </c>
      <c r="E430" s="2896">
        <v>238.75436086898355</v>
      </c>
      <c r="F430" s="2897">
        <v>0</v>
      </c>
      <c r="G430" s="2898">
        <v>21.487892478208519</v>
      </c>
      <c r="H430" s="566">
        <v>260.24225334719205</v>
      </c>
      <c r="I430" s="2899">
        <v>0</v>
      </c>
      <c r="J430" s="2898">
        <v>0</v>
      </c>
      <c r="K430" s="2901">
        <v>133.78477117658562</v>
      </c>
      <c r="L430" s="2898">
        <v>25.419106523551264</v>
      </c>
      <c r="M430" s="3243">
        <f t="shared" si="52"/>
        <v>133.78477117658562</v>
      </c>
      <c r="N430" s="3244">
        <f t="shared" si="53"/>
        <v>25.419106523551264</v>
      </c>
      <c r="O430" s="2902">
        <v>0</v>
      </c>
      <c r="P430" s="2898">
        <v>0</v>
      </c>
      <c r="Q430" s="2586">
        <v>46.906999001759786</v>
      </c>
      <c r="R430" s="571">
        <v>419.44613104732889</v>
      </c>
      <c r="S430" s="2515">
        <f t="shared" si="54"/>
        <v>419.44613104732889</v>
      </c>
      <c r="T430" s="2515">
        <f t="shared" si="55"/>
        <v>0</v>
      </c>
    </row>
    <row r="431" spans="1:20" ht="15.75" customHeight="1" x14ac:dyDescent="0.25">
      <c r="A431" s="2710" t="s">
        <v>875</v>
      </c>
      <c r="B431" s="3088"/>
      <c r="C431" s="3086" t="s">
        <v>1118</v>
      </c>
      <c r="D431" s="2895">
        <v>0</v>
      </c>
      <c r="E431" s="2896">
        <v>180.09488427617293</v>
      </c>
      <c r="F431" s="2897">
        <v>0</v>
      </c>
      <c r="G431" s="2898">
        <v>16.208539584855565</v>
      </c>
      <c r="H431" s="566">
        <v>196.30342386102851</v>
      </c>
      <c r="I431" s="2899">
        <v>0</v>
      </c>
      <c r="J431" s="2898">
        <v>0</v>
      </c>
      <c r="K431" s="2901">
        <v>152.82337322863819</v>
      </c>
      <c r="L431" s="2898">
        <v>29.036440913441254</v>
      </c>
      <c r="M431" s="3243">
        <f t="shared" si="52"/>
        <v>152.82337322863819</v>
      </c>
      <c r="N431" s="3244">
        <f t="shared" si="53"/>
        <v>29.036440913441254</v>
      </c>
      <c r="O431" s="2902">
        <v>0</v>
      </c>
      <c r="P431" s="2898">
        <v>0</v>
      </c>
      <c r="Q431" s="2586">
        <v>45.244980498296819</v>
      </c>
      <c r="R431" s="571">
        <v>378.16323800310795</v>
      </c>
      <c r="S431" s="2515">
        <f t="shared" si="54"/>
        <v>378.16323800310795</v>
      </c>
      <c r="T431" s="2515">
        <f t="shared" si="55"/>
        <v>0</v>
      </c>
    </row>
    <row r="432" spans="1:20" ht="15.75" customHeight="1" x14ac:dyDescent="0.25">
      <c r="A432" s="2710" t="s">
        <v>517</v>
      </c>
      <c r="B432" s="3088"/>
      <c r="C432" s="3086" t="s">
        <v>1118</v>
      </c>
      <c r="D432" s="2895">
        <v>0</v>
      </c>
      <c r="E432" s="2896">
        <v>177.00754340286713</v>
      </c>
      <c r="F432" s="2897">
        <v>0</v>
      </c>
      <c r="G432" s="2898">
        <v>15.930678906258041</v>
      </c>
      <c r="H432" s="566">
        <v>192.93822230912517</v>
      </c>
      <c r="I432" s="2899">
        <v>0</v>
      </c>
      <c r="J432" s="2898">
        <v>0</v>
      </c>
      <c r="K432" s="2901">
        <v>153.85248685307346</v>
      </c>
      <c r="L432" s="2898">
        <v>29.231972502083959</v>
      </c>
      <c r="M432" s="3243">
        <f t="shared" si="52"/>
        <v>153.85248685307346</v>
      </c>
      <c r="N432" s="3244">
        <f t="shared" si="53"/>
        <v>29.231972502083959</v>
      </c>
      <c r="O432" s="2902">
        <v>0</v>
      </c>
      <c r="P432" s="2898">
        <v>0</v>
      </c>
      <c r="Q432" s="2586">
        <v>45.162651408342001</v>
      </c>
      <c r="R432" s="571">
        <v>376.02268166428257</v>
      </c>
      <c r="S432" s="2515">
        <f t="shared" si="54"/>
        <v>376.02268166428257</v>
      </c>
      <c r="T432" s="2515">
        <f t="shared" si="55"/>
        <v>0</v>
      </c>
    </row>
    <row r="433" spans="1:20" ht="15.75" customHeight="1" x14ac:dyDescent="0.25">
      <c r="A433" s="2710" t="s">
        <v>873</v>
      </c>
      <c r="B433" s="2700"/>
      <c r="C433" s="2700" t="s">
        <v>1118</v>
      </c>
      <c r="D433" s="2895">
        <v>0</v>
      </c>
      <c r="E433" s="2896">
        <v>196.56070226713732</v>
      </c>
      <c r="F433" s="2897">
        <v>0</v>
      </c>
      <c r="G433" s="2898">
        <v>17.690463204042359</v>
      </c>
      <c r="H433" s="566">
        <v>214.25116547117966</v>
      </c>
      <c r="I433" s="2899">
        <v>0</v>
      </c>
      <c r="J433" s="2898">
        <v>0</v>
      </c>
      <c r="K433" s="2901">
        <v>78.212635457080822</v>
      </c>
      <c r="L433" s="2898">
        <v>14.860400736845355</v>
      </c>
      <c r="M433" s="3243">
        <f t="shared" si="52"/>
        <v>78.212635457080822</v>
      </c>
      <c r="N433" s="3244">
        <f t="shared" si="53"/>
        <v>14.860400736845355</v>
      </c>
      <c r="O433" s="2902">
        <v>0</v>
      </c>
      <c r="P433" s="2898">
        <v>0</v>
      </c>
      <c r="Q433" s="2586">
        <v>32.550863940887716</v>
      </c>
      <c r="R433" s="571">
        <v>307.32420166510582</v>
      </c>
      <c r="S433" s="2515">
        <f t="shared" si="54"/>
        <v>307.32420166510582</v>
      </c>
      <c r="T433" s="2515">
        <f t="shared" si="55"/>
        <v>0</v>
      </c>
    </row>
    <row r="434" spans="1:20" ht="15.75" customHeight="1" x14ac:dyDescent="0.25">
      <c r="A434" s="3090" t="s">
        <v>520</v>
      </c>
      <c r="B434" s="2700"/>
      <c r="C434" s="2700" t="s">
        <v>1118</v>
      </c>
      <c r="D434" s="2895">
        <v>0</v>
      </c>
      <c r="E434" s="2896">
        <v>164.1436230974262</v>
      </c>
      <c r="F434" s="2897">
        <v>0</v>
      </c>
      <c r="G434" s="2898">
        <v>14.772926078768357</v>
      </c>
      <c r="H434" s="566">
        <v>178.91654917619456</v>
      </c>
      <c r="I434" s="2899">
        <v>0</v>
      </c>
      <c r="J434" s="2898">
        <v>0</v>
      </c>
      <c r="K434" s="2901">
        <v>157.96894135081456</v>
      </c>
      <c r="L434" s="2898">
        <v>30.014098856654762</v>
      </c>
      <c r="M434" s="3243">
        <f t="shared" si="52"/>
        <v>157.96894135081456</v>
      </c>
      <c r="N434" s="3244">
        <f t="shared" si="53"/>
        <v>30.014098856654762</v>
      </c>
      <c r="O434" s="2902">
        <v>0</v>
      </c>
      <c r="P434" s="2898">
        <v>0</v>
      </c>
      <c r="Q434" s="2586">
        <v>44.787024935423119</v>
      </c>
      <c r="R434" s="571">
        <v>366.89958938366385</v>
      </c>
      <c r="S434" s="2515">
        <f t="shared" si="54"/>
        <v>366.89958938366385</v>
      </c>
      <c r="T434" s="2515">
        <f t="shared" si="55"/>
        <v>0</v>
      </c>
    </row>
    <row r="435" spans="1:20" ht="15.75" customHeight="1" x14ac:dyDescent="0.25">
      <c r="A435" s="3090" t="s">
        <v>597</v>
      </c>
      <c r="B435" s="2700"/>
      <c r="C435" s="2700" t="s">
        <v>1118</v>
      </c>
      <c r="D435" s="2895">
        <v>0</v>
      </c>
      <c r="E435" s="2896">
        <v>210.96829300923116</v>
      </c>
      <c r="F435" s="2897">
        <v>0</v>
      </c>
      <c r="G435" s="2898">
        <v>18.987146370830803</v>
      </c>
      <c r="H435" s="566">
        <v>229.95543938006196</v>
      </c>
      <c r="I435" s="2899">
        <v>0</v>
      </c>
      <c r="J435" s="2898">
        <v>0</v>
      </c>
      <c r="K435" s="2901">
        <v>148.70691873089709</v>
      </c>
      <c r="L435" s="2898">
        <v>28.254314558870444</v>
      </c>
      <c r="M435" s="3243">
        <f t="shared" si="52"/>
        <v>148.70691873089709</v>
      </c>
      <c r="N435" s="3244">
        <f t="shared" si="53"/>
        <v>28.254314558870444</v>
      </c>
      <c r="O435" s="2902">
        <v>0</v>
      </c>
      <c r="P435" s="2898">
        <v>0</v>
      </c>
      <c r="Q435" s="2586">
        <v>47.241460929701248</v>
      </c>
      <c r="R435" s="571">
        <v>406.9166726698295</v>
      </c>
      <c r="S435" s="2515">
        <f t="shared" si="54"/>
        <v>406.9166726698295</v>
      </c>
      <c r="T435" s="2515">
        <f t="shared" si="55"/>
        <v>0</v>
      </c>
    </row>
    <row r="436" spans="1:20" ht="15.75" customHeight="1" x14ac:dyDescent="0.25">
      <c r="A436" s="3090" t="s">
        <v>860</v>
      </c>
      <c r="B436" s="2700" t="s">
        <v>429</v>
      </c>
      <c r="C436" s="2700" t="s">
        <v>1118</v>
      </c>
      <c r="D436" s="2895">
        <v>0</v>
      </c>
      <c r="E436" s="2896">
        <v>170.31830484403784</v>
      </c>
      <c r="F436" s="2897">
        <v>0</v>
      </c>
      <c r="G436" s="2898">
        <v>15.328647435963404</v>
      </c>
      <c r="H436" s="566">
        <v>185.64695228000124</v>
      </c>
      <c r="I436" s="2899">
        <v>0</v>
      </c>
      <c r="J436" s="2898">
        <v>0</v>
      </c>
      <c r="K436" s="2901">
        <v>89.532885325868833</v>
      </c>
      <c r="L436" s="2898">
        <v>17.011248211915078</v>
      </c>
      <c r="M436" s="3243">
        <f t="shared" si="52"/>
        <v>89.532885325868833</v>
      </c>
      <c r="N436" s="3244">
        <f t="shared" si="53"/>
        <v>17.011248211915078</v>
      </c>
      <c r="O436" s="2902">
        <v>0</v>
      </c>
      <c r="P436" s="2898">
        <v>0</v>
      </c>
      <c r="Q436" s="2586">
        <v>32.339895647878478</v>
      </c>
      <c r="R436" s="571">
        <v>292.19108581778517</v>
      </c>
      <c r="S436" s="2515">
        <f t="shared" si="54"/>
        <v>292.19108581778517</v>
      </c>
      <c r="T436" s="2515">
        <f t="shared" si="55"/>
        <v>0</v>
      </c>
    </row>
    <row r="437" spans="1:20" ht="15.75" customHeight="1" x14ac:dyDescent="0.25">
      <c r="A437" s="3090" t="s">
        <v>769</v>
      </c>
      <c r="B437" s="2700"/>
      <c r="C437" s="2700" t="s">
        <v>1118</v>
      </c>
      <c r="D437" s="2895">
        <v>0</v>
      </c>
      <c r="E437" s="2896">
        <v>179.06577065173767</v>
      </c>
      <c r="F437" s="2897">
        <v>0</v>
      </c>
      <c r="G437" s="2898">
        <v>16.115919358656392</v>
      </c>
      <c r="H437" s="566">
        <v>195.18169001039405</v>
      </c>
      <c r="I437" s="2899">
        <v>0</v>
      </c>
      <c r="J437" s="2898">
        <v>0</v>
      </c>
      <c r="K437" s="2901">
        <v>142.0176801720678</v>
      </c>
      <c r="L437" s="2898">
        <v>26.98335923269288</v>
      </c>
      <c r="M437" s="3243">
        <f t="shared" si="52"/>
        <v>142.0176801720678</v>
      </c>
      <c r="N437" s="3244">
        <f t="shared" si="53"/>
        <v>26.98335923269288</v>
      </c>
      <c r="O437" s="2902">
        <v>0</v>
      </c>
      <c r="P437" s="2898">
        <v>0</v>
      </c>
      <c r="Q437" s="2586">
        <v>43.099278591349275</v>
      </c>
      <c r="R437" s="571">
        <v>364.18272941515471</v>
      </c>
      <c r="S437" s="2515">
        <f t="shared" si="54"/>
        <v>364.18272941515471</v>
      </c>
      <c r="T437" s="2515">
        <f t="shared" si="55"/>
        <v>0</v>
      </c>
    </row>
    <row r="438" spans="1:20" ht="15.75" customHeight="1" x14ac:dyDescent="0.25">
      <c r="A438" s="3090" t="s">
        <v>771</v>
      </c>
      <c r="B438" s="2700"/>
      <c r="C438" s="2700" t="s">
        <v>1118</v>
      </c>
      <c r="D438" s="2895">
        <v>0</v>
      </c>
      <c r="E438" s="2896">
        <v>183.69678196169639</v>
      </c>
      <c r="F438" s="2897">
        <v>0</v>
      </c>
      <c r="G438" s="2898">
        <v>16.532710376552679</v>
      </c>
      <c r="H438" s="566">
        <v>200.22949233824906</v>
      </c>
      <c r="I438" s="2899">
        <v>0</v>
      </c>
      <c r="J438" s="2898">
        <v>0</v>
      </c>
      <c r="K438" s="2901">
        <v>125.55186218110342</v>
      </c>
      <c r="L438" s="2898">
        <v>23.854853814409651</v>
      </c>
      <c r="M438" s="3243">
        <f t="shared" si="52"/>
        <v>125.55186218110342</v>
      </c>
      <c r="N438" s="3244">
        <f t="shared" si="53"/>
        <v>23.854853814409651</v>
      </c>
      <c r="O438" s="2902">
        <v>0</v>
      </c>
      <c r="P438" s="2898">
        <v>0</v>
      </c>
      <c r="Q438" s="2586">
        <v>40.38756419096233</v>
      </c>
      <c r="R438" s="571">
        <v>349.63620833376211</v>
      </c>
      <c r="S438" s="2515">
        <f t="shared" si="54"/>
        <v>349.63620833376211</v>
      </c>
      <c r="T438" s="2515">
        <f t="shared" si="55"/>
        <v>0</v>
      </c>
    </row>
    <row r="439" spans="1:20" ht="15.75" customHeight="1" x14ac:dyDescent="0.25">
      <c r="A439" s="3090" t="s">
        <v>861</v>
      </c>
      <c r="B439" s="2700"/>
      <c r="C439" s="2700" t="s">
        <v>1118</v>
      </c>
      <c r="D439" s="2895">
        <v>0</v>
      </c>
      <c r="E439" s="2896">
        <v>200.16259995266077</v>
      </c>
      <c r="F439" s="2897">
        <v>0</v>
      </c>
      <c r="G439" s="2898">
        <v>18.014633995739469</v>
      </c>
      <c r="H439" s="566">
        <v>218.17723394840024</v>
      </c>
      <c r="I439" s="2899">
        <v>0</v>
      </c>
      <c r="J439" s="2898">
        <v>0</v>
      </c>
      <c r="K439" s="2901">
        <v>176.49298659064948</v>
      </c>
      <c r="L439" s="2898">
        <v>33.533667452223405</v>
      </c>
      <c r="M439" s="3243">
        <f t="shared" si="52"/>
        <v>176.49298659064948</v>
      </c>
      <c r="N439" s="3244">
        <f t="shared" si="53"/>
        <v>33.533667452223405</v>
      </c>
      <c r="O439" s="2902">
        <v>0</v>
      </c>
      <c r="P439" s="2898">
        <v>0</v>
      </c>
      <c r="Q439" s="2586">
        <v>51.548301447962871</v>
      </c>
      <c r="R439" s="571">
        <v>428.20388799127318</v>
      </c>
      <c r="S439" s="2515">
        <f t="shared" si="54"/>
        <v>428.20388799127318</v>
      </c>
      <c r="T439" s="2515">
        <f t="shared" si="55"/>
        <v>0</v>
      </c>
    </row>
    <row r="440" spans="1:20" ht="15.75" customHeight="1" x14ac:dyDescent="0.25">
      <c r="A440" s="3090" t="s">
        <v>862</v>
      </c>
      <c r="B440" s="2700"/>
      <c r="C440" s="2700" t="s">
        <v>1118</v>
      </c>
      <c r="D440" s="2895">
        <v>0</v>
      </c>
      <c r="E440" s="2896">
        <v>212.51196344588408</v>
      </c>
      <c r="F440" s="2897">
        <v>0</v>
      </c>
      <c r="G440" s="2898">
        <v>19.126076710129567</v>
      </c>
      <c r="H440" s="566">
        <v>231.63804015601363</v>
      </c>
      <c r="I440" s="2899">
        <v>0</v>
      </c>
      <c r="J440" s="2898">
        <v>0</v>
      </c>
      <c r="K440" s="2901">
        <v>133.78477117658562</v>
      </c>
      <c r="L440" s="2898">
        <v>25.419106523551264</v>
      </c>
      <c r="M440" s="3243">
        <f t="shared" si="52"/>
        <v>133.78477117658562</v>
      </c>
      <c r="N440" s="3244">
        <f t="shared" si="53"/>
        <v>25.419106523551264</v>
      </c>
      <c r="O440" s="2902">
        <v>0</v>
      </c>
      <c r="P440" s="2898">
        <v>0</v>
      </c>
      <c r="Q440" s="2586">
        <v>44.545183233680831</v>
      </c>
      <c r="R440" s="571">
        <v>390.84191785615053</v>
      </c>
      <c r="S440" s="2515">
        <f t="shared" si="54"/>
        <v>390.84191785615053</v>
      </c>
      <c r="T440" s="2515">
        <f t="shared" si="55"/>
        <v>0</v>
      </c>
    </row>
    <row r="441" spans="1:20" ht="15.75" customHeight="1" x14ac:dyDescent="0.25">
      <c r="A441" s="3090" t="s">
        <v>863</v>
      </c>
      <c r="B441" s="2700"/>
      <c r="C441" s="2700" t="s">
        <v>1118</v>
      </c>
      <c r="D441" s="2895">
        <v>0</v>
      </c>
      <c r="E441" s="2896">
        <v>183.18222514947877</v>
      </c>
      <c r="F441" s="2897">
        <v>0</v>
      </c>
      <c r="G441" s="2898">
        <v>16.486400263453088</v>
      </c>
      <c r="H441" s="566">
        <v>199.66862541293185</v>
      </c>
      <c r="I441" s="2899">
        <v>0</v>
      </c>
      <c r="J441" s="2898">
        <v>0</v>
      </c>
      <c r="K441" s="2901">
        <v>133.27021436436797</v>
      </c>
      <c r="L441" s="2898">
        <v>25.321340729229917</v>
      </c>
      <c r="M441" s="3243">
        <f t="shared" si="52"/>
        <v>133.27021436436797</v>
      </c>
      <c r="N441" s="3244">
        <f t="shared" si="53"/>
        <v>25.321340729229917</v>
      </c>
      <c r="O441" s="2902">
        <v>0</v>
      </c>
      <c r="P441" s="2898">
        <v>0</v>
      </c>
      <c r="Q441" s="2586">
        <v>41.807740992683009</v>
      </c>
      <c r="R441" s="571">
        <v>358.26018050652971</v>
      </c>
      <c r="S441" s="2515">
        <f t="shared" si="54"/>
        <v>358.26018050652971</v>
      </c>
      <c r="T441" s="2515">
        <f t="shared" si="55"/>
        <v>0</v>
      </c>
    </row>
    <row r="442" spans="1:20" ht="15.75" customHeight="1" x14ac:dyDescent="0.25">
      <c r="A442" s="3090" t="s">
        <v>864</v>
      </c>
      <c r="B442" s="2700"/>
      <c r="C442" s="2700" t="s">
        <v>1118</v>
      </c>
      <c r="D442" s="2895">
        <v>0</v>
      </c>
      <c r="E442" s="2896">
        <v>183.18222514947877</v>
      </c>
      <c r="F442" s="2897">
        <v>0</v>
      </c>
      <c r="G442" s="2898">
        <v>16.486400263453088</v>
      </c>
      <c r="H442" s="566">
        <v>199.66862541293185</v>
      </c>
      <c r="I442" s="2899">
        <v>0</v>
      </c>
      <c r="J442" s="2898">
        <v>0</v>
      </c>
      <c r="K442" s="2901">
        <v>156.42527091416164</v>
      </c>
      <c r="L442" s="2898">
        <v>29.72080147369071</v>
      </c>
      <c r="M442" s="3243">
        <f t="shared" si="52"/>
        <v>156.42527091416164</v>
      </c>
      <c r="N442" s="3244">
        <f t="shared" si="53"/>
        <v>29.72080147369071</v>
      </c>
      <c r="O442" s="2902">
        <v>0</v>
      </c>
      <c r="P442" s="2898">
        <v>0</v>
      </c>
      <c r="Q442" s="2586">
        <v>46.207201737143798</v>
      </c>
      <c r="R442" s="571">
        <v>385.81469780078419</v>
      </c>
      <c r="S442" s="2515">
        <f t="shared" si="54"/>
        <v>385.81469780078419</v>
      </c>
      <c r="T442" s="2515">
        <f t="shared" si="55"/>
        <v>0</v>
      </c>
    </row>
    <row r="443" spans="1:20" ht="15.75" customHeight="1" x14ac:dyDescent="0.25">
      <c r="A443" s="3090" t="s">
        <v>865</v>
      </c>
      <c r="B443" s="2700"/>
      <c r="C443" s="2700" t="s">
        <v>1118</v>
      </c>
      <c r="D443" s="2895">
        <v>0</v>
      </c>
      <c r="E443" s="2896">
        <v>178.55121383952002</v>
      </c>
      <c r="F443" s="2897">
        <v>0</v>
      </c>
      <c r="G443" s="2898">
        <v>16.069609245556801</v>
      </c>
      <c r="H443" s="566">
        <v>194.62082308507681</v>
      </c>
      <c r="I443" s="2899">
        <v>0</v>
      </c>
      <c r="J443" s="2898">
        <v>0</v>
      </c>
      <c r="K443" s="2901">
        <v>132.2411007399327</v>
      </c>
      <c r="L443" s="2898">
        <v>25.125809140587211</v>
      </c>
      <c r="M443" s="3243">
        <f t="shared" si="52"/>
        <v>132.2411007399327</v>
      </c>
      <c r="N443" s="3244">
        <f t="shared" si="53"/>
        <v>25.125809140587211</v>
      </c>
      <c r="O443" s="2902">
        <v>0</v>
      </c>
      <c r="P443" s="2898">
        <v>0</v>
      </c>
      <c r="Q443" s="2586">
        <v>41.195418386144013</v>
      </c>
      <c r="R443" s="571">
        <v>351.98773296559671</v>
      </c>
      <c r="S443" s="2515">
        <f t="shared" si="54"/>
        <v>351.98773296559671</v>
      </c>
      <c r="T443" s="2515">
        <f t="shared" si="55"/>
        <v>0</v>
      </c>
    </row>
    <row r="444" spans="1:20" ht="15.75" customHeight="1" x14ac:dyDescent="0.25">
      <c r="A444" s="3090" t="s">
        <v>866</v>
      </c>
      <c r="B444" s="2700"/>
      <c r="C444" s="2700" t="s">
        <v>1118</v>
      </c>
      <c r="D444" s="2895">
        <v>0</v>
      </c>
      <c r="E444" s="2896">
        <v>209.42462257257824</v>
      </c>
      <c r="F444" s="2897">
        <v>0</v>
      </c>
      <c r="G444" s="2898">
        <v>18.848216031532044</v>
      </c>
      <c r="H444" s="566">
        <v>228.27283860411029</v>
      </c>
      <c r="I444" s="2899">
        <v>0</v>
      </c>
      <c r="J444" s="2898">
        <v>0</v>
      </c>
      <c r="K444" s="2901">
        <v>116.28983956118596</v>
      </c>
      <c r="L444" s="2898">
        <v>22.09506951662533</v>
      </c>
      <c r="M444" s="3243">
        <f t="shared" si="52"/>
        <v>116.28983956118596</v>
      </c>
      <c r="N444" s="3244">
        <f t="shared" si="53"/>
        <v>22.09506951662533</v>
      </c>
      <c r="O444" s="2902">
        <v>0</v>
      </c>
      <c r="P444" s="2898">
        <v>0</v>
      </c>
      <c r="Q444" s="2586">
        <v>40.943285548157377</v>
      </c>
      <c r="R444" s="571">
        <v>366.65774768192159</v>
      </c>
      <c r="S444" s="2515">
        <f t="shared" si="54"/>
        <v>366.65774768192159</v>
      </c>
      <c r="T444" s="2515">
        <f t="shared" si="55"/>
        <v>0</v>
      </c>
    </row>
    <row r="445" spans="1:20" ht="15.75" customHeight="1" x14ac:dyDescent="0.25">
      <c r="A445" s="3090" t="s">
        <v>867</v>
      </c>
      <c r="B445" s="2700"/>
      <c r="C445" s="2700" t="s">
        <v>1118</v>
      </c>
      <c r="D445" s="2895">
        <v>0</v>
      </c>
      <c r="E445" s="2896">
        <v>162.59995266077328</v>
      </c>
      <c r="F445" s="2897">
        <v>0</v>
      </c>
      <c r="G445" s="2898">
        <v>14.633995739469595</v>
      </c>
      <c r="H445" s="566">
        <v>177.23394840024287</v>
      </c>
      <c r="I445" s="2899">
        <v>0</v>
      </c>
      <c r="J445" s="2898">
        <v>0</v>
      </c>
      <c r="K445" s="2901">
        <v>158.99805497524983</v>
      </c>
      <c r="L445" s="2898">
        <v>30.209630445297467</v>
      </c>
      <c r="M445" s="3243">
        <f t="shared" si="52"/>
        <v>158.99805497524983</v>
      </c>
      <c r="N445" s="3244">
        <f t="shared" si="53"/>
        <v>30.209630445297467</v>
      </c>
      <c r="O445" s="2902">
        <v>0</v>
      </c>
      <c r="P445" s="2898">
        <v>0</v>
      </c>
      <c r="Q445" s="2586">
        <v>44.843626184767061</v>
      </c>
      <c r="R445" s="571">
        <v>366.44163382079017</v>
      </c>
      <c r="S445" s="2515">
        <f t="shared" si="54"/>
        <v>366.44163382079017</v>
      </c>
      <c r="T445" s="2515">
        <f t="shared" si="55"/>
        <v>0</v>
      </c>
    </row>
    <row r="446" spans="1:20" ht="15.75" customHeight="1" x14ac:dyDescent="0.25">
      <c r="A446" s="3090" t="s">
        <v>868</v>
      </c>
      <c r="B446" s="2700"/>
      <c r="C446" s="2700" t="s">
        <v>1118</v>
      </c>
      <c r="D446" s="2895">
        <v>0</v>
      </c>
      <c r="E446" s="2896">
        <v>165.17273672186147</v>
      </c>
      <c r="F446" s="2897">
        <v>0</v>
      </c>
      <c r="G446" s="2898">
        <v>14.865546304967532</v>
      </c>
      <c r="H446" s="566">
        <v>180.03828302682899</v>
      </c>
      <c r="I446" s="2899">
        <v>0</v>
      </c>
      <c r="J446" s="2898">
        <v>0</v>
      </c>
      <c r="K446" s="2901">
        <v>109.60060100235667</v>
      </c>
      <c r="L446" s="2898">
        <v>20.824114190447766</v>
      </c>
      <c r="M446" s="3243">
        <f t="shared" si="52"/>
        <v>109.60060100235667</v>
      </c>
      <c r="N446" s="3244">
        <f t="shared" si="53"/>
        <v>20.824114190447766</v>
      </c>
      <c r="O446" s="2902">
        <v>0</v>
      </c>
      <c r="P446" s="2898">
        <v>0</v>
      </c>
      <c r="Q446" s="2586">
        <v>35.689660495415296</v>
      </c>
      <c r="R446" s="571">
        <v>310.46299821963339</v>
      </c>
      <c r="S446" s="2515">
        <f t="shared" si="54"/>
        <v>310.46299821963339</v>
      </c>
      <c r="T446" s="2515">
        <f t="shared" si="55"/>
        <v>0</v>
      </c>
    </row>
    <row r="447" spans="1:20" ht="15.75" customHeight="1" x14ac:dyDescent="0.25">
      <c r="A447" s="3090" t="s">
        <v>870</v>
      </c>
      <c r="B447" s="2700"/>
      <c r="C447" s="2700" t="s">
        <v>1118</v>
      </c>
      <c r="D447" s="2895">
        <v>0</v>
      </c>
      <c r="E447" s="2896">
        <v>217.1429747558428</v>
      </c>
      <c r="F447" s="2897">
        <v>0</v>
      </c>
      <c r="G447" s="2898">
        <v>19.54286772802585</v>
      </c>
      <c r="H447" s="566">
        <v>236.68584248386864</v>
      </c>
      <c r="I447" s="2899">
        <v>0</v>
      </c>
      <c r="J447" s="2898">
        <v>0</v>
      </c>
      <c r="K447" s="2901">
        <v>112.17338506344485</v>
      </c>
      <c r="L447" s="2898">
        <v>21.312943162054523</v>
      </c>
      <c r="M447" s="3243">
        <f t="shared" si="52"/>
        <v>112.17338506344485</v>
      </c>
      <c r="N447" s="3244">
        <f t="shared" si="53"/>
        <v>21.312943162054523</v>
      </c>
      <c r="O447" s="2902">
        <v>0</v>
      </c>
      <c r="P447" s="2898">
        <v>0</v>
      </c>
      <c r="Q447" s="2586">
        <v>40.855810890080377</v>
      </c>
      <c r="R447" s="571">
        <v>370.172170709368</v>
      </c>
      <c r="S447" s="2515">
        <f t="shared" si="54"/>
        <v>370.172170709368</v>
      </c>
      <c r="T447" s="2515">
        <f t="shared" si="55"/>
        <v>0</v>
      </c>
    </row>
    <row r="448" spans="1:20" ht="15.75" customHeight="1" x14ac:dyDescent="0.25">
      <c r="A448" s="3090" t="s">
        <v>871</v>
      </c>
      <c r="B448" s="2700"/>
      <c r="C448" s="2700" t="s">
        <v>1118</v>
      </c>
      <c r="D448" s="2895">
        <v>0</v>
      </c>
      <c r="E448" s="2896">
        <v>189.87146370830803</v>
      </c>
      <c r="F448" s="2897">
        <v>0</v>
      </c>
      <c r="G448" s="2898">
        <v>17.088431733747726</v>
      </c>
      <c r="H448" s="566">
        <v>206.95989544205577</v>
      </c>
      <c r="I448" s="2899">
        <v>0</v>
      </c>
      <c r="J448" s="2898">
        <v>0</v>
      </c>
      <c r="K448" s="2901">
        <v>104.4550328801803</v>
      </c>
      <c r="L448" s="2898">
        <v>19.846456247234258</v>
      </c>
      <c r="M448" s="3243">
        <f t="shared" si="52"/>
        <v>104.4550328801803</v>
      </c>
      <c r="N448" s="3244">
        <f t="shared" si="53"/>
        <v>19.846456247234258</v>
      </c>
      <c r="O448" s="2902">
        <v>0</v>
      </c>
      <c r="P448" s="2898">
        <v>0</v>
      </c>
      <c r="Q448" s="2586">
        <v>36.934887980981983</v>
      </c>
      <c r="R448" s="571">
        <v>331.26138456947029</v>
      </c>
      <c r="S448" s="2515">
        <f t="shared" si="54"/>
        <v>331.26138456947029</v>
      </c>
      <c r="T448" s="2515">
        <f t="shared" si="55"/>
        <v>0</v>
      </c>
    </row>
    <row r="449" spans="1:20" ht="15.75" customHeight="1" x14ac:dyDescent="0.25">
      <c r="A449" s="3090" t="s">
        <v>872</v>
      </c>
      <c r="B449" s="2700"/>
      <c r="C449" s="2700" t="s">
        <v>1118</v>
      </c>
      <c r="D449" s="2895">
        <v>0</v>
      </c>
      <c r="E449" s="2896">
        <v>207.36639532370771</v>
      </c>
      <c r="F449" s="2897">
        <v>0</v>
      </c>
      <c r="G449" s="2898">
        <v>18.662975579133693</v>
      </c>
      <c r="H449" s="566">
        <v>226.02937090284141</v>
      </c>
      <c r="I449" s="2899">
        <v>0</v>
      </c>
      <c r="J449" s="2898">
        <v>0</v>
      </c>
      <c r="K449" s="2901">
        <v>114.74616912453304</v>
      </c>
      <c r="L449" s="2898">
        <v>21.801772133661277</v>
      </c>
      <c r="M449" s="3243">
        <f t="shared" si="52"/>
        <v>114.74616912453304</v>
      </c>
      <c r="N449" s="3244">
        <f t="shared" si="53"/>
        <v>21.801772133661277</v>
      </c>
      <c r="O449" s="2902">
        <v>0</v>
      </c>
      <c r="P449" s="2898">
        <v>0</v>
      </c>
      <c r="Q449" s="2586">
        <v>40.464747712794974</v>
      </c>
      <c r="R449" s="571">
        <v>362.57731216103576</v>
      </c>
      <c r="S449" s="2515">
        <f t="shared" si="54"/>
        <v>362.57731216103576</v>
      </c>
      <c r="T449" s="2515">
        <f t="shared" si="55"/>
        <v>0</v>
      </c>
    </row>
    <row r="450" spans="1:20" ht="15.75" customHeight="1" x14ac:dyDescent="0.25">
      <c r="A450" s="3090" t="s">
        <v>874</v>
      </c>
      <c r="B450" s="2700"/>
      <c r="C450" s="2700" t="s">
        <v>1118</v>
      </c>
      <c r="D450" s="2895">
        <v>0</v>
      </c>
      <c r="E450" s="2896">
        <v>196.0461454549197</v>
      </c>
      <c r="F450" s="2897">
        <v>0</v>
      </c>
      <c r="G450" s="2898">
        <v>17.644153090942773</v>
      </c>
      <c r="H450" s="566">
        <v>213.69029854586248</v>
      </c>
      <c r="I450" s="2899">
        <v>0</v>
      </c>
      <c r="J450" s="2898">
        <v>0</v>
      </c>
      <c r="K450" s="2901">
        <v>184.72589558613168</v>
      </c>
      <c r="L450" s="2898">
        <v>35.097920161365018</v>
      </c>
      <c r="M450" s="3243">
        <f t="shared" si="52"/>
        <v>184.72589558613168</v>
      </c>
      <c r="N450" s="3244">
        <f t="shared" si="53"/>
        <v>35.097920161365018</v>
      </c>
      <c r="O450" s="2902">
        <v>0</v>
      </c>
      <c r="P450" s="2898">
        <v>0</v>
      </c>
      <c r="Q450" s="2586">
        <v>52.74207325230779</v>
      </c>
      <c r="R450" s="571">
        <v>433.51411429335923</v>
      </c>
      <c r="S450" s="2515">
        <f t="shared" si="54"/>
        <v>433.51411429335923</v>
      </c>
      <c r="T450" s="2515">
        <f t="shared" si="55"/>
        <v>0</v>
      </c>
    </row>
    <row r="451" spans="1:20" ht="15.75" customHeight="1" thickBot="1" x14ac:dyDescent="0.3">
      <c r="A451" s="3092" t="s">
        <v>598</v>
      </c>
      <c r="B451" s="2700"/>
      <c r="C451" s="2700" t="s">
        <v>1118</v>
      </c>
      <c r="D451" s="2895">
        <v>0</v>
      </c>
      <c r="E451" s="2896">
        <v>188.84235008387276</v>
      </c>
      <c r="F451" s="2897">
        <v>0</v>
      </c>
      <c r="G451" s="2898">
        <v>16.995811507548549</v>
      </c>
      <c r="H451" s="566">
        <v>205.83816159142131</v>
      </c>
      <c r="I451" s="2899">
        <v>0</v>
      </c>
      <c r="J451" s="2898">
        <v>0</v>
      </c>
      <c r="K451" s="2901">
        <v>195.0170318304844</v>
      </c>
      <c r="L451" s="2898">
        <v>37.053236047792041</v>
      </c>
      <c r="M451" s="3243">
        <f t="shared" si="52"/>
        <v>195.0170318304844</v>
      </c>
      <c r="N451" s="3244">
        <f t="shared" si="53"/>
        <v>37.053236047792041</v>
      </c>
      <c r="O451" s="2902">
        <v>0</v>
      </c>
      <c r="P451" s="2898">
        <v>0</v>
      </c>
      <c r="Q451" s="2586">
        <v>54.049047555340593</v>
      </c>
      <c r="R451" s="571">
        <v>437.90842946969775</v>
      </c>
      <c r="S451" s="2515">
        <f t="shared" si="54"/>
        <v>437.90842946969775</v>
      </c>
      <c r="T451" s="2515">
        <f t="shared" si="55"/>
        <v>0</v>
      </c>
    </row>
    <row r="452" spans="1:20" ht="15.75" customHeight="1" x14ac:dyDescent="0.25">
      <c r="A452" s="3094" t="s">
        <v>887</v>
      </c>
      <c r="B452" s="2700" t="s">
        <v>429</v>
      </c>
      <c r="C452" s="2637" t="s">
        <v>1120</v>
      </c>
      <c r="D452" s="2895">
        <v>0</v>
      </c>
      <c r="E452" s="2896">
        <v>106.71419394245939</v>
      </c>
      <c r="F452" s="2897">
        <v>0</v>
      </c>
      <c r="G452" s="2898">
        <v>0</v>
      </c>
      <c r="H452" s="566">
        <v>106.71419394245939</v>
      </c>
      <c r="I452" s="2899">
        <v>76.512063581385974</v>
      </c>
      <c r="J452" s="2898">
        <v>0</v>
      </c>
      <c r="K452" s="2901">
        <v>0</v>
      </c>
      <c r="L452" s="2898">
        <v>0</v>
      </c>
      <c r="M452" s="3243">
        <f t="shared" si="52"/>
        <v>76.512063581385974</v>
      </c>
      <c r="N452" s="3244">
        <f t="shared" si="53"/>
        <v>0</v>
      </c>
      <c r="O452" s="2902">
        <v>0</v>
      </c>
      <c r="P452" s="2898">
        <v>0</v>
      </c>
      <c r="Q452" s="2586">
        <v>0</v>
      </c>
      <c r="R452" s="571">
        <v>183.22625752384536</v>
      </c>
      <c r="S452" s="2515">
        <f t="shared" si="54"/>
        <v>183.22625752384536</v>
      </c>
      <c r="T452" s="2515">
        <f t="shared" si="55"/>
        <v>0</v>
      </c>
    </row>
    <row r="453" spans="1:20" ht="15.75" customHeight="1" thickBot="1" x14ac:dyDescent="0.3">
      <c r="A453" s="3105" t="s">
        <v>694</v>
      </c>
      <c r="B453" s="3105"/>
      <c r="C453" s="3106" t="s">
        <v>1120</v>
      </c>
      <c r="D453" s="2895">
        <v>0</v>
      </c>
      <c r="E453" s="2896">
        <v>96.577386970696821</v>
      </c>
      <c r="F453" s="2897">
        <v>4.0095931686252637</v>
      </c>
      <c r="G453" s="2898">
        <v>0</v>
      </c>
      <c r="H453" s="566">
        <v>100.58698013932208</v>
      </c>
      <c r="I453" s="2899">
        <v>84.392389549160299</v>
      </c>
      <c r="J453" s="2898">
        <v>0</v>
      </c>
      <c r="K453" s="2901">
        <v>0</v>
      </c>
      <c r="L453" s="2898">
        <v>0</v>
      </c>
      <c r="M453" s="3243">
        <f t="shared" si="52"/>
        <v>84.392389549160299</v>
      </c>
      <c r="N453" s="3244">
        <f t="shared" si="53"/>
        <v>0</v>
      </c>
      <c r="O453" s="2902">
        <v>4.3741016385002878</v>
      </c>
      <c r="P453" s="2898">
        <v>0</v>
      </c>
      <c r="Q453" s="2586">
        <v>0</v>
      </c>
      <c r="R453" s="571">
        <v>189.35347132698269</v>
      </c>
      <c r="S453" s="2515">
        <f t="shared" si="54"/>
        <v>189.35347132698269</v>
      </c>
      <c r="T453" s="2515">
        <f t="shared" si="55"/>
        <v>0</v>
      </c>
    </row>
    <row r="454" spans="1:20" ht="15.75" customHeight="1" x14ac:dyDescent="0.25">
      <c r="A454" s="2821" t="s">
        <v>143</v>
      </c>
      <c r="B454" s="2822" t="s">
        <v>429</v>
      </c>
      <c r="C454" s="2673" t="s">
        <v>1131</v>
      </c>
      <c r="D454" s="2895">
        <v>0</v>
      </c>
      <c r="E454" s="2896">
        <v>107.2378189267215</v>
      </c>
      <c r="F454" s="2897">
        <v>0</v>
      </c>
      <c r="G454" s="2898">
        <v>0</v>
      </c>
      <c r="H454" s="566">
        <v>107.2378189267215</v>
      </c>
      <c r="I454" s="2899">
        <v>0</v>
      </c>
      <c r="J454" s="2898">
        <v>0</v>
      </c>
      <c r="K454" s="2901">
        <v>0</v>
      </c>
      <c r="L454" s="2898">
        <v>0</v>
      </c>
      <c r="M454" s="3243">
        <f t="shared" si="52"/>
        <v>0</v>
      </c>
      <c r="N454" s="3244">
        <f t="shared" si="53"/>
        <v>0</v>
      </c>
      <c r="O454" s="2902">
        <v>0</v>
      </c>
      <c r="P454" s="2898">
        <v>0</v>
      </c>
      <c r="Q454" s="2586">
        <v>0</v>
      </c>
      <c r="R454" s="571">
        <v>107.2378189267215</v>
      </c>
      <c r="S454" s="2515">
        <f t="shared" si="54"/>
        <v>107.2378189267215</v>
      </c>
      <c r="T454" s="2515">
        <f t="shared" si="55"/>
        <v>0</v>
      </c>
    </row>
    <row r="455" spans="1:20" ht="15.75" customHeight="1" x14ac:dyDescent="0.25">
      <c r="A455" s="2833" t="s">
        <v>144</v>
      </c>
      <c r="B455" s="2833"/>
      <c r="C455" s="2672" t="s">
        <v>1131</v>
      </c>
      <c r="D455" s="2895">
        <v>0</v>
      </c>
      <c r="E455" s="2896">
        <v>144.38960307508054</v>
      </c>
      <c r="F455" s="2897">
        <v>0</v>
      </c>
      <c r="G455" s="2898">
        <v>0</v>
      </c>
      <c r="H455" s="566">
        <v>144.38960307508054</v>
      </c>
      <c r="I455" s="2899">
        <v>0</v>
      </c>
      <c r="J455" s="2898">
        <v>0</v>
      </c>
      <c r="K455" s="2901">
        <v>0</v>
      </c>
      <c r="L455" s="2898">
        <v>0</v>
      </c>
      <c r="M455" s="3243">
        <f t="shared" si="52"/>
        <v>0</v>
      </c>
      <c r="N455" s="3244">
        <f t="shared" si="53"/>
        <v>0</v>
      </c>
      <c r="O455" s="2902">
        <v>0</v>
      </c>
      <c r="P455" s="2898">
        <v>0</v>
      </c>
      <c r="Q455" s="2586">
        <v>0</v>
      </c>
      <c r="R455" s="571">
        <v>144.38960307508054</v>
      </c>
      <c r="S455" s="2515">
        <f t="shared" si="54"/>
        <v>144.38960307508054</v>
      </c>
      <c r="T455" s="2515">
        <f t="shared" si="55"/>
        <v>0</v>
      </c>
    </row>
    <row r="456" spans="1:20" ht="15.75" customHeight="1" x14ac:dyDescent="0.25">
      <c r="A456" s="2833" t="s">
        <v>145</v>
      </c>
      <c r="B456" s="2833"/>
      <c r="C456" s="2672" t="s">
        <v>1131</v>
      </c>
      <c r="D456" s="2895">
        <v>0</v>
      </c>
      <c r="E456" s="2896">
        <v>129.20648240900042</v>
      </c>
      <c r="F456" s="2897">
        <v>0</v>
      </c>
      <c r="G456" s="2898">
        <v>0</v>
      </c>
      <c r="H456" s="566">
        <v>129.20648240900042</v>
      </c>
      <c r="I456" s="2899">
        <v>0</v>
      </c>
      <c r="J456" s="2898">
        <v>0</v>
      </c>
      <c r="K456" s="2901">
        <v>0</v>
      </c>
      <c r="L456" s="2898">
        <v>0</v>
      </c>
      <c r="M456" s="3243">
        <f t="shared" si="52"/>
        <v>0</v>
      </c>
      <c r="N456" s="3244">
        <f t="shared" si="53"/>
        <v>0</v>
      </c>
      <c r="O456" s="2902">
        <v>0</v>
      </c>
      <c r="P456" s="2898">
        <v>0</v>
      </c>
      <c r="Q456" s="2586">
        <v>0</v>
      </c>
      <c r="R456" s="571">
        <v>129.20648240900042</v>
      </c>
      <c r="S456" s="2515">
        <f t="shared" si="54"/>
        <v>129.20648240900042</v>
      </c>
      <c r="T456" s="2515">
        <f t="shared" si="55"/>
        <v>0</v>
      </c>
    </row>
    <row r="457" spans="1:20" ht="15.75" customHeight="1" x14ac:dyDescent="0.25">
      <c r="A457" s="2833" t="s">
        <v>146</v>
      </c>
      <c r="B457" s="2833"/>
      <c r="C457" s="2672" t="s">
        <v>1131</v>
      </c>
      <c r="D457" s="2895">
        <v>0</v>
      </c>
      <c r="E457" s="2896">
        <v>125.86994478114576</v>
      </c>
      <c r="F457" s="2897">
        <v>0</v>
      </c>
      <c r="G457" s="2898">
        <v>0</v>
      </c>
      <c r="H457" s="566">
        <v>125.86994478114576</v>
      </c>
      <c r="I457" s="2899">
        <v>0</v>
      </c>
      <c r="J457" s="2898">
        <v>0</v>
      </c>
      <c r="K457" s="2901">
        <v>0</v>
      </c>
      <c r="L457" s="2898">
        <v>0</v>
      </c>
      <c r="M457" s="3243">
        <f t="shared" si="52"/>
        <v>0</v>
      </c>
      <c r="N457" s="3244">
        <f t="shared" si="53"/>
        <v>0</v>
      </c>
      <c r="O457" s="2902">
        <v>0</v>
      </c>
      <c r="P457" s="2898">
        <v>0</v>
      </c>
      <c r="Q457" s="2586">
        <v>0</v>
      </c>
      <c r="R457" s="571">
        <v>125.86994478114576</v>
      </c>
      <c r="S457" s="2515">
        <f t="shared" si="54"/>
        <v>125.86994478114576</v>
      </c>
      <c r="T457" s="2515">
        <f t="shared" si="55"/>
        <v>0</v>
      </c>
    </row>
    <row r="458" spans="1:20" ht="15.75" customHeight="1" x14ac:dyDescent="0.25">
      <c r="A458" s="2833" t="s">
        <v>147</v>
      </c>
      <c r="B458" s="2833"/>
      <c r="C458" s="2672" t="s">
        <v>1131</v>
      </c>
      <c r="D458" s="2895">
        <v>0</v>
      </c>
      <c r="E458" s="2896">
        <v>116.66634941442312</v>
      </c>
      <c r="F458" s="2897">
        <v>0</v>
      </c>
      <c r="G458" s="2898">
        <v>0</v>
      </c>
      <c r="H458" s="566">
        <v>116.66634941442312</v>
      </c>
      <c r="I458" s="2899">
        <v>0</v>
      </c>
      <c r="J458" s="2898">
        <v>0</v>
      </c>
      <c r="K458" s="2901">
        <v>0</v>
      </c>
      <c r="L458" s="2898">
        <v>0</v>
      </c>
      <c r="M458" s="3243">
        <f t="shared" si="52"/>
        <v>0</v>
      </c>
      <c r="N458" s="3244">
        <f t="shared" si="53"/>
        <v>0</v>
      </c>
      <c r="O458" s="2902">
        <v>0</v>
      </c>
      <c r="P458" s="2898">
        <v>0</v>
      </c>
      <c r="Q458" s="2586">
        <v>0</v>
      </c>
      <c r="R458" s="571">
        <v>116.66634941442312</v>
      </c>
      <c r="S458" s="2515">
        <f t="shared" si="54"/>
        <v>116.66634941442312</v>
      </c>
      <c r="T458" s="2515">
        <f t="shared" si="55"/>
        <v>0</v>
      </c>
    </row>
    <row r="459" spans="1:20" ht="15.75" customHeight="1" x14ac:dyDescent="0.25">
      <c r="A459" s="2833" t="s">
        <v>148</v>
      </c>
      <c r="B459" s="2833"/>
      <c r="C459" s="2672" t="s">
        <v>1131</v>
      </c>
      <c r="D459" s="2895">
        <v>0</v>
      </c>
      <c r="E459" s="2896">
        <v>99.327600505627913</v>
      </c>
      <c r="F459" s="2897">
        <v>0</v>
      </c>
      <c r="G459" s="2898">
        <v>0</v>
      </c>
      <c r="H459" s="566">
        <v>99.327600505627913</v>
      </c>
      <c r="I459" s="2899">
        <v>0</v>
      </c>
      <c r="J459" s="2898">
        <v>0</v>
      </c>
      <c r="K459" s="2901">
        <v>0</v>
      </c>
      <c r="L459" s="2898">
        <v>0</v>
      </c>
      <c r="M459" s="3243">
        <f t="shared" si="52"/>
        <v>0</v>
      </c>
      <c r="N459" s="3244">
        <f t="shared" si="53"/>
        <v>0</v>
      </c>
      <c r="O459" s="2902">
        <v>0</v>
      </c>
      <c r="P459" s="2898">
        <v>0</v>
      </c>
      <c r="Q459" s="2586">
        <v>0</v>
      </c>
      <c r="R459" s="571">
        <v>99.327600505627913</v>
      </c>
      <c r="S459" s="2515">
        <f t="shared" si="54"/>
        <v>99.327600505627913</v>
      </c>
      <c r="T459" s="2515">
        <f t="shared" si="55"/>
        <v>0</v>
      </c>
    </row>
    <row r="460" spans="1:20" ht="15.75" customHeight="1" x14ac:dyDescent="0.25">
      <c r="A460" s="2833" t="s">
        <v>149</v>
      </c>
      <c r="B460" s="2833"/>
      <c r="C460" s="2672" t="s">
        <v>1131</v>
      </c>
      <c r="D460" s="2895">
        <v>0</v>
      </c>
      <c r="E460" s="2896">
        <v>162.2157114126635</v>
      </c>
      <c r="F460" s="2897">
        <v>0</v>
      </c>
      <c r="G460" s="2898">
        <v>0</v>
      </c>
      <c r="H460" s="566">
        <v>162.2157114126635</v>
      </c>
      <c r="I460" s="2899">
        <v>0</v>
      </c>
      <c r="J460" s="2898">
        <v>0</v>
      </c>
      <c r="K460" s="2901">
        <v>0</v>
      </c>
      <c r="L460" s="2898">
        <v>0</v>
      </c>
      <c r="M460" s="3243">
        <f t="shared" si="52"/>
        <v>0</v>
      </c>
      <c r="N460" s="3244">
        <f t="shared" si="53"/>
        <v>0</v>
      </c>
      <c r="O460" s="2902">
        <v>0</v>
      </c>
      <c r="P460" s="2898">
        <v>0</v>
      </c>
      <c r="Q460" s="2586">
        <v>0</v>
      </c>
      <c r="R460" s="571">
        <v>162.2157114126635</v>
      </c>
      <c r="S460" s="2515">
        <f t="shared" si="54"/>
        <v>162.2157114126635</v>
      </c>
      <c r="T460" s="2515">
        <f t="shared" si="55"/>
        <v>0</v>
      </c>
    </row>
    <row r="461" spans="1:20" ht="15.75" customHeight="1" thickBot="1" x14ac:dyDescent="0.3">
      <c r="A461" s="2834" t="s">
        <v>150</v>
      </c>
      <c r="B461" s="2835"/>
      <c r="C461" s="2696" t="s">
        <v>1131</v>
      </c>
      <c r="D461" s="2895">
        <v>0</v>
      </c>
      <c r="E461" s="2896">
        <v>128.92531350777671</v>
      </c>
      <c r="F461" s="2897">
        <v>0</v>
      </c>
      <c r="G461" s="2898">
        <v>0</v>
      </c>
      <c r="H461" s="566">
        <v>128.92531350777671</v>
      </c>
      <c r="I461" s="2899">
        <v>0</v>
      </c>
      <c r="J461" s="2898">
        <v>0</v>
      </c>
      <c r="K461" s="2901">
        <v>0</v>
      </c>
      <c r="L461" s="2898">
        <v>0</v>
      </c>
      <c r="M461" s="3243">
        <f t="shared" si="52"/>
        <v>0</v>
      </c>
      <c r="N461" s="3244">
        <f t="shared" si="53"/>
        <v>0</v>
      </c>
      <c r="O461" s="2902">
        <v>0</v>
      </c>
      <c r="P461" s="2898">
        <v>0</v>
      </c>
      <c r="Q461" s="2586">
        <v>0</v>
      </c>
      <c r="R461" s="571">
        <v>128.92531350777671</v>
      </c>
      <c r="S461" s="2515">
        <f t="shared" si="54"/>
        <v>128.92531350777671</v>
      </c>
      <c r="T461" s="2515">
        <f t="shared" si="55"/>
        <v>0</v>
      </c>
    </row>
    <row r="462" spans="1:20" ht="15.75" customHeight="1" x14ac:dyDescent="0.25">
      <c r="A462" s="2821" t="s">
        <v>151</v>
      </c>
      <c r="B462" s="2822"/>
      <c r="C462" s="2673" t="s">
        <v>1133</v>
      </c>
      <c r="D462" s="2895">
        <v>0</v>
      </c>
      <c r="E462" s="2896">
        <v>424.43668143239574</v>
      </c>
      <c r="F462" s="2897">
        <v>0</v>
      </c>
      <c r="G462" s="2898">
        <v>42.44847000636247</v>
      </c>
      <c r="H462" s="566">
        <v>466.88515143875821</v>
      </c>
      <c r="I462" s="2899">
        <v>41.848237116001009</v>
      </c>
      <c r="J462" s="2898">
        <v>4.1896255747229922</v>
      </c>
      <c r="K462" s="2901">
        <v>202.90272625778803</v>
      </c>
      <c r="L462" s="2898">
        <v>20.287871694217355</v>
      </c>
      <c r="M462" s="3243">
        <f t="shared" si="52"/>
        <v>244.75096337378903</v>
      </c>
      <c r="N462" s="3244">
        <f t="shared" si="53"/>
        <v>24.477497268940347</v>
      </c>
      <c r="O462" s="2902">
        <v>0</v>
      </c>
      <c r="P462" s="2898">
        <v>0</v>
      </c>
      <c r="Q462" s="2586">
        <v>66.925967275302824</v>
      </c>
      <c r="R462" s="571">
        <v>736.11361208148753</v>
      </c>
      <c r="S462" s="2515">
        <f t="shared" si="54"/>
        <v>736.11361208148764</v>
      </c>
      <c r="T462" s="2515">
        <f t="shared" si="55"/>
        <v>0</v>
      </c>
    </row>
    <row r="463" spans="1:20" ht="15.75" customHeight="1" x14ac:dyDescent="0.25">
      <c r="A463" s="2833" t="s">
        <v>152</v>
      </c>
      <c r="B463" s="2833"/>
      <c r="C463" s="2672" t="s">
        <v>1133</v>
      </c>
      <c r="D463" s="2895">
        <v>0</v>
      </c>
      <c r="E463" s="2896">
        <v>184.43956255026947</v>
      </c>
      <c r="F463" s="2897">
        <v>0</v>
      </c>
      <c r="G463" s="2898">
        <v>18.439154391904058</v>
      </c>
      <c r="H463" s="566">
        <v>202.87871694217353</v>
      </c>
      <c r="I463" s="2899">
        <v>0</v>
      </c>
      <c r="J463" s="2898">
        <v>0</v>
      </c>
      <c r="K463" s="2901">
        <v>176.32441387258254</v>
      </c>
      <c r="L463" s="2898">
        <v>17.6348423188197</v>
      </c>
      <c r="M463" s="3243">
        <f t="shared" si="52"/>
        <v>176.32441387258254</v>
      </c>
      <c r="N463" s="3244">
        <f t="shared" si="53"/>
        <v>17.6348423188197</v>
      </c>
      <c r="O463" s="2902">
        <v>0</v>
      </c>
      <c r="P463" s="2898">
        <v>0</v>
      </c>
      <c r="Q463" s="2586">
        <v>36.073996710723762</v>
      </c>
      <c r="R463" s="571">
        <v>396.83797313357576</v>
      </c>
      <c r="S463" s="2515">
        <f t="shared" si="54"/>
        <v>396.83797313357576</v>
      </c>
      <c r="T463" s="2515">
        <f t="shared" si="55"/>
        <v>0</v>
      </c>
    </row>
    <row r="464" spans="1:20" ht="15.75" customHeight="1" x14ac:dyDescent="0.25">
      <c r="A464" s="2833" t="s">
        <v>153</v>
      </c>
      <c r="B464" s="2833" t="s">
        <v>429</v>
      </c>
      <c r="C464" s="2672" t="s">
        <v>1133</v>
      </c>
      <c r="D464" s="2895">
        <v>0</v>
      </c>
      <c r="E464" s="2896">
        <v>199.20529165316142</v>
      </c>
      <c r="F464" s="2897">
        <v>0</v>
      </c>
      <c r="G464" s="2898">
        <v>19.91572730219325</v>
      </c>
      <c r="H464" s="566">
        <v>219.12101895535469</v>
      </c>
      <c r="I464" s="2899">
        <v>34.621433116049026</v>
      </c>
      <c r="J464" s="2898">
        <v>3.4573414484820106</v>
      </c>
      <c r="K464" s="2901">
        <v>100.02280884983372</v>
      </c>
      <c r="L464" s="2898">
        <v>9.999879953421928</v>
      </c>
      <c r="M464" s="3243">
        <f t="shared" si="52"/>
        <v>134.64424196588274</v>
      </c>
      <c r="N464" s="3244">
        <f t="shared" si="53"/>
        <v>13.457221401903938</v>
      </c>
      <c r="O464" s="2902">
        <v>0</v>
      </c>
      <c r="P464" s="2898">
        <v>0</v>
      </c>
      <c r="Q464" s="2586">
        <v>33.37294870409719</v>
      </c>
      <c r="R464" s="571">
        <v>367.22248232314138</v>
      </c>
      <c r="S464" s="2515">
        <f t="shared" si="54"/>
        <v>367.22248232314138</v>
      </c>
      <c r="T464" s="2515">
        <f t="shared" si="55"/>
        <v>0</v>
      </c>
    </row>
    <row r="465" spans="1:20" ht="15.75" customHeight="1" x14ac:dyDescent="0.25">
      <c r="A465" s="2833" t="s">
        <v>214</v>
      </c>
      <c r="B465" s="2833"/>
      <c r="C465" s="2672" t="s">
        <v>1133</v>
      </c>
      <c r="D465" s="2895">
        <v>0</v>
      </c>
      <c r="E465" s="2896">
        <v>192.36263670304078</v>
      </c>
      <c r="F465" s="2897">
        <v>0</v>
      </c>
      <c r="G465" s="2898">
        <v>19.231461807181184</v>
      </c>
      <c r="H465" s="566">
        <v>211.59409851022195</v>
      </c>
      <c r="I465" s="2899">
        <v>99.302529381399978</v>
      </c>
      <c r="J465" s="2898">
        <v>9.9278520065785525</v>
      </c>
      <c r="K465" s="2901">
        <v>187.34468973961896</v>
      </c>
      <c r="L465" s="2898">
        <v>18.979363993229374</v>
      </c>
      <c r="M465" s="3243">
        <f t="shared" si="52"/>
        <v>286.64721912101891</v>
      </c>
      <c r="N465" s="3244">
        <f t="shared" si="53"/>
        <v>28.907215999807924</v>
      </c>
      <c r="O465" s="2902">
        <v>0</v>
      </c>
      <c r="P465" s="2898">
        <v>0</v>
      </c>
      <c r="Q465" s="2586">
        <v>48.138677806989108</v>
      </c>
      <c r="R465" s="571">
        <v>527.14853363104885</v>
      </c>
      <c r="S465" s="2515">
        <f t="shared" si="54"/>
        <v>527.14853363104874</v>
      </c>
      <c r="T465" s="2515">
        <f t="shared" si="55"/>
        <v>0</v>
      </c>
    </row>
    <row r="466" spans="1:20" ht="15.75" customHeight="1" thickBot="1" x14ac:dyDescent="0.3">
      <c r="A466" s="2834" t="s">
        <v>154</v>
      </c>
      <c r="B466" s="2835"/>
      <c r="C466" s="2696" t="s">
        <v>1133</v>
      </c>
      <c r="D466" s="2895">
        <v>0</v>
      </c>
      <c r="E466" s="2896">
        <v>219.25307019123417</v>
      </c>
      <c r="F466" s="2897">
        <v>0</v>
      </c>
      <c r="G466" s="2898">
        <v>21.92050515600053</v>
      </c>
      <c r="H466" s="566">
        <v>241.1735753472347</v>
      </c>
      <c r="I466" s="2899">
        <v>72.724216996194514</v>
      </c>
      <c r="J466" s="2898">
        <v>7.2748226311808972</v>
      </c>
      <c r="K466" s="2901">
        <v>159.68595815176289</v>
      </c>
      <c r="L466" s="2898">
        <v>15.966194883614843</v>
      </c>
      <c r="M466" s="3243">
        <f t="shared" si="52"/>
        <v>232.4101751479574</v>
      </c>
      <c r="N466" s="3244">
        <f t="shared" si="53"/>
        <v>23.24101751479574</v>
      </c>
      <c r="O466" s="2902">
        <v>0</v>
      </c>
      <c r="P466" s="2898">
        <v>0</v>
      </c>
      <c r="Q466" s="2586">
        <v>45.161522670796273</v>
      </c>
      <c r="R466" s="571">
        <v>496.82476800998785</v>
      </c>
      <c r="S466" s="2515">
        <f t="shared" si="54"/>
        <v>496.82476800998785</v>
      </c>
      <c r="T466" s="2515">
        <f t="shared" si="55"/>
        <v>0</v>
      </c>
    </row>
    <row r="467" spans="1:20" ht="15.75" customHeight="1" x14ac:dyDescent="0.25">
      <c r="A467" s="2821" t="s">
        <v>155</v>
      </c>
      <c r="B467" s="2822" t="s">
        <v>429</v>
      </c>
      <c r="C467" s="2673" t="s">
        <v>1135</v>
      </c>
      <c r="D467" s="2895">
        <v>206.24267029725661</v>
      </c>
      <c r="E467" s="2896">
        <v>89.457605060604465</v>
      </c>
      <c r="F467" s="2897">
        <v>0</v>
      </c>
      <c r="G467" s="2898">
        <v>73.925068839465268</v>
      </c>
      <c r="H467" s="566">
        <v>369.62534419732634</v>
      </c>
      <c r="I467" s="2899">
        <v>79.654031903277954</v>
      </c>
      <c r="J467" s="2898">
        <v>19.913507975819488</v>
      </c>
      <c r="K467" s="2901">
        <v>0</v>
      </c>
      <c r="L467" s="2898">
        <v>0</v>
      </c>
      <c r="M467" s="3243">
        <f t="shared" si="52"/>
        <v>79.654031903277954</v>
      </c>
      <c r="N467" s="3244">
        <f t="shared" si="53"/>
        <v>19.913507975819488</v>
      </c>
      <c r="O467" s="2902">
        <v>0</v>
      </c>
      <c r="P467" s="2898">
        <v>0</v>
      </c>
      <c r="Q467" s="2586">
        <v>93.838576815284753</v>
      </c>
      <c r="R467" s="571">
        <v>469.19288407642375</v>
      </c>
      <c r="S467" s="2515">
        <f t="shared" si="54"/>
        <v>469.19288407642375</v>
      </c>
      <c r="T467" s="2515">
        <f t="shared" si="55"/>
        <v>0</v>
      </c>
    </row>
    <row r="468" spans="1:20" ht="15.75" customHeight="1" x14ac:dyDescent="0.25">
      <c r="A468" s="2833" t="s">
        <v>156</v>
      </c>
      <c r="B468" s="2833"/>
      <c r="C468" s="2672" t="s">
        <v>1135</v>
      </c>
      <c r="D468" s="2895">
        <v>299.37661529185851</v>
      </c>
      <c r="E468" s="2896">
        <v>176.21922750294414</v>
      </c>
      <c r="F468" s="2897">
        <v>0</v>
      </c>
      <c r="G468" s="2898">
        <v>118.89896069870066</v>
      </c>
      <c r="H468" s="566">
        <v>594.49480349350335</v>
      </c>
      <c r="I468" s="2899">
        <v>181.61119273947372</v>
      </c>
      <c r="J468" s="2898">
        <v>45.402798184868431</v>
      </c>
      <c r="K468" s="2901">
        <v>0</v>
      </c>
      <c r="L468" s="2898">
        <v>0</v>
      </c>
      <c r="M468" s="3243">
        <f t="shared" si="52"/>
        <v>181.61119273947372</v>
      </c>
      <c r="N468" s="3244">
        <f t="shared" si="53"/>
        <v>45.402798184868431</v>
      </c>
      <c r="O468" s="2902">
        <v>0</v>
      </c>
      <c r="P468" s="2898">
        <v>0</v>
      </c>
      <c r="Q468" s="2586">
        <v>164.30175888356911</v>
      </c>
      <c r="R468" s="571">
        <v>821.50879441784548</v>
      </c>
      <c r="S468" s="2515">
        <f t="shared" si="54"/>
        <v>821.50879441784548</v>
      </c>
      <c r="T468" s="2515">
        <f t="shared" si="55"/>
        <v>0</v>
      </c>
    </row>
    <row r="469" spans="1:20" ht="15.75" customHeight="1" x14ac:dyDescent="0.25">
      <c r="A469" s="2833" t="s">
        <v>157</v>
      </c>
      <c r="B469" s="2833"/>
      <c r="C469" s="2672" t="s">
        <v>1135</v>
      </c>
      <c r="D469" s="2895">
        <v>202.56633036325914</v>
      </c>
      <c r="E469" s="2896">
        <v>118.62323520365085</v>
      </c>
      <c r="F469" s="2897">
        <v>0</v>
      </c>
      <c r="G469" s="2898">
        <v>80.297391391727501</v>
      </c>
      <c r="H469" s="566">
        <v>401.48695695863751</v>
      </c>
      <c r="I469" s="2899">
        <v>125.97591507164574</v>
      </c>
      <c r="J469" s="2898">
        <v>31.493978767911436</v>
      </c>
      <c r="K469" s="2901">
        <v>0</v>
      </c>
      <c r="L469" s="2898">
        <v>0</v>
      </c>
      <c r="M469" s="3243">
        <f t="shared" si="52"/>
        <v>125.97591507164574</v>
      </c>
      <c r="N469" s="3244">
        <f t="shared" si="53"/>
        <v>31.493978767911436</v>
      </c>
      <c r="O469" s="2902">
        <v>0</v>
      </c>
      <c r="P469" s="2898">
        <v>0</v>
      </c>
      <c r="Q469" s="2586">
        <v>111.79137015963894</v>
      </c>
      <c r="R469" s="571">
        <v>558.95685079819475</v>
      </c>
      <c r="S469" s="2515">
        <f t="shared" si="54"/>
        <v>558.95685079819475</v>
      </c>
      <c r="T469" s="2515">
        <f t="shared" si="55"/>
        <v>0</v>
      </c>
    </row>
    <row r="470" spans="1:20" ht="15.75" customHeight="1" x14ac:dyDescent="0.25">
      <c r="A470" s="2833" t="s">
        <v>158</v>
      </c>
      <c r="B470" s="2833"/>
      <c r="C470" s="2672" t="s">
        <v>1135</v>
      </c>
      <c r="D470" s="2895">
        <v>0</v>
      </c>
      <c r="E470" s="2896">
        <v>302.6853212324562</v>
      </c>
      <c r="F470" s="2897">
        <v>0</v>
      </c>
      <c r="G470" s="2898">
        <v>75.671330308114051</v>
      </c>
      <c r="H470" s="566">
        <v>378.35665154057028</v>
      </c>
      <c r="I470" s="2899">
        <v>454.15052651315091</v>
      </c>
      <c r="J470" s="2898">
        <v>113.53763162828773</v>
      </c>
      <c r="K470" s="2901">
        <v>0</v>
      </c>
      <c r="L470" s="2898">
        <v>0</v>
      </c>
      <c r="M470" s="3243">
        <f t="shared" si="52"/>
        <v>454.15052651315091</v>
      </c>
      <c r="N470" s="3244">
        <f t="shared" si="53"/>
        <v>113.53763162828773</v>
      </c>
      <c r="O470" s="2902">
        <v>0</v>
      </c>
      <c r="P470" s="2898">
        <v>0</v>
      </c>
      <c r="Q470" s="2586">
        <v>189.20896193640178</v>
      </c>
      <c r="R470" s="571">
        <v>946.04480968200892</v>
      </c>
      <c r="S470" s="2515">
        <f t="shared" si="54"/>
        <v>946.04480968200892</v>
      </c>
      <c r="T470" s="2515">
        <f t="shared" si="55"/>
        <v>0</v>
      </c>
    </row>
    <row r="471" spans="1:20" ht="15.75" customHeight="1" thickBot="1" x14ac:dyDescent="0.3">
      <c r="A471" s="2834" t="s">
        <v>159</v>
      </c>
      <c r="B471" s="2835"/>
      <c r="C471" s="2696" t="s">
        <v>1135</v>
      </c>
      <c r="D471" s="2895">
        <v>285.5290682071348</v>
      </c>
      <c r="E471" s="2896">
        <v>155.63172387255847</v>
      </c>
      <c r="F471" s="2897">
        <v>0</v>
      </c>
      <c r="G471" s="2898">
        <v>110.29019801992331</v>
      </c>
      <c r="H471" s="566">
        <v>551.45099009961655</v>
      </c>
      <c r="I471" s="2899">
        <v>209.5513762378543</v>
      </c>
      <c r="J471" s="2898">
        <v>52.387844059463575</v>
      </c>
      <c r="K471" s="2901">
        <v>0</v>
      </c>
      <c r="L471" s="2898">
        <v>0</v>
      </c>
      <c r="M471" s="3243">
        <f t="shared" si="52"/>
        <v>209.5513762378543</v>
      </c>
      <c r="N471" s="3244">
        <f t="shared" si="53"/>
        <v>52.387844059463575</v>
      </c>
      <c r="O471" s="2902">
        <v>0</v>
      </c>
      <c r="P471" s="2898">
        <v>0</v>
      </c>
      <c r="Q471" s="2586">
        <v>162.6780420793869</v>
      </c>
      <c r="R471" s="571">
        <v>813.39021039693444</v>
      </c>
      <c r="S471" s="2515">
        <f t="shared" si="54"/>
        <v>813.39021039693444</v>
      </c>
      <c r="T471" s="2515">
        <f t="shared" si="55"/>
        <v>0</v>
      </c>
    </row>
    <row r="472" spans="1:20" ht="15.75" customHeight="1" x14ac:dyDescent="0.25">
      <c r="A472" s="2868" t="s">
        <v>160</v>
      </c>
      <c r="B472" s="2837"/>
      <c r="C472" s="2689" t="s">
        <v>1137</v>
      </c>
      <c r="D472" s="2895">
        <v>114.94016953675008</v>
      </c>
      <c r="E472" s="2896">
        <v>221.67032696373229</v>
      </c>
      <c r="F472" s="2897">
        <v>0</v>
      </c>
      <c r="G472" s="2898">
        <v>26.928839720038585</v>
      </c>
      <c r="H472" s="566">
        <v>363.53933622052097</v>
      </c>
      <c r="I472" s="2899">
        <v>491.57447507235077</v>
      </c>
      <c r="J472" s="2898">
        <v>12.294493134377374</v>
      </c>
      <c r="K472" s="2901">
        <v>0</v>
      </c>
      <c r="L472" s="2898">
        <v>0</v>
      </c>
      <c r="M472" s="3243">
        <f t="shared" si="52"/>
        <v>491.57447507235077</v>
      </c>
      <c r="N472" s="3244">
        <f t="shared" si="53"/>
        <v>12.294493134377374</v>
      </c>
      <c r="O472" s="2902">
        <v>0</v>
      </c>
      <c r="P472" s="2898">
        <v>0</v>
      </c>
      <c r="Q472" s="2586">
        <v>39.223332854415958</v>
      </c>
      <c r="R472" s="571">
        <v>867.40830442724916</v>
      </c>
      <c r="S472" s="2515">
        <f t="shared" si="54"/>
        <v>867.40830442724916</v>
      </c>
      <c r="T472" s="2515">
        <f t="shared" si="55"/>
        <v>0</v>
      </c>
    </row>
    <row r="473" spans="1:20" ht="15.75" customHeight="1" x14ac:dyDescent="0.25">
      <c r="A473" s="2868" t="s">
        <v>603</v>
      </c>
      <c r="B473" s="2837"/>
      <c r="C473" s="2689" t="s">
        <v>1137</v>
      </c>
      <c r="D473" s="2895">
        <v>139.57020586605367</v>
      </c>
      <c r="E473" s="2896">
        <v>394.08058126885737</v>
      </c>
      <c r="F473" s="2897">
        <v>0</v>
      </c>
      <c r="G473" s="2898">
        <v>42.692062970792882</v>
      </c>
      <c r="H473" s="566">
        <v>576.34285010570397</v>
      </c>
      <c r="I473" s="2899">
        <v>474.38476221752427</v>
      </c>
      <c r="J473" s="2898">
        <v>11.863467498614561</v>
      </c>
      <c r="K473" s="2901">
        <v>0</v>
      </c>
      <c r="L473" s="2898">
        <v>0</v>
      </c>
      <c r="M473" s="3243">
        <f t="shared" si="52"/>
        <v>474.38476221752427</v>
      </c>
      <c r="N473" s="3244">
        <f t="shared" si="53"/>
        <v>11.863467498614561</v>
      </c>
      <c r="O473" s="2902">
        <v>0</v>
      </c>
      <c r="P473" s="2898">
        <v>0</v>
      </c>
      <c r="Q473" s="2586">
        <v>54.555530469407444</v>
      </c>
      <c r="R473" s="571">
        <v>1062.5910798218426</v>
      </c>
      <c r="S473" s="2515">
        <f t="shared" si="54"/>
        <v>1062.5910798218426</v>
      </c>
      <c r="T473" s="2515">
        <f t="shared" si="55"/>
        <v>0</v>
      </c>
    </row>
    <row r="474" spans="1:20" ht="15.75" customHeight="1" x14ac:dyDescent="0.25">
      <c r="A474" s="2868" t="s">
        <v>162</v>
      </c>
      <c r="B474" s="2837"/>
      <c r="C474" s="2689" t="s">
        <v>1137</v>
      </c>
      <c r="D474" s="2895">
        <v>71.837605960468792</v>
      </c>
      <c r="E474" s="2896">
        <v>299.66544200652697</v>
      </c>
      <c r="F474" s="2897">
        <v>0</v>
      </c>
      <c r="G474" s="2898">
        <v>29.720243837359661</v>
      </c>
      <c r="H474" s="566">
        <v>401.22329180435543</v>
      </c>
      <c r="I474" s="2899">
        <v>359.18802980234398</v>
      </c>
      <c r="J474" s="2898">
        <v>8.9797007450585991</v>
      </c>
      <c r="K474" s="2901">
        <v>0</v>
      </c>
      <c r="L474" s="2898">
        <v>0</v>
      </c>
      <c r="M474" s="3243">
        <f t="shared" si="52"/>
        <v>359.18802980234398</v>
      </c>
      <c r="N474" s="3244">
        <f t="shared" si="53"/>
        <v>8.9797007450585991</v>
      </c>
      <c r="O474" s="2902">
        <v>0</v>
      </c>
      <c r="P474" s="2898">
        <v>0</v>
      </c>
      <c r="Q474" s="2586">
        <v>38.699944582418262</v>
      </c>
      <c r="R474" s="571">
        <v>769.39102235175801</v>
      </c>
      <c r="S474" s="2515">
        <f t="shared" si="54"/>
        <v>769.39102235175801</v>
      </c>
      <c r="T474" s="2515">
        <f t="shared" si="55"/>
        <v>0</v>
      </c>
    </row>
    <row r="475" spans="1:20" ht="15.75" customHeight="1" x14ac:dyDescent="0.25">
      <c r="A475" s="2868" t="s">
        <v>161</v>
      </c>
      <c r="B475" s="2837"/>
      <c r="C475" s="2689" t="s">
        <v>1137</v>
      </c>
      <c r="D475" s="2895">
        <v>28.735042384187519</v>
      </c>
      <c r="E475" s="2896">
        <v>420.76312062560294</v>
      </c>
      <c r="F475" s="2897">
        <v>0</v>
      </c>
      <c r="G475" s="2898">
        <v>35.959853040783237</v>
      </c>
      <c r="H475" s="566">
        <v>485.45801605057369</v>
      </c>
      <c r="I475" s="2899">
        <v>446.41940846862752</v>
      </c>
      <c r="J475" s="2898">
        <v>11.165616469284293</v>
      </c>
      <c r="K475" s="2901">
        <v>0</v>
      </c>
      <c r="L475" s="2898">
        <v>0</v>
      </c>
      <c r="M475" s="3243">
        <f t="shared" si="52"/>
        <v>446.41940846862752</v>
      </c>
      <c r="N475" s="3244">
        <f t="shared" si="53"/>
        <v>11.165616469284293</v>
      </c>
      <c r="O475" s="2902">
        <v>0</v>
      </c>
      <c r="P475" s="2898">
        <v>0</v>
      </c>
      <c r="Q475" s="2586">
        <v>47.125469510067532</v>
      </c>
      <c r="R475" s="571">
        <v>943.04304098848547</v>
      </c>
      <c r="S475" s="2515">
        <f t="shared" si="54"/>
        <v>943.04304098848547</v>
      </c>
      <c r="T475" s="2515">
        <f t="shared" si="55"/>
        <v>0</v>
      </c>
    </row>
    <row r="476" spans="1:20" ht="15.75" customHeight="1" thickBot="1" x14ac:dyDescent="0.3">
      <c r="A476" s="2869" t="s">
        <v>163</v>
      </c>
      <c r="B476" s="2837" t="s">
        <v>429</v>
      </c>
      <c r="C476" s="2689" t="s">
        <v>1137</v>
      </c>
      <c r="D476" s="2895">
        <v>55.417581740933073</v>
      </c>
      <c r="E476" s="2896">
        <v>476.18070236653602</v>
      </c>
      <c r="F476" s="2897">
        <v>0</v>
      </c>
      <c r="G476" s="2898">
        <v>42.527862728597526</v>
      </c>
      <c r="H476" s="566">
        <v>574.1261468360666</v>
      </c>
      <c r="I476" s="2899">
        <v>447.2711972250159</v>
      </c>
      <c r="J476" s="2898">
        <v>11.186141499558714</v>
      </c>
      <c r="K476" s="2901">
        <v>0</v>
      </c>
      <c r="L476" s="2898">
        <v>0</v>
      </c>
      <c r="M476" s="3243">
        <f t="shared" si="52"/>
        <v>447.2711972250159</v>
      </c>
      <c r="N476" s="3244">
        <f t="shared" si="53"/>
        <v>11.186141499558714</v>
      </c>
      <c r="O476" s="2902">
        <v>0</v>
      </c>
      <c r="P476" s="2898">
        <v>0</v>
      </c>
      <c r="Q476" s="2586">
        <v>53.714004228156242</v>
      </c>
      <c r="R476" s="571">
        <v>1032.5834855606413</v>
      </c>
      <c r="S476" s="2515">
        <f t="shared" si="54"/>
        <v>1032.5834855606413</v>
      </c>
      <c r="T476" s="2515">
        <f t="shared" si="55"/>
        <v>0</v>
      </c>
    </row>
    <row r="477" spans="1:20" ht="15.75" customHeight="1" x14ac:dyDescent="0.25">
      <c r="A477" s="2822" t="s">
        <v>928</v>
      </c>
      <c r="B477" s="2822" t="s">
        <v>429</v>
      </c>
      <c r="C477" s="2673" t="s">
        <v>1145</v>
      </c>
      <c r="D477" s="2895">
        <v>232.95649194929769</v>
      </c>
      <c r="E477" s="2896">
        <v>0</v>
      </c>
      <c r="F477" s="2897">
        <v>0</v>
      </c>
      <c r="G477" s="2898">
        <v>18.636519355943815</v>
      </c>
      <c r="H477" s="566">
        <v>251.5930113052415</v>
      </c>
      <c r="I477" s="2899">
        <v>0</v>
      </c>
      <c r="J477" s="2898">
        <v>0</v>
      </c>
      <c r="K477" s="2901">
        <v>116.47824597464884</v>
      </c>
      <c r="L477" s="2898">
        <v>9.3182596779719074</v>
      </c>
      <c r="M477" s="3243">
        <f t="shared" si="52"/>
        <v>116.47824597464884</v>
      </c>
      <c r="N477" s="3244">
        <f t="shared" si="53"/>
        <v>9.3182596779719074</v>
      </c>
      <c r="O477" s="2902">
        <v>12.649221282314807</v>
      </c>
      <c r="P477" s="2898">
        <v>0</v>
      </c>
      <c r="Q477" s="2586">
        <v>27.95477903391572</v>
      </c>
      <c r="R477" s="571">
        <v>390.03873824017705</v>
      </c>
      <c r="S477" s="2515">
        <f t="shared" si="54"/>
        <v>390.03873824017705</v>
      </c>
      <c r="T477" s="2515">
        <f t="shared" si="55"/>
        <v>0</v>
      </c>
    </row>
    <row r="478" spans="1:20" ht="15.75" customHeight="1" x14ac:dyDescent="0.25">
      <c r="A478" s="2833" t="s">
        <v>929</v>
      </c>
      <c r="B478" s="2833"/>
      <c r="C478" s="2672" t="s">
        <v>1145</v>
      </c>
      <c r="D478" s="2895">
        <v>341.52897462249979</v>
      </c>
      <c r="E478" s="2896">
        <v>0</v>
      </c>
      <c r="F478" s="2897">
        <v>14.135504782986796</v>
      </c>
      <c r="G478" s="2898">
        <v>18.763011568766963</v>
      </c>
      <c r="H478" s="566">
        <v>374.42749097425354</v>
      </c>
      <c r="I478" s="2899">
        <v>0</v>
      </c>
      <c r="J478" s="2898">
        <v>0</v>
      </c>
      <c r="K478" s="2901">
        <v>120.69465306875378</v>
      </c>
      <c r="L478" s="2898">
        <v>6.5775950668037</v>
      </c>
      <c r="M478" s="3243">
        <f t="shared" si="52"/>
        <v>120.69465306875378</v>
      </c>
      <c r="N478" s="3244">
        <f t="shared" si="53"/>
        <v>6.5775950668037</v>
      </c>
      <c r="O478" s="2902">
        <v>12.649221282314807</v>
      </c>
      <c r="P478" s="2898">
        <v>0</v>
      </c>
      <c r="Q478" s="2586">
        <v>25.340606635570662</v>
      </c>
      <c r="R478" s="571">
        <v>514.34896039212583</v>
      </c>
      <c r="S478" s="2515">
        <f t="shared" si="54"/>
        <v>514.34896039212583</v>
      </c>
      <c r="T478" s="2515">
        <f t="shared" si="55"/>
        <v>0</v>
      </c>
    </row>
    <row r="479" spans="1:20" ht="15.75" customHeight="1" thickBot="1" x14ac:dyDescent="0.3">
      <c r="A479" s="2835" t="s">
        <v>930</v>
      </c>
      <c r="B479" s="2835"/>
      <c r="C479" s="2696" t="s">
        <v>1145</v>
      </c>
      <c r="D479" s="2895">
        <v>120.69465306875378</v>
      </c>
      <c r="E479" s="2896">
        <v>0</v>
      </c>
      <c r="F479" s="2897">
        <v>0</v>
      </c>
      <c r="G479" s="2898">
        <v>9.6555722455003021</v>
      </c>
      <c r="H479" s="566">
        <v>130.35022531425409</v>
      </c>
      <c r="I479" s="2899">
        <v>0</v>
      </c>
      <c r="J479" s="2898">
        <v>0</v>
      </c>
      <c r="K479" s="2901">
        <v>98.558515824702866</v>
      </c>
      <c r="L479" s="2898">
        <v>7.88468126597623</v>
      </c>
      <c r="M479" s="3243">
        <f t="shared" si="52"/>
        <v>98.558515824702866</v>
      </c>
      <c r="N479" s="3244">
        <f t="shared" si="53"/>
        <v>7.88468126597623</v>
      </c>
      <c r="O479" s="2902">
        <v>12.649221282314807</v>
      </c>
      <c r="P479" s="2898">
        <v>0</v>
      </c>
      <c r="Q479" s="2586">
        <v>17.540253511476532</v>
      </c>
      <c r="R479" s="571">
        <v>249.44264368724799</v>
      </c>
      <c r="S479" s="2515">
        <f t="shared" si="54"/>
        <v>249.44264368724799</v>
      </c>
      <c r="T479" s="2515">
        <f t="shared" si="55"/>
        <v>0</v>
      </c>
    </row>
    <row r="480" spans="1:20" ht="15.75" customHeight="1" x14ac:dyDescent="0.25">
      <c r="A480" s="3179" t="s">
        <v>746</v>
      </c>
      <c r="B480" s="2822" t="s">
        <v>429</v>
      </c>
      <c r="C480" s="2673" t="s">
        <v>1147</v>
      </c>
      <c r="D480" s="2895">
        <v>4.9608404483911857</v>
      </c>
      <c r="E480" s="2896">
        <v>176.33031771559337</v>
      </c>
      <c r="F480" s="2897">
        <v>0</v>
      </c>
      <c r="G480" s="2898">
        <v>31.739457188806806</v>
      </c>
      <c r="H480" s="566">
        <v>213.03061535279136</v>
      </c>
      <c r="I480" s="2899">
        <v>132.24773828669504</v>
      </c>
      <c r="J480" s="2898">
        <v>23.804592891605107</v>
      </c>
      <c r="K480" s="2901">
        <v>0</v>
      </c>
      <c r="L480" s="2898">
        <v>0</v>
      </c>
      <c r="M480" s="3243">
        <f t="shared" si="52"/>
        <v>132.24773828669504</v>
      </c>
      <c r="N480" s="3244">
        <f t="shared" si="53"/>
        <v>23.804592891605107</v>
      </c>
      <c r="O480" s="2902">
        <v>0</v>
      </c>
      <c r="P480" s="2898">
        <v>0</v>
      </c>
      <c r="Q480" s="2586">
        <v>55.544050080411914</v>
      </c>
      <c r="R480" s="571">
        <v>369.08294653109152</v>
      </c>
      <c r="S480" s="2515">
        <f t="shared" si="54"/>
        <v>369.08294653109152</v>
      </c>
      <c r="T480" s="2515">
        <f t="shared" si="55"/>
        <v>0</v>
      </c>
    </row>
    <row r="481" spans="1:20" ht="15.75" customHeight="1" x14ac:dyDescent="0.25">
      <c r="A481" s="2833" t="s">
        <v>747</v>
      </c>
      <c r="B481" s="2833"/>
      <c r="C481" s="2672" t="s">
        <v>1147</v>
      </c>
      <c r="D481" s="2895">
        <v>4.9608404483911857</v>
      </c>
      <c r="E481" s="2896">
        <v>176.33031771559337</v>
      </c>
      <c r="F481" s="2897">
        <v>0</v>
      </c>
      <c r="G481" s="2898">
        <v>31.739457188806806</v>
      </c>
      <c r="H481" s="566">
        <v>213.03061535279136</v>
      </c>
      <c r="I481" s="2899">
        <v>132.24773828669504</v>
      </c>
      <c r="J481" s="2898">
        <v>23.804592891605107</v>
      </c>
      <c r="K481" s="2901">
        <v>0</v>
      </c>
      <c r="L481" s="2898">
        <v>0</v>
      </c>
      <c r="M481" s="3243">
        <f t="shared" si="52"/>
        <v>132.24773828669504</v>
      </c>
      <c r="N481" s="3244">
        <f t="shared" si="53"/>
        <v>23.804592891605107</v>
      </c>
      <c r="O481" s="2902">
        <v>0</v>
      </c>
      <c r="P481" s="2898">
        <v>0</v>
      </c>
      <c r="Q481" s="2586">
        <v>55.544050080411914</v>
      </c>
      <c r="R481" s="571">
        <v>369.08294653109152</v>
      </c>
      <c r="S481" s="2515">
        <f t="shared" si="54"/>
        <v>369.08294653109152</v>
      </c>
      <c r="T481" s="2515">
        <f t="shared" si="55"/>
        <v>0</v>
      </c>
    </row>
    <row r="482" spans="1:20" ht="15.75" customHeight="1" x14ac:dyDescent="0.25">
      <c r="A482" s="2833" t="s">
        <v>748</v>
      </c>
      <c r="B482" s="2833"/>
      <c r="C482" s="2672" t="s">
        <v>1147</v>
      </c>
      <c r="D482" s="2895">
        <v>4.9608404483911857</v>
      </c>
      <c r="E482" s="2896">
        <v>176.33031771559337</v>
      </c>
      <c r="F482" s="2897">
        <v>0</v>
      </c>
      <c r="G482" s="2898">
        <v>31.739457188806806</v>
      </c>
      <c r="H482" s="566">
        <v>213.03061535279136</v>
      </c>
      <c r="I482" s="2899">
        <v>132.24773828669504</v>
      </c>
      <c r="J482" s="2898">
        <v>23.804592891605107</v>
      </c>
      <c r="K482" s="2901">
        <v>0</v>
      </c>
      <c r="L482" s="2898">
        <v>0</v>
      </c>
      <c r="M482" s="3243">
        <f t="shared" si="52"/>
        <v>132.24773828669504</v>
      </c>
      <c r="N482" s="3244">
        <f t="shared" si="53"/>
        <v>23.804592891605107</v>
      </c>
      <c r="O482" s="2902">
        <v>0</v>
      </c>
      <c r="P482" s="2898">
        <v>0</v>
      </c>
      <c r="Q482" s="2586">
        <v>55.544050080411914</v>
      </c>
      <c r="R482" s="571">
        <v>369.08294653109152</v>
      </c>
      <c r="S482" s="2515">
        <f t="shared" si="54"/>
        <v>369.08294653109152</v>
      </c>
      <c r="T482" s="2515">
        <f t="shared" si="55"/>
        <v>0</v>
      </c>
    </row>
    <row r="483" spans="1:20" ht="15.75" customHeight="1" thickBot="1" x14ac:dyDescent="0.3">
      <c r="A483" s="2835" t="s">
        <v>749</v>
      </c>
      <c r="B483" s="2835"/>
      <c r="C483" s="2696" t="s">
        <v>1147</v>
      </c>
      <c r="D483" s="2895">
        <v>4.9608404483911857</v>
      </c>
      <c r="E483" s="2896">
        <v>176.33031771559337</v>
      </c>
      <c r="F483" s="2897">
        <v>0</v>
      </c>
      <c r="G483" s="2898">
        <v>31.739457188806806</v>
      </c>
      <c r="H483" s="566">
        <v>213.03061535279136</v>
      </c>
      <c r="I483" s="2899">
        <v>132.24773828669504</v>
      </c>
      <c r="J483" s="2898">
        <v>23.804592891605107</v>
      </c>
      <c r="K483" s="2901">
        <v>0</v>
      </c>
      <c r="L483" s="2898">
        <v>0</v>
      </c>
      <c r="M483" s="3243">
        <f t="shared" si="52"/>
        <v>132.24773828669504</v>
      </c>
      <c r="N483" s="3244">
        <f t="shared" si="53"/>
        <v>23.804592891605107</v>
      </c>
      <c r="O483" s="2902">
        <v>0</v>
      </c>
      <c r="P483" s="2898">
        <v>0</v>
      </c>
      <c r="Q483" s="2586">
        <v>55.544050080411914</v>
      </c>
      <c r="R483" s="571">
        <v>369.08294653109152</v>
      </c>
      <c r="S483" s="2515">
        <f t="shared" si="54"/>
        <v>369.08294653109152</v>
      </c>
      <c r="T483" s="2515">
        <f t="shared" si="55"/>
        <v>0</v>
      </c>
    </row>
    <row r="484" spans="1:20" ht="15.75" customHeight="1" x14ac:dyDescent="0.25">
      <c r="A484" s="3183" t="s">
        <v>165</v>
      </c>
      <c r="B484" s="2837"/>
      <c r="C484" s="2689" t="s">
        <v>1149</v>
      </c>
      <c r="D484" s="2895">
        <v>35.247053735538977</v>
      </c>
      <c r="E484" s="2896">
        <v>410.66601794788625</v>
      </c>
      <c r="F484" s="2897">
        <v>0</v>
      </c>
      <c r="G484" s="2898">
        <v>0</v>
      </c>
      <c r="H484" s="566">
        <v>445.91307168342524</v>
      </c>
      <c r="I484" s="2899">
        <v>0</v>
      </c>
      <c r="J484" s="2898">
        <v>0</v>
      </c>
      <c r="K484" s="2901">
        <v>354.11936425559514</v>
      </c>
      <c r="L484" s="2898">
        <v>0</v>
      </c>
      <c r="M484" s="3243">
        <f t="shared" si="52"/>
        <v>354.11936425559514</v>
      </c>
      <c r="N484" s="3244">
        <f t="shared" si="53"/>
        <v>0</v>
      </c>
      <c r="O484" s="2902">
        <v>0</v>
      </c>
      <c r="P484" s="2898">
        <v>0</v>
      </c>
      <c r="Q484" s="2586">
        <v>0</v>
      </c>
      <c r="R484" s="571">
        <v>800.03243593902039</v>
      </c>
      <c r="S484" s="2515">
        <f t="shared" si="54"/>
        <v>800.03243593902039</v>
      </c>
      <c r="T484" s="2515">
        <f t="shared" si="55"/>
        <v>0</v>
      </c>
    </row>
    <row r="485" spans="1:20" ht="15.75" customHeight="1" x14ac:dyDescent="0.25">
      <c r="A485" s="2868" t="s">
        <v>166</v>
      </c>
      <c r="B485" s="2837" t="s">
        <v>429</v>
      </c>
      <c r="C485" s="2689" t="s">
        <v>1149</v>
      </c>
      <c r="D485" s="2895">
        <v>46.559087468915564</v>
      </c>
      <c r="E485" s="2896">
        <v>346.22661909395612</v>
      </c>
      <c r="F485" s="2897">
        <v>0</v>
      </c>
      <c r="G485" s="2898">
        <v>0</v>
      </c>
      <c r="H485" s="566">
        <v>392.78570656287167</v>
      </c>
      <c r="I485" s="2899">
        <v>0</v>
      </c>
      <c r="J485" s="2898">
        <v>0</v>
      </c>
      <c r="K485" s="2901">
        <v>555.80333008973946</v>
      </c>
      <c r="L485" s="2898">
        <v>0</v>
      </c>
      <c r="M485" s="3243">
        <f t="shared" si="52"/>
        <v>555.80333008973946</v>
      </c>
      <c r="N485" s="3244">
        <f t="shared" si="53"/>
        <v>0</v>
      </c>
      <c r="O485" s="2902">
        <v>0</v>
      </c>
      <c r="P485" s="2898">
        <v>0</v>
      </c>
      <c r="Q485" s="2586">
        <v>0</v>
      </c>
      <c r="R485" s="571">
        <v>948.58903665261118</v>
      </c>
      <c r="S485" s="2515">
        <f t="shared" si="54"/>
        <v>948.58903665261118</v>
      </c>
      <c r="T485" s="2515">
        <f t="shared" si="55"/>
        <v>0</v>
      </c>
    </row>
    <row r="486" spans="1:20" ht="15.75" customHeight="1" x14ac:dyDescent="0.25">
      <c r="A486" s="2868" t="s">
        <v>167</v>
      </c>
      <c r="B486" s="2837" t="s">
        <v>429</v>
      </c>
      <c r="C486" s="2689" t="s">
        <v>1149</v>
      </c>
      <c r="D486" s="2895">
        <v>42.301870472483515</v>
      </c>
      <c r="E486" s="2896">
        <v>346.98345767109959</v>
      </c>
      <c r="F486" s="2897">
        <v>0</v>
      </c>
      <c r="G486" s="2898">
        <v>0</v>
      </c>
      <c r="H486" s="566">
        <v>389.28532814358311</v>
      </c>
      <c r="I486" s="2899">
        <v>0</v>
      </c>
      <c r="J486" s="2898">
        <v>0</v>
      </c>
      <c r="K486" s="2901">
        <v>264.71780733052219</v>
      </c>
      <c r="L486" s="2898">
        <v>0</v>
      </c>
      <c r="M486" s="3243">
        <f t="shared" si="52"/>
        <v>264.71780733052219</v>
      </c>
      <c r="N486" s="3244">
        <f t="shared" si="53"/>
        <v>0</v>
      </c>
      <c r="O486" s="2902">
        <v>0</v>
      </c>
      <c r="P486" s="2898">
        <v>0</v>
      </c>
      <c r="Q486" s="2586">
        <v>0</v>
      </c>
      <c r="R486" s="571">
        <v>654.00313547410531</v>
      </c>
      <c r="S486" s="2515">
        <f t="shared" si="54"/>
        <v>654.00313547410531</v>
      </c>
      <c r="T486" s="2515">
        <f t="shared" si="55"/>
        <v>0</v>
      </c>
    </row>
    <row r="487" spans="1:20" ht="15.75" customHeight="1" x14ac:dyDescent="0.25">
      <c r="A487" s="2868" t="s">
        <v>168</v>
      </c>
      <c r="B487" s="2837"/>
      <c r="C487" s="2689" t="s">
        <v>1149</v>
      </c>
      <c r="D487" s="2895">
        <v>43.031679100443291</v>
      </c>
      <c r="E487" s="2896">
        <v>476.26770461671526</v>
      </c>
      <c r="F487" s="2897">
        <v>0</v>
      </c>
      <c r="G487" s="2898">
        <v>0</v>
      </c>
      <c r="H487" s="566">
        <v>519.29938371715855</v>
      </c>
      <c r="I487" s="2899">
        <v>0</v>
      </c>
      <c r="J487" s="2898">
        <v>0</v>
      </c>
      <c r="K487" s="2901">
        <v>447.87274299924314</v>
      </c>
      <c r="L487" s="2898">
        <v>0</v>
      </c>
      <c r="M487" s="3243">
        <f t="shared" si="52"/>
        <v>447.87274299924314</v>
      </c>
      <c r="N487" s="3244">
        <f t="shared" si="53"/>
        <v>0</v>
      </c>
      <c r="O487" s="2902">
        <v>0</v>
      </c>
      <c r="P487" s="2898">
        <v>0</v>
      </c>
      <c r="Q487" s="2586">
        <v>0</v>
      </c>
      <c r="R487" s="571">
        <v>967.17212671640164</v>
      </c>
      <c r="S487" s="2515">
        <f t="shared" si="54"/>
        <v>967.17212671640164</v>
      </c>
      <c r="T487" s="2515">
        <f t="shared" si="55"/>
        <v>0</v>
      </c>
    </row>
    <row r="488" spans="1:20" ht="15.75" customHeight="1" thickBot="1" x14ac:dyDescent="0.3">
      <c r="A488" s="2868" t="s">
        <v>169</v>
      </c>
      <c r="B488" s="2837"/>
      <c r="C488" s="2689" t="s">
        <v>1149</v>
      </c>
      <c r="D488" s="2895">
        <v>32.530543842577572</v>
      </c>
      <c r="E488" s="2896">
        <v>364.36371499621583</v>
      </c>
      <c r="F488" s="2897">
        <v>0</v>
      </c>
      <c r="G488" s="2898">
        <v>0</v>
      </c>
      <c r="H488" s="566">
        <v>396.89425883879341</v>
      </c>
      <c r="I488" s="2899">
        <v>0</v>
      </c>
      <c r="J488" s="2898">
        <v>0</v>
      </c>
      <c r="K488" s="2901">
        <v>527.09752405665472</v>
      </c>
      <c r="L488" s="2898">
        <v>0</v>
      </c>
      <c r="M488" s="3243">
        <f t="shared" si="52"/>
        <v>527.09752405665472</v>
      </c>
      <c r="N488" s="3244">
        <f t="shared" si="53"/>
        <v>0</v>
      </c>
      <c r="O488" s="2902">
        <v>0</v>
      </c>
      <c r="P488" s="2898">
        <v>0</v>
      </c>
      <c r="Q488" s="2586">
        <v>0</v>
      </c>
      <c r="R488" s="571">
        <v>923.99178289544807</v>
      </c>
      <c r="S488" s="2515">
        <f t="shared" si="54"/>
        <v>923.99178289544807</v>
      </c>
      <c r="T488" s="2515">
        <f t="shared" si="55"/>
        <v>0</v>
      </c>
    </row>
    <row r="489" spans="1:20" ht="15.75" customHeight="1" x14ac:dyDescent="0.25">
      <c r="A489" s="2821" t="s">
        <v>170</v>
      </c>
      <c r="B489" s="2822"/>
      <c r="C489" s="2673" t="s">
        <v>1151</v>
      </c>
      <c r="D489" s="2895" t="s">
        <v>5</v>
      </c>
      <c r="E489" s="2896">
        <v>269.10000000000002</v>
      </c>
      <c r="F489" s="2897" t="s">
        <v>5</v>
      </c>
      <c r="G489" s="2898" t="s">
        <v>5</v>
      </c>
      <c r="H489" s="566">
        <v>269.10000000000002</v>
      </c>
      <c r="I489" s="2899" t="s">
        <v>5</v>
      </c>
      <c r="J489" s="2898" t="s">
        <v>5</v>
      </c>
      <c r="K489" s="2901">
        <v>427.87</v>
      </c>
      <c r="L489" s="2898" t="s">
        <v>5</v>
      </c>
      <c r="M489" s="3243">
        <f t="shared" ref="M489:M495" si="56">K489</f>
        <v>427.87</v>
      </c>
      <c r="N489" s="3242" t="s">
        <v>5</v>
      </c>
      <c r="O489" s="2902" t="s">
        <v>5</v>
      </c>
      <c r="P489" s="2898" t="s">
        <v>5</v>
      </c>
      <c r="Q489" s="2586" t="s">
        <v>5</v>
      </c>
      <c r="R489" s="571">
        <v>696.97</v>
      </c>
      <c r="S489" s="2515">
        <f>H489+M489</f>
        <v>696.97</v>
      </c>
      <c r="T489" s="2515">
        <f t="shared" si="55"/>
        <v>0</v>
      </c>
    </row>
    <row r="490" spans="1:20" ht="15.75" customHeight="1" x14ac:dyDescent="0.25">
      <c r="A490" s="2833" t="s">
        <v>171</v>
      </c>
      <c r="B490" s="2833" t="s">
        <v>429</v>
      </c>
      <c r="C490" s="2672" t="s">
        <v>1151</v>
      </c>
      <c r="D490" s="2895">
        <v>121.92</v>
      </c>
      <c r="E490" s="2896">
        <v>259.12</v>
      </c>
      <c r="F490" s="2897">
        <v>47.32</v>
      </c>
      <c r="G490" s="2898" t="s">
        <v>5</v>
      </c>
      <c r="H490" s="566">
        <v>428.36</v>
      </c>
      <c r="I490" s="2899" t="s">
        <v>5</v>
      </c>
      <c r="J490" s="2898" t="s">
        <v>5</v>
      </c>
      <c r="K490" s="2901">
        <v>588.34</v>
      </c>
      <c r="L490" s="2898" t="s">
        <v>5</v>
      </c>
      <c r="M490" s="3243">
        <f t="shared" si="56"/>
        <v>588.34</v>
      </c>
      <c r="N490" s="3242" t="s">
        <v>5</v>
      </c>
      <c r="O490" s="2902">
        <v>334.2</v>
      </c>
      <c r="P490" s="2898" t="s">
        <v>5</v>
      </c>
      <c r="Q490" s="2586" t="s">
        <v>5</v>
      </c>
      <c r="R490" s="571">
        <v>1350.9</v>
      </c>
      <c r="S490" s="2515">
        <f>H490+M490+O490</f>
        <v>1350.9</v>
      </c>
      <c r="T490" s="2515">
        <f t="shared" si="55"/>
        <v>0</v>
      </c>
    </row>
    <row r="491" spans="1:20" ht="15.75" customHeight="1" x14ac:dyDescent="0.25">
      <c r="A491" s="2833" t="s">
        <v>172</v>
      </c>
      <c r="B491" s="2833"/>
      <c r="C491" s="2672" t="s">
        <v>1151</v>
      </c>
      <c r="D491" s="2895" t="s">
        <v>5</v>
      </c>
      <c r="E491" s="2896">
        <v>408.34</v>
      </c>
      <c r="F491" s="2897" t="s">
        <v>5</v>
      </c>
      <c r="G491" s="2898" t="s">
        <v>5</v>
      </c>
      <c r="H491" s="566">
        <v>408.34</v>
      </c>
      <c r="I491" s="2899" t="s">
        <v>5</v>
      </c>
      <c r="J491" s="2898" t="s">
        <v>5</v>
      </c>
      <c r="K491" s="2901">
        <v>332.24</v>
      </c>
      <c r="L491" s="2898" t="s">
        <v>5</v>
      </c>
      <c r="M491" s="3243">
        <f t="shared" si="56"/>
        <v>332.24</v>
      </c>
      <c r="N491" s="3242" t="s">
        <v>5</v>
      </c>
      <c r="O491" s="2902" t="s">
        <v>5</v>
      </c>
      <c r="P491" s="2898" t="s">
        <v>5</v>
      </c>
      <c r="Q491" s="2586" t="s">
        <v>5</v>
      </c>
      <c r="R491" s="571">
        <v>740.57999999999993</v>
      </c>
      <c r="S491" s="2515">
        <f>H491+M491</f>
        <v>740.57999999999993</v>
      </c>
      <c r="T491" s="2515">
        <f t="shared" ref="T491:T495" si="57">R491-S491</f>
        <v>0</v>
      </c>
    </row>
    <row r="492" spans="1:20" ht="15.75" customHeight="1" x14ac:dyDescent="0.25">
      <c r="A492" s="2833" t="s">
        <v>173</v>
      </c>
      <c r="B492" s="2833"/>
      <c r="C492" s="2672" t="s">
        <v>1151</v>
      </c>
      <c r="D492" s="2895" t="s">
        <v>5</v>
      </c>
      <c r="E492" s="2896">
        <v>205.11</v>
      </c>
      <c r="F492" s="2897" t="s">
        <v>5</v>
      </c>
      <c r="G492" s="2898" t="s">
        <v>5</v>
      </c>
      <c r="H492" s="566">
        <v>205.11</v>
      </c>
      <c r="I492" s="2899" t="s">
        <v>5</v>
      </c>
      <c r="J492" s="2898" t="s">
        <v>5</v>
      </c>
      <c r="K492" s="2901">
        <v>205.11</v>
      </c>
      <c r="L492" s="2898" t="s">
        <v>5</v>
      </c>
      <c r="M492" s="3243">
        <f t="shared" si="56"/>
        <v>205.11</v>
      </c>
      <c r="N492" s="3242" t="s">
        <v>5</v>
      </c>
      <c r="O492" s="2902" t="s">
        <v>5</v>
      </c>
      <c r="P492" s="2898" t="s">
        <v>5</v>
      </c>
      <c r="Q492" s="2586" t="s">
        <v>5</v>
      </c>
      <c r="R492" s="571">
        <v>410.22</v>
      </c>
      <c r="S492" s="2515">
        <f>H492+M492</f>
        <v>410.22</v>
      </c>
      <c r="T492" s="2515">
        <f t="shared" si="57"/>
        <v>0</v>
      </c>
    </row>
    <row r="493" spans="1:20" ht="15.75" customHeight="1" x14ac:dyDescent="0.25">
      <c r="A493" s="2833" t="s">
        <v>174</v>
      </c>
      <c r="B493" s="2833"/>
      <c r="C493" s="2672" t="s">
        <v>1151</v>
      </c>
      <c r="D493" s="2895">
        <v>184.68</v>
      </c>
      <c r="E493" s="2896">
        <v>120.99</v>
      </c>
      <c r="F493" s="2897" t="s">
        <v>5</v>
      </c>
      <c r="G493" s="2898" t="s">
        <v>5</v>
      </c>
      <c r="H493" s="566">
        <v>305.67</v>
      </c>
      <c r="I493" s="2899" t="s">
        <v>5</v>
      </c>
      <c r="J493" s="2898" t="s">
        <v>5</v>
      </c>
      <c r="K493" s="2901">
        <v>362.52</v>
      </c>
      <c r="L493" s="2898" t="s">
        <v>5</v>
      </c>
      <c r="M493" s="3243">
        <f t="shared" si="56"/>
        <v>362.52</v>
      </c>
      <c r="N493" s="3242" t="s">
        <v>5</v>
      </c>
      <c r="O493" s="2902">
        <v>16.670000000000002</v>
      </c>
      <c r="P493" s="2898" t="s">
        <v>5</v>
      </c>
      <c r="Q493" s="2586" t="s">
        <v>5</v>
      </c>
      <c r="R493" s="571">
        <v>684.86</v>
      </c>
      <c r="S493" s="2515">
        <f>H493+M493+O493</f>
        <v>684.86</v>
      </c>
      <c r="T493" s="2515">
        <f t="shared" si="57"/>
        <v>0</v>
      </c>
    </row>
    <row r="494" spans="1:20" ht="15.75" customHeight="1" x14ac:dyDescent="0.25">
      <c r="A494" s="2833" t="s">
        <v>175</v>
      </c>
      <c r="B494" s="2833"/>
      <c r="C494" s="2672" t="s">
        <v>1151</v>
      </c>
      <c r="D494" s="2895">
        <v>38.4</v>
      </c>
      <c r="E494" s="2896">
        <v>93.57</v>
      </c>
      <c r="F494" s="2897" t="s">
        <v>5</v>
      </c>
      <c r="G494" s="2898" t="s">
        <v>5</v>
      </c>
      <c r="H494" s="566">
        <v>131.97</v>
      </c>
      <c r="I494" s="2899" t="s">
        <v>5</v>
      </c>
      <c r="J494" s="2898" t="s">
        <v>5</v>
      </c>
      <c r="K494" s="2901">
        <v>248.71</v>
      </c>
      <c r="L494" s="2898" t="s">
        <v>5</v>
      </c>
      <c r="M494" s="3243">
        <f t="shared" si="56"/>
        <v>248.71</v>
      </c>
      <c r="N494" s="3242" t="s">
        <v>5</v>
      </c>
      <c r="O494" s="2902" t="s">
        <v>5</v>
      </c>
      <c r="P494" s="2898" t="s">
        <v>5</v>
      </c>
      <c r="Q494" s="2586" t="s">
        <v>5</v>
      </c>
      <c r="R494" s="571">
        <v>380.68</v>
      </c>
      <c r="S494" s="2515">
        <f>H494+M494</f>
        <v>380.68</v>
      </c>
      <c r="T494" s="2515">
        <f t="shared" si="57"/>
        <v>0</v>
      </c>
    </row>
    <row r="495" spans="1:20" ht="15.75" customHeight="1" thickBot="1" x14ac:dyDescent="0.3">
      <c r="A495" s="3195" t="s">
        <v>212</v>
      </c>
      <c r="B495" s="3196"/>
      <c r="C495" s="2696" t="s">
        <v>1151</v>
      </c>
      <c r="D495" s="3197">
        <v>48</v>
      </c>
      <c r="E495" s="3198">
        <v>249.32</v>
      </c>
      <c r="F495" s="3199" t="s">
        <v>5</v>
      </c>
      <c r="G495" s="3200" t="s">
        <v>5</v>
      </c>
      <c r="H495" s="566">
        <v>297.32</v>
      </c>
      <c r="I495" s="2899" t="s">
        <v>5</v>
      </c>
      <c r="J495" s="2898" t="s">
        <v>5</v>
      </c>
      <c r="K495" s="3201">
        <v>308.33</v>
      </c>
      <c r="L495" s="2898" t="s">
        <v>5</v>
      </c>
      <c r="M495" s="3243">
        <f t="shared" si="56"/>
        <v>308.33</v>
      </c>
      <c r="N495" s="3242" t="s">
        <v>5</v>
      </c>
      <c r="O495" s="3202">
        <v>12.36</v>
      </c>
      <c r="P495" s="2898" t="s">
        <v>5</v>
      </c>
      <c r="Q495" s="2586" t="s">
        <v>5</v>
      </c>
      <c r="R495" s="571">
        <v>618.01</v>
      </c>
      <c r="S495" s="2515">
        <f>H495+M495+O495</f>
        <v>618.01</v>
      </c>
      <c r="T495" s="2515">
        <f t="shared" si="57"/>
        <v>0</v>
      </c>
    </row>
    <row r="499" spans="1:13" ht="15.75" customHeight="1" thickBot="1" x14ac:dyDescent="0.3">
      <c r="A499" s="3225" t="s">
        <v>58</v>
      </c>
      <c r="B499" s="3226" t="s">
        <v>1022</v>
      </c>
      <c r="C499" s="3227" t="s">
        <v>1294</v>
      </c>
      <c r="D499" s="3228" t="s">
        <v>1295</v>
      </c>
      <c r="E499" s="3229" t="s">
        <v>1194</v>
      </c>
      <c r="F499" s="3230" t="s">
        <v>1195</v>
      </c>
      <c r="G499" s="3231" t="s">
        <v>1196</v>
      </c>
      <c r="H499" s="3245" t="s">
        <v>1205</v>
      </c>
      <c r="I499" s="3235" t="s">
        <v>1208</v>
      </c>
      <c r="J499" s="3236" t="s">
        <v>1206</v>
      </c>
      <c r="K499" s="3230" t="s">
        <v>1207</v>
      </c>
      <c r="L499" s="3238" t="s">
        <v>1202</v>
      </c>
      <c r="M499" s="3246" t="s">
        <v>1203</v>
      </c>
    </row>
    <row r="500" spans="1:13" ht="15.75" customHeight="1" x14ac:dyDescent="0.25">
      <c r="A500" s="3247" t="s">
        <v>1298</v>
      </c>
      <c r="B500" s="3248" t="s">
        <v>1024</v>
      </c>
      <c r="C500" s="2578" t="s">
        <v>5</v>
      </c>
      <c r="D500" s="2579" t="s">
        <v>5</v>
      </c>
      <c r="E500" s="2580" t="s">
        <v>5</v>
      </c>
      <c r="F500" s="2581" t="s">
        <v>5</v>
      </c>
      <c r="G500" s="566" t="s">
        <v>5</v>
      </c>
      <c r="H500" s="3249" t="s">
        <v>5</v>
      </c>
      <c r="I500" s="3242" t="s">
        <v>5</v>
      </c>
      <c r="J500" s="2585" t="s">
        <v>5</v>
      </c>
      <c r="K500" s="2581" t="s">
        <v>5</v>
      </c>
      <c r="L500" s="571">
        <v>33.30485707480905</v>
      </c>
      <c r="M500" s="2515">
        <f>L500</f>
        <v>33.30485707480905</v>
      </c>
    </row>
    <row r="501" spans="1:13" ht="15.75" customHeight="1" x14ac:dyDescent="0.25">
      <c r="A501" s="3250" t="s">
        <v>1299</v>
      </c>
      <c r="B501" s="3248" t="s">
        <v>1024</v>
      </c>
      <c r="C501" s="2578" t="s">
        <v>5</v>
      </c>
      <c r="D501" s="2579" t="s">
        <v>5</v>
      </c>
      <c r="E501" s="2580" t="s">
        <v>5</v>
      </c>
      <c r="F501" s="2581" t="s">
        <v>5</v>
      </c>
      <c r="G501" s="566" t="s">
        <v>5</v>
      </c>
      <c r="H501" s="3249" t="s">
        <v>5</v>
      </c>
      <c r="I501" s="3242" t="s">
        <v>5</v>
      </c>
      <c r="J501" s="2585" t="s">
        <v>5</v>
      </c>
      <c r="K501" s="2581" t="s">
        <v>5</v>
      </c>
      <c r="L501" s="571">
        <v>42.096117856226968</v>
      </c>
      <c r="M501" s="2515">
        <f>L501</f>
        <v>42.096117856226968</v>
      </c>
    </row>
    <row r="502" spans="1:13" ht="15.75" customHeight="1" x14ac:dyDescent="0.25">
      <c r="A502" s="3250" t="s">
        <v>1300</v>
      </c>
      <c r="B502" s="3248" t="s">
        <v>1024</v>
      </c>
      <c r="C502" s="2578" t="s">
        <v>5</v>
      </c>
      <c r="D502" s="2579" t="s">
        <v>5</v>
      </c>
      <c r="E502" s="2580" t="s">
        <v>5</v>
      </c>
      <c r="F502" s="2581" t="s">
        <v>5</v>
      </c>
      <c r="G502" s="566" t="s">
        <v>5</v>
      </c>
      <c r="H502" s="3249" t="s">
        <v>5</v>
      </c>
      <c r="I502" s="3242" t="s">
        <v>5</v>
      </c>
      <c r="J502" s="2585" t="s">
        <v>5</v>
      </c>
      <c r="K502" s="2581" t="s">
        <v>5</v>
      </c>
      <c r="L502" s="571">
        <v>62.109246683788257</v>
      </c>
      <c r="M502" s="2515">
        <f>L502</f>
        <v>62.109246683788257</v>
      </c>
    </row>
    <row r="503" spans="1:13" ht="15.75" customHeight="1" x14ac:dyDescent="0.25">
      <c r="A503" s="3250" t="s">
        <v>526</v>
      </c>
      <c r="B503" s="3248" t="s">
        <v>1026</v>
      </c>
      <c r="C503" s="2578">
        <v>52.78568919107235</v>
      </c>
      <c r="D503" s="2579">
        <v>0</v>
      </c>
      <c r="E503" s="2580">
        <v>0</v>
      </c>
      <c r="F503" s="2581">
        <v>10.557137838214471</v>
      </c>
      <c r="G503" s="566">
        <v>63.342827029286823</v>
      </c>
      <c r="H503" s="3251">
        <v>9.3151216219539439</v>
      </c>
      <c r="I503" s="3244">
        <v>1.8630243243907889</v>
      </c>
      <c r="J503" s="2585">
        <v>0</v>
      </c>
      <c r="K503" s="2581">
        <v>0</v>
      </c>
      <c r="L503" s="571"/>
      <c r="M503" s="2515">
        <f>G503+H503+I503+J503+K503</f>
        <v>74.520972975631565</v>
      </c>
    </row>
    <row r="504" spans="1:13" ht="15.75" customHeight="1" x14ac:dyDescent="0.25">
      <c r="A504" s="3250" t="s">
        <v>217</v>
      </c>
      <c r="B504" s="3248" t="s">
        <v>1024</v>
      </c>
      <c r="C504" s="2578" t="s">
        <v>5</v>
      </c>
      <c r="D504" s="2579" t="s">
        <v>5</v>
      </c>
      <c r="E504" s="2580" t="s">
        <v>5</v>
      </c>
      <c r="F504" s="2581" t="s">
        <v>5</v>
      </c>
      <c r="G504" s="566" t="s">
        <v>5</v>
      </c>
      <c r="H504" s="3249" t="s">
        <v>5</v>
      </c>
      <c r="I504" s="3242" t="s">
        <v>5</v>
      </c>
      <c r="J504" s="2585" t="s">
        <v>5</v>
      </c>
      <c r="K504" s="2581" t="s">
        <v>5</v>
      </c>
      <c r="L504" s="571">
        <v>79.756820995801675</v>
      </c>
      <c r="M504" s="2515">
        <f>L504</f>
        <v>79.756820995801675</v>
      </c>
    </row>
    <row r="505" spans="1:13" ht="15.75" customHeight="1" x14ac:dyDescent="0.25">
      <c r="A505" s="3252" t="s">
        <v>148</v>
      </c>
      <c r="B505" s="2785" t="s">
        <v>1131</v>
      </c>
      <c r="C505" s="2578">
        <v>0</v>
      </c>
      <c r="D505" s="2896">
        <v>99.327600505627913</v>
      </c>
      <c r="E505" s="2897">
        <v>0</v>
      </c>
      <c r="F505" s="2898">
        <v>0</v>
      </c>
      <c r="G505" s="566">
        <v>99.327600505627913</v>
      </c>
      <c r="H505" s="3251">
        <v>0</v>
      </c>
      <c r="I505" s="3244">
        <v>0</v>
      </c>
      <c r="J505" s="2902">
        <v>0</v>
      </c>
      <c r="K505" s="2898">
        <v>0</v>
      </c>
      <c r="L505" s="571"/>
      <c r="M505" s="2515">
        <f>G505+H505+I505+J505+K505</f>
        <v>99.327600505627913</v>
      </c>
    </row>
    <row r="506" spans="1:13" ht="15.75" customHeight="1" x14ac:dyDescent="0.25">
      <c r="A506" s="3250" t="s">
        <v>1301</v>
      </c>
      <c r="B506" s="3248" t="s">
        <v>1024</v>
      </c>
      <c r="C506" s="2578" t="s">
        <v>5</v>
      </c>
      <c r="D506" s="2579" t="s">
        <v>5</v>
      </c>
      <c r="E506" s="2580" t="s">
        <v>5</v>
      </c>
      <c r="F506" s="2581" t="s">
        <v>5</v>
      </c>
      <c r="G506" s="566" t="s">
        <v>5</v>
      </c>
      <c r="H506" s="3249" t="s">
        <v>5</v>
      </c>
      <c r="I506" s="3242" t="s">
        <v>5</v>
      </c>
      <c r="J506" s="2585" t="s">
        <v>5</v>
      </c>
      <c r="K506" s="2581" t="s">
        <v>5</v>
      </c>
      <c r="L506" s="571">
        <v>104.3720286081561</v>
      </c>
      <c r="M506" s="2515">
        <f>L506</f>
        <v>104.3720286081561</v>
      </c>
    </row>
    <row r="507" spans="1:13" ht="15.75" customHeight="1" x14ac:dyDescent="0.25">
      <c r="A507" s="3250" t="s">
        <v>1302</v>
      </c>
      <c r="B507" s="3248" t="s">
        <v>1024</v>
      </c>
      <c r="C507" s="2578" t="s">
        <v>5</v>
      </c>
      <c r="D507" s="2579" t="s">
        <v>5</v>
      </c>
      <c r="E507" s="2580" t="s">
        <v>5</v>
      </c>
      <c r="F507" s="2581" t="s">
        <v>5</v>
      </c>
      <c r="G507" s="566" t="s">
        <v>5</v>
      </c>
      <c r="H507" s="3249" t="s">
        <v>5</v>
      </c>
      <c r="I507" s="3242" t="s">
        <v>5</v>
      </c>
      <c r="J507" s="2585" t="s">
        <v>5</v>
      </c>
      <c r="K507" s="2581" t="s">
        <v>5</v>
      </c>
      <c r="L507" s="571">
        <v>104.3994475354954</v>
      </c>
      <c r="M507" s="2515">
        <f>L507</f>
        <v>104.3994475354954</v>
      </c>
    </row>
    <row r="508" spans="1:13" ht="15.75" customHeight="1" x14ac:dyDescent="0.25">
      <c r="A508" s="3250" t="s">
        <v>1303</v>
      </c>
      <c r="B508" s="3248" t="s">
        <v>1024</v>
      </c>
      <c r="C508" s="2578" t="s">
        <v>5</v>
      </c>
      <c r="D508" s="2579" t="s">
        <v>5</v>
      </c>
      <c r="E508" s="2580" t="s">
        <v>5</v>
      </c>
      <c r="F508" s="2581" t="s">
        <v>5</v>
      </c>
      <c r="G508" s="566" t="s">
        <v>5</v>
      </c>
      <c r="H508" s="3249" t="s">
        <v>5</v>
      </c>
      <c r="I508" s="3242" t="s">
        <v>5</v>
      </c>
      <c r="J508" s="2585" t="s">
        <v>5</v>
      </c>
      <c r="K508" s="2581" t="s">
        <v>5</v>
      </c>
      <c r="L508" s="571">
        <v>106.03544353340726</v>
      </c>
      <c r="M508" s="2515">
        <f>L508</f>
        <v>106.03544353340726</v>
      </c>
    </row>
    <row r="509" spans="1:13" ht="15.75" customHeight="1" x14ac:dyDescent="0.25">
      <c r="A509" s="3252" t="s">
        <v>143</v>
      </c>
      <c r="B509" s="2785" t="s">
        <v>1131</v>
      </c>
      <c r="C509" s="2578">
        <v>0</v>
      </c>
      <c r="D509" s="2896">
        <v>107.2378189267215</v>
      </c>
      <c r="E509" s="2897">
        <v>0</v>
      </c>
      <c r="F509" s="2898">
        <v>0</v>
      </c>
      <c r="G509" s="566">
        <v>107.2378189267215</v>
      </c>
      <c r="H509" s="3251">
        <v>0</v>
      </c>
      <c r="I509" s="3244">
        <v>0</v>
      </c>
      <c r="J509" s="2902">
        <v>0</v>
      </c>
      <c r="K509" s="2898">
        <v>0</v>
      </c>
      <c r="L509" s="571"/>
      <c r="M509" s="2515">
        <f t="shared" ref="M509:M518" si="58">G509+H509+I509+J509+K509</f>
        <v>107.2378189267215</v>
      </c>
    </row>
    <row r="510" spans="1:13" ht="15.75" customHeight="1" x14ac:dyDescent="0.25">
      <c r="A510" s="3252" t="s">
        <v>147</v>
      </c>
      <c r="B510" s="2785" t="s">
        <v>1131</v>
      </c>
      <c r="C510" s="2578">
        <v>0</v>
      </c>
      <c r="D510" s="2896">
        <v>116.66634941442312</v>
      </c>
      <c r="E510" s="2897">
        <v>0</v>
      </c>
      <c r="F510" s="2898">
        <v>0</v>
      </c>
      <c r="G510" s="566">
        <v>116.66634941442312</v>
      </c>
      <c r="H510" s="3251">
        <v>0</v>
      </c>
      <c r="I510" s="3244">
        <v>0</v>
      </c>
      <c r="J510" s="2902">
        <v>0</v>
      </c>
      <c r="K510" s="2898">
        <v>0</v>
      </c>
      <c r="L510" s="571"/>
      <c r="M510" s="2515">
        <f t="shared" si="58"/>
        <v>116.66634941442312</v>
      </c>
    </row>
    <row r="511" spans="1:13" ht="15.75" customHeight="1" x14ac:dyDescent="0.25">
      <c r="A511" s="3253" t="s">
        <v>82</v>
      </c>
      <c r="B511" s="2785" t="s">
        <v>1048</v>
      </c>
      <c r="C511" s="2578">
        <v>27.510121600805885</v>
      </c>
      <c r="D511" s="2579">
        <v>52.525452762322999</v>
      </c>
      <c r="E511" s="2580">
        <v>3.3713384314713095</v>
      </c>
      <c r="F511" s="2581">
        <v>0</v>
      </c>
      <c r="G511" s="566">
        <v>83.406912794600203</v>
      </c>
      <c r="H511" s="3251">
        <v>33.713384314713096</v>
      </c>
      <c r="I511" s="3244">
        <v>0</v>
      </c>
      <c r="J511" s="2585">
        <v>0</v>
      </c>
      <c r="K511" s="2581">
        <v>3.9950360412935018</v>
      </c>
      <c r="L511" s="571"/>
      <c r="M511" s="2515">
        <f t="shared" si="58"/>
        <v>121.1153331506068</v>
      </c>
    </row>
    <row r="512" spans="1:13" ht="15.75" customHeight="1" x14ac:dyDescent="0.25">
      <c r="A512" s="3250" t="s">
        <v>621</v>
      </c>
      <c r="B512" s="3248" t="s">
        <v>1092</v>
      </c>
      <c r="C512" s="2578">
        <v>114.8934439564015</v>
      </c>
      <c r="D512" s="2896">
        <v>0</v>
      </c>
      <c r="E512" s="2897">
        <v>0</v>
      </c>
      <c r="F512" s="2898">
        <v>0</v>
      </c>
      <c r="G512" s="566">
        <v>114.8934439564015</v>
      </c>
      <c r="H512" s="3251">
        <v>8.1340491296567432</v>
      </c>
      <c r="I512" s="3244">
        <v>0</v>
      </c>
      <c r="J512" s="2902">
        <v>0</v>
      </c>
      <c r="K512" s="2898">
        <v>0</v>
      </c>
      <c r="L512" s="571"/>
      <c r="M512" s="2515">
        <f t="shared" si="58"/>
        <v>123.02749308605824</v>
      </c>
    </row>
    <row r="513" spans="1:13" ht="15.75" customHeight="1" x14ac:dyDescent="0.25">
      <c r="A513" s="3252" t="s">
        <v>146</v>
      </c>
      <c r="B513" s="2785" t="s">
        <v>1131</v>
      </c>
      <c r="C513" s="2578">
        <v>0</v>
      </c>
      <c r="D513" s="2896">
        <v>125.86994478114576</v>
      </c>
      <c r="E513" s="2897">
        <v>0</v>
      </c>
      <c r="F513" s="2898">
        <v>0</v>
      </c>
      <c r="G513" s="566">
        <v>125.86994478114576</v>
      </c>
      <c r="H513" s="3251">
        <v>0</v>
      </c>
      <c r="I513" s="3244">
        <v>0</v>
      </c>
      <c r="J513" s="2902">
        <v>0</v>
      </c>
      <c r="K513" s="2898">
        <v>0</v>
      </c>
      <c r="L513" s="571"/>
      <c r="M513" s="2515">
        <f t="shared" si="58"/>
        <v>125.86994478114576</v>
      </c>
    </row>
    <row r="514" spans="1:13" ht="15.75" customHeight="1" x14ac:dyDescent="0.25">
      <c r="A514" s="3254" t="s">
        <v>468</v>
      </c>
      <c r="B514" s="2785" t="s">
        <v>1044</v>
      </c>
      <c r="C514" s="2578">
        <v>91.359877940742194</v>
      </c>
      <c r="D514" s="2579">
        <v>0</v>
      </c>
      <c r="E514" s="2580">
        <v>0</v>
      </c>
      <c r="F514" s="2581">
        <v>0</v>
      </c>
      <c r="G514" s="566">
        <v>91.359877940742194</v>
      </c>
      <c r="H514" s="3251">
        <v>36.913081996259471</v>
      </c>
      <c r="I514" s="3244">
        <v>0</v>
      </c>
      <c r="J514" s="2585">
        <v>0</v>
      </c>
      <c r="K514" s="2581">
        <v>0</v>
      </c>
      <c r="L514" s="571"/>
      <c r="M514" s="2515">
        <f t="shared" si="58"/>
        <v>128.27295993700167</v>
      </c>
    </row>
    <row r="515" spans="1:13" ht="15.75" customHeight="1" x14ac:dyDescent="0.25">
      <c r="A515" s="3255" t="s">
        <v>150</v>
      </c>
      <c r="B515" s="2785" t="s">
        <v>1131</v>
      </c>
      <c r="C515" s="2578">
        <v>0</v>
      </c>
      <c r="D515" s="2896">
        <v>128.92531350777671</v>
      </c>
      <c r="E515" s="2897">
        <v>0</v>
      </c>
      <c r="F515" s="2898">
        <v>0</v>
      </c>
      <c r="G515" s="566">
        <v>128.92531350777671</v>
      </c>
      <c r="H515" s="3251">
        <v>0</v>
      </c>
      <c r="I515" s="3244">
        <v>0</v>
      </c>
      <c r="J515" s="2902">
        <v>0</v>
      </c>
      <c r="K515" s="2898">
        <v>0</v>
      </c>
      <c r="L515" s="571"/>
      <c r="M515" s="2515">
        <f t="shared" si="58"/>
        <v>128.92531350777671</v>
      </c>
    </row>
    <row r="516" spans="1:13" ht="15.75" customHeight="1" x14ac:dyDescent="0.25">
      <c r="A516" s="3255" t="s">
        <v>145</v>
      </c>
      <c r="B516" s="2785" t="s">
        <v>1131</v>
      </c>
      <c r="C516" s="2578">
        <v>0</v>
      </c>
      <c r="D516" s="2896">
        <v>129.20648240900042</v>
      </c>
      <c r="E516" s="2897">
        <v>0</v>
      </c>
      <c r="F516" s="2898">
        <v>0</v>
      </c>
      <c r="G516" s="566">
        <v>129.20648240900042</v>
      </c>
      <c r="H516" s="3251">
        <v>0</v>
      </c>
      <c r="I516" s="3244">
        <v>0</v>
      </c>
      <c r="J516" s="2902">
        <v>0</v>
      </c>
      <c r="K516" s="2898">
        <v>0</v>
      </c>
      <c r="L516" s="571"/>
      <c r="M516" s="2515">
        <f t="shared" si="58"/>
        <v>129.20648240900042</v>
      </c>
    </row>
    <row r="517" spans="1:13" ht="15.75" customHeight="1" x14ac:dyDescent="0.25">
      <c r="A517" s="3254" t="s">
        <v>83</v>
      </c>
      <c r="B517" s="2785" t="s">
        <v>1048</v>
      </c>
      <c r="C517" s="2578">
        <v>14.442813840423089</v>
      </c>
      <c r="D517" s="2579">
        <v>77.675637461098972</v>
      </c>
      <c r="E517" s="2580">
        <v>3.3713384314713095</v>
      </c>
      <c r="F517" s="2581">
        <v>0</v>
      </c>
      <c r="G517" s="566">
        <v>95.489789732993373</v>
      </c>
      <c r="H517" s="3251">
        <v>33.713384314713096</v>
      </c>
      <c r="I517" s="3244">
        <v>0</v>
      </c>
      <c r="J517" s="2585">
        <v>0</v>
      </c>
      <c r="K517" s="2581">
        <v>4.6018769589583375</v>
      </c>
      <c r="L517" s="571"/>
      <c r="M517" s="2515">
        <f t="shared" si="58"/>
        <v>133.8050510066648</v>
      </c>
    </row>
    <row r="518" spans="1:13" ht="15.75" customHeight="1" x14ac:dyDescent="0.25">
      <c r="A518" s="3255" t="s">
        <v>144</v>
      </c>
      <c r="B518" s="2785" t="s">
        <v>1131</v>
      </c>
      <c r="C518" s="2578">
        <v>0</v>
      </c>
      <c r="D518" s="2896">
        <v>144.38960307508054</v>
      </c>
      <c r="E518" s="2897">
        <v>0</v>
      </c>
      <c r="F518" s="2898">
        <v>0</v>
      </c>
      <c r="G518" s="566">
        <v>144.38960307508054</v>
      </c>
      <c r="H518" s="3251">
        <v>0</v>
      </c>
      <c r="I518" s="3244">
        <v>0</v>
      </c>
      <c r="J518" s="2902">
        <v>0</v>
      </c>
      <c r="K518" s="2898">
        <v>0</v>
      </c>
      <c r="L518" s="571"/>
      <c r="M518" s="2515">
        <f t="shared" si="58"/>
        <v>144.38960307508054</v>
      </c>
    </row>
    <row r="519" spans="1:13" ht="15.75" customHeight="1" x14ac:dyDescent="0.25">
      <c r="A519" s="3256" t="s">
        <v>1304</v>
      </c>
      <c r="B519" s="2724" t="s">
        <v>1034</v>
      </c>
      <c r="C519" s="2578" t="s">
        <v>5</v>
      </c>
      <c r="D519" s="2579" t="s">
        <v>5</v>
      </c>
      <c r="E519" s="2580" t="s">
        <v>5</v>
      </c>
      <c r="F519" s="2581" t="s">
        <v>5</v>
      </c>
      <c r="G519" s="566" t="s">
        <v>5</v>
      </c>
      <c r="H519" s="3249" t="s">
        <v>5</v>
      </c>
      <c r="I519" s="3242" t="s">
        <v>5</v>
      </c>
      <c r="J519" s="2585" t="s">
        <v>5</v>
      </c>
      <c r="K519" s="2581" t="s">
        <v>5</v>
      </c>
      <c r="L519" s="571">
        <v>146.75109383917169</v>
      </c>
      <c r="M519" s="2515">
        <f>L519</f>
        <v>146.75109383917169</v>
      </c>
    </row>
    <row r="520" spans="1:13" ht="15.75" customHeight="1" x14ac:dyDescent="0.25">
      <c r="A520" s="3257" t="s">
        <v>623</v>
      </c>
      <c r="B520" s="3248" t="s">
        <v>1092</v>
      </c>
      <c r="C520" s="2578">
        <v>122.01073694485115</v>
      </c>
      <c r="D520" s="2896">
        <v>0</v>
      </c>
      <c r="E520" s="2897">
        <v>0</v>
      </c>
      <c r="F520" s="2898">
        <v>0</v>
      </c>
      <c r="G520" s="566">
        <v>122.01073694485115</v>
      </c>
      <c r="H520" s="3251">
        <v>26.435659671384414</v>
      </c>
      <c r="I520" s="3244">
        <v>0</v>
      </c>
      <c r="J520" s="2902">
        <v>0</v>
      </c>
      <c r="K520" s="2898">
        <v>0</v>
      </c>
      <c r="L520" s="571"/>
      <c r="M520" s="2515">
        <f>G520+H520+I520+J520+K520</f>
        <v>148.44639661623557</v>
      </c>
    </row>
    <row r="521" spans="1:13" ht="15.75" customHeight="1" x14ac:dyDescent="0.25">
      <c r="A521" s="3254" t="s">
        <v>81</v>
      </c>
      <c r="B521" s="2785" t="s">
        <v>1044</v>
      </c>
      <c r="C521" s="2578">
        <v>123.35121567083374</v>
      </c>
      <c r="D521" s="2579">
        <v>0</v>
      </c>
      <c r="E521" s="2580">
        <v>0</v>
      </c>
      <c r="F521" s="2581">
        <v>0</v>
      </c>
      <c r="G521" s="566">
        <v>123.35121567083374</v>
      </c>
      <c r="H521" s="3251">
        <v>27.684811497194605</v>
      </c>
      <c r="I521" s="3244">
        <v>0</v>
      </c>
      <c r="J521" s="2585">
        <v>0</v>
      </c>
      <c r="K521" s="2581">
        <v>0</v>
      </c>
      <c r="L521" s="571"/>
      <c r="M521" s="2515">
        <f>G521+H521+I521+J521+K521</f>
        <v>151.03602716802834</v>
      </c>
    </row>
    <row r="522" spans="1:13" ht="15.75" customHeight="1" x14ac:dyDescent="0.25">
      <c r="A522" s="3254" t="s">
        <v>79</v>
      </c>
      <c r="B522" s="2785" t="s">
        <v>1044</v>
      </c>
      <c r="C522" s="2578">
        <v>101.51097548971356</v>
      </c>
      <c r="D522" s="2579">
        <v>0</v>
      </c>
      <c r="E522" s="2580">
        <v>0</v>
      </c>
      <c r="F522" s="2581">
        <v>0</v>
      </c>
      <c r="G522" s="566">
        <v>101.51097548971356</v>
      </c>
      <c r="H522" s="3251">
        <v>52.293532828034259</v>
      </c>
      <c r="I522" s="3244">
        <v>0</v>
      </c>
      <c r="J522" s="2585">
        <v>0</v>
      </c>
      <c r="K522" s="2581">
        <v>0</v>
      </c>
      <c r="L522" s="571"/>
      <c r="M522" s="2515">
        <f>G522+H522+I522+J522+K522</f>
        <v>153.80450831774783</v>
      </c>
    </row>
    <row r="523" spans="1:13" ht="15.75" customHeight="1" x14ac:dyDescent="0.25">
      <c r="A523" s="3255" t="s">
        <v>149</v>
      </c>
      <c r="B523" s="2785" t="s">
        <v>1131</v>
      </c>
      <c r="C523" s="2578">
        <v>0</v>
      </c>
      <c r="D523" s="2896">
        <v>162.2157114126635</v>
      </c>
      <c r="E523" s="2897">
        <v>0</v>
      </c>
      <c r="F523" s="2898">
        <v>0</v>
      </c>
      <c r="G523" s="566">
        <v>162.2157114126635</v>
      </c>
      <c r="H523" s="3251">
        <v>0</v>
      </c>
      <c r="I523" s="3244">
        <v>0</v>
      </c>
      <c r="J523" s="2902">
        <v>0</v>
      </c>
      <c r="K523" s="2898">
        <v>0</v>
      </c>
      <c r="L523" s="571"/>
      <c r="M523" s="2515">
        <f>G523+H523+I523+J523+K523</f>
        <v>162.2157114126635</v>
      </c>
    </row>
    <row r="524" spans="1:13" ht="15.75" customHeight="1" x14ac:dyDescent="0.25">
      <c r="A524" s="3256" t="s">
        <v>1308</v>
      </c>
      <c r="B524" s="2724" t="s">
        <v>1034</v>
      </c>
      <c r="C524" s="2578" t="s">
        <v>5</v>
      </c>
      <c r="D524" s="2579" t="s">
        <v>5</v>
      </c>
      <c r="E524" s="2580" t="s">
        <v>5</v>
      </c>
      <c r="F524" s="2581" t="s">
        <v>5</v>
      </c>
      <c r="G524" s="566" t="s">
        <v>5</v>
      </c>
      <c r="H524" s="3249" t="s">
        <v>5</v>
      </c>
      <c r="I524" s="3242" t="s">
        <v>5</v>
      </c>
      <c r="J524" s="2585" t="s">
        <v>5</v>
      </c>
      <c r="K524" s="2581" t="s">
        <v>5</v>
      </c>
      <c r="L524" s="571">
        <v>178.75853405923792</v>
      </c>
      <c r="M524" s="2515">
        <f>L524</f>
        <v>178.75853405923792</v>
      </c>
    </row>
    <row r="525" spans="1:13" ht="15.75" customHeight="1" x14ac:dyDescent="0.25">
      <c r="A525" s="3256" t="s">
        <v>887</v>
      </c>
      <c r="B525" s="2724" t="s">
        <v>1120</v>
      </c>
      <c r="C525" s="2578">
        <v>0</v>
      </c>
      <c r="D525" s="2896">
        <v>106.71419394245939</v>
      </c>
      <c r="E525" s="2897">
        <v>0</v>
      </c>
      <c r="F525" s="2898">
        <v>0</v>
      </c>
      <c r="G525" s="566">
        <v>106.71419394245939</v>
      </c>
      <c r="H525" s="3251">
        <v>76.512063581385974</v>
      </c>
      <c r="I525" s="3244">
        <v>0</v>
      </c>
      <c r="J525" s="2902">
        <v>0</v>
      </c>
      <c r="K525" s="2898">
        <v>0</v>
      </c>
      <c r="L525" s="571"/>
      <c r="M525" s="2515">
        <f t="shared" ref="M525:M535" si="59">G525+H525+I525+J525+K525</f>
        <v>183.22625752384536</v>
      </c>
    </row>
    <row r="526" spans="1:13" ht="15.75" customHeight="1" x14ac:dyDescent="0.25">
      <c r="A526" s="3255" t="s">
        <v>108</v>
      </c>
      <c r="B526" s="2785" t="s">
        <v>1074</v>
      </c>
      <c r="C526" s="2578">
        <v>0.60023289036146021</v>
      </c>
      <c r="D526" s="2896">
        <v>47.022244630916795</v>
      </c>
      <c r="E526" s="2897">
        <v>0.96037262457833639</v>
      </c>
      <c r="F526" s="2898">
        <v>4.861886411927828</v>
      </c>
      <c r="G526" s="566">
        <v>53.444736557784417</v>
      </c>
      <c r="H526" s="3251">
        <v>119.18224271017155</v>
      </c>
      <c r="I526" s="3244">
        <v>11.920625202578599</v>
      </c>
      <c r="J526" s="2902">
        <v>1.9207452491566728</v>
      </c>
      <c r="K526" s="2898">
        <v>0.19207452491566729</v>
      </c>
      <c r="L526" s="571"/>
      <c r="M526" s="2515">
        <f t="shared" si="59"/>
        <v>186.6604242446069</v>
      </c>
    </row>
    <row r="527" spans="1:13" ht="15.75" customHeight="1" x14ac:dyDescent="0.25">
      <c r="A527" s="3257" t="s">
        <v>620</v>
      </c>
      <c r="B527" s="3248" t="s">
        <v>1092</v>
      </c>
      <c r="C527" s="2578">
        <v>141.32910362778591</v>
      </c>
      <c r="D527" s="2896">
        <v>0</v>
      </c>
      <c r="E527" s="2897">
        <v>0</v>
      </c>
      <c r="F527" s="2898">
        <v>0</v>
      </c>
      <c r="G527" s="566">
        <v>141.32910362778591</v>
      </c>
      <c r="H527" s="3251">
        <v>46.770782495526269</v>
      </c>
      <c r="I527" s="3244">
        <v>0</v>
      </c>
      <c r="J527" s="2902">
        <v>0</v>
      </c>
      <c r="K527" s="2898">
        <v>0</v>
      </c>
      <c r="L527" s="571"/>
      <c r="M527" s="2515">
        <f t="shared" si="59"/>
        <v>188.09988612331219</v>
      </c>
    </row>
    <row r="528" spans="1:13" ht="15.75" customHeight="1" x14ac:dyDescent="0.25">
      <c r="A528" s="3254" t="s">
        <v>84</v>
      </c>
      <c r="B528" s="2785" t="s">
        <v>1046</v>
      </c>
      <c r="C528" s="2578">
        <v>0</v>
      </c>
      <c r="D528" s="2579">
        <v>113.95744452081885</v>
      </c>
      <c r="E528" s="2580">
        <v>0</v>
      </c>
      <c r="F528" s="2581">
        <v>0</v>
      </c>
      <c r="G528" s="566">
        <v>113.95744452081885</v>
      </c>
      <c r="H528" s="3251">
        <v>74.75305252297953</v>
      </c>
      <c r="I528" s="3244">
        <v>0</v>
      </c>
      <c r="J528" s="2585">
        <v>0</v>
      </c>
      <c r="K528" s="2581">
        <v>0</v>
      </c>
      <c r="L528" s="571"/>
      <c r="M528" s="2515">
        <f t="shared" si="59"/>
        <v>188.7104970437984</v>
      </c>
    </row>
    <row r="529" spans="1:13" ht="15.75" customHeight="1" x14ac:dyDescent="0.25">
      <c r="A529" s="3255" t="s">
        <v>1307</v>
      </c>
      <c r="B529" s="2785" t="s">
        <v>1120</v>
      </c>
      <c r="C529" s="2578">
        <v>0</v>
      </c>
      <c r="D529" s="2896">
        <v>96.577386970696821</v>
      </c>
      <c r="E529" s="2897">
        <v>4.0095931686252637</v>
      </c>
      <c r="F529" s="2898">
        <v>0</v>
      </c>
      <c r="G529" s="566">
        <v>100.58698013932208</v>
      </c>
      <c r="H529" s="3251">
        <v>84.392389549160299</v>
      </c>
      <c r="I529" s="3244">
        <v>0</v>
      </c>
      <c r="J529" s="2902">
        <v>4.3741016385002878</v>
      </c>
      <c r="K529" s="2898">
        <v>0</v>
      </c>
      <c r="L529" s="571"/>
      <c r="M529" s="2515">
        <f t="shared" si="59"/>
        <v>189.35347132698269</v>
      </c>
    </row>
    <row r="530" spans="1:13" ht="15.75" customHeight="1" x14ac:dyDescent="0.25">
      <c r="A530" s="3253" t="s">
        <v>80</v>
      </c>
      <c r="B530" s="2785" t="s">
        <v>1044</v>
      </c>
      <c r="C530" s="2578">
        <v>120.27512550447879</v>
      </c>
      <c r="D530" s="2579">
        <v>0</v>
      </c>
      <c r="E530" s="2580">
        <v>42.757653312333893</v>
      </c>
      <c r="F530" s="2581">
        <v>0</v>
      </c>
      <c r="G530" s="566">
        <v>163.03277881681268</v>
      </c>
      <c r="H530" s="3251">
        <v>27.684811497194605</v>
      </c>
      <c r="I530" s="3244">
        <v>0</v>
      </c>
      <c r="J530" s="2585">
        <v>0</v>
      </c>
      <c r="K530" s="2581">
        <v>0</v>
      </c>
      <c r="L530" s="571"/>
      <c r="M530" s="2515">
        <f t="shared" si="59"/>
        <v>190.71759031400728</v>
      </c>
    </row>
    <row r="531" spans="1:13" ht="15.75" customHeight="1" x14ac:dyDescent="0.25">
      <c r="A531" s="3250" t="s">
        <v>889</v>
      </c>
      <c r="B531" s="3248" t="s">
        <v>1092</v>
      </c>
      <c r="C531" s="2578">
        <v>211.48527737107531</v>
      </c>
      <c r="D531" s="2896">
        <v>0</v>
      </c>
      <c r="E531" s="2897">
        <v>0</v>
      </c>
      <c r="F531" s="2898">
        <v>0</v>
      </c>
      <c r="G531" s="566">
        <v>211.48527737107531</v>
      </c>
      <c r="H531" s="3251">
        <v>0</v>
      </c>
      <c r="I531" s="3244">
        <v>0</v>
      </c>
      <c r="J531" s="2902">
        <v>0</v>
      </c>
      <c r="K531" s="2898">
        <v>0</v>
      </c>
      <c r="L531" s="571"/>
      <c r="M531" s="2515">
        <f t="shared" si="59"/>
        <v>211.48527737107531</v>
      </c>
    </row>
    <row r="532" spans="1:13" ht="15.75" customHeight="1" x14ac:dyDescent="0.25">
      <c r="A532" s="3253" t="s">
        <v>78</v>
      </c>
      <c r="B532" s="2785" t="s">
        <v>1044</v>
      </c>
      <c r="C532" s="2578">
        <v>125.19686977064671</v>
      </c>
      <c r="D532" s="2579">
        <v>0</v>
      </c>
      <c r="E532" s="2580">
        <v>0</v>
      </c>
      <c r="F532" s="2581">
        <v>0</v>
      </c>
      <c r="G532" s="566">
        <v>125.19686977064671</v>
      </c>
      <c r="H532" s="3251">
        <v>41.834826262427406</v>
      </c>
      <c r="I532" s="3244">
        <v>0</v>
      </c>
      <c r="J532" s="2585">
        <v>48.294615611772812</v>
      </c>
      <c r="K532" s="2581">
        <v>0</v>
      </c>
      <c r="L532" s="571"/>
      <c r="M532" s="2515">
        <f t="shared" si="59"/>
        <v>215.32631164484695</v>
      </c>
    </row>
    <row r="533" spans="1:13" ht="15.75" customHeight="1" x14ac:dyDescent="0.25">
      <c r="A533" s="3250" t="s">
        <v>622</v>
      </c>
      <c r="B533" s="3248" t="s">
        <v>1092</v>
      </c>
      <c r="C533" s="2578">
        <v>233.85391247763135</v>
      </c>
      <c r="D533" s="2896">
        <v>0</v>
      </c>
      <c r="E533" s="2897">
        <v>0</v>
      </c>
      <c r="F533" s="2898">
        <v>0</v>
      </c>
      <c r="G533" s="566">
        <v>233.85391247763135</v>
      </c>
      <c r="H533" s="3251">
        <v>0</v>
      </c>
      <c r="I533" s="3244">
        <v>0</v>
      </c>
      <c r="J533" s="2902">
        <v>0</v>
      </c>
      <c r="K533" s="2898">
        <v>0</v>
      </c>
      <c r="L533" s="571"/>
      <c r="M533" s="2515">
        <f t="shared" si="59"/>
        <v>233.85391247763135</v>
      </c>
    </row>
    <row r="534" spans="1:13" ht="15.75" customHeight="1" x14ac:dyDescent="0.25">
      <c r="A534" s="3250" t="s">
        <v>624</v>
      </c>
      <c r="B534" s="3248" t="s">
        <v>1092</v>
      </c>
      <c r="C534" s="2578">
        <v>208.43500894745404</v>
      </c>
      <c r="D534" s="2896">
        <v>0</v>
      </c>
      <c r="E534" s="2897">
        <v>0</v>
      </c>
      <c r="F534" s="2898">
        <v>0</v>
      </c>
      <c r="G534" s="566">
        <v>208.43500894745404</v>
      </c>
      <c r="H534" s="3251">
        <v>34.569708801041159</v>
      </c>
      <c r="I534" s="3244">
        <v>0</v>
      </c>
      <c r="J534" s="2902">
        <v>0</v>
      </c>
      <c r="K534" s="2898">
        <v>0</v>
      </c>
      <c r="L534" s="571"/>
      <c r="M534" s="2515">
        <f t="shared" si="59"/>
        <v>243.00471774849518</v>
      </c>
    </row>
    <row r="535" spans="1:13" ht="15.75" customHeight="1" x14ac:dyDescent="0.25">
      <c r="A535" s="3252" t="s">
        <v>930</v>
      </c>
      <c r="B535" s="2785" t="s">
        <v>1145</v>
      </c>
      <c r="C535" s="2578">
        <v>120.69465306875378</v>
      </c>
      <c r="D535" s="2896">
        <v>0</v>
      </c>
      <c r="E535" s="2897">
        <v>0</v>
      </c>
      <c r="F535" s="2898">
        <v>9.6555722455003021</v>
      </c>
      <c r="G535" s="566">
        <v>130.35022531425409</v>
      </c>
      <c r="H535" s="3251">
        <v>98.558515824702866</v>
      </c>
      <c r="I535" s="3244">
        <v>7.88468126597623</v>
      </c>
      <c r="J535" s="2902">
        <v>12.649221282314807</v>
      </c>
      <c r="K535" s="2898">
        <v>0</v>
      </c>
      <c r="L535" s="571"/>
      <c r="M535" s="2515">
        <f t="shared" si="59"/>
        <v>249.44264368724799</v>
      </c>
    </row>
    <row r="536" spans="1:13" ht="15.75" customHeight="1" x14ac:dyDescent="0.25">
      <c r="A536" s="3256" t="s">
        <v>933</v>
      </c>
      <c r="B536" s="2724" t="s">
        <v>1034</v>
      </c>
      <c r="C536" s="2795" t="s">
        <v>5</v>
      </c>
      <c r="D536" s="2579" t="s">
        <v>5</v>
      </c>
      <c r="E536" s="2580" t="s">
        <v>5</v>
      </c>
      <c r="F536" s="2581" t="s">
        <v>5</v>
      </c>
      <c r="G536" s="566" t="s">
        <v>5</v>
      </c>
      <c r="H536" s="3249" t="s">
        <v>5</v>
      </c>
      <c r="I536" s="3242" t="s">
        <v>5</v>
      </c>
      <c r="J536" s="2585" t="s">
        <v>5</v>
      </c>
      <c r="K536" s="2581" t="s">
        <v>5</v>
      </c>
      <c r="L536" s="571">
        <v>263.91040332394249</v>
      </c>
      <c r="M536" s="2515">
        <f>L536</f>
        <v>263.91040332394249</v>
      </c>
    </row>
    <row r="537" spans="1:13" ht="15.75" customHeight="1" x14ac:dyDescent="0.25">
      <c r="A537" s="3254" t="s">
        <v>73</v>
      </c>
      <c r="B537" s="2785" t="s">
        <v>1036</v>
      </c>
      <c r="C537" s="2795">
        <v>143.36741582687893</v>
      </c>
      <c r="D537" s="2579">
        <v>0</v>
      </c>
      <c r="E537" s="2580">
        <v>0</v>
      </c>
      <c r="F537" s="2581">
        <v>28.673483165375785</v>
      </c>
      <c r="G537" s="566">
        <v>172.04089899225471</v>
      </c>
      <c r="H537" s="3251">
        <v>77.452773447569015</v>
      </c>
      <c r="I537" s="3244">
        <v>15.490554689513804</v>
      </c>
      <c r="J537" s="2585">
        <v>0</v>
      </c>
      <c r="K537" s="2581">
        <v>0</v>
      </c>
      <c r="L537" s="571"/>
      <c r="M537" s="2515">
        <f t="shared" ref="M537:M576" si="60">G537+H537+I537+J537+K537</f>
        <v>264.98422712933757</v>
      </c>
    </row>
    <row r="538" spans="1:13" ht="15.75" customHeight="1" x14ac:dyDescent="0.25">
      <c r="A538" s="3254" t="s">
        <v>75</v>
      </c>
      <c r="B538" s="2785" t="s">
        <v>1036</v>
      </c>
      <c r="C538" s="2795">
        <v>181.66419128748359</v>
      </c>
      <c r="D538" s="2579">
        <v>0</v>
      </c>
      <c r="E538" s="2580">
        <v>0</v>
      </c>
      <c r="F538" s="2581">
        <v>36.332838257496718</v>
      </c>
      <c r="G538" s="566">
        <v>217.99702954498031</v>
      </c>
      <c r="H538" s="3251">
        <v>52.780812333525638</v>
      </c>
      <c r="I538" s="3244">
        <v>10.556162466705127</v>
      </c>
      <c r="J538" s="2585">
        <v>0</v>
      </c>
      <c r="K538" s="2581">
        <v>0</v>
      </c>
      <c r="L538" s="571"/>
      <c r="M538" s="2515">
        <f t="shared" si="60"/>
        <v>281.3340043452111</v>
      </c>
    </row>
    <row r="539" spans="1:13" ht="15.75" customHeight="1" x14ac:dyDescent="0.25">
      <c r="A539" s="3256" t="s">
        <v>189</v>
      </c>
      <c r="B539" s="2724" t="s">
        <v>1118</v>
      </c>
      <c r="C539" s="2795">
        <v>0</v>
      </c>
      <c r="D539" s="2896">
        <v>164.65817990964382</v>
      </c>
      <c r="E539" s="2897">
        <v>0</v>
      </c>
      <c r="F539" s="2898">
        <v>14.819236191867946</v>
      </c>
      <c r="G539" s="566">
        <v>179.47741610151178</v>
      </c>
      <c r="H539" s="3251">
        <v>92.620226199174652</v>
      </c>
      <c r="I539" s="3244">
        <v>17.597842977843186</v>
      </c>
      <c r="J539" s="2902">
        <v>0</v>
      </c>
      <c r="K539" s="2898">
        <v>0</v>
      </c>
      <c r="L539" s="571"/>
      <c r="M539" s="2515">
        <f t="shared" si="60"/>
        <v>289.69548527852959</v>
      </c>
    </row>
    <row r="540" spans="1:13" ht="15.75" customHeight="1" x14ac:dyDescent="0.25">
      <c r="A540" s="3256" t="s">
        <v>860</v>
      </c>
      <c r="B540" s="2724" t="s">
        <v>1118</v>
      </c>
      <c r="C540" s="2795">
        <v>0</v>
      </c>
      <c r="D540" s="2896">
        <v>170.31830484403784</v>
      </c>
      <c r="E540" s="2897">
        <v>0</v>
      </c>
      <c r="F540" s="2898">
        <v>15.328647435963404</v>
      </c>
      <c r="G540" s="566">
        <v>185.64695228000124</v>
      </c>
      <c r="H540" s="3251">
        <v>89.532885325868833</v>
      </c>
      <c r="I540" s="3244">
        <v>17.011248211915078</v>
      </c>
      <c r="J540" s="2902">
        <v>0</v>
      </c>
      <c r="K540" s="2898">
        <v>0</v>
      </c>
      <c r="L540" s="571"/>
      <c r="M540" s="2515">
        <f t="shared" si="60"/>
        <v>292.19108581778517</v>
      </c>
    </row>
    <row r="541" spans="1:13" ht="15.75" customHeight="1" x14ac:dyDescent="0.25">
      <c r="A541" s="3255" t="s">
        <v>113</v>
      </c>
      <c r="B541" s="2785" t="s">
        <v>1076</v>
      </c>
      <c r="C541" s="2578">
        <v>90.537114092208327</v>
      </c>
      <c r="D541" s="2896">
        <v>79.530641398645741</v>
      </c>
      <c r="E541" s="2897">
        <v>0</v>
      </c>
      <c r="F541" s="2898">
        <v>13.562814738519052</v>
      </c>
      <c r="G541" s="566">
        <v>183.63057022937312</v>
      </c>
      <c r="H541" s="3251">
        <v>101.89863429201486</v>
      </c>
      <c r="I541" s="3244">
        <v>8.1305878929865525</v>
      </c>
      <c r="J541" s="2902">
        <v>0</v>
      </c>
      <c r="K541" s="2898">
        <v>0</v>
      </c>
      <c r="L541" s="571"/>
      <c r="M541" s="2515">
        <f t="shared" si="60"/>
        <v>293.65979241437458</v>
      </c>
    </row>
    <row r="542" spans="1:13" ht="15.75" customHeight="1" x14ac:dyDescent="0.25">
      <c r="A542" s="3256" t="s">
        <v>219</v>
      </c>
      <c r="B542" s="2724" t="s">
        <v>1118</v>
      </c>
      <c r="C542" s="2578">
        <v>0</v>
      </c>
      <c r="D542" s="2896">
        <v>158.48349816303218</v>
      </c>
      <c r="E542" s="2897">
        <v>0</v>
      </c>
      <c r="F542" s="2898">
        <v>14.263514834672897</v>
      </c>
      <c r="G542" s="566">
        <v>172.74701299770507</v>
      </c>
      <c r="H542" s="3251">
        <v>109.60060100235667</v>
      </c>
      <c r="I542" s="3244">
        <v>20.824114190447766</v>
      </c>
      <c r="J542" s="2902">
        <v>0</v>
      </c>
      <c r="K542" s="2898">
        <v>0</v>
      </c>
      <c r="L542" s="571"/>
      <c r="M542" s="2515">
        <f t="shared" si="60"/>
        <v>303.1717281905095</v>
      </c>
    </row>
    <row r="543" spans="1:13" ht="15.75" customHeight="1" x14ac:dyDescent="0.25">
      <c r="A543" s="3256" t="s">
        <v>873</v>
      </c>
      <c r="B543" s="2724" t="s">
        <v>1118</v>
      </c>
      <c r="C543" s="2578">
        <v>0</v>
      </c>
      <c r="D543" s="2896">
        <v>196.56070226713732</v>
      </c>
      <c r="E543" s="2897">
        <v>0</v>
      </c>
      <c r="F543" s="2898">
        <v>17.690463204042359</v>
      </c>
      <c r="G543" s="566">
        <v>214.25116547117966</v>
      </c>
      <c r="H543" s="3251">
        <v>78.212635457080822</v>
      </c>
      <c r="I543" s="3244">
        <v>14.860400736845355</v>
      </c>
      <c r="J543" s="2902">
        <v>0</v>
      </c>
      <c r="K543" s="2898">
        <v>0</v>
      </c>
      <c r="L543" s="571"/>
      <c r="M543" s="2515">
        <f t="shared" si="60"/>
        <v>307.32420166510582</v>
      </c>
    </row>
    <row r="544" spans="1:13" ht="15.75" customHeight="1" x14ac:dyDescent="0.25">
      <c r="A544" s="2914" t="s">
        <v>868</v>
      </c>
      <c r="B544" s="2724" t="s">
        <v>1118</v>
      </c>
      <c r="C544" s="2578">
        <v>0</v>
      </c>
      <c r="D544" s="2896">
        <v>165.17273672186147</v>
      </c>
      <c r="E544" s="2897">
        <v>0</v>
      </c>
      <c r="F544" s="2898">
        <v>14.865546304967532</v>
      </c>
      <c r="G544" s="566">
        <v>180.03828302682899</v>
      </c>
      <c r="H544" s="3251">
        <v>109.60060100235667</v>
      </c>
      <c r="I544" s="3244">
        <v>20.824114190447766</v>
      </c>
      <c r="J544" s="2902">
        <v>0</v>
      </c>
      <c r="K544" s="2898">
        <v>0</v>
      </c>
      <c r="L544" s="571"/>
      <c r="M544" s="2515">
        <f t="shared" si="60"/>
        <v>310.46299821963339</v>
      </c>
    </row>
    <row r="545" spans="1:13" ht="15.75" customHeight="1" x14ac:dyDescent="0.25">
      <c r="A545" s="3253" t="s">
        <v>74</v>
      </c>
      <c r="B545" s="2785" t="s">
        <v>1036</v>
      </c>
      <c r="C545" s="2578">
        <v>157.97419877499416</v>
      </c>
      <c r="D545" s="2579">
        <v>0</v>
      </c>
      <c r="E545" s="2580">
        <v>0</v>
      </c>
      <c r="F545" s="2581">
        <v>31.59483975499883</v>
      </c>
      <c r="G545" s="566">
        <v>189.56903852999301</v>
      </c>
      <c r="H545" s="3251">
        <v>103.4749413887491</v>
      </c>
      <c r="I545" s="3244">
        <v>20.694988277749818</v>
      </c>
      <c r="J545" s="2585">
        <v>0</v>
      </c>
      <c r="K545" s="2581">
        <v>0</v>
      </c>
      <c r="L545" s="571"/>
      <c r="M545" s="2515">
        <f t="shared" si="60"/>
        <v>313.73896819649195</v>
      </c>
    </row>
    <row r="546" spans="1:13" ht="15.75" customHeight="1" x14ac:dyDescent="0.25">
      <c r="A546" s="2914" t="s">
        <v>869</v>
      </c>
      <c r="B546" s="2724" t="s">
        <v>1118</v>
      </c>
      <c r="C546" s="2578">
        <v>0</v>
      </c>
      <c r="D546" s="2896">
        <v>135.32844161323851</v>
      </c>
      <c r="E546" s="2897">
        <v>0</v>
      </c>
      <c r="F546" s="2898">
        <v>12.179559745191469</v>
      </c>
      <c r="G546" s="566">
        <v>147.50800135842996</v>
      </c>
      <c r="H546" s="3251">
        <v>143.56135060872072</v>
      </c>
      <c r="I546" s="3244">
        <v>27.276656615656936</v>
      </c>
      <c r="J546" s="2902">
        <v>0</v>
      </c>
      <c r="K546" s="2898">
        <v>0</v>
      </c>
      <c r="L546" s="571"/>
      <c r="M546" s="2515">
        <f t="shared" si="60"/>
        <v>318.3460085828076</v>
      </c>
    </row>
    <row r="547" spans="1:13" ht="15.75" customHeight="1" x14ac:dyDescent="0.25">
      <c r="A547" s="3252" t="s">
        <v>112</v>
      </c>
      <c r="B547" s="2785" t="s">
        <v>1076</v>
      </c>
      <c r="C547" s="2578">
        <v>66.571407420741423</v>
      </c>
      <c r="D547" s="2896">
        <v>102.67973880575155</v>
      </c>
      <c r="E547" s="2897">
        <v>0</v>
      </c>
      <c r="F547" s="2898">
        <v>13.49180523727026</v>
      </c>
      <c r="G547" s="566">
        <v>182.74295146376323</v>
      </c>
      <c r="H547" s="3251">
        <v>128.66921626280902</v>
      </c>
      <c r="I547" s="3244">
        <v>10.260872930450278</v>
      </c>
      <c r="J547" s="2902">
        <v>0</v>
      </c>
      <c r="K547" s="2898">
        <v>0</v>
      </c>
      <c r="L547" s="571"/>
      <c r="M547" s="2515">
        <f t="shared" si="60"/>
        <v>321.67304065702251</v>
      </c>
    </row>
    <row r="548" spans="1:13" ht="15.75" customHeight="1" x14ac:dyDescent="0.25">
      <c r="A548" s="2914" t="s">
        <v>871</v>
      </c>
      <c r="B548" s="2724" t="s">
        <v>1118</v>
      </c>
      <c r="C548" s="2578">
        <v>0</v>
      </c>
      <c r="D548" s="2896">
        <v>189.87146370830803</v>
      </c>
      <c r="E548" s="2897">
        <v>0</v>
      </c>
      <c r="F548" s="2898">
        <v>17.088431733747726</v>
      </c>
      <c r="G548" s="566">
        <v>206.95989544205577</v>
      </c>
      <c r="H548" s="3251">
        <v>104.4550328801803</v>
      </c>
      <c r="I548" s="3244">
        <v>19.846456247234258</v>
      </c>
      <c r="J548" s="2902">
        <v>0</v>
      </c>
      <c r="K548" s="2898">
        <v>0</v>
      </c>
      <c r="L548" s="571"/>
      <c r="M548" s="2515">
        <f t="shared" si="60"/>
        <v>331.26138456947029</v>
      </c>
    </row>
    <row r="549" spans="1:13" ht="15.75" customHeight="1" x14ac:dyDescent="0.25">
      <c r="A549" s="2914" t="s">
        <v>191</v>
      </c>
      <c r="B549" s="2724" t="s">
        <v>1118</v>
      </c>
      <c r="C549" s="2578">
        <v>0</v>
      </c>
      <c r="D549" s="2896">
        <v>146.64869148202655</v>
      </c>
      <c r="E549" s="2897">
        <v>0</v>
      </c>
      <c r="F549" s="2898">
        <v>13.198382233382388</v>
      </c>
      <c r="G549" s="566">
        <v>159.84707371540892</v>
      </c>
      <c r="H549" s="3251">
        <v>146.1341346698089</v>
      </c>
      <c r="I549" s="3244">
        <v>27.76548558726369</v>
      </c>
      <c r="J549" s="2902">
        <v>0</v>
      </c>
      <c r="K549" s="2898">
        <v>0</v>
      </c>
      <c r="L549" s="571"/>
      <c r="M549" s="2515">
        <f t="shared" si="60"/>
        <v>333.74669397248152</v>
      </c>
    </row>
    <row r="550" spans="1:13" ht="15.75" customHeight="1" x14ac:dyDescent="0.25">
      <c r="A550" s="3253" t="s">
        <v>77</v>
      </c>
      <c r="B550" s="2785" t="s">
        <v>1036</v>
      </c>
      <c r="C550" s="2578">
        <v>222.17039610158466</v>
      </c>
      <c r="D550" s="2579">
        <v>0</v>
      </c>
      <c r="E550" s="2580">
        <v>0</v>
      </c>
      <c r="F550" s="2581">
        <v>44.434079220316931</v>
      </c>
      <c r="G550" s="566">
        <v>266.60447532190159</v>
      </c>
      <c r="H550" s="3251">
        <v>56.463194589353002</v>
      </c>
      <c r="I550" s="3244">
        <v>11.292638917870601</v>
      </c>
      <c r="J550" s="2585">
        <v>0</v>
      </c>
      <c r="K550" s="2581">
        <v>0</v>
      </c>
      <c r="L550" s="571"/>
      <c r="M550" s="2515">
        <f t="shared" si="60"/>
        <v>334.36030882912519</v>
      </c>
    </row>
    <row r="551" spans="1:13" ht="15.75" customHeight="1" x14ac:dyDescent="0.25">
      <c r="A551" s="3253" t="s">
        <v>76</v>
      </c>
      <c r="B551" s="2785" t="s">
        <v>1036</v>
      </c>
      <c r="C551" s="2578">
        <v>257.76675790791586</v>
      </c>
      <c r="D551" s="2579">
        <v>0</v>
      </c>
      <c r="E551" s="2580">
        <v>0</v>
      </c>
      <c r="F551" s="2581">
        <v>51.553351581583179</v>
      </c>
      <c r="G551" s="566">
        <v>309.32010948949903</v>
      </c>
      <c r="H551" s="3251">
        <v>30.686518798561416</v>
      </c>
      <c r="I551" s="3244">
        <v>6.1373037597122835</v>
      </c>
      <c r="J551" s="2585">
        <v>0</v>
      </c>
      <c r="K551" s="2581">
        <v>0</v>
      </c>
      <c r="L551" s="571"/>
      <c r="M551" s="2515">
        <f t="shared" si="60"/>
        <v>346.14393204777269</v>
      </c>
    </row>
    <row r="552" spans="1:13" ht="15.75" customHeight="1" x14ac:dyDescent="0.25">
      <c r="A552" s="3258" t="s">
        <v>109</v>
      </c>
      <c r="B552" s="2785" t="s">
        <v>1074</v>
      </c>
      <c r="C552" s="2578">
        <v>13.013049063036458</v>
      </c>
      <c r="D552" s="2896">
        <v>197.45261161330595</v>
      </c>
      <c r="E552" s="2897">
        <v>0.96037262457833639</v>
      </c>
      <c r="F552" s="2898">
        <v>21.140202398530629</v>
      </c>
      <c r="G552" s="566">
        <v>232.56623569945134</v>
      </c>
      <c r="H552" s="3251">
        <v>102.43574506908681</v>
      </c>
      <c r="I552" s="3244">
        <v>10.239973109566511</v>
      </c>
      <c r="J552" s="2902">
        <v>1.9207452491566728</v>
      </c>
      <c r="K552" s="2898">
        <v>0.19207452491566729</v>
      </c>
      <c r="L552" s="571"/>
      <c r="M552" s="2515">
        <f t="shared" si="60"/>
        <v>347.35477365217696</v>
      </c>
    </row>
    <row r="553" spans="1:13" ht="15.75" customHeight="1" x14ac:dyDescent="0.25">
      <c r="A553" s="3256" t="s">
        <v>771</v>
      </c>
      <c r="B553" s="2724" t="s">
        <v>1118</v>
      </c>
      <c r="C553" s="2578">
        <v>0</v>
      </c>
      <c r="D553" s="2896">
        <v>183.69678196169639</v>
      </c>
      <c r="E553" s="2897">
        <v>0</v>
      </c>
      <c r="F553" s="2898">
        <v>16.532710376552679</v>
      </c>
      <c r="G553" s="566">
        <v>200.22949233824906</v>
      </c>
      <c r="H553" s="3251">
        <v>125.55186218110342</v>
      </c>
      <c r="I553" s="3244">
        <v>23.854853814409651</v>
      </c>
      <c r="J553" s="2902">
        <v>0</v>
      </c>
      <c r="K553" s="2898">
        <v>0</v>
      </c>
      <c r="L553" s="571"/>
      <c r="M553" s="2515">
        <f t="shared" si="60"/>
        <v>349.63620833376211</v>
      </c>
    </row>
    <row r="554" spans="1:13" ht="15.75" customHeight="1" x14ac:dyDescent="0.25">
      <c r="A554" s="3255" t="s">
        <v>613</v>
      </c>
      <c r="B554" s="2785" t="s">
        <v>1066</v>
      </c>
      <c r="C554" s="2578">
        <v>0</v>
      </c>
      <c r="D554" s="2896">
        <v>168.27145848359524</v>
      </c>
      <c r="E554" s="2897">
        <v>0</v>
      </c>
      <c r="F554" s="2898">
        <v>45.433293790570715</v>
      </c>
      <c r="G554" s="566">
        <v>213.70475227416597</v>
      </c>
      <c r="H554" s="3251">
        <v>107.08183721683334</v>
      </c>
      <c r="I554" s="3244">
        <v>28.912096048545003</v>
      </c>
      <c r="J554" s="2902">
        <v>0</v>
      </c>
      <c r="K554" s="2898">
        <v>0</v>
      </c>
      <c r="L554" s="571"/>
      <c r="M554" s="2515">
        <f t="shared" si="60"/>
        <v>349.69868553954427</v>
      </c>
    </row>
    <row r="555" spans="1:13" ht="15.75" customHeight="1" x14ac:dyDescent="0.25">
      <c r="A555" s="3256" t="s">
        <v>865</v>
      </c>
      <c r="B555" s="2724" t="s">
        <v>1118</v>
      </c>
      <c r="C555" s="2578">
        <v>0</v>
      </c>
      <c r="D555" s="2896">
        <v>178.55121383952002</v>
      </c>
      <c r="E555" s="2897">
        <v>0</v>
      </c>
      <c r="F555" s="2898">
        <v>16.069609245556801</v>
      </c>
      <c r="G555" s="566">
        <v>194.62082308507681</v>
      </c>
      <c r="H555" s="3251">
        <v>132.2411007399327</v>
      </c>
      <c r="I555" s="3244">
        <v>25.125809140587211</v>
      </c>
      <c r="J555" s="2902">
        <v>0</v>
      </c>
      <c r="K555" s="2898">
        <v>0</v>
      </c>
      <c r="L555" s="571"/>
      <c r="M555" s="2515">
        <f t="shared" si="60"/>
        <v>351.98773296559671</v>
      </c>
    </row>
    <row r="556" spans="1:13" ht="15.75" customHeight="1" x14ac:dyDescent="0.25">
      <c r="A556" s="3255" t="s">
        <v>133</v>
      </c>
      <c r="B556" s="2785" t="s">
        <v>1116</v>
      </c>
      <c r="C556" s="2578">
        <v>68.426549501206466</v>
      </c>
      <c r="D556" s="2896">
        <v>124.47629680315961</v>
      </c>
      <c r="E556" s="2897">
        <v>5.4261053288675996</v>
      </c>
      <c r="F556" s="2898">
        <v>11.896615886964142</v>
      </c>
      <c r="G556" s="566">
        <v>210.22556752019784</v>
      </c>
      <c r="H556" s="3251">
        <v>127.9216335938344</v>
      </c>
      <c r="I556" s="3244">
        <v>0</v>
      </c>
      <c r="J556" s="2902">
        <v>17.442767793904032</v>
      </c>
      <c r="K556" s="2898">
        <v>0</v>
      </c>
      <c r="L556" s="571"/>
      <c r="M556" s="2515">
        <f t="shared" si="60"/>
        <v>355.58996890793622</v>
      </c>
    </row>
    <row r="557" spans="1:13" ht="15.75" customHeight="1" x14ac:dyDescent="0.25">
      <c r="A557" s="3256" t="s">
        <v>863</v>
      </c>
      <c r="B557" s="2724" t="s">
        <v>1118</v>
      </c>
      <c r="C557" s="2578">
        <v>0</v>
      </c>
      <c r="D557" s="2896">
        <v>183.18222514947877</v>
      </c>
      <c r="E557" s="2897">
        <v>0</v>
      </c>
      <c r="F557" s="2898">
        <v>16.486400263453088</v>
      </c>
      <c r="G557" s="566">
        <v>199.66862541293185</v>
      </c>
      <c r="H557" s="3251">
        <v>133.27021436436797</v>
      </c>
      <c r="I557" s="3244">
        <v>25.321340729229917</v>
      </c>
      <c r="J557" s="2902">
        <v>0</v>
      </c>
      <c r="K557" s="2898">
        <v>0</v>
      </c>
      <c r="L557" s="571"/>
      <c r="M557" s="2515">
        <f t="shared" si="60"/>
        <v>358.26018050652971</v>
      </c>
    </row>
    <row r="558" spans="1:13" ht="15.75" customHeight="1" x14ac:dyDescent="0.25">
      <c r="A558" s="3256" t="s">
        <v>872</v>
      </c>
      <c r="B558" s="2724" t="s">
        <v>1118</v>
      </c>
      <c r="C558" s="2578">
        <v>0</v>
      </c>
      <c r="D558" s="2896">
        <v>207.36639532370771</v>
      </c>
      <c r="E558" s="2897">
        <v>0</v>
      </c>
      <c r="F558" s="2898">
        <v>18.662975579133693</v>
      </c>
      <c r="G558" s="566">
        <v>226.02937090284141</v>
      </c>
      <c r="H558" s="3251">
        <v>114.74616912453304</v>
      </c>
      <c r="I558" s="3244">
        <v>21.801772133661277</v>
      </c>
      <c r="J558" s="2902">
        <v>0</v>
      </c>
      <c r="K558" s="2898">
        <v>0</v>
      </c>
      <c r="L558" s="571"/>
      <c r="M558" s="2515">
        <f t="shared" si="60"/>
        <v>362.57731216103576</v>
      </c>
    </row>
    <row r="559" spans="1:13" ht="15.75" customHeight="1" x14ac:dyDescent="0.25">
      <c r="A559" s="3256" t="s">
        <v>769</v>
      </c>
      <c r="B559" s="2724" t="s">
        <v>1118</v>
      </c>
      <c r="C559" s="2578">
        <v>0</v>
      </c>
      <c r="D559" s="2896">
        <v>179.06577065173767</v>
      </c>
      <c r="E559" s="2897">
        <v>0</v>
      </c>
      <c r="F559" s="2898">
        <v>16.115919358656392</v>
      </c>
      <c r="G559" s="566">
        <v>195.18169001039405</v>
      </c>
      <c r="H559" s="3251">
        <v>142.0176801720678</v>
      </c>
      <c r="I559" s="3244">
        <v>26.98335923269288</v>
      </c>
      <c r="J559" s="2902">
        <v>0</v>
      </c>
      <c r="K559" s="2898">
        <v>0</v>
      </c>
      <c r="L559" s="571"/>
      <c r="M559" s="2515">
        <f t="shared" si="60"/>
        <v>364.18272941515471</v>
      </c>
    </row>
    <row r="560" spans="1:13" ht="15.75" customHeight="1" x14ac:dyDescent="0.25">
      <c r="A560" s="3256" t="s">
        <v>190</v>
      </c>
      <c r="B560" s="2724" t="s">
        <v>1118</v>
      </c>
      <c r="C560" s="2578">
        <v>0</v>
      </c>
      <c r="D560" s="2896">
        <v>191.41513414496094</v>
      </c>
      <c r="E560" s="2897">
        <v>0</v>
      </c>
      <c r="F560" s="2898">
        <v>17.227362073046486</v>
      </c>
      <c r="G560" s="566">
        <v>208.64249621800744</v>
      </c>
      <c r="H560" s="3251">
        <v>132.2411007399327</v>
      </c>
      <c r="I560" s="3244">
        <v>25.125809140587211</v>
      </c>
      <c r="J560" s="2902">
        <v>0</v>
      </c>
      <c r="K560" s="2898">
        <v>0</v>
      </c>
      <c r="L560" s="571"/>
      <c r="M560" s="2515">
        <f t="shared" si="60"/>
        <v>366.00940609852734</v>
      </c>
    </row>
    <row r="561" spans="1:13" ht="15.75" customHeight="1" x14ac:dyDescent="0.25">
      <c r="A561" s="3255" t="s">
        <v>114</v>
      </c>
      <c r="B561" s="2785" t="s">
        <v>1076</v>
      </c>
      <c r="C561" s="2578">
        <v>86.27654401728087</v>
      </c>
      <c r="D561" s="2896">
        <v>91.602256610940188</v>
      </c>
      <c r="E561" s="2897">
        <v>0</v>
      </c>
      <c r="F561" s="2898">
        <v>14.210776437414268</v>
      </c>
      <c r="G561" s="566">
        <v>192.08957706563532</v>
      </c>
      <c r="H561" s="3251">
        <v>161.36909158787719</v>
      </c>
      <c r="I561" s="3244">
        <v>12.897100664311637</v>
      </c>
      <c r="J561" s="2902">
        <v>0</v>
      </c>
      <c r="K561" s="2898">
        <v>0</v>
      </c>
      <c r="L561" s="571"/>
      <c r="M561" s="2515">
        <f t="shared" si="60"/>
        <v>366.35576931782418</v>
      </c>
    </row>
    <row r="562" spans="1:13" ht="15.75" customHeight="1" x14ac:dyDescent="0.25">
      <c r="A562" s="3256" t="s">
        <v>867</v>
      </c>
      <c r="B562" s="2724" t="s">
        <v>1118</v>
      </c>
      <c r="C562" s="2578">
        <v>0</v>
      </c>
      <c r="D562" s="2896">
        <v>162.59995266077328</v>
      </c>
      <c r="E562" s="2897">
        <v>0</v>
      </c>
      <c r="F562" s="2898">
        <v>14.633995739469595</v>
      </c>
      <c r="G562" s="566">
        <v>177.23394840024287</v>
      </c>
      <c r="H562" s="3251">
        <v>158.99805497524983</v>
      </c>
      <c r="I562" s="3244">
        <v>30.209630445297467</v>
      </c>
      <c r="J562" s="2902">
        <v>0</v>
      </c>
      <c r="K562" s="2898">
        <v>0</v>
      </c>
      <c r="L562" s="571"/>
      <c r="M562" s="2515">
        <f t="shared" si="60"/>
        <v>366.44163382079017</v>
      </c>
    </row>
    <row r="563" spans="1:13" ht="15.75" customHeight="1" x14ac:dyDescent="0.25">
      <c r="A563" s="3256" t="s">
        <v>866</v>
      </c>
      <c r="B563" s="2724" t="s">
        <v>1118</v>
      </c>
      <c r="C563" s="2578">
        <v>0</v>
      </c>
      <c r="D563" s="2896">
        <v>209.42462257257824</v>
      </c>
      <c r="E563" s="2897">
        <v>0</v>
      </c>
      <c r="F563" s="2898">
        <v>18.848216031532044</v>
      </c>
      <c r="G563" s="566">
        <v>228.27283860411029</v>
      </c>
      <c r="H563" s="3251">
        <v>116.28983956118596</v>
      </c>
      <c r="I563" s="3244">
        <v>22.09506951662533</v>
      </c>
      <c r="J563" s="2902">
        <v>0</v>
      </c>
      <c r="K563" s="2898">
        <v>0</v>
      </c>
      <c r="L563" s="571"/>
      <c r="M563" s="2515">
        <f t="shared" si="60"/>
        <v>366.65774768192159</v>
      </c>
    </row>
    <row r="564" spans="1:13" ht="15.75" customHeight="1" x14ac:dyDescent="0.25">
      <c r="A564" s="3256" t="s">
        <v>520</v>
      </c>
      <c r="B564" s="2724" t="s">
        <v>1118</v>
      </c>
      <c r="C564" s="2578">
        <v>0</v>
      </c>
      <c r="D564" s="2896">
        <v>164.1436230974262</v>
      </c>
      <c r="E564" s="2897">
        <v>0</v>
      </c>
      <c r="F564" s="2898">
        <v>14.772926078768357</v>
      </c>
      <c r="G564" s="566">
        <v>178.91654917619456</v>
      </c>
      <c r="H564" s="3251">
        <v>157.96894135081456</v>
      </c>
      <c r="I564" s="3244">
        <v>30.014098856654762</v>
      </c>
      <c r="J564" s="2902">
        <v>0</v>
      </c>
      <c r="K564" s="2898">
        <v>0</v>
      </c>
      <c r="L564" s="571"/>
      <c r="M564" s="2515">
        <f t="shared" si="60"/>
        <v>366.89958938366385</v>
      </c>
    </row>
    <row r="565" spans="1:13" ht="15.75" customHeight="1" x14ac:dyDescent="0.25">
      <c r="A565" s="3255" t="s">
        <v>153</v>
      </c>
      <c r="B565" s="2785" t="s">
        <v>1133</v>
      </c>
      <c r="C565" s="2578">
        <v>0</v>
      </c>
      <c r="D565" s="2896">
        <v>199.20529165316142</v>
      </c>
      <c r="E565" s="2897">
        <v>0</v>
      </c>
      <c r="F565" s="2898">
        <v>19.91572730219325</v>
      </c>
      <c r="G565" s="566">
        <v>219.12101895535469</v>
      </c>
      <c r="H565" s="3251">
        <v>134.64424196588274</v>
      </c>
      <c r="I565" s="3244">
        <v>13.457221401903938</v>
      </c>
      <c r="J565" s="2902">
        <v>0</v>
      </c>
      <c r="K565" s="2898">
        <v>0</v>
      </c>
      <c r="L565" s="571"/>
      <c r="M565" s="2515">
        <f t="shared" si="60"/>
        <v>367.22248232314138</v>
      </c>
    </row>
    <row r="566" spans="1:13" ht="15.75" customHeight="1" x14ac:dyDescent="0.25">
      <c r="A566" s="3255" t="s">
        <v>746</v>
      </c>
      <c r="B566" s="2785" t="s">
        <v>1147</v>
      </c>
      <c r="C566" s="2578">
        <v>4.9608404483911857</v>
      </c>
      <c r="D566" s="2896">
        <v>176.33031771559337</v>
      </c>
      <c r="E566" s="2897">
        <v>0</v>
      </c>
      <c r="F566" s="2898">
        <v>31.739457188806806</v>
      </c>
      <c r="G566" s="566">
        <v>213.03061535279136</v>
      </c>
      <c r="H566" s="3251">
        <v>132.24773828669504</v>
      </c>
      <c r="I566" s="3244">
        <v>23.804592891605107</v>
      </c>
      <c r="J566" s="2902">
        <v>0</v>
      </c>
      <c r="K566" s="2898">
        <v>0</v>
      </c>
      <c r="L566" s="571"/>
      <c r="M566" s="2515">
        <f t="shared" si="60"/>
        <v>369.08294653109152</v>
      </c>
    </row>
    <row r="567" spans="1:13" ht="15.75" customHeight="1" x14ac:dyDescent="0.25">
      <c r="A567" s="3255" t="s">
        <v>747</v>
      </c>
      <c r="B567" s="2785" t="s">
        <v>1147</v>
      </c>
      <c r="C567" s="2578">
        <v>4.9608404483911857</v>
      </c>
      <c r="D567" s="2896">
        <v>176.33031771559337</v>
      </c>
      <c r="E567" s="2897">
        <v>0</v>
      </c>
      <c r="F567" s="2898">
        <v>31.739457188806806</v>
      </c>
      <c r="G567" s="566">
        <v>213.03061535279136</v>
      </c>
      <c r="H567" s="3251">
        <v>132.24773828669504</v>
      </c>
      <c r="I567" s="3244">
        <v>23.804592891605107</v>
      </c>
      <c r="J567" s="2902">
        <v>0</v>
      </c>
      <c r="K567" s="2898">
        <v>0</v>
      </c>
      <c r="L567" s="571"/>
      <c r="M567" s="2515">
        <f t="shared" si="60"/>
        <v>369.08294653109152</v>
      </c>
    </row>
    <row r="568" spans="1:13" ht="15.75" customHeight="1" x14ac:dyDescent="0.25">
      <c r="A568" s="3255" t="s">
        <v>748</v>
      </c>
      <c r="B568" s="2785" t="s">
        <v>1147</v>
      </c>
      <c r="C568" s="2578">
        <v>4.9608404483911857</v>
      </c>
      <c r="D568" s="2896">
        <v>176.33031771559337</v>
      </c>
      <c r="E568" s="2897">
        <v>0</v>
      </c>
      <c r="F568" s="2898">
        <v>31.739457188806806</v>
      </c>
      <c r="G568" s="566">
        <v>213.03061535279136</v>
      </c>
      <c r="H568" s="3251">
        <v>132.24773828669504</v>
      </c>
      <c r="I568" s="3244">
        <v>23.804592891605107</v>
      </c>
      <c r="J568" s="2902">
        <v>0</v>
      </c>
      <c r="K568" s="2898">
        <v>0</v>
      </c>
      <c r="L568" s="571"/>
      <c r="M568" s="2515">
        <f t="shared" si="60"/>
        <v>369.08294653109152</v>
      </c>
    </row>
    <row r="569" spans="1:13" ht="15.75" customHeight="1" x14ac:dyDescent="0.25">
      <c r="A569" s="3255" t="s">
        <v>749</v>
      </c>
      <c r="B569" s="2785" t="s">
        <v>1147</v>
      </c>
      <c r="C569" s="2578">
        <v>4.9608404483911857</v>
      </c>
      <c r="D569" s="2896">
        <v>176.33031771559337</v>
      </c>
      <c r="E569" s="2897">
        <v>0</v>
      </c>
      <c r="F569" s="2898">
        <v>31.739457188806806</v>
      </c>
      <c r="G569" s="566">
        <v>213.03061535279136</v>
      </c>
      <c r="H569" s="3251">
        <v>132.24773828669504</v>
      </c>
      <c r="I569" s="3244">
        <v>23.804592891605107</v>
      </c>
      <c r="J569" s="2902">
        <v>0</v>
      </c>
      <c r="K569" s="2898">
        <v>0</v>
      </c>
      <c r="L569" s="571"/>
      <c r="M569" s="2515">
        <f t="shared" si="60"/>
        <v>369.08294653109152</v>
      </c>
    </row>
    <row r="570" spans="1:13" ht="15.75" customHeight="1" x14ac:dyDescent="0.25">
      <c r="A570" s="3256" t="s">
        <v>870</v>
      </c>
      <c r="B570" s="2724" t="s">
        <v>1118</v>
      </c>
      <c r="C570" s="2578">
        <v>0</v>
      </c>
      <c r="D570" s="2896">
        <v>217.1429747558428</v>
      </c>
      <c r="E570" s="2897">
        <v>0</v>
      </c>
      <c r="F570" s="2898">
        <v>19.54286772802585</v>
      </c>
      <c r="G570" s="566">
        <v>236.68584248386864</v>
      </c>
      <c r="H570" s="3251">
        <v>112.17338506344485</v>
      </c>
      <c r="I570" s="3244">
        <v>21.312943162054523</v>
      </c>
      <c r="J570" s="2902">
        <v>0</v>
      </c>
      <c r="K570" s="2898">
        <v>0</v>
      </c>
      <c r="L570" s="571"/>
      <c r="M570" s="2515">
        <f t="shared" si="60"/>
        <v>370.172170709368</v>
      </c>
    </row>
    <row r="571" spans="1:13" ht="15.75" customHeight="1" x14ac:dyDescent="0.25">
      <c r="A571" s="3255" t="s">
        <v>135</v>
      </c>
      <c r="B571" s="2785" t="s">
        <v>1116</v>
      </c>
      <c r="C571" s="2578">
        <v>49.963385793687948</v>
      </c>
      <c r="D571" s="2896">
        <v>189.39748622465518</v>
      </c>
      <c r="E571" s="2897">
        <v>4.8979003853495158</v>
      </c>
      <c r="F571" s="2898">
        <v>14.65768718262686</v>
      </c>
      <c r="G571" s="566">
        <v>258.91645958631949</v>
      </c>
      <c r="H571" s="3251">
        <v>105.73702596607482</v>
      </c>
      <c r="I571" s="3244">
        <v>6.3384593222170205</v>
      </c>
      <c r="J571" s="2902">
        <v>0</v>
      </c>
      <c r="K571" s="2898">
        <v>0</v>
      </c>
      <c r="L571" s="571"/>
      <c r="M571" s="2515">
        <f t="shared" si="60"/>
        <v>370.99194487461136</v>
      </c>
    </row>
    <row r="572" spans="1:13" ht="15.75" customHeight="1" x14ac:dyDescent="0.25">
      <c r="A572" s="3256" t="s">
        <v>218</v>
      </c>
      <c r="B572" s="2724" t="s">
        <v>1118</v>
      </c>
      <c r="C572" s="2578">
        <v>0</v>
      </c>
      <c r="D572" s="2896">
        <v>206.85183851149006</v>
      </c>
      <c r="E572" s="2897">
        <v>0</v>
      </c>
      <c r="F572" s="2898">
        <v>18.616665466034107</v>
      </c>
      <c r="G572" s="566">
        <v>225.46850397752416</v>
      </c>
      <c r="H572" s="3251">
        <v>124.52274855666815</v>
      </c>
      <c r="I572" s="3244">
        <v>23.659322225766946</v>
      </c>
      <c r="J572" s="2902">
        <v>0</v>
      </c>
      <c r="K572" s="2898">
        <v>0</v>
      </c>
      <c r="L572" s="571"/>
      <c r="M572" s="2515">
        <f t="shared" si="60"/>
        <v>373.65057475995928</v>
      </c>
    </row>
    <row r="573" spans="1:13" ht="15.75" customHeight="1" x14ac:dyDescent="0.25">
      <c r="A573" s="3256" t="s">
        <v>517</v>
      </c>
      <c r="B573" s="2724" t="s">
        <v>1118</v>
      </c>
      <c r="C573" s="2578">
        <v>0</v>
      </c>
      <c r="D573" s="2896">
        <v>177.00754340286713</v>
      </c>
      <c r="E573" s="2897">
        <v>0</v>
      </c>
      <c r="F573" s="2898">
        <v>15.930678906258041</v>
      </c>
      <c r="G573" s="566">
        <v>192.93822230912517</v>
      </c>
      <c r="H573" s="3251">
        <v>153.85248685307346</v>
      </c>
      <c r="I573" s="3244">
        <v>29.231972502083959</v>
      </c>
      <c r="J573" s="2902">
        <v>0</v>
      </c>
      <c r="K573" s="2898">
        <v>0</v>
      </c>
      <c r="L573" s="571"/>
      <c r="M573" s="2515">
        <f t="shared" si="60"/>
        <v>376.02268166428257</v>
      </c>
    </row>
    <row r="574" spans="1:13" ht="15.75" customHeight="1" x14ac:dyDescent="0.25">
      <c r="A574" s="3256" t="s">
        <v>514</v>
      </c>
      <c r="B574" s="2724" t="s">
        <v>1118</v>
      </c>
      <c r="C574" s="2578">
        <v>0</v>
      </c>
      <c r="D574" s="2896">
        <v>164.65817990964382</v>
      </c>
      <c r="E574" s="2897">
        <v>0</v>
      </c>
      <c r="F574" s="2898">
        <v>14.819236191867946</v>
      </c>
      <c r="G574" s="566">
        <v>179.47741610151178</v>
      </c>
      <c r="H574" s="3251">
        <v>165.17273672186147</v>
      </c>
      <c r="I574" s="3244">
        <v>31.38281997715368</v>
      </c>
      <c r="J574" s="2902">
        <v>0</v>
      </c>
      <c r="K574" s="2898">
        <v>0</v>
      </c>
      <c r="L574" s="571"/>
      <c r="M574" s="2515">
        <f t="shared" si="60"/>
        <v>376.03297280052692</v>
      </c>
    </row>
    <row r="575" spans="1:13" ht="15.75" customHeight="1" x14ac:dyDescent="0.25">
      <c r="A575" s="3256" t="s">
        <v>515</v>
      </c>
      <c r="B575" s="2724" t="s">
        <v>1118</v>
      </c>
      <c r="C575" s="2895">
        <v>0</v>
      </c>
      <c r="D575" s="2896">
        <v>190.90057733274332</v>
      </c>
      <c r="E575" s="2897">
        <v>0</v>
      </c>
      <c r="F575" s="2898">
        <v>17.181051959946899</v>
      </c>
      <c r="G575" s="566">
        <v>208.08162929269022</v>
      </c>
      <c r="H575" s="3251">
        <v>142.0176801720678</v>
      </c>
      <c r="I575" s="3244">
        <v>26.98335923269288</v>
      </c>
      <c r="J575" s="2902">
        <v>0</v>
      </c>
      <c r="K575" s="2898">
        <v>0</v>
      </c>
      <c r="L575" s="571"/>
      <c r="M575" s="2515">
        <f t="shared" si="60"/>
        <v>377.08266869745086</v>
      </c>
    </row>
    <row r="576" spans="1:13" ht="15.75" customHeight="1" x14ac:dyDescent="0.25">
      <c r="A576" s="3256" t="s">
        <v>875</v>
      </c>
      <c r="B576" s="2724" t="s">
        <v>1118</v>
      </c>
      <c r="C576" s="2895">
        <v>0</v>
      </c>
      <c r="D576" s="2896">
        <v>180.09488427617293</v>
      </c>
      <c r="E576" s="2897">
        <v>0</v>
      </c>
      <c r="F576" s="2898">
        <v>16.208539584855565</v>
      </c>
      <c r="G576" s="566">
        <v>196.30342386102851</v>
      </c>
      <c r="H576" s="3251">
        <v>152.82337322863819</v>
      </c>
      <c r="I576" s="3244">
        <v>29.036440913441254</v>
      </c>
      <c r="J576" s="2902">
        <v>0</v>
      </c>
      <c r="K576" s="2898">
        <v>0</v>
      </c>
      <c r="L576" s="571"/>
      <c r="M576" s="2515">
        <f t="shared" si="60"/>
        <v>378.16323800310795</v>
      </c>
    </row>
    <row r="577" spans="1:13" ht="15.75" customHeight="1" x14ac:dyDescent="0.25">
      <c r="A577" s="3255" t="s">
        <v>175</v>
      </c>
      <c r="B577" s="2785" t="s">
        <v>1151</v>
      </c>
      <c r="C577" s="2895">
        <v>38.4</v>
      </c>
      <c r="D577" s="2896">
        <v>93.57</v>
      </c>
      <c r="E577" s="2897" t="s">
        <v>5</v>
      </c>
      <c r="F577" s="2898" t="s">
        <v>5</v>
      </c>
      <c r="G577" s="566">
        <v>131.97</v>
      </c>
      <c r="H577" s="3251">
        <v>248.71</v>
      </c>
      <c r="I577" s="3242" t="s">
        <v>5</v>
      </c>
      <c r="J577" s="2902" t="s">
        <v>5</v>
      </c>
      <c r="K577" s="2898" t="s">
        <v>5</v>
      </c>
      <c r="L577" s="571"/>
      <c r="M577" s="2515">
        <f>G577+H577</f>
        <v>380.68</v>
      </c>
    </row>
    <row r="578" spans="1:13" ht="15.75" customHeight="1" x14ac:dyDescent="0.25">
      <c r="A578" s="3256" t="s">
        <v>864</v>
      </c>
      <c r="B578" s="2724" t="s">
        <v>1118</v>
      </c>
      <c r="C578" s="2895">
        <v>0</v>
      </c>
      <c r="D578" s="2896">
        <v>183.18222514947877</v>
      </c>
      <c r="E578" s="2897">
        <v>0</v>
      </c>
      <c r="F578" s="2898">
        <v>16.486400263453088</v>
      </c>
      <c r="G578" s="566">
        <v>199.66862541293185</v>
      </c>
      <c r="H578" s="3251">
        <v>156.42527091416164</v>
      </c>
      <c r="I578" s="3244">
        <v>29.72080147369071</v>
      </c>
      <c r="J578" s="2902">
        <v>0</v>
      </c>
      <c r="K578" s="2898">
        <v>0</v>
      </c>
      <c r="L578" s="571"/>
      <c r="M578" s="2515">
        <f t="shared" ref="M578:M586" si="61">G578+H578+I578+J578+K578</f>
        <v>385.81469780078419</v>
      </c>
    </row>
    <row r="579" spans="1:13" ht="15.75" customHeight="1" x14ac:dyDescent="0.25">
      <c r="A579" s="3255" t="s">
        <v>119</v>
      </c>
      <c r="B579" s="2785" t="s">
        <v>1076</v>
      </c>
      <c r="C579" s="2895">
        <v>84.146258979817148</v>
      </c>
      <c r="D579" s="2896">
        <v>121.35523763418355</v>
      </c>
      <c r="E579" s="2897">
        <v>0</v>
      </c>
      <c r="F579" s="2898">
        <v>16.403194788470685</v>
      </c>
      <c r="G579" s="566">
        <v>221.90469140247137</v>
      </c>
      <c r="H579" s="3251">
        <v>155.15576022860799</v>
      </c>
      <c r="I579" s="3244">
        <v>12.391157967914003</v>
      </c>
      <c r="J579" s="2902">
        <v>0</v>
      </c>
      <c r="K579" s="2898">
        <v>0</v>
      </c>
      <c r="L579" s="571"/>
      <c r="M579" s="2515">
        <f t="shared" si="61"/>
        <v>389.45160959899334</v>
      </c>
    </row>
    <row r="580" spans="1:13" ht="15.75" customHeight="1" x14ac:dyDescent="0.25">
      <c r="A580" s="3255" t="s">
        <v>137</v>
      </c>
      <c r="B580" s="2785" t="s">
        <v>1116</v>
      </c>
      <c r="C580" s="2895">
        <v>67.190069747061855</v>
      </c>
      <c r="D580" s="2896">
        <v>134.9083444376418</v>
      </c>
      <c r="E580" s="2897">
        <v>4.1055929700723874</v>
      </c>
      <c r="F580" s="2898">
        <v>12.37680219925331</v>
      </c>
      <c r="G580" s="566">
        <v>218.58080935402936</v>
      </c>
      <c r="H580" s="3251">
        <v>171.4505228028475</v>
      </c>
      <c r="I580" s="3244">
        <v>0</v>
      </c>
      <c r="J580" s="2902">
        <v>0</v>
      </c>
      <c r="K580" s="2898">
        <v>0</v>
      </c>
      <c r="L580" s="571"/>
      <c r="M580" s="2515">
        <f t="shared" si="61"/>
        <v>390.03133215687683</v>
      </c>
    </row>
    <row r="581" spans="1:13" ht="15.75" customHeight="1" x14ac:dyDescent="0.25">
      <c r="A581" s="3255" t="s">
        <v>928</v>
      </c>
      <c r="B581" s="2785" t="s">
        <v>1145</v>
      </c>
      <c r="C581" s="2895">
        <v>232.95649194929769</v>
      </c>
      <c r="D581" s="2896">
        <v>0</v>
      </c>
      <c r="E581" s="2897">
        <v>0</v>
      </c>
      <c r="F581" s="2898">
        <v>18.636519355943815</v>
      </c>
      <c r="G581" s="566">
        <v>251.5930113052415</v>
      </c>
      <c r="H581" s="3251">
        <v>116.47824597464884</v>
      </c>
      <c r="I581" s="3244">
        <v>9.3182596779719074</v>
      </c>
      <c r="J581" s="2902">
        <v>12.649221282314807</v>
      </c>
      <c r="K581" s="2898">
        <v>0</v>
      </c>
      <c r="L581" s="571"/>
      <c r="M581" s="2515">
        <f t="shared" si="61"/>
        <v>390.03873824017705</v>
      </c>
    </row>
    <row r="582" spans="1:13" ht="15.75" customHeight="1" x14ac:dyDescent="0.25">
      <c r="A582" s="3256" t="s">
        <v>862</v>
      </c>
      <c r="B582" s="2724" t="s">
        <v>1118</v>
      </c>
      <c r="C582" s="2895">
        <v>0</v>
      </c>
      <c r="D582" s="2896">
        <v>212.51196344588408</v>
      </c>
      <c r="E582" s="2897">
        <v>0</v>
      </c>
      <c r="F582" s="2898">
        <v>19.126076710129567</v>
      </c>
      <c r="G582" s="566">
        <v>231.63804015601363</v>
      </c>
      <c r="H582" s="3251">
        <v>133.78477117658562</v>
      </c>
      <c r="I582" s="3244">
        <v>25.419106523551264</v>
      </c>
      <c r="J582" s="2902">
        <v>0</v>
      </c>
      <c r="K582" s="2898">
        <v>0</v>
      </c>
      <c r="L582" s="571"/>
      <c r="M582" s="2515">
        <f t="shared" si="61"/>
        <v>390.84191785615053</v>
      </c>
    </row>
    <row r="583" spans="1:13" ht="15.75" customHeight="1" x14ac:dyDescent="0.25">
      <c r="A583" s="3255" t="s">
        <v>152</v>
      </c>
      <c r="B583" s="2785" t="s">
        <v>1133</v>
      </c>
      <c r="C583" s="2895">
        <v>0</v>
      </c>
      <c r="D583" s="2896">
        <v>184.43956255026947</v>
      </c>
      <c r="E583" s="2897">
        <v>0</v>
      </c>
      <c r="F583" s="2898">
        <v>18.439154391904058</v>
      </c>
      <c r="G583" s="566">
        <v>202.87871694217353</v>
      </c>
      <c r="H583" s="3251">
        <v>176.32441387258254</v>
      </c>
      <c r="I583" s="3244">
        <v>17.6348423188197</v>
      </c>
      <c r="J583" s="2902">
        <v>0</v>
      </c>
      <c r="K583" s="2898">
        <v>0</v>
      </c>
      <c r="L583" s="571"/>
      <c r="M583" s="2515">
        <f t="shared" si="61"/>
        <v>396.83797313357576</v>
      </c>
    </row>
    <row r="584" spans="1:13" ht="15.75" customHeight="1" x14ac:dyDescent="0.25">
      <c r="A584" s="3255" t="s">
        <v>110</v>
      </c>
      <c r="B584" s="2785" t="s">
        <v>1074</v>
      </c>
      <c r="C584" s="2895">
        <v>22.028547076265593</v>
      </c>
      <c r="D584" s="2896">
        <v>126.15694889617171</v>
      </c>
      <c r="E584" s="2897">
        <v>0.96037262457833639</v>
      </c>
      <c r="F584" s="2898">
        <v>14.909784996578672</v>
      </c>
      <c r="G584" s="566">
        <v>164.05565359359431</v>
      </c>
      <c r="H584" s="3251">
        <v>214.12708130754731</v>
      </c>
      <c r="I584" s="3244">
        <v>21.404304870289671</v>
      </c>
      <c r="J584" s="2902">
        <v>1.9207452491566728</v>
      </c>
      <c r="K584" s="2898">
        <v>0.19207452491566729</v>
      </c>
      <c r="L584" s="571"/>
      <c r="M584" s="2515">
        <f t="shared" si="61"/>
        <v>401.69985954550361</v>
      </c>
    </row>
    <row r="585" spans="1:13" ht="15.75" customHeight="1" x14ac:dyDescent="0.25">
      <c r="A585" s="3256" t="s">
        <v>597</v>
      </c>
      <c r="B585" s="2724" t="s">
        <v>1118</v>
      </c>
      <c r="C585" s="2895">
        <v>0</v>
      </c>
      <c r="D585" s="2896">
        <v>210.96829300923116</v>
      </c>
      <c r="E585" s="2897">
        <v>0</v>
      </c>
      <c r="F585" s="2898">
        <v>18.987146370830803</v>
      </c>
      <c r="G585" s="566">
        <v>229.95543938006196</v>
      </c>
      <c r="H585" s="3251">
        <v>148.70691873089709</v>
      </c>
      <c r="I585" s="3244">
        <v>28.254314558870444</v>
      </c>
      <c r="J585" s="2902">
        <v>0</v>
      </c>
      <c r="K585" s="2898">
        <v>0</v>
      </c>
      <c r="L585" s="571"/>
      <c r="M585" s="2515">
        <f t="shared" si="61"/>
        <v>406.9166726698295</v>
      </c>
    </row>
    <row r="586" spans="1:13" ht="15.75" customHeight="1" x14ac:dyDescent="0.25">
      <c r="A586" s="3255" t="s">
        <v>138</v>
      </c>
      <c r="B586" s="2785" t="s">
        <v>1116</v>
      </c>
      <c r="C586" s="2895">
        <v>56.181798537832677</v>
      </c>
      <c r="D586" s="2896">
        <v>163.26334617831719</v>
      </c>
      <c r="E586" s="2897">
        <v>5.8342636943133934</v>
      </c>
      <c r="F586" s="2898">
        <v>13.517244690940084</v>
      </c>
      <c r="G586" s="566">
        <v>238.79665310140334</v>
      </c>
      <c r="H586" s="3251">
        <v>160.04609788597975</v>
      </c>
      <c r="I586" s="3244">
        <v>9.6037262457833634</v>
      </c>
      <c r="J586" s="2902">
        <v>0</v>
      </c>
      <c r="K586" s="2898">
        <v>0</v>
      </c>
      <c r="L586" s="571"/>
      <c r="M586" s="2515">
        <f t="shared" si="61"/>
        <v>408.44647723316643</v>
      </c>
    </row>
    <row r="587" spans="1:13" ht="15.75" customHeight="1" x14ac:dyDescent="0.25">
      <c r="A587" s="3255" t="s">
        <v>173</v>
      </c>
      <c r="B587" s="2785" t="s">
        <v>1151</v>
      </c>
      <c r="C587" s="2895" t="s">
        <v>5</v>
      </c>
      <c r="D587" s="2896">
        <v>205.11</v>
      </c>
      <c r="E587" s="2897" t="s">
        <v>5</v>
      </c>
      <c r="F587" s="2898" t="s">
        <v>5</v>
      </c>
      <c r="G587" s="566">
        <v>205.11</v>
      </c>
      <c r="H587" s="3251">
        <v>205.11</v>
      </c>
      <c r="I587" s="3242" t="s">
        <v>5</v>
      </c>
      <c r="J587" s="2902" t="s">
        <v>5</v>
      </c>
      <c r="K587" s="2898" t="s">
        <v>5</v>
      </c>
      <c r="L587" s="571"/>
      <c r="M587" s="2515">
        <f>G587+H587</f>
        <v>410.22</v>
      </c>
    </row>
    <row r="588" spans="1:13" ht="15.75" customHeight="1" x14ac:dyDescent="0.25">
      <c r="A588" s="3255" t="s">
        <v>131</v>
      </c>
      <c r="B588" s="2785" t="s">
        <v>1114</v>
      </c>
      <c r="C588" s="2895">
        <v>0</v>
      </c>
      <c r="D588" s="2896">
        <v>194.33663935604429</v>
      </c>
      <c r="E588" s="2897">
        <v>0</v>
      </c>
      <c r="F588" s="2898">
        <v>15.546931148483541</v>
      </c>
      <c r="G588" s="566">
        <v>209.88357050452782</v>
      </c>
      <c r="H588" s="3251">
        <v>190.88687652723877</v>
      </c>
      <c r="I588" s="3244">
        <v>15.2709501221791</v>
      </c>
      <c r="J588" s="2902">
        <v>0</v>
      </c>
      <c r="K588" s="2898">
        <v>0</v>
      </c>
      <c r="L588" s="571"/>
      <c r="M588" s="2515">
        <f t="shared" ref="M588:M615" si="62">G588+H588+I588+J588+K588</f>
        <v>416.0413971539457</v>
      </c>
    </row>
    <row r="589" spans="1:13" ht="15.75" customHeight="1" x14ac:dyDescent="0.25">
      <c r="A589" s="3256" t="s">
        <v>516</v>
      </c>
      <c r="B589" s="2724" t="s">
        <v>1118</v>
      </c>
      <c r="C589" s="2895">
        <v>0</v>
      </c>
      <c r="D589" s="2896">
        <v>238.75436086898355</v>
      </c>
      <c r="E589" s="2897">
        <v>0</v>
      </c>
      <c r="F589" s="2898">
        <v>21.487892478208519</v>
      </c>
      <c r="G589" s="566">
        <v>260.24225334719205</v>
      </c>
      <c r="H589" s="3251">
        <v>133.78477117658562</v>
      </c>
      <c r="I589" s="3244">
        <v>25.419106523551264</v>
      </c>
      <c r="J589" s="2902">
        <v>0</v>
      </c>
      <c r="K589" s="2898">
        <v>0</v>
      </c>
      <c r="L589" s="571"/>
      <c r="M589" s="2515">
        <f t="shared" si="62"/>
        <v>419.44613104732889</v>
      </c>
    </row>
    <row r="590" spans="1:13" ht="15.75" customHeight="1" x14ac:dyDescent="0.25">
      <c r="A590" s="3255" t="s">
        <v>118</v>
      </c>
      <c r="B590" s="2785" t="s">
        <v>1076</v>
      </c>
      <c r="C590" s="2895">
        <v>124.62167469162793</v>
      </c>
      <c r="D590" s="2896">
        <v>102.60872930450277</v>
      </c>
      <c r="E590" s="2897">
        <v>0</v>
      </c>
      <c r="F590" s="2898">
        <v>18.15180375672216</v>
      </c>
      <c r="G590" s="566">
        <v>245.38220775285285</v>
      </c>
      <c r="H590" s="3251">
        <v>161.1915678347552</v>
      </c>
      <c r="I590" s="3244">
        <v>12.87934828899944</v>
      </c>
      <c r="J590" s="2902">
        <v>0</v>
      </c>
      <c r="K590" s="2898">
        <v>0</v>
      </c>
      <c r="L590" s="571"/>
      <c r="M590" s="2515">
        <f t="shared" si="62"/>
        <v>419.45312387660749</v>
      </c>
    </row>
    <row r="591" spans="1:13" ht="15.75" customHeight="1" x14ac:dyDescent="0.25">
      <c r="A591" s="3256" t="s">
        <v>861</v>
      </c>
      <c r="B591" s="2724" t="s">
        <v>1118</v>
      </c>
      <c r="C591" s="2895">
        <v>0</v>
      </c>
      <c r="D591" s="2896">
        <v>200.16259995266077</v>
      </c>
      <c r="E591" s="2897">
        <v>0</v>
      </c>
      <c r="F591" s="2898">
        <v>18.014633995739469</v>
      </c>
      <c r="G591" s="566">
        <v>218.17723394840024</v>
      </c>
      <c r="H591" s="3251">
        <v>176.49298659064948</v>
      </c>
      <c r="I591" s="3244">
        <v>33.533667452223405</v>
      </c>
      <c r="J591" s="2902">
        <v>0</v>
      </c>
      <c r="K591" s="2898">
        <v>0</v>
      </c>
      <c r="L591" s="571"/>
      <c r="M591" s="2515">
        <f t="shared" si="62"/>
        <v>428.20388799127318</v>
      </c>
    </row>
    <row r="592" spans="1:13" ht="15.75" customHeight="1" x14ac:dyDescent="0.25">
      <c r="A592" s="3255" t="s">
        <v>139</v>
      </c>
      <c r="B592" s="2785" t="s">
        <v>1116</v>
      </c>
      <c r="C592" s="2895">
        <v>40.743808597735921</v>
      </c>
      <c r="D592" s="2896">
        <v>133.46778550077431</v>
      </c>
      <c r="E592" s="2897">
        <v>6.4344965846748536</v>
      </c>
      <c r="F592" s="2898">
        <v>10.840205999927971</v>
      </c>
      <c r="G592" s="566">
        <v>191.48629668311307</v>
      </c>
      <c r="H592" s="3251">
        <v>238.52054597183707</v>
      </c>
      <c r="I592" s="3244">
        <v>0</v>
      </c>
      <c r="J592" s="2902">
        <v>0</v>
      </c>
      <c r="K592" s="2898">
        <v>0</v>
      </c>
      <c r="L592" s="571"/>
      <c r="M592" s="2515">
        <f t="shared" si="62"/>
        <v>430.00684265495011</v>
      </c>
    </row>
    <row r="593" spans="1:13" ht="15.75" customHeight="1" x14ac:dyDescent="0.25">
      <c r="A593" s="3255" t="s">
        <v>115</v>
      </c>
      <c r="B593" s="2785" t="s">
        <v>1076</v>
      </c>
      <c r="C593" s="2895">
        <v>90.537114092208327</v>
      </c>
      <c r="D593" s="2896">
        <v>117.16567706050489</v>
      </c>
      <c r="E593" s="2897">
        <v>0</v>
      </c>
      <c r="F593" s="2898">
        <v>16.607347104560958</v>
      </c>
      <c r="G593" s="566">
        <v>224.31013825727416</v>
      </c>
      <c r="H593" s="3251">
        <v>191.93868187548165</v>
      </c>
      <c r="I593" s="3244">
        <v>15.346928457394922</v>
      </c>
      <c r="J593" s="2902">
        <v>0</v>
      </c>
      <c r="K593" s="2898">
        <v>0</v>
      </c>
      <c r="L593" s="571"/>
      <c r="M593" s="2515">
        <f t="shared" si="62"/>
        <v>431.59574859015072</v>
      </c>
    </row>
    <row r="594" spans="1:13" ht="15.75" customHeight="1" x14ac:dyDescent="0.25">
      <c r="A594" s="3255" t="s">
        <v>104</v>
      </c>
      <c r="B594" s="2785" t="s">
        <v>1066</v>
      </c>
      <c r="C594" s="2895">
        <v>0</v>
      </c>
      <c r="D594" s="2896">
        <v>192.46917234817835</v>
      </c>
      <c r="E594" s="2897">
        <v>0</v>
      </c>
      <c r="F594" s="2898">
        <v>51.966676534008158</v>
      </c>
      <c r="G594" s="566">
        <v>244.43584888218652</v>
      </c>
      <c r="H594" s="3251">
        <v>148.03716326924555</v>
      </c>
      <c r="I594" s="3244">
        <v>39.970034082696309</v>
      </c>
      <c r="J594" s="2902">
        <v>0</v>
      </c>
      <c r="K594" s="2898">
        <v>0</v>
      </c>
      <c r="L594" s="571"/>
      <c r="M594" s="2515">
        <f t="shared" si="62"/>
        <v>432.44304623412836</v>
      </c>
    </row>
    <row r="595" spans="1:13" ht="15.75" customHeight="1" x14ac:dyDescent="0.25">
      <c r="A595" s="3259" t="s">
        <v>874</v>
      </c>
      <c r="B595" s="2724" t="s">
        <v>1118</v>
      </c>
      <c r="C595" s="2895">
        <v>0</v>
      </c>
      <c r="D595" s="2896">
        <v>196.0461454549197</v>
      </c>
      <c r="E595" s="2897">
        <v>0</v>
      </c>
      <c r="F595" s="2898">
        <v>17.644153090942773</v>
      </c>
      <c r="G595" s="566">
        <v>213.69029854586248</v>
      </c>
      <c r="H595" s="3251">
        <v>184.72589558613168</v>
      </c>
      <c r="I595" s="3244">
        <v>35.097920161365018</v>
      </c>
      <c r="J595" s="2902">
        <v>0</v>
      </c>
      <c r="K595" s="2898">
        <v>0</v>
      </c>
      <c r="L595" s="571"/>
      <c r="M595" s="2515">
        <f t="shared" si="62"/>
        <v>433.51411429335923</v>
      </c>
    </row>
    <row r="596" spans="1:13" ht="15.75" customHeight="1" x14ac:dyDescent="0.25">
      <c r="A596" s="3258" t="s">
        <v>116</v>
      </c>
      <c r="B596" s="2785" t="s">
        <v>1076</v>
      </c>
      <c r="C596" s="2895">
        <v>140.59881247260589</v>
      </c>
      <c r="D596" s="2896">
        <v>149.11995262246077</v>
      </c>
      <c r="E596" s="2897">
        <v>0</v>
      </c>
      <c r="F596" s="2898">
        <v>23.095840281169224</v>
      </c>
      <c r="G596" s="566">
        <v>312.81460537623587</v>
      </c>
      <c r="H596" s="3251">
        <v>113.86373525243611</v>
      </c>
      <c r="I596" s="3244">
        <v>9.0714637845330302</v>
      </c>
      <c r="J596" s="2902">
        <v>0</v>
      </c>
      <c r="K596" s="2898">
        <v>0</v>
      </c>
      <c r="L596" s="571"/>
      <c r="M596" s="2515">
        <f t="shared" si="62"/>
        <v>435.74980441320503</v>
      </c>
    </row>
    <row r="597" spans="1:13" ht="15.75" customHeight="1" x14ac:dyDescent="0.25">
      <c r="A597" s="3259" t="s">
        <v>598</v>
      </c>
      <c r="B597" s="2724" t="s">
        <v>1118</v>
      </c>
      <c r="C597" s="2895">
        <v>0</v>
      </c>
      <c r="D597" s="2896">
        <v>188.84235008387276</v>
      </c>
      <c r="E597" s="2897">
        <v>0</v>
      </c>
      <c r="F597" s="2898">
        <v>16.995811507548549</v>
      </c>
      <c r="G597" s="566">
        <v>205.83816159142131</v>
      </c>
      <c r="H597" s="3251">
        <v>195.0170318304844</v>
      </c>
      <c r="I597" s="3244">
        <v>37.053236047792041</v>
      </c>
      <c r="J597" s="2902">
        <v>0</v>
      </c>
      <c r="K597" s="2898">
        <v>0</v>
      </c>
      <c r="L597" s="571"/>
      <c r="M597" s="2515">
        <f t="shared" si="62"/>
        <v>437.90842946969775</v>
      </c>
    </row>
    <row r="598" spans="1:13" ht="15.75" customHeight="1" x14ac:dyDescent="0.25">
      <c r="A598" s="3258" t="s">
        <v>103</v>
      </c>
      <c r="B598" s="2785" t="s">
        <v>1066</v>
      </c>
      <c r="C598" s="2895">
        <v>4.7553297840520141</v>
      </c>
      <c r="D598" s="2896">
        <v>189.2088162655302</v>
      </c>
      <c r="E598" s="2897">
        <v>0</v>
      </c>
      <c r="F598" s="2898">
        <v>52.370319433387195</v>
      </c>
      <c r="G598" s="566">
        <v>246.33446548296939</v>
      </c>
      <c r="H598" s="3251">
        <v>153.723471508177</v>
      </c>
      <c r="I598" s="3244">
        <v>41.505337307207782</v>
      </c>
      <c r="J598" s="2902">
        <v>4.7553297840520141</v>
      </c>
      <c r="K598" s="2898">
        <v>1.2839390416940439</v>
      </c>
      <c r="L598" s="571"/>
      <c r="M598" s="2515">
        <f t="shared" si="62"/>
        <v>447.60254312410024</v>
      </c>
    </row>
    <row r="599" spans="1:13" ht="15.75" customHeight="1" x14ac:dyDescent="0.25">
      <c r="A599" s="3259" t="s">
        <v>513</v>
      </c>
      <c r="B599" s="2724" t="s">
        <v>1118</v>
      </c>
      <c r="C599" s="2895">
        <v>0</v>
      </c>
      <c r="D599" s="2896">
        <v>210.45373619701351</v>
      </c>
      <c r="E599" s="2897">
        <v>0</v>
      </c>
      <c r="F599" s="2898">
        <v>18.940836257731217</v>
      </c>
      <c r="G599" s="566">
        <v>229.39457245474472</v>
      </c>
      <c r="H599" s="3251">
        <v>186.78412283500222</v>
      </c>
      <c r="I599" s="3244">
        <v>35.488983338650421</v>
      </c>
      <c r="J599" s="2902">
        <v>0</v>
      </c>
      <c r="K599" s="2898">
        <v>0</v>
      </c>
      <c r="L599" s="571"/>
      <c r="M599" s="2515">
        <f t="shared" si="62"/>
        <v>451.66767862839737</v>
      </c>
    </row>
    <row r="600" spans="1:13" ht="15.75" customHeight="1" x14ac:dyDescent="0.25">
      <c r="A600" s="3258" t="s">
        <v>132</v>
      </c>
      <c r="B600" s="2785" t="s">
        <v>1114</v>
      </c>
      <c r="C600" s="2895">
        <v>0</v>
      </c>
      <c r="D600" s="2896">
        <v>169.61333908293804</v>
      </c>
      <c r="E600" s="2897">
        <v>0</v>
      </c>
      <c r="F600" s="2898">
        <v>13.569067126635044</v>
      </c>
      <c r="G600" s="566">
        <v>183.18240620957309</v>
      </c>
      <c r="H600" s="3251">
        <v>259.30717263188154</v>
      </c>
      <c r="I600" s="3244">
        <v>20.744573810550524</v>
      </c>
      <c r="J600" s="2902">
        <v>0</v>
      </c>
      <c r="K600" s="2898">
        <v>0</v>
      </c>
      <c r="L600" s="571"/>
      <c r="M600" s="2515">
        <f t="shared" si="62"/>
        <v>463.23415265200521</v>
      </c>
    </row>
    <row r="601" spans="1:13" ht="15.75" customHeight="1" x14ac:dyDescent="0.25">
      <c r="A601" s="3258" t="s">
        <v>155</v>
      </c>
      <c r="B601" s="2785" t="s">
        <v>1135</v>
      </c>
      <c r="C601" s="2895">
        <v>206.24267029725661</v>
      </c>
      <c r="D601" s="2896">
        <v>89.457605060604465</v>
      </c>
      <c r="E601" s="2897">
        <v>0</v>
      </c>
      <c r="F601" s="2898">
        <v>73.925068839465268</v>
      </c>
      <c r="G601" s="566">
        <v>369.62534419732634</v>
      </c>
      <c r="H601" s="3251">
        <v>79.654031903277954</v>
      </c>
      <c r="I601" s="3244">
        <v>19.913507975819488</v>
      </c>
      <c r="J601" s="2902">
        <v>0</v>
      </c>
      <c r="K601" s="2898">
        <v>0</v>
      </c>
      <c r="L601" s="571"/>
      <c r="M601" s="2515">
        <f t="shared" si="62"/>
        <v>469.19288407642375</v>
      </c>
    </row>
    <row r="602" spans="1:13" ht="15.75" customHeight="1" x14ac:dyDescent="0.25">
      <c r="A602" s="3258" t="s">
        <v>111</v>
      </c>
      <c r="B602" s="2785" t="s">
        <v>1074</v>
      </c>
      <c r="C602" s="2895">
        <v>10.372024345446034</v>
      </c>
      <c r="D602" s="2896">
        <v>180.92219781275136</v>
      </c>
      <c r="E602" s="2897">
        <v>0.96037262457833639</v>
      </c>
      <c r="F602" s="2898">
        <v>19.231461807181184</v>
      </c>
      <c r="G602" s="566">
        <v>211.48605658995689</v>
      </c>
      <c r="H602" s="3251">
        <v>233.57462695525865</v>
      </c>
      <c r="I602" s="3244">
        <v>23.361064092868034</v>
      </c>
      <c r="J602" s="2902">
        <v>1.9207452491566728</v>
      </c>
      <c r="K602" s="2898">
        <v>0.19207452491566729</v>
      </c>
      <c r="L602" s="571"/>
      <c r="M602" s="2515">
        <f t="shared" si="62"/>
        <v>470.53456741215587</v>
      </c>
    </row>
    <row r="603" spans="1:13" ht="15.75" customHeight="1" x14ac:dyDescent="0.25">
      <c r="A603" s="3258" t="s">
        <v>102</v>
      </c>
      <c r="B603" s="2785" t="s">
        <v>1066</v>
      </c>
      <c r="C603" s="2895">
        <v>6.5670679389832856</v>
      </c>
      <c r="D603" s="2896">
        <v>133.19558972714333</v>
      </c>
      <c r="E603" s="2897">
        <v>0</v>
      </c>
      <c r="F603" s="2898">
        <v>37.735917569854188</v>
      </c>
      <c r="G603" s="566">
        <v>177.49857523598081</v>
      </c>
      <c r="H603" s="3251">
        <v>231.9565655671708</v>
      </c>
      <c r="I603" s="3244">
        <v>62.628272703136119</v>
      </c>
      <c r="J603" s="2902">
        <v>0</v>
      </c>
      <c r="K603" s="2898">
        <v>0</v>
      </c>
      <c r="L603" s="571"/>
      <c r="M603" s="2515">
        <f t="shared" si="62"/>
        <v>472.08341350628774</v>
      </c>
    </row>
    <row r="604" spans="1:13" ht="15.75" customHeight="1" x14ac:dyDescent="0.25">
      <c r="A604" s="3258" t="s">
        <v>134</v>
      </c>
      <c r="B604" s="2785" t="s">
        <v>1116</v>
      </c>
      <c r="C604" s="2895">
        <v>58.630748730507442</v>
      </c>
      <c r="D604" s="2896">
        <v>180.8621745237152</v>
      </c>
      <c r="E604" s="2897">
        <v>5.450114644482059</v>
      </c>
      <c r="F604" s="2898">
        <v>14.693701156048547</v>
      </c>
      <c r="G604" s="566">
        <v>259.63673905475321</v>
      </c>
      <c r="H604" s="3251">
        <v>213.47882978595695</v>
      </c>
      <c r="I604" s="3244">
        <v>0</v>
      </c>
      <c r="J604" s="2902">
        <v>0</v>
      </c>
      <c r="K604" s="2898"/>
      <c r="L604" s="571"/>
      <c r="M604" s="2515">
        <f t="shared" si="62"/>
        <v>473.11556884071013</v>
      </c>
    </row>
    <row r="605" spans="1:13" ht="15.75" customHeight="1" x14ac:dyDescent="0.25">
      <c r="A605" s="3258" t="s">
        <v>154</v>
      </c>
      <c r="B605" s="2785" t="s">
        <v>1133</v>
      </c>
      <c r="C605" s="2895">
        <v>0</v>
      </c>
      <c r="D605" s="2896">
        <v>219.25307019123417</v>
      </c>
      <c r="E605" s="2897">
        <v>0</v>
      </c>
      <c r="F605" s="2898">
        <v>21.92050515600053</v>
      </c>
      <c r="G605" s="566">
        <v>241.1735753472347</v>
      </c>
      <c r="H605" s="3251">
        <v>232.4101751479574</v>
      </c>
      <c r="I605" s="3244">
        <v>23.24101751479574</v>
      </c>
      <c r="J605" s="2902">
        <v>0</v>
      </c>
      <c r="K605" s="2898">
        <v>0</v>
      </c>
      <c r="L605" s="571"/>
      <c r="M605" s="2515">
        <f t="shared" si="62"/>
        <v>496.82476800998785</v>
      </c>
    </row>
    <row r="606" spans="1:13" ht="15.75" customHeight="1" x14ac:dyDescent="0.25">
      <c r="A606" s="3258" t="s">
        <v>136</v>
      </c>
      <c r="B606" s="2785" t="s">
        <v>1116</v>
      </c>
      <c r="C606" s="2895">
        <v>45.749750903350495</v>
      </c>
      <c r="D606" s="2896">
        <v>210.83780506836652</v>
      </c>
      <c r="E606" s="2897">
        <v>6.0023289036146021</v>
      </c>
      <c r="F606" s="2898">
        <v>15.750111043084715</v>
      </c>
      <c r="G606" s="566">
        <v>278.33999591841632</v>
      </c>
      <c r="H606" s="3251">
        <v>218.91693977263179</v>
      </c>
      <c r="I606" s="3244">
        <v>0</v>
      </c>
      <c r="J606" s="2902">
        <v>0</v>
      </c>
      <c r="K606" s="2898">
        <v>0</v>
      </c>
      <c r="L606" s="571"/>
      <c r="M606" s="2515">
        <f t="shared" si="62"/>
        <v>497.25693569104811</v>
      </c>
    </row>
    <row r="607" spans="1:13" ht="15.75" customHeight="1" x14ac:dyDescent="0.25">
      <c r="A607" s="3255" t="s">
        <v>929</v>
      </c>
      <c r="B607" s="2785" t="s">
        <v>1145</v>
      </c>
      <c r="C607" s="2895">
        <v>341.52897462249979</v>
      </c>
      <c r="D607" s="2896">
        <v>0</v>
      </c>
      <c r="E607" s="2897">
        <v>14.135504782986796</v>
      </c>
      <c r="F607" s="2898">
        <v>18.763011568766963</v>
      </c>
      <c r="G607" s="566">
        <v>374.42749097425354</v>
      </c>
      <c r="H607" s="3251">
        <v>120.69465306875378</v>
      </c>
      <c r="I607" s="3244">
        <v>6.5775950668037</v>
      </c>
      <c r="J607" s="2902">
        <v>12.649221282314807</v>
      </c>
      <c r="K607" s="2898">
        <v>0</v>
      </c>
      <c r="L607" s="571"/>
      <c r="M607" s="2515">
        <f t="shared" si="62"/>
        <v>514.34896039212583</v>
      </c>
    </row>
    <row r="608" spans="1:13" ht="15.75" customHeight="1" x14ac:dyDescent="0.25">
      <c r="A608" s="3255" t="s">
        <v>214</v>
      </c>
      <c r="B608" s="2785" t="s">
        <v>1133</v>
      </c>
      <c r="C608" s="2895">
        <v>0</v>
      </c>
      <c r="D608" s="2896">
        <v>192.36263670304078</v>
      </c>
      <c r="E608" s="2897">
        <v>0</v>
      </c>
      <c r="F608" s="2898">
        <v>19.231461807181184</v>
      </c>
      <c r="G608" s="566">
        <v>211.59409851022195</v>
      </c>
      <c r="H608" s="3251">
        <v>286.64721912101891</v>
      </c>
      <c r="I608" s="3244">
        <v>28.907215999807924</v>
      </c>
      <c r="J608" s="2902">
        <v>0</v>
      </c>
      <c r="K608" s="2898">
        <v>0</v>
      </c>
      <c r="L608" s="571"/>
      <c r="M608" s="2515">
        <f t="shared" si="62"/>
        <v>527.14853363104874</v>
      </c>
    </row>
    <row r="609" spans="1:13" ht="15.75" customHeight="1" x14ac:dyDescent="0.25">
      <c r="A609" s="3255" t="s">
        <v>117</v>
      </c>
      <c r="B609" s="2785" t="s">
        <v>1076</v>
      </c>
      <c r="C609" s="2895">
        <v>133.14281484148285</v>
      </c>
      <c r="D609" s="2896">
        <v>215.26530303570945</v>
      </c>
      <c r="E609" s="2897">
        <v>0</v>
      </c>
      <c r="F609" s="2898">
        <v>27.809095926557713</v>
      </c>
      <c r="G609" s="566">
        <v>376.21721380374998</v>
      </c>
      <c r="H609" s="3251">
        <v>147.94829585185573</v>
      </c>
      <c r="I609" s="3244">
        <v>11.814205770267577</v>
      </c>
      <c r="J609" s="2902">
        <v>0</v>
      </c>
      <c r="K609" s="2898">
        <v>0</v>
      </c>
      <c r="L609" s="571"/>
      <c r="M609" s="2515">
        <f t="shared" si="62"/>
        <v>535.97971542587334</v>
      </c>
    </row>
    <row r="610" spans="1:13" ht="15.75" customHeight="1" x14ac:dyDescent="0.25">
      <c r="A610" s="3255" t="s">
        <v>107</v>
      </c>
      <c r="B610" s="2785" t="s">
        <v>1074</v>
      </c>
      <c r="C610" s="2895">
        <v>30.419802883518805</v>
      </c>
      <c r="D610" s="2896">
        <v>265.27892822415095</v>
      </c>
      <c r="E610" s="2897">
        <v>0.96037262457833639</v>
      </c>
      <c r="F610" s="2898">
        <v>29.663509441663365</v>
      </c>
      <c r="G610" s="566">
        <v>326.32261317391146</v>
      </c>
      <c r="H610" s="3251">
        <v>194.53547976614925</v>
      </c>
      <c r="I610" s="3244">
        <v>19.45955030551854</v>
      </c>
      <c r="J610" s="2902">
        <v>1.9207452491566728</v>
      </c>
      <c r="K610" s="2898">
        <v>0.19207452491566729</v>
      </c>
      <c r="L610" s="571"/>
      <c r="M610" s="2515">
        <f t="shared" si="62"/>
        <v>542.4304630196516</v>
      </c>
    </row>
    <row r="611" spans="1:13" ht="15.75" customHeight="1" x14ac:dyDescent="0.25">
      <c r="A611" s="3255" t="s">
        <v>130</v>
      </c>
      <c r="B611" s="2785" t="s">
        <v>1114</v>
      </c>
      <c r="C611" s="2895">
        <v>0</v>
      </c>
      <c r="D611" s="2896">
        <v>192.03679747017392</v>
      </c>
      <c r="E611" s="2897">
        <v>0</v>
      </c>
      <c r="F611" s="2898">
        <v>15.362943797613914</v>
      </c>
      <c r="G611" s="566">
        <v>207.39974126778785</v>
      </c>
      <c r="H611" s="3251">
        <v>319.10306166451056</v>
      </c>
      <c r="I611" s="3244">
        <v>25.528244933160845</v>
      </c>
      <c r="J611" s="2902">
        <v>0</v>
      </c>
      <c r="K611" s="2898">
        <v>0</v>
      </c>
      <c r="L611" s="571"/>
      <c r="M611" s="2515">
        <f t="shared" si="62"/>
        <v>552.0310478654593</v>
      </c>
    </row>
    <row r="612" spans="1:13" ht="15.75" customHeight="1" x14ac:dyDescent="0.25">
      <c r="A612" s="3255" t="s">
        <v>157</v>
      </c>
      <c r="B612" s="2785" t="s">
        <v>1135</v>
      </c>
      <c r="C612" s="2895">
        <v>202.56633036325914</v>
      </c>
      <c r="D612" s="2896">
        <v>118.62323520365085</v>
      </c>
      <c r="E612" s="2897">
        <v>0</v>
      </c>
      <c r="F612" s="2898">
        <v>80.297391391727501</v>
      </c>
      <c r="G612" s="566">
        <v>401.48695695863751</v>
      </c>
      <c r="H612" s="3251">
        <v>125.97591507164574</v>
      </c>
      <c r="I612" s="3244">
        <v>31.493978767911436</v>
      </c>
      <c r="J612" s="2902">
        <v>0</v>
      </c>
      <c r="K612" s="2898">
        <v>0</v>
      </c>
      <c r="L612" s="571"/>
      <c r="M612" s="2515">
        <f t="shared" si="62"/>
        <v>558.95685079819475</v>
      </c>
    </row>
    <row r="613" spans="1:13" ht="15.75" customHeight="1" x14ac:dyDescent="0.25">
      <c r="A613" s="3255" t="s">
        <v>105</v>
      </c>
      <c r="B613" s="2785" t="s">
        <v>1066</v>
      </c>
      <c r="C613" s="2895">
        <v>0</v>
      </c>
      <c r="D613" s="2896">
        <v>262.68271755933142</v>
      </c>
      <c r="E613" s="2897">
        <v>0</v>
      </c>
      <c r="F613" s="2898">
        <v>70.924333741019481</v>
      </c>
      <c r="G613" s="566">
        <v>333.60705130035092</v>
      </c>
      <c r="H613" s="3251">
        <v>194.69424948515152</v>
      </c>
      <c r="I613" s="3244">
        <v>52.567447360990911</v>
      </c>
      <c r="J613" s="2902">
        <v>0</v>
      </c>
      <c r="K613" s="2898">
        <v>0</v>
      </c>
      <c r="L613" s="571"/>
      <c r="M613" s="2515">
        <f t="shared" si="62"/>
        <v>580.86874814649332</v>
      </c>
    </row>
    <row r="614" spans="1:13" ht="15.75" customHeight="1" x14ac:dyDescent="0.25">
      <c r="A614" s="3255" t="s">
        <v>878</v>
      </c>
      <c r="B614" s="2785" t="s">
        <v>1050</v>
      </c>
      <c r="C614" s="2895">
        <v>50.419562790362662</v>
      </c>
      <c r="D614" s="2579">
        <v>264.10247175904249</v>
      </c>
      <c r="E614" s="2580">
        <v>0</v>
      </c>
      <c r="F614" s="2581">
        <v>15.726101727470258</v>
      </c>
      <c r="G614" s="566">
        <v>330.24813627687541</v>
      </c>
      <c r="H614" s="3251">
        <v>263.50223886868105</v>
      </c>
      <c r="I614" s="3244">
        <v>0</v>
      </c>
      <c r="J614" s="2585">
        <v>0</v>
      </c>
      <c r="K614" s="2581">
        <v>0</v>
      </c>
      <c r="L614" s="571"/>
      <c r="M614" s="2515">
        <f t="shared" si="62"/>
        <v>593.75037514555652</v>
      </c>
    </row>
    <row r="615" spans="1:13" ht="15.75" customHeight="1" x14ac:dyDescent="0.25">
      <c r="A615" s="3255" t="s">
        <v>128</v>
      </c>
      <c r="B615" s="2785" t="s">
        <v>1114</v>
      </c>
      <c r="C615" s="2895">
        <v>0</v>
      </c>
      <c r="D615" s="2896">
        <v>274.2561448900388</v>
      </c>
      <c r="E615" s="2897">
        <v>0</v>
      </c>
      <c r="F615" s="2898">
        <v>21.940491591203102</v>
      </c>
      <c r="G615" s="566">
        <v>296.19663648124191</v>
      </c>
      <c r="H615" s="3251">
        <v>280.58071007618224</v>
      </c>
      <c r="I615" s="3244">
        <v>22.446456806094581</v>
      </c>
      <c r="J615" s="2902">
        <v>0</v>
      </c>
      <c r="K615" s="2898">
        <v>0</v>
      </c>
      <c r="L615" s="571"/>
      <c r="M615" s="2515">
        <f t="shared" si="62"/>
        <v>599.22380336351875</v>
      </c>
    </row>
    <row r="616" spans="1:13" ht="15.75" customHeight="1" x14ac:dyDescent="0.25">
      <c r="A616" s="3260" t="s">
        <v>212</v>
      </c>
      <c r="B616" s="2785" t="s">
        <v>1151</v>
      </c>
      <c r="C616" s="2895">
        <v>48</v>
      </c>
      <c r="D616" s="2896">
        <v>249.32</v>
      </c>
      <c r="E616" s="2897" t="s">
        <v>5</v>
      </c>
      <c r="F616" s="2898" t="s">
        <v>5</v>
      </c>
      <c r="G616" s="566">
        <v>297.32</v>
      </c>
      <c r="H616" s="3251">
        <v>308.33</v>
      </c>
      <c r="I616" s="3242" t="s">
        <v>5</v>
      </c>
      <c r="J616" s="2902">
        <v>12.36</v>
      </c>
      <c r="K616" s="2898" t="s">
        <v>5</v>
      </c>
      <c r="L616" s="571"/>
      <c r="M616" s="2515">
        <f>G616+H616+J616</f>
        <v>618.01</v>
      </c>
    </row>
    <row r="617" spans="1:13" ht="15.75" customHeight="1" x14ac:dyDescent="0.25">
      <c r="A617" s="3258" t="s">
        <v>129</v>
      </c>
      <c r="B617" s="2785" t="s">
        <v>1114</v>
      </c>
      <c r="C617" s="2895">
        <v>0</v>
      </c>
      <c r="D617" s="2896">
        <v>257.58229121747883</v>
      </c>
      <c r="E617" s="2897">
        <v>0</v>
      </c>
      <c r="F617" s="2898">
        <v>20.606583297398306</v>
      </c>
      <c r="G617" s="566">
        <v>278.18887451487711</v>
      </c>
      <c r="H617" s="3251">
        <v>316.8032197786402</v>
      </c>
      <c r="I617" s="3244">
        <v>25.344257582291217</v>
      </c>
      <c r="J617" s="2902">
        <v>0</v>
      </c>
      <c r="K617" s="2898">
        <v>0</v>
      </c>
      <c r="L617" s="571"/>
      <c r="M617" s="2515">
        <f t="shared" ref="M617:M625" si="63">G617+H617+I617+J617+K617</f>
        <v>620.33635187580853</v>
      </c>
    </row>
    <row r="618" spans="1:13" ht="15.75" customHeight="1" x14ac:dyDescent="0.25">
      <c r="A618" s="3258" t="s">
        <v>85</v>
      </c>
      <c r="B618" s="2785" t="s">
        <v>1050</v>
      </c>
      <c r="C618" s="2895">
        <v>79.230741527712752</v>
      </c>
      <c r="D618" s="2579">
        <v>273.70619800482586</v>
      </c>
      <c r="E618" s="2580">
        <v>0</v>
      </c>
      <c r="F618" s="2581">
        <v>17.646846976626929</v>
      </c>
      <c r="G618" s="566">
        <v>370.58378650916558</v>
      </c>
      <c r="H618" s="3251">
        <v>227.60831202506571</v>
      </c>
      <c r="I618" s="3244">
        <v>0</v>
      </c>
      <c r="J618" s="2585">
        <v>30.731923986506764</v>
      </c>
      <c r="K618" s="2581">
        <v>0</v>
      </c>
      <c r="L618" s="571"/>
      <c r="M618" s="2515">
        <f t="shared" si="63"/>
        <v>628.92402252073805</v>
      </c>
    </row>
    <row r="619" spans="1:13" ht="15.75" customHeight="1" x14ac:dyDescent="0.25">
      <c r="A619" s="3259" t="s">
        <v>186</v>
      </c>
      <c r="B619" s="2724" t="s">
        <v>1106</v>
      </c>
      <c r="C619" s="2895">
        <v>84.560809594122517</v>
      </c>
      <c r="D619" s="2896">
        <v>110.80299156072556</v>
      </c>
      <c r="E619" s="2897">
        <v>0</v>
      </c>
      <c r="F619" s="2898">
        <v>11.716546019855704</v>
      </c>
      <c r="G619" s="566">
        <v>207.0803471747038</v>
      </c>
      <c r="H619" s="3251">
        <v>347.46281557244208</v>
      </c>
      <c r="I619" s="3244">
        <v>0</v>
      </c>
      <c r="J619" s="2902">
        <v>80.671300464580256</v>
      </c>
      <c r="K619" s="2898">
        <v>4.8378770963133695</v>
      </c>
      <c r="L619" s="571"/>
      <c r="M619" s="2515">
        <f t="shared" si="63"/>
        <v>640.05234030803945</v>
      </c>
    </row>
    <row r="620" spans="1:13" ht="15.75" customHeight="1" x14ac:dyDescent="0.25">
      <c r="A620" s="3258" t="s">
        <v>167</v>
      </c>
      <c r="B620" s="2785" t="s">
        <v>1149</v>
      </c>
      <c r="C620" s="2895">
        <v>42.301870472483515</v>
      </c>
      <c r="D620" s="2896">
        <v>346.98345767109959</v>
      </c>
      <c r="E620" s="2897">
        <v>0</v>
      </c>
      <c r="F620" s="2898">
        <v>0</v>
      </c>
      <c r="G620" s="566">
        <v>389.28532814358311</v>
      </c>
      <c r="H620" s="3251">
        <v>264.71780733052219</v>
      </c>
      <c r="I620" s="3244">
        <v>0</v>
      </c>
      <c r="J620" s="2902">
        <v>0</v>
      </c>
      <c r="K620" s="2898">
        <v>0</v>
      </c>
      <c r="L620" s="571"/>
      <c r="M620" s="2515">
        <f t="shared" si="63"/>
        <v>654.00313547410531</v>
      </c>
    </row>
    <row r="621" spans="1:13" ht="15.75" customHeight="1" x14ac:dyDescent="0.25">
      <c r="A621" s="3258" t="s">
        <v>86</v>
      </c>
      <c r="B621" s="2785" t="s">
        <v>1050</v>
      </c>
      <c r="C621" s="2895">
        <v>57.622357474700181</v>
      </c>
      <c r="D621" s="2579">
        <v>250.41716185880119</v>
      </c>
      <c r="E621" s="2580">
        <v>0</v>
      </c>
      <c r="F621" s="2581">
        <v>15.401975966675069</v>
      </c>
      <c r="G621" s="566">
        <v>323.44149530017648</v>
      </c>
      <c r="H621" s="3251">
        <v>291.64115676882631</v>
      </c>
      <c r="I621" s="3244">
        <v>0</v>
      </c>
      <c r="J621" s="2585">
        <v>42.016302325302213</v>
      </c>
      <c r="K621" s="2581">
        <v>0</v>
      </c>
      <c r="L621" s="571"/>
      <c r="M621" s="2515">
        <f t="shared" si="63"/>
        <v>657.098954394305</v>
      </c>
    </row>
    <row r="622" spans="1:13" ht="15.75" customHeight="1" x14ac:dyDescent="0.25">
      <c r="A622" s="3258" t="s">
        <v>891</v>
      </c>
      <c r="B622" s="2785" t="s">
        <v>1114</v>
      </c>
      <c r="C622" s="2895">
        <v>0</v>
      </c>
      <c r="D622" s="2896">
        <v>241.48339801638639</v>
      </c>
      <c r="E622" s="2897">
        <v>0</v>
      </c>
      <c r="F622" s="2898">
        <v>19.318671841310913</v>
      </c>
      <c r="G622" s="566">
        <v>260.80206985769729</v>
      </c>
      <c r="H622" s="3251">
        <v>369.12462268219059</v>
      </c>
      <c r="I622" s="3244">
        <v>29.529969814575249</v>
      </c>
      <c r="J622" s="2902">
        <v>0</v>
      </c>
      <c r="K622" s="2898">
        <v>0</v>
      </c>
      <c r="L622" s="571"/>
      <c r="M622" s="2515">
        <f t="shared" si="63"/>
        <v>659.45666235446311</v>
      </c>
    </row>
    <row r="623" spans="1:13" ht="15.75" customHeight="1" x14ac:dyDescent="0.25">
      <c r="A623" s="3258" t="s">
        <v>127</v>
      </c>
      <c r="B623" s="3261" t="s">
        <v>1112</v>
      </c>
      <c r="C623" s="2895">
        <v>38.609050458665287</v>
      </c>
      <c r="D623" s="2896">
        <v>213.03226073783748</v>
      </c>
      <c r="E623" s="2897">
        <v>11.894707464538293</v>
      </c>
      <c r="F623" s="2898">
        <v>65.884004665260264</v>
      </c>
      <c r="G623" s="566">
        <v>329.4200233263013</v>
      </c>
      <c r="H623" s="3251">
        <v>272.9445372702865</v>
      </c>
      <c r="I623" s="3244">
        <v>68.236134317571626</v>
      </c>
      <c r="J623" s="2902">
        <v>0</v>
      </c>
      <c r="K623" s="2898">
        <v>0</v>
      </c>
      <c r="L623" s="571"/>
      <c r="M623" s="2515">
        <f t="shared" si="63"/>
        <v>670.60069491415948</v>
      </c>
    </row>
    <row r="624" spans="1:13" ht="15.75" customHeight="1" x14ac:dyDescent="0.25">
      <c r="A624" s="3262" t="s">
        <v>552</v>
      </c>
      <c r="B624" s="3261" t="s">
        <v>1040</v>
      </c>
      <c r="C624" s="2895">
        <v>167.65400488235434</v>
      </c>
      <c r="D624" s="2579">
        <v>166.31811639723597</v>
      </c>
      <c r="E624" s="2580">
        <v>0</v>
      </c>
      <c r="F624" s="2581">
        <v>0</v>
      </c>
      <c r="G624" s="566">
        <v>333.97212127959028</v>
      </c>
      <c r="H624" s="3251">
        <v>337.15280814891975</v>
      </c>
      <c r="I624" s="3244">
        <v>0</v>
      </c>
      <c r="J624" s="2585">
        <v>0</v>
      </c>
      <c r="K624" s="2581">
        <v>0</v>
      </c>
      <c r="L624" s="571"/>
      <c r="M624" s="2515">
        <f t="shared" si="63"/>
        <v>671.12492942851009</v>
      </c>
    </row>
    <row r="625" spans="1:13" ht="15.75" customHeight="1" x14ac:dyDescent="0.25">
      <c r="A625" s="3258" t="s">
        <v>1305</v>
      </c>
      <c r="B625" s="3261" t="s">
        <v>1084</v>
      </c>
      <c r="C625" s="2895">
        <v>0</v>
      </c>
      <c r="D625" s="2896">
        <v>680.71517096752939</v>
      </c>
      <c r="E625" s="2897">
        <v>0</v>
      </c>
      <c r="F625" s="2898">
        <v>0</v>
      </c>
      <c r="G625" s="566">
        <v>680.71517096752939</v>
      </c>
      <c r="H625" s="3251">
        <v>0</v>
      </c>
      <c r="I625" s="3244">
        <v>0</v>
      </c>
      <c r="J625" s="2902">
        <v>0</v>
      </c>
      <c r="K625" s="2898">
        <v>0</v>
      </c>
      <c r="L625" s="571"/>
      <c r="M625" s="2515">
        <f t="shared" si="63"/>
        <v>680.71517096752939</v>
      </c>
    </row>
    <row r="626" spans="1:13" ht="15.75" customHeight="1" x14ac:dyDescent="0.25">
      <c r="A626" s="3258" t="s">
        <v>174</v>
      </c>
      <c r="B626" s="3261" t="s">
        <v>1151</v>
      </c>
      <c r="C626" s="2895">
        <v>184.68</v>
      </c>
      <c r="D626" s="2896">
        <v>120.99</v>
      </c>
      <c r="E626" s="2897" t="s">
        <v>5</v>
      </c>
      <c r="F626" s="2898" t="s">
        <v>5</v>
      </c>
      <c r="G626" s="566">
        <v>305.67</v>
      </c>
      <c r="H626" s="3251">
        <v>362.52</v>
      </c>
      <c r="I626" s="3242" t="s">
        <v>5</v>
      </c>
      <c r="J626" s="2902">
        <v>16.670000000000002</v>
      </c>
      <c r="K626" s="2898" t="s">
        <v>5</v>
      </c>
      <c r="L626" s="571"/>
      <c r="M626" s="2515">
        <f>G626+H626+J626</f>
        <v>684.86</v>
      </c>
    </row>
    <row r="627" spans="1:13" ht="15.75" customHeight="1" x14ac:dyDescent="0.25">
      <c r="A627" s="3258" t="s">
        <v>170</v>
      </c>
      <c r="B627" s="3261" t="s">
        <v>1151</v>
      </c>
      <c r="C627" s="2895" t="s">
        <v>5</v>
      </c>
      <c r="D627" s="2896">
        <v>269.10000000000002</v>
      </c>
      <c r="E627" s="2897" t="s">
        <v>5</v>
      </c>
      <c r="F627" s="2898" t="s">
        <v>5</v>
      </c>
      <c r="G627" s="566">
        <v>269.10000000000002</v>
      </c>
      <c r="H627" s="3251">
        <v>427.87</v>
      </c>
      <c r="I627" s="3242" t="s">
        <v>5</v>
      </c>
      <c r="J627" s="2902" t="s">
        <v>5</v>
      </c>
      <c r="K627" s="2898" t="s">
        <v>5</v>
      </c>
      <c r="L627" s="571"/>
      <c r="M627" s="2515">
        <f>G627+H627</f>
        <v>696.97</v>
      </c>
    </row>
    <row r="628" spans="1:13" ht="15.75" customHeight="1" x14ac:dyDescent="0.25">
      <c r="A628" s="3255" t="s">
        <v>912</v>
      </c>
      <c r="B628" s="3261" t="s">
        <v>1052</v>
      </c>
      <c r="C628" s="2895">
        <v>0</v>
      </c>
      <c r="D628" s="2579">
        <v>303.07189309007362</v>
      </c>
      <c r="E628" s="2580">
        <v>0</v>
      </c>
      <c r="F628" s="2581">
        <v>45.498385935358449</v>
      </c>
      <c r="G628" s="566">
        <v>348.57027902543206</v>
      </c>
      <c r="H628" s="3251">
        <v>316.04457337742787</v>
      </c>
      <c r="I628" s="3244">
        <v>47.378484527728631</v>
      </c>
      <c r="J628" s="2585">
        <v>0</v>
      </c>
      <c r="K628" s="2581">
        <v>0</v>
      </c>
      <c r="L628" s="571"/>
      <c r="M628" s="2515">
        <f>G628+H628+I628+J628+K628</f>
        <v>711.99333693058861</v>
      </c>
    </row>
    <row r="629" spans="1:13" ht="15.75" customHeight="1" x14ac:dyDescent="0.25">
      <c r="A629" s="3255" t="s">
        <v>913</v>
      </c>
      <c r="B629" s="3261" t="s">
        <v>1052</v>
      </c>
      <c r="C629" s="2895">
        <v>0</v>
      </c>
      <c r="D629" s="2579">
        <v>305.04599661206231</v>
      </c>
      <c r="E629" s="2580">
        <v>0</v>
      </c>
      <c r="F629" s="2581">
        <v>45.780400724213976</v>
      </c>
      <c r="G629" s="566">
        <v>350.82639733627627</v>
      </c>
      <c r="H629" s="3251">
        <v>321.2148445064459</v>
      </c>
      <c r="I629" s="3244">
        <v>48.224528894295212</v>
      </c>
      <c r="J629" s="2585">
        <v>0</v>
      </c>
      <c r="K629" s="2581">
        <v>0</v>
      </c>
      <c r="L629" s="571"/>
      <c r="M629" s="2515">
        <f>G629+H629+I629+J629+K629</f>
        <v>720.26577073701742</v>
      </c>
    </row>
    <row r="630" spans="1:13" ht="15.75" customHeight="1" x14ac:dyDescent="0.25">
      <c r="A630" s="3255" t="s">
        <v>100</v>
      </c>
      <c r="B630" s="3261" t="s">
        <v>1058</v>
      </c>
      <c r="C630" s="2895">
        <v>49.447185507977089</v>
      </c>
      <c r="D630" s="2579">
        <v>247.2959508289216</v>
      </c>
      <c r="E630" s="2580">
        <v>84.032604650604426</v>
      </c>
      <c r="F630" s="2581">
        <v>20.876099926771587</v>
      </c>
      <c r="G630" s="566">
        <v>401.65184091427471</v>
      </c>
      <c r="H630" s="3251">
        <v>235.29129302169241</v>
      </c>
      <c r="I630" s="3244">
        <v>29.303369707446489</v>
      </c>
      <c r="J630" s="2585">
        <v>57.936879509249586</v>
      </c>
      <c r="K630" s="2581">
        <v>0</v>
      </c>
      <c r="L630" s="571"/>
      <c r="M630" s="2515">
        <f>G630+H630+I630+J630+K630</f>
        <v>724.18338315266317</v>
      </c>
    </row>
    <row r="631" spans="1:13" ht="15.75" customHeight="1" x14ac:dyDescent="0.25">
      <c r="A631" s="3255" t="s">
        <v>630</v>
      </c>
      <c r="B631" s="3261" t="s">
        <v>1058</v>
      </c>
      <c r="C631" s="2895">
        <v>32.040431687494745</v>
      </c>
      <c r="D631" s="2579">
        <v>240.0931561445841</v>
      </c>
      <c r="E631" s="2580">
        <v>84.032604650604426</v>
      </c>
      <c r="F631" s="2581">
        <v>19.591601541398063</v>
      </c>
      <c r="G631" s="566">
        <v>375.75779402408131</v>
      </c>
      <c r="H631" s="3251">
        <v>232.89036146024657</v>
      </c>
      <c r="I631" s="3244">
        <v>31.644277979856181</v>
      </c>
      <c r="J631" s="2585">
        <v>84.032604650604426</v>
      </c>
      <c r="K631" s="2581">
        <v>0</v>
      </c>
      <c r="L631" s="571"/>
      <c r="M631" s="2515">
        <f>G631+H631+I631+J631+K631</f>
        <v>724.32503811478841</v>
      </c>
    </row>
    <row r="632" spans="1:13" ht="15.75" customHeight="1" x14ac:dyDescent="0.25">
      <c r="A632" s="3255" t="s">
        <v>151</v>
      </c>
      <c r="B632" s="3261" t="s">
        <v>1133</v>
      </c>
      <c r="C632" s="2895">
        <v>0</v>
      </c>
      <c r="D632" s="2896">
        <v>424.43668143239574</v>
      </c>
      <c r="E632" s="2897">
        <v>0</v>
      </c>
      <c r="F632" s="2898">
        <v>42.44847000636247</v>
      </c>
      <c r="G632" s="566">
        <v>466.88515143875821</v>
      </c>
      <c r="H632" s="3251">
        <v>244.75096337378903</v>
      </c>
      <c r="I632" s="3244">
        <v>24.477497268940347</v>
      </c>
      <c r="J632" s="2902">
        <v>0</v>
      </c>
      <c r="K632" s="2898">
        <v>0</v>
      </c>
      <c r="L632" s="571"/>
      <c r="M632" s="2515">
        <f>G632+H632+I632+J632+K632</f>
        <v>736.11361208148764</v>
      </c>
    </row>
    <row r="633" spans="1:13" ht="15.75" customHeight="1" x14ac:dyDescent="0.25">
      <c r="A633" s="3255" t="s">
        <v>172</v>
      </c>
      <c r="B633" s="3261" t="s">
        <v>1151</v>
      </c>
      <c r="C633" s="2895" t="s">
        <v>5</v>
      </c>
      <c r="D633" s="2896">
        <v>408.34</v>
      </c>
      <c r="E633" s="2897" t="s">
        <v>5</v>
      </c>
      <c r="F633" s="2898" t="s">
        <v>5</v>
      </c>
      <c r="G633" s="566">
        <v>408.34</v>
      </c>
      <c r="H633" s="3251">
        <v>332.24</v>
      </c>
      <c r="I633" s="3242" t="s">
        <v>5</v>
      </c>
      <c r="J633" s="2902" t="s">
        <v>5</v>
      </c>
      <c r="K633" s="2898" t="s">
        <v>5</v>
      </c>
      <c r="L633" s="571"/>
      <c r="M633" s="2515">
        <f>G633+H633</f>
        <v>740.57999999999993</v>
      </c>
    </row>
    <row r="634" spans="1:13" ht="15.75" customHeight="1" x14ac:dyDescent="0.25">
      <c r="A634" s="3255" t="s">
        <v>879</v>
      </c>
      <c r="B634" s="3261" t="s">
        <v>1050</v>
      </c>
      <c r="C634" s="2895">
        <v>79.230741527712752</v>
      </c>
      <c r="D634" s="2579">
        <v>264.10247175904249</v>
      </c>
      <c r="E634" s="2580">
        <v>0</v>
      </c>
      <c r="F634" s="2581">
        <v>17.166660664337762</v>
      </c>
      <c r="G634" s="566">
        <v>360.49987395109304</v>
      </c>
      <c r="H634" s="3251">
        <v>342.1927707950685</v>
      </c>
      <c r="I634" s="3244">
        <v>0</v>
      </c>
      <c r="J634" s="2585">
        <v>43.216768106025135</v>
      </c>
      <c r="K634" s="2581">
        <v>0</v>
      </c>
      <c r="L634" s="571"/>
      <c r="M634" s="2515">
        <f t="shared" ref="M634:M665" si="64">G634+H634+I634+J634+K634</f>
        <v>745.90941285218662</v>
      </c>
    </row>
    <row r="635" spans="1:13" ht="15.75" customHeight="1" x14ac:dyDescent="0.25">
      <c r="A635" s="3255" t="s">
        <v>631</v>
      </c>
      <c r="B635" s="2785" t="s">
        <v>1058</v>
      </c>
      <c r="C635" s="2895">
        <v>13.145100298915978</v>
      </c>
      <c r="D635" s="2579">
        <v>223.28663521446322</v>
      </c>
      <c r="E635" s="2580">
        <v>105.640988703617</v>
      </c>
      <c r="F635" s="2581">
        <v>18.799294126120934</v>
      </c>
      <c r="G635" s="566">
        <v>360.87201834311708</v>
      </c>
      <c r="H635" s="3251">
        <v>278.5080611277175</v>
      </c>
      <c r="I635" s="3244">
        <v>35.053600797109276</v>
      </c>
      <c r="J635" s="2585">
        <v>72.027946843375233</v>
      </c>
      <c r="K635" s="2581">
        <v>0</v>
      </c>
      <c r="L635" s="571"/>
      <c r="M635" s="2515">
        <f t="shared" si="64"/>
        <v>746.4616271113191</v>
      </c>
    </row>
    <row r="636" spans="1:13" ht="15.75" customHeight="1" x14ac:dyDescent="0.25">
      <c r="A636" s="3255" t="s">
        <v>162</v>
      </c>
      <c r="B636" s="2785" t="s">
        <v>1137</v>
      </c>
      <c r="C636" s="2895">
        <v>71.837605960468792</v>
      </c>
      <c r="D636" s="2896">
        <v>299.66544200652697</v>
      </c>
      <c r="E636" s="2897">
        <v>0</v>
      </c>
      <c r="F636" s="2898">
        <v>29.720243837359661</v>
      </c>
      <c r="G636" s="566">
        <v>401.22329180435543</v>
      </c>
      <c r="H636" s="3251">
        <v>359.18802980234398</v>
      </c>
      <c r="I636" s="3244">
        <v>8.9797007450585991</v>
      </c>
      <c r="J636" s="2902">
        <v>0</v>
      </c>
      <c r="K636" s="2898">
        <v>0</v>
      </c>
      <c r="L636" s="571"/>
      <c r="M636" s="2515">
        <f t="shared" si="64"/>
        <v>769.39102235175801</v>
      </c>
    </row>
    <row r="637" spans="1:13" ht="15.75" customHeight="1" x14ac:dyDescent="0.25">
      <c r="A637" s="3256" t="s">
        <v>182</v>
      </c>
      <c r="B637" s="2724" t="s">
        <v>1106</v>
      </c>
      <c r="C637" s="2895">
        <v>50.599632657471098</v>
      </c>
      <c r="D637" s="2896">
        <v>283.30992425060924</v>
      </c>
      <c r="E637" s="2897">
        <v>0</v>
      </c>
      <c r="F637" s="2898">
        <v>20.035773880265545</v>
      </c>
      <c r="G637" s="566">
        <v>353.94533078834587</v>
      </c>
      <c r="H637" s="3251">
        <v>343.2731899977191</v>
      </c>
      <c r="I637" s="3244">
        <v>0</v>
      </c>
      <c r="J637" s="2902">
        <v>80.671300464580256</v>
      </c>
      <c r="K637" s="2898">
        <v>4.8378770963133695</v>
      </c>
      <c r="L637" s="571"/>
      <c r="M637" s="2515">
        <f t="shared" si="64"/>
        <v>782.72769834695862</v>
      </c>
    </row>
    <row r="638" spans="1:13" ht="15.75" customHeight="1" x14ac:dyDescent="0.25">
      <c r="A638" s="3255" t="s">
        <v>126</v>
      </c>
      <c r="B638" s="2785" t="s">
        <v>1112</v>
      </c>
      <c r="C638" s="2895">
        <v>37.536576834813467</v>
      </c>
      <c r="D638" s="2896">
        <v>238.13789329618675</v>
      </c>
      <c r="E638" s="2897">
        <v>0</v>
      </c>
      <c r="F638" s="2898">
        <v>64.226545428398367</v>
      </c>
      <c r="G638" s="566">
        <v>339.90101555939856</v>
      </c>
      <c r="H638" s="3251">
        <v>357.32871194699055</v>
      </c>
      <c r="I638" s="3244">
        <v>94.024250091099319</v>
      </c>
      <c r="J638" s="2902">
        <v>0</v>
      </c>
      <c r="K638" s="2898">
        <v>0</v>
      </c>
      <c r="L638" s="571"/>
      <c r="M638" s="2515">
        <f t="shared" si="64"/>
        <v>791.25397759748842</v>
      </c>
    </row>
    <row r="639" spans="1:13" ht="15.75" customHeight="1" x14ac:dyDescent="0.25">
      <c r="A639" s="3254" t="s">
        <v>723</v>
      </c>
      <c r="B639" s="2785" t="s">
        <v>1040</v>
      </c>
      <c r="C639" s="2895">
        <v>489.8257778767325</v>
      </c>
      <c r="D639" s="2579">
        <v>0</v>
      </c>
      <c r="E639" s="2580">
        <v>0</v>
      </c>
      <c r="F639" s="2581">
        <v>0</v>
      </c>
      <c r="G639" s="566">
        <v>489.8257778767325</v>
      </c>
      <c r="H639" s="3251">
        <v>305.34593945562546</v>
      </c>
      <c r="I639" s="3244">
        <v>0</v>
      </c>
      <c r="J639" s="2585">
        <v>0</v>
      </c>
      <c r="K639" s="2581">
        <v>0</v>
      </c>
      <c r="L639" s="571"/>
      <c r="M639" s="2515">
        <f t="shared" si="64"/>
        <v>795.17171733235796</v>
      </c>
    </row>
    <row r="640" spans="1:13" ht="15.75" customHeight="1" x14ac:dyDescent="0.25">
      <c r="A640" s="3255" t="s">
        <v>97</v>
      </c>
      <c r="B640" s="2785" t="s">
        <v>1058</v>
      </c>
      <c r="C640" s="2895">
        <v>66.409766989591958</v>
      </c>
      <c r="D640" s="2579">
        <v>259.3006086361508</v>
      </c>
      <c r="E640" s="2580">
        <v>93.63633089638779</v>
      </c>
      <c r="F640" s="2581">
        <v>22.976915043036698</v>
      </c>
      <c r="G640" s="566">
        <v>442.32362156516723</v>
      </c>
      <c r="H640" s="3251">
        <v>264.10247175904254</v>
      </c>
      <c r="I640" s="3244">
        <v>32.076445660916434</v>
      </c>
      <c r="J640" s="2585">
        <v>57.622357474700181</v>
      </c>
      <c r="K640" s="2581">
        <v>0</v>
      </c>
      <c r="L640" s="571"/>
      <c r="M640" s="2515">
        <f t="shared" si="64"/>
        <v>796.12489645982635</v>
      </c>
    </row>
    <row r="641" spans="1:13" ht="15.75" customHeight="1" x14ac:dyDescent="0.25">
      <c r="A641" s="3256" t="s">
        <v>185</v>
      </c>
      <c r="B641" s="2724" t="s">
        <v>1106</v>
      </c>
      <c r="C641" s="2895">
        <v>54.020960132531421</v>
      </c>
      <c r="D641" s="2896">
        <v>151.25868837108797</v>
      </c>
      <c r="E641" s="2897">
        <v>0</v>
      </c>
      <c r="F641" s="2898">
        <v>12.316778910217163</v>
      </c>
      <c r="G641" s="566">
        <v>217.59642741383655</v>
      </c>
      <c r="H641" s="3251">
        <v>494.88001344521672</v>
      </c>
      <c r="I641" s="3244">
        <v>0</v>
      </c>
      <c r="J641" s="2902">
        <v>80.671300464580256</v>
      </c>
      <c r="K641" s="2898">
        <v>4.8378770963133695</v>
      </c>
      <c r="L641" s="571"/>
      <c r="M641" s="2515">
        <f t="shared" si="64"/>
        <v>797.98561841994683</v>
      </c>
    </row>
    <row r="642" spans="1:13" ht="15.75" customHeight="1" x14ac:dyDescent="0.25">
      <c r="A642" s="3255" t="s">
        <v>165</v>
      </c>
      <c r="B642" s="2785" t="s">
        <v>1149</v>
      </c>
      <c r="C642" s="2895">
        <v>35.247053735538977</v>
      </c>
      <c r="D642" s="2896">
        <v>410.66601794788625</v>
      </c>
      <c r="E642" s="2897">
        <v>0</v>
      </c>
      <c r="F642" s="2898">
        <v>0</v>
      </c>
      <c r="G642" s="566">
        <v>445.91307168342524</v>
      </c>
      <c r="H642" s="3251">
        <v>354.11936425559514</v>
      </c>
      <c r="I642" s="3244">
        <v>0</v>
      </c>
      <c r="J642" s="2902">
        <v>0</v>
      </c>
      <c r="K642" s="2898">
        <v>0</v>
      </c>
      <c r="L642" s="571"/>
      <c r="M642" s="2515">
        <f t="shared" si="64"/>
        <v>800.03243593902039</v>
      </c>
    </row>
    <row r="643" spans="1:13" ht="15.75" customHeight="1" x14ac:dyDescent="0.25">
      <c r="A643" s="3255" t="s">
        <v>911</v>
      </c>
      <c r="B643" s="2785" t="s">
        <v>1052</v>
      </c>
      <c r="C643" s="2895">
        <v>0</v>
      </c>
      <c r="D643" s="2579">
        <v>379.49790086992158</v>
      </c>
      <c r="E643" s="2580">
        <v>0</v>
      </c>
      <c r="F643" s="2581">
        <v>56.966987348816566</v>
      </c>
      <c r="G643" s="566">
        <v>436.46488821873817</v>
      </c>
      <c r="H643" s="3251">
        <v>318.77071633636467</v>
      </c>
      <c r="I643" s="3244">
        <v>47.754504246202664</v>
      </c>
      <c r="J643" s="2585">
        <v>0</v>
      </c>
      <c r="K643" s="2581">
        <v>0</v>
      </c>
      <c r="L643" s="571"/>
      <c r="M643" s="2515">
        <f t="shared" si="64"/>
        <v>802.9901088013055</v>
      </c>
    </row>
    <row r="644" spans="1:13" ht="15.75" customHeight="1" x14ac:dyDescent="0.25">
      <c r="A644" s="3255" t="s">
        <v>914</v>
      </c>
      <c r="B644" s="2785" t="s">
        <v>1052</v>
      </c>
      <c r="C644" s="2895">
        <v>0</v>
      </c>
      <c r="D644" s="2579">
        <v>423.58621286100242</v>
      </c>
      <c r="E644" s="2580">
        <v>0</v>
      </c>
      <c r="F644" s="2581">
        <v>63.547332422112213</v>
      </c>
      <c r="G644" s="566">
        <v>487.13354528311464</v>
      </c>
      <c r="H644" s="3251">
        <v>280.51070998163141</v>
      </c>
      <c r="I644" s="3244">
        <v>42.114208469092112</v>
      </c>
      <c r="J644" s="2585">
        <v>0</v>
      </c>
      <c r="K644" s="2581">
        <v>0</v>
      </c>
      <c r="L644" s="571"/>
      <c r="M644" s="2515">
        <f t="shared" si="64"/>
        <v>809.7584637338382</v>
      </c>
    </row>
    <row r="645" spans="1:13" ht="15.75" customHeight="1" x14ac:dyDescent="0.25">
      <c r="A645" s="3255" t="s">
        <v>159</v>
      </c>
      <c r="B645" s="2785" t="s">
        <v>1135</v>
      </c>
      <c r="C645" s="2895">
        <v>285.5290682071348</v>
      </c>
      <c r="D645" s="2896">
        <v>155.63172387255847</v>
      </c>
      <c r="E645" s="2897">
        <v>0</v>
      </c>
      <c r="F645" s="2898">
        <v>110.29019801992331</v>
      </c>
      <c r="G645" s="566">
        <v>551.45099009961655</v>
      </c>
      <c r="H645" s="3251">
        <v>209.5513762378543</v>
      </c>
      <c r="I645" s="3244">
        <v>52.387844059463575</v>
      </c>
      <c r="J645" s="2902">
        <v>0</v>
      </c>
      <c r="K645" s="2898">
        <v>0</v>
      </c>
      <c r="L645" s="571"/>
      <c r="M645" s="2515">
        <f t="shared" si="64"/>
        <v>813.39021039693444</v>
      </c>
    </row>
    <row r="646" spans="1:13" ht="15.75" customHeight="1" x14ac:dyDescent="0.25">
      <c r="A646" s="3255" t="s">
        <v>632</v>
      </c>
      <c r="B646" s="2785" t="s">
        <v>1058</v>
      </c>
      <c r="C646" s="2895">
        <v>49.147069062796362</v>
      </c>
      <c r="D646" s="2579">
        <v>343.33321328675527</v>
      </c>
      <c r="E646" s="2580">
        <v>98.438194019279479</v>
      </c>
      <c r="F646" s="2581">
        <v>27.034489381880167</v>
      </c>
      <c r="G646" s="566">
        <v>517.95296575071131</v>
      </c>
      <c r="H646" s="3251">
        <v>218.48477209157153</v>
      </c>
      <c r="I646" s="3244">
        <v>26.974466092844022</v>
      </c>
      <c r="J646" s="2585">
        <v>50.347534843519284</v>
      </c>
      <c r="K646" s="2581">
        <v>0</v>
      </c>
      <c r="L646" s="571"/>
      <c r="M646" s="2515">
        <f t="shared" si="64"/>
        <v>813.75973877864612</v>
      </c>
    </row>
    <row r="647" spans="1:13" ht="15.75" customHeight="1" x14ac:dyDescent="0.25">
      <c r="A647" s="3254" t="s">
        <v>940</v>
      </c>
      <c r="B647" s="2785" t="s">
        <v>1040</v>
      </c>
      <c r="C647" s="2895">
        <v>87.214433957013028</v>
      </c>
      <c r="D647" s="2579">
        <v>301.62453581851003</v>
      </c>
      <c r="E647" s="2580">
        <v>0</v>
      </c>
      <c r="F647" s="2581">
        <v>0</v>
      </c>
      <c r="G647" s="566">
        <v>388.83896977552308</v>
      </c>
      <c r="H647" s="3251">
        <v>429.39272735947327</v>
      </c>
      <c r="I647" s="3244">
        <v>0</v>
      </c>
      <c r="J647" s="2585">
        <v>0</v>
      </c>
      <c r="K647" s="2581">
        <v>0</v>
      </c>
      <c r="L647" s="571"/>
      <c r="M647" s="2515">
        <f t="shared" si="64"/>
        <v>818.23169713499635</v>
      </c>
    </row>
    <row r="648" spans="1:13" ht="15.75" customHeight="1" x14ac:dyDescent="0.25">
      <c r="A648" s="3256" t="s">
        <v>183</v>
      </c>
      <c r="B648" s="2724" t="s">
        <v>1106</v>
      </c>
      <c r="C648" s="2895">
        <v>70.827481062652311</v>
      </c>
      <c r="D648" s="2896">
        <v>216.08384053012568</v>
      </c>
      <c r="E648" s="2897">
        <v>9.4116517208676953</v>
      </c>
      <c r="F648" s="2898">
        <v>17.778898212506451</v>
      </c>
      <c r="G648" s="566">
        <v>314.10187152615214</v>
      </c>
      <c r="H648" s="3251">
        <v>420.03097201714263</v>
      </c>
      <c r="I648" s="3244">
        <v>0</v>
      </c>
      <c r="J648" s="2902">
        <v>80.671300464580256</v>
      </c>
      <c r="K648" s="2898">
        <v>4.8378770963133695</v>
      </c>
      <c r="L648" s="571"/>
      <c r="M648" s="2515">
        <f t="shared" si="64"/>
        <v>819.6420211041883</v>
      </c>
    </row>
    <row r="649" spans="1:13" ht="15.75" customHeight="1" x14ac:dyDescent="0.25">
      <c r="A649" s="3255" t="s">
        <v>156</v>
      </c>
      <c r="B649" s="2785" t="s">
        <v>1135</v>
      </c>
      <c r="C649" s="2895">
        <v>299.37661529185851</v>
      </c>
      <c r="D649" s="2896">
        <v>176.21922750294414</v>
      </c>
      <c r="E649" s="2897">
        <v>0</v>
      </c>
      <c r="F649" s="2898">
        <v>118.89896069870066</v>
      </c>
      <c r="G649" s="566">
        <v>594.49480349350335</v>
      </c>
      <c r="H649" s="3251">
        <v>181.61119273947372</v>
      </c>
      <c r="I649" s="3244">
        <v>45.402798184868431</v>
      </c>
      <c r="J649" s="2902">
        <v>0</v>
      </c>
      <c r="K649" s="2898">
        <v>0</v>
      </c>
      <c r="L649" s="571"/>
      <c r="M649" s="2515">
        <f t="shared" si="64"/>
        <v>821.50879441784548</v>
      </c>
    </row>
    <row r="650" spans="1:13" ht="15.75" customHeight="1" x14ac:dyDescent="0.25">
      <c r="A650" s="3254" t="s">
        <v>549</v>
      </c>
      <c r="B650" s="2785" t="s">
        <v>1040</v>
      </c>
      <c r="C650" s="2895">
        <v>142.60609578638508</v>
      </c>
      <c r="D650" s="2579">
        <v>283.60594470375878</v>
      </c>
      <c r="E650" s="2580">
        <v>0</v>
      </c>
      <c r="F650" s="2581">
        <v>0</v>
      </c>
      <c r="G650" s="566">
        <v>426.21204049014386</v>
      </c>
      <c r="H650" s="3251">
        <v>406.33274755683493</v>
      </c>
      <c r="I650" s="3244">
        <v>0</v>
      </c>
      <c r="J650" s="2585">
        <v>0</v>
      </c>
      <c r="K650" s="2581">
        <v>0</v>
      </c>
      <c r="L650" s="571"/>
      <c r="M650" s="2515">
        <f t="shared" si="64"/>
        <v>832.54478804697874</v>
      </c>
    </row>
    <row r="651" spans="1:13" ht="15.75" customHeight="1" x14ac:dyDescent="0.25">
      <c r="A651" s="3256" t="s">
        <v>180</v>
      </c>
      <c r="B651" s="2724" t="s">
        <v>1028</v>
      </c>
      <c r="C651" s="2895">
        <v>70.200070200070201</v>
      </c>
      <c r="D651" s="2579">
        <v>312.00031200031202</v>
      </c>
      <c r="E651" s="2580">
        <v>0</v>
      </c>
      <c r="F651" s="2581">
        <v>0</v>
      </c>
      <c r="G651" s="566">
        <v>382.20038220038225</v>
      </c>
      <c r="H651" s="3251">
        <v>455.52045552045553</v>
      </c>
      <c r="I651" s="3244">
        <v>0</v>
      </c>
      <c r="J651" s="2585">
        <v>0</v>
      </c>
      <c r="K651" s="2581">
        <v>0</v>
      </c>
      <c r="L651" s="571"/>
      <c r="M651" s="2515">
        <f t="shared" si="64"/>
        <v>837.72083772083784</v>
      </c>
    </row>
    <row r="652" spans="1:13" ht="15.75" customHeight="1" x14ac:dyDescent="0.25">
      <c r="A652" s="3255" t="s">
        <v>101</v>
      </c>
      <c r="B652" s="2785" t="s">
        <v>1058</v>
      </c>
      <c r="C652" s="2895">
        <v>24.741599740699389</v>
      </c>
      <c r="D652" s="2579">
        <v>244.89501926747576</v>
      </c>
      <c r="E652" s="2580">
        <v>115.24471494940036</v>
      </c>
      <c r="F652" s="2581">
        <v>21.248244318795692</v>
      </c>
      <c r="G652" s="566">
        <v>406.12957827637121</v>
      </c>
      <c r="H652" s="3251">
        <v>324.12576079518851</v>
      </c>
      <c r="I652" s="3244">
        <v>39.687398710699753</v>
      </c>
      <c r="J652" s="2585">
        <v>72.027946843375233</v>
      </c>
      <c r="K652" s="2581">
        <v>0</v>
      </c>
      <c r="L652" s="571"/>
      <c r="M652" s="2515">
        <f t="shared" si="64"/>
        <v>841.97068462563482</v>
      </c>
    </row>
    <row r="653" spans="1:13" ht="15.75" customHeight="1" x14ac:dyDescent="0.25">
      <c r="A653" s="3255" t="s">
        <v>634</v>
      </c>
      <c r="B653" s="2785" t="s">
        <v>1058</v>
      </c>
      <c r="C653" s="2895">
        <v>22.712812571277656</v>
      </c>
      <c r="D653" s="2579">
        <v>338.53135016386358</v>
      </c>
      <c r="E653" s="2580">
        <v>88.834467773496115</v>
      </c>
      <c r="F653" s="2581">
        <v>24.741599740699389</v>
      </c>
      <c r="G653" s="566">
        <v>474.8202302493367</v>
      </c>
      <c r="H653" s="3251">
        <v>309.7201714265135</v>
      </c>
      <c r="I653" s="3244">
        <v>34.861526272193608</v>
      </c>
      <c r="J653" s="2585">
        <v>38.414904983133454</v>
      </c>
      <c r="K653" s="2581">
        <v>0</v>
      </c>
      <c r="L653" s="571"/>
      <c r="M653" s="2515">
        <f t="shared" si="64"/>
        <v>857.81683293117726</v>
      </c>
    </row>
    <row r="654" spans="1:13" ht="15.75" customHeight="1" x14ac:dyDescent="0.25">
      <c r="A654" s="3263" t="s">
        <v>1306</v>
      </c>
      <c r="B654" s="3248" t="s">
        <v>1088</v>
      </c>
      <c r="C654" s="2895">
        <v>70.827481062652311</v>
      </c>
      <c r="D654" s="2896">
        <v>789.11417630040455</v>
      </c>
      <c r="E654" s="2897">
        <v>0</v>
      </c>
      <c r="F654" s="2898">
        <v>0</v>
      </c>
      <c r="G654" s="566">
        <v>859.94165736305683</v>
      </c>
      <c r="H654" s="3251">
        <v>0</v>
      </c>
      <c r="I654" s="3244">
        <v>0</v>
      </c>
      <c r="J654" s="2902">
        <v>0</v>
      </c>
      <c r="K654" s="2898">
        <v>0</v>
      </c>
      <c r="L654" s="571"/>
      <c r="M654" s="2515">
        <f t="shared" si="64"/>
        <v>859.94165736305683</v>
      </c>
    </row>
    <row r="655" spans="1:13" ht="15.75" customHeight="1" x14ac:dyDescent="0.25">
      <c r="A655" s="3264" t="s">
        <v>160</v>
      </c>
      <c r="B655" s="2785" t="s">
        <v>1137</v>
      </c>
      <c r="C655" s="2895">
        <v>114.94016953675008</v>
      </c>
      <c r="D655" s="2896">
        <v>221.67032696373229</v>
      </c>
      <c r="E655" s="2897">
        <v>0</v>
      </c>
      <c r="F655" s="2898">
        <v>26.928839720038585</v>
      </c>
      <c r="G655" s="566">
        <v>363.53933622052097</v>
      </c>
      <c r="H655" s="3251">
        <v>491.57447507235077</v>
      </c>
      <c r="I655" s="3244">
        <v>12.294493134377374</v>
      </c>
      <c r="J655" s="2902">
        <v>0</v>
      </c>
      <c r="K655" s="2898">
        <v>0</v>
      </c>
      <c r="L655" s="571"/>
      <c r="M655" s="2515">
        <f t="shared" si="64"/>
        <v>867.40830442724916</v>
      </c>
    </row>
    <row r="656" spans="1:13" ht="15.75" customHeight="1" x14ac:dyDescent="0.25">
      <c r="A656" s="3252" t="s">
        <v>91</v>
      </c>
      <c r="B656" s="2785" t="s">
        <v>1056</v>
      </c>
      <c r="C656" s="2895">
        <v>47.44240765416982</v>
      </c>
      <c r="D656" s="2579">
        <v>271.30526644338005</v>
      </c>
      <c r="E656" s="2580">
        <v>0</v>
      </c>
      <c r="F656" s="2581">
        <v>76.493679547664485</v>
      </c>
      <c r="G656" s="566">
        <v>395.24135364521436</v>
      </c>
      <c r="H656" s="3251">
        <v>333.72948704097189</v>
      </c>
      <c r="I656" s="3244">
        <v>80.095076889833251</v>
      </c>
      <c r="J656" s="2585">
        <v>47.44240765416982</v>
      </c>
      <c r="K656" s="2581">
        <v>11.380415601253286</v>
      </c>
      <c r="L656" s="571"/>
      <c r="M656" s="2515">
        <f t="shared" si="64"/>
        <v>867.88874083144265</v>
      </c>
    </row>
    <row r="657" spans="1:13" ht="15.75" customHeight="1" x14ac:dyDescent="0.25">
      <c r="A657" s="3252" t="s">
        <v>92</v>
      </c>
      <c r="B657" s="2785" t="s">
        <v>1056</v>
      </c>
      <c r="C657" s="2895">
        <v>47.44240765416982</v>
      </c>
      <c r="D657" s="2579">
        <v>271.30526644338005</v>
      </c>
      <c r="E657" s="2580">
        <v>0</v>
      </c>
      <c r="F657" s="2581">
        <v>76.493679547664485</v>
      </c>
      <c r="G657" s="566">
        <v>395.24135364521436</v>
      </c>
      <c r="H657" s="3251">
        <v>333.72948704097189</v>
      </c>
      <c r="I657" s="3244">
        <v>80.095076889833251</v>
      </c>
      <c r="J657" s="2585">
        <v>47.44240765416982</v>
      </c>
      <c r="K657" s="2581">
        <v>11.380415601253286</v>
      </c>
      <c r="L657" s="571"/>
      <c r="M657" s="2515">
        <f t="shared" si="64"/>
        <v>867.88874083144265</v>
      </c>
    </row>
    <row r="658" spans="1:13" ht="15.75" customHeight="1" x14ac:dyDescent="0.25">
      <c r="A658" s="3252" t="s">
        <v>195</v>
      </c>
      <c r="B658" s="2785" t="s">
        <v>1056</v>
      </c>
      <c r="C658" s="2895">
        <v>47.44240765416982</v>
      </c>
      <c r="D658" s="2579">
        <v>271.30526644338005</v>
      </c>
      <c r="E658" s="2580">
        <v>0</v>
      </c>
      <c r="F658" s="2581">
        <v>76.493679547664485</v>
      </c>
      <c r="G658" s="566">
        <v>395.24135364521436</v>
      </c>
      <c r="H658" s="3251">
        <v>333.72948704097189</v>
      </c>
      <c r="I658" s="3244">
        <v>80.095076889833251</v>
      </c>
      <c r="J658" s="2585">
        <v>47.44240765416982</v>
      </c>
      <c r="K658" s="2581">
        <v>11.380415601253286</v>
      </c>
      <c r="L658" s="571"/>
      <c r="M658" s="2515">
        <f t="shared" si="64"/>
        <v>867.88874083144265</v>
      </c>
    </row>
    <row r="659" spans="1:13" ht="15.75" customHeight="1" x14ac:dyDescent="0.25">
      <c r="A659" s="3253" t="s">
        <v>548</v>
      </c>
      <c r="B659" s="2785" t="s">
        <v>1040</v>
      </c>
      <c r="C659" s="2895">
        <v>148.76072487853753</v>
      </c>
      <c r="D659" s="2579">
        <v>278.24648732893871</v>
      </c>
      <c r="E659" s="2580">
        <v>0</v>
      </c>
      <c r="F659" s="2581">
        <v>0</v>
      </c>
      <c r="G659" s="566">
        <v>427.00721220747624</v>
      </c>
      <c r="H659" s="3251">
        <v>458.01890918343815</v>
      </c>
      <c r="I659" s="3244">
        <v>0</v>
      </c>
      <c r="J659" s="2585">
        <v>0</v>
      </c>
      <c r="K659" s="2581">
        <v>0</v>
      </c>
      <c r="L659" s="571"/>
      <c r="M659" s="2515">
        <f t="shared" si="64"/>
        <v>885.02612139091434</v>
      </c>
    </row>
    <row r="660" spans="1:13" ht="15.75" customHeight="1" x14ac:dyDescent="0.25">
      <c r="A660" s="3252" t="s">
        <v>125</v>
      </c>
      <c r="B660" s="2785" t="s">
        <v>1112</v>
      </c>
      <c r="C660" s="2895">
        <v>299.6832546649556</v>
      </c>
      <c r="D660" s="2896">
        <v>0</v>
      </c>
      <c r="E660" s="2897">
        <v>0</v>
      </c>
      <c r="F660" s="2898">
        <v>74.859877664883683</v>
      </c>
      <c r="G660" s="566">
        <v>374.5431323298393</v>
      </c>
      <c r="H660" s="3251">
        <v>417.77722529136548</v>
      </c>
      <c r="I660" s="3244">
        <v>104.44430632284137</v>
      </c>
      <c r="J660" s="2902">
        <v>0</v>
      </c>
      <c r="K660" s="2898">
        <v>0</v>
      </c>
      <c r="L660" s="571"/>
      <c r="M660" s="2515">
        <f t="shared" si="64"/>
        <v>896.76466394404611</v>
      </c>
    </row>
    <row r="661" spans="1:13" ht="15.75" customHeight="1" x14ac:dyDescent="0.25">
      <c r="A661" s="2914" t="s">
        <v>544</v>
      </c>
      <c r="B661" s="2724" t="s">
        <v>1028</v>
      </c>
      <c r="C661" s="2895">
        <v>79.154479154479162</v>
      </c>
      <c r="D661" s="2579">
        <v>407.1604071604072</v>
      </c>
      <c r="E661" s="2580">
        <v>0</v>
      </c>
      <c r="F661" s="2581">
        <v>0</v>
      </c>
      <c r="G661" s="566">
        <v>486.31488631488639</v>
      </c>
      <c r="H661" s="3251">
        <v>412.62041262041265</v>
      </c>
      <c r="I661" s="3244">
        <v>0</v>
      </c>
      <c r="J661" s="2585">
        <v>0</v>
      </c>
      <c r="K661" s="2581">
        <v>0</v>
      </c>
      <c r="L661" s="571"/>
      <c r="M661" s="2515">
        <f t="shared" si="64"/>
        <v>898.93529893529899</v>
      </c>
    </row>
    <row r="662" spans="1:13" ht="15.75" customHeight="1" x14ac:dyDescent="0.25">
      <c r="A662" s="3252" t="s">
        <v>99</v>
      </c>
      <c r="B662" s="2785" t="s">
        <v>1058</v>
      </c>
      <c r="C662" s="2895">
        <v>44.801382936579394</v>
      </c>
      <c r="D662" s="2579">
        <v>273.70619800482581</v>
      </c>
      <c r="E662" s="2580">
        <v>110.44285182650869</v>
      </c>
      <c r="F662" s="2581">
        <v>23.553138617783702</v>
      </c>
      <c r="G662" s="566">
        <v>452.50357138569757</v>
      </c>
      <c r="H662" s="3251">
        <v>350.53600797109277</v>
      </c>
      <c r="I662" s="3244">
        <v>41.512106697398586</v>
      </c>
      <c r="J662" s="2585">
        <v>63.864779534459373</v>
      </c>
      <c r="K662" s="2581">
        <v>0</v>
      </c>
      <c r="L662" s="571"/>
      <c r="M662" s="2515">
        <f t="shared" si="64"/>
        <v>908.41646558864829</v>
      </c>
    </row>
    <row r="663" spans="1:13" ht="15.75" customHeight="1" x14ac:dyDescent="0.25">
      <c r="A663" s="3252" t="s">
        <v>169</v>
      </c>
      <c r="B663" s="2785" t="s">
        <v>1149</v>
      </c>
      <c r="C663" s="2895">
        <v>32.530543842577572</v>
      </c>
      <c r="D663" s="2896">
        <v>364.36371499621583</v>
      </c>
      <c r="E663" s="2897">
        <v>0</v>
      </c>
      <c r="F663" s="2898">
        <v>0</v>
      </c>
      <c r="G663" s="566">
        <v>396.89425883879341</v>
      </c>
      <c r="H663" s="3251">
        <v>527.09752405665472</v>
      </c>
      <c r="I663" s="3244">
        <v>0</v>
      </c>
      <c r="J663" s="2902">
        <v>0</v>
      </c>
      <c r="K663" s="2898">
        <v>0</v>
      </c>
      <c r="L663" s="571"/>
      <c r="M663" s="2515">
        <f t="shared" si="64"/>
        <v>923.99178289544807</v>
      </c>
    </row>
    <row r="664" spans="1:13" ht="15.75" customHeight="1" x14ac:dyDescent="0.25">
      <c r="A664" s="3252" t="s">
        <v>915</v>
      </c>
      <c r="B664" s="2785" t="s">
        <v>1052</v>
      </c>
      <c r="C664" s="2895">
        <v>0</v>
      </c>
      <c r="D664" s="2579">
        <v>408.54542412204091</v>
      </c>
      <c r="E664" s="2580">
        <v>0</v>
      </c>
      <c r="F664" s="2581">
        <v>61.29121411126799</v>
      </c>
      <c r="G664" s="566">
        <v>469.83663823330892</v>
      </c>
      <c r="H664" s="3251">
        <v>395.00871425697562</v>
      </c>
      <c r="I664" s="3244">
        <v>59.223105659660789</v>
      </c>
      <c r="J664" s="2585">
        <v>0</v>
      </c>
      <c r="K664" s="2581">
        <v>0</v>
      </c>
      <c r="L664" s="571"/>
      <c r="M664" s="2515">
        <f t="shared" si="64"/>
        <v>924.06845814994529</v>
      </c>
    </row>
    <row r="665" spans="1:13" ht="15.75" customHeight="1" x14ac:dyDescent="0.25">
      <c r="A665" s="3253" t="s">
        <v>71</v>
      </c>
      <c r="B665" s="2785" t="s">
        <v>1032</v>
      </c>
      <c r="C665" s="2895">
        <v>0</v>
      </c>
      <c r="D665" s="2579">
        <v>354.86968943950251</v>
      </c>
      <c r="E665" s="2580">
        <v>0</v>
      </c>
      <c r="F665" s="2581">
        <v>21.296262950024605</v>
      </c>
      <c r="G665" s="566">
        <v>376.16595238952709</v>
      </c>
      <c r="H665" s="3251">
        <v>518.67324521914497</v>
      </c>
      <c r="I665" s="3244">
        <v>31.128077694145325</v>
      </c>
      <c r="J665" s="2585">
        <v>0</v>
      </c>
      <c r="K665" s="2581">
        <v>0</v>
      </c>
      <c r="L665" s="571"/>
      <c r="M665" s="2515">
        <f t="shared" si="64"/>
        <v>925.96727530281737</v>
      </c>
    </row>
    <row r="666" spans="1:13" ht="15.75" customHeight="1" x14ac:dyDescent="0.25">
      <c r="A666" s="3252" t="s">
        <v>161</v>
      </c>
      <c r="B666" s="2785" t="s">
        <v>1137</v>
      </c>
      <c r="C666" s="2895">
        <v>28.735042384187519</v>
      </c>
      <c r="D666" s="2896">
        <v>420.76312062560294</v>
      </c>
      <c r="E666" s="2897">
        <v>0</v>
      </c>
      <c r="F666" s="2898">
        <v>35.959853040783237</v>
      </c>
      <c r="G666" s="566">
        <v>485.45801605057369</v>
      </c>
      <c r="H666" s="3251">
        <v>446.41940846862752</v>
      </c>
      <c r="I666" s="3244">
        <v>11.165616469284293</v>
      </c>
      <c r="J666" s="2902">
        <v>0</v>
      </c>
      <c r="K666" s="2898">
        <v>0</v>
      </c>
      <c r="L666" s="571"/>
      <c r="M666" s="2515">
        <f t="shared" ref="M666:M692" si="65">G666+H666+I666+J666+K666</f>
        <v>943.04304098848547</v>
      </c>
    </row>
    <row r="667" spans="1:13" ht="15.75" customHeight="1" x14ac:dyDescent="0.25">
      <c r="A667" s="3252" t="s">
        <v>158</v>
      </c>
      <c r="B667" s="2785" t="s">
        <v>1135</v>
      </c>
      <c r="C667" s="2895">
        <v>0</v>
      </c>
      <c r="D667" s="2896">
        <v>302.6853212324562</v>
      </c>
      <c r="E667" s="2897">
        <v>0</v>
      </c>
      <c r="F667" s="2898">
        <v>75.671330308114051</v>
      </c>
      <c r="G667" s="566">
        <v>378.35665154057028</v>
      </c>
      <c r="H667" s="3251">
        <v>454.15052651315091</v>
      </c>
      <c r="I667" s="3244">
        <v>113.53763162828773</v>
      </c>
      <c r="J667" s="2902">
        <v>0</v>
      </c>
      <c r="K667" s="2898">
        <v>0</v>
      </c>
      <c r="L667" s="571"/>
      <c r="M667" s="2515">
        <f t="shared" si="65"/>
        <v>946.04480968200892</v>
      </c>
    </row>
    <row r="668" spans="1:13" ht="15.75" customHeight="1" x14ac:dyDescent="0.25">
      <c r="A668" s="2914" t="s">
        <v>184</v>
      </c>
      <c r="B668" s="2724" t="s">
        <v>1106</v>
      </c>
      <c r="C668" s="2895">
        <v>73.444496464628273</v>
      </c>
      <c r="D668" s="2896">
        <v>244.89501926747576</v>
      </c>
      <c r="E668" s="2897">
        <v>22.088570365301734</v>
      </c>
      <c r="F668" s="2898">
        <v>20.419922930096877</v>
      </c>
      <c r="G668" s="566">
        <v>360.84800902750266</v>
      </c>
      <c r="H668" s="3251">
        <v>501.19446345181927</v>
      </c>
      <c r="I668" s="3244">
        <v>0</v>
      </c>
      <c r="J668" s="2902">
        <v>80.671300464580256</v>
      </c>
      <c r="K668" s="2898">
        <v>4.8378770963133695</v>
      </c>
      <c r="L668" s="571"/>
      <c r="M668" s="2515">
        <f t="shared" si="65"/>
        <v>947.55165004021558</v>
      </c>
    </row>
    <row r="669" spans="1:13" ht="15.75" customHeight="1" x14ac:dyDescent="0.25">
      <c r="A669" s="3252" t="s">
        <v>166</v>
      </c>
      <c r="B669" s="2785" t="s">
        <v>1149</v>
      </c>
      <c r="C669" s="2895">
        <v>46.559087468915564</v>
      </c>
      <c r="D669" s="2896">
        <v>346.22661909395612</v>
      </c>
      <c r="E669" s="2897">
        <v>0</v>
      </c>
      <c r="F669" s="2898">
        <v>0</v>
      </c>
      <c r="G669" s="566">
        <v>392.78570656287167</v>
      </c>
      <c r="H669" s="3251">
        <v>555.80333008973946</v>
      </c>
      <c r="I669" s="3244">
        <v>0</v>
      </c>
      <c r="J669" s="2902">
        <v>0</v>
      </c>
      <c r="K669" s="2898">
        <v>0</v>
      </c>
      <c r="L669" s="571"/>
      <c r="M669" s="2515">
        <f t="shared" si="65"/>
        <v>948.58903665261118</v>
      </c>
    </row>
    <row r="670" spans="1:13" ht="15.75" customHeight="1" x14ac:dyDescent="0.25">
      <c r="A670" s="3253" t="s">
        <v>547</v>
      </c>
      <c r="B670" s="2785" t="s">
        <v>1030</v>
      </c>
      <c r="C670" s="2895">
        <v>44.009075521302258</v>
      </c>
      <c r="D670" s="2579">
        <v>356.77843003085195</v>
      </c>
      <c r="E670" s="2580">
        <v>0</v>
      </c>
      <c r="F670" s="2581">
        <v>40.083552418338314</v>
      </c>
      <c r="G670" s="566">
        <v>440.87105797049253</v>
      </c>
      <c r="H670" s="3251">
        <v>463.85997767133642</v>
      </c>
      <c r="I670" s="3244">
        <v>46.385997767133645</v>
      </c>
      <c r="J670" s="2585">
        <v>0</v>
      </c>
      <c r="K670" s="2581">
        <v>0</v>
      </c>
      <c r="L670" s="571"/>
      <c r="M670" s="2515">
        <f t="shared" si="65"/>
        <v>951.11703340896258</v>
      </c>
    </row>
    <row r="671" spans="1:13" ht="15.75" customHeight="1" x14ac:dyDescent="0.25">
      <c r="A671" s="2914" t="s">
        <v>178</v>
      </c>
      <c r="B671" s="2724" t="s">
        <v>1028</v>
      </c>
      <c r="C671" s="2895">
        <v>129.72192972192974</v>
      </c>
      <c r="D671" s="2579">
        <v>336.16473616473621</v>
      </c>
      <c r="E671" s="2580">
        <v>0</v>
      </c>
      <c r="F671" s="2581">
        <v>0</v>
      </c>
      <c r="G671" s="566">
        <v>465.88666588666592</v>
      </c>
      <c r="H671" s="3251">
        <v>485.28528528528528</v>
      </c>
      <c r="I671" s="3244">
        <v>0</v>
      </c>
      <c r="J671" s="2585">
        <v>0</v>
      </c>
      <c r="K671" s="2581">
        <v>0</v>
      </c>
      <c r="L671" s="571"/>
      <c r="M671" s="2515">
        <f t="shared" si="65"/>
        <v>951.17195117195115</v>
      </c>
    </row>
    <row r="672" spans="1:13" ht="15.75" customHeight="1" x14ac:dyDescent="0.25">
      <c r="A672" s="3252" t="s">
        <v>98</v>
      </c>
      <c r="B672" s="2785" t="s">
        <v>1058</v>
      </c>
      <c r="C672" s="2895">
        <v>27.178545275566918</v>
      </c>
      <c r="D672" s="2579">
        <v>283.30992425060924</v>
      </c>
      <c r="E672" s="2580">
        <v>120.04657807229205</v>
      </c>
      <c r="F672" s="2581">
        <v>23.709199169277678</v>
      </c>
      <c r="G672" s="566">
        <v>454.24424676774589</v>
      </c>
      <c r="H672" s="3251">
        <v>384.14904983133454</v>
      </c>
      <c r="I672" s="3244">
        <v>45.509657747205907</v>
      </c>
      <c r="J672" s="2585">
        <v>72.027946843375233</v>
      </c>
      <c r="K672" s="2581">
        <v>0</v>
      </c>
      <c r="L672" s="571"/>
      <c r="M672" s="2515">
        <f t="shared" si="65"/>
        <v>955.93090118966165</v>
      </c>
    </row>
    <row r="673" spans="1:13" ht="15.75" customHeight="1" x14ac:dyDescent="0.25">
      <c r="A673" s="3252" t="s">
        <v>94</v>
      </c>
      <c r="B673" s="2785" t="s">
        <v>1056</v>
      </c>
      <c r="C673" s="2895">
        <v>96.817565215303546</v>
      </c>
      <c r="D673" s="2579">
        <v>276.10712956627168</v>
      </c>
      <c r="E673" s="2580">
        <v>0</v>
      </c>
      <c r="F673" s="2581">
        <v>89.506728610700947</v>
      </c>
      <c r="G673" s="566">
        <v>462.4314233922762</v>
      </c>
      <c r="H673" s="3251">
        <v>398.5546392000096</v>
      </c>
      <c r="I673" s="3244">
        <v>95.653113408002312</v>
      </c>
      <c r="J673" s="2585">
        <v>0</v>
      </c>
      <c r="K673" s="2581">
        <v>0</v>
      </c>
      <c r="L673" s="571"/>
      <c r="M673" s="2515">
        <f t="shared" si="65"/>
        <v>956.63917600028822</v>
      </c>
    </row>
    <row r="674" spans="1:13" ht="15.75" customHeight="1" x14ac:dyDescent="0.25">
      <c r="A674" s="3255" t="s">
        <v>168</v>
      </c>
      <c r="B674" s="2785" t="s">
        <v>1149</v>
      </c>
      <c r="C674" s="2895">
        <v>43.031679100443291</v>
      </c>
      <c r="D674" s="2896">
        <v>476.26770461671526</v>
      </c>
      <c r="E674" s="2897">
        <v>0</v>
      </c>
      <c r="F674" s="2898">
        <v>0</v>
      </c>
      <c r="G674" s="566">
        <v>519.29938371715855</v>
      </c>
      <c r="H674" s="3251">
        <v>447.87274299924314</v>
      </c>
      <c r="I674" s="3244">
        <v>0</v>
      </c>
      <c r="J674" s="2902">
        <v>0</v>
      </c>
      <c r="K674" s="2898">
        <v>0</v>
      </c>
      <c r="L674" s="571"/>
      <c r="M674" s="2515">
        <f t="shared" si="65"/>
        <v>967.17212671640164</v>
      </c>
    </row>
    <row r="675" spans="1:13" ht="15.75" customHeight="1" x14ac:dyDescent="0.25">
      <c r="A675" s="3255" t="s">
        <v>93</v>
      </c>
      <c r="B675" s="2785" t="s">
        <v>1056</v>
      </c>
      <c r="C675" s="2895">
        <v>50.347534843519284</v>
      </c>
      <c r="D675" s="2579">
        <v>295.31458205783844</v>
      </c>
      <c r="E675" s="2580">
        <v>0</v>
      </c>
      <c r="F675" s="2581">
        <v>82.964190105761034</v>
      </c>
      <c r="G675" s="566">
        <v>428.62630700711873</v>
      </c>
      <c r="H675" s="3251">
        <v>384.14904983133454</v>
      </c>
      <c r="I675" s="3244">
        <v>92.195771959520286</v>
      </c>
      <c r="J675" s="2585">
        <v>50.347534843519284</v>
      </c>
      <c r="K675" s="2581">
        <v>12.08869041187981</v>
      </c>
      <c r="L675" s="571"/>
      <c r="M675" s="2515">
        <f t="shared" si="65"/>
        <v>967.40735405337261</v>
      </c>
    </row>
    <row r="676" spans="1:13" ht="15.75" customHeight="1" x14ac:dyDescent="0.25">
      <c r="A676" s="3255" t="s">
        <v>939</v>
      </c>
      <c r="B676" s="2785" t="s">
        <v>1062</v>
      </c>
      <c r="C676" s="2895">
        <v>26.290200597831955</v>
      </c>
      <c r="D676" s="2896">
        <v>406.71780650892543</v>
      </c>
      <c r="E676" s="2897">
        <v>0</v>
      </c>
      <c r="F676" s="2898">
        <v>30.311760963253743</v>
      </c>
      <c r="G676" s="566">
        <v>463.31976807001115</v>
      </c>
      <c r="H676" s="3251">
        <v>530.60587507953085</v>
      </c>
      <c r="I676" s="3244">
        <v>0</v>
      </c>
      <c r="J676" s="2902">
        <v>0</v>
      </c>
      <c r="K676" s="2898">
        <v>0</v>
      </c>
      <c r="L676" s="571"/>
      <c r="M676" s="2515">
        <f t="shared" si="65"/>
        <v>993.925643149542</v>
      </c>
    </row>
    <row r="677" spans="1:13" ht="15.75" customHeight="1" x14ac:dyDescent="0.25">
      <c r="A677" s="3254" t="s">
        <v>67</v>
      </c>
      <c r="B677" s="2785" t="s">
        <v>1032</v>
      </c>
      <c r="C677" s="2895">
        <v>0</v>
      </c>
      <c r="D677" s="2579">
        <v>414.25673161186535</v>
      </c>
      <c r="E677" s="2580">
        <v>0</v>
      </c>
      <c r="F677" s="2581">
        <v>24.849641660964451</v>
      </c>
      <c r="G677" s="566">
        <v>439.10637327282979</v>
      </c>
      <c r="H677" s="3251">
        <v>545.92381844155523</v>
      </c>
      <c r="I677" s="3244">
        <v>32.760711155928497</v>
      </c>
      <c r="J677" s="2585">
        <v>0</v>
      </c>
      <c r="K677" s="2581">
        <v>0</v>
      </c>
      <c r="L677" s="571"/>
      <c r="M677" s="2515">
        <f t="shared" si="65"/>
        <v>1017.7909028703134</v>
      </c>
    </row>
    <row r="678" spans="1:13" ht="15.75" customHeight="1" x14ac:dyDescent="0.25">
      <c r="A678" s="3254" t="s">
        <v>69</v>
      </c>
      <c r="B678" s="2785" t="s">
        <v>1032</v>
      </c>
      <c r="C678" s="2895">
        <v>0</v>
      </c>
      <c r="D678" s="2579">
        <v>414.25673161186535</v>
      </c>
      <c r="E678" s="2580">
        <v>0</v>
      </c>
      <c r="F678" s="2581">
        <v>24.849641660964451</v>
      </c>
      <c r="G678" s="566">
        <v>439.10637327282979</v>
      </c>
      <c r="H678" s="3251">
        <v>545.92381844155523</v>
      </c>
      <c r="I678" s="3244">
        <v>32.760711155928497</v>
      </c>
      <c r="J678" s="2585">
        <v>0</v>
      </c>
      <c r="K678" s="2581">
        <v>0</v>
      </c>
      <c r="L678" s="571"/>
      <c r="M678" s="2515">
        <f t="shared" si="65"/>
        <v>1017.7909028703134</v>
      </c>
    </row>
    <row r="679" spans="1:13" ht="15.75" customHeight="1" x14ac:dyDescent="0.25">
      <c r="A679" s="3253" t="s">
        <v>70</v>
      </c>
      <c r="B679" s="2785" t="s">
        <v>1032</v>
      </c>
      <c r="C679" s="2895">
        <v>0</v>
      </c>
      <c r="D679" s="2579">
        <v>414.25673161186535</v>
      </c>
      <c r="E679" s="2580">
        <v>0</v>
      </c>
      <c r="F679" s="2581">
        <v>24.849641660964451</v>
      </c>
      <c r="G679" s="566">
        <v>439.10637327282979</v>
      </c>
      <c r="H679" s="3251">
        <v>545.92381844155523</v>
      </c>
      <c r="I679" s="3244">
        <v>32.760711155928497</v>
      </c>
      <c r="J679" s="2585">
        <v>0</v>
      </c>
      <c r="K679" s="2581">
        <v>0</v>
      </c>
      <c r="L679" s="571"/>
      <c r="M679" s="2515">
        <f t="shared" si="65"/>
        <v>1017.7909028703134</v>
      </c>
    </row>
    <row r="680" spans="1:13" ht="15.75" customHeight="1" x14ac:dyDescent="0.25">
      <c r="A680" s="3252" t="s">
        <v>95</v>
      </c>
      <c r="B680" s="2785" t="s">
        <v>1056</v>
      </c>
      <c r="C680" s="2895">
        <v>129.72233226491878</v>
      </c>
      <c r="D680" s="2579">
        <v>338.84347126685151</v>
      </c>
      <c r="E680" s="2580">
        <v>0</v>
      </c>
      <c r="F680" s="2581">
        <v>112.45963433812319</v>
      </c>
      <c r="G680" s="566">
        <v>581.02543786989349</v>
      </c>
      <c r="H680" s="3251">
        <v>360.95605094776772</v>
      </c>
      <c r="I680" s="3244">
        <v>89.218616823327437</v>
      </c>
      <c r="J680" s="2585">
        <v>0</v>
      </c>
      <c r="K680" s="2581">
        <v>0</v>
      </c>
      <c r="L680" s="571"/>
      <c r="M680" s="2515">
        <f t="shared" si="65"/>
        <v>1031.2001056409886</v>
      </c>
    </row>
    <row r="681" spans="1:13" ht="15.75" customHeight="1" x14ac:dyDescent="0.25">
      <c r="A681" s="3258" t="s">
        <v>163</v>
      </c>
      <c r="B681" s="2785" t="s">
        <v>1137</v>
      </c>
      <c r="C681" s="2895">
        <v>55.417581740933073</v>
      </c>
      <c r="D681" s="2896">
        <v>476.18070236653602</v>
      </c>
      <c r="E681" s="2897">
        <v>0</v>
      </c>
      <c r="F681" s="2898">
        <v>42.527862728597526</v>
      </c>
      <c r="G681" s="566">
        <v>574.1261468360666</v>
      </c>
      <c r="H681" s="3251">
        <v>447.2711972250159</v>
      </c>
      <c r="I681" s="3244">
        <v>11.186141499558714</v>
      </c>
      <c r="J681" s="2902">
        <v>0</v>
      </c>
      <c r="K681" s="2898">
        <v>0</v>
      </c>
      <c r="L681" s="571"/>
      <c r="M681" s="2515">
        <f t="shared" si="65"/>
        <v>1032.5834855606413</v>
      </c>
    </row>
    <row r="682" spans="1:13" ht="15.75" customHeight="1" x14ac:dyDescent="0.25">
      <c r="A682" s="3262" t="s">
        <v>68</v>
      </c>
      <c r="B682" s="2785" t="s">
        <v>1032</v>
      </c>
      <c r="C682" s="2895">
        <v>28.81117873735009</v>
      </c>
      <c r="D682" s="2579">
        <v>548.51682452791681</v>
      </c>
      <c r="E682" s="2580">
        <v>0</v>
      </c>
      <c r="F682" s="2581">
        <v>34.645442431663483</v>
      </c>
      <c r="G682" s="566">
        <v>611.97344569693041</v>
      </c>
      <c r="H682" s="3251">
        <v>397.83435973157583</v>
      </c>
      <c r="I682" s="3244">
        <v>23.865259720771661</v>
      </c>
      <c r="J682" s="2585">
        <v>0</v>
      </c>
      <c r="K682" s="2581">
        <v>0</v>
      </c>
      <c r="L682" s="571"/>
      <c r="M682" s="2515">
        <f t="shared" si="65"/>
        <v>1033.673065149278</v>
      </c>
    </row>
    <row r="683" spans="1:13" ht="15.75" customHeight="1" x14ac:dyDescent="0.25">
      <c r="A683" s="3259" t="s">
        <v>179</v>
      </c>
      <c r="B683" s="2724" t="s">
        <v>1028</v>
      </c>
      <c r="C683" s="2895">
        <v>184.32978432978433</v>
      </c>
      <c r="D683" s="2579">
        <v>267.22826722826727</v>
      </c>
      <c r="E683" s="2580">
        <v>0</v>
      </c>
      <c r="F683" s="2581">
        <v>0</v>
      </c>
      <c r="G683" s="566">
        <v>451.5580515580516</v>
      </c>
      <c r="H683" s="3251">
        <v>591.24059124059124</v>
      </c>
      <c r="I683" s="3244">
        <v>0</v>
      </c>
      <c r="J683" s="2585">
        <v>0</v>
      </c>
      <c r="K683" s="2581">
        <v>0</v>
      </c>
      <c r="L683" s="571"/>
      <c r="M683" s="2515">
        <f t="shared" si="65"/>
        <v>1042.798642798643</v>
      </c>
    </row>
    <row r="684" spans="1:13" ht="15.75" customHeight="1" x14ac:dyDescent="0.25">
      <c r="A684" s="3258" t="s">
        <v>603</v>
      </c>
      <c r="B684" s="2785" t="s">
        <v>1137</v>
      </c>
      <c r="C684" s="2895">
        <v>139.57020586605367</v>
      </c>
      <c r="D684" s="2896">
        <v>394.08058126885737</v>
      </c>
      <c r="E684" s="2897">
        <v>0</v>
      </c>
      <c r="F684" s="2898">
        <v>42.692062970792882</v>
      </c>
      <c r="G684" s="566">
        <v>576.34285010570397</v>
      </c>
      <c r="H684" s="3251">
        <v>474.38476221752427</v>
      </c>
      <c r="I684" s="3244">
        <v>11.863467498614561</v>
      </c>
      <c r="J684" s="2902">
        <v>0</v>
      </c>
      <c r="K684" s="2898">
        <v>0</v>
      </c>
      <c r="L684" s="571"/>
      <c r="M684" s="2515">
        <f t="shared" si="65"/>
        <v>1062.5910798218426</v>
      </c>
    </row>
    <row r="685" spans="1:13" ht="15.75" customHeight="1" x14ac:dyDescent="0.25">
      <c r="A685" s="3259" t="s">
        <v>176</v>
      </c>
      <c r="B685" s="2724" t="s">
        <v>1028</v>
      </c>
      <c r="C685" s="2895">
        <v>149.97854997854998</v>
      </c>
      <c r="D685" s="2579">
        <v>548.74614874614872</v>
      </c>
      <c r="E685" s="2580">
        <v>0</v>
      </c>
      <c r="F685" s="2581">
        <v>0</v>
      </c>
      <c r="G685" s="566">
        <v>698.72469872469867</v>
      </c>
      <c r="H685" s="3251">
        <v>407.1604071604072</v>
      </c>
      <c r="I685" s="3244">
        <v>0</v>
      </c>
      <c r="J685" s="2585">
        <v>0</v>
      </c>
      <c r="K685" s="2581">
        <v>0</v>
      </c>
      <c r="L685" s="571"/>
      <c r="M685" s="2515">
        <f t="shared" si="65"/>
        <v>1105.885105885106</v>
      </c>
    </row>
    <row r="686" spans="1:13" ht="15.75" customHeight="1" x14ac:dyDescent="0.25">
      <c r="A686" s="3255" t="s">
        <v>635</v>
      </c>
      <c r="B686" s="2785" t="s">
        <v>1058</v>
      </c>
      <c r="C686" s="2895">
        <v>14.837757049735297</v>
      </c>
      <c r="D686" s="2579">
        <v>388.95091295422623</v>
      </c>
      <c r="E686" s="2580">
        <v>91.23539933494196</v>
      </c>
      <c r="F686" s="2581">
        <v>27.226563906795835</v>
      </c>
      <c r="G686" s="566">
        <v>522.25063324569931</v>
      </c>
      <c r="H686" s="3251">
        <v>489.79003853495152</v>
      </c>
      <c r="I686" s="3244">
        <v>53.972941501302508</v>
      </c>
      <c r="J686" s="2585">
        <v>50.179469634218073</v>
      </c>
      <c r="K686" s="2581">
        <v>0</v>
      </c>
      <c r="L686" s="571"/>
      <c r="M686" s="2515">
        <f t="shared" si="65"/>
        <v>1116.1930829161715</v>
      </c>
    </row>
    <row r="687" spans="1:13" ht="15.75" customHeight="1" x14ac:dyDescent="0.25">
      <c r="A687" s="3254" t="s">
        <v>722</v>
      </c>
      <c r="B687" s="2785" t="s">
        <v>1040</v>
      </c>
      <c r="C687" s="2895">
        <v>190.84121215976592</v>
      </c>
      <c r="D687" s="2579">
        <v>573.31880819663002</v>
      </c>
      <c r="E687" s="2580">
        <v>0</v>
      </c>
      <c r="F687" s="2581">
        <v>0</v>
      </c>
      <c r="G687" s="566">
        <v>764.16002035639599</v>
      </c>
      <c r="H687" s="3251">
        <v>394.40517179684952</v>
      </c>
      <c r="I687" s="3244">
        <v>0</v>
      </c>
      <c r="J687" s="2585">
        <v>0</v>
      </c>
      <c r="K687" s="2581">
        <v>0</v>
      </c>
      <c r="L687" s="571"/>
      <c r="M687" s="2515">
        <f t="shared" si="65"/>
        <v>1158.5651921532456</v>
      </c>
    </row>
    <row r="688" spans="1:13" ht="15.75" customHeight="1" x14ac:dyDescent="0.25">
      <c r="A688" s="3255" t="s">
        <v>633</v>
      </c>
      <c r="B688" s="2785" t="s">
        <v>1058</v>
      </c>
      <c r="C688" s="2895">
        <v>36.458145760555098</v>
      </c>
      <c r="D688" s="2579">
        <v>362.54066577832197</v>
      </c>
      <c r="E688" s="2580">
        <v>124.84844119518372</v>
      </c>
      <c r="F688" s="2581">
        <v>28.763160106121177</v>
      </c>
      <c r="G688" s="566">
        <v>552.61041284018199</v>
      </c>
      <c r="H688" s="3251">
        <v>482.58724385061396</v>
      </c>
      <c r="I688" s="3244">
        <v>55.533547016242295</v>
      </c>
      <c r="J688" s="2585">
        <v>72.027946843375233</v>
      </c>
      <c r="K688" s="2581">
        <v>0</v>
      </c>
      <c r="L688" s="571"/>
      <c r="M688" s="2515">
        <f t="shared" si="65"/>
        <v>1162.7591505504136</v>
      </c>
    </row>
    <row r="689" spans="1:13" ht="15.75" customHeight="1" x14ac:dyDescent="0.25">
      <c r="A689" s="3254" t="s">
        <v>216</v>
      </c>
      <c r="B689" s="2785" t="s">
        <v>1032</v>
      </c>
      <c r="C689" s="2895">
        <v>0</v>
      </c>
      <c r="D689" s="2579">
        <v>518.03699835536179</v>
      </c>
      <c r="E689" s="2580">
        <v>0</v>
      </c>
      <c r="F689" s="2581">
        <v>31.080059062916412</v>
      </c>
      <c r="G689" s="566">
        <v>549.11705741827825</v>
      </c>
      <c r="H689" s="3251">
        <v>600.52100214883376</v>
      </c>
      <c r="I689" s="3244">
        <v>36.037982737302073</v>
      </c>
      <c r="J689" s="2585">
        <v>0</v>
      </c>
      <c r="K689" s="2581">
        <v>0</v>
      </c>
      <c r="L689" s="571"/>
      <c r="M689" s="2515">
        <f t="shared" si="65"/>
        <v>1185.6760423044143</v>
      </c>
    </row>
    <row r="690" spans="1:13" ht="15.75" customHeight="1" x14ac:dyDescent="0.25">
      <c r="A690" s="3254" t="s">
        <v>629</v>
      </c>
      <c r="B690" s="2785" t="s">
        <v>1032</v>
      </c>
      <c r="C690" s="2895">
        <v>62.904406909881033</v>
      </c>
      <c r="D690" s="2579">
        <v>581.86576391639949</v>
      </c>
      <c r="E690" s="2580">
        <v>6.2184127441447279</v>
      </c>
      <c r="F690" s="2581">
        <v>39.063156504723828</v>
      </c>
      <c r="G690" s="566">
        <v>690.05174007514904</v>
      </c>
      <c r="H690" s="3251">
        <v>537.80866976386835</v>
      </c>
      <c r="I690" s="3244">
        <v>32.268520185832102</v>
      </c>
      <c r="J690" s="2585">
        <v>0</v>
      </c>
      <c r="K690" s="2581">
        <v>0</v>
      </c>
      <c r="L690" s="571"/>
      <c r="M690" s="2515">
        <f t="shared" si="65"/>
        <v>1260.1289300248495</v>
      </c>
    </row>
    <row r="691" spans="1:13" ht="15.75" customHeight="1" x14ac:dyDescent="0.25">
      <c r="A691" s="3262" t="s">
        <v>72</v>
      </c>
      <c r="B691" s="2785" t="s">
        <v>1032</v>
      </c>
      <c r="C691" s="2895">
        <v>67.430162903206437</v>
      </c>
      <c r="D691" s="2579">
        <v>623.75001500582232</v>
      </c>
      <c r="E691" s="2580">
        <v>6.2184127441447279</v>
      </c>
      <c r="F691" s="2581">
        <v>41.848237116001009</v>
      </c>
      <c r="G691" s="566">
        <v>739.2468277691745</v>
      </c>
      <c r="H691" s="3251">
        <v>537.80866976386835</v>
      </c>
      <c r="I691" s="3244">
        <v>32.244510870217646</v>
      </c>
      <c r="J691" s="2585">
        <v>0</v>
      </c>
      <c r="K691" s="2581">
        <v>0</v>
      </c>
      <c r="L691" s="571"/>
      <c r="M691" s="2515">
        <f t="shared" si="65"/>
        <v>1309.3000084032606</v>
      </c>
    </row>
    <row r="692" spans="1:13" ht="15.75" customHeight="1" x14ac:dyDescent="0.25">
      <c r="A692" s="3258" t="s">
        <v>88</v>
      </c>
      <c r="B692" s="2785" t="s">
        <v>1054</v>
      </c>
      <c r="C692" s="2895">
        <v>61.898145312343843</v>
      </c>
      <c r="D692" s="2579">
        <v>268.67663699639252</v>
      </c>
      <c r="E692" s="2580">
        <v>201.4913584386193</v>
      </c>
      <c r="F692" s="2581">
        <v>133.01653518683892</v>
      </c>
      <c r="G692" s="566">
        <f>SUM(C692:F692)</f>
        <v>665.08267593419464</v>
      </c>
      <c r="H692" s="3251">
        <v>501.12190388378622</v>
      </c>
      <c r="I692" s="3244">
        <v>125.28087895366345</v>
      </c>
      <c r="J692" s="2585">
        <v>22.433241883122115</v>
      </c>
      <c r="K692" s="2581">
        <v>5.6079074880636517</v>
      </c>
      <c r="L692" s="571"/>
      <c r="M692" s="2515">
        <f t="shared" si="65"/>
        <v>1319.5266081428299</v>
      </c>
    </row>
    <row r="693" spans="1:13" ht="15.75" customHeight="1" x14ac:dyDescent="0.25">
      <c r="A693" s="3258" t="s">
        <v>171</v>
      </c>
      <c r="B693" s="2785" t="s">
        <v>1151</v>
      </c>
      <c r="C693" s="2895">
        <v>121.92</v>
      </c>
      <c r="D693" s="2896">
        <v>259.12</v>
      </c>
      <c r="E693" s="2897">
        <v>47.32</v>
      </c>
      <c r="F693" s="2898" t="s">
        <v>5</v>
      </c>
      <c r="G693" s="566">
        <v>428.36</v>
      </c>
      <c r="H693" s="3251">
        <v>588.34</v>
      </c>
      <c r="I693" s="3242" t="s">
        <v>5</v>
      </c>
      <c r="J693" s="2902">
        <v>334.2</v>
      </c>
      <c r="K693" s="2898" t="s">
        <v>5</v>
      </c>
      <c r="L693" s="571"/>
      <c r="M693" s="2515">
        <f>G693+H693+J693</f>
        <v>1350.9</v>
      </c>
    </row>
    <row r="694" spans="1:13" ht="15.75" customHeight="1" x14ac:dyDescent="0.25">
      <c r="A694" s="3258" t="s">
        <v>89</v>
      </c>
      <c r="B694" s="2785" t="s">
        <v>1054</v>
      </c>
      <c r="C694" s="2895">
        <v>106.77430066379313</v>
      </c>
      <c r="D694" s="2579">
        <v>156.48624861776929</v>
      </c>
      <c r="E694" s="2580">
        <v>201.4913584386193</v>
      </c>
      <c r="F694" s="2581">
        <v>116.18797693004542</v>
      </c>
      <c r="G694" s="566">
        <f>SUM(C694:F694)</f>
        <v>580.93988465022721</v>
      </c>
      <c r="H694" s="3251">
        <v>835.62657364750942</v>
      </c>
      <c r="I694" s="3244">
        <v>208.90624042916048</v>
      </c>
      <c r="J694" s="2585">
        <v>16.246651213622751</v>
      </c>
      <c r="K694" s="2581">
        <v>4.0620657861225649</v>
      </c>
      <c r="L694" s="571"/>
      <c r="M694" s="2515">
        <f>G694+H694+I694+J694+K694</f>
        <v>1645.7814157266423</v>
      </c>
    </row>
    <row r="695" spans="1:13" ht="15.75" customHeight="1" x14ac:dyDescent="0.25">
      <c r="A695" s="3258" t="s">
        <v>87</v>
      </c>
      <c r="B695" s="2785" t="s">
        <v>1054</v>
      </c>
      <c r="C695" s="2895">
        <v>161.19308675089545</v>
      </c>
      <c r="D695" s="2579">
        <v>164.48142572061369</v>
      </c>
      <c r="E695" s="2580">
        <v>201.4913584386193</v>
      </c>
      <c r="F695" s="2581">
        <v>131.79146772753211</v>
      </c>
      <c r="G695" s="566">
        <f>SUM(C695:F695)</f>
        <v>658.95733863766054</v>
      </c>
      <c r="H695" s="3251">
        <v>766.09432374664311</v>
      </c>
      <c r="I695" s="3244">
        <v>191.52317795394393</v>
      </c>
      <c r="J695" s="2585">
        <v>24.654482618549455</v>
      </c>
      <c r="K695" s="2581">
        <v>6.1640236373542416</v>
      </c>
      <c r="L695" s="571"/>
      <c r="M695" s="2515">
        <f>G695+H695+I695+J695+K695</f>
        <v>1647.3933465941514</v>
      </c>
    </row>
    <row r="696" spans="1:13" ht="15.75" customHeight="1" x14ac:dyDescent="0.25">
      <c r="A696" s="3258" t="s">
        <v>213</v>
      </c>
      <c r="B696" s="2785" t="s">
        <v>1054</v>
      </c>
      <c r="C696" s="2895">
        <v>88.720674947692842</v>
      </c>
      <c r="D696" s="2579">
        <v>273.06108895601687</v>
      </c>
      <c r="E696" s="2580">
        <v>201.4913584386193</v>
      </c>
      <c r="F696" s="2581">
        <v>140.81828058558224</v>
      </c>
      <c r="G696" s="566">
        <f>SUM(C696:F696)</f>
        <v>704.09140292791119</v>
      </c>
      <c r="H696" s="3251">
        <v>800.09155767327456</v>
      </c>
      <c r="I696" s="3244">
        <v>200.02288941831864</v>
      </c>
      <c r="J696" s="2585">
        <v>18.382459613072115</v>
      </c>
      <c r="K696" s="2581">
        <v>4.5956149032680287</v>
      </c>
      <c r="L696" s="571"/>
      <c r="M696" s="2515">
        <f>G696+H696+I696+J696+K696</f>
        <v>1727.1839245358447</v>
      </c>
    </row>
    <row r="697" spans="1:13" ht="15.75" customHeight="1" thickBot="1" x14ac:dyDescent="0.3">
      <c r="A697" s="3265" t="s">
        <v>90</v>
      </c>
      <c r="B697" s="3266" t="s">
        <v>1054</v>
      </c>
      <c r="C697" s="3197">
        <v>77.372681640429803</v>
      </c>
      <c r="D697" s="3198">
        <v>306.3313420614017</v>
      </c>
      <c r="E697" s="3199">
        <v>201.4913584386193</v>
      </c>
      <c r="F697" s="3200">
        <v>146.29884553511269</v>
      </c>
      <c r="G697" s="566">
        <f>SUM(C697:F697)</f>
        <v>731.49422767556348</v>
      </c>
      <c r="H697" s="3251">
        <v>1090.1230548024257</v>
      </c>
      <c r="I697" s="3244">
        <v>272.53076370060643</v>
      </c>
      <c r="J697" s="3202">
        <v>17.337928410926313</v>
      </c>
      <c r="K697" s="2581">
        <v>4.3344821027315783</v>
      </c>
      <c r="L697" s="571"/>
      <c r="M697" s="2515">
        <f>G697+H697+I697+J697+K697</f>
        <v>2115.8204566922536</v>
      </c>
    </row>
    <row r="743" spans="13:13" ht="15.75" customHeight="1" x14ac:dyDescent="0.25">
      <c r="M743" s="462"/>
    </row>
    <row r="744" spans="13:13" ht="15.75" customHeight="1" x14ac:dyDescent="0.25">
      <c r="M744" s="462"/>
    </row>
  </sheetData>
  <sortState ref="A500:M697">
    <sortCondition ref="M500:M697"/>
  </sortState>
  <mergeCells count="586">
    <mergeCell ref="AF290:AF293"/>
    <mergeCell ref="AG290:AG293"/>
    <mergeCell ref="AG283:AG289"/>
    <mergeCell ref="A290:A293"/>
    <mergeCell ref="E290:E293"/>
    <mergeCell ref="U290:U293"/>
    <mergeCell ref="V290:V293"/>
    <mergeCell ref="W290:W293"/>
    <mergeCell ref="Y290:Y293"/>
    <mergeCell ref="Z290:Z293"/>
    <mergeCell ref="AB290:AB293"/>
    <mergeCell ref="AD290:AD293"/>
    <mergeCell ref="AA283:AA289"/>
    <mergeCell ref="AB283:AB289"/>
    <mergeCell ref="AC283:AC289"/>
    <mergeCell ref="AD283:AD289"/>
    <mergeCell ref="AE283:AE289"/>
    <mergeCell ref="AF283:AF289"/>
    <mergeCell ref="AP278:AP282"/>
    <mergeCell ref="A283:A289"/>
    <mergeCell ref="E283:E289"/>
    <mergeCell ref="U283:U289"/>
    <mergeCell ref="V283:V289"/>
    <mergeCell ref="W283:W289"/>
    <mergeCell ref="X283:X289"/>
    <mergeCell ref="Y283:Y289"/>
    <mergeCell ref="Z283:Z289"/>
    <mergeCell ref="AA278:AA282"/>
    <mergeCell ref="AB278:AB282"/>
    <mergeCell ref="AC278:AC282"/>
    <mergeCell ref="AD278:AD282"/>
    <mergeCell ref="AE278:AE282"/>
    <mergeCell ref="AF278:AF282"/>
    <mergeCell ref="A278:A282"/>
    <mergeCell ref="E278:E282"/>
    <mergeCell ref="U278:U282"/>
    <mergeCell ref="V278:V282"/>
    <mergeCell ref="W278:W282"/>
    <mergeCell ref="X278:X282"/>
    <mergeCell ref="Y278:Y282"/>
    <mergeCell ref="Z278:Z282"/>
    <mergeCell ref="AG278:AG282"/>
    <mergeCell ref="AE271:AE273"/>
    <mergeCell ref="AF271:AF273"/>
    <mergeCell ref="AG271:AG273"/>
    <mergeCell ref="AA271:AA273"/>
    <mergeCell ref="AB271:AB273"/>
    <mergeCell ref="AC271:AC273"/>
    <mergeCell ref="AD271:AD273"/>
    <mergeCell ref="AF274:AF277"/>
    <mergeCell ref="AG274:AG277"/>
    <mergeCell ref="AA274:AA277"/>
    <mergeCell ref="AB274:AB277"/>
    <mergeCell ref="AC274:AC277"/>
    <mergeCell ref="AD274:AD277"/>
    <mergeCell ref="AE274:AE277"/>
    <mergeCell ref="Y274:Y277"/>
    <mergeCell ref="Y271:Y273"/>
    <mergeCell ref="Z271:Z273"/>
    <mergeCell ref="A271:A273"/>
    <mergeCell ref="E271:E273"/>
    <mergeCell ref="U271:U273"/>
    <mergeCell ref="V271:V273"/>
    <mergeCell ref="W271:W273"/>
    <mergeCell ref="X271:X273"/>
    <mergeCell ref="Z274:Z277"/>
    <mergeCell ref="U258:U262"/>
    <mergeCell ref="V258:V262"/>
    <mergeCell ref="W258:W262"/>
    <mergeCell ref="X258:X262"/>
    <mergeCell ref="A274:A277"/>
    <mergeCell ref="E274:E277"/>
    <mergeCell ref="U274:U277"/>
    <mergeCell ref="V274:V277"/>
    <mergeCell ref="W274:W277"/>
    <mergeCell ref="X274:X277"/>
    <mergeCell ref="AB263:AB267"/>
    <mergeCell ref="AC263:AC267"/>
    <mergeCell ref="AD263:AD267"/>
    <mergeCell ref="AE263:AE267"/>
    <mergeCell ref="AF263:AF267"/>
    <mergeCell ref="AG263:AG267"/>
    <mergeCell ref="AG258:AG262"/>
    <mergeCell ref="A263:A267"/>
    <mergeCell ref="E263:E267"/>
    <mergeCell ref="U263:U267"/>
    <mergeCell ref="V263:V267"/>
    <mergeCell ref="W263:W267"/>
    <mergeCell ref="X263:X267"/>
    <mergeCell ref="Y263:Y267"/>
    <mergeCell ref="Z263:Z267"/>
    <mergeCell ref="AA263:AA267"/>
    <mergeCell ref="AA258:AA262"/>
    <mergeCell ref="AB258:AB262"/>
    <mergeCell ref="AC258:AC262"/>
    <mergeCell ref="AD258:AD262"/>
    <mergeCell ref="AE258:AE262"/>
    <mergeCell ref="AF258:AF262"/>
    <mergeCell ref="A258:A262"/>
    <mergeCell ref="E258:E262"/>
    <mergeCell ref="A245:A252"/>
    <mergeCell ref="E245:E252"/>
    <mergeCell ref="U245:U252"/>
    <mergeCell ref="V245:V252"/>
    <mergeCell ref="W245:W252"/>
    <mergeCell ref="AA253:AA257"/>
    <mergeCell ref="AB253:AB257"/>
    <mergeCell ref="AC253:AC257"/>
    <mergeCell ref="AD253:AD257"/>
    <mergeCell ref="AD225:AD226"/>
    <mergeCell ref="AE225:AE226"/>
    <mergeCell ref="AF225:AF226"/>
    <mergeCell ref="A225:A226"/>
    <mergeCell ref="E225:E226"/>
    <mergeCell ref="U225:U226"/>
    <mergeCell ref="Y258:Y262"/>
    <mergeCell ref="Z258:Z262"/>
    <mergeCell ref="Z253:Z257"/>
    <mergeCell ref="AE245:AE252"/>
    <mergeCell ref="AF245:AF252"/>
    <mergeCell ref="A253:A257"/>
    <mergeCell ref="E253:E257"/>
    <mergeCell ref="U253:U257"/>
    <mergeCell ref="V253:V257"/>
    <mergeCell ref="W253:W257"/>
    <mergeCell ref="X253:X257"/>
    <mergeCell ref="Y253:Y257"/>
    <mergeCell ref="Y245:Y252"/>
    <mergeCell ref="Z245:Z252"/>
    <mergeCell ref="AA245:AA252"/>
    <mergeCell ref="AB245:AB252"/>
    <mergeCell ref="AC245:AC252"/>
    <mergeCell ref="AD245:AD252"/>
    <mergeCell ref="A227:A235"/>
    <mergeCell ref="E227:E235"/>
    <mergeCell ref="A236:A238"/>
    <mergeCell ref="E236:E238"/>
    <mergeCell ref="A240:A242"/>
    <mergeCell ref="E240:E242"/>
    <mergeCell ref="U240:U242"/>
    <mergeCell ref="V240:V242"/>
    <mergeCell ref="W240:W242"/>
    <mergeCell ref="Y240:Y242"/>
    <mergeCell ref="Z240:Z242"/>
    <mergeCell ref="AB240:AB242"/>
    <mergeCell ref="AD240:AD242"/>
    <mergeCell ref="X245:X252"/>
    <mergeCell ref="AF253:AF257"/>
    <mergeCell ref="AG253:AG257"/>
    <mergeCell ref="AF240:AF242"/>
    <mergeCell ref="AG240:AG242"/>
    <mergeCell ref="AG245:AG252"/>
    <mergeCell ref="AE253:AE257"/>
    <mergeCell ref="V225:V226"/>
    <mergeCell ref="W225:W226"/>
    <mergeCell ref="X225:X226"/>
    <mergeCell ref="Y225:Y226"/>
    <mergeCell ref="Z225:Z226"/>
    <mergeCell ref="Z184:Z224"/>
    <mergeCell ref="AE177:AE183"/>
    <mergeCell ref="AF177:AF183"/>
    <mergeCell ref="AG177:AG183"/>
    <mergeCell ref="AA177:AA183"/>
    <mergeCell ref="AB177:AB183"/>
    <mergeCell ref="AC177:AC183"/>
    <mergeCell ref="AD177:AD183"/>
    <mergeCell ref="AF184:AF224"/>
    <mergeCell ref="AG184:AG224"/>
    <mergeCell ref="AA184:AA224"/>
    <mergeCell ref="AB184:AB224"/>
    <mergeCell ref="AC184:AC224"/>
    <mergeCell ref="AD184:AD224"/>
    <mergeCell ref="AE184:AE224"/>
    <mergeCell ref="AG225:AG226"/>
    <mergeCell ref="AA225:AA226"/>
    <mergeCell ref="AB225:AB226"/>
    <mergeCell ref="AC225:AC226"/>
    <mergeCell ref="A184:A224"/>
    <mergeCell ref="E184:E224"/>
    <mergeCell ref="U184:U224"/>
    <mergeCell ref="V184:V224"/>
    <mergeCell ref="W184:W224"/>
    <mergeCell ref="X184:X224"/>
    <mergeCell ref="Y184:Y224"/>
    <mergeCell ref="Y177:Y183"/>
    <mergeCell ref="Z177:Z183"/>
    <mergeCell ref="A177:A183"/>
    <mergeCell ref="E177:E183"/>
    <mergeCell ref="U177:U183"/>
    <mergeCell ref="V177:V183"/>
    <mergeCell ref="W177:W183"/>
    <mergeCell ref="X177:X183"/>
    <mergeCell ref="AB171:AB176"/>
    <mergeCell ref="AC171:AC176"/>
    <mergeCell ref="AD171:AD176"/>
    <mergeCell ref="AE171:AE176"/>
    <mergeCell ref="AF171:AF176"/>
    <mergeCell ref="AG171:AG176"/>
    <mergeCell ref="AG168:AG170"/>
    <mergeCell ref="A171:A176"/>
    <mergeCell ref="E171:E176"/>
    <mergeCell ref="U171:U176"/>
    <mergeCell ref="V171:V176"/>
    <mergeCell ref="W171:W176"/>
    <mergeCell ref="X171:X176"/>
    <mergeCell ref="Y171:Y176"/>
    <mergeCell ref="Z171:Z176"/>
    <mergeCell ref="AA171:AA176"/>
    <mergeCell ref="AA168:AA170"/>
    <mergeCell ref="AB168:AB170"/>
    <mergeCell ref="AC168:AC170"/>
    <mergeCell ref="AD168:AD170"/>
    <mergeCell ref="AE168:AE170"/>
    <mergeCell ref="AF168:AF170"/>
    <mergeCell ref="AF162:AF166"/>
    <mergeCell ref="AG162:AG166"/>
    <mergeCell ref="A168:A170"/>
    <mergeCell ref="E168:E170"/>
    <mergeCell ref="U168:U170"/>
    <mergeCell ref="V168:V170"/>
    <mergeCell ref="W168:W170"/>
    <mergeCell ref="X168:X170"/>
    <mergeCell ref="Y168:Y170"/>
    <mergeCell ref="Z168:Z170"/>
    <mergeCell ref="A162:A166"/>
    <mergeCell ref="E162:E166"/>
    <mergeCell ref="U162:U166"/>
    <mergeCell ref="V162:V166"/>
    <mergeCell ref="W162:W166"/>
    <mergeCell ref="Y162:Y166"/>
    <mergeCell ref="Z162:Z166"/>
    <mergeCell ref="AB162:AB166"/>
    <mergeCell ref="AD162:AD166"/>
    <mergeCell ref="AF151:AF155"/>
    <mergeCell ref="AG151:AG155"/>
    <mergeCell ref="A157:A161"/>
    <mergeCell ref="E157:E161"/>
    <mergeCell ref="U157:U161"/>
    <mergeCell ref="V157:V161"/>
    <mergeCell ref="W157:W161"/>
    <mergeCell ref="X157:X161"/>
    <mergeCell ref="Y157:Y161"/>
    <mergeCell ref="Z157:Z161"/>
    <mergeCell ref="AG157:AG161"/>
    <mergeCell ref="AA157:AA161"/>
    <mergeCell ref="AB157:AB161"/>
    <mergeCell ref="AC157:AC161"/>
    <mergeCell ref="AD157:AD161"/>
    <mergeCell ref="AE157:AE161"/>
    <mergeCell ref="AF157:AF161"/>
    <mergeCell ref="A151:A155"/>
    <mergeCell ref="E151:E155"/>
    <mergeCell ref="U151:U155"/>
    <mergeCell ref="V151:V155"/>
    <mergeCell ref="W151:W155"/>
    <mergeCell ref="Y151:Y155"/>
    <mergeCell ref="Z151:Z155"/>
    <mergeCell ref="AB151:AB155"/>
    <mergeCell ref="AD151:AD155"/>
    <mergeCell ref="A145:A150"/>
    <mergeCell ref="E145:E150"/>
    <mergeCell ref="U145:U150"/>
    <mergeCell ref="V145:V150"/>
    <mergeCell ref="W145:W150"/>
    <mergeCell ref="X145:X150"/>
    <mergeCell ref="Y145:Y150"/>
    <mergeCell ref="Z145:Z150"/>
    <mergeCell ref="AG145:AG150"/>
    <mergeCell ref="AA145:AA150"/>
    <mergeCell ref="AB145:AB150"/>
    <mergeCell ref="AC145:AC150"/>
    <mergeCell ref="AD145:AD150"/>
    <mergeCell ref="AE145:AE150"/>
    <mergeCell ref="AF145:AF150"/>
    <mergeCell ref="AG126:AG133"/>
    <mergeCell ref="A135:A139"/>
    <mergeCell ref="E135:E139"/>
    <mergeCell ref="U135:U139"/>
    <mergeCell ref="V135:V139"/>
    <mergeCell ref="W135:W139"/>
    <mergeCell ref="Y135:Y139"/>
    <mergeCell ref="Z135:Z139"/>
    <mergeCell ref="AB135:AB139"/>
    <mergeCell ref="AD135:AD139"/>
    <mergeCell ref="AA126:AA133"/>
    <mergeCell ref="AB126:AB133"/>
    <mergeCell ref="AC126:AC133"/>
    <mergeCell ref="AD126:AD133"/>
    <mergeCell ref="AE126:AE133"/>
    <mergeCell ref="AF126:AF133"/>
    <mergeCell ref="AF135:AF139"/>
    <mergeCell ref="AG135:AG139"/>
    <mergeCell ref="A126:A133"/>
    <mergeCell ref="E126:E133"/>
    <mergeCell ref="U126:U133"/>
    <mergeCell ref="V126:V133"/>
    <mergeCell ref="W126:W133"/>
    <mergeCell ref="X126:X133"/>
    <mergeCell ref="Y126:Y133"/>
    <mergeCell ref="Z126:Z133"/>
    <mergeCell ref="Z121:Z125"/>
    <mergeCell ref="AD115:AD119"/>
    <mergeCell ref="AF115:AF119"/>
    <mergeCell ref="AG115:AG119"/>
    <mergeCell ref="A121:A125"/>
    <mergeCell ref="E121:E125"/>
    <mergeCell ref="U121:U125"/>
    <mergeCell ref="V121:V125"/>
    <mergeCell ref="W121:W125"/>
    <mergeCell ref="X121:X125"/>
    <mergeCell ref="Y121:Y125"/>
    <mergeCell ref="AF121:AF125"/>
    <mergeCell ref="AG121:AG125"/>
    <mergeCell ref="AA121:AA125"/>
    <mergeCell ref="AB121:AB125"/>
    <mergeCell ref="AC121:AC125"/>
    <mergeCell ref="AD121:AD125"/>
    <mergeCell ref="AE121:AE125"/>
    <mergeCell ref="A115:A119"/>
    <mergeCell ref="E115:E119"/>
    <mergeCell ref="U115:U119"/>
    <mergeCell ref="V115:V119"/>
    <mergeCell ref="W115:W119"/>
    <mergeCell ref="Y115:Y119"/>
    <mergeCell ref="Z115:Z119"/>
    <mergeCell ref="AB115:AB119"/>
    <mergeCell ref="Z109:Z113"/>
    <mergeCell ref="AA109:AA113"/>
    <mergeCell ref="AB109:AB113"/>
    <mergeCell ref="AC91:AC101"/>
    <mergeCell ref="AD91:AD101"/>
    <mergeCell ref="AE91:AE101"/>
    <mergeCell ref="AD104:AD108"/>
    <mergeCell ref="Z91:Z101"/>
    <mergeCell ref="AA91:AA101"/>
    <mergeCell ref="AB91:AB101"/>
    <mergeCell ref="AF104:AF108"/>
    <mergeCell ref="AG104:AG108"/>
    <mergeCell ref="A109:A113"/>
    <mergeCell ref="E109:E113"/>
    <mergeCell ref="U109:U113"/>
    <mergeCell ref="V109:V113"/>
    <mergeCell ref="W109:W113"/>
    <mergeCell ref="X109:X113"/>
    <mergeCell ref="Y109:Y113"/>
    <mergeCell ref="AF109:AF113"/>
    <mergeCell ref="AG109:AG113"/>
    <mergeCell ref="AC109:AC113"/>
    <mergeCell ref="AD109:AD113"/>
    <mergeCell ref="AE109:AE113"/>
    <mergeCell ref="A104:A108"/>
    <mergeCell ref="E104:E108"/>
    <mergeCell ref="U104:U108"/>
    <mergeCell ref="V104:V108"/>
    <mergeCell ref="W104:W108"/>
    <mergeCell ref="Y104:Y108"/>
    <mergeCell ref="Z104:Z108"/>
    <mergeCell ref="AB104:AB108"/>
    <mergeCell ref="AE85:AE90"/>
    <mergeCell ref="AF85:AF90"/>
    <mergeCell ref="AG85:AG90"/>
    <mergeCell ref="A91:A101"/>
    <mergeCell ref="E91:E101"/>
    <mergeCell ref="U91:U101"/>
    <mergeCell ref="V91:V101"/>
    <mergeCell ref="W91:W101"/>
    <mergeCell ref="X91:X101"/>
    <mergeCell ref="Y91:Y101"/>
    <mergeCell ref="Y85:Y90"/>
    <mergeCell ref="Z85:Z90"/>
    <mergeCell ref="AA85:AA90"/>
    <mergeCell ref="AB85:AB90"/>
    <mergeCell ref="AC85:AC90"/>
    <mergeCell ref="AD85:AD90"/>
    <mergeCell ref="A85:A90"/>
    <mergeCell ref="E85:E90"/>
    <mergeCell ref="U85:U90"/>
    <mergeCell ref="V85:V90"/>
    <mergeCell ref="W85:W90"/>
    <mergeCell ref="X85:X90"/>
    <mergeCell ref="AF91:AF101"/>
    <mergeCell ref="AG91:AG101"/>
    <mergeCell ref="AB80:AB84"/>
    <mergeCell ref="AC80:AC84"/>
    <mergeCell ref="AD80:AD84"/>
    <mergeCell ref="AE80:AE84"/>
    <mergeCell ref="AF80:AF84"/>
    <mergeCell ref="AG80:AG84"/>
    <mergeCell ref="AG75:AG79"/>
    <mergeCell ref="A80:A84"/>
    <mergeCell ref="E80:E84"/>
    <mergeCell ref="U80:U84"/>
    <mergeCell ref="V80:V84"/>
    <mergeCell ref="W80:W84"/>
    <mergeCell ref="X80:X84"/>
    <mergeCell ref="Y80:Y84"/>
    <mergeCell ref="Z80:Z84"/>
    <mergeCell ref="AA80:AA84"/>
    <mergeCell ref="AA75:AA79"/>
    <mergeCell ref="AB75:AB79"/>
    <mergeCell ref="AC75:AC79"/>
    <mergeCell ref="AD75:AD79"/>
    <mergeCell ref="AE75:AE79"/>
    <mergeCell ref="AF75:AF79"/>
    <mergeCell ref="A75:A79"/>
    <mergeCell ref="E75:E79"/>
    <mergeCell ref="U75:U79"/>
    <mergeCell ref="V75:V79"/>
    <mergeCell ref="W75:W79"/>
    <mergeCell ref="X75:X79"/>
    <mergeCell ref="Y75:Y79"/>
    <mergeCell ref="Z75:Z79"/>
    <mergeCell ref="Z71:Z74"/>
    <mergeCell ref="AE69:AE70"/>
    <mergeCell ref="AF69:AF70"/>
    <mergeCell ref="V69:V70"/>
    <mergeCell ref="W69:W70"/>
    <mergeCell ref="X69:X70"/>
    <mergeCell ref="AG69:AG70"/>
    <mergeCell ref="A71:A74"/>
    <mergeCell ref="E71:E74"/>
    <mergeCell ref="U71:U74"/>
    <mergeCell ref="V71:V74"/>
    <mergeCell ref="W71:W74"/>
    <mergeCell ref="X71:X74"/>
    <mergeCell ref="Y71:Y74"/>
    <mergeCell ref="Y69:Y70"/>
    <mergeCell ref="Z69:Z70"/>
    <mergeCell ref="AA69:AA70"/>
    <mergeCell ref="AB69:AB70"/>
    <mergeCell ref="AC69:AC70"/>
    <mergeCell ref="AD69:AD70"/>
    <mergeCell ref="AF71:AF74"/>
    <mergeCell ref="AG71:AG74"/>
    <mergeCell ref="AA71:AA74"/>
    <mergeCell ref="AB71:AB74"/>
    <mergeCell ref="AC71:AC74"/>
    <mergeCell ref="AD71:AD74"/>
    <mergeCell ref="AE71:AE74"/>
    <mergeCell ref="A69:A70"/>
    <mergeCell ref="E69:E70"/>
    <mergeCell ref="U69:U70"/>
    <mergeCell ref="X63:X67"/>
    <mergeCell ref="Y63:Y67"/>
    <mergeCell ref="Z63:Z67"/>
    <mergeCell ref="Z57:Z62"/>
    <mergeCell ref="AB57:AB62"/>
    <mergeCell ref="AD57:AD62"/>
    <mergeCell ref="AF57:AF62"/>
    <mergeCell ref="AG57:AG62"/>
    <mergeCell ref="A63:A67"/>
    <mergeCell ref="E63:E67"/>
    <mergeCell ref="U63:U67"/>
    <mergeCell ref="V63:V67"/>
    <mergeCell ref="W63:W67"/>
    <mergeCell ref="A57:A62"/>
    <mergeCell ref="E57:E62"/>
    <mergeCell ref="U57:U62"/>
    <mergeCell ref="V57:V62"/>
    <mergeCell ref="W57:W62"/>
    <mergeCell ref="Y57:Y62"/>
    <mergeCell ref="AD63:AD67"/>
    <mergeCell ref="AE63:AE67"/>
    <mergeCell ref="AF63:AF67"/>
    <mergeCell ref="AG63:AG67"/>
    <mergeCell ref="AA63:AA67"/>
    <mergeCell ref="AB63:AB67"/>
    <mergeCell ref="AC63:AC67"/>
    <mergeCell ref="AC51:AC56"/>
    <mergeCell ref="AD51:AD56"/>
    <mergeCell ref="AE51:AE56"/>
    <mergeCell ref="AF51:AF56"/>
    <mergeCell ref="AG51:AG56"/>
    <mergeCell ref="AG45:AG49"/>
    <mergeCell ref="A51:A56"/>
    <mergeCell ref="E51:E56"/>
    <mergeCell ref="U51:U56"/>
    <mergeCell ref="V51:V56"/>
    <mergeCell ref="W51:W56"/>
    <mergeCell ref="X51:X56"/>
    <mergeCell ref="Y51:Y56"/>
    <mergeCell ref="Z51:Z56"/>
    <mergeCell ref="AA51:AA56"/>
    <mergeCell ref="AA45:AA49"/>
    <mergeCell ref="AB45:AB49"/>
    <mergeCell ref="AC45:AC49"/>
    <mergeCell ref="AD45:AD49"/>
    <mergeCell ref="AE45:AE49"/>
    <mergeCell ref="AF45:AF49"/>
    <mergeCell ref="A45:A49"/>
    <mergeCell ref="E45:E49"/>
    <mergeCell ref="U45:U49"/>
    <mergeCell ref="V45:V49"/>
    <mergeCell ref="W45:W49"/>
    <mergeCell ref="X45:X49"/>
    <mergeCell ref="Y45:Y49"/>
    <mergeCell ref="Z45:Z49"/>
    <mergeCell ref="AB51:AB56"/>
    <mergeCell ref="AA29:AA36"/>
    <mergeCell ref="AB29:AB36"/>
    <mergeCell ref="V37:V39"/>
    <mergeCell ref="W37:W39"/>
    <mergeCell ref="X37:X39"/>
    <mergeCell ref="Y37:Y39"/>
    <mergeCell ref="Z37:Z39"/>
    <mergeCell ref="Z29:Z36"/>
    <mergeCell ref="AC29:AC36"/>
    <mergeCell ref="AD29:AD36"/>
    <mergeCell ref="AE29:AE36"/>
    <mergeCell ref="AG37:AG39"/>
    <mergeCell ref="A40:A44"/>
    <mergeCell ref="E40:E44"/>
    <mergeCell ref="U40:U44"/>
    <mergeCell ref="V40:V44"/>
    <mergeCell ref="W40:W44"/>
    <mergeCell ref="Y40:Y44"/>
    <mergeCell ref="Z40:Z44"/>
    <mergeCell ref="AB40:AB44"/>
    <mergeCell ref="AD40:AD44"/>
    <mergeCell ref="AA37:AA39"/>
    <mergeCell ref="AB37:AB39"/>
    <mergeCell ref="AC37:AC39"/>
    <mergeCell ref="AD37:AD39"/>
    <mergeCell ref="AE37:AE39"/>
    <mergeCell ref="AF37:AF39"/>
    <mergeCell ref="AF40:AF44"/>
    <mergeCell ref="AG40:AG44"/>
    <mergeCell ref="A37:A39"/>
    <mergeCell ref="E37:E39"/>
    <mergeCell ref="U37:U39"/>
    <mergeCell ref="AE24:AE28"/>
    <mergeCell ref="AF24:AF28"/>
    <mergeCell ref="AG24:AG28"/>
    <mergeCell ref="A29:A36"/>
    <mergeCell ref="E29:E36"/>
    <mergeCell ref="U29:U36"/>
    <mergeCell ref="V29:V36"/>
    <mergeCell ref="W29:W36"/>
    <mergeCell ref="X29:X36"/>
    <mergeCell ref="Y29:Y36"/>
    <mergeCell ref="Y24:Y28"/>
    <mergeCell ref="Z24:Z28"/>
    <mergeCell ref="AA24:AA28"/>
    <mergeCell ref="AB24:AB28"/>
    <mergeCell ref="AC24:AC28"/>
    <mergeCell ref="AD24:AD28"/>
    <mergeCell ref="A24:A28"/>
    <mergeCell ref="E24:E28"/>
    <mergeCell ref="U24:U28"/>
    <mergeCell ref="V24:V28"/>
    <mergeCell ref="W24:W28"/>
    <mergeCell ref="X24:X28"/>
    <mergeCell ref="AF29:AF36"/>
    <mergeCell ref="AG29:AG36"/>
    <mergeCell ref="AB15:AB23"/>
    <mergeCell ref="AC15:AC23"/>
    <mergeCell ref="AD15:AD23"/>
    <mergeCell ref="AE15:AE23"/>
    <mergeCell ref="AF15:AF23"/>
    <mergeCell ref="AG15:AG23"/>
    <mergeCell ref="AG7:AG13"/>
    <mergeCell ref="A15:A23"/>
    <mergeCell ref="E15:E23"/>
    <mergeCell ref="U15:U23"/>
    <mergeCell ref="V15:V23"/>
    <mergeCell ref="W15:W23"/>
    <mergeCell ref="X15:X23"/>
    <mergeCell ref="Y15:Y23"/>
    <mergeCell ref="Z15:Z23"/>
    <mergeCell ref="AA15:AA23"/>
    <mergeCell ref="AA7:AA13"/>
    <mergeCell ref="AB7:AB13"/>
    <mergeCell ref="AC7:AC13"/>
    <mergeCell ref="AD7:AD13"/>
    <mergeCell ref="AE7:AE13"/>
    <mergeCell ref="AF7:AF13"/>
    <mergeCell ref="U4:AG4"/>
    <mergeCell ref="AI4:AO4"/>
    <mergeCell ref="A7:A13"/>
    <mergeCell ref="E7:E13"/>
    <mergeCell ref="U7:U13"/>
    <mergeCell ref="V7:V13"/>
    <mergeCell ref="W7:W13"/>
    <mergeCell ref="X7:X13"/>
    <mergeCell ref="Y7:Y13"/>
    <mergeCell ref="Z7:Z13"/>
  </mergeCells>
  <pageMargins left="0.7" right="0.7" top="0.75" bottom="0.75" header="0.3" footer="0.3"/>
  <pageSetup paperSize="9" orientation="portrait" r:id="rId1"/>
  <drawing r:id="rId2"/>
  <legacyDrawing r:id="rId3"/>
  <tableParts count="1">
    <tablePart r:id="rId4"/>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AI595"/>
  <sheetViews>
    <sheetView topLeftCell="A479" zoomScale="80" zoomScaleNormal="80" workbookViewId="0">
      <selection activeCell="F29" sqref="F29"/>
    </sheetView>
  </sheetViews>
  <sheetFormatPr defaultRowHeight="15" x14ac:dyDescent="0.25"/>
  <cols>
    <col min="1" max="1" width="24.42578125" bestFit="1" customWidth="1"/>
    <col min="2" max="2" width="11.28515625" bestFit="1" customWidth="1"/>
    <col min="3" max="3" width="29.5703125" customWidth="1"/>
    <col min="4" max="5" width="25" customWidth="1"/>
    <col min="6" max="6" width="16.28515625" customWidth="1"/>
    <col min="7" max="7" width="19.140625" bestFit="1" customWidth="1"/>
    <col min="8" max="8" width="22.28515625" customWidth="1"/>
    <col min="9" max="9" width="19.7109375" customWidth="1"/>
    <col min="10" max="10" width="15.42578125" customWidth="1"/>
    <col min="11" max="12" width="15.7109375" customWidth="1"/>
    <col min="13" max="14" width="19.85546875" customWidth="1"/>
    <col min="15" max="15" width="17.28515625" customWidth="1"/>
    <col min="16" max="16" width="32.42578125" bestFit="1" customWidth="1"/>
    <col min="17" max="17" width="13.28515625" customWidth="1"/>
    <col min="18" max="18" width="20.140625" bestFit="1" customWidth="1"/>
    <col min="19" max="19" width="16.42578125" customWidth="1"/>
    <col min="20" max="20" width="22" bestFit="1" customWidth="1"/>
    <col min="21" max="21" width="23.28515625" bestFit="1" customWidth="1"/>
    <col min="22" max="22" width="14.140625" customWidth="1"/>
    <col min="23" max="23" width="19.85546875" customWidth="1"/>
    <col min="24" max="24" width="14.42578125" customWidth="1"/>
    <col min="25" max="25" width="15.28515625" customWidth="1"/>
    <col min="26" max="26" width="25.42578125" customWidth="1"/>
    <col min="27" max="27" width="3.7109375" customWidth="1"/>
    <col min="28" max="28" width="13.5703125" customWidth="1"/>
    <col min="30" max="30" width="11.140625" customWidth="1"/>
    <col min="31" max="31" width="10.7109375" customWidth="1"/>
    <col min="35" max="36" width="75.28515625" customWidth="1"/>
  </cols>
  <sheetData>
    <row r="1" spans="1:35" ht="18.75" x14ac:dyDescent="0.3">
      <c r="A1" s="1055" t="s">
        <v>1313</v>
      </c>
      <c r="B1" s="1615"/>
      <c r="C1" s="1056"/>
      <c r="D1" s="24"/>
    </row>
    <row r="2" spans="1:35" ht="16.5" thickBot="1" x14ac:dyDescent="0.3">
      <c r="A2" s="1218" t="s">
        <v>1191</v>
      </c>
      <c r="B2" s="854"/>
      <c r="C2" s="1219"/>
      <c r="D2" s="25"/>
    </row>
    <row r="4" spans="1:35" ht="23.25" x14ac:dyDescent="0.35">
      <c r="R4" s="1754" t="s">
        <v>1314</v>
      </c>
      <c r="S4" s="1754"/>
      <c r="T4" s="1754"/>
      <c r="U4" s="1754"/>
      <c r="V4" s="1754"/>
      <c r="W4" s="1754"/>
      <c r="X4" s="1754"/>
      <c r="Y4" s="1754"/>
      <c r="Z4" s="1754"/>
      <c r="AB4" s="1755" t="s">
        <v>248</v>
      </c>
      <c r="AC4" s="1755"/>
      <c r="AD4" s="1755"/>
      <c r="AE4" s="1755"/>
      <c r="AF4" s="1755"/>
      <c r="AG4" s="1755"/>
      <c r="AH4" s="1755"/>
    </row>
    <row r="5" spans="1:35" ht="64.5" customHeight="1" x14ac:dyDescent="0.3">
      <c r="D5" s="89" t="s">
        <v>215</v>
      </c>
      <c r="E5" s="90" t="s">
        <v>1315</v>
      </c>
      <c r="F5" s="111" t="s">
        <v>196</v>
      </c>
      <c r="G5" s="82" t="s">
        <v>197</v>
      </c>
      <c r="H5" s="1220" t="s">
        <v>198</v>
      </c>
      <c r="I5" s="1221" t="s">
        <v>200</v>
      </c>
      <c r="J5" s="1222" t="s">
        <v>1316</v>
      </c>
      <c r="K5" s="1223" t="s">
        <v>201</v>
      </c>
      <c r="L5" s="1223"/>
      <c r="M5" s="84" t="s">
        <v>199</v>
      </c>
      <c r="N5" s="1224" t="s">
        <v>1317</v>
      </c>
      <c r="O5" s="1225" t="s">
        <v>1318</v>
      </c>
      <c r="P5" s="85" t="s">
        <v>202</v>
      </c>
      <c r="R5" s="110" t="s">
        <v>240</v>
      </c>
      <c r="S5" s="109" t="s">
        <v>241</v>
      </c>
      <c r="T5" s="108" t="s">
        <v>242</v>
      </c>
      <c r="U5" s="107" t="s">
        <v>243</v>
      </c>
      <c r="V5" s="106" t="s">
        <v>244</v>
      </c>
      <c r="W5" s="105" t="s">
        <v>245</v>
      </c>
      <c r="X5" s="104" t="s">
        <v>246</v>
      </c>
      <c r="Y5" s="103" t="s">
        <v>1319</v>
      </c>
      <c r="Z5" s="102" t="s">
        <v>247</v>
      </c>
      <c r="AB5" s="112" t="s">
        <v>249</v>
      </c>
      <c r="AC5" s="112" t="s">
        <v>250</v>
      </c>
      <c r="AD5" s="112" t="s">
        <v>251</v>
      </c>
      <c r="AE5" s="112" t="s">
        <v>252</v>
      </c>
      <c r="AF5" s="112" t="s">
        <v>438</v>
      </c>
      <c r="AG5" s="112" t="s">
        <v>253</v>
      </c>
      <c r="AH5" s="112" t="s">
        <v>254</v>
      </c>
    </row>
    <row r="6" spans="1:35" ht="16.5" thickBot="1" x14ac:dyDescent="0.3">
      <c r="A6" s="42" t="s">
        <v>3</v>
      </c>
      <c r="B6" s="250"/>
      <c r="C6" s="250" t="s">
        <v>58</v>
      </c>
      <c r="D6" s="91" t="s">
        <v>1320</v>
      </c>
      <c r="E6" s="92" t="s">
        <v>1321</v>
      </c>
      <c r="F6" s="7" t="s">
        <v>1322</v>
      </c>
      <c r="G6" s="3" t="s">
        <v>1323</v>
      </c>
      <c r="H6" s="33" t="s">
        <v>1324</v>
      </c>
      <c r="I6" s="68" t="s">
        <v>1325</v>
      </c>
      <c r="J6" s="34" t="s">
        <v>1326</v>
      </c>
      <c r="K6" s="69" t="s">
        <v>1327</v>
      </c>
      <c r="L6" s="69" t="s">
        <v>1328</v>
      </c>
      <c r="M6" s="66" t="s">
        <v>1329</v>
      </c>
      <c r="N6" s="72" t="s">
        <v>1330</v>
      </c>
      <c r="O6" s="67" t="s">
        <v>1331</v>
      </c>
      <c r="P6" s="70" t="s">
        <v>1332</v>
      </c>
      <c r="R6" s="93" t="s">
        <v>1333</v>
      </c>
      <c r="S6" s="94" t="s">
        <v>1334</v>
      </c>
      <c r="T6" s="95" t="s">
        <v>1335</v>
      </c>
      <c r="U6" s="96" t="s">
        <v>1336</v>
      </c>
      <c r="V6" s="97" t="s">
        <v>1337</v>
      </c>
      <c r="W6" s="98" t="s">
        <v>1338</v>
      </c>
      <c r="X6" s="99" t="s">
        <v>1339</v>
      </c>
      <c r="Y6" s="100" t="s">
        <v>1340</v>
      </c>
      <c r="Z6" s="101" t="s">
        <v>1341</v>
      </c>
      <c r="AB6" s="113"/>
      <c r="AC6" s="113"/>
      <c r="AD6" s="113"/>
      <c r="AE6" s="113"/>
      <c r="AF6" s="113"/>
      <c r="AG6" s="113"/>
      <c r="AH6" s="113"/>
    </row>
    <row r="7" spans="1:35" ht="19.5" thickBot="1" x14ac:dyDescent="0.35">
      <c r="A7" s="270" t="s">
        <v>33</v>
      </c>
      <c r="B7" s="1616"/>
      <c r="C7" s="1049" t="s">
        <v>217</v>
      </c>
      <c r="D7" s="1226">
        <v>17400</v>
      </c>
      <c r="E7" s="305">
        <v>4.3089700000000004</v>
      </c>
      <c r="F7" s="310">
        <f>159.6/E7</f>
        <v>37.039013963893922</v>
      </c>
      <c r="G7" s="311">
        <v>0</v>
      </c>
      <c r="H7" s="312">
        <v>0</v>
      </c>
      <c r="I7" s="313">
        <f>Tabel6689172633[[#This Row],[Fix.ch. 2015]]+Tabel6689172633[[#This Row],[Var. ch. 2015]]+Tabel6689172633[[#This Row],[Oth. ch. DW 2015]]</f>
        <v>37.039013963893922</v>
      </c>
      <c r="J7" s="314">
        <v>0</v>
      </c>
      <c r="K7" s="315">
        <v>0</v>
      </c>
      <c r="L7" s="315"/>
      <c r="M7" s="316">
        <v>0</v>
      </c>
      <c r="N7" s="1227">
        <f>Tabel6689172633[[#This Row],[Sew. 2015]]+Tabel6689172633[[#This Row],[WW 2015]]+Tabel6689172633[[#This Row],[Other ch. 2015]]</f>
        <v>0</v>
      </c>
      <c r="O7" s="317">
        <f>35.56/E7</f>
        <v>8.252552234060575</v>
      </c>
      <c r="P7" s="318">
        <f>Tabel6689172633[[#This Row],[Total. ch. DW 2015]]+Tabel6689172633[[#This Row],[Sew. 2015]]+Tabel6689172633[[#This Row],[WW 2015]]+Tabel6689172633[[#This Row],[Other ch. 2015]]+Tabel6689172633[[#This Row],[VAT 2015]]</f>
        <v>45.291566197954495</v>
      </c>
      <c r="Q7" s="397"/>
      <c r="R7" s="1228">
        <f>Tabel6689172633[[#This Row],[Fix.ch. 2015]]</f>
        <v>37.039013963893922</v>
      </c>
      <c r="S7" s="1229">
        <v>0</v>
      </c>
      <c r="T7" s="1230">
        <v>0</v>
      </c>
      <c r="U7" s="1231">
        <f>Tabel6689172633[[#This Row],[Total. ch. DW 2015]]</f>
        <v>37.039013963893922</v>
      </c>
      <c r="V7" s="1232">
        <v>0</v>
      </c>
      <c r="W7" s="1233">
        <v>0</v>
      </c>
      <c r="X7" s="1234">
        <v>0</v>
      </c>
      <c r="Y7" s="1235">
        <f>Tabel6689172633[[#This Row],[VAT 2015]]</f>
        <v>8.252552234060575</v>
      </c>
      <c r="Z7" s="1236">
        <f>Tabel6689172633[[#This Row],[total charge 2015]]</f>
        <v>45.291566197954495</v>
      </c>
      <c r="AA7" s="397"/>
      <c r="AB7" s="396" t="s">
        <v>429</v>
      </c>
      <c r="AC7" s="396" t="s">
        <v>429</v>
      </c>
      <c r="AD7" s="396"/>
      <c r="AE7" s="396"/>
      <c r="AF7" s="396" t="s">
        <v>429</v>
      </c>
      <c r="AG7" s="396"/>
      <c r="AH7" s="396"/>
      <c r="AI7" s="397"/>
    </row>
    <row r="8" spans="1:35" ht="15.6" customHeight="1" x14ac:dyDescent="0.25">
      <c r="A8" s="2150" t="s">
        <v>524</v>
      </c>
      <c r="B8" s="1617"/>
      <c r="C8" s="1237" t="s">
        <v>526</v>
      </c>
      <c r="D8" s="2210">
        <v>5400</v>
      </c>
      <c r="E8" s="305">
        <v>385.82</v>
      </c>
      <c r="F8" s="310">
        <f>0</f>
        <v>0</v>
      </c>
      <c r="G8" s="311">
        <f>25746/E8</f>
        <v>66.730599761546841</v>
      </c>
      <c r="H8" s="312">
        <f>0</f>
        <v>0</v>
      </c>
      <c r="I8" s="313">
        <f>Tabel6689172633[[#This Row],[Fix.ch. 2015]]+Tabel6689172633[[#This Row],[Var. ch. 2015]]+Tabel6689172633[[#This Row],[Oth. ch. DW 2015]]</f>
        <v>66.730599761546841</v>
      </c>
      <c r="J8" s="314">
        <f>3500/E8</f>
        <v>9.0715877870509569</v>
      </c>
      <c r="K8" s="315">
        <f>1940/E8</f>
        <v>5.0282515162511014</v>
      </c>
      <c r="L8" s="315"/>
      <c r="M8" s="316">
        <v>0</v>
      </c>
      <c r="N8" s="1227">
        <f>Tabel6689172633[[#This Row],[Sew. 2015]]+Tabel6689172633[[#This Row],[WW 2015]]+Tabel6689172633[[#This Row],[Other ch. 2015]]</f>
        <v>14.099839303302058</v>
      </c>
      <c r="O8" s="317">
        <f>6237/E8</f>
        <v>16.165569436524805</v>
      </c>
      <c r="P8" s="318">
        <f>Tabel6689172633[[#This Row],[Total. ch. DW 2015]]+Tabel6689172633[[#This Row],[Sew. 2015]]+Tabel6689172633[[#This Row],[WW 2015]]+Tabel6689172633[[#This Row],[Other ch. 2015]]+Tabel6689172633[[#This Row],[VAT 2015]]</f>
        <v>96.996008501373709</v>
      </c>
      <c r="Q8" s="397"/>
      <c r="R8" s="2211">
        <f t="shared" ref="R8:W8" si="0">MEDIAN(F8:F11)</f>
        <v>0</v>
      </c>
      <c r="S8" s="2212">
        <f t="shared" si="0"/>
        <v>54.191073557617543</v>
      </c>
      <c r="T8" s="2213">
        <f t="shared" si="0"/>
        <v>0</v>
      </c>
      <c r="U8" s="2214">
        <f t="shared" si="0"/>
        <v>54.191073557617543</v>
      </c>
      <c r="V8" s="2215">
        <f t="shared" si="0"/>
        <v>9.2206210149810808</v>
      </c>
      <c r="W8" s="2216">
        <f t="shared" si="0"/>
        <v>0</v>
      </c>
      <c r="X8" s="2217">
        <f>MEDIAN(M8:M11)</f>
        <v>0</v>
      </c>
      <c r="Y8" s="2218">
        <f t="shared" ref="Y8:Z8" si="1">MEDIAN(O8:O11)</f>
        <v>12.986625887719661</v>
      </c>
      <c r="Z8" s="2219">
        <f t="shared" si="1"/>
        <v>77.919755326317983</v>
      </c>
      <c r="AA8" s="397"/>
      <c r="AB8" s="398"/>
      <c r="AC8" s="396" t="s">
        <v>429</v>
      </c>
      <c r="AD8" s="398"/>
      <c r="AE8" s="398"/>
      <c r="AF8" s="398"/>
      <c r="AG8" s="398"/>
      <c r="AH8" s="398"/>
      <c r="AI8" s="397"/>
    </row>
    <row r="9" spans="1:35" ht="15.6" customHeight="1" x14ac:dyDescent="0.25">
      <c r="A9" s="2151"/>
      <c r="B9" s="1617"/>
      <c r="C9" s="1237" t="s">
        <v>1342</v>
      </c>
      <c r="D9" s="1837"/>
      <c r="E9" s="305">
        <v>385.82</v>
      </c>
      <c r="F9" s="310">
        <f>0</f>
        <v>0</v>
      </c>
      <c r="G9" s="311">
        <f>20320/E9</f>
        <v>52.667046809392986</v>
      </c>
      <c r="H9" s="312">
        <f>0</f>
        <v>0</v>
      </c>
      <c r="I9" s="313">
        <f>Tabel6689172633[[#This Row],[Fix.ch. 2015]]+Tabel6689172633[[#This Row],[Var. ch. 2015]]+Tabel6689172633[[#This Row],[Oth. ch. DW 2015]]</f>
        <v>52.667046809392986</v>
      </c>
      <c r="J9" s="314">
        <f>3598/E9</f>
        <v>9.3255922450883837</v>
      </c>
      <c r="K9" s="315">
        <v>0</v>
      </c>
      <c r="L9" s="315"/>
      <c r="M9" s="316">
        <v>0</v>
      </c>
      <c r="N9" s="1227">
        <f>Tabel6689172633[[#This Row],[Sew. 2015]]+Tabel6689172633[[#This Row],[WW 2015]]+Tabel6689172633[[#This Row],[Other ch. 2015]]</f>
        <v>9.3255922450883837</v>
      </c>
      <c r="O9" s="317">
        <f>4784/E9</f>
        <v>12.399564563786221</v>
      </c>
      <c r="P9" s="318">
        <f>Tabel6689172633[[#This Row],[Total. ch. DW 2015]]+Tabel6689172633[[#This Row],[Sew. 2015]]+Tabel6689172633[[#This Row],[WW 2015]]+Tabel6689172633[[#This Row],[Other ch. 2015]]+Tabel6689172633[[#This Row],[VAT 2015]]</f>
        <v>74.392203618267587</v>
      </c>
      <c r="Q9" s="397"/>
      <c r="R9" s="1840"/>
      <c r="S9" s="1843"/>
      <c r="T9" s="1846"/>
      <c r="U9" s="1849"/>
      <c r="V9" s="1852"/>
      <c r="W9" s="1855"/>
      <c r="X9" s="1858"/>
      <c r="Y9" s="1873"/>
      <c r="Z9" s="1876"/>
      <c r="AA9" s="397"/>
      <c r="AB9" s="398"/>
      <c r="AC9" s="396" t="s">
        <v>429</v>
      </c>
      <c r="AD9" s="398"/>
      <c r="AE9" s="398"/>
      <c r="AF9" s="398"/>
      <c r="AG9" s="398"/>
      <c r="AH9" s="398"/>
      <c r="AI9" s="397"/>
    </row>
    <row r="10" spans="1:35" ht="15.6" customHeight="1" x14ac:dyDescent="0.25">
      <c r="A10" s="2151"/>
      <c r="B10" s="1617"/>
      <c r="C10" s="1237" t="s">
        <v>1343</v>
      </c>
      <c r="D10" s="1837"/>
      <c r="E10" s="305">
        <v>385.82</v>
      </c>
      <c r="F10" s="310">
        <f>0</f>
        <v>0</v>
      </c>
      <c r="G10" s="311">
        <f>20363/E10</f>
        <v>52.778497745062467</v>
      </c>
      <c r="H10" s="312">
        <f>0</f>
        <v>0</v>
      </c>
      <c r="I10" s="313">
        <f>Tabel6689172633[[#This Row],[Fix.ch. 2015]]+Tabel6689172633[[#This Row],[Var. ch. 2015]]+Tabel6689172633[[#This Row],[Oth. ch. DW 2015]]</f>
        <v>52.778497745062467</v>
      </c>
      <c r="J10" s="314">
        <f>4772/E10</f>
        <v>12.368461977087762</v>
      </c>
      <c r="K10" s="315">
        <v>0</v>
      </c>
      <c r="L10" s="315"/>
      <c r="M10" s="316">
        <v>0</v>
      </c>
      <c r="N10" s="1227">
        <f>Tabel6689172633[[#This Row],[Sew. 2015]]+Tabel6689172633[[#This Row],[WW 2015]]+Tabel6689172633[[#This Row],[Other ch. 2015]]</f>
        <v>12.368461977087762</v>
      </c>
      <c r="O10" s="317">
        <f>5027/E10</f>
        <v>13.029391944430046</v>
      </c>
      <c r="P10" s="318">
        <f>Tabel6689172633[[#This Row],[Total. ch. DW 2015]]+Tabel6689172633[[#This Row],[Sew. 2015]]+Tabel6689172633[[#This Row],[WW 2015]]+Tabel6689172633[[#This Row],[Other ch. 2015]]+Tabel6689172633[[#This Row],[VAT 2015]]</f>
        <v>78.176351666580274</v>
      </c>
      <c r="Q10" s="397"/>
      <c r="R10" s="1840"/>
      <c r="S10" s="1843"/>
      <c r="T10" s="1846"/>
      <c r="U10" s="1849"/>
      <c r="V10" s="1852"/>
      <c r="W10" s="1855"/>
      <c r="X10" s="1858"/>
      <c r="Y10" s="1873"/>
      <c r="Z10" s="1876"/>
      <c r="AA10" s="397"/>
      <c r="AB10" s="398"/>
      <c r="AC10" s="396" t="s">
        <v>429</v>
      </c>
      <c r="AD10" s="398"/>
      <c r="AE10" s="398"/>
      <c r="AF10" s="398"/>
      <c r="AG10" s="398"/>
      <c r="AH10" s="398"/>
      <c r="AI10" s="397"/>
    </row>
    <row r="11" spans="1:35" ht="16.149999999999999" customHeight="1" thickBot="1" x14ac:dyDescent="0.3">
      <c r="A11" s="2152"/>
      <c r="B11" s="1617"/>
      <c r="C11" s="1237" t="s">
        <v>1344</v>
      </c>
      <c r="D11" s="2008"/>
      <c r="E11" s="305">
        <v>385.82</v>
      </c>
      <c r="F11" s="310">
        <f>0</f>
        <v>0</v>
      </c>
      <c r="G11" s="311">
        <f>21453/E11</f>
        <v>55.603649370172619</v>
      </c>
      <c r="H11" s="312">
        <f>0</f>
        <v>0</v>
      </c>
      <c r="I11" s="313">
        <f>Tabel6689172633[[#This Row],[Fix.ch. 2015]]+Tabel6689172633[[#This Row],[Var. ch. 2015]]+Tabel6689172633[[#This Row],[Oth. ch. DW 2015]]</f>
        <v>55.603649370172619</v>
      </c>
      <c r="J11" s="314">
        <f>3517/E11</f>
        <v>9.1156497848737761</v>
      </c>
      <c r="K11" s="315">
        <v>0</v>
      </c>
      <c r="L11" s="315"/>
      <c r="M11" s="316">
        <v>0</v>
      </c>
      <c r="N11" s="1227">
        <f>Tabel6689172633[[#This Row],[Sew. 2015]]+Tabel6689172633[[#This Row],[WW 2015]]+Tabel6689172633[[#This Row],[Other ch. 2015]]</f>
        <v>9.1156497848737761</v>
      </c>
      <c r="O11" s="317">
        <f>4994/E11</f>
        <v>12.943859831009279</v>
      </c>
      <c r="P11" s="318">
        <f>Tabel6689172633[[#This Row],[Total. ch. DW 2015]]+Tabel6689172633[[#This Row],[Sew. 2015]]+Tabel6689172633[[#This Row],[WW 2015]]+Tabel6689172633[[#This Row],[Other ch. 2015]]+Tabel6689172633[[#This Row],[VAT 2015]]</f>
        <v>77.663158986055677</v>
      </c>
      <c r="Q11" s="397"/>
      <c r="R11" s="2088"/>
      <c r="S11" s="2013"/>
      <c r="T11" s="2015"/>
      <c r="U11" s="2017"/>
      <c r="V11" s="2019"/>
      <c r="W11" s="2021"/>
      <c r="X11" s="2030"/>
      <c r="Y11" s="1993"/>
      <c r="Z11" s="1995"/>
      <c r="AA11" s="397"/>
      <c r="AB11" s="398"/>
      <c r="AC11" s="396" t="s">
        <v>429</v>
      </c>
      <c r="AD11" s="398"/>
      <c r="AE11" s="398"/>
      <c r="AF11" s="398"/>
      <c r="AG11" s="398"/>
      <c r="AH11" s="398"/>
      <c r="AI11" s="397"/>
    </row>
    <row r="12" spans="1:35" ht="15.75" x14ac:dyDescent="0.25">
      <c r="A12" s="1795" t="s">
        <v>34</v>
      </c>
      <c r="B12" s="1618"/>
      <c r="C12" s="809" t="s">
        <v>176</v>
      </c>
      <c r="D12" s="1759">
        <v>65400</v>
      </c>
      <c r="E12" s="616">
        <f>'[1]exchange rates'!$M$5</f>
        <v>1.36829</v>
      </c>
      <c r="F12" s="625"/>
      <c r="G12" s="593"/>
      <c r="H12" s="594"/>
      <c r="I12" s="313"/>
      <c r="J12" s="596"/>
      <c r="K12" s="626"/>
      <c r="L12" s="626"/>
      <c r="M12" s="597"/>
      <c r="N12" s="1238">
        <f>Tabel6689172633[[#This Row],[Sew. 2015]]+Tabel6689172633[[#This Row],[WW 2015]]+Tabel6689172633[[#This Row],[Other ch. 2015]]</f>
        <v>0</v>
      </c>
      <c r="O12" s="570"/>
      <c r="P12" s="571"/>
      <c r="Q12" s="397"/>
      <c r="R12" s="1762">
        <f t="shared" ref="R12:W12" si="2">SUM(F12:F20)/5</f>
        <v>118.54212191859912</v>
      </c>
      <c r="S12" s="1765">
        <f t="shared" si="2"/>
        <v>349.34114844075452</v>
      </c>
      <c r="T12" s="1768">
        <f t="shared" si="2"/>
        <v>0</v>
      </c>
      <c r="U12" s="1774">
        <f t="shared" si="2"/>
        <v>467.88327035935362</v>
      </c>
      <c r="V12" s="1777">
        <f t="shared" si="2"/>
        <v>0</v>
      </c>
      <c r="W12" s="1810">
        <f t="shared" si="2"/>
        <v>445.81192583443573</v>
      </c>
      <c r="X12" s="1812">
        <f>SUM(M12:M20)/5</f>
        <v>0</v>
      </c>
      <c r="Y12" s="1814">
        <f t="shared" ref="Y12:Z12" si="3">SUM(O12:O20)/5</f>
        <v>0</v>
      </c>
      <c r="Z12" s="1793">
        <f t="shared" si="3"/>
        <v>913.69519619378934</v>
      </c>
      <c r="AA12" s="397"/>
      <c r="AB12" s="398"/>
      <c r="AC12" s="398"/>
      <c r="AD12" s="398"/>
      <c r="AE12" s="396"/>
      <c r="AF12" s="396"/>
      <c r="AG12" s="396"/>
      <c r="AH12" s="398"/>
      <c r="AI12" s="397"/>
    </row>
    <row r="13" spans="1:35" ht="15.75" x14ac:dyDescent="0.25">
      <c r="A13" s="1796"/>
      <c r="B13" s="1618"/>
      <c r="C13" s="261" t="s">
        <v>177</v>
      </c>
      <c r="D13" s="1760"/>
      <c r="E13" s="616">
        <f>'[1]exchange rates'!$M$5</f>
        <v>1.36829</v>
      </c>
      <c r="F13" s="625"/>
      <c r="G13" s="593"/>
      <c r="H13" s="594"/>
      <c r="I13" s="313"/>
      <c r="J13" s="596"/>
      <c r="K13" s="626"/>
      <c r="L13" s="626"/>
      <c r="M13" s="597"/>
      <c r="N13" s="1238">
        <f>Tabel6689172633[[#This Row],[Sew. 2015]]+Tabel6689172633[[#This Row],[WW 2015]]+Tabel6689172633[[#This Row],[Other ch. 2015]]</f>
        <v>0</v>
      </c>
      <c r="O13" s="570"/>
      <c r="P13" s="571"/>
      <c r="Q13" s="397"/>
      <c r="R13" s="1763"/>
      <c r="S13" s="1766"/>
      <c r="T13" s="1769"/>
      <c r="U13" s="1775"/>
      <c r="V13" s="1778"/>
      <c r="W13" s="1781"/>
      <c r="X13" s="1785"/>
      <c r="Y13" s="1788"/>
      <c r="Z13" s="1791"/>
      <c r="AA13" s="397"/>
      <c r="AB13" s="398"/>
      <c r="AC13" s="398"/>
      <c r="AD13" s="398"/>
      <c r="AE13" s="396"/>
      <c r="AF13" s="396"/>
      <c r="AG13" s="396"/>
      <c r="AH13" s="398"/>
      <c r="AI13" s="397"/>
    </row>
    <row r="14" spans="1:35" ht="15.75" x14ac:dyDescent="0.25">
      <c r="A14" s="1796"/>
      <c r="B14" s="1618"/>
      <c r="C14" s="631" t="s">
        <v>178</v>
      </c>
      <c r="D14" s="1760"/>
      <c r="E14" s="616">
        <f>'[1]exchange rates'!$M$5</f>
        <v>1.36829</v>
      </c>
      <c r="F14" s="625">
        <f>156/E14</f>
        <v>114.01091873798683</v>
      </c>
      <c r="G14" s="593">
        <f>435/E14</f>
        <v>317.91506186554022</v>
      </c>
      <c r="H14" s="594">
        <v>0</v>
      </c>
      <c r="I14" s="566">
        <f>Tabel6689172633[[#This Row],[Fix.ch. 2015]]+Tabel6689172633[[#This Row],[Var. ch. 2015]]+Tabel6689172633[[#This Row],[Oth. ch. DW 2015]]</f>
        <v>431.92598060352702</v>
      </c>
      <c r="J14" s="596">
        <v>0</v>
      </c>
      <c r="K14" s="626">
        <f>603/E14</f>
        <v>440.69605127567985</v>
      </c>
      <c r="L14" s="626"/>
      <c r="M14" s="597">
        <v>0</v>
      </c>
      <c r="N14" s="1238">
        <f>Tabel6689172633[[#This Row],[Sew. 2015]]+Tabel6689172633[[#This Row],[WW 2015]]+Tabel6689172633[[#This Row],[Other ch. 2015]]</f>
        <v>440.69605127567985</v>
      </c>
      <c r="O14" s="570">
        <v>0</v>
      </c>
      <c r="P14" s="571">
        <f>Tabel6689172633[[#This Row],[Total. ch. DW 2015]]+Tabel6689172633[[#This Row],[Sew. 2015]]+Tabel6689172633[[#This Row],[WW 2015]]+Tabel6689172633[[#This Row],[Other ch. 2015]]+Tabel6689172633[[#This Row],[VAT 2015]]</f>
        <v>872.62203187920682</v>
      </c>
      <c r="Q14" s="397"/>
      <c r="R14" s="1763"/>
      <c r="S14" s="1766"/>
      <c r="T14" s="1769"/>
      <c r="U14" s="1775"/>
      <c r="V14" s="1778"/>
      <c r="W14" s="1781"/>
      <c r="X14" s="1785"/>
      <c r="Y14" s="1788"/>
      <c r="Z14" s="1791"/>
      <c r="AA14" s="397"/>
      <c r="AB14" s="398"/>
      <c r="AC14" s="398"/>
      <c r="AD14" s="398"/>
      <c r="AE14" s="591" t="s">
        <v>429</v>
      </c>
      <c r="AF14" s="591" t="s">
        <v>429</v>
      </c>
      <c r="AG14" s="591" t="s">
        <v>429</v>
      </c>
      <c r="AH14" s="398"/>
      <c r="AI14" s="397"/>
    </row>
    <row r="15" spans="1:35" ht="15.75" x14ac:dyDescent="0.25">
      <c r="A15" s="1796"/>
      <c r="B15" s="1618"/>
      <c r="C15" s="631" t="s">
        <v>179</v>
      </c>
      <c r="D15" s="1760"/>
      <c r="E15" s="616">
        <f>'[1]exchange rates'!$M$5</f>
        <v>1.36829</v>
      </c>
      <c r="F15" s="625">
        <f>216/E15</f>
        <v>157.86127209875099</v>
      </c>
      <c r="G15" s="593">
        <f>315/E15</f>
        <v>230.21435514401188</v>
      </c>
      <c r="H15" s="594">
        <v>0</v>
      </c>
      <c r="I15" s="566">
        <f>Tabel6689172633[[#This Row],[Fix.ch. 2015]]+Tabel6689172633[[#This Row],[Var. ch. 2015]]+Tabel6689172633[[#This Row],[Oth. ch. DW 2015]]</f>
        <v>388.07562724276283</v>
      </c>
      <c r="J15" s="596">
        <v>0</v>
      </c>
      <c r="K15" s="626">
        <f>720/E15</f>
        <v>526.20424032917003</v>
      </c>
      <c r="L15" s="626"/>
      <c r="M15" s="597">
        <v>0</v>
      </c>
      <c r="N15" s="1238">
        <f>Tabel6689172633[[#This Row],[Sew. 2015]]+Tabel6689172633[[#This Row],[WW 2015]]+Tabel6689172633[[#This Row],[Other ch. 2015]]</f>
        <v>526.20424032917003</v>
      </c>
      <c r="O15" s="570">
        <v>0</v>
      </c>
      <c r="P15" s="571">
        <f>Tabel6689172633[[#This Row],[Total. ch. DW 2015]]+Tabel6689172633[[#This Row],[Sew. 2015]]+Tabel6689172633[[#This Row],[WW 2015]]+Tabel6689172633[[#This Row],[Other ch. 2015]]+Tabel6689172633[[#This Row],[VAT 2015]]</f>
        <v>914.27986757193287</v>
      </c>
      <c r="Q15" s="397"/>
      <c r="R15" s="1763"/>
      <c r="S15" s="1766"/>
      <c r="T15" s="1769"/>
      <c r="U15" s="1775"/>
      <c r="V15" s="1778"/>
      <c r="W15" s="1781"/>
      <c r="X15" s="1785"/>
      <c r="Y15" s="1788"/>
      <c r="Z15" s="1791"/>
      <c r="AA15" s="397"/>
      <c r="AB15" s="398"/>
      <c r="AC15" s="398"/>
      <c r="AD15" s="398"/>
      <c r="AE15" s="591" t="s">
        <v>429</v>
      </c>
      <c r="AF15" s="591" t="s">
        <v>429</v>
      </c>
      <c r="AG15" s="591" t="s">
        <v>429</v>
      </c>
      <c r="AH15" s="398"/>
      <c r="AI15" s="397"/>
    </row>
    <row r="16" spans="1:35" ht="15.75" x14ac:dyDescent="0.25">
      <c r="A16" s="1796"/>
      <c r="B16" s="1618"/>
      <c r="C16" s="631" t="s">
        <v>180</v>
      </c>
      <c r="D16" s="1760"/>
      <c r="E16" s="616">
        <f>'[1]exchange rates'!$M$5</f>
        <v>1.36829</v>
      </c>
      <c r="F16" s="625">
        <f>114/E16</f>
        <v>83.315671385451921</v>
      </c>
      <c r="G16" s="593">
        <f>446/E16</f>
        <v>325.95429331501362</v>
      </c>
      <c r="H16" s="594">
        <v>0</v>
      </c>
      <c r="I16" s="566">
        <f>Tabel6689172633[[#This Row],[Fix.ch. 2015]]+Tabel6689172633[[#This Row],[Var. ch. 2015]]+Tabel6689172633[[#This Row],[Oth. ch. DW 2015]]</f>
        <v>409.26996470046555</v>
      </c>
      <c r="J16" s="596">
        <v>0</v>
      </c>
      <c r="K16" s="626">
        <f>592/E16</f>
        <v>432.65681982620646</v>
      </c>
      <c r="L16" s="626"/>
      <c r="M16" s="597">
        <v>0</v>
      </c>
      <c r="N16" s="1238">
        <f>Tabel6689172633[[#This Row],[Sew. 2015]]+Tabel6689172633[[#This Row],[WW 2015]]+Tabel6689172633[[#This Row],[Other ch. 2015]]</f>
        <v>432.65681982620646</v>
      </c>
      <c r="O16" s="570">
        <v>0</v>
      </c>
      <c r="P16" s="571">
        <f>Tabel6689172633[[#This Row],[Total. ch. DW 2015]]+Tabel6689172633[[#This Row],[Sew. 2015]]+Tabel6689172633[[#This Row],[WW 2015]]+Tabel6689172633[[#This Row],[Other ch. 2015]]+Tabel6689172633[[#This Row],[VAT 2015]]</f>
        <v>841.92678452667201</v>
      </c>
      <c r="Q16" s="397"/>
      <c r="R16" s="1763"/>
      <c r="S16" s="1766"/>
      <c r="T16" s="1769"/>
      <c r="U16" s="1775"/>
      <c r="V16" s="1778"/>
      <c r="W16" s="1781"/>
      <c r="X16" s="1785"/>
      <c r="Y16" s="1788"/>
      <c r="Z16" s="1791"/>
      <c r="AA16" s="397"/>
      <c r="AB16" s="398"/>
      <c r="AC16" s="396"/>
      <c r="AD16" s="396"/>
      <c r="AE16" s="591" t="s">
        <v>429</v>
      </c>
      <c r="AF16" s="591" t="s">
        <v>429</v>
      </c>
      <c r="AG16" s="591" t="s">
        <v>429</v>
      </c>
      <c r="AH16" s="398"/>
      <c r="AI16" s="397"/>
    </row>
    <row r="17" spans="1:35" ht="15.75" x14ac:dyDescent="0.25">
      <c r="A17" s="1796"/>
      <c r="B17" s="1618"/>
      <c r="C17" s="631" t="s">
        <v>544</v>
      </c>
      <c r="D17" s="1760"/>
      <c r="E17" s="616">
        <f>'[1]exchange rates'!$M$5</f>
        <v>1.36829</v>
      </c>
      <c r="F17" s="625">
        <f>103/E17</f>
        <v>75.276439935978487</v>
      </c>
      <c r="G17" s="593">
        <f>528/E17</f>
        <v>385.88310957472464</v>
      </c>
      <c r="H17" s="594">
        <v>0</v>
      </c>
      <c r="I17" s="566">
        <f>Tabel6689172633[[#This Row],[Fix.ch. 2015]]+Tabel6689172633[[#This Row],[Var. ch. 2015]]+Tabel6689172633[[#This Row],[Oth. ch. DW 2015]]</f>
        <v>461.15954951070313</v>
      </c>
      <c r="J17" s="596">
        <v>0</v>
      </c>
      <c r="K17" s="626">
        <f>505/E17</f>
        <v>369.07380745309837</v>
      </c>
      <c r="L17" s="626"/>
      <c r="M17" s="597">
        <v>0</v>
      </c>
      <c r="N17" s="1238">
        <f>Tabel6689172633[[#This Row],[Sew. 2015]]+Tabel6689172633[[#This Row],[WW 2015]]+Tabel6689172633[[#This Row],[Other ch. 2015]]</f>
        <v>369.07380745309837</v>
      </c>
      <c r="O17" s="570">
        <v>0</v>
      </c>
      <c r="P17" s="571">
        <f>Tabel6689172633[[#This Row],[Total. ch. DW 2015]]+Tabel6689172633[[#This Row],[Sew. 2015]]+Tabel6689172633[[#This Row],[WW 2015]]+Tabel6689172633[[#This Row],[Other ch. 2015]]+Tabel6689172633[[#This Row],[VAT 2015]]</f>
        <v>830.2333569638015</v>
      </c>
      <c r="Q17" s="397"/>
      <c r="R17" s="1763"/>
      <c r="S17" s="1766"/>
      <c r="T17" s="1769"/>
      <c r="U17" s="1775"/>
      <c r="V17" s="1778"/>
      <c r="W17" s="1781"/>
      <c r="X17" s="1785"/>
      <c r="Y17" s="1788"/>
      <c r="Z17" s="1791"/>
      <c r="AA17" s="397"/>
      <c r="AB17" s="396"/>
      <c r="AC17" s="396"/>
      <c r="AD17" s="396"/>
      <c r="AE17" s="591" t="s">
        <v>429</v>
      </c>
      <c r="AF17" s="591" t="s">
        <v>429</v>
      </c>
      <c r="AG17" s="591" t="s">
        <v>429</v>
      </c>
      <c r="AH17" s="396"/>
      <c r="AI17" s="399"/>
    </row>
    <row r="18" spans="1:35" ht="15.75" x14ac:dyDescent="0.25">
      <c r="A18" s="1796"/>
      <c r="B18" s="1618"/>
      <c r="C18" s="261" t="s">
        <v>545</v>
      </c>
      <c r="D18" s="1760"/>
      <c r="E18" s="616">
        <f>'[1]exchange rates'!$M$5</f>
        <v>1.36829</v>
      </c>
      <c r="F18" s="625"/>
      <c r="G18" s="593"/>
      <c r="H18" s="594"/>
      <c r="I18" s="566"/>
      <c r="J18" s="596"/>
      <c r="K18" s="626"/>
      <c r="L18" s="626"/>
      <c r="M18" s="597"/>
      <c r="N18" s="1238">
        <f>Tabel6689172633[[#This Row],[Sew. 2015]]+Tabel6689172633[[#This Row],[WW 2015]]+Tabel6689172633[[#This Row],[Other ch. 2015]]</f>
        <v>0</v>
      </c>
      <c r="O18" s="570"/>
      <c r="P18" s="571"/>
      <c r="Q18" s="397"/>
      <c r="R18" s="1763"/>
      <c r="S18" s="1766"/>
      <c r="T18" s="1769"/>
      <c r="U18" s="1775"/>
      <c r="V18" s="1778"/>
      <c r="W18" s="1781"/>
      <c r="X18" s="1785"/>
      <c r="Y18" s="1788"/>
      <c r="Z18" s="1791"/>
      <c r="AA18" s="397"/>
      <c r="AB18" s="396"/>
      <c r="AC18" s="396"/>
      <c r="AD18" s="396"/>
      <c r="AE18" s="591"/>
      <c r="AF18" s="591"/>
      <c r="AG18" s="591"/>
      <c r="AH18" s="396"/>
      <c r="AI18" s="399"/>
    </row>
    <row r="19" spans="1:35" ht="15.75" x14ac:dyDescent="0.25">
      <c r="A19" s="1796"/>
      <c r="B19" s="1618"/>
      <c r="C19" s="631" t="s">
        <v>779</v>
      </c>
      <c r="D19" s="1760"/>
      <c r="E19" s="616">
        <f>'[1]exchange rates'!$M$5</f>
        <v>1.36829</v>
      </c>
      <c r="F19" s="625">
        <f>222/E19</f>
        <v>162.2463074348274</v>
      </c>
      <c r="G19" s="593">
        <f>666/E19</f>
        <v>486.73892230448223</v>
      </c>
      <c r="H19" s="594">
        <v>0</v>
      </c>
      <c r="I19" s="566">
        <f>Tabel6689172633[[#This Row],[Fix.ch. 2015]]+Tabel6689172633[[#This Row],[Var. ch. 2015]]+Tabel6689172633[[#This Row],[Oth. ch. DW 2015]]</f>
        <v>648.9852297393096</v>
      </c>
      <c r="J19" s="596">
        <v>0</v>
      </c>
      <c r="K19" s="626">
        <f>630/E19</f>
        <v>460.42871028802375</v>
      </c>
      <c r="L19" s="626"/>
      <c r="M19" s="597">
        <v>0</v>
      </c>
      <c r="N19" s="1238">
        <f>Tabel6689172633[[#This Row],[Sew. 2015]]+Tabel6689172633[[#This Row],[WW 2015]]+Tabel6689172633[[#This Row],[Other ch. 2015]]</f>
        <v>460.42871028802375</v>
      </c>
      <c r="O19" s="570">
        <v>0</v>
      </c>
      <c r="P19" s="571">
        <f>Tabel6689172633[[#This Row],[Total. ch. DW 2015]]+Tabel6689172633[[#This Row],[Sew. 2015]]+Tabel6689172633[[#This Row],[WW 2015]]+Tabel6689172633[[#This Row],[Other ch. 2015]]+Tabel6689172633[[#This Row],[VAT 2015]]</f>
        <v>1109.4139400273334</v>
      </c>
      <c r="Q19" s="397"/>
      <c r="R19" s="1763"/>
      <c r="S19" s="1766"/>
      <c r="T19" s="1769"/>
      <c r="U19" s="1775"/>
      <c r="V19" s="1778"/>
      <c r="W19" s="1781"/>
      <c r="X19" s="1785"/>
      <c r="Y19" s="1788"/>
      <c r="Z19" s="1791"/>
      <c r="AA19" s="397"/>
      <c r="AB19" s="396"/>
      <c r="AC19" s="396"/>
      <c r="AD19" s="396"/>
      <c r="AE19" s="591" t="s">
        <v>429</v>
      </c>
      <c r="AF19" s="591" t="s">
        <v>429</v>
      </c>
      <c r="AG19" s="591" t="s">
        <v>429</v>
      </c>
      <c r="AH19" s="396"/>
      <c r="AI19" s="399"/>
    </row>
    <row r="20" spans="1:35" ht="16.5" thickBot="1" x14ac:dyDescent="0.3">
      <c r="A20" s="1797"/>
      <c r="B20" s="1618"/>
      <c r="C20" s="1239" t="s">
        <v>546</v>
      </c>
      <c r="D20" s="1923"/>
      <c r="E20" s="616">
        <f>'[1]exchange rates'!$M$5</f>
        <v>1.36829</v>
      </c>
      <c r="F20" s="625"/>
      <c r="G20" s="593"/>
      <c r="H20" s="594"/>
      <c r="I20" s="313"/>
      <c r="J20" s="596"/>
      <c r="K20" s="626"/>
      <c r="L20" s="626"/>
      <c r="M20" s="597"/>
      <c r="N20" s="1238">
        <f>Tabel6689172633[[#This Row],[Sew. 2015]]+Tabel6689172633[[#This Row],[WW 2015]]+Tabel6689172633[[#This Row],[Other ch. 2015]]</f>
        <v>0</v>
      </c>
      <c r="O20" s="570"/>
      <c r="P20" s="571"/>
      <c r="Q20" s="397"/>
      <c r="R20" s="1970"/>
      <c r="S20" s="1973"/>
      <c r="T20" s="1976"/>
      <c r="U20" s="1979"/>
      <c r="V20" s="1982"/>
      <c r="W20" s="1956"/>
      <c r="X20" s="1959"/>
      <c r="Y20" s="1962"/>
      <c r="Z20" s="1965"/>
      <c r="AA20" s="397"/>
      <c r="AB20" s="396"/>
      <c r="AC20" s="396"/>
      <c r="AD20" s="396"/>
      <c r="AE20" s="396"/>
      <c r="AF20" s="396"/>
      <c r="AG20" s="396"/>
      <c r="AH20" s="396"/>
      <c r="AI20" s="399"/>
    </row>
    <row r="21" spans="1:35" ht="15.75" customHeight="1" x14ac:dyDescent="0.25">
      <c r="A21" s="2082" t="s">
        <v>4</v>
      </c>
      <c r="B21" s="1619"/>
      <c r="C21" s="452" t="s">
        <v>59</v>
      </c>
      <c r="D21" s="1837">
        <v>42600</v>
      </c>
      <c r="E21" s="306">
        <f>'[1]exchange rates'!K6</f>
        <v>0.72762000000000004</v>
      </c>
      <c r="F21" s="310">
        <f>61.2/E21</f>
        <v>84.109837552568649</v>
      </c>
      <c r="G21" s="311">
        <f>325.6/E21</f>
        <v>447.48632527967897</v>
      </c>
      <c r="H21" s="312">
        <v>0</v>
      </c>
      <c r="I21" s="313">
        <f>Tabel6689172633[[#This Row],[Fix.ch. 2015]]+Tabel6689172633[[#This Row],[Var. ch. 2015]]+Tabel6689172633[[#This Row],[Oth. ch. DW 2015]]</f>
        <v>531.59616283224761</v>
      </c>
      <c r="J21" s="314">
        <v>0</v>
      </c>
      <c r="K21" s="315">
        <f>220/E21</f>
        <v>302.35562518897223</v>
      </c>
      <c r="L21" s="315"/>
      <c r="M21" s="316">
        <v>0</v>
      </c>
      <c r="N21" s="1227">
        <f>Tabel6689172633[[#This Row],[Sew. 2015]]+Tabel6689172633[[#This Row],[WW 2015]]+Tabel6689172633[[#This Row],[Other ch. 2015]]</f>
        <v>302.35562518897223</v>
      </c>
      <c r="O21" s="317">
        <f>60.68/E21</f>
        <v>83.395178802121976</v>
      </c>
      <c r="P21" s="318">
        <f>Tabel6689172633[[#This Row],[Total. ch. DW 2015]]+Tabel6689172633[[#This Row],[Sew. 2015]]+Tabel6689172633[[#This Row],[WW 2015]]+Tabel6689172633[[#This Row],[Other ch. 2015]]+Tabel6689172633[[#This Row],[VAT 2015]]</f>
        <v>917.34696682334186</v>
      </c>
      <c r="Q21" s="397"/>
      <c r="R21" s="2211">
        <f t="shared" ref="R21:W21" si="4">SUM(F21:F25)/5</f>
        <v>51.243781094527364</v>
      </c>
      <c r="S21" s="2212">
        <f t="shared" si="4"/>
        <v>373.32673648332923</v>
      </c>
      <c r="T21" s="2213">
        <f t="shared" si="4"/>
        <v>0</v>
      </c>
      <c r="U21" s="2214">
        <f t="shared" si="4"/>
        <v>424.57051757785655</v>
      </c>
      <c r="V21" s="2215">
        <f t="shared" si="4"/>
        <v>0</v>
      </c>
      <c r="W21" s="2216">
        <f t="shared" si="4"/>
        <v>452.22506253264066</v>
      </c>
      <c r="X21" s="2217">
        <f>SUM(M21:M25)/5</f>
        <v>0</v>
      </c>
      <c r="Y21" s="2218">
        <f t="shared" ref="Y21" si="5">SUM(O21:O25)/5</f>
        <v>87.677633929798517</v>
      </c>
      <c r="Z21" s="2219">
        <f>SUM(P21:P25)/5</f>
        <v>964.47321404029572</v>
      </c>
      <c r="AA21" s="397"/>
      <c r="AB21" s="398"/>
      <c r="AC21" s="396" t="s">
        <v>429</v>
      </c>
      <c r="AD21" s="398"/>
      <c r="AE21" s="398"/>
      <c r="AF21" s="396" t="s">
        <v>429</v>
      </c>
      <c r="AG21" s="396"/>
      <c r="AH21" s="398"/>
      <c r="AI21" s="397"/>
    </row>
    <row r="22" spans="1:35" ht="15.75" customHeight="1" x14ac:dyDescent="0.25">
      <c r="A22" s="2083"/>
      <c r="B22" s="1619"/>
      <c r="C22" s="452" t="s">
        <v>60</v>
      </c>
      <c r="D22" s="1837"/>
      <c r="E22" s="306">
        <f>'[1]exchange rates'!K6</f>
        <v>0.72762000000000004</v>
      </c>
      <c r="F22" s="310">
        <f>17.52/E22</f>
        <v>24.078502515049063</v>
      </c>
      <c r="G22" s="311">
        <f>262/E22</f>
        <v>360.07806272504877</v>
      </c>
      <c r="H22" s="312">
        <v>0</v>
      </c>
      <c r="I22" s="313">
        <f>Tabel6689172633[[#This Row],[Fix.ch. 2015]]+Tabel6689172633[[#This Row],[Var. ch. 2015]]+Tabel6689172633[[#This Row],[Oth. ch. DW 2015]]</f>
        <v>384.15656524009785</v>
      </c>
      <c r="J22" s="314">
        <v>0</v>
      </c>
      <c r="K22" s="315">
        <f>382.6/E22</f>
        <v>525.82391907863996</v>
      </c>
      <c r="L22" s="315"/>
      <c r="M22" s="316">
        <v>0</v>
      </c>
      <c r="N22" s="1227">
        <f>Tabel6689172633[[#This Row],[Sew. 2015]]+Tabel6689172633[[#This Row],[WW 2015]]+Tabel6689172633[[#This Row],[Other ch. 2015]]</f>
        <v>525.82391907863996</v>
      </c>
      <c r="O22" s="317">
        <f>66.21/E22</f>
        <v>90.995299744372048</v>
      </c>
      <c r="P22" s="318">
        <f>Tabel6689172633[[#This Row],[Total. ch. DW 2015]]+Tabel6689172633[[#This Row],[Sew. 2015]]+Tabel6689172633[[#This Row],[WW 2015]]+Tabel6689172633[[#This Row],[Other ch. 2015]]+Tabel6689172633[[#This Row],[VAT 2015]]</f>
        <v>1000.9757840631098</v>
      </c>
      <c r="Q22" s="397"/>
      <c r="R22" s="1840"/>
      <c r="S22" s="1843"/>
      <c r="T22" s="1846"/>
      <c r="U22" s="1849"/>
      <c r="V22" s="1852"/>
      <c r="W22" s="1855"/>
      <c r="X22" s="1858"/>
      <c r="Y22" s="1873"/>
      <c r="Z22" s="1876"/>
      <c r="AA22" s="397"/>
      <c r="AB22" s="398"/>
      <c r="AC22" s="396" t="s">
        <v>429</v>
      </c>
      <c r="AD22" s="398"/>
      <c r="AE22" s="398"/>
      <c r="AF22" s="396" t="s">
        <v>429</v>
      </c>
      <c r="AG22" s="396"/>
      <c r="AH22" s="398"/>
      <c r="AI22" s="397"/>
    </row>
    <row r="23" spans="1:35" ht="15.75" customHeight="1" x14ac:dyDescent="0.25">
      <c r="A23" s="2083"/>
      <c r="B23" s="1619"/>
      <c r="C23" s="452" t="s">
        <v>61</v>
      </c>
      <c r="D23" s="1837"/>
      <c r="E23" s="306">
        <f>'[1]exchange rates'!K6</f>
        <v>0.72762000000000004</v>
      </c>
      <c r="F23" s="310">
        <f>62.59/E23</f>
        <v>86.020175366262606</v>
      </c>
      <c r="G23" s="311">
        <f>165.58/E23</f>
        <v>227.5638382672274</v>
      </c>
      <c r="H23" s="312">
        <v>0</v>
      </c>
      <c r="I23" s="313">
        <f>Tabel6689172633[[#This Row],[Fix.ch. 2015]]+Tabel6689172633[[#This Row],[Var. ch. 2015]]+Tabel6689172633[[#This Row],[Oth. ch. DW 2015]]</f>
        <v>313.58401363349003</v>
      </c>
      <c r="J23" s="314">
        <f>0</f>
        <v>0</v>
      </c>
      <c r="K23" s="315">
        <f>192.04/E23</f>
        <v>263.92897391495558</v>
      </c>
      <c r="L23" s="315"/>
      <c r="M23" s="316">
        <v>0</v>
      </c>
      <c r="N23" s="1227">
        <f>Tabel6689172633[[#This Row],[Sew. 2015]]+Tabel6689172633[[#This Row],[WW 2015]]+Tabel6689172633[[#This Row],[Other ch. 2015]]</f>
        <v>263.92897391495558</v>
      </c>
      <c r="O23" s="317">
        <f>42.02/E23</f>
        <v>57.749924411093701</v>
      </c>
      <c r="P23" s="318">
        <f>Tabel6689172633[[#This Row],[Total. ch. DW 2015]]+Tabel6689172633[[#This Row],[Sew. 2015]]+Tabel6689172633[[#This Row],[WW 2015]]+Tabel6689172633[[#This Row],[Other ch. 2015]]+Tabel6689172633[[#This Row],[VAT 2015]]</f>
        <v>635.26291195953934</v>
      </c>
      <c r="Q23" s="397"/>
      <c r="R23" s="1840"/>
      <c r="S23" s="1843"/>
      <c r="T23" s="1846"/>
      <c r="U23" s="1849"/>
      <c r="V23" s="1852"/>
      <c r="W23" s="1855"/>
      <c r="X23" s="1858"/>
      <c r="Y23" s="1873"/>
      <c r="Z23" s="1876"/>
      <c r="AA23" s="397"/>
      <c r="AB23" s="398"/>
      <c r="AC23" s="396" t="s">
        <v>429</v>
      </c>
      <c r="AD23" s="398"/>
      <c r="AE23" s="398"/>
      <c r="AF23" s="396" t="s">
        <v>429</v>
      </c>
      <c r="AG23" s="396"/>
      <c r="AH23" s="398"/>
      <c r="AI23" s="397"/>
    </row>
    <row r="24" spans="1:35" ht="16.5" customHeight="1" x14ac:dyDescent="0.25">
      <c r="A24" s="2083"/>
      <c r="B24" s="1619"/>
      <c r="C24" s="452" t="s">
        <v>62</v>
      </c>
      <c r="D24" s="1837"/>
      <c r="E24" s="306">
        <f>'[1]exchange rates'!K6</f>
        <v>0.72762000000000004</v>
      </c>
      <c r="F24" s="310">
        <f>23.4/E24</f>
        <v>32.159643770099777</v>
      </c>
      <c r="G24" s="311">
        <f>293.62/E24</f>
        <v>403.53481212720925</v>
      </c>
      <c r="H24" s="312">
        <v>0</v>
      </c>
      <c r="I24" s="313">
        <f>Tabel6689172633[[#This Row],[Fix.ch. 2015]]+Tabel6689172633[[#This Row],[Var. ch. 2015]]+Tabel6689172633[[#This Row],[Oth. ch. DW 2015]]</f>
        <v>435.69445589730901</v>
      </c>
      <c r="J24" s="314">
        <v>0</v>
      </c>
      <c r="K24" s="315">
        <f>496/E24</f>
        <v>681.67450042604651</v>
      </c>
      <c r="L24" s="315"/>
      <c r="M24" s="316">
        <v>0</v>
      </c>
      <c r="N24" s="1227">
        <f>Tabel6689172633[[#This Row],[Sew. 2015]]+Tabel6689172633[[#This Row],[WW 2015]]+Tabel6689172633[[#This Row],[Other ch. 2015]]</f>
        <v>681.67450042604651</v>
      </c>
      <c r="O24" s="317">
        <f>81.3/E24</f>
        <v>111.73414694483382</v>
      </c>
      <c r="P24" s="318">
        <f>Tabel6689172633[[#This Row],[Total. ch. DW 2015]]+Tabel6689172633[[#This Row],[Sew. 2015]]+Tabel6689172633[[#This Row],[WW 2015]]+Tabel6689172633[[#This Row],[Other ch. 2015]]+Tabel6689172633[[#This Row],[VAT 2015]]</f>
        <v>1229.1031032681894</v>
      </c>
      <c r="Q24" s="397"/>
      <c r="R24" s="1840"/>
      <c r="S24" s="1843"/>
      <c r="T24" s="1846"/>
      <c r="U24" s="1849"/>
      <c r="V24" s="1852"/>
      <c r="W24" s="1855"/>
      <c r="X24" s="1858"/>
      <c r="Y24" s="1873"/>
      <c r="Z24" s="1876"/>
      <c r="AA24" s="397"/>
      <c r="AB24" s="398"/>
      <c r="AC24" s="396" t="s">
        <v>429</v>
      </c>
      <c r="AD24" s="398"/>
      <c r="AE24" s="398"/>
      <c r="AF24" s="396" t="s">
        <v>429</v>
      </c>
      <c r="AG24" s="396"/>
      <c r="AH24" s="398"/>
      <c r="AI24" s="397"/>
    </row>
    <row r="25" spans="1:35" ht="16.5" customHeight="1" thickBot="1" x14ac:dyDescent="0.3">
      <c r="A25" s="2084"/>
      <c r="B25" s="1619"/>
      <c r="C25" s="1240" t="s">
        <v>63</v>
      </c>
      <c r="D25" s="2008"/>
      <c r="E25" s="306">
        <f>'[1]exchange rates'!K6</f>
        <v>0.72762000000000004</v>
      </c>
      <c r="F25" s="310">
        <f>21.72/E25</f>
        <v>29.850746268656714</v>
      </c>
      <c r="G25" s="311">
        <f>311.4/E25</f>
        <v>427.97064401748162</v>
      </c>
      <c r="H25" s="312">
        <v>0</v>
      </c>
      <c r="I25" s="313">
        <f>Tabel6689172633[[#This Row],[Fix.ch. 2015]]+Tabel6689172633[[#This Row],[Var. ch. 2015]]+Tabel6689172633[[#This Row],[Oth. ch. DW 2015]]</f>
        <v>457.82139028613835</v>
      </c>
      <c r="J25" s="314">
        <v>0</v>
      </c>
      <c r="K25" s="315">
        <f>354.6/E25</f>
        <v>487.34229405458893</v>
      </c>
      <c r="L25" s="315"/>
      <c r="M25" s="316">
        <v>0</v>
      </c>
      <c r="N25" s="1227">
        <f>Tabel6689172633[[#This Row],[Sew. 2015]]+Tabel6689172633[[#This Row],[WW 2015]]+Tabel6689172633[[#This Row],[Other ch. 2015]]</f>
        <v>487.34229405458893</v>
      </c>
      <c r="O25" s="317">
        <f>68.77/E25</f>
        <v>94.513619746570996</v>
      </c>
      <c r="P25" s="318">
        <f>Tabel6689172633[[#This Row],[Total. ch. DW 2015]]+Tabel6689172633[[#This Row],[Sew. 2015]]+Tabel6689172633[[#This Row],[WW 2015]]+Tabel6689172633[[#This Row],[Other ch. 2015]]+Tabel6689172633[[#This Row],[VAT 2015]]</f>
        <v>1039.6773040872984</v>
      </c>
      <c r="Q25" s="397"/>
      <c r="R25" s="2088"/>
      <c r="S25" s="2013"/>
      <c r="T25" s="2015"/>
      <c r="U25" s="2017"/>
      <c r="V25" s="2019"/>
      <c r="W25" s="2021"/>
      <c r="X25" s="2030"/>
      <c r="Y25" s="1993"/>
      <c r="Z25" s="1995"/>
      <c r="AA25" s="397"/>
      <c r="AB25" s="398"/>
      <c r="AC25" s="396" t="s">
        <v>429</v>
      </c>
      <c r="AD25" s="398"/>
      <c r="AE25" s="398"/>
      <c r="AF25" s="396" t="s">
        <v>429</v>
      </c>
      <c r="AG25" s="396"/>
      <c r="AH25" s="398"/>
      <c r="AI25" s="397"/>
    </row>
    <row r="26" spans="1:35" ht="15.75" customHeight="1" x14ac:dyDescent="0.25">
      <c r="A26" s="1818" t="s">
        <v>6</v>
      </c>
      <c r="B26" s="1213"/>
      <c r="C26" s="735" t="s">
        <v>67</v>
      </c>
      <c r="D26" s="2209">
        <v>44100</v>
      </c>
      <c r="E26" s="616">
        <f>'[1]exchange rates'!$M$7</f>
        <v>0.92093999999999998</v>
      </c>
      <c r="F26" s="625">
        <f>53.19/E26</f>
        <v>57.75620561600104</v>
      </c>
      <c r="G26" s="593">
        <f>255/E26</f>
        <v>276.8910026711838</v>
      </c>
      <c r="H26" s="594">
        <v>0</v>
      </c>
      <c r="I26" s="566">
        <f>Tabel6689172633[[#This Row],[Fix.ch. 2015]]+Tabel6689172633[[#This Row],[Var. ch. 2015]]+Tabel6689172633[[#This Row],[Oth. ch. DW 2015]]</f>
        <v>334.64720828718487</v>
      </c>
      <c r="J26" s="596">
        <f>338.46/E26</f>
        <v>367.51579907485831</v>
      </c>
      <c r="K26" s="626">
        <f>241.76/E26</f>
        <v>262.51438747366819</v>
      </c>
      <c r="L26" s="626"/>
      <c r="M26" s="597">
        <v>0</v>
      </c>
      <c r="N26" s="1238">
        <f>Tabel6689172633[[#This Row],[Sew. 2015]]+Tabel6689172633[[#This Row],[WW 2015]]+Tabel6689172633[[#This Row],[Other ch. 2015]]</f>
        <v>630.03018654852644</v>
      </c>
      <c r="O26" s="570">
        <f>53.3/E26</f>
        <v>57.875648793623903</v>
      </c>
      <c r="P26" s="571">
        <f>Tabel6689172633[[#This Row],[Total. ch. DW 2015]]+Tabel6689172633[[#This Row],[Sew. 2015]]+Tabel6689172633[[#This Row],[WW 2015]]+Tabel6689172633[[#This Row],[Other ch. 2015]]+Tabel6689172633[[#This Row],[VAT 2015]]</f>
        <v>1022.5530436293352</v>
      </c>
      <c r="Q26" s="397"/>
      <c r="R26" s="1762">
        <f t="shared" ref="R26:W26" si="6">SUM(F26:F33)/7</f>
        <v>71.516990404214326</v>
      </c>
      <c r="S26" s="1765">
        <f t="shared" si="6"/>
        <v>348.65928911143584</v>
      </c>
      <c r="T26" s="1768">
        <f t="shared" si="6"/>
        <v>0</v>
      </c>
      <c r="U26" s="1774">
        <f t="shared" si="6"/>
        <v>420.17627951565009</v>
      </c>
      <c r="V26" s="1777">
        <f t="shared" si="6"/>
        <v>216.49153504648979</v>
      </c>
      <c r="W26" s="1810">
        <f t="shared" si="6"/>
        <v>277.96444005969056</v>
      </c>
      <c r="X26" s="1812">
        <f>SUM(M26:M33)/7</f>
        <v>0.77560504949911435</v>
      </c>
      <c r="Y26" s="1814">
        <f t="shared" ref="Y26:Z26" si="7">SUM(O26:O33)/7</f>
        <v>54.877159672260333</v>
      </c>
      <c r="Z26" s="1793">
        <f t="shared" si="7"/>
        <v>970.28501934358985</v>
      </c>
      <c r="AA26" s="397"/>
      <c r="AB26" s="398"/>
      <c r="AC26" s="398"/>
      <c r="AD26" s="398"/>
      <c r="AE26" s="591" t="s">
        <v>429</v>
      </c>
      <c r="AF26" s="591" t="s">
        <v>429</v>
      </c>
      <c r="AG26" s="614"/>
      <c r="AH26" s="614"/>
      <c r="AI26" s="397"/>
    </row>
    <row r="27" spans="1:35" ht="15.75" customHeight="1" x14ac:dyDescent="0.25">
      <c r="A27" s="1819"/>
      <c r="B27" s="1213"/>
      <c r="C27" s="735" t="s">
        <v>71</v>
      </c>
      <c r="D27" s="1822"/>
      <c r="E27" s="616">
        <f>'[1]exchange rates'!$M$7</f>
        <v>0.92093999999999998</v>
      </c>
      <c r="F27" s="625">
        <f>67.84/E27</f>
        <v>73.663865181227877</v>
      </c>
      <c r="G27" s="593">
        <f>179.86/E27</f>
        <v>195.30045388407498</v>
      </c>
      <c r="H27" s="594">
        <v>0</v>
      </c>
      <c r="I27" s="566">
        <f>Tabel6689172633[[#This Row],[Fix.ch. 2015]]+Tabel6689172633[[#This Row],[Var. ch. 2015]]+Tabel6689172633[[#This Row],[Oth. ch. DW 2015]]</f>
        <v>268.96431906530285</v>
      </c>
      <c r="J27" s="596">
        <f>192/E27</f>
        <v>208.48263730536192</v>
      </c>
      <c r="K27" s="626">
        <f>266.64/E27</f>
        <v>289.53026255782135</v>
      </c>
      <c r="L27" s="626"/>
      <c r="M27" s="597">
        <v>0</v>
      </c>
      <c r="N27" s="1238">
        <f>Tabel6689172633[[#This Row],[Sew. 2015]]+Tabel6689172633[[#This Row],[WW 2015]]+Tabel6689172633[[#This Row],[Other ch. 2015]]</f>
        <v>498.01289986318329</v>
      </c>
      <c r="O27" s="570">
        <f>42.38/E27</f>
        <v>46.01819879688145</v>
      </c>
      <c r="P27" s="571">
        <f>Tabel6689172633[[#This Row],[Total. ch. DW 2015]]+Tabel6689172633[[#This Row],[Sew. 2015]]+Tabel6689172633[[#This Row],[WW 2015]]+Tabel6689172633[[#This Row],[Other ch. 2015]]+Tabel6689172633[[#This Row],[VAT 2015]]</f>
        <v>812.99541772536759</v>
      </c>
      <c r="Q27" s="397"/>
      <c r="R27" s="1763"/>
      <c r="S27" s="1766"/>
      <c r="T27" s="1769"/>
      <c r="U27" s="1775"/>
      <c r="V27" s="1778"/>
      <c r="W27" s="1781"/>
      <c r="X27" s="1785"/>
      <c r="Y27" s="1788"/>
      <c r="Z27" s="1791"/>
      <c r="AA27" s="397"/>
      <c r="AB27" s="398"/>
      <c r="AC27" s="398"/>
      <c r="AD27" s="398"/>
      <c r="AE27" s="591" t="s">
        <v>429</v>
      </c>
      <c r="AF27" s="591" t="s">
        <v>429</v>
      </c>
      <c r="AG27" s="614"/>
      <c r="AH27" s="614"/>
      <c r="AI27" s="397"/>
    </row>
    <row r="28" spans="1:35" ht="15.75" customHeight="1" x14ac:dyDescent="0.25">
      <c r="A28" s="1819"/>
      <c r="B28" s="1213"/>
      <c r="C28" s="735" t="s">
        <v>68</v>
      </c>
      <c r="D28" s="1822"/>
      <c r="E28" s="616">
        <f>'[1]exchange rates'!$M$7</f>
        <v>0.92093999999999998</v>
      </c>
      <c r="F28" s="625">
        <f>23.8/E28</f>
        <v>25.84316024931049</v>
      </c>
      <c r="G28" s="593">
        <f>374.08/E28</f>
        <v>406.19367168328012</v>
      </c>
      <c r="H28" s="594">
        <v>0</v>
      </c>
      <c r="I28" s="566">
        <f>Tabel6689172633[[#This Row],[Fix.ch. 2015]]+Tabel6689172633[[#This Row],[Var. ch. 2015]]+Tabel6689172633[[#This Row],[Oth. ch. DW 2015]]</f>
        <v>432.03683193259059</v>
      </c>
      <c r="J28" s="596">
        <f>188.25/E28</f>
        <v>204.41071079549155</v>
      </c>
      <c r="K28" s="626">
        <f>102/E28</f>
        <v>110.75640106847352</v>
      </c>
      <c r="L28" s="626"/>
      <c r="M28" s="597">
        <v>0</v>
      </c>
      <c r="N28" s="1238">
        <f>Tabel6689172633[[#This Row],[Sew. 2015]]+Tabel6689172633[[#This Row],[WW 2015]]+Tabel6689172633[[#This Row],[Other ch. 2015]]</f>
        <v>315.16711186396509</v>
      </c>
      <c r="O28" s="570">
        <f>41.29/E28</f>
        <v>44.834625491345797</v>
      </c>
      <c r="P28" s="571">
        <f>Tabel6689172633[[#This Row],[Total. ch. DW 2015]]+Tabel6689172633[[#This Row],[Sew. 2015]]+Tabel6689172633[[#This Row],[WW 2015]]+Tabel6689172633[[#This Row],[Other ch. 2015]]+Tabel6689172633[[#This Row],[VAT 2015]]</f>
        <v>792.03856928790151</v>
      </c>
      <c r="Q28" s="397"/>
      <c r="R28" s="1763"/>
      <c r="S28" s="1766"/>
      <c r="T28" s="1769"/>
      <c r="U28" s="1775"/>
      <c r="V28" s="1778"/>
      <c r="W28" s="1781"/>
      <c r="X28" s="1785"/>
      <c r="Y28" s="1788"/>
      <c r="Z28" s="1791"/>
      <c r="AA28" s="397"/>
      <c r="AB28" s="398"/>
      <c r="AC28" s="398"/>
      <c r="AD28" s="398"/>
      <c r="AE28" s="591" t="s">
        <v>429</v>
      </c>
      <c r="AF28" s="591" t="s">
        <v>429</v>
      </c>
      <c r="AG28" s="614"/>
      <c r="AH28" s="614"/>
      <c r="AI28" s="397"/>
    </row>
    <row r="29" spans="1:35" ht="15.75" customHeight="1" x14ac:dyDescent="0.25">
      <c r="A29" s="1819"/>
      <c r="B29" s="1213"/>
      <c r="C29" s="735" t="s">
        <v>72</v>
      </c>
      <c r="D29" s="1822"/>
      <c r="E29" s="616">
        <f>'[1]exchange rates'!$M$7</f>
        <v>0.92093999999999998</v>
      </c>
      <c r="F29" s="625">
        <f>105.08/E29</f>
        <v>114.1008100419137</v>
      </c>
      <c r="G29" s="593">
        <f>487.77/E29</f>
        <v>529.64362499185609</v>
      </c>
      <c r="H29" s="594">
        <v>0</v>
      </c>
      <c r="I29" s="566">
        <f>Tabel6689172633[[#This Row],[Fix.ch. 2015]]+Tabel6689172633[[#This Row],[Var. ch. 2015]]+Tabel6689172633[[#This Row],[Oth. ch. DW 2015]]</f>
        <v>643.74443503376983</v>
      </c>
      <c r="J29" s="596">
        <v>0</v>
      </c>
      <c r="K29" s="626">
        <f>349/E29</f>
        <v>378.96062718526724</v>
      </c>
      <c r="L29" s="626"/>
      <c r="M29" s="597">
        <f>2.5/E29</f>
        <v>2.7146176732469001</v>
      </c>
      <c r="N29" s="1238">
        <f>Tabel6689172633[[#This Row],[Sew. 2015]]+Tabel6689172633[[#This Row],[WW 2015]]+Tabel6689172633[[#This Row],[Other ch. 2015]]</f>
        <v>381.67524485851413</v>
      </c>
      <c r="O29" s="570">
        <f>56.51/E29</f>
        <v>61.361217886072922</v>
      </c>
      <c r="P29" s="571">
        <f>Tabel6689172633[[#This Row],[Total. ch. DW 2015]]+Tabel6689172633[[#This Row],[Sew. 2015]]+Tabel6689172633[[#This Row],[WW 2015]]+Tabel6689172633[[#This Row],[Other ch. 2015]]+Tabel6689172633[[#This Row],[VAT 2015]]</f>
        <v>1086.7808977783568</v>
      </c>
      <c r="Q29" s="397"/>
      <c r="R29" s="1763"/>
      <c r="S29" s="1766"/>
      <c r="T29" s="1769"/>
      <c r="U29" s="1775"/>
      <c r="V29" s="1778"/>
      <c r="W29" s="1781"/>
      <c r="X29" s="1785"/>
      <c r="Y29" s="1788"/>
      <c r="Z29" s="1791"/>
      <c r="AA29" s="397"/>
      <c r="AB29" s="398"/>
      <c r="AC29" s="398"/>
      <c r="AD29" s="398"/>
      <c r="AE29" s="591" t="s">
        <v>429</v>
      </c>
      <c r="AF29" s="591" t="s">
        <v>429</v>
      </c>
      <c r="AG29" s="591" t="s">
        <v>429</v>
      </c>
      <c r="AH29" s="614"/>
      <c r="AI29" s="397"/>
    </row>
    <row r="30" spans="1:35" ht="15.75" customHeight="1" x14ac:dyDescent="0.25">
      <c r="A30" s="1819"/>
      <c r="B30" s="1213"/>
      <c r="C30" s="735" t="s">
        <v>69</v>
      </c>
      <c r="D30" s="1822"/>
      <c r="E30" s="616">
        <f>'[1]exchange rates'!$M$7</f>
        <v>0.92093999999999998</v>
      </c>
      <c r="F30" s="625">
        <f>53.19/E30</f>
        <v>57.75620561600104</v>
      </c>
      <c r="G30" s="593">
        <f>268.75/E30</f>
        <v>291.82139987404173</v>
      </c>
      <c r="H30" s="594">
        <v>0</v>
      </c>
      <c r="I30" s="566">
        <f>Tabel6689172633[[#This Row],[Fix.ch. 2015]]+Tabel6689172633[[#This Row],[Var. ch. 2015]]+Tabel6689172633[[#This Row],[Oth. ch. DW 2015]]</f>
        <v>349.57760549004274</v>
      </c>
      <c r="J30" s="596">
        <f>338.46/E30</f>
        <v>367.51579907485831</v>
      </c>
      <c r="K30" s="626">
        <f>241.76/E30</f>
        <v>262.51438747366819</v>
      </c>
      <c r="L30" s="626"/>
      <c r="M30" s="597">
        <v>0</v>
      </c>
      <c r="N30" s="1238">
        <f>Tabel6689172633[[#This Row],[Sew. 2015]]+Tabel6689172633[[#This Row],[WW 2015]]+Tabel6689172633[[#This Row],[Other ch. 2015]]</f>
        <v>630.03018654852644</v>
      </c>
      <c r="O30" s="570">
        <f>54.13/E30</f>
        <v>58.77690186114188</v>
      </c>
      <c r="P30" s="571">
        <f>Tabel6689172633[[#This Row],[Total. ch. DW 2015]]+Tabel6689172633[[#This Row],[Sew. 2015]]+Tabel6689172633[[#This Row],[WW 2015]]+Tabel6689172633[[#This Row],[Other ch. 2015]]+Tabel6689172633[[#This Row],[VAT 2015]]</f>
        <v>1038.384693899711</v>
      </c>
      <c r="Q30" s="397"/>
      <c r="R30" s="1763"/>
      <c r="S30" s="1766"/>
      <c r="T30" s="1769"/>
      <c r="U30" s="1775"/>
      <c r="V30" s="1778"/>
      <c r="W30" s="1781"/>
      <c r="X30" s="1785"/>
      <c r="Y30" s="1788"/>
      <c r="Z30" s="1791"/>
      <c r="AA30" s="397"/>
      <c r="AB30" s="398"/>
      <c r="AC30" s="398"/>
      <c r="AD30" s="398"/>
      <c r="AE30" s="591" t="s">
        <v>429</v>
      </c>
      <c r="AF30" s="591" t="s">
        <v>429</v>
      </c>
      <c r="AG30" s="614"/>
      <c r="AH30" s="614"/>
      <c r="AI30" s="397"/>
    </row>
    <row r="31" spans="1:35" ht="15.75" customHeight="1" x14ac:dyDescent="0.25">
      <c r="A31" s="1819"/>
      <c r="B31" s="1213"/>
      <c r="C31" s="735" t="s">
        <v>70</v>
      </c>
      <c r="D31" s="1822"/>
      <c r="E31" s="616">
        <f>'[1]exchange rates'!$M$7</f>
        <v>0.92093999999999998</v>
      </c>
      <c r="F31" s="625">
        <f>53.19/E31</f>
        <v>57.75620561600104</v>
      </c>
      <c r="G31" s="593">
        <f>197.5/E31</f>
        <v>214.45479618650509</v>
      </c>
      <c r="H31" s="594">
        <v>0</v>
      </c>
      <c r="I31" s="566">
        <f>Tabel6689172633[[#This Row],[Fix.ch. 2015]]+Tabel6689172633[[#This Row],[Var. ch. 2015]]+Tabel6689172633[[#This Row],[Oth. ch. DW 2015]]</f>
        <v>272.21100180250613</v>
      </c>
      <c r="J31" s="596">
        <f>338.46/E31</f>
        <v>367.51579907485831</v>
      </c>
      <c r="K31" s="626">
        <f>241.76/E31</f>
        <v>262.51438747366819</v>
      </c>
      <c r="L31" s="626"/>
      <c r="M31" s="597">
        <v>0</v>
      </c>
      <c r="N31" s="1238">
        <f>Tabel6689172633[[#This Row],[Sew. 2015]]+Tabel6689172633[[#This Row],[WW 2015]]+Tabel6689172633[[#This Row],[Other ch. 2015]]</f>
        <v>630.03018654852644</v>
      </c>
      <c r="O31" s="570">
        <f>49.85/E31</f>
        <v>54.129476404543183</v>
      </c>
      <c r="P31" s="571">
        <f>Tabel6689172633[[#This Row],[Total. ch. DW 2015]]+Tabel6689172633[[#This Row],[Sew. 2015]]+Tabel6689172633[[#This Row],[WW 2015]]+Tabel6689172633[[#This Row],[Other ch. 2015]]+Tabel6689172633[[#This Row],[VAT 2015]]</f>
        <v>956.37066475557583</v>
      </c>
      <c r="Q31" s="397"/>
      <c r="R31" s="1763"/>
      <c r="S31" s="1766"/>
      <c r="T31" s="1769"/>
      <c r="U31" s="1775"/>
      <c r="V31" s="1778"/>
      <c r="W31" s="1781"/>
      <c r="X31" s="1785"/>
      <c r="Y31" s="1788"/>
      <c r="Z31" s="1791"/>
      <c r="AA31" s="397"/>
      <c r="AB31" s="398"/>
      <c r="AC31" s="398"/>
      <c r="AD31" s="398"/>
      <c r="AE31" s="591" t="s">
        <v>429</v>
      </c>
      <c r="AF31" s="591" t="s">
        <v>429</v>
      </c>
      <c r="AG31" s="614"/>
      <c r="AH31" s="614"/>
      <c r="AI31" s="397"/>
    </row>
    <row r="32" spans="1:35" ht="16.5" customHeight="1" x14ac:dyDescent="0.25">
      <c r="A32" s="1819"/>
      <c r="B32" s="1213"/>
      <c r="C32" s="735" t="s">
        <v>216</v>
      </c>
      <c r="D32" s="1822"/>
      <c r="E32" s="616">
        <f>'[1]exchange rates'!$M$7</f>
        <v>0.92093999999999998</v>
      </c>
      <c r="F32" s="625"/>
      <c r="G32" s="593"/>
      <c r="H32" s="594"/>
      <c r="I32" s="566"/>
      <c r="J32" s="596"/>
      <c r="K32" s="626"/>
      <c r="L32" s="626"/>
      <c r="M32" s="597"/>
      <c r="N32" s="1238">
        <f>Tabel6689172633[[#This Row],[Sew. 2015]]+Tabel6689172633[[#This Row],[WW 2015]]+Tabel6689172633[[#This Row],[Other ch. 2015]]</f>
        <v>0</v>
      </c>
      <c r="O32" s="570"/>
      <c r="P32" s="571"/>
      <c r="Q32" s="397"/>
      <c r="R32" s="1763"/>
      <c r="S32" s="1766"/>
      <c r="T32" s="1769"/>
      <c r="U32" s="1775"/>
      <c r="V32" s="1778"/>
      <c r="W32" s="1781"/>
      <c r="X32" s="1785"/>
      <c r="Y32" s="1788"/>
      <c r="Z32" s="1791"/>
      <c r="AA32" s="397"/>
      <c r="AB32" s="398"/>
      <c r="AC32" s="398"/>
      <c r="AD32" s="398"/>
      <c r="AE32" s="591" t="s">
        <v>429</v>
      </c>
      <c r="AF32" s="591" t="s">
        <v>429</v>
      </c>
      <c r="AG32" s="614"/>
      <c r="AH32" s="614"/>
      <c r="AI32" s="397"/>
    </row>
    <row r="33" spans="1:35" ht="17.25" customHeight="1" thickBot="1" x14ac:dyDescent="0.3">
      <c r="A33" s="1820"/>
      <c r="B33" s="1213"/>
      <c r="C33" s="736" t="s">
        <v>629</v>
      </c>
      <c r="D33" s="1823"/>
      <c r="E33" s="616">
        <f>'[1]exchange rates'!$M$7</f>
        <v>0.92093999999999998</v>
      </c>
      <c r="F33" s="625">
        <f>104.75/E33</f>
        <v>113.74248050904511</v>
      </c>
      <c r="G33" s="593">
        <f>484.7/E33</f>
        <v>526.31007448910896</v>
      </c>
      <c r="H33" s="594">
        <v>0</v>
      </c>
      <c r="I33" s="566">
        <f>Tabel6689172633[[#This Row],[Fix.ch. 2015]]+Tabel6689172633[[#This Row],[Var. ch. 2015]]+Tabel6689172633[[#This Row],[Oth. ch. DW 2015]]</f>
        <v>640.05255499815405</v>
      </c>
      <c r="J33" s="596">
        <f>0/E33</f>
        <v>0</v>
      </c>
      <c r="K33" s="626">
        <f>349/E33</f>
        <v>378.96062718526724</v>
      </c>
      <c r="L33" s="626"/>
      <c r="M33" s="597">
        <f>2.5/E33</f>
        <v>2.7146176732469001</v>
      </c>
      <c r="N33" s="1238">
        <f>Tabel6689172633[[#This Row],[Sew. 2015]]+Tabel6689172633[[#This Row],[WW 2015]]+Tabel6689172633[[#This Row],[Other ch. 2015]]</f>
        <v>381.67524485851413</v>
      </c>
      <c r="O33" s="570">
        <f>56.31/E33</f>
        <v>61.144048472213179</v>
      </c>
      <c r="P33" s="571">
        <f>Tabel6689172633[[#This Row],[Total. ch. DW 2015]]+Tabel6689172633[[#This Row],[Sew. 2015]]+Tabel6689172633[[#This Row],[WW 2015]]+Tabel6689172633[[#This Row],[Other ch. 2015]]+Tabel6689172633[[#This Row],[VAT 2015]]</f>
        <v>1082.8718483288815</v>
      </c>
      <c r="Q33" s="397"/>
      <c r="R33" s="1764"/>
      <c r="S33" s="1767"/>
      <c r="T33" s="1770"/>
      <c r="U33" s="1776"/>
      <c r="V33" s="1779"/>
      <c r="W33" s="1811"/>
      <c r="X33" s="1813"/>
      <c r="Y33" s="1815"/>
      <c r="Z33" s="1794"/>
      <c r="AA33" s="397"/>
      <c r="AB33" s="398"/>
      <c r="AC33" s="398"/>
      <c r="AD33" s="398"/>
      <c r="AE33" s="591" t="s">
        <v>429</v>
      </c>
      <c r="AF33" s="591" t="s">
        <v>429</v>
      </c>
      <c r="AG33" s="591" t="s">
        <v>429</v>
      </c>
      <c r="AH33" s="614"/>
      <c r="AI33" s="397"/>
    </row>
    <row r="34" spans="1:35" ht="15.75" x14ac:dyDescent="0.25">
      <c r="A34" s="1878" t="s">
        <v>1345</v>
      </c>
      <c r="B34" s="1213"/>
      <c r="C34" s="824" t="s">
        <v>459</v>
      </c>
      <c r="D34" s="2166">
        <v>15800</v>
      </c>
      <c r="E34" s="616">
        <f>'[1]exchange rates'!$M$8</f>
        <v>3.9608599999999998</v>
      </c>
      <c r="F34" s="625" t="s">
        <v>5</v>
      </c>
      <c r="G34" s="593" t="s">
        <v>5</v>
      </c>
      <c r="H34" s="594" t="s">
        <v>5</v>
      </c>
      <c r="I34" s="566" t="s">
        <v>5</v>
      </c>
      <c r="J34" s="596" t="s">
        <v>5</v>
      </c>
      <c r="K34" s="626" t="s">
        <v>5</v>
      </c>
      <c r="L34" s="626"/>
      <c r="M34" s="597" t="s">
        <v>5</v>
      </c>
      <c r="N34" s="1238" t="e">
        <f>Tabel6689172633[[#This Row],[Sew. 2015]]+Tabel6689172633[[#This Row],[WW 2015]]+Tabel6689172633[[#This Row],[Other ch. 2015]]</f>
        <v>#VALUE!</v>
      </c>
      <c r="O34" s="570" t="s">
        <v>5</v>
      </c>
      <c r="P34" s="571">
        <f>536/E34</f>
        <v>135.32414677620517</v>
      </c>
      <c r="Q34" s="397"/>
      <c r="R34" s="2228" t="s">
        <v>5</v>
      </c>
      <c r="S34" s="2229" t="s">
        <v>5</v>
      </c>
      <c r="T34" s="2231" t="s">
        <v>5</v>
      </c>
      <c r="U34" s="2254" t="s">
        <v>5</v>
      </c>
      <c r="V34" s="2245" t="s">
        <v>5</v>
      </c>
      <c r="W34" s="2247" t="s">
        <v>5</v>
      </c>
      <c r="X34" s="2249" t="s">
        <v>5</v>
      </c>
      <c r="Y34" s="2251" t="s">
        <v>5</v>
      </c>
      <c r="Z34" s="2253">
        <f>Tabel6689172633[[#This Row],[total charge 2015]]</f>
        <v>135.32414677620517</v>
      </c>
      <c r="AA34" s="397"/>
      <c r="AB34" s="591" t="s">
        <v>429</v>
      </c>
      <c r="AC34" s="614"/>
      <c r="AD34" s="614"/>
      <c r="AE34" s="614"/>
      <c r="AF34" s="614"/>
      <c r="AG34" s="614"/>
      <c r="AH34" s="614"/>
      <c r="AI34" s="397"/>
    </row>
    <row r="35" spans="1:35" ht="15.75" x14ac:dyDescent="0.25">
      <c r="A35" s="1757"/>
      <c r="B35" s="1213"/>
      <c r="C35" s="633" t="s">
        <v>462</v>
      </c>
      <c r="D35" s="1880"/>
      <c r="E35" s="616">
        <f>'[1]exchange rates'!$M$8</f>
        <v>3.9608599999999998</v>
      </c>
      <c r="F35" s="625" t="s">
        <v>5</v>
      </c>
      <c r="G35" s="593" t="s">
        <v>5</v>
      </c>
      <c r="H35" s="594" t="s">
        <v>5</v>
      </c>
      <c r="I35" s="566" t="s">
        <v>5</v>
      </c>
      <c r="J35" s="596" t="s">
        <v>5</v>
      </c>
      <c r="K35" s="626" t="s">
        <v>5</v>
      </c>
      <c r="L35" s="626"/>
      <c r="M35" s="597" t="s">
        <v>5</v>
      </c>
      <c r="N35" s="1238" t="e">
        <f>Tabel6689172633[[#This Row],[Sew. 2015]]+Tabel6689172633[[#This Row],[WW 2015]]+Tabel6689172633[[#This Row],[Other ch. 2015]]</f>
        <v>#VALUE!</v>
      </c>
      <c r="O35" s="570" t="s">
        <v>5</v>
      </c>
      <c r="P35" s="571">
        <f>436/E35</f>
        <v>110.07710446721167</v>
      </c>
      <c r="Q35" s="397"/>
      <c r="R35" s="1882"/>
      <c r="S35" s="1896"/>
      <c r="T35" s="1899"/>
      <c r="U35" s="1902"/>
      <c r="V35" s="1905"/>
      <c r="W35" s="1864"/>
      <c r="X35" s="1867"/>
      <c r="Y35" s="1870"/>
      <c r="Z35" s="1832"/>
      <c r="AA35" s="397"/>
      <c r="AB35" s="591" t="s">
        <v>429</v>
      </c>
      <c r="AC35" s="614"/>
      <c r="AD35" s="614"/>
      <c r="AE35" s="614"/>
      <c r="AF35" s="614"/>
      <c r="AG35" s="614"/>
      <c r="AH35" s="614"/>
      <c r="AI35" s="397"/>
    </row>
    <row r="36" spans="1:35" ht="16.5" thickBot="1" x14ac:dyDescent="0.3">
      <c r="A36" s="1758"/>
      <c r="B36" s="1213"/>
      <c r="C36" s="634" t="s">
        <v>1346</v>
      </c>
      <c r="D36" s="1761"/>
      <c r="E36" s="616">
        <f>'[1]exchange rates'!$M$8</f>
        <v>3.9608599999999998</v>
      </c>
      <c r="F36" s="625" t="s">
        <v>5</v>
      </c>
      <c r="G36" s="593" t="s">
        <v>5</v>
      </c>
      <c r="H36" s="594" t="s">
        <v>5</v>
      </c>
      <c r="I36" s="566" t="s">
        <v>5</v>
      </c>
      <c r="J36" s="596" t="s">
        <v>5</v>
      </c>
      <c r="K36" s="626" t="s">
        <v>5</v>
      </c>
      <c r="L36" s="626"/>
      <c r="M36" s="597" t="s">
        <v>5</v>
      </c>
      <c r="N36" s="1238" t="e">
        <f>Tabel6689172633[[#This Row],[Sew. 2015]]+Tabel6689172633[[#This Row],[WW 2015]]+Tabel6689172633[[#This Row],[Other ch. 2015]]</f>
        <v>#VALUE!</v>
      </c>
      <c r="O36" s="570" t="s">
        <v>5</v>
      </c>
      <c r="P36" s="571">
        <f>842/E36</f>
        <v>212.5800962417253</v>
      </c>
      <c r="Q36" s="397"/>
      <c r="R36" s="2189"/>
      <c r="S36" s="2230"/>
      <c r="T36" s="2232"/>
      <c r="U36" s="2255"/>
      <c r="V36" s="2246"/>
      <c r="W36" s="2248"/>
      <c r="X36" s="2250"/>
      <c r="Y36" s="2252"/>
      <c r="Z36" s="1794"/>
      <c r="AA36" s="397"/>
      <c r="AB36" s="591" t="s">
        <v>429</v>
      </c>
      <c r="AC36" s="614"/>
      <c r="AD36" s="614"/>
      <c r="AE36" s="614"/>
      <c r="AF36" s="614"/>
      <c r="AG36" s="614"/>
      <c r="AH36" s="614"/>
      <c r="AI36" s="397"/>
    </row>
    <row r="37" spans="1:35" ht="18.75" customHeight="1" x14ac:dyDescent="0.25">
      <c r="A37" s="1833" t="s">
        <v>487</v>
      </c>
      <c r="B37" s="1617"/>
      <c r="C37" s="503" t="s">
        <v>481</v>
      </c>
      <c r="D37" s="2220">
        <v>11600</v>
      </c>
      <c r="E37" s="306">
        <v>1.86534</v>
      </c>
      <c r="F37" s="310">
        <f>132.88/E37</f>
        <v>71.236342972326753</v>
      </c>
      <c r="G37" s="311">
        <v>0</v>
      </c>
      <c r="H37" s="312">
        <v>0</v>
      </c>
      <c r="I37" s="313">
        <f>Tabel6689172633[[#This Row],[Fix.ch. 2015]]+Tabel6689172633[[#This Row],[Var. ch. 2015]]+Tabel6689172633[[#This Row],[Oth. ch. DW 2015]]</f>
        <v>71.236342972326753</v>
      </c>
      <c r="J37" s="314">
        <f>132.88/E37</f>
        <v>71.236342972326753</v>
      </c>
      <c r="K37" s="315">
        <v>0</v>
      </c>
      <c r="L37" s="315"/>
      <c r="M37" s="316">
        <v>0</v>
      </c>
      <c r="N37" s="1227">
        <f>Tabel6689172633[[#This Row],[Sew. 2015]]+Tabel6689172633[[#This Row],[WW 2015]]+Tabel6689172633[[#This Row],[Other ch. 2015]]</f>
        <v>71.236342972326753</v>
      </c>
      <c r="O37" s="317">
        <v>0</v>
      </c>
      <c r="P37" s="318">
        <f>Tabel6689172633[[#This Row],[Total. ch. DW 2015]]+Tabel6689172633[[#This Row],[Sew. 2015]]+Tabel6689172633[[#This Row],[WW 2015]]+Tabel6689172633[[#This Row],[Other ch. 2015]]+Tabel6689172633[[#This Row],[VAT 2015]]</f>
        <v>142.47268594465351</v>
      </c>
      <c r="Q37" s="397"/>
      <c r="R37" s="2222">
        <f t="shared" ref="R37:W37" si="8">SUM(F37:F41)/5</f>
        <v>197.96069349287529</v>
      </c>
      <c r="S37" s="2224">
        <f t="shared" si="8"/>
        <v>0</v>
      </c>
      <c r="T37" s="2226">
        <f t="shared" si="8"/>
        <v>0</v>
      </c>
      <c r="U37" s="2233">
        <f t="shared" si="8"/>
        <v>197.96069349287529</v>
      </c>
      <c r="V37" s="2235">
        <f t="shared" si="8"/>
        <v>197.96069349287529</v>
      </c>
      <c r="W37" s="2237">
        <f t="shared" si="8"/>
        <v>0</v>
      </c>
      <c r="X37" s="2239">
        <f>SUM(M37:M41)/5</f>
        <v>0</v>
      </c>
      <c r="Y37" s="2241">
        <f t="shared" ref="Y37:Z37" si="9">SUM(O37:O41)/5</f>
        <v>0</v>
      </c>
      <c r="Z37" s="2243">
        <f t="shared" si="9"/>
        <v>395.92138698575059</v>
      </c>
      <c r="AA37" s="397"/>
      <c r="AB37" s="396"/>
      <c r="AC37" s="398"/>
      <c r="AD37" s="398"/>
      <c r="AE37" s="398"/>
      <c r="AF37" s="398"/>
      <c r="AG37" s="398"/>
      <c r="AH37" s="398"/>
      <c r="AI37" s="397"/>
    </row>
    <row r="38" spans="1:35" ht="18.75" customHeight="1" x14ac:dyDescent="0.25">
      <c r="A38" s="1834"/>
      <c r="B38" s="1617"/>
      <c r="C38" s="503" t="s">
        <v>482</v>
      </c>
      <c r="D38" s="1837"/>
      <c r="E38" s="306">
        <v>1.86534</v>
      </c>
      <c r="F38" s="310">
        <f>83.04/E38</f>
        <v>44.517353404741229</v>
      </c>
      <c r="G38" s="311">
        <v>0</v>
      </c>
      <c r="H38" s="312">
        <v>0</v>
      </c>
      <c r="I38" s="313">
        <f>Tabel6689172633[[#This Row],[Fix.ch. 2015]]+Tabel6689172633[[#This Row],[Var. ch. 2015]]+Tabel6689172633[[#This Row],[Oth. ch. DW 2015]]</f>
        <v>44.517353404741229</v>
      </c>
      <c r="J38" s="314">
        <f>83.04/E38</f>
        <v>44.517353404741229</v>
      </c>
      <c r="K38" s="315">
        <v>0</v>
      </c>
      <c r="L38" s="315"/>
      <c r="M38" s="316">
        <v>0</v>
      </c>
      <c r="N38" s="1227">
        <f>Tabel6689172633[[#This Row],[Sew. 2015]]+Tabel6689172633[[#This Row],[WW 2015]]+Tabel6689172633[[#This Row],[Other ch. 2015]]</f>
        <v>44.517353404741229</v>
      </c>
      <c r="O38" s="317">
        <v>0</v>
      </c>
      <c r="P38" s="318">
        <f>Tabel6689172633[[#This Row],[Total. ch. DW 2015]]+Tabel6689172633[[#This Row],[Sew. 2015]]+Tabel6689172633[[#This Row],[WW 2015]]+Tabel6689172633[[#This Row],[Other ch. 2015]]+Tabel6689172633[[#This Row],[VAT 2015]]</f>
        <v>89.034706809482458</v>
      </c>
      <c r="Q38" s="397"/>
      <c r="R38" s="1840"/>
      <c r="S38" s="1843"/>
      <c r="T38" s="1846"/>
      <c r="U38" s="1849"/>
      <c r="V38" s="1852"/>
      <c r="W38" s="1855"/>
      <c r="X38" s="1858"/>
      <c r="Y38" s="1873"/>
      <c r="Z38" s="1876"/>
      <c r="AA38" s="397"/>
      <c r="AB38" s="396"/>
      <c r="AC38" s="398"/>
      <c r="AD38" s="398"/>
      <c r="AE38" s="398"/>
      <c r="AF38" s="398"/>
      <c r="AG38" s="398"/>
      <c r="AH38" s="398"/>
      <c r="AI38" s="397"/>
    </row>
    <row r="39" spans="1:35" ht="18.75" customHeight="1" x14ac:dyDescent="0.25">
      <c r="A39" s="1834"/>
      <c r="B39" s="1617"/>
      <c r="C39" s="503" t="s">
        <v>483</v>
      </c>
      <c r="D39" s="1837"/>
      <c r="E39" s="306">
        <v>1.86534</v>
      </c>
      <c r="F39" s="310">
        <f>371.52/E39</f>
        <v>199.1701244813278</v>
      </c>
      <c r="G39" s="311">
        <v>0</v>
      </c>
      <c r="H39" s="312">
        <v>0</v>
      </c>
      <c r="I39" s="313">
        <f>Tabel6689172633[[#This Row],[Fix.ch. 2015]]+Tabel6689172633[[#This Row],[Var. ch. 2015]]+Tabel6689172633[[#This Row],[Oth. ch. DW 2015]]</f>
        <v>199.1701244813278</v>
      </c>
      <c r="J39" s="314">
        <f>371.52/E39</f>
        <v>199.1701244813278</v>
      </c>
      <c r="K39" s="315">
        <v>0</v>
      </c>
      <c r="L39" s="315"/>
      <c r="M39" s="316">
        <v>0</v>
      </c>
      <c r="N39" s="1227">
        <f>Tabel6689172633[[#This Row],[Sew. 2015]]+Tabel6689172633[[#This Row],[WW 2015]]+Tabel6689172633[[#This Row],[Other ch. 2015]]</f>
        <v>199.1701244813278</v>
      </c>
      <c r="O39" s="317">
        <v>0</v>
      </c>
      <c r="P39" s="318">
        <f>Tabel6689172633[[#This Row],[Total. ch. DW 2015]]+Tabel6689172633[[#This Row],[Sew. 2015]]+Tabel6689172633[[#This Row],[WW 2015]]+Tabel6689172633[[#This Row],[Other ch. 2015]]+Tabel6689172633[[#This Row],[VAT 2015]]</f>
        <v>398.34024896265561</v>
      </c>
      <c r="Q39" s="397"/>
      <c r="R39" s="1840"/>
      <c r="S39" s="1843"/>
      <c r="T39" s="1846"/>
      <c r="U39" s="1849"/>
      <c r="V39" s="1852"/>
      <c r="W39" s="1855"/>
      <c r="X39" s="1858"/>
      <c r="Y39" s="1873"/>
      <c r="Z39" s="1876"/>
      <c r="AA39" s="397"/>
      <c r="AB39" s="396"/>
      <c r="AC39" s="398"/>
      <c r="AD39" s="398"/>
      <c r="AE39" s="396" t="s">
        <v>429</v>
      </c>
      <c r="AF39" s="398"/>
      <c r="AG39" s="398"/>
      <c r="AH39" s="398" t="s">
        <v>486</v>
      </c>
      <c r="AI39" s="397"/>
    </row>
    <row r="40" spans="1:35" ht="18.75" customHeight="1" x14ac:dyDescent="0.25">
      <c r="A40" s="1834"/>
      <c r="B40" s="1617"/>
      <c r="C40" s="503" t="s">
        <v>484</v>
      </c>
      <c r="D40" s="1837"/>
      <c r="E40" s="306">
        <v>1.86534</v>
      </c>
      <c r="F40" s="310">
        <f>420.12/E40</f>
        <v>225.22435588150151</v>
      </c>
      <c r="G40" s="311">
        <v>0</v>
      </c>
      <c r="H40" s="312">
        <v>0</v>
      </c>
      <c r="I40" s="313">
        <f>Tabel6689172633[[#This Row],[Fix.ch. 2015]]+Tabel6689172633[[#This Row],[Var. ch. 2015]]+Tabel6689172633[[#This Row],[Oth. ch. DW 2015]]</f>
        <v>225.22435588150151</v>
      </c>
      <c r="J40" s="314">
        <f>420.12/E40</f>
        <v>225.22435588150151</v>
      </c>
      <c r="K40" s="315">
        <v>0</v>
      </c>
      <c r="L40" s="315"/>
      <c r="M40" s="316">
        <v>0</v>
      </c>
      <c r="N40" s="1227">
        <f>Tabel6689172633[[#This Row],[Sew. 2015]]+Tabel6689172633[[#This Row],[WW 2015]]+Tabel6689172633[[#This Row],[Other ch. 2015]]</f>
        <v>225.22435588150151</v>
      </c>
      <c r="O40" s="317">
        <v>0</v>
      </c>
      <c r="P40" s="318">
        <f>Tabel6689172633[[#This Row],[Total. ch. DW 2015]]+Tabel6689172633[[#This Row],[Sew. 2015]]+Tabel6689172633[[#This Row],[WW 2015]]+Tabel6689172633[[#This Row],[Other ch. 2015]]+Tabel6689172633[[#This Row],[VAT 2015]]</f>
        <v>450.44871176300302</v>
      </c>
      <c r="Q40" s="397"/>
      <c r="R40" s="1840"/>
      <c r="S40" s="1843"/>
      <c r="T40" s="1846"/>
      <c r="U40" s="1849"/>
      <c r="V40" s="1852"/>
      <c r="W40" s="1855"/>
      <c r="X40" s="1858"/>
      <c r="Y40" s="1873"/>
      <c r="Z40" s="1876"/>
      <c r="AA40" s="397"/>
      <c r="AB40" s="396"/>
      <c r="AC40" s="398"/>
      <c r="AD40" s="398"/>
      <c r="AE40" s="398"/>
      <c r="AF40" s="398"/>
      <c r="AG40" s="398"/>
      <c r="AH40" s="398"/>
      <c r="AI40" s="397"/>
    </row>
    <row r="41" spans="1:35" ht="19.5" customHeight="1" thickBot="1" x14ac:dyDescent="0.3">
      <c r="A41" s="1835"/>
      <c r="B41" s="1617"/>
      <c r="C41" s="503" t="s">
        <v>485</v>
      </c>
      <c r="D41" s="2221"/>
      <c r="E41" s="306">
        <v>1.86534</v>
      </c>
      <c r="F41" s="310">
        <f>838.76/E41</f>
        <v>449.65529072447919</v>
      </c>
      <c r="G41" s="311">
        <v>0</v>
      </c>
      <c r="H41" s="312">
        <v>0</v>
      </c>
      <c r="I41" s="313">
        <f>Tabel6689172633[[#This Row],[Fix.ch. 2015]]+Tabel6689172633[[#This Row],[Var. ch. 2015]]+Tabel6689172633[[#This Row],[Oth. ch. DW 2015]]</f>
        <v>449.65529072447919</v>
      </c>
      <c r="J41" s="314">
        <f>838.76/E41</f>
        <v>449.65529072447919</v>
      </c>
      <c r="K41" s="315">
        <v>0</v>
      </c>
      <c r="L41" s="315"/>
      <c r="M41" s="316">
        <v>0</v>
      </c>
      <c r="N41" s="1227">
        <f>Tabel6689172633[[#This Row],[Sew. 2015]]+Tabel6689172633[[#This Row],[WW 2015]]+Tabel6689172633[[#This Row],[Other ch. 2015]]</f>
        <v>449.65529072447919</v>
      </c>
      <c r="O41" s="317">
        <v>0</v>
      </c>
      <c r="P41" s="318">
        <f>Tabel6689172633[[#This Row],[Total. ch. DW 2015]]+Tabel6689172633[[#This Row],[Sew. 2015]]+Tabel6689172633[[#This Row],[WW 2015]]+Tabel6689172633[[#This Row],[Other ch. 2015]]+Tabel6689172633[[#This Row],[VAT 2015]]</f>
        <v>899.31058144895837</v>
      </c>
      <c r="Q41" s="397"/>
      <c r="R41" s="2223"/>
      <c r="S41" s="2225"/>
      <c r="T41" s="2227"/>
      <c r="U41" s="2234"/>
      <c r="V41" s="2236"/>
      <c r="W41" s="2238"/>
      <c r="X41" s="2240"/>
      <c r="Y41" s="2242"/>
      <c r="Z41" s="2244"/>
      <c r="AA41" s="397"/>
      <c r="AB41" s="396"/>
      <c r="AC41" s="398"/>
      <c r="AD41" s="398"/>
      <c r="AE41" s="398"/>
      <c r="AF41" s="398"/>
      <c r="AG41" s="398"/>
      <c r="AH41" s="398"/>
      <c r="AI41" s="397"/>
    </row>
    <row r="42" spans="1:35" ht="15.75" customHeight="1" x14ac:dyDescent="0.25">
      <c r="A42" s="1833" t="s">
        <v>7</v>
      </c>
      <c r="B42" s="1617"/>
      <c r="C42" s="1241" t="s">
        <v>73</v>
      </c>
      <c r="D42" s="2210">
        <v>14400</v>
      </c>
      <c r="E42" s="305">
        <f>'[1]exchange rates'!K9</f>
        <v>1.423</v>
      </c>
      <c r="F42" s="310">
        <v>0</v>
      </c>
      <c r="G42" s="311">
        <f>232/E42</f>
        <v>163.03583977512298</v>
      </c>
      <c r="H42" s="312">
        <v>0</v>
      </c>
      <c r="I42" s="313">
        <f>Tabel6689172633[[#This Row],[Fix.ch. 2015]]+Tabel6689172633[[#This Row],[Var. ch. 2015]]+Tabel6689172633[[#This Row],[Oth. ch. DW 2015]]</f>
        <v>163.03583977512298</v>
      </c>
      <c r="J42" s="314">
        <f>46/E42</f>
        <v>32.326071679550246</v>
      </c>
      <c r="K42" s="315">
        <f>68/E42</f>
        <v>47.786366830639494</v>
      </c>
      <c r="L42" s="315"/>
      <c r="M42" s="316">
        <v>0</v>
      </c>
      <c r="N42" s="1227">
        <f>Tabel6689172633[[#This Row],[Sew. 2015]]+Tabel6689172633[[#This Row],[WW 2015]]+Tabel6689172633[[#This Row],[Other ch. 2015]]</f>
        <v>80.112438510189747</v>
      </c>
      <c r="O42" s="317">
        <f>69.2/E42</f>
        <v>48.629655657062543</v>
      </c>
      <c r="P42" s="318">
        <f>Tabel6689172633[[#This Row],[Total. ch. DW 2015]]+Tabel6689172633[[#This Row],[Sew. 2015]]+Tabel6689172633[[#This Row],[WW 2015]]+Tabel6689172633[[#This Row],[Other ch. 2015]]+Tabel6689172633[[#This Row],[VAT 2015]]</f>
        <v>291.77793394237523</v>
      </c>
      <c r="Q42" s="397"/>
      <c r="R42" s="2211">
        <f t="shared" ref="R42:W42" si="10">SUM(F42:F46)/5</f>
        <v>0</v>
      </c>
      <c r="S42" s="2212">
        <f t="shared" si="10"/>
        <v>241.18060435699226</v>
      </c>
      <c r="T42" s="2213">
        <f t="shared" si="10"/>
        <v>0</v>
      </c>
      <c r="U42" s="2214">
        <f t="shared" si="10"/>
        <v>241.18060435699226</v>
      </c>
      <c r="V42" s="2215">
        <f t="shared" si="10"/>
        <v>21.925509486999296</v>
      </c>
      <c r="W42" s="2216">
        <f t="shared" si="10"/>
        <v>47.786366830639487</v>
      </c>
      <c r="X42" s="2217">
        <f>SUM(M42:M46)/5</f>
        <v>0</v>
      </c>
      <c r="Y42" s="2218">
        <f t="shared" ref="Y42:Z42" si="11">SUM(O42:O46)/5</f>
        <v>63.078004216444128</v>
      </c>
      <c r="Z42" s="2219">
        <f t="shared" si="11"/>
        <v>373.97048489107516</v>
      </c>
      <c r="AA42" s="397"/>
      <c r="AB42" s="396" t="s">
        <v>429</v>
      </c>
      <c r="AC42" s="396" t="s">
        <v>429</v>
      </c>
      <c r="AD42" s="396"/>
      <c r="AE42" s="396"/>
      <c r="AF42" s="396"/>
      <c r="AG42" s="396" t="s">
        <v>429</v>
      </c>
      <c r="AH42" s="398"/>
      <c r="AI42" s="397"/>
    </row>
    <row r="43" spans="1:35" ht="15.75" customHeight="1" x14ac:dyDescent="0.25">
      <c r="A43" s="1834"/>
      <c r="B43" s="1617"/>
      <c r="C43" s="1242" t="s">
        <v>74</v>
      </c>
      <c r="D43" s="2157"/>
      <c r="E43" s="305">
        <f>'[1]exchange rates'!K9</f>
        <v>1.423</v>
      </c>
      <c r="F43" s="310">
        <v>0</v>
      </c>
      <c r="G43" s="311">
        <f>254/E43</f>
        <v>178.49613492621222</v>
      </c>
      <c r="H43" s="312">
        <v>0</v>
      </c>
      <c r="I43" s="313">
        <f>Tabel6689172633[[#This Row],[Fix.ch. 2015]]+Tabel6689172633[[#This Row],[Var. ch. 2015]]+Tabel6689172633[[#This Row],[Oth. ch. DW 2015]]</f>
        <v>178.49613492621222</v>
      </c>
      <c r="J43" s="314">
        <f>48/E43</f>
        <v>33.731553056921996</v>
      </c>
      <c r="K43" s="315">
        <f>122/E43</f>
        <v>85.734364019676732</v>
      </c>
      <c r="L43" s="315"/>
      <c r="M43" s="316">
        <v>0</v>
      </c>
      <c r="N43" s="1227">
        <f>Tabel6689172633[[#This Row],[Sew. 2015]]+Tabel6689172633[[#This Row],[WW 2015]]+Tabel6689172633[[#This Row],[Other ch. 2015]]</f>
        <v>119.46591707659873</v>
      </c>
      <c r="O43" s="317">
        <f>84.8/E43</f>
        <v>59.592410400562187</v>
      </c>
      <c r="P43" s="318">
        <f>Tabel6689172633[[#This Row],[Total. ch. DW 2015]]+Tabel6689172633[[#This Row],[Sew. 2015]]+Tabel6689172633[[#This Row],[WW 2015]]+Tabel6689172633[[#This Row],[Other ch. 2015]]+Tabel6689172633[[#This Row],[VAT 2015]]</f>
        <v>357.55446240337312</v>
      </c>
      <c r="Q43" s="397"/>
      <c r="R43" s="2158"/>
      <c r="S43" s="2159"/>
      <c r="T43" s="2160"/>
      <c r="U43" s="2141"/>
      <c r="V43" s="2142"/>
      <c r="W43" s="2143"/>
      <c r="X43" s="2144"/>
      <c r="Y43" s="2145"/>
      <c r="Z43" s="2146"/>
      <c r="AA43" s="397"/>
      <c r="AB43" s="396" t="s">
        <v>429</v>
      </c>
      <c r="AC43" s="396" t="s">
        <v>429</v>
      </c>
      <c r="AD43" s="396"/>
      <c r="AE43" s="396"/>
      <c r="AF43" s="396"/>
      <c r="AG43" s="396" t="s">
        <v>429</v>
      </c>
      <c r="AH43" s="398"/>
      <c r="AI43" s="397"/>
    </row>
    <row r="44" spans="1:35" ht="15.75" customHeight="1" x14ac:dyDescent="0.25">
      <c r="A44" s="1834"/>
      <c r="B44" s="1617"/>
      <c r="C44" s="1242" t="s">
        <v>75</v>
      </c>
      <c r="D44" s="2157"/>
      <c r="E44" s="305">
        <f>'[1]exchange rates'!K9</f>
        <v>1.423</v>
      </c>
      <c r="F44" s="310">
        <v>0</v>
      </c>
      <c r="G44" s="311">
        <f>334/E44</f>
        <v>234.71539002108221</v>
      </c>
      <c r="H44" s="312">
        <v>0</v>
      </c>
      <c r="I44" s="313">
        <f>Tabel6689172633[[#This Row],[Fix.ch. 2015]]+Tabel6689172633[[#This Row],[Var. ch. 2015]]+Tabel6689172633[[#This Row],[Oth. ch. DW 2015]]</f>
        <v>234.71539002108221</v>
      </c>
      <c r="J44" s="314">
        <f>24/E44</f>
        <v>16.865776528460998</v>
      </c>
      <c r="K44" s="315">
        <f>38/E44</f>
        <v>26.704146170063247</v>
      </c>
      <c r="L44" s="315"/>
      <c r="M44" s="316">
        <v>0</v>
      </c>
      <c r="N44" s="1227">
        <f>Tabel6689172633[[#This Row],[Sew. 2015]]+Tabel6689172633[[#This Row],[WW 2015]]+Tabel6689172633[[#This Row],[Other ch. 2015]]</f>
        <v>43.569922698524245</v>
      </c>
      <c r="O44" s="317">
        <f>79.2/E44</f>
        <v>55.657062543921292</v>
      </c>
      <c r="P44" s="318">
        <f>Tabel6689172633[[#This Row],[Total. ch. DW 2015]]+Tabel6689172633[[#This Row],[Sew. 2015]]+Tabel6689172633[[#This Row],[WW 2015]]+Tabel6689172633[[#This Row],[Other ch. 2015]]+Tabel6689172633[[#This Row],[VAT 2015]]</f>
        <v>333.94237526352777</v>
      </c>
      <c r="Q44" s="397"/>
      <c r="R44" s="2158"/>
      <c r="S44" s="2159"/>
      <c r="T44" s="2160"/>
      <c r="U44" s="2141"/>
      <c r="V44" s="2142"/>
      <c r="W44" s="2143"/>
      <c r="X44" s="2144"/>
      <c r="Y44" s="2145"/>
      <c r="Z44" s="2146"/>
      <c r="AA44" s="397"/>
      <c r="AB44" s="396" t="s">
        <v>429</v>
      </c>
      <c r="AC44" s="396" t="s">
        <v>429</v>
      </c>
      <c r="AD44" s="396"/>
      <c r="AE44" s="396"/>
      <c r="AF44" s="396"/>
      <c r="AG44" s="396" t="s">
        <v>429</v>
      </c>
      <c r="AH44" s="398"/>
      <c r="AI44" s="397"/>
    </row>
    <row r="45" spans="1:35" ht="15.75" customHeight="1" x14ac:dyDescent="0.25">
      <c r="A45" s="1834"/>
      <c r="B45" s="1617"/>
      <c r="C45" s="1242" t="s">
        <v>76</v>
      </c>
      <c r="D45" s="2157"/>
      <c r="E45" s="305">
        <f>'[1]exchange rates'!K9</f>
        <v>1.423</v>
      </c>
      <c r="F45" s="310">
        <v>0</v>
      </c>
      <c r="G45" s="311">
        <f>476/E45</f>
        <v>334.50456781447645</v>
      </c>
      <c r="H45" s="312">
        <v>0</v>
      </c>
      <c r="I45" s="313">
        <f>Tabel6689172633[[#This Row],[Fix.ch. 2015]]+Tabel6689172633[[#This Row],[Var. ch. 2015]]+Tabel6689172633[[#This Row],[Oth. ch. DW 2015]]</f>
        <v>334.50456781447645</v>
      </c>
      <c r="J45" s="314">
        <f>26/E45</f>
        <v>18.271257905832748</v>
      </c>
      <c r="K45" s="315">
        <f>36/E45</f>
        <v>25.298664792691497</v>
      </c>
      <c r="L45" s="315"/>
      <c r="M45" s="316">
        <v>0</v>
      </c>
      <c r="N45" s="1227">
        <f>Tabel6689172633[[#This Row],[Sew. 2015]]+Tabel6689172633[[#This Row],[WW 2015]]+Tabel6689172633[[#This Row],[Other ch. 2015]]</f>
        <v>43.569922698524245</v>
      </c>
      <c r="O45" s="317">
        <f>107.6/E45</f>
        <v>75.614898102600137</v>
      </c>
      <c r="P45" s="318">
        <f>Tabel6689172633[[#This Row],[Total. ch. DW 2015]]+Tabel6689172633[[#This Row],[Sew. 2015]]+Tabel6689172633[[#This Row],[WW 2015]]+Tabel6689172633[[#This Row],[Other ch. 2015]]+Tabel6689172633[[#This Row],[VAT 2015]]</f>
        <v>453.68938861560082</v>
      </c>
      <c r="Q45" s="397"/>
      <c r="R45" s="2158"/>
      <c r="S45" s="2159"/>
      <c r="T45" s="2160"/>
      <c r="U45" s="2141"/>
      <c r="V45" s="2142"/>
      <c r="W45" s="2143"/>
      <c r="X45" s="2144"/>
      <c r="Y45" s="2145"/>
      <c r="Z45" s="2146"/>
      <c r="AA45" s="397"/>
      <c r="AB45" s="396" t="s">
        <v>429</v>
      </c>
      <c r="AC45" s="396" t="s">
        <v>429</v>
      </c>
      <c r="AD45" s="396"/>
      <c r="AE45" s="396"/>
      <c r="AF45" s="396"/>
      <c r="AG45" s="396" t="s">
        <v>429</v>
      </c>
      <c r="AH45" s="398"/>
      <c r="AI45" s="397"/>
    </row>
    <row r="46" spans="1:35" ht="16.5" customHeight="1" thickBot="1" x14ac:dyDescent="0.3">
      <c r="A46" s="1835"/>
      <c r="B46" s="1617"/>
      <c r="C46" s="1242" t="s">
        <v>77</v>
      </c>
      <c r="D46" s="2221"/>
      <c r="E46" s="305">
        <f>'[1]exchange rates'!K9</f>
        <v>1.423</v>
      </c>
      <c r="F46" s="310">
        <v>0</v>
      </c>
      <c r="G46" s="311">
        <f>420/E46</f>
        <v>295.15108924806748</v>
      </c>
      <c r="H46" s="312">
        <v>0</v>
      </c>
      <c r="I46" s="313">
        <f>Tabel6689172633[[#This Row],[Fix.ch. 2015]]+Tabel6689172633[[#This Row],[Var. ch. 2015]]+Tabel6689172633[[#This Row],[Oth. ch. DW 2015]]</f>
        <v>295.15108924806748</v>
      </c>
      <c r="J46" s="314">
        <f>12/E46</f>
        <v>8.432888264230499</v>
      </c>
      <c r="K46" s="315">
        <f>76/E46</f>
        <v>53.408292340126494</v>
      </c>
      <c r="L46" s="315"/>
      <c r="M46" s="316">
        <v>0</v>
      </c>
      <c r="N46" s="1227">
        <f>Tabel6689172633[[#This Row],[Sew. 2015]]+Tabel6689172633[[#This Row],[WW 2015]]+Tabel6689172633[[#This Row],[Other ch. 2015]]</f>
        <v>61.841180604356992</v>
      </c>
      <c r="O46" s="317">
        <f>108/E46</f>
        <v>75.895994378074491</v>
      </c>
      <c r="P46" s="318">
        <f>Tabel6689172633[[#This Row],[Total. ch. DW 2015]]+Tabel6689172633[[#This Row],[Sew. 2015]]+Tabel6689172633[[#This Row],[WW 2015]]+Tabel6689172633[[#This Row],[Other ch. 2015]]+Tabel6689172633[[#This Row],[VAT 2015]]</f>
        <v>432.88826423049892</v>
      </c>
      <c r="Q46" s="397"/>
      <c r="R46" s="2223"/>
      <c r="S46" s="2225"/>
      <c r="T46" s="2227"/>
      <c r="U46" s="2234"/>
      <c r="V46" s="2236"/>
      <c r="W46" s="2238"/>
      <c r="X46" s="2240"/>
      <c r="Y46" s="2242"/>
      <c r="Z46" s="2244"/>
      <c r="AA46" s="397"/>
      <c r="AB46" s="396" t="s">
        <v>429</v>
      </c>
      <c r="AC46" s="396" t="s">
        <v>429</v>
      </c>
      <c r="AD46" s="396"/>
      <c r="AE46" s="396"/>
      <c r="AF46" s="396"/>
      <c r="AG46" s="396" t="s">
        <v>429</v>
      </c>
      <c r="AH46" s="398"/>
      <c r="AI46" s="397"/>
    </row>
    <row r="47" spans="1:35" ht="16.5" customHeight="1" thickBot="1" x14ac:dyDescent="0.3">
      <c r="A47" s="1166" t="s">
        <v>501</v>
      </c>
      <c r="B47" s="1617"/>
      <c r="C47" s="1045" t="s">
        <v>504</v>
      </c>
      <c r="D47" s="1243">
        <v>1500</v>
      </c>
      <c r="E47" s="305">
        <v>506.17869999999999</v>
      </c>
      <c r="F47" s="310">
        <f>12000/E47</f>
        <v>23.707042591875162</v>
      </c>
      <c r="G47" s="311">
        <f>64348/E47</f>
        <v>127.12506472516525</v>
      </c>
      <c r="H47" s="312">
        <v>0</v>
      </c>
      <c r="I47" s="313">
        <f>Tabel6689172633[[#This Row],[Fix.ch. 2015]]+Tabel6689172633[[#This Row],[Var. ch. 2015]]+Tabel6689172633[[#This Row],[Oth. ch. DW 2015]]</f>
        <v>150.8321073170404</v>
      </c>
      <c r="J47" s="314">
        <f>12000/E47</f>
        <v>23.707042591875162</v>
      </c>
      <c r="K47" s="315">
        <v>0</v>
      </c>
      <c r="L47" s="315"/>
      <c r="M47" s="316">
        <v>0</v>
      </c>
      <c r="N47" s="1227">
        <f>Tabel6689172633[[#This Row],[Sew. 2015]]+Tabel6689172633[[#This Row],[WW 2015]]+Tabel6689172633[[#This Row],[Other ch. 2015]]</f>
        <v>23.707042591875162</v>
      </c>
      <c r="O47" s="317">
        <f>15903/E47</f>
        <v>31.417758194882559</v>
      </c>
      <c r="P47" s="318">
        <f>Tabel6689172633[[#This Row],[Total. ch. DW 2015]]+Tabel6689172633[[#This Row],[Sew. 2015]]+Tabel6689172633[[#This Row],[WW 2015]]+Tabel6689172633[[#This Row],[Other ch. 2015]]+Tabel6689172633[[#This Row],[VAT 2015]]</f>
        <v>205.95690810379813</v>
      </c>
      <c r="Q47" s="397"/>
      <c r="R47" s="1147">
        <f>Tabel6689172633[[#This Row],[Fix.ch. 2015]]</f>
        <v>23.707042591875162</v>
      </c>
      <c r="S47" s="1148">
        <f>Tabel6689172633[[#This Row],[Var. ch. 2015]]</f>
        <v>127.12506472516525</v>
      </c>
      <c r="T47" s="1149">
        <v>0</v>
      </c>
      <c r="U47" s="1150">
        <f>Tabel6689172633[[#This Row],[Total. ch. DW 2015]]</f>
        <v>150.8321073170404</v>
      </c>
      <c r="V47" s="1151">
        <f>Tabel6689172633[[#This Row],[Sew. 2015]]</f>
        <v>23.707042591875162</v>
      </c>
      <c r="W47" s="1152">
        <v>0</v>
      </c>
      <c r="X47" s="1153">
        <v>0</v>
      </c>
      <c r="Y47" s="1154">
        <f>Tabel6689172633[[#This Row],[VAT 2015]]</f>
        <v>31.417758194882559</v>
      </c>
      <c r="Z47" s="1155">
        <f>Tabel6689172633[[#This Row],[total charge 2015]]</f>
        <v>205.95690810379813</v>
      </c>
      <c r="AA47" s="397"/>
      <c r="AB47" s="396"/>
      <c r="AC47" s="396"/>
      <c r="AD47" s="396"/>
      <c r="AE47" s="396" t="s">
        <v>429</v>
      </c>
      <c r="AF47" s="396" t="s">
        <v>429</v>
      </c>
      <c r="AG47" s="396"/>
      <c r="AH47" s="398"/>
      <c r="AI47" s="397"/>
    </row>
    <row r="48" spans="1:35" ht="16.5" customHeight="1" x14ac:dyDescent="0.25">
      <c r="A48" s="1878" t="s">
        <v>343</v>
      </c>
      <c r="B48" s="1213"/>
      <c r="C48" s="806" t="s">
        <v>548</v>
      </c>
      <c r="D48" s="1759">
        <v>45900</v>
      </c>
      <c r="E48" s="647">
        <f>'[1]exchange rates'!$M$11</f>
        <v>1.39011</v>
      </c>
      <c r="F48" s="625">
        <f>189.6/E48</f>
        <v>136.39208407967715</v>
      </c>
      <c r="G48" s="593">
        <f>353.96/E48</f>
        <v>254.6273316500133</v>
      </c>
      <c r="H48" s="594">
        <v>0</v>
      </c>
      <c r="I48" s="566">
        <f>Tabel6689172633[[#This Row],[Fix.ch. 2015]]+Tabel6689172633[[#This Row],[Var. ch. 2015]]+Tabel6689172633[[#This Row],[Oth. ch. DW 2015]]</f>
        <v>391.01941572969042</v>
      </c>
      <c r="J48" s="596">
        <v>0</v>
      </c>
      <c r="K48" s="626">
        <f>467.8/E48</f>
        <v>336.52013150038488</v>
      </c>
      <c r="L48" s="626"/>
      <c r="M48" s="597">
        <v>0</v>
      </c>
      <c r="N48" s="1238">
        <f>Tabel6689172633[[#This Row],[Sew. 2015]]+Tabel6689172633[[#This Row],[WW 2015]]+Tabel6689172633[[#This Row],[Other ch. 2015]]</f>
        <v>336.52013150038488</v>
      </c>
      <c r="O48" s="570">
        <v>0</v>
      </c>
      <c r="P48" s="571">
        <f>Tabel6689172633[[#This Row],[Total. ch. DW 2015]]+Tabel6689172633[[#This Row],[Sew. 2015]]+Tabel6689172633[[#This Row],[WW 2015]]+Tabel6689172633[[#This Row],[Other ch. 2015]]+Tabel6689172633[[#This Row],[VAT 2015]]</f>
        <v>727.5395472300753</v>
      </c>
      <c r="Q48" s="397"/>
      <c r="R48" s="1762">
        <f t="shared" ref="R48:W48" si="12">SUM(F48:F52)/5</f>
        <v>170.30594701138756</v>
      </c>
      <c r="S48" s="1765">
        <f t="shared" si="12"/>
        <v>161.53541806044126</v>
      </c>
      <c r="T48" s="1768">
        <f t="shared" si="12"/>
        <v>0</v>
      </c>
      <c r="U48" s="1774">
        <f t="shared" si="12"/>
        <v>331.84136507182887</v>
      </c>
      <c r="V48" s="1777">
        <f t="shared" si="12"/>
        <v>0</v>
      </c>
      <c r="W48" s="1810">
        <f t="shared" si="12"/>
        <v>276.10620742243424</v>
      </c>
      <c r="X48" s="1812">
        <f>SUM(M48:M52)/5</f>
        <v>0</v>
      </c>
      <c r="Y48" s="1814">
        <f t="shared" ref="Y48" si="13">SUM(O48:O52)/5</f>
        <v>0</v>
      </c>
      <c r="Z48" s="1793">
        <f>SUM(P48:P52)/5</f>
        <v>607.947572494263</v>
      </c>
      <c r="AA48" s="397"/>
      <c r="AB48" s="591"/>
      <c r="AC48" s="591" t="s">
        <v>429</v>
      </c>
      <c r="AD48" s="591"/>
      <c r="AE48" s="591"/>
      <c r="AF48" s="591" t="s">
        <v>429</v>
      </c>
      <c r="AG48" s="591" t="s">
        <v>429</v>
      </c>
      <c r="AH48" s="614"/>
      <c r="AI48" s="397"/>
    </row>
    <row r="49" spans="1:35" ht="16.5" customHeight="1" x14ac:dyDescent="0.25">
      <c r="A49" s="1757"/>
      <c r="B49" s="1213"/>
      <c r="C49" s="733" t="s">
        <v>549</v>
      </c>
      <c r="D49" s="1880"/>
      <c r="E49" s="647">
        <f>'[1]exchange rates'!$M$11</f>
        <v>1.39011</v>
      </c>
      <c r="F49" s="625">
        <f>130.2/E49</f>
        <v>93.661652674968167</v>
      </c>
      <c r="G49" s="593">
        <f>290/E49</f>
        <v>208.61658429908425</v>
      </c>
      <c r="H49" s="594">
        <v>0</v>
      </c>
      <c r="I49" s="566">
        <f>Tabel6689172633[[#This Row],[Fix.ch. 2015]]+Tabel6689172633[[#This Row],[Var. ch. 2015]]+Tabel6689172633[[#This Row],[Oth. ch. DW 2015]]</f>
        <v>302.27823697405245</v>
      </c>
      <c r="J49" s="596">
        <v>0</v>
      </c>
      <c r="K49" s="626">
        <f>456/E49</f>
        <v>328.03159462200836</v>
      </c>
      <c r="L49" s="626"/>
      <c r="M49" s="597">
        <v>0</v>
      </c>
      <c r="N49" s="1238">
        <f>Tabel6689172633[[#This Row],[Sew. 2015]]+Tabel6689172633[[#This Row],[WW 2015]]+Tabel6689172633[[#This Row],[Other ch. 2015]]</f>
        <v>328.03159462200836</v>
      </c>
      <c r="O49" s="570">
        <v>0</v>
      </c>
      <c r="P49" s="571">
        <f>Tabel6689172633[[#This Row],[Total. ch. DW 2015]]+Tabel6689172633[[#This Row],[Sew. 2015]]+Tabel6689172633[[#This Row],[WW 2015]]+Tabel6689172633[[#This Row],[Other ch. 2015]]+Tabel6689172633[[#This Row],[VAT 2015]]</f>
        <v>630.3098315960608</v>
      </c>
      <c r="Q49" s="397"/>
      <c r="R49" s="1886"/>
      <c r="S49" s="1888"/>
      <c r="T49" s="1890"/>
      <c r="U49" s="1892"/>
      <c r="V49" s="1894"/>
      <c r="W49" s="1911"/>
      <c r="X49" s="1913"/>
      <c r="Y49" s="1915"/>
      <c r="Z49" s="1832"/>
      <c r="AA49" s="397"/>
      <c r="AB49" s="591"/>
      <c r="AC49" s="591"/>
      <c r="AD49" s="591" t="s">
        <v>429</v>
      </c>
      <c r="AE49" s="591"/>
      <c r="AF49" s="591" t="s">
        <v>429</v>
      </c>
      <c r="AG49" s="591" t="s">
        <v>429</v>
      </c>
      <c r="AH49" s="614"/>
      <c r="AI49" s="397"/>
    </row>
    <row r="50" spans="1:35" ht="16.5" customHeight="1" x14ac:dyDescent="0.25">
      <c r="A50" s="1757"/>
      <c r="B50" s="1213"/>
      <c r="C50" s="733" t="s">
        <v>722</v>
      </c>
      <c r="D50" s="1880"/>
      <c r="E50" s="647">
        <f>'[1]exchange rates'!$M$11</f>
        <v>1.39011</v>
      </c>
      <c r="F50" s="625">
        <f>105.6/E50</f>
        <v>75.965211386149292</v>
      </c>
      <c r="G50" s="593">
        <f>290/E50</f>
        <v>208.61658429908425</v>
      </c>
      <c r="H50" s="594">
        <v>0</v>
      </c>
      <c r="I50" s="566">
        <f>Tabel6689172633[[#This Row],[Fix.ch. 2015]]+Tabel6689172633[[#This Row],[Var. ch. 2015]]+Tabel6689172633[[#This Row],[Oth. ch. DW 2015]]</f>
        <v>284.58179568523354</v>
      </c>
      <c r="J50" s="596">
        <v>0</v>
      </c>
      <c r="K50" s="626">
        <f>285.6/E50</f>
        <v>205.45136715799472</v>
      </c>
      <c r="L50" s="626"/>
      <c r="M50" s="597">
        <v>0</v>
      </c>
      <c r="N50" s="1238">
        <f>Tabel6689172633[[#This Row],[Sew. 2015]]+Tabel6689172633[[#This Row],[WW 2015]]+Tabel6689172633[[#This Row],[Other ch. 2015]]</f>
        <v>205.45136715799472</v>
      </c>
      <c r="O50" s="570">
        <v>0</v>
      </c>
      <c r="P50" s="571">
        <f>Tabel6689172633[[#This Row],[Total. ch. DW 2015]]+Tabel6689172633[[#This Row],[Sew. 2015]]+Tabel6689172633[[#This Row],[WW 2015]]+Tabel6689172633[[#This Row],[Other ch. 2015]]+Tabel6689172633[[#This Row],[VAT 2015]]</f>
        <v>490.0331628432283</v>
      </c>
      <c r="Q50" s="397"/>
      <c r="R50" s="1886"/>
      <c r="S50" s="1888"/>
      <c r="T50" s="1890"/>
      <c r="U50" s="1892"/>
      <c r="V50" s="1894"/>
      <c r="W50" s="1911"/>
      <c r="X50" s="1913"/>
      <c r="Y50" s="1915"/>
      <c r="Z50" s="1832"/>
      <c r="AA50" s="397"/>
      <c r="AB50" s="591"/>
      <c r="AC50" s="591"/>
      <c r="AD50" s="591"/>
      <c r="AE50" s="591" t="s">
        <v>429</v>
      </c>
      <c r="AF50" s="591" t="s">
        <v>429</v>
      </c>
      <c r="AG50" s="591" t="s">
        <v>429</v>
      </c>
      <c r="AH50" s="614"/>
      <c r="AI50" s="397"/>
    </row>
    <row r="51" spans="1:35" ht="16.5" customHeight="1" x14ac:dyDescent="0.25">
      <c r="A51" s="1757"/>
      <c r="B51" s="1213"/>
      <c r="C51" s="733" t="s">
        <v>723</v>
      </c>
      <c r="D51" s="1880"/>
      <c r="E51" s="647">
        <f>'[1]exchange rates'!$M$11</f>
        <v>1.39011</v>
      </c>
      <c r="F51" s="625">
        <f>568/E51</f>
        <v>408.60075821337881</v>
      </c>
      <c r="G51" s="593">
        <f>0</f>
        <v>0</v>
      </c>
      <c r="H51" s="594">
        <v>0</v>
      </c>
      <c r="I51" s="566">
        <f>Tabel6689172633[[#This Row],[Fix.ch. 2015]]+Tabel6689172633[[#This Row],[Var. ch. 2015]]+Tabel6689172633[[#This Row],[Oth. ch. DW 2015]]</f>
        <v>408.60075821337881</v>
      </c>
      <c r="J51" s="596">
        <v>0</v>
      </c>
      <c r="K51" s="626">
        <f>314/E51</f>
        <v>225.88140506866364</v>
      </c>
      <c r="L51" s="626"/>
      <c r="M51" s="597">
        <v>0</v>
      </c>
      <c r="N51" s="1238">
        <f>Tabel6689172633[[#This Row],[Sew. 2015]]+Tabel6689172633[[#This Row],[WW 2015]]+Tabel6689172633[[#This Row],[Other ch. 2015]]</f>
        <v>225.88140506866364</v>
      </c>
      <c r="O51" s="570">
        <v>0</v>
      </c>
      <c r="P51" s="571">
        <f>Tabel6689172633[[#This Row],[Total. ch. DW 2015]]+Tabel6689172633[[#This Row],[Sew. 2015]]+Tabel6689172633[[#This Row],[WW 2015]]+Tabel6689172633[[#This Row],[Other ch. 2015]]+Tabel6689172633[[#This Row],[VAT 2015]]</f>
        <v>634.48216328204239</v>
      </c>
      <c r="Q51" s="397"/>
      <c r="R51" s="1886"/>
      <c r="S51" s="1888"/>
      <c r="T51" s="1890"/>
      <c r="U51" s="1892"/>
      <c r="V51" s="1894"/>
      <c r="W51" s="1911"/>
      <c r="X51" s="1913"/>
      <c r="Y51" s="1915"/>
      <c r="Z51" s="1832"/>
      <c r="AA51" s="397"/>
      <c r="AB51" s="591" t="s">
        <v>429</v>
      </c>
      <c r="AC51" s="591"/>
      <c r="AD51" s="591"/>
      <c r="AE51" s="591"/>
      <c r="AF51" s="591" t="s">
        <v>429</v>
      </c>
      <c r="AG51" s="591" t="s">
        <v>429</v>
      </c>
      <c r="AH51" s="614"/>
      <c r="AI51" s="397"/>
    </row>
    <row r="52" spans="1:35" ht="16.5" customHeight="1" thickBot="1" x14ac:dyDescent="0.3">
      <c r="A52" s="1758"/>
      <c r="B52" s="1213"/>
      <c r="C52" s="807" t="s">
        <v>552</v>
      </c>
      <c r="D52" s="1761"/>
      <c r="E52" s="647">
        <f>'[1]exchange rates'!$M$11</f>
        <v>1.39011</v>
      </c>
      <c r="F52" s="625">
        <f>190.32/E52</f>
        <v>136.91002870276452</v>
      </c>
      <c r="G52" s="593">
        <f>188.8/E52</f>
        <v>135.81659005402452</v>
      </c>
      <c r="H52" s="594">
        <v>0</v>
      </c>
      <c r="I52" s="566">
        <f>Tabel6689172633[[#This Row],[Fix.ch. 2015]]+Tabel6689172633[[#This Row],[Var. ch. 2015]]+Tabel6689172633[[#This Row],[Oth. ch. DW 2015]]</f>
        <v>272.72661875678904</v>
      </c>
      <c r="J52" s="596">
        <v>0</v>
      </c>
      <c r="K52" s="626">
        <f>395.69/E52</f>
        <v>284.64653876311945</v>
      </c>
      <c r="L52" s="626"/>
      <c r="M52" s="597">
        <v>0</v>
      </c>
      <c r="N52" s="1238">
        <f>Tabel6689172633[[#This Row],[Sew. 2015]]+Tabel6689172633[[#This Row],[WW 2015]]+Tabel6689172633[[#This Row],[Other ch. 2015]]</f>
        <v>284.64653876311945</v>
      </c>
      <c r="O52" s="570">
        <v>0</v>
      </c>
      <c r="P52" s="571">
        <f>Tabel6689172633[[#This Row],[Total. ch. DW 2015]]+Tabel6689172633[[#This Row],[Sew. 2015]]+Tabel6689172633[[#This Row],[WW 2015]]+Tabel6689172633[[#This Row],[Other ch. 2015]]+Tabel6689172633[[#This Row],[VAT 2015]]</f>
        <v>557.37315751990855</v>
      </c>
      <c r="Q52" s="397"/>
      <c r="R52" s="1764"/>
      <c r="S52" s="1767"/>
      <c r="T52" s="1770"/>
      <c r="U52" s="1776"/>
      <c r="V52" s="1779"/>
      <c r="W52" s="1811"/>
      <c r="X52" s="1813"/>
      <c r="Y52" s="1815"/>
      <c r="Z52" s="1794"/>
      <c r="AA52" s="397"/>
      <c r="AB52" s="591"/>
      <c r="AC52" s="591"/>
      <c r="AD52" s="591" t="s">
        <v>429</v>
      </c>
      <c r="AE52" s="591"/>
      <c r="AF52" s="591" t="s">
        <v>429</v>
      </c>
      <c r="AG52" s="591" t="s">
        <v>429</v>
      </c>
      <c r="AH52" s="614"/>
      <c r="AI52" s="397"/>
    </row>
    <row r="53" spans="1:35" ht="16.5" customHeight="1" x14ac:dyDescent="0.25">
      <c r="A53" s="1818" t="s">
        <v>489</v>
      </c>
      <c r="B53" s="1213"/>
      <c r="C53" s="735" t="s">
        <v>728</v>
      </c>
      <c r="D53" s="1760">
        <v>23800</v>
      </c>
      <c r="E53" s="616">
        <f>'[1]exchange rates'!$M$12</f>
        <v>711.02919999999995</v>
      </c>
      <c r="F53" s="625">
        <f>10990/E53</f>
        <v>15.456467891895299</v>
      </c>
      <c r="G53" s="593">
        <f>284335/E53</f>
        <v>399.89215632775705</v>
      </c>
      <c r="H53" s="594">
        <v>0</v>
      </c>
      <c r="I53" s="566">
        <f>Tabel6689172633[[#This Row],[Fix.ch. 2015]]+Tabel6689172633[[#This Row],[Var. ch. 2015]]+Tabel6689172633[[#This Row],[Oth. ch. DW 2015]]</f>
        <v>415.34862421965232</v>
      </c>
      <c r="J53" s="596">
        <f>64761/E53</f>
        <v>91.080647602095667</v>
      </c>
      <c r="K53" s="626">
        <v>0</v>
      </c>
      <c r="L53" s="626"/>
      <c r="M53" s="597">
        <v>0</v>
      </c>
      <c r="N53" s="1238">
        <f>Tabel6689172633[[#This Row],[Sew. 2015]]+Tabel6689172633[[#This Row],[WW 2015]]+Tabel6689172633[[#This Row],[Other ch. 2015]]</f>
        <v>91.080647602095667</v>
      </c>
      <c r="O53" s="570">
        <v>0</v>
      </c>
      <c r="P53" s="571">
        <f>Tabel6689172633[[#This Row],[Total. ch. DW 2015]]+Tabel6689172633[[#This Row],[Sew. 2015]]+Tabel6689172633[[#This Row],[WW 2015]]+Tabel6689172633[[#This Row],[Other ch. 2015]]+Tabel6689172633[[#This Row],[VAT 2015]]</f>
        <v>506.42927182174799</v>
      </c>
      <c r="Q53" s="397"/>
      <c r="R53" s="1762">
        <f t="shared" ref="R53:W53" si="14">SUM(F53:F58)/6</f>
        <v>15.079549475605225</v>
      </c>
      <c r="S53" s="1765">
        <f t="shared" si="14"/>
        <v>184.98490169836438</v>
      </c>
      <c r="T53" s="1768">
        <f t="shared" si="14"/>
        <v>0</v>
      </c>
      <c r="U53" s="1774">
        <f t="shared" si="14"/>
        <v>200.06445117396959</v>
      </c>
      <c r="V53" s="1777">
        <f t="shared" si="14"/>
        <v>140.20872841790464</v>
      </c>
      <c r="W53" s="1810">
        <f t="shared" si="14"/>
        <v>0</v>
      </c>
      <c r="X53" s="1812">
        <f>SUM(M53:M58)/6</f>
        <v>0</v>
      </c>
      <c r="Y53" s="1814">
        <f t="shared" ref="Y53:Z53" si="15">SUM(O53:O58)/6</f>
        <v>0</v>
      </c>
      <c r="Z53" s="1793">
        <f t="shared" si="15"/>
        <v>340.27317959187428</v>
      </c>
      <c r="AA53" s="397"/>
      <c r="AB53" s="396"/>
      <c r="AC53" s="396"/>
      <c r="AD53" s="396"/>
      <c r="AE53" s="396"/>
      <c r="AF53" s="396"/>
      <c r="AG53" s="396"/>
      <c r="AH53" s="398"/>
      <c r="AI53" s="397"/>
    </row>
    <row r="54" spans="1:35" ht="16.5" customHeight="1" x14ac:dyDescent="0.25">
      <c r="A54" s="1819"/>
      <c r="B54" s="1213"/>
      <c r="C54" s="735" t="s">
        <v>492</v>
      </c>
      <c r="D54" s="1760"/>
      <c r="E54" s="616">
        <f>'[1]exchange rates'!$M$12</f>
        <v>711.02919999999995</v>
      </c>
      <c r="F54" s="625">
        <f>12717/E54</f>
        <v>17.885341417764561</v>
      </c>
      <c r="G54" s="593">
        <f>135129/E54</f>
        <v>190.04704729426021</v>
      </c>
      <c r="H54" s="594">
        <v>0</v>
      </c>
      <c r="I54" s="566">
        <f>Tabel6689172633[[#This Row],[Fix.ch. 2015]]+Tabel6689172633[[#This Row],[Var. ch. 2015]]+Tabel6689172633[[#This Row],[Oth. ch. DW 2015]]</f>
        <v>207.93238871202476</v>
      </c>
      <c r="J54" s="596">
        <f>99461/E54</f>
        <v>139.88314403965407</v>
      </c>
      <c r="K54" s="626">
        <v>0</v>
      </c>
      <c r="L54" s="626"/>
      <c r="M54" s="597">
        <v>0</v>
      </c>
      <c r="N54" s="1238">
        <f>Tabel6689172633[[#This Row],[Sew. 2015]]+Tabel6689172633[[#This Row],[WW 2015]]+Tabel6689172633[[#This Row],[Other ch. 2015]]</f>
        <v>139.88314403965407</v>
      </c>
      <c r="O54" s="570">
        <v>0</v>
      </c>
      <c r="P54" s="571">
        <f>Tabel6689172633[[#This Row],[Total. ch. DW 2015]]+Tabel6689172633[[#This Row],[Sew. 2015]]+Tabel6689172633[[#This Row],[WW 2015]]+Tabel6689172633[[#This Row],[Other ch. 2015]]+Tabel6689172633[[#This Row],[VAT 2015]]</f>
        <v>347.8155327516788</v>
      </c>
      <c r="Q54" s="397"/>
      <c r="R54" s="1763"/>
      <c r="S54" s="1766"/>
      <c r="T54" s="1769"/>
      <c r="U54" s="1775"/>
      <c r="V54" s="1778"/>
      <c r="W54" s="1781"/>
      <c r="X54" s="1785"/>
      <c r="Y54" s="1788"/>
      <c r="Z54" s="1791"/>
      <c r="AA54" s="397"/>
      <c r="AB54" s="396"/>
      <c r="AC54" s="396"/>
      <c r="AD54" s="396"/>
      <c r="AE54" s="396"/>
      <c r="AF54" s="396"/>
      <c r="AG54" s="396"/>
      <c r="AH54" s="398"/>
      <c r="AI54" s="397"/>
    </row>
    <row r="55" spans="1:35" ht="16.5" customHeight="1" x14ac:dyDescent="0.25">
      <c r="A55" s="1819"/>
      <c r="B55" s="1213"/>
      <c r="C55" s="735" t="s">
        <v>729</v>
      </c>
      <c r="D55" s="1760"/>
      <c r="E55" s="616">
        <f>'[1]exchange rates'!$M$12</f>
        <v>711.02919999999995</v>
      </c>
      <c r="F55" s="625">
        <f>12717/E55</f>
        <v>17.885341417764561</v>
      </c>
      <c r="G55" s="593">
        <f>135129/E55</f>
        <v>190.04704729426021</v>
      </c>
      <c r="H55" s="594">
        <v>0</v>
      </c>
      <c r="I55" s="566">
        <f>Tabel6689172633[[#This Row],[Fix.ch. 2015]]+Tabel6689172633[[#This Row],[Var. ch. 2015]]+Tabel6689172633[[#This Row],[Oth. ch. DW 2015]]</f>
        <v>207.93238871202476</v>
      </c>
      <c r="J55" s="596">
        <f>99461/E55</f>
        <v>139.88314403965407</v>
      </c>
      <c r="K55" s="626">
        <v>0</v>
      </c>
      <c r="L55" s="626"/>
      <c r="M55" s="597">
        <v>0</v>
      </c>
      <c r="N55" s="1238">
        <f>Tabel6689172633[[#This Row],[Sew. 2015]]+Tabel6689172633[[#This Row],[WW 2015]]+Tabel6689172633[[#This Row],[Other ch. 2015]]</f>
        <v>139.88314403965407</v>
      </c>
      <c r="O55" s="570">
        <v>0</v>
      </c>
      <c r="P55" s="571">
        <f>Tabel6689172633[[#This Row],[Total. ch. DW 2015]]+Tabel6689172633[[#This Row],[Sew. 2015]]+Tabel6689172633[[#This Row],[WW 2015]]+Tabel6689172633[[#This Row],[Other ch. 2015]]+Tabel6689172633[[#This Row],[VAT 2015]]</f>
        <v>347.8155327516788</v>
      </c>
      <c r="Q55" s="397"/>
      <c r="R55" s="1763"/>
      <c r="S55" s="1766"/>
      <c r="T55" s="1769"/>
      <c r="U55" s="1775"/>
      <c r="V55" s="1778"/>
      <c r="W55" s="1781"/>
      <c r="X55" s="1785"/>
      <c r="Y55" s="1788"/>
      <c r="Z55" s="1791"/>
      <c r="AA55" s="397"/>
      <c r="AB55" s="396"/>
      <c r="AC55" s="396"/>
      <c r="AD55" s="396"/>
      <c r="AE55" s="396"/>
      <c r="AF55" s="396"/>
      <c r="AG55" s="396"/>
      <c r="AH55" s="398"/>
      <c r="AI55" s="397"/>
    </row>
    <row r="56" spans="1:35" ht="16.5" customHeight="1" x14ac:dyDescent="0.25">
      <c r="A56" s="1819"/>
      <c r="B56" s="1213"/>
      <c r="C56" s="735" t="s">
        <v>493</v>
      </c>
      <c r="D56" s="1760"/>
      <c r="E56" s="616">
        <f>'[1]exchange rates'!$M$12</f>
        <v>711.02919999999995</v>
      </c>
      <c r="F56" s="625">
        <f>7685/E56</f>
        <v>10.80827622831805</v>
      </c>
      <c r="G56" s="593">
        <f>81904/E56</f>
        <v>115.19076853665082</v>
      </c>
      <c r="H56" s="594">
        <v>0</v>
      </c>
      <c r="I56" s="566">
        <f>Tabel6689172633[[#This Row],[Fix.ch. 2015]]+Tabel6689172633[[#This Row],[Var. ch. 2015]]+Tabel6689172633[[#This Row],[Oth. ch. DW 2015]]</f>
        <v>125.99904476496887</v>
      </c>
      <c r="J56" s="596">
        <f>104035/E56</f>
        <v>146.31607253260486</v>
      </c>
      <c r="K56" s="626">
        <v>0</v>
      </c>
      <c r="L56" s="626"/>
      <c r="M56" s="597">
        <v>0</v>
      </c>
      <c r="N56" s="1238">
        <f>Tabel6689172633[[#This Row],[Sew. 2015]]+Tabel6689172633[[#This Row],[WW 2015]]+Tabel6689172633[[#This Row],[Other ch. 2015]]</f>
        <v>146.31607253260486</v>
      </c>
      <c r="O56" s="570">
        <v>0</v>
      </c>
      <c r="P56" s="571">
        <f>Tabel6689172633[[#This Row],[Total. ch. DW 2015]]+Tabel6689172633[[#This Row],[Sew. 2015]]+Tabel6689172633[[#This Row],[WW 2015]]+Tabel6689172633[[#This Row],[Other ch. 2015]]+Tabel6689172633[[#This Row],[VAT 2015]]</f>
        <v>272.31511729757375</v>
      </c>
      <c r="Q56" s="397"/>
      <c r="R56" s="1763"/>
      <c r="S56" s="1766"/>
      <c r="T56" s="1769"/>
      <c r="U56" s="1775"/>
      <c r="V56" s="1778"/>
      <c r="W56" s="1781"/>
      <c r="X56" s="1785"/>
      <c r="Y56" s="1788"/>
      <c r="Z56" s="1791"/>
      <c r="AA56" s="397"/>
      <c r="AB56" s="396"/>
      <c r="AC56" s="396"/>
      <c r="AD56" s="396"/>
      <c r="AE56" s="396"/>
      <c r="AF56" s="396"/>
      <c r="AG56" s="396"/>
      <c r="AH56" s="398"/>
      <c r="AI56" s="397"/>
    </row>
    <row r="57" spans="1:35" ht="16.5" customHeight="1" x14ac:dyDescent="0.25">
      <c r="A57" s="1819"/>
      <c r="B57" s="1213"/>
      <c r="C57" s="735" t="s">
        <v>730</v>
      </c>
      <c r="D57" s="1760"/>
      <c r="E57" s="616">
        <f>'[1]exchange rates'!$M$12</f>
        <v>711.02919999999995</v>
      </c>
      <c r="F57" s="625">
        <f>12923/E57</f>
        <v>18.17506228998753</v>
      </c>
      <c r="G57" s="593">
        <f>85474/E57</f>
        <v>120.2116593805149</v>
      </c>
      <c r="H57" s="594">
        <v>0</v>
      </c>
      <c r="I57" s="566">
        <f>Tabel6689172633[[#This Row],[Fix.ch. 2015]]+Tabel6689172633[[#This Row],[Var. ch. 2015]]+Tabel6689172633[[#This Row],[Oth. ch. DW 2015]]</f>
        <v>138.38672167050242</v>
      </c>
      <c r="J57" s="596">
        <f>139941/E57</f>
        <v>196.81470184346861</v>
      </c>
      <c r="K57" s="626">
        <v>0</v>
      </c>
      <c r="L57" s="626"/>
      <c r="M57" s="597">
        <v>0</v>
      </c>
      <c r="N57" s="1238">
        <f>Tabel6689172633[[#This Row],[Sew. 2015]]+Tabel6689172633[[#This Row],[WW 2015]]+Tabel6689172633[[#This Row],[Other ch. 2015]]</f>
        <v>196.81470184346861</v>
      </c>
      <c r="O57" s="570">
        <v>0</v>
      </c>
      <c r="P57" s="571">
        <f>Tabel6689172633[[#This Row],[Total. ch. DW 2015]]+Tabel6689172633[[#This Row],[Sew. 2015]]+Tabel6689172633[[#This Row],[WW 2015]]+Tabel6689172633[[#This Row],[Other ch. 2015]]+Tabel6689172633[[#This Row],[VAT 2015]]</f>
        <v>335.20142351397101</v>
      </c>
      <c r="Q57" s="397"/>
      <c r="R57" s="1763"/>
      <c r="S57" s="1766"/>
      <c r="T57" s="1769"/>
      <c r="U57" s="1775"/>
      <c r="V57" s="1778"/>
      <c r="W57" s="1781"/>
      <c r="X57" s="1785"/>
      <c r="Y57" s="1788"/>
      <c r="Z57" s="1791"/>
      <c r="AA57" s="397"/>
      <c r="AB57" s="396"/>
      <c r="AC57" s="396"/>
      <c r="AD57" s="396"/>
      <c r="AE57" s="396"/>
      <c r="AF57" s="396"/>
      <c r="AG57" s="396"/>
      <c r="AH57" s="398"/>
      <c r="AI57" s="397"/>
    </row>
    <row r="58" spans="1:35" ht="16.5" customHeight="1" thickBot="1" x14ac:dyDescent="0.3">
      <c r="A58" s="1820"/>
      <c r="B58" s="1213"/>
      <c r="C58" s="735" t="s">
        <v>731</v>
      </c>
      <c r="D58" s="1761"/>
      <c r="E58" s="616">
        <f>'[1]exchange rates'!$M$12</f>
        <v>711.02919999999995</v>
      </c>
      <c r="F58" s="625">
        <f>7300/E58</f>
        <v>10.266807607901336</v>
      </c>
      <c r="G58" s="593">
        <f>67207/E58</f>
        <v>94.520731356743156</v>
      </c>
      <c r="H58" s="594">
        <v>0</v>
      </c>
      <c r="I58" s="566">
        <f>Tabel6689172633[[#This Row],[Fix.ch. 2015]]+Tabel6689172633[[#This Row],[Var. ch. 2015]]+Tabel6689172633[[#This Row],[Oth. ch. DW 2015]]</f>
        <v>104.7875389646445</v>
      </c>
      <c r="J58" s="596">
        <f>90496/E58</f>
        <v>127.27466044995059</v>
      </c>
      <c r="K58" s="626">
        <v>0</v>
      </c>
      <c r="L58" s="626"/>
      <c r="M58" s="597">
        <v>0</v>
      </c>
      <c r="N58" s="1238">
        <f>Tabel6689172633[[#This Row],[Sew. 2015]]+Tabel6689172633[[#This Row],[WW 2015]]+Tabel6689172633[[#This Row],[Other ch. 2015]]</f>
        <v>127.27466044995059</v>
      </c>
      <c r="O58" s="570">
        <v>0</v>
      </c>
      <c r="P58" s="571">
        <f>Tabel6689172633[[#This Row],[Total. ch. DW 2015]]+Tabel6689172633[[#This Row],[Sew. 2015]]+Tabel6689172633[[#This Row],[WW 2015]]+Tabel6689172633[[#This Row],[Other ch. 2015]]+Tabel6689172633[[#This Row],[VAT 2015]]</f>
        <v>232.06219941459509</v>
      </c>
      <c r="Q58" s="397"/>
      <c r="R58" s="1764"/>
      <c r="S58" s="1767"/>
      <c r="T58" s="1770"/>
      <c r="U58" s="1776"/>
      <c r="V58" s="1779"/>
      <c r="W58" s="1811"/>
      <c r="X58" s="1813"/>
      <c r="Y58" s="1815"/>
      <c r="Z58" s="1794"/>
      <c r="AA58" s="397"/>
      <c r="AB58" s="396"/>
      <c r="AC58" s="396"/>
      <c r="AD58" s="396"/>
      <c r="AE58" s="396"/>
      <c r="AF58" s="396"/>
      <c r="AG58" s="396"/>
      <c r="AH58" s="398"/>
      <c r="AI58" s="397"/>
    </row>
    <row r="59" spans="1:35" ht="15.75" x14ac:dyDescent="0.25">
      <c r="A59" s="1818" t="s">
        <v>8</v>
      </c>
      <c r="B59" s="1213"/>
      <c r="C59" s="1244" t="s">
        <v>78</v>
      </c>
      <c r="D59" s="2166">
        <v>14300</v>
      </c>
      <c r="E59" s="647">
        <f>'[1]exchange rates'!$M$13</f>
        <v>6.5138100000000003</v>
      </c>
      <c r="F59" s="686"/>
      <c r="G59" s="593"/>
      <c r="H59" s="594"/>
      <c r="I59" s="566">
        <f>Tabel6689172633[[#This Row],[Fix.ch. 2015]]+Tabel6689172633[[#This Row],[Var. ch. 2015]]+Tabel6689172633[[#This Row],[Oth. ch. DW 2015]]</f>
        <v>0</v>
      </c>
      <c r="J59" s="596"/>
      <c r="K59" s="626"/>
      <c r="L59" s="626"/>
      <c r="M59" s="597"/>
      <c r="N59" s="1238">
        <f>Tabel6689172633[[#This Row],[Sew. 2015]]+Tabel6689172633[[#This Row],[WW 2015]]+Tabel6689172633[[#This Row],[Other ch. 2015]]</f>
        <v>0</v>
      </c>
      <c r="O59" s="570"/>
      <c r="P59" s="571">
        <f>Tabel6689172633[[#This Row],[Total. ch. DW 2015]]+Tabel6689172633[[#This Row],[Sew. 2015]]+Tabel6689172633[[#This Row],[WW 2015]]+Tabel6689172633[[#This Row],[Other ch. 2015]]+Tabel6689172633[[#This Row],[VAT 2015]]</f>
        <v>0</v>
      </c>
      <c r="Q59" s="430"/>
      <c r="R59" s="2167"/>
      <c r="S59" s="2256"/>
      <c r="T59" s="2133"/>
      <c r="U59" s="2134"/>
      <c r="V59" s="2135"/>
      <c r="W59" s="2140"/>
      <c r="X59" s="2161"/>
      <c r="Y59" s="2257"/>
      <c r="Z59" s="2253"/>
      <c r="AA59" s="397"/>
      <c r="AB59" s="398"/>
      <c r="AC59" s="398"/>
      <c r="AD59" s="398"/>
      <c r="AE59" s="591" t="s">
        <v>429</v>
      </c>
      <c r="AF59" s="591"/>
      <c r="AG59" s="591" t="s">
        <v>429</v>
      </c>
      <c r="AH59" s="398"/>
      <c r="AI59" s="397"/>
    </row>
    <row r="60" spans="1:35" ht="15.75" x14ac:dyDescent="0.25">
      <c r="A60" s="1819"/>
      <c r="B60" s="1213"/>
      <c r="C60" s="735" t="s">
        <v>79</v>
      </c>
      <c r="D60" s="1880"/>
      <c r="E60" s="647">
        <f>'[1]exchange rates'!$M$13</f>
        <v>6.5138100000000003</v>
      </c>
      <c r="F60" s="686"/>
      <c r="G60" s="593"/>
      <c r="H60" s="594"/>
      <c r="I60" s="566">
        <f>Tabel6689172633[[#This Row],[Fix.ch. 2015]]+Tabel6689172633[[#This Row],[Var. ch. 2015]]+Tabel6689172633[[#This Row],[Oth. ch. DW 2015]]</f>
        <v>0</v>
      </c>
      <c r="J60" s="596"/>
      <c r="K60" s="626"/>
      <c r="L60" s="626"/>
      <c r="M60" s="597"/>
      <c r="N60" s="1238">
        <f>Tabel6689172633[[#This Row],[Sew. 2015]]+Tabel6689172633[[#This Row],[WW 2015]]+Tabel6689172633[[#This Row],[Other ch. 2015]]</f>
        <v>0</v>
      </c>
      <c r="O60" s="570"/>
      <c r="P60" s="571">
        <f>Tabel6689172633[[#This Row],[Total. ch. DW 2015]]+Tabel6689172633[[#This Row],[Sew. 2015]]+Tabel6689172633[[#This Row],[WW 2015]]+Tabel6689172633[[#This Row],[Other ch. 2015]]+Tabel6689172633[[#This Row],[VAT 2015]]</f>
        <v>0</v>
      </c>
      <c r="Q60" s="430"/>
      <c r="R60" s="1886"/>
      <c r="S60" s="1888"/>
      <c r="T60" s="1890"/>
      <c r="U60" s="1892"/>
      <c r="V60" s="1894"/>
      <c r="W60" s="1911"/>
      <c r="X60" s="1913"/>
      <c r="Y60" s="1915"/>
      <c r="Z60" s="1832"/>
      <c r="AA60" s="397"/>
      <c r="AB60" s="398"/>
      <c r="AC60" s="398"/>
      <c r="AD60" s="398"/>
      <c r="AE60" s="591" t="s">
        <v>429</v>
      </c>
      <c r="AF60" s="591"/>
      <c r="AG60" s="591" t="s">
        <v>429</v>
      </c>
      <c r="AH60" s="398"/>
      <c r="AI60" s="397"/>
    </row>
    <row r="61" spans="1:35" ht="15.75" x14ac:dyDescent="0.25">
      <c r="A61" s="1819"/>
      <c r="B61" s="1213"/>
      <c r="C61" s="735" t="s">
        <v>80</v>
      </c>
      <c r="D61" s="1880"/>
      <c r="E61" s="647">
        <f>'[1]exchange rates'!$M$13</f>
        <v>6.5138100000000003</v>
      </c>
      <c r="F61" s="686"/>
      <c r="G61" s="593"/>
      <c r="H61" s="594"/>
      <c r="I61" s="566">
        <f>Tabel6689172633[[#This Row],[Fix.ch. 2015]]+Tabel6689172633[[#This Row],[Var. ch. 2015]]+Tabel6689172633[[#This Row],[Oth. ch. DW 2015]]</f>
        <v>0</v>
      </c>
      <c r="J61" s="596"/>
      <c r="K61" s="626"/>
      <c r="L61" s="626"/>
      <c r="M61" s="597"/>
      <c r="N61" s="1238">
        <f>Tabel6689172633[[#This Row],[Sew. 2015]]+Tabel6689172633[[#This Row],[WW 2015]]+Tabel6689172633[[#This Row],[Other ch. 2015]]</f>
        <v>0</v>
      </c>
      <c r="O61" s="570"/>
      <c r="P61" s="571">
        <f>Tabel6689172633[[#This Row],[Total. ch. DW 2015]]+Tabel6689172633[[#This Row],[Sew. 2015]]+Tabel6689172633[[#This Row],[WW 2015]]+Tabel6689172633[[#This Row],[Other ch. 2015]]+Tabel6689172633[[#This Row],[VAT 2015]]</f>
        <v>0</v>
      </c>
      <c r="Q61" s="430"/>
      <c r="R61" s="1886"/>
      <c r="S61" s="1888"/>
      <c r="T61" s="1890"/>
      <c r="U61" s="1892"/>
      <c r="V61" s="1894"/>
      <c r="W61" s="1911"/>
      <c r="X61" s="1913"/>
      <c r="Y61" s="1915"/>
      <c r="Z61" s="1832"/>
      <c r="AA61" s="397"/>
      <c r="AB61" s="398"/>
      <c r="AC61" s="398"/>
      <c r="AD61" s="398"/>
      <c r="AE61" s="591" t="s">
        <v>429</v>
      </c>
      <c r="AF61" s="591"/>
      <c r="AG61" s="591" t="s">
        <v>429</v>
      </c>
      <c r="AH61" s="398"/>
      <c r="AI61" s="397"/>
    </row>
    <row r="62" spans="1:35" ht="15.75" x14ac:dyDescent="0.25">
      <c r="A62" s="1819"/>
      <c r="B62" s="1213"/>
      <c r="C62" s="735" t="s">
        <v>81</v>
      </c>
      <c r="D62" s="1880"/>
      <c r="E62" s="647">
        <f>'[1]exchange rates'!$M$13</f>
        <v>6.5138100000000003</v>
      </c>
      <c r="F62" s="686"/>
      <c r="G62" s="593"/>
      <c r="H62" s="594"/>
      <c r="I62" s="566">
        <f>Tabel6689172633[[#This Row],[Fix.ch. 2015]]+Tabel6689172633[[#This Row],[Var. ch. 2015]]+Tabel6689172633[[#This Row],[Oth. ch. DW 2015]]</f>
        <v>0</v>
      </c>
      <c r="J62" s="596"/>
      <c r="K62" s="626"/>
      <c r="L62" s="626"/>
      <c r="M62" s="597"/>
      <c r="N62" s="1238">
        <f>Tabel6689172633[[#This Row],[Sew. 2015]]+Tabel6689172633[[#This Row],[WW 2015]]+Tabel6689172633[[#This Row],[Other ch. 2015]]</f>
        <v>0</v>
      </c>
      <c r="O62" s="570"/>
      <c r="P62" s="571">
        <f>Tabel6689172633[[#This Row],[Total. ch. DW 2015]]+Tabel6689172633[[#This Row],[Sew. 2015]]+Tabel6689172633[[#This Row],[WW 2015]]+Tabel6689172633[[#This Row],[Other ch. 2015]]+Tabel6689172633[[#This Row],[VAT 2015]]</f>
        <v>0</v>
      </c>
      <c r="Q62" s="430"/>
      <c r="R62" s="1886"/>
      <c r="S62" s="1888"/>
      <c r="T62" s="1890"/>
      <c r="U62" s="1892"/>
      <c r="V62" s="1894"/>
      <c r="W62" s="1911"/>
      <c r="X62" s="1913"/>
      <c r="Y62" s="1915"/>
      <c r="Z62" s="1832"/>
      <c r="AA62" s="397"/>
      <c r="AB62" s="398"/>
      <c r="AC62" s="398"/>
      <c r="AD62" s="398"/>
      <c r="AE62" s="591" t="s">
        <v>429</v>
      </c>
      <c r="AF62" s="591"/>
      <c r="AG62" s="591" t="s">
        <v>429</v>
      </c>
      <c r="AH62" s="398"/>
      <c r="AI62" s="397"/>
    </row>
    <row r="63" spans="1:35" ht="16.5" thickBot="1" x14ac:dyDescent="0.3">
      <c r="A63" s="1820"/>
      <c r="B63" s="1213"/>
      <c r="C63" s="736" t="s">
        <v>468</v>
      </c>
      <c r="D63" s="1923"/>
      <c r="E63" s="647">
        <f>'[1]exchange rates'!$M$13</f>
        <v>6.5138100000000003</v>
      </c>
      <c r="F63" s="686"/>
      <c r="G63" s="593"/>
      <c r="H63" s="594"/>
      <c r="I63" s="566">
        <f>Tabel6689172633[[#This Row],[Fix.ch. 2015]]+Tabel6689172633[[#This Row],[Var. ch. 2015]]+Tabel6689172633[[#This Row],[Oth. ch. DW 2015]]</f>
        <v>0</v>
      </c>
      <c r="J63" s="596"/>
      <c r="K63" s="626"/>
      <c r="L63" s="626"/>
      <c r="M63" s="597"/>
      <c r="N63" s="1238">
        <f>Tabel6689172633[[#This Row],[Sew. 2015]]+Tabel6689172633[[#This Row],[WW 2015]]+Tabel6689172633[[#This Row],[Other ch. 2015]]</f>
        <v>0</v>
      </c>
      <c r="O63" s="570"/>
      <c r="P63" s="571">
        <f>Tabel6689172633[[#This Row],[Total. ch. DW 2015]]+Tabel6689172633[[#This Row],[Sew. 2015]]+Tabel6689172633[[#This Row],[WW 2015]]+Tabel6689172633[[#This Row],[Other ch. 2015]]+Tabel6689172633[[#This Row],[VAT 2015]]</f>
        <v>0</v>
      </c>
      <c r="Q63" s="430"/>
      <c r="R63" s="1764"/>
      <c r="S63" s="1767"/>
      <c r="T63" s="1770"/>
      <c r="U63" s="1776"/>
      <c r="V63" s="1779"/>
      <c r="W63" s="1811"/>
      <c r="X63" s="1813"/>
      <c r="Y63" s="1815"/>
      <c r="Z63" s="1794"/>
      <c r="AA63" s="397"/>
      <c r="AB63" s="398"/>
      <c r="AC63" s="398"/>
      <c r="AD63" s="398"/>
      <c r="AE63" s="591" t="s">
        <v>429</v>
      </c>
      <c r="AF63" s="591"/>
      <c r="AG63" s="591" t="s">
        <v>429</v>
      </c>
      <c r="AH63" s="398"/>
      <c r="AI63" s="397"/>
    </row>
    <row r="64" spans="1:35" ht="19.5" thickBot="1" x14ac:dyDescent="0.3">
      <c r="A64" s="694" t="s">
        <v>585</v>
      </c>
      <c r="B64" s="1620"/>
      <c r="C64" s="735" t="s">
        <v>84</v>
      </c>
      <c r="D64" s="1245">
        <v>57000</v>
      </c>
      <c r="E64" s="616">
        <f>'[1]exchange rates'!M14</f>
        <v>7.77562</v>
      </c>
      <c r="F64" s="625">
        <f>0</f>
        <v>0</v>
      </c>
      <c r="G64" s="593">
        <f>890.28/E64</f>
        <v>114.49633598349713</v>
      </c>
      <c r="H64" s="594">
        <v>0</v>
      </c>
      <c r="I64" s="566">
        <f>Tabel6689172633[[#This Row],[Fix.ch. 2015]]+Tabel6689172633[[#This Row],[Var. ch. 2015]]+Tabel6689172633[[#This Row],[Oth. ch. DW 2015]]</f>
        <v>114.49633598349713</v>
      </c>
      <c r="J64" s="596">
        <v>0</v>
      </c>
      <c r="K64" s="626">
        <f>434/E64</f>
        <v>55.815484810214492</v>
      </c>
      <c r="L64" s="626"/>
      <c r="M64" s="597">
        <v>0</v>
      </c>
      <c r="N64" s="1238">
        <f>Tabel6689172633[[#This Row],[Sew. 2015]]+Tabel6689172633[[#This Row],[WW 2015]]+Tabel6689172633[[#This Row],[Other ch. 2015]]</f>
        <v>55.815484810214492</v>
      </c>
      <c r="O64" s="570">
        <v>0</v>
      </c>
      <c r="P64" s="571">
        <f>Tabel6689172633[[#This Row],[Total. ch. DW 2015]]+Tabel6689172633[[#This Row],[Sew. 2015]]+Tabel6689172633[[#This Row],[WW 2015]]+Tabel6689172633[[#This Row],[Other ch. 2015]]+Tabel6689172633[[#This Row],[VAT 2015]]</f>
        <v>170.31182079371163</v>
      </c>
      <c r="Q64" s="397"/>
      <c r="R64" s="1246">
        <f>Tabel6689172633[[#This Row],[Fix.ch. 2015]]</f>
        <v>0</v>
      </c>
      <c r="S64" s="1247">
        <f>Tabel6689172633[[#This Row],[Var. ch. 2015]]</f>
        <v>114.49633598349713</v>
      </c>
      <c r="T64" s="1248">
        <f>Tabel6689172633[[#This Row],[Oth. ch. DW 2015]]</f>
        <v>0</v>
      </c>
      <c r="U64" s="1249">
        <f>SUM(R64:T64)</f>
        <v>114.49633598349713</v>
      </c>
      <c r="V64" s="1250">
        <f>Tabel6689172633[[#This Row],[Sew. 2015]]</f>
        <v>0</v>
      </c>
      <c r="W64" s="1251">
        <f>Tabel6689172633[[#This Row],[WW 2015]]</f>
        <v>55.815484810214492</v>
      </c>
      <c r="X64" s="1252">
        <f>Tabel6689172633[[#This Row],[Other ch. 2015]]</f>
        <v>0</v>
      </c>
      <c r="Y64" s="1253">
        <f>Tabel6689172633[[#This Row],[VAT 2015]]</f>
        <v>0</v>
      </c>
      <c r="Z64" s="1254">
        <f>SUM(U64:Y64)</f>
        <v>170.31182079371163</v>
      </c>
      <c r="AA64" s="397"/>
      <c r="AB64" s="398"/>
      <c r="AC64" s="396"/>
      <c r="AD64" s="398"/>
      <c r="AE64" s="398"/>
      <c r="AF64" s="398"/>
      <c r="AG64" s="398"/>
      <c r="AH64" s="398"/>
      <c r="AI64" s="397"/>
    </row>
    <row r="65" spans="1:35" ht="15.75" x14ac:dyDescent="0.25">
      <c r="A65" s="1818" t="s">
        <v>9</v>
      </c>
      <c r="B65" s="1213"/>
      <c r="C65" s="1244" t="s">
        <v>82</v>
      </c>
      <c r="D65" s="1759">
        <v>47500</v>
      </c>
      <c r="E65" s="616">
        <f>'[1]exchange rates'!$M$15</f>
        <v>33.06664</v>
      </c>
      <c r="F65" s="625">
        <f>780/E65</f>
        <v>23.588728700587662</v>
      </c>
      <c r="G65" s="593">
        <f>956/E65</f>
        <v>28.911313638156159</v>
      </c>
      <c r="H65" s="594">
        <v>0</v>
      </c>
      <c r="I65" s="566">
        <f>Tabel6689172633[[#This Row],[Fix.ch. 2015]]+Tabel6689172633[[#This Row],[Var. ch. 2015]]+Tabel6689172633[[#This Row],[Oth. ch. DW 2015]]</f>
        <v>52.500042338743825</v>
      </c>
      <c r="J65" s="596">
        <f>1000/E65</f>
        <v>30.241959872548286</v>
      </c>
      <c r="K65" s="626">
        <v>0</v>
      </c>
      <c r="L65" s="626"/>
      <c r="M65" s="597">
        <f>40/E65</f>
        <v>1.2096783949019314</v>
      </c>
      <c r="N65" s="1238">
        <f>Tabel6689172633[[#This Row],[Sew. 2015]]+Tabel6689172633[[#This Row],[WW 2015]]+Tabel6689172633[[#This Row],[Other ch. 2015]]</f>
        <v>31.451638267450218</v>
      </c>
      <c r="O65" s="570">
        <f>87/E65</f>
        <v>2.6310505089117009</v>
      </c>
      <c r="P65" s="571">
        <f>Tabel6689172633[[#This Row],[Total. ch. DW 2015]]+Tabel6689172633[[#This Row],[Sew. 2015]]+Tabel6689172633[[#This Row],[WW 2015]]+Tabel6689172633[[#This Row],[Other ch. 2015]]+Tabel6689172633[[#This Row],[VAT 2015]]</f>
        <v>86.582731115105744</v>
      </c>
      <c r="Q65" s="397"/>
      <c r="R65" s="1762">
        <f t="shared" ref="R65:W65" si="16">SUM(F65:F66)/2</f>
        <v>26.068569410136622</v>
      </c>
      <c r="S65" s="1765">
        <f t="shared" si="16"/>
        <v>38.044385519665738</v>
      </c>
      <c r="T65" s="1768">
        <f t="shared" si="16"/>
        <v>1.1794364350293831</v>
      </c>
      <c r="U65" s="1774">
        <f t="shared" si="16"/>
        <v>65.292391364831744</v>
      </c>
      <c r="V65" s="1777">
        <f t="shared" si="16"/>
        <v>30.241959872548286</v>
      </c>
      <c r="W65" s="1810">
        <f t="shared" si="16"/>
        <v>0</v>
      </c>
      <c r="X65" s="1812">
        <f>SUM(M65:M66)/2</f>
        <v>12.701623146470279</v>
      </c>
      <c r="Y65" s="1814">
        <f t="shared" ref="Y65:Z65" si="17">SUM(O65:O66)/2</f>
        <v>2.9788330474460061</v>
      </c>
      <c r="Z65" s="1793">
        <f t="shared" si="17"/>
        <v>111.21480743129632</v>
      </c>
      <c r="AA65" s="397"/>
      <c r="AB65" s="398"/>
      <c r="AC65" s="398"/>
      <c r="AD65" s="398"/>
      <c r="AE65" s="591" t="s">
        <v>429</v>
      </c>
      <c r="AF65" s="591" t="s">
        <v>429</v>
      </c>
      <c r="AG65" s="591" t="s">
        <v>429</v>
      </c>
      <c r="AH65" s="398"/>
      <c r="AI65" s="397"/>
    </row>
    <row r="66" spans="1:35" ht="16.5" thickBot="1" x14ac:dyDescent="0.3">
      <c r="A66" s="1820"/>
      <c r="B66" s="1213"/>
      <c r="C66" s="735" t="s">
        <v>83</v>
      </c>
      <c r="D66" s="1761"/>
      <c r="E66" s="616">
        <f>'[1]exchange rates'!$M$15</f>
        <v>33.06664</v>
      </c>
      <c r="F66" s="625">
        <f>944/E66</f>
        <v>28.548410119685581</v>
      </c>
      <c r="G66" s="593">
        <f>1560/E66</f>
        <v>47.177457401175324</v>
      </c>
      <c r="H66" s="594">
        <f>78/E66</f>
        <v>2.3588728700587662</v>
      </c>
      <c r="I66" s="566">
        <f>Tabel6689172633[[#This Row],[Fix.ch. 2015]]+Tabel6689172633[[#This Row],[Var. ch. 2015]]+Tabel6689172633[[#This Row],[Oth. ch. DW 2015]]</f>
        <v>78.084740390919663</v>
      </c>
      <c r="J66" s="596">
        <f>1000/E66</f>
        <v>30.241959872548286</v>
      </c>
      <c r="K66" s="626">
        <v>0</v>
      </c>
      <c r="L66" s="626"/>
      <c r="M66" s="597">
        <f>800/E66</f>
        <v>24.193567898038626</v>
      </c>
      <c r="N66" s="1238">
        <f>Tabel6689172633[[#This Row],[Sew. 2015]]+Tabel6689172633[[#This Row],[WW 2015]]+Tabel6689172633[[#This Row],[Other ch. 2015]]</f>
        <v>54.435527770586916</v>
      </c>
      <c r="O66" s="570">
        <f>110/E66</f>
        <v>3.3266155859803113</v>
      </c>
      <c r="P66" s="571">
        <f>Tabel6689172633[[#This Row],[Total. ch. DW 2015]]+Tabel6689172633[[#This Row],[Sew. 2015]]+Tabel6689172633[[#This Row],[WW 2015]]+Tabel6689172633[[#This Row],[Other ch. 2015]]+Tabel6689172633[[#This Row],[VAT 2015]]</f>
        <v>135.84688374748688</v>
      </c>
      <c r="Q66" s="397"/>
      <c r="R66" s="1764"/>
      <c r="S66" s="1767"/>
      <c r="T66" s="1770"/>
      <c r="U66" s="1776"/>
      <c r="V66" s="1779"/>
      <c r="W66" s="1811"/>
      <c r="X66" s="1813"/>
      <c r="Y66" s="1815"/>
      <c r="Z66" s="1794"/>
      <c r="AA66" s="397"/>
      <c r="AB66" s="398"/>
      <c r="AC66" s="398"/>
      <c r="AD66" s="398"/>
      <c r="AE66" s="591" t="s">
        <v>429</v>
      </c>
      <c r="AF66" s="591" t="s">
        <v>429</v>
      </c>
      <c r="AG66" s="591" t="s">
        <v>429</v>
      </c>
      <c r="AH66" s="398"/>
      <c r="AI66" s="397"/>
    </row>
    <row r="67" spans="1:35" ht="15.75" x14ac:dyDescent="0.25">
      <c r="A67" s="1878" t="s">
        <v>10</v>
      </c>
      <c r="B67" s="1213"/>
      <c r="C67" s="693" t="s">
        <v>85</v>
      </c>
      <c r="D67" s="1759">
        <v>31000</v>
      </c>
      <c r="E67" s="617">
        <f>'[1]exchange rates'!$M$16</f>
        <v>0.92093999999999998</v>
      </c>
      <c r="F67" s="625">
        <f>66/E67</f>
        <v>71.665906573718161</v>
      </c>
      <c r="G67" s="593">
        <f>228/E67</f>
        <v>247.57313180011727</v>
      </c>
      <c r="H67" s="594">
        <v>0</v>
      </c>
      <c r="I67" s="566">
        <f>Tabel6689172633[[#This Row],[Fix.ch. 2015]]+Tabel6689172633[[#This Row],[Var. ch. 2015]]+Tabel6689172633[[#This Row],[Oth. ch. DW 2015]]</f>
        <v>319.23903837383546</v>
      </c>
      <c r="J67" s="596">
        <f>100/E67</f>
        <v>108.58470692987599</v>
      </c>
      <c r="K67" s="626">
        <f>160/E67</f>
        <v>173.7355310878016</v>
      </c>
      <c r="L67" s="626"/>
      <c r="M67" s="597">
        <f>40/E67</f>
        <v>43.433882771950401</v>
      </c>
      <c r="N67" s="1238">
        <f>Tabel6689172633[[#This Row],[Sew. 2015]]+Tabel6689172633[[#This Row],[WW 2015]]+Tabel6689172633[[#This Row],[Other ch. 2015]]</f>
        <v>325.75412078962796</v>
      </c>
      <c r="O67" s="570">
        <f>14.7/E67</f>
        <v>15.961951918691771</v>
      </c>
      <c r="P67" s="571">
        <f>Tabel6689172633[[#This Row],[Total. ch. DW 2015]]+Tabel6689172633[[#This Row],[Sew. 2015]]+Tabel6689172633[[#This Row],[WW 2015]]+Tabel6689172633[[#This Row],[Other ch. 2015]]+Tabel6689172633[[#This Row],[VAT 2015]]</f>
        <v>660.95511108215521</v>
      </c>
      <c r="Q67" s="397"/>
      <c r="R67" s="1762">
        <f t="shared" ref="R67:W67" si="18">SUM(F67:F70)/4</f>
        <v>60.264512346081176</v>
      </c>
      <c r="S67" s="1765">
        <f t="shared" si="18"/>
        <v>237.96338523682326</v>
      </c>
      <c r="T67" s="1768">
        <f t="shared" si="18"/>
        <v>0</v>
      </c>
      <c r="U67" s="1774">
        <f t="shared" si="18"/>
        <v>298.22789758290446</v>
      </c>
      <c r="V67" s="1777">
        <f t="shared" si="18"/>
        <v>112.92809520707104</v>
      </c>
      <c r="W67" s="1810">
        <f t="shared" si="18"/>
        <v>183.0113796772863</v>
      </c>
      <c r="X67" s="1812">
        <f>SUM(M67:M70)/4</f>
        <v>29.589332638391209</v>
      </c>
      <c r="Y67" s="1814">
        <f t="shared" ref="Y67:Z67" si="19">SUM(O67:O70)/4</f>
        <v>14.91139487914522</v>
      </c>
      <c r="Z67" s="1793">
        <f t="shared" si="19"/>
        <v>638.66809998479812</v>
      </c>
      <c r="AA67" s="397"/>
      <c r="AB67" s="398"/>
      <c r="AC67" s="398"/>
      <c r="AD67" s="398"/>
      <c r="AE67" s="591" t="s">
        <v>429</v>
      </c>
      <c r="AF67" s="591" t="s">
        <v>429</v>
      </c>
      <c r="AG67" s="591" t="s">
        <v>429</v>
      </c>
      <c r="AH67" s="398"/>
      <c r="AI67" s="397"/>
    </row>
    <row r="68" spans="1:35" ht="15.75" x14ac:dyDescent="0.25">
      <c r="A68" s="1757"/>
      <c r="B68" s="1213"/>
      <c r="C68" s="639" t="s">
        <v>1347</v>
      </c>
      <c r="D68" s="1760"/>
      <c r="E68" s="617">
        <f>'[1]exchange rates'!$M$16</f>
        <v>0.92093999999999998</v>
      </c>
      <c r="F68" s="625">
        <f>42/E68</f>
        <v>45.605576910547917</v>
      </c>
      <c r="G68" s="593">
        <f>220/E68</f>
        <v>238.8863552457272</v>
      </c>
      <c r="H68" s="594">
        <f>0</f>
        <v>0</v>
      </c>
      <c r="I68" s="566">
        <f>Tabel6689172633[[#This Row],[Fix.ch. 2015]]+Tabel6689172633[[#This Row],[Var. ch. 2015]]+Tabel6689172633[[#This Row],[Oth. ch. DW 2015]]</f>
        <v>284.49193215627514</v>
      </c>
      <c r="J68" s="596">
        <f>110/E68</f>
        <v>119.4431776228636</v>
      </c>
      <c r="K68" s="626">
        <f>225.12/E68</f>
        <v>244.44589224053686</v>
      </c>
      <c r="L68" s="626"/>
      <c r="M68" s="597">
        <f>0</f>
        <v>0</v>
      </c>
      <c r="N68" s="1238">
        <f>Tabel6689172633[[#This Row],[Sew. 2015]]+Tabel6689172633[[#This Row],[WW 2015]]+Tabel6689172633[[#This Row],[Other ch. 2015]]</f>
        <v>363.88906986340044</v>
      </c>
      <c r="O68" s="570">
        <f>13.1/E68</f>
        <v>14.224596607813755</v>
      </c>
      <c r="P68" s="571">
        <f>Tabel6689172633[[#This Row],[Total. ch. DW 2015]]+Tabel6689172633[[#This Row],[Sew. 2015]]+Tabel6689172633[[#This Row],[WW 2015]]+Tabel6689172633[[#This Row],[Other ch. 2015]]+Tabel6689172633[[#This Row],[VAT 2015]]</f>
        <v>662.60559862748937</v>
      </c>
      <c r="Q68" s="397"/>
      <c r="R68" s="1763"/>
      <c r="S68" s="1766"/>
      <c r="T68" s="1769"/>
      <c r="U68" s="1775"/>
      <c r="V68" s="1778"/>
      <c r="W68" s="1781"/>
      <c r="X68" s="1785"/>
      <c r="Y68" s="1788"/>
      <c r="Z68" s="1791"/>
      <c r="AA68" s="397"/>
      <c r="AB68" s="398"/>
      <c r="AC68" s="398"/>
      <c r="AD68" s="398"/>
      <c r="AE68" s="591" t="s">
        <v>429</v>
      </c>
      <c r="AF68" s="591" t="s">
        <v>429</v>
      </c>
      <c r="AG68" s="591" t="s">
        <v>429</v>
      </c>
      <c r="AH68" s="398"/>
      <c r="AI68" s="397"/>
    </row>
    <row r="69" spans="1:35" ht="15.75" x14ac:dyDescent="0.25">
      <c r="A69" s="1757"/>
      <c r="B69" s="1213"/>
      <c r="C69" s="639" t="s">
        <v>1348</v>
      </c>
      <c r="D69" s="1760"/>
      <c r="E69" s="617">
        <f>'[1]exchange rates'!$M$16</f>
        <v>0.92093999999999998</v>
      </c>
      <c r="F69" s="625">
        <f>66/E69</f>
        <v>71.665906573718161</v>
      </c>
      <c r="G69" s="593">
        <f>220/E69</f>
        <v>238.8863552457272</v>
      </c>
      <c r="H69" s="594">
        <v>0</v>
      </c>
      <c r="I69" s="566">
        <f>Tabel6689172633[[#This Row],[Fix.ch. 2015]]+Tabel6689172633[[#This Row],[Var. ch. 2015]]+Tabel6689172633[[#This Row],[Oth. ch. DW 2015]]</f>
        <v>310.55226181944533</v>
      </c>
      <c r="J69" s="596">
        <f>120/E69</f>
        <v>130.3016483158512</v>
      </c>
      <c r="K69" s="626">
        <f>157.05/E69</f>
        <v>170.53228223337027</v>
      </c>
      <c r="L69" s="626"/>
      <c r="M69" s="597">
        <f>36/E69</f>
        <v>39.090494494755362</v>
      </c>
      <c r="N69" s="1238">
        <f>Tabel6689172633[[#This Row],[Sew. 2015]]+Tabel6689172633[[#This Row],[WW 2015]]+Tabel6689172633[[#This Row],[Other ch. 2015]]</f>
        <v>339.92442504397684</v>
      </c>
      <c r="O69" s="570">
        <f>14.3/E69</f>
        <v>15.527613090972268</v>
      </c>
      <c r="P69" s="571">
        <f>Tabel6689172633[[#This Row],[Total. ch. DW 2015]]+Tabel6689172633[[#This Row],[Sew. 2015]]+Tabel6689172633[[#This Row],[WW 2015]]+Tabel6689172633[[#This Row],[Other ch. 2015]]+Tabel6689172633[[#This Row],[VAT 2015]]</f>
        <v>666.00429995439447</v>
      </c>
      <c r="Q69" s="397"/>
      <c r="R69" s="1763"/>
      <c r="S69" s="1766"/>
      <c r="T69" s="1769"/>
      <c r="U69" s="1775"/>
      <c r="V69" s="1778"/>
      <c r="W69" s="1781"/>
      <c r="X69" s="1785"/>
      <c r="Y69" s="1788"/>
      <c r="Z69" s="1791"/>
      <c r="AA69" s="397"/>
      <c r="AB69" s="398"/>
      <c r="AC69" s="398"/>
      <c r="AD69" s="398"/>
      <c r="AE69" s="591" t="s">
        <v>429</v>
      </c>
      <c r="AF69" s="591" t="s">
        <v>429</v>
      </c>
      <c r="AG69" s="591" t="s">
        <v>429</v>
      </c>
      <c r="AH69" s="398"/>
      <c r="AI69" s="397"/>
    </row>
    <row r="70" spans="1:35" ht="16.5" thickBot="1" x14ac:dyDescent="0.3">
      <c r="A70" s="1758"/>
      <c r="B70" s="1213"/>
      <c r="C70" s="652" t="s">
        <v>86</v>
      </c>
      <c r="D70" s="1761"/>
      <c r="E70" s="617">
        <f>'[1]exchange rates'!$M$16</f>
        <v>0.92093999999999998</v>
      </c>
      <c r="F70" s="625">
        <f>48/E70</f>
        <v>52.12065932634048</v>
      </c>
      <c r="G70" s="593">
        <f>208.6/E70</f>
        <v>226.50769865572133</v>
      </c>
      <c r="H70" s="594">
        <v>0</v>
      </c>
      <c r="I70" s="566">
        <f>Tabel6689172633[[#This Row],[Fix.ch. 2015]]+Tabel6689172633[[#This Row],[Var. ch. 2015]]+Tabel6689172633[[#This Row],[Oth. ch. DW 2015]]</f>
        <v>278.6283579820618</v>
      </c>
      <c r="J70" s="596">
        <f>86/E70</f>
        <v>93.382847959693365</v>
      </c>
      <c r="K70" s="626">
        <f>132/E70</f>
        <v>143.33181314743632</v>
      </c>
      <c r="L70" s="626"/>
      <c r="M70" s="597">
        <f>33/E70</f>
        <v>35.83295328685908</v>
      </c>
      <c r="N70" s="1238">
        <f>Tabel6689172633[[#This Row],[Sew. 2015]]+Tabel6689172633[[#This Row],[WW 2015]]+Tabel6689172633[[#This Row],[Other ch. 2015]]</f>
        <v>272.54761439398879</v>
      </c>
      <c r="O70" s="570">
        <f>12.83/E70</f>
        <v>13.93141789910309</v>
      </c>
      <c r="P70" s="571">
        <f>Tabel6689172633[[#This Row],[Total. ch. DW 2015]]+Tabel6689172633[[#This Row],[Sew. 2015]]+Tabel6689172633[[#This Row],[WW 2015]]+Tabel6689172633[[#This Row],[Other ch. 2015]]+Tabel6689172633[[#This Row],[VAT 2015]]</f>
        <v>565.10739027515365</v>
      </c>
      <c r="Q70" s="397"/>
      <c r="R70" s="1764"/>
      <c r="S70" s="1767"/>
      <c r="T70" s="1770"/>
      <c r="U70" s="1776"/>
      <c r="V70" s="1779"/>
      <c r="W70" s="1811"/>
      <c r="X70" s="1813"/>
      <c r="Y70" s="1815"/>
      <c r="Z70" s="1794"/>
      <c r="AA70" s="397"/>
      <c r="AB70" s="398"/>
      <c r="AC70" s="398"/>
      <c r="AD70" s="398"/>
      <c r="AE70" s="591" t="s">
        <v>429</v>
      </c>
      <c r="AF70" s="591" t="s">
        <v>429</v>
      </c>
      <c r="AG70" s="591" t="s">
        <v>429</v>
      </c>
      <c r="AH70" s="398"/>
      <c r="AI70" s="397"/>
    </row>
    <row r="71" spans="1:35" ht="15.75" x14ac:dyDescent="0.25">
      <c r="A71" s="1818" t="s">
        <v>11</v>
      </c>
      <c r="B71" s="1213"/>
      <c r="C71" s="543" t="s">
        <v>87</v>
      </c>
      <c r="D71" s="1759">
        <v>45800</v>
      </c>
      <c r="E71" s="661">
        <f>'[1]exchange rates'!$M$17</f>
        <v>6.8727499999999999</v>
      </c>
      <c r="F71" s="625">
        <f>975.04/E71</f>
        <v>141.87043032265103</v>
      </c>
      <c r="G71" s="593">
        <f>879.6/E71</f>
        <v>127.9837037575934</v>
      </c>
      <c r="H71" s="594">
        <f>1306/E71</f>
        <v>190.02582663417118</v>
      </c>
      <c r="I71" s="566">
        <f>Tabel6689172633[[#This Row],[Fix.ch. 2015]]+Tabel6689172633[[#This Row],[Var. ch. 2015]]+Tabel6689172633[[#This Row],[Oth. ch. DW 2015]]</f>
        <v>459.87996071441557</v>
      </c>
      <c r="J71" s="596">
        <v>0</v>
      </c>
      <c r="K71" s="626">
        <f>4536/E71</f>
        <v>659.99781746753479</v>
      </c>
      <c r="L71" s="626"/>
      <c r="M71" s="597">
        <f>116/E71</f>
        <v>16.878251063984578</v>
      </c>
      <c r="N71" s="1238">
        <f>Tabel6689172633[[#This Row],[Sew. 2015]]+Tabel6689172633[[#This Row],[WW 2015]]+Tabel6689172633[[#This Row],[Other ch. 2015]]</f>
        <v>676.87606853151942</v>
      </c>
      <c r="O71" s="570">
        <f>1953.16/E71</f>
        <v>284.18900731148375</v>
      </c>
      <c r="P71" s="571">
        <f>Tabel6689172633[[#This Row],[Total. ch. DW 2015]]+Tabel6689172633[[#This Row],[Sew. 2015]]+Tabel6689172633[[#This Row],[WW 2015]]+Tabel6689172633[[#This Row],[Other ch. 2015]]+Tabel6689172633[[#This Row],[VAT 2015]]</f>
        <v>1420.9450365574187</v>
      </c>
      <c r="Q71" s="397"/>
      <c r="R71" s="1762">
        <f t="shared" ref="R71:W71" si="20">SUM(F71:F75)/5</f>
        <v>88.78658470044742</v>
      </c>
      <c r="S71" s="1765">
        <f t="shared" si="20"/>
        <v>217.56647630133497</v>
      </c>
      <c r="T71" s="1768">
        <f t="shared" si="20"/>
        <v>190.02582663417118</v>
      </c>
      <c r="U71" s="1774">
        <f t="shared" si="20"/>
        <v>496.37888763595367</v>
      </c>
      <c r="V71" s="1777">
        <f t="shared" si="20"/>
        <v>0</v>
      </c>
      <c r="W71" s="1810">
        <f t="shared" si="20"/>
        <v>702.91047979338691</v>
      </c>
      <c r="X71" s="1812">
        <f>SUM(M71:M75)/5</f>
        <v>15.19042595758612</v>
      </c>
      <c r="Y71" s="1814">
        <f t="shared" ref="Y71:Z71" si="21">SUM(O71:O75)/5</f>
        <v>303.61994834673158</v>
      </c>
      <c r="Z71" s="1793">
        <f t="shared" si="21"/>
        <v>1518.0997417336584</v>
      </c>
      <c r="AA71" s="397"/>
      <c r="AB71" s="396"/>
      <c r="AC71" s="591" t="s">
        <v>429</v>
      </c>
      <c r="AD71" s="591"/>
      <c r="AE71" s="591"/>
      <c r="AF71" s="591" t="s">
        <v>429</v>
      </c>
      <c r="AG71" s="591" t="s">
        <v>429</v>
      </c>
      <c r="AH71" s="396"/>
      <c r="AI71" s="397"/>
    </row>
    <row r="72" spans="1:35" ht="15.75" x14ac:dyDescent="0.25">
      <c r="A72" s="1819"/>
      <c r="B72" s="1213"/>
      <c r="C72" s="543" t="s">
        <v>213</v>
      </c>
      <c r="D72" s="1880"/>
      <c r="E72" s="661">
        <f>'[1]exchange rates'!$M$17</f>
        <v>6.8727499999999999</v>
      </c>
      <c r="F72" s="625">
        <f>550/E72</f>
        <v>80.026190389582041</v>
      </c>
      <c r="G72" s="593">
        <f>2142/E72</f>
        <v>311.6656360263359</v>
      </c>
      <c r="H72" s="594">
        <f t="shared" ref="H72:H75" si="22">1306/E72</f>
        <v>190.02582663417118</v>
      </c>
      <c r="I72" s="566">
        <f>Tabel6689172633[[#This Row],[Fix.ch. 2015]]+Tabel6689172633[[#This Row],[Var. ch. 2015]]+Tabel6689172633[[#This Row],[Oth. ch. DW 2015]]</f>
        <v>581.7176530500891</v>
      </c>
      <c r="J72" s="596">
        <v>0</v>
      </c>
      <c r="K72" s="626">
        <f>5374.4/E72</f>
        <v>781.98683205412681</v>
      </c>
      <c r="L72" s="626"/>
      <c r="M72" s="597">
        <f>100/E72</f>
        <v>14.550216434469464</v>
      </c>
      <c r="N72" s="1238">
        <f>Tabel6689172633[[#This Row],[Sew. 2015]]+Tabel6689172633[[#This Row],[WW 2015]]+Tabel6689172633[[#This Row],[Other ch. 2015]]</f>
        <v>796.53704848859627</v>
      </c>
      <c r="O72" s="570">
        <f>2368.1/E72</f>
        <v>344.56367538467134</v>
      </c>
      <c r="P72" s="571">
        <f>Tabel6689172633[[#This Row],[Total. ch. DW 2015]]+Tabel6689172633[[#This Row],[Sew. 2015]]+Tabel6689172633[[#This Row],[WW 2015]]+Tabel6689172633[[#This Row],[Other ch. 2015]]+Tabel6689172633[[#This Row],[VAT 2015]]</f>
        <v>1722.8183769233569</v>
      </c>
      <c r="Q72" s="397"/>
      <c r="R72" s="1886"/>
      <c r="S72" s="1888"/>
      <c r="T72" s="1890"/>
      <c r="U72" s="1892"/>
      <c r="V72" s="1894"/>
      <c r="W72" s="1911"/>
      <c r="X72" s="1913"/>
      <c r="Y72" s="1915"/>
      <c r="Z72" s="1832"/>
      <c r="AA72" s="397"/>
      <c r="AB72" s="396"/>
      <c r="AC72" s="591" t="s">
        <v>429</v>
      </c>
      <c r="AD72" s="591"/>
      <c r="AE72" s="591"/>
      <c r="AF72" s="591" t="s">
        <v>429</v>
      </c>
      <c r="AG72" s="591" t="s">
        <v>429</v>
      </c>
      <c r="AH72" s="396"/>
      <c r="AI72" s="397"/>
    </row>
    <row r="73" spans="1:35" ht="15.75" x14ac:dyDescent="0.25">
      <c r="A73" s="1819"/>
      <c r="B73" s="1213"/>
      <c r="C73" s="543" t="s">
        <v>88</v>
      </c>
      <c r="D73" s="1880"/>
      <c r="E73" s="661">
        <f>'[1]exchange rates'!$M$17</f>
        <v>6.8727499999999999</v>
      </c>
      <c r="F73" s="625">
        <f>384/E73</f>
        <v>55.872831108362739</v>
      </c>
      <c r="G73" s="593">
        <f>1734/E73</f>
        <v>252.3007529737005</v>
      </c>
      <c r="H73" s="594">
        <f t="shared" si="22"/>
        <v>190.02582663417118</v>
      </c>
      <c r="I73" s="566">
        <f>Tabel6689172633[[#This Row],[Fix.ch. 2015]]+Tabel6689172633[[#This Row],[Var. ch. 2015]]+Tabel6689172633[[#This Row],[Oth. ch. DW 2015]]</f>
        <v>498.19941071623441</v>
      </c>
      <c r="J73" s="596">
        <v>0</v>
      </c>
      <c r="K73" s="626">
        <f>2846.4/E73</f>
        <v>414.15736059073879</v>
      </c>
      <c r="L73" s="626"/>
      <c r="M73" s="597">
        <f>112/E73</f>
        <v>16.296242406605799</v>
      </c>
      <c r="N73" s="1238">
        <f>Tabel6689172633[[#This Row],[Sew. 2015]]+Tabel6689172633[[#This Row],[WW 2015]]+Tabel6689172633[[#This Row],[Other ch. 2015]]</f>
        <v>430.4536029973446</v>
      </c>
      <c r="O73" s="570">
        <f>1595.6/E73</f>
        <v>232.16325342839474</v>
      </c>
      <c r="P73" s="571">
        <f>Tabel6689172633[[#This Row],[Total. ch. DW 2015]]+Tabel6689172633[[#This Row],[Sew. 2015]]+Tabel6689172633[[#This Row],[WW 2015]]+Tabel6689172633[[#This Row],[Other ch. 2015]]+Tabel6689172633[[#This Row],[VAT 2015]]</f>
        <v>1160.8162671419736</v>
      </c>
      <c r="Q73" s="397"/>
      <c r="R73" s="1886"/>
      <c r="S73" s="1888"/>
      <c r="T73" s="1890"/>
      <c r="U73" s="1892"/>
      <c r="V73" s="1894"/>
      <c r="W73" s="1911"/>
      <c r="X73" s="1913"/>
      <c r="Y73" s="1915"/>
      <c r="Z73" s="1832"/>
      <c r="AA73" s="397"/>
      <c r="AB73" s="396"/>
      <c r="AC73" s="591" t="s">
        <v>429</v>
      </c>
      <c r="AD73" s="591"/>
      <c r="AE73" s="591"/>
      <c r="AF73" s="591" t="s">
        <v>429</v>
      </c>
      <c r="AG73" s="591" t="s">
        <v>429</v>
      </c>
      <c r="AH73" s="396"/>
      <c r="AI73" s="397"/>
    </row>
    <row r="74" spans="1:35" ht="15.75" x14ac:dyDescent="0.25">
      <c r="A74" s="1819"/>
      <c r="B74" s="1213"/>
      <c r="C74" s="543" t="s">
        <v>89</v>
      </c>
      <c r="D74" s="1880"/>
      <c r="E74" s="661">
        <f>'[1]exchange rates'!$M$17</f>
        <v>6.8727499999999999</v>
      </c>
      <c r="F74" s="625">
        <f>662/E74</f>
        <v>96.32243279618784</v>
      </c>
      <c r="G74" s="593">
        <f>970.8/E74</f>
        <v>141.25350114582955</v>
      </c>
      <c r="H74" s="594">
        <f t="shared" si="22"/>
        <v>190.02582663417118</v>
      </c>
      <c r="I74" s="566">
        <f>Tabel6689172633[[#This Row],[Fix.ch. 2015]]+Tabel6689172633[[#This Row],[Var. ch. 2015]]+Tabel6689172633[[#This Row],[Oth. ch. DW 2015]]</f>
        <v>427.60176057618855</v>
      </c>
      <c r="J74" s="596">
        <v>0</v>
      </c>
      <c r="K74" s="626">
        <f>5169.04/E74</f>
        <v>752.10650758430029</v>
      </c>
      <c r="L74" s="626"/>
      <c r="M74" s="597">
        <f>92/E74</f>
        <v>13.386199119711906</v>
      </c>
      <c r="N74" s="1238">
        <f>Tabel6689172633[[#This Row],[Sew. 2015]]+Tabel6689172633[[#This Row],[WW 2015]]+Tabel6689172633[[#This Row],[Other ch. 2015]]</f>
        <v>765.49270670401222</v>
      </c>
      <c r="O74" s="570">
        <f>2049.96/E74</f>
        <v>298.27361682005022</v>
      </c>
      <c r="P74" s="571">
        <f>Tabel6689172633[[#This Row],[Total. ch. DW 2015]]+Tabel6689172633[[#This Row],[Sew. 2015]]+Tabel6689172633[[#This Row],[WW 2015]]+Tabel6689172633[[#This Row],[Other ch. 2015]]+Tabel6689172633[[#This Row],[VAT 2015]]</f>
        <v>1491.3680841002508</v>
      </c>
      <c r="Q74" s="397"/>
      <c r="R74" s="1886"/>
      <c r="S74" s="1888"/>
      <c r="T74" s="1890"/>
      <c r="U74" s="1892"/>
      <c r="V74" s="1894"/>
      <c r="W74" s="1911"/>
      <c r="X74" s="1913"/>
      <c r="Y74" s="1915"/>
      <c r="Z74" s="1832"/>
      <c r="AA74" s="397"/>
      <c r="AB74" s="396"/>
      <c r="AC74" s="591" t="s">
        <v>429</v>
      </c>
      <c r="AD74" s="591"/>
      <c r="AE74" s="591"/>
      <c r="AF74" s="591" t="s">
        <v>429</v>
      </c>
      <c r="AG74" s="591" t="s">
        <v>429</v>
      </c>
      <c r="AH74" s="396"/>
      <c r="AI74" s="397"/>
    </row>
    <row r="75" spans="1:35" ht="16.5" thickBot="1" x14ac:dyDescent="0.3">
      <c r="A75" s="1820"/>
      <c r="B75" s="1213"/>
      <c r="C75" s="544" t="s">
        <v>90</v>
      </c>
      <c r="D75" s="1923"/>
      <c r="E75" s="661">
        <f>'[1]exchange rates'!$M$17</f>
        <v>6.8727499999999999</v>
      </c>
      <c r="F75" s="625">
        <f>480/E75</f>
        <v>69.841038885453429</v>
      </c>
      <c r="G75" s="593">
        <f>1750/E75</f>
        <v>254.62878760321561</v>
      </c>
      <c r="H75" s="594">
        <f t="shared" si="22"/>
        <v>190.02582663417118</v>
      </c>
      <c r="I75" s="566">
        <f>Tabel6689172633[[#This Row],[Fix.ch. 2015]]+Tabel6689172633[[#This Row],[Var. ch. 2015]]+Tabel6689172633[[#This Row],[Oth. ch. DW 2015]]</f>
        <v>514.49565312284017</v>
      </c>
      <c r="J75" s="596">
        <v>0</v>
      </c>
      <c r="K75" s="626">
        <f>6228.8/E75</f>
        <v>906.30388127023389</v>
      </c>
      <c r="L75" s="626"/>
      <c r="M75" s="597">
        <f>102/E75</f>
        <v>14.841220763158852</v>
      </c>
      <c r="N75" s="1238">
        <f>Tabel6689172633[[#This Row],[Sew. 2015]]+Tabel6689172633[[#This Row],[WW 2015]]+Tabel6689172633[[#This Row],[Other ch. 2015]]</f>
        <v>921.14510203339273</v>
      </c>
      <c r="O75" s="570">
        <f>2466.7/E75</f>
        <v>358.91018878905822</v>
      </c>
      <c r="P75" s="571">
        <f>Tabel6689172633[[#This Row],[Total. ch. DW 2015]]+Tabel6689172633[[#This Row],[Sew. 2015]]+Tabel6689172633[[#This Row],[WW 2015]]+Tabel6689172633[[#This Row],[Other ch. 2015]]+Tabel6689172633[[#This Row],[VAT 2015]]</f>
        <v>1794.5509439452912</v>
      </c>
      <c r="Q75" s="397"/>
      <c r="R75" s="1970"/>
      <c r="S75" s="1973"/>
      <c r="T75" s="1976"/>
      <c r="U75" s="1979"/>
      <c r="V75" s="1982"/>
      <c r="W75" s="1956"/>
      <c r="X75" s="1959"/>
      <c r="Y75" s="1962"/>
      <c r="Z75" s="1965"/>
      <c r="AA75" s="397"/>
      <c r="AB75" s="396"/>
      <c r="AC75" s="591" t="s">
        <v>429</v>
      </c>
      <c r="AD75" s="591"/>
      <c r="AE75" s="591"/>
      <c r="AF75" s="591" t="s">
        <v>429</v>
      </c>
      <c r="AG75" s="591" t="s">
        <v>429</v>
      </c>
      <c r="AH75" s="396"/>
      <c r="AI75" s="397"/>
    </row>
    <row r="76" spans="1:35" ht="15.75" x14ac:dyDescent="0.25">
      <c r="A76" s="1818" t="s">
        <v>12</v>
      </c>
      <c r="B76" s="1213"/>
      <c r="C76" s="1255" t="s">
        <v>91</v>
      </c>
      <c r="D76" s="1759">
        <v>41200</v>
      </c>
      <c r="E76" s="616">
        <f>'[1]exchange rates'!$M$18</f>
        <v>0.92093999999999998</v>
      </c>
      <c r="F76" s="625">
        <f>38.59/E76</f>
        <v>41.902838404239155</v>
      </c>
      <c r="G76" s="593">
        <f>216/E76</f>
        <v>234.54296696853217</v>
      </c>
      <c r="H76" s="594">
        <v>0</v>
      </c>
      <c r="I76" s="566">
        <f>Tabel6689172633[[#This Row],[Fix.ch. 2015]]+Tabel6689172633[[#This Row],[Var. ch. 2015]]+Tabel6689172633[[#This Row],[Oth. ch. DW 2015]]</f>
        <v>276.4458053727713</v>
      </c>
      <c r="J76" s="596">
        <f>0</f>
        <v>0</v>
      </c>
      <c r="K76" s="626">
        <f>268/E76</f>
        <v>291.0070145720677</v>
      </c>
      <c r="L76" s="626"/>
      <c r="M76" s="597">
        <f>57.89/E76</f>
        <v>62.859686841705219</v>
      </c>
      <c r="N76" s="1238">
        <f>Tabel6689172633[[#This Row],[Sew. 2015]]+Tabel6689172633[[#This Row],[WW 2015]]+Tabel6689172633[[#This Row],[Other ch. 2015]]</f>
        <v>353.86670141377294</v>
      </c>
      <c r="O76" s="570">
        <f>139.32/E76</f>
        <v>151.28021369470324</v>
      </c>
      <c r="P76" s="571">
        <f>Tabel6689172633[[#This Row],[Total. ch. DW 2015]]+Tabel6689172633[[#This Row],[Sew. 2015]]+Tabel6689172633[[#This Row],[WW 2015]]+Tabel6689172633[[#This Row],[Other ch. 2015]]+Tabel6689172633[[#This Row],[VAT 2015]]</f>
        <v>781.5927204812474</v>
      </c>
      <c r="Q76" s="397"/>
      <c r="R76" s="1762">
        <f t="shared" ref="R76:W76" si="23">SUM(F76:F81)/6</f>
        <v>62.007296892305696</v>
      </c>
      <c r="S76" s="1765">
        <f t="shared" si="23"/>
        <v>247.21118277701771</v>
      </c>
      <c r="T76" s="1768">
        <f t="shared" si="23"/>
        <v>0</v>
      </c>
      <c r="U76" s="1774">
        <f t="shared" si="23"/>
        <v>309.21847966932336</v>
      </c>
      <c r="V76" s="1777">
        <f t="shared" si="23"/>
        <v>0</v>
      </c>
      <c r="W76" s="1810">
        <f t="shared" si="23"/>
        <v>321.41073251243296</v>
      </c>
      <c r="X76" s="1812">
        <f>SUM(M76:M81)/6</f>
        <v>63.798944556648649</v>
      </c>
      <c r="Y76" s="1814">
        <f t="shared" ref="Y76:Z76" si="24">SUM(O76:O81)/6</f>
        <v>166.66485692155115</v>
      </c>
      <c r="Z76" s="1793">
        <f t="shared" si="24"/>
        <v>861.093013659956</v>
      </c>
      <c r="AA76" s="397"/>
      <c r="AB76" s="400"/>
      <c r="AC76" s="662" t="s">
        <v>429</v>
      </c>
      <c r="AD76" s="662"/>
      <c r="AE76" s="662"/>
      <c r="AF76" s="662" t="s">
        <v>429</v>
      </c>
      <c r="AG76" s="662" t="s">
        <v>429</v>
      </c>
      <c r="AH76" s="400"/>
      <c r="AI76" s="397"/>
    </row>
    <row r="77" spans="1:35" ht="15.75" x14ac:dyDescent="0.25">
      <c r="A77" s="1819"/>
      <c r="B77" s="1213"/>
      <c r="C77" s="543" t="s">
        <v>92</v>
      </c>
      <c r="D77" s="1880"/>
      <c r="E77" s="616">
        <f>'[1]exchange rates'!$M$18</f>
        <v>0.92093999999999998</v>
      </c>
      <c r="F77" s="625">
        <f>38.59/E77</f>
        <v>41.902838404239155</v>
      </c>
      <c r="G77" s="593">
        <f>216/E77</f>
        <v>234.54296696853217</v>
      </c>
      <c r="H77" s="594">
        <v>0</v>
      </c>
      <c r="I77" s="566">
        <f>Tabel6689172633[[#This Row],[Fix.ch. 2015]]+Tabel6689172633[[#This Row],[Var. ch. 2015]]+Tabel6689172633[[#This Row],[Oth. ch. DW 2015]]</f>
        <v>276.4458053727713</v>
      </c>
      <c r="J77" s="596">
        <v>0</v>
      </c>
      <c r="K77" s="626">
        <f>268/E77</f>
        <v>291.0070145720677</v>
      </c>
      <c r="L77" s="626"/>
      <c r="M77" s="597">
        <f>57.89/E77</f>
        <v>62.859686841705219</v>
      </c>
      <c r="N77" s="1238">
        <f>Tabel6689172633[[#This Row],[Sew. 2015]]+Tabel6689172633[[#This Row],[WW 2015]]+Tabel6689172633[[#This Row],[Other ch. 2015]]</f>
        <v>353.86670141377294</v>
      </c>
      <c r="O77" s="570">
        <f>139.32/E77</f>
        <v>151.28021369470324</v>
      </c>
      <c r="P77" s="571">
        <f>Tabel6689172633[[#This Row],[Total. ch. DW 2015]]+Tabel6689172633[[#This Row],[Sew. 2015]]+Tabel6689172633[[#This Row],[WW 2015]]+Tabel6689172633[[#This Row],[Other ch. 2015]]+Tabel6689172633[[#This Row],[VAT 2015]]</f>
        <v>781.5927204812474</v>
      </c>
      <c r="Q77" s="397"/>
      <c r="R77" s="1886"/>
      <c r="S77" s="1888"/>
      <c r="T77" s="1890"/>
      <c r="U77" s="1892"/>
      <c r="V77" s="1894"/>
      <c r="W77" s="1911"/>
      <c r="X77" s="1913"/>
      <c r="Y77" s="1915"/>
      <c r="Z77" s="1832"/>
      <c r="AA77" s="397"/>
      <c r="AB77" s="400"/>
      <c r="AC77" s="662" t="s">
        <v>429</v>
      </c>
      <c r="AD77" s="662"/>
      <c r="AE77" s="662"/>
      <c r="AF77" s="662" t="s">
        <v>429</v>
      </c>
      <c r="AG77" s="662" t="s">
        <v>429</v>
      </c>
      <c r="AH77" s="400"/>
      <c r="AI77" s="397"/>
    </row>
    <row r="78" spans="1:35" ht="15.75" x14ac:dyDescent="0.25">
      <c r="A78" s="1819"/>
      <c r="B78" s="1213"/>
      <c r="C78" s="543" t="s">
        <v>93</v>
      </c>
      <c r="D78" s="1880"/>
      <c r="E78" s="616">
        <f>'[1]exchange rates'!$M$18</f>
        <v>0.92093999999999998</v>
      </c>
      <c r="F78" s="625">
        <f>41.94/E78</f>
        <v>45.540426086389992</v>
      </c>
      <c r="G78" s="593">
        <f>246/E78</f>
        <v>267.11837904749495</v>
      </c>
      <c r="H78" s="594">
        <v>0</v>
      </c>
      <c r="I78" s="566">
        <f>Tabel6689172633[[#This Row],[Fix.ch. 2015]]+Tabel6689172633[[#This Row],[Var. ch. 2015]]+Tabel6689172633[[#This Row],[Oth. ch. DW 2015]]</f>
        <v>312.65880513388493</v>
      </c>
      <c r="J78" s="596">
        <v>0</v>
      </c>
      <c r="K78" s="626">
        <f>336/E78</f>
        <v>364.84461528438334</v>
      </c>
      <c r="L78" s="626"/>
      <c r="M78" s="597">
        <f>41.94/E78</f>
        <v>45.540426086389992</v>
      </c>
      <c r="N78" s="1238">
        <f>Tabel6689172633[[#This Row],[Sew. 2015]]+Tabel6689172633[[#This Row],[WW 2015]]+Tabel6689172633[[#This Row],[Other ch. 2015]]</f>
        <v>410.38504137077331</v>
      </c>
      <c r="O78" s="570">
        <f>159.81/E78</f>
        <v>173.52922014463485</v>
      </c>
      <c r="P78" s="571">
        <f>Tabel6689172633[[#This Row],[Total. ch. DW 2015]]+Tabel6689172633[[#This Row],[Sew. 2015]]+Tabel6689172633[[#This Row],[WW 2015]]+Tabel6689172633[[#This Row],[Other ch. 2015]]+Tabel6689172633[[#This Row],[VAT 2015]]</f>
        <v>896.57306664929297</v>
      </c>
      <c r="Q78" s="397"/>
      <c r="R78" s="1886"/>
      <c r="S78" s="1888"/>
      <c r="T78" s="1890"/>
      <c r="U78" s="1892"/>
      <c r="V78" s="1894"/>
      <c r="W78" s="1911"/>
      <c r="X78" s="1913"/>
      <c r="Y78" s="1915"/>
      <c r="Z78" s="1832"/>
      <c r="AA78" s="397"/>
      <c r="AB78" s="400"/>
      <c r="AC78" s="662" t="s">
        <v>429</v>
      </c>
      <c r="AD78" s="662"/>
      <c r="AE78" s="662"/>
      <c r="AF78" s="662" t="s">
        <v>429</v>
      </c>
      <c r="AG78" s="662" t="s">
        <v>429</v>
      </c>
      <c r="AH78" s="400"/>
      <c r="AI78" s="397"/>
    </row>
    <row r="79" spans="1:35" ht="15.75" x14ac:dyDescent="0.25">
      <c r="A79" s="1819"/>
      <c r="B79" s="1213"/>
      <c r="C79" s="543" t="s">
        <v>94</v>
      </c>
      <c r="D79" s="1880"/>
      <c r="E79" s="616">
        <f>'[1]exchange rates'!$M$18</f>
        <v>0.92093999999999998</v>
      </c>
      <c r="F79" s="625">
        <f>76.92/E79</f>
        <v>83.523356570460621</v>
      </c>
      <c r="G79" s="593">
        <f>218/E79</f>
        <v>236.71466110712967</v>
      </c>
      <c r="H79" s="594">
        <v>0</v>
      </c>
      <c r="I79" s="566">
        <f>Tabel6689172633[[#This Row],[Fix.ch. 2015]]+Tabel6689172633[[#This Row],[Var. ch. 2015]]+Tabel6689172633[[#This Row],[Oth. ch. DW 2015]]</f>
        <v>320.23801767759028</v>
      </c>
      <c r="J79" s="596">
        <v>0</v>
      </c>
      <c r="K79" s="626">
        <f>320/E79</f>
        <v>347.47106217560321</v>
      </c>
      <c r="L79" s="626"/>
      <c r="M79" s="597">
        <f>76.92/E79</f>
        <v>83.523356570460621</v>
      </c>
      <c r="N79" s="1238">
        <f>Tabel6689172633[[#This Row],[Sew. 2015]]+Tabel6689172633[[#This Row],[WW 2015]]+Tabel6689172633[[#This Row],[Other ch. 2015]]</f>
        <v>430.99441874606384</v>
      </c>
      <c r="O79" s="570">
        <f>166.04/E79</f>
        <v>180.29404738636609</v>
      </c>
      <c r="P79" s="571">
        <f>Tabel6689172633[[#This Row],[Total. ch. DW 2015]]+Tabel6689172633[[#This Row],[Sew. 2015]]+Tabel6689172633[[#This Row],[WW 2015]]+Tabel6689172633[[#This Row],[Other ch. 2015]]+Tabel6689172633[[#This Row],[VAT 2015]]</f>
        <v>931.52648381002018</v>
      </c>
      <c r="Q79" s="397"/>
      <c r="R79" s="1886"/>
      <c r="S79" s="1888"/>
      <c r="T79" s="1890"/>
      <c r="U79" s="1892"/>
      <c r="V79" s="1894"/>
      <c r="W79" s="1911"/>
      <c r="X79" s="1913"/>
      <c r="Y79" s="1915"/>
      <c r="Z79" s="1832"/>
      <c r="AA79" s="397"/>
      <c r="AB79" s="400"/>
      <c r="AC79" s="662" t="s">
        <v>429</v>
      </c>
      <c r="AD79" s="662"/>
      <c r="AE79" s="662"/>
      <c r="AF79" s="662" t="s">
        <v>429</v>
      </c>
      <c r="AG79" s="662" t="s">
        <v>429</v>
      </c>
      <c r="AH79" s="400"/>
      <c r="AI79" s="397"/>
    </row>
    <row r="80" spans="1:35" ht="15.75" x14ac:dyDescent="0.25">
      <c r="A80" s="1819"/>
      <c r="B80" s="1213"/>
      <c r="C80" s="543" t="s">
        <v>95</v>
      </c>
      <c r="D80" s="1880"/>
      <c r="E80" s="616">
        <f>'[1]exchange rates'!$M$18</f>
        <v>0.92093999999999998</v>
      </c>
      <c r="F80" s="625">
        <f>108/E80</f>
        <v>117.27148348426608</v>
      </c>
      <c r="G80" s="593">
        <f>254/E80</f>
        <v>275.80515560188502</v>
      </c>
      <c r="H80" s="594">
        <v>0</v>
      </c>
      <c r="I80" s="566">
        <f>Tabel6689172633[[#This Row],[Fix.ch. 2015]]+Tabel6689172633[[#This Row],[Var. ch. 2015]]+Tabel6689172633[[#This Row],[Oth. ch. DW 2015]]</f>
        <v>393.07663908615109</v>
      </c>
      <c r="J80" s="596">
        <v>0</v>
      </c>
      <c r="K80" s="626">
        <f>316/E80</f>
        <v>343.12767389840815</v>
      </c>
      <c r="L80" s="626"/>
      <c r="M80" s="597">
        <f>60/E80</f>
        <v>65.150824157925598</v>
      </c>
      <c r="N80" s="1238">
        <f>Tabel6689172633[[#This Row],[Sew. 2015]]+Tabel6689172633[[#This Row],[WW 2015]]+Tabel6689172633[[#This Row],[Other ch. 2015]]</f>
        <v>408.27849805633377</v>
      </c>
      <c r="O80" s="570">
        <f>177.12/E80</f>
        <v>192.32523291419636</v>
      </c>
      <c r="P80" s="571">
        <f>Tabel6689172633[[#This Row],[Total. ch. DW 2015]]+Tabel6689172633[[#This Row],[Sew. 2015]]+Tabel6689172633[[#This Row],[WW 2015]]+Tabel6689172633[[#This Row],[Other ch. 2015]]+Tabel6689172633[[#This Row],[VAT 2015]]</f>
        <v>993.68037005668123</v>
      </c>
      <c r="Q80" s="397"/>
      <c r="R80" s="1886"/>
      <c r="S80" s="1888"/>
      <c r="T80" s="1890"/>
      <c r="U80" s="1892"/>
      <c r="V80" s="1894"/>
      <c r="W80" s="1911"/>
      <c r="X80" s="1913"/>
      <c r="Y80" s="1915"/>
      <c r="Z80" s="1832"/>
      <c r="AA80" s="397"/>
      <c r="AB80" s="400"/>
      <c r="AC80" s="662" t="s">
        <v>429</v>
      </c>
      <c r="AD80" s="662"/>
      <c r="AE80" s="662"/>
      <c r="AF80" s="662" t="s">
        <v>429</v>
      </c>
      <c r="AG80" s="662" t="s">
        <v>429</v>
      </c>
      <c r="AH80" s="400"/>
      <c r="AI80" s="397"/>
    </row>
    <row r="81" spans="1:35" ht="16.5" thickBot="1" x14ac:dyDescent="0.3">
      <c r="A81" s="1820"/>
      <c r="B81" s="1213"/>
      <c r="C81" s="544" t="s">
        <v>195</v>
      </c>
      <c r="D81" s="1923"/>
      <c r="E81" s="616">
        <f>'[1]exchange rates'!$M$18</f>
        <v>0.92093999999999998</v>
      </c>
      <c r="F81" s="625">
        <f>38.59/E81</f>
        <v>41.902838404239155</v>
      </c>
      <c r="G81" s="593">
        <f>216/E81</f>
        <v>234.54296696853217</v>
      </c>
      <c r="H81" s="594">
        <v>0</v>
      </c>
      <c r="I81" s="566">
        <f>Tabel6689172633[[#This Row],[Fix.ch. 2015]]+Tabel6689172633[[#This Row],[Var. ch. 2015]]+Tabel6689172633[[#This Row],[Oth. ch. DW 2015]]</f>
        <v>276.4458053727713</v>
      </c>
      <c r="J81" s="596">
        <v>0</v>
      </c>
      <c r="K81" s="626">
        <f>268/E81</f>
        <v>291.0070145720677</v>
      </c>
      <c r="L81" s="626"/>
      <c r="M81" s="597">
        <f>57.89/E81</f>
        <v>62.859686841705219</v>
      </c>
      <c r="N81" s="1238">
        <f>Tabel6689172633[[#This Row],[Sew. 2015]]+Tabel6689172633[[#This Row],[WW 2015]]+Tabel6689172633[[#This Row],[Other ch. 2015]]</f>
        <v>353.86670141377294</v>
      </c>
      <c r="O81" s="570">
        <f>139.32/E81</f>
        <v>151.28021369470324</v>
      </c>
      <c r="P81" s="571">
        <f>Tabel6689172633[[#This Row],[Total. ch. DW 2015]]+Tabel6689172633[[#This Row],[Sew. 2015]]+Tabel6689172633[[#This Row],[WW 2015]]+Tabel6689172633[[#This Row],[Other ch. 2015]]+Tabel6689172633[[#This Row],[VAT 2015]]</f>
        <v>781.5927204812474</v>
      </c>
      <c r="Q81" s="397"/>
      <c r="R81" s="1970"/>
      <c r="S81" s="1973"/>
      <c r="T81" s="1976"/>
      <c r="U81" s="1979"/>
      <c r="V81" s="1982"/>
      <c r="W81" s="1956"/>
      <c r="X81" s="1959"/>
      <c r="Y81" s="1962"/>
      <c r="Z81" s="1965"/>
      <c r="AA81" s="397"/>
      <c r="AB81" s="400"/>
      <c r="AC81" s="662" t="s">
        <v>429</v>
      </c>
      <c r="AD81" s="662"/>
      <c r="AE81" s="662"/>
      <c r="AF81" s="662" t="s">
        <v>429</v>
      </c>
      <c r="AG81" s="662" t="s">
        <v>429</v>
      </c>
      <c r="AH81" s="400"/>
      <c r="AI81" s="397"/>
    </row>
    <row r="82" spans="1:35" ht="15.75" customHeight="1" x14ac:dyDescent="0.25">
      <c r="A82" s="1878" t="s">
        <v>13</v>
      </c>
      <c r="B82" s="1213"/>
      <c r="C82" s="1255" t="s">
        <v>97</v>
      </c>
      <c r="D82" s="1759">
        <v>41400</v>
      </c>
      <c r="E82" s="616">
        <f>'[1]exchange rates'!$M$19</f>
        <v>0.92093999999999998</v>
      </c>
      <c r="F82" s="625">
        <f>54.91/E82</f>
        <v>59.623862575194906</v>
      </c>
      <c r="G82" s="593">
        <f>(1.07*200)/E82</f>
        <v>232.37127282993464</v>
      </c>
      <c r="H82" s="594">
        <f>(0.4*200)/E82</f>
        <v>86.867765543900802</v>
      </c>
      <c r="I82" s="566">
        <f>Tabel6689172633[[#This Row],[Fix.ch. 2015]]+Tabel6689172633[[#This Row],[Var. ch. 2015]]+Tabel6689172633[[#This Row],[Oth. ch. DW 2015]]</f>
        <v>378.86290094903035</v>
      </c>
      <c r="J82" s="596">
        <f>(1.1*200)/E82</f>
        <v>238.88635524572723</v>
      </c>
      <c r="K82" s="626">
        <f>(0*200)/E82</f>
        <v>0</v>
      </c>
      <c r="L82" s="626"/>
      <c r="M82" s="597">
        <f>(0.235*200)/E82</f>
        <v>51.034812257041722</v>
      </c>
      <c r="N82" s="1238">
        <f>Tabel6689172633[[#This Row],[Sew. 2015]]+Tabel6689172633[[#This Row],[WW 2015]]+Tabel6689172633[[#This Row],[Other ch. 2015]]</f>
        <v>289.92116750276898</v>
      </c>
      <c r="O82" s="570">
        <f>(19.13+26.62)/E82</f>
        <v>49.677503420418269</v>
      </c>
      <c r="P82" s="571">
        <f>Tabel6689172633[[#This Row],[Total. ch. DW 2015]]+Tabel6689172633[[#This Row],[Sew. 2015]]+Tabel6689172633[[#This Row],[WW 2015]]+Tabel6689172633[[#This Row],[Other ch. 2015]]+Tabel6689172633[[#This Row],[VAT 2015]]</f>
        <v>718.46157187221752</v>
      </c>
      <c r="Q82" s="397"/>
      <c r="R82" s="1762">
        <f t="shared" ref="R82:W82" si="25">SUM(F82:F92)/11</f>
        <v>28.850956631268051</v>
      </c>
      <c r="S82" s="1765">
        <f t="shared" si="25"/>
        <v>266.52609882787743</v>
      </c>
      <c r="T82" s="1768">
        <f t="shared" si="25"/>
        <v>92.987994479948341</v>
      </c>
      <c r="U82" s="1774">
        <f t="shared" si="25"/>
        <v>388.36504993909386</v>
      </c>
      <c r="V82" s="1777">
        <f t="shared" si="25"/>
        <v>267.51323252723995</v>
      </c>
      <c r="W82" s="1810">
        <f t="shared" si="25"/>
        <v>28.232023801767756</v>
      </c>
      <c r="X82" s="1812">
        <f>SUM(M82:M92)/11</f>
        <v>57.915134141598408</v>
      </c>
      <c r="Y82" s="1814">
        <f t="shared" ref="Y82:Z82" si="26">SUM(O82:O92)/11</f>
        <v>56.675294215199102</v>
      </c>
      <c r="Z82" s="2260">
        <f t="shared" si="26"/>
        <v>798.70073462489893</v>
      </c>
      <c r="AA82" s="397"/>
      <c r="AB82" s="398"/>
      <c r="AC82" s="591" t="s">
        <v>429</v>
      </c>
      <c r="AD82" s="396"/>
      <c r="AE82" s="591" t="s">
        <v>429</v>
      </c>
      <c r="AF82" s="591" t="s">
        <v>429</v>
      </c>
      <c r="AG82" s="396"/>
      <c r="AH82" s="398"/>
      <c r="AI82" t="s">
        <v>1349</v>
      </c>
    </row>
    <row r="83" spans="1:35" ht="15.75" customHeight="1" x14ac:dyDescent="0.25">
      <c r="A83" s="1757"/>
      <c r="B83" s="1213"/>
      <c r="C83" s="543" t="s">
        <v>98</v>
      </c>
      <c r="D83" s="1880"/>
      <c r="E83" s="616">
        <f>'[1]exchange rates'!$M$19</f>
        <v>0.92093999999999998</v>
      </c>
      <c r="F83" s="625">
        <f>0/E83</f>
        <v>0</v>
      </c>
      <c r="G83" s="593">
        <f>(1.48*200)/E83</f>
        <v>321.41073251243296</v>
      </c>
      <c r="H83" s="594">
        <f>(0.48*200)/E83</f>
        <v>104.24131865268096</v>
      </c>
      <c r="I83" s="566">
        <f>Tabel6689172633[[#This Row],[Fix.ch. 2015]]+Tabel6689172633[[#This Row],[Var. ch. 2015]]+Tabel6689172633[[#This Row],[Oth. ch. DW 2015]]</f>
        <v>425.6520511651139</v>
      </c>
      <c r="J83" s="596">
        <f>(1.78*200)/E83</f>
        <v>386.56155667035853</v>
      </c>
      <c r="K83" s="626">
        <f>(0*200)/E83</f>
        <v>0</v>
      </c>
      <c r="L83" s="626"/>
      <c r="M83" s="597">
        <f>(0.2999*200)/E83</f>
        <v>65.129107216539623</v>
      </c>
      <c r="N83" s="1238">
        <f>Tabel6689172633[[#This Row],[Sew. 2015]]+Tabel6689172633[[#This Row],[WW 2015]]+Tabel6689172633[[#This Row],[Other ch. 2015]]</f>
        <v>451.69066388689816</v>
      </c>
      <c r="O83" s="570">
        <f>(21.46+41.67)/E83</f>
        <v>68.549525484830724</v>
      </c>
      <c r="P83" s="571">
        <f>Tabel6689172633[[#This Row],[Total. ch. DW 2015]]+Tabel6689172633[[#This Row],[Sew. 2015]]+Tabel6689172633[[#This Row],[WW 2015]]+Tabel6689172633[[#This Row],[Other ch. 2015]]+Tabel6689172633[[#This Row],[VAT 2015]]</f>
        <v>945.89224053684279</v>
      </c>
      <c r="Q83" s="397"/>
      <c r="R83" s="1763"/>
      <c r="S83" s="1766"/>
      <c r="T83" s="1769"/>
      <c r="U83" s="1775"/>
      <c r="V83" s="1778"/>
      <c r="W83" s="1781"/>
      <c r="X83" s="1785"/>
      <c r="Y83" s="1788"/>
      <c r="Z83" s="1990"/>
      <c r="AA83" s="397"/>
      <c r="AB83" s="398"/>
      <c r="AC83" s="591" t="s">
        <v>429</v>
      </c>
      <c r="AD83" s="396"/>
      <c r="AE83" s="396"/>
      <c r="AF83" s="591" t="s">
        <v>429</v>
      </c>
      <c r="AG83" s="396"/>
      <c r="AH83" s="398"/>
      <c r="AI83" t="s">
        <v>1349</v>
      </c>
    </row>
    <row r="84" spans="1:35" ht="15.75" customHeight="1" x14ac:dyDescent="0.25">
      <c r="A84" s="1757"/>
      <c r="B84" s="1213"/>
      <c r="C84" s="543" t="s">
        <v>99</v>
      </c>
      <c r="D84" s="1880"/>
      <c r="E84" s="616">
        <f>'[1]exchange rates'!$M$19</f>
        <v>0.92093999999999998</v>
      </c>
      <c r="F84" s="625">
        <f>18.41/E84</f>
        <v>19.990444545790172</v>
      </c>
      <c r="G84" s="593">
        <f>(1.12*200)/E84</f>
        <v>243.22974352292226</v>
      </c>
      <c r="H84" s="594">
        <f>(0.45*200)/E84</f>
        <v>97.726236236888397</v>
      </c>
      <c r="I84" s="566">
        <f>Tabel6689172633[[#This Row],[Fix.ch. 2015]]+Tabel6689172633[[#This Row],[Var. ch. 2015]]+Tabel6689172633[[#This Row],[Oth. ch. DW 2015]]</f>
        <v>360.94642430560083</v>
      </c>
      <c r="J84" s="596">
        <f>(1.46*200)/E84</f>
        <v>317.0673442352379</v>
      </c>
      <c r="K84" s="626">
        <f>(0*200)/E84</f>
        <v>0</v>
      </c>
      <c r="L84" s="626"/>
      <c r="M84" s="597">
        <f>(0.2616*200)/E84</f>
        <v>56.81151866571112</v>
      </c>
      <c r="N84" s="1238">
        <f>Tabel6689172633[[#This Row],[Sew. 2015]]+Tabel6689172633[[#This Row],[WW 2015]]+Tabel6689172633[[#This Row],[Other ch. 2015]]</f>
        <v>373.878862900949</v>
      </c>
      <c r="O84" s="570">
        <f>(18.3+34.49)/E84</f>
        <v>57.321866788281547</v>
      </c>
      <c r="P84" s="571">
        <f>Tabel6689172633[[#This Row],[Total. ch. DW 2015]]+Tabel6689172633[[#This Row],[Sew. 2015]]+Tabel6689172633[[#This Row],[WW 2015]]+Tabel6689172633[[#This Row],[Other ch. 2015]]+Tabel6689172633[[#This Row],[VAT 2015]]</f>
        <v>792.14715399483146</v>
      </c>
      <c r="Q84" s="397"/>
      <c r="R84" s="1763"/>
      <c r="S84" s="1766"/>
      <c r="T84" s="1769"/>
      <c r="U84" s="1775"/>
      <c r="V84" s="1778"/>
      <c r="W84" s="1781"/>
      <c r="X84" s="1785"/>
      <c r="Y84" s="1788"/>
      <c r="Z84" s="1990"/>
      <c r="AA84" s="397"/>
      <c r="AB84" s="398"/>
      <c r="AC84" s="591" t="s">
        <v>429</v>
      </c>
      <c r="AD84" s="591" t="s">
        <v>429</v>
      </c>
      <c r="AE84" s="396"/>
      <c r="AF84" s="591" t="s">
        <v>429</v>
      </c>
      <c r="AG84" s="396"/>
      <c r="AH84" s="398"/>
      <c r="AI84" t="s">
        <v>1349</v>
      </c>
    </row>
    <row r="85" spans="1:35" ht="15.75" customHeight="1" x14ac:dyDescent="0.25">
      <c r="A85" s="1757"/>
      <c r="B85" s="1213"/>
      <c r="C85" s="543" t="s">
        <v>100</v>
      </c>
      <c r="D85" s="1880"/>
      <c r="E85" s="616">
        <f>'[1]exchange rates'!$M$19</f>
        <v>0.92093999999999998</v>
      </c>
      <c r="F85" s="625">
        <f>60.96/E85</f>
        <v>66.193237344452413</v>
      </c>
      <c r="G85" s="593">
        <f>(1.18*200)/E85</f>
        <v>256.25990835450733</v>
      </c>
      <c r="H85" s="594">
        <f>(0.35*200)/E85</f>
        <v>76.009294850913193</v>
      </c>
      <c r="I85" s="566">
        <f>Tabel6689172633[[#This Row],[Fix.ch. 2015]]+Tabel6689172633[[#This Row],[Var. ch. 2015]]+Tabel6689172633[[#This Row],[Oth. ch. DW 2015]]</f>
        <v>398.46244054987295</v>
      </c>
      <c r="J85" s="596">
        <f>(0.96*200)/E85</f>
        <v>208.48263730536192</v>
      </c>
      <c r="K85" s="626">
        <v>0</v>
      </c>
      <c r="L85" s="626"/>
      <c r="M85" s="597">
        <f>(0.1764*200)/E85</f>
        <v>38.308684604860254</v>
      </c>
      <c r="N85" s="1238">
        <f>Tabel6689172633[[#This Row],[Sew. 2015]]+Tabel6689172633[[#This Row],[WW 2015]]+Tabel6689172633[[#This Row],[Other ch. 2015]]</f>
        <v>246.79132191022217</v>
      </c>
      <c r="O85" s="570">
        <f>(20.18+22.78)/E85</f>
        <v>46.647990097074732</v>
      </c>
      <c r="P85" s="571">
        <f>Tabel6689172633[[#This Row],[Total. ch. DW 2015]]+Tabel6689172633[[#This Row],[Sew. 2015]]+Tabel6689172633[[#This Row],[WW 2015]]+Tabel6689172633[[#This Row],[Other ch. 2015]]+Tabel6689172633[[#This Row],[VAT 2015]]</f>
        <v>691.90175255716986</v>
      </c>
      <c r="Q85" s="397"/>
      <c r="R85" s="1763"/>
      <c r="S85" s="1766"/>
      <c r="T85" s="1769"/>
      <c r="U85" s="1775"/>
      <c r="V85" s="1778"/>
      <c r="W85" s="1781"/>
      <c r="X85" s="1785"/>
      <c r="Y85" s="1788"/>
      <c r="Z85" s="1990"/>
      <c r="AA85" s="397"/>
      <c r="AB85" s="398"/>
      <c r="AC85" s="591" t="s">
        <v>429</v>
      </c>
      <c r="AD85" s="396"/>
      <c r="AE85" s="396"/>
      <c r="AF85" s="591" t="s">
        <v>429</v>
      </c>
      <c r="AG85" s="396"/>
      <c r="AH85" s="398"/>
      <c r="AI85" t="s">
        <v>1349</v>
      </c>
    </row>
    <row r="86" spans="1:35" ht="15.75" customHeight="1" x14ac:dyDescent="0.25">
      <c r="A86" s="1757"/>
      <c r="B86" s="1213"/>
      <c r="C86" s="543" t="s">
        <v>101</v>
      </c>
      <c r="D86" s="1880"/>
      <c r="E86" s="616">
        <f>'[1]exchange rates'!$M$19</f>
        <v>0.92093999999999998</v>
      </c>
      <c r="F86" s="625">
        <f>21.02/E86</f>
        <v>22.824505396659934</v>
      </c>
      <c r="G86" s="593">
        <f>(0.99*200)/E86</f>
        <v>214.99771972115448</v>
      </c>
      <c r="H86" s="594">
        <f>(0.49*200)/E86</f>
        <v>106.41301279127848</v>
      </c>
      <c r="I86" s="566">
        <f>Tabel6689172633[[#This Row],[Fix.ch. 2015]]+Tabel6689172633[[#This Row],[Var. ch. 2015]]+Tabel6689172633[[#This Row],[Oth. ch. DW 2015]]</f>
        <v>344.23523790909292</v>
      </c>
      <c r="J86" s="596">
        <f>(0.29*200)/E86</f>
        <v>62.979130019328075</v>
      </c>
      <c r="K86" s="626">
        <f>(0.97*200)/E86</f>
        <v>210.65433144395945</v>
      </c>
      <c r="L86" s="626"/>
      <c r="M86" s="597">
        <f>(0.3*200)/E86</f>
        <v>65.150824157925598</v>
      </c>
      <c r="N86" s="1238">
        <f>Tabel6689172633[[#This Row],[Sew. 2015]]+Tabel6689172633[[#This Row],[WW 2015]]+Tabel6689172633[[#This Row],[Other ch. 2015]]</f>
        <v>338.78428562121314</v>
      </c>
      <c r="O86" s="570">
        <f>(17.4+31.08)/E86</f>
        <v>52.64186591960388</v>
      </c>
      <c r="P86" s="571">
        <f>Tabel6689172633[[#This Row],[Total. ch. DW 2015]]+Tabel6689172633[[#This Row],[Sew. 2015]]+Tabel6689172633[[#This Row],[WW 2015]]+Tabel6689172633[[#This Row],[Other ch. 2015]]+Tabel6689172633[[#This Row],[VAT 2015]]</f>
        <v>735.66138944990996</v>
      </c>
      <c r="Q86" s="397"/>
      <c r="R86" s="1763"/>
      <c r="S86" s="1766"/>
      <c r="T86" s="1769"/>
      <c r="U86" s="1775"/>
      <c r="V86" s="1778"/>
      <c r="W86" s="1781"/>
      <c r="X86" s="1785"/>
      <c r="Y86" s="1788"/>
      <c r="Z86" s="1990"/>
      <c r="AA86" s="397"/>
      <c r="AB86" s="398"/>
      <c r="AC86" s="591" t="s">
        <v>429</v>
      </c>
      <c r="AD86" s="396"/>
      <c r="AE86" s="396"/>
      <c r="AF86" s="591" t="s">
        <v>429</v>
      </c>
      <c r="AG86" s="396"/>
      <c r="AH86" s="398"/>
      <c r="AI86" t="s">
        <v>1349</v>
      </c>
    </row>
    <row r="87" spans="1:35" ht="15.75" customHeight="1" x14ac:dyDescent="0.25">
      <c r="A87" s="1757"/>
      <c r="B87" s="1213"/>
      <c r="C87" s="543" t="s">
        <v>630</v>
      </c>
      <c r="D87" s="1880"/>
      <c r="E87" s="616">
        <f>'[1]exchange rates'!$M$19</f>
        <v>0.92093999999999998</v>
      </c>
      <c r="F87" s="625">
        <f>28.36/E87</f>
        <v>30.794622885312833</v>
      </c>
      <c r="G87" s="593">
        <f>(1*200)/E87</f>
        <v>217.16941385975198</v>
      </c>
      <c r="H87" s="594">
        <f>(0.4*200)/E87</f>
        <v>86.867765543900802</v>
      </c>
      <c r="I87" s="566">
        <f>Tabel6689172633[[#This Row],[Fix.ch. 2015]]+Tabel6689172633[[#This Row],[Var. ch. 2015]]+Tabel6689172633[[#This Row],[Oth. ch. DW 2015]]</f>
        <v>334.8318022889656</v>
      </c>
      <c r="J87" s="596">
        <f>(0.5*200)/E87</f>
        <v>108.58470692987599</v>
      </c>
      <c r="K87" s="626">
        <f>(0.46*200)/E87</f>
        <v>99.897930375485913</v>
      </c>
      <c r="L87" s="626"/>
      <c r="M87" s="597">
        <f>(0.4*200)/E87</f>
        <v>86.867765543900802</v>
      </c>
      <c r="N87" s="1238">
        <f>Tabel6689172633[[#This Row],[Sew. 2015]]+Tabel6689172633[[#This Row],[WW 2015]]+Tabel6689172633[[#This Row],[Other ch. 2015]]</f>
        <v>295.35040284926271</v>
      </c>
      <c r="O87" s="570">
        <f>(16.9+27.18)/E87</f>
        <v>47.864138814689341</v>
      </c>
      <c r="P87" s="571">
        <f>Tabel6689172633[[#This Row],[Total. ch. DW 2015]]+Tabel6689172633[[#This Row],[Sew. 2015]]+Tabel6689172633[[#This Row],[WW 2015]]+Tabel6689172633[[#This Row],[Other ch. 2015]]+Tabel6689172633[[#This Row],[VAT 2015]]</f>
        <v>678.0463439529176</v>
      </c>
      <c r="Q87" s="397"/>
      <c r="R87" s="1763"/>
      <c r="S87" s="1766"/>
      <c r="T87" s="1769"/>
      <c r="U87" s="1775"/>
      <c r="V87" s="1778"/>
      <c r="W87" s="1781"/>
      <c r="X87" s="1785"/>
      <c r="Y87" s="1788"/>
      <c r="Z87" s="1990"/>
      <c r="AA87" s="397"/>
      <c r="AB87" s="398"/>
      <c r="AC87" s="591" t="s">
        <v>429</v>
      </c>
      <c r="AD87" s="396"/>
      <c r="AE87" s="396"/>
      <c r="AF87" s="591" t="s">
        <v>429</v>
      </c>
      <c r="AG87" s="396"/>
      <c r="AH87" s="398"/>
      <c r="AI87" t="s">
        <v>1349</v>
      </c>
    </row>
    <row r="88" spans="1:35" ht="15.75" customHeight="1" x14ac:dyDescent="0.25">
      <c r="A88" s="1757"/>
      <c r="B88" s="1213"/>
      <c r="C88" s="543" t="s">
        <v>631</v>
      </c>
      <c r="D88" s="1880"/>
      <c r="E88" s="616">
        <f>'[1]exchange rates'!$M$19</f>
        <v>0.92093999999999998</v>
      </c>
      <c r="F88" s="625">
        <f>10.95/E88</f>
        <v>11.890025408821421</v>
      </c>
      <c r="G88" s="593">
        <f>(0.93*200)/E88</f>
        <v>201.96755488956936</v>
      </c>
      <c r="H88" s="594">
        <f>(0.44*200)/E88</f>
        <v>95.554542098290881</v>
      </c>
      <c r="I88" s="566">
        <f>Tabel6689172633[[#This Row],[Fix.ch. 2015]]+Tabel6689172633[[#This Row],[Var. ch. 2015]]+Tabel6689172633[[#This Row],[Oth. ch. DW 2015]]</f>
        <v>309.41212239668164</v>
      </c>
      <c r="J88" s="596">
        <f>(1.16*200)/E88</f>
        <v>251.9165200773123</v>
      </c>
      <c r="K88" s="626">
        <f>(0*200)/E88</f>
        <v>0</v>
      </c>
      <c r="L88" s="626"/>
      <c r="M88" s="597">
        <f>(0.3*200)/E88</f>
        <v>65.150824157925598</v>
      </c>
      <c r="N88" s="1238">
        <f>Tabel6689172633[[#This Row],[Sew. 2015]]+Tabel6689172633[[#This Row],[WW 2015]]+Tabel6689172633[[#This Row],[Other ch. 2015]]</f>
        <v>317.0673442352379</v>
      </c>
      <c r="O88" s="570">
        <f>(15.66+29.2)/E88</f>
        <v>48.711099528742373</v>
      </c>
      <c r="P88" s="571">
        <f>Tabel6689172633[[#This Row],[Total. ch. DW 2015]]+Tabel6689172633[[#This Row],[Sew. 2015]]+Tabel6689172633[[#This Row],[WW 2015]]+Tabel6689172633[[#This Row],[Other ch. 2015]]+Tabel6689172633[[#This Row],[VAT 2015]]</f>
        <v>675.19056616066189</v>
      </c>
      <c r="Q88" s="397"/>
      <c r="R88" s="1763"/>
      <c r="S88" s="1766"/>
      <c r="T88" s="1769"/>
      <c r="U88" s="1775"/>
      <c r="V88" s="1778"/>
      <c r="W88" s="1781"/>
      <c r="X88" s="1785"/>
      <c r="Y88" s="1788"/>
      <c r="Z88" s="1990"/>
      <c r="AA88" s="397"/>
      <c r="AB88" s="398"/>
      <c r="AC88" s="591" t="s">
        <v>429</v>
      </c>
      <c r="AD88" s="396"/>
      <c r="AE88" s="396"/>
      <c r="AF88" s="591"/>
      <c r="AG88" s="396"/>
      <c r="AH88" s="398"/>
      <c r="AI88" t="s">
        <v>1349</v>
      </c>
    </row>
    <row r="89" spans="1:35" ht="15.75" customHeight="1" x14ac:dyDescent="0.25">
      <c r="A89" s="1757"/>
      <c r="B89" s="1213"/>
      <c r="C89" s="543" t="s">
        <v>632</v>
      </c>
      <c r="D89" s="1880"/>
      <c r="E89" s="616">
        <f>'[1]exchange rates'!$M$19</f>
        <v>0.92093999999999998</v>
      </c>
      <c r="F89" s="625">
        <f>42.15/E89</f>
        <v>45.76845397094273</v>
      </c>
      <c r="G89" s="593">
        <f>(1.48*200)/E89</f>
        <v>321.41073251243296</v>
      </c>
      <c r="H89" s="594">
        <f>(0.46*200)/E89</f>
        <v>99.897930375485913</v>
      </c>
      <c r="I89" s="566">
        <f>Tabel6689172633[[#This Row],[Fix.ch. 2015]]+Tabel6689172633[[#This Row],[Var. ch. 2015]]+Tabel6689172633[[#This Row],[Oth. ch. DW 2015]]</f>
        <v>467.07711685886159</v>
      </c>
      <c r="J89" s="596">
        <f>(1*200)/E89</f>
        <v>217.16941385975198</v>
      </c>
      <c r="K89" s="626">
        <v>0</v>
      </c>
      <c r="L89" s="626"/>
      <c r="M89" s="597">
        <f>(0.2966*200)/E89</f>
        <v>64.412448150802433</v>
      </c>
      <c r="N89" s="1238">
        <f>Tabel6689172633[[#This Row],[Sew. 2015]]+Tabel6689172633[[#This Row],[WW 2015]]+Tabel6689172633[[#This Row],[Other ch. 2015]]</f>
        <v>281.5818620105544</v>
      </c>
      <c r="O89" s="570">
        <f>(23.6+25.84)/E89</f>
        <v>53.684279106130688</v>
      </c>
      <c r="P89" s="571">
        <f>Tabel6689172633[[#This Row],[Total. ch. DW 2015]]+Tabel6689172633[[#This Row],[Sew. 2015]]+Tabel6689172633[[#This Row],[WW 2015]]+Tabel6689172633[[#This Row],[Other ch. 2015]]+Tabel6689172633[[#This Row],[VAT 2015]]</f>
        <v>802.34325797554675</v>
      </c>
      <c r="Q89" s="397"/>
      <c r="R89" s="1763"/>
      <c r="S89" s="1766"/>
      <c r="T89" s="1769"/>
      <c r="U89" s="1775"/>
      <c r="V89" s="1778"/>
      <c r="W89" s="1781"/>
      <c r="X89" s="1785"/>
      <c r="Y89" s="1788"/>
      <c r="Z89" s="1990"/>
      <c r="AA89" s="397"/>
      <c r="AB89" s="398"/>
      <c r="AC89" s="591" t="s">
        <v>429</v>
      </c>
      <c r="AD89" s="396"/>
      <c r="AE89" s="396"/>
      <c r="AF89" s="591" t="s">
        <v>429</v>
      </c>
      <c r="AG89" s="396"/>
      <c r="AH89" s="398"/>
      <c r="AI89" t="s">
        <v>1349</v>
      </c>
    </row>
    <row r="90" spans="1:35" ht="15.75" customHeight="1" x14ac:dyDescent="0.25">
      <c r="A90" s="1757"/>
      <c r="B90" s="1213"/>
      <c r="C90" s="543" t="s">
        <v>633</v>
      </c>
      <c r="D90" s="1880"/>
      <c r="E90" s="616">
        <f>'[1]exchange rates'!$M$19</f>
        <v>0.92093999999999998</v>
      </c>
      <c r="F90" s="625">
        <f>30.37/E90</f>
        <v>32.977175494603344</v>
      </c>
      <c r="G90" s="593">
        <f>(1.51*200)/E90</f>
        <v>327.92581492822552</v>
      </c>
      <c r="H90" s="594">
        <f>(0.52*200)/E90</f>
        <v>112.92809520707104</v>
      </c>
      <c r="I90" s="566">
        <f>Tabel6689172633[[#This Row],[Fix.ch. 2015]]+Tabel6689172633[[#This Row],[Var. ch. 2015]]+Tabel6689172633[[#This Row],[Oth. ch. DW 2015]]</f>
        <v>473.83108562989992</v>
      </c>
      <c r="J90" s="596">
        <f>(2.01*200)/E90</f>
        <v>436.51052185810147</v>
      </c>
      <c r="K90" s="626">
        <f>(0*200)/E90</f>
        <v>0</v>
      </c>
      <c r="L90" s="626"/>
      <c r="M90" s="597">
        <f>(0.3*200)/E90</f>
        <v>65.150824157925598</v>
      </c>
      <c r="N90" s="1238">
        <f>Tabel6689172633[[#This Row],[Sew. 2015]]+Tabel6689172633[[#This Row],[WW 2015]]+Tabel6689172633[[#This Row],[Other ch. 2015]]</f>
        <v>501.6613460160271</v>
      </c>
      <c r="O90" s="570">
        <f>(23.98+46.26)/E90</f>
        <v>76.269898147544893</v>
      </c>
      <c r="P90" s="571">
        <f>Tabel6689172633[[#This Row],[Total. ch. DW 2015]]+Tabel6689172633[[#This Row],[Sew. 2015]]+Tabel6689172633[[#This Row],[WW 2015]]+Tabel6689172633[[#This Row],[Other ch. 2015]]+Tabel6689172633[[#This Row],[VAT 2015]]</f>
        <v>1051.762329793472</v>
      </c>
      <c r="Q90" s="397"/>
      <c r="R90" s="1763"/>
      <c r="S90" s="1766"/>
      <c r="T90" s="1769"/>
      <c r="U90" s="1775"/>
      <c r="V90" s="1778"/>
      <c r="W90" s="1781"/>
      <c r="X90" s="1785"/>
      <c r="Y90" s="1788"/>
      <c r="Z90" s="1990"/>
      <c r="AA90" s="397"/>
      <c r="AB90" s="398"/>
      <c r="AC90" s="591" t="s">
        <v>429</v>
      </c>
      <c r="AD90" s="396"/>
      <c r="AE90" s="396"/>
      <c r="AF90" s="591" t="s">
        <v>429</v>
      </c>
      <c r="AG90" s="396"/>
      <c r="AH90" s="398"/>
      <c r="AI90" t="s">
        <v>1349</v>
      </c>
    </row>
    <row r="91" spans="1:35" ht="15.75" customHeight="1" x14ac:dyDescent="0.25">
      <c r="A91" s="1757"/>
      <c r="B91" s="1213"/>
      <c r="C91" s="543" t="s">
        <v>634</v>
      </c>
      <c r="D91" s="1880"/>
      <c r="E91" s="616">
        <f>'[1]exchange rates'!$M$19</f>
        <v>0.92093999999999998</v>
      </c>
      <c r="F91" s="625">
        <f>19/E91</f>
        <v>20.631094316676439</v>
      </c>
      <c r="G91" s="593">
        <f>(1.42*200)/E91</f>
        <v>308.38056768084783</v>
      </c>
      <c r="H91" s="594">
        <f>(0.34*200)/E91</f>
        <v>73.837600712315677</v>
      </c>
      <c r="I91" s="566">
        <f>Tabel6689172633[[#This Row],[Fix.ch. 2015]]+Tabel6689172633[[#This Row],[Var. ch. 2015]]+Tabel6689172633[[#This Row],[Oth. ch. DW 2015]]</f>
        <v>402.84926270983993</v>
      </c>
      <c r="J91" s="596">
        <f>(1.25*200)/E91</f>
        <v>271.46176732469002</v>
      </c>
      <c r="K91" s="626">
        <f>(0*200)/E91</f>
        <v>0</v>
      </c>
      <c r="L91" s="626"/>
      <c r="M91" s="597">
        <f>(0.155*200)/E91</f>
        <v>33.661259148261557</v>
      </c>
      <c r="N91" s="1238">
        <f>Tabel6689172633[[#This Row],[Sew. 2015]]+Tabel6689172633[[#This Row],[WW 2015]]+Tabel6689172633[[#This Row],[Other ch. 2015]]</f>
        <v>305.12302647295155</v>
      </c>
      <c r="O91" s="570">
        <f>(20.4+28.09)/E91</f>
        <v>52.652724390296868</v>
      </c>
      <c r="P91" s="571">
        <f>Tabel6689172633[[#This Row],[Total. ch. DW 2015]]+Tabel6689172633[[#This Row],[Sew. 2015]]+Tabel6689172633[[#This Row],[WW 2015]]+Tabel6689172633[[#This Row],[Other ch. 2015]]+Tabel6689172633[[#This Row],[VAT 2015]]</f>
        <v>760.62501357308838</v>
      </c>
      <c r="Q91" s="397"/>
      <c r="R91" s="1763"/>
      <c r="S91" s="1766"/>
      <c r="T91" s="1769"/>
      <c r="U91" s="1775"/>
      <c r="V91" s="1778"/>
      <c r="W91" s="1781"/>
      <c r="X91" s="1785"/>
      <c r="Y91" s="1788"/>
      <c r="Z91" s="1990"/>
      <c r="AA91" s="397"/>
      <c r="AB91" s="398"/>
      <c r="AC91" s="591" t="s">
        <v>429</v>
      </c>
      <c r="AD91" s="396"/>
      <c r="AE91" s="396"/>
      <c r="AF91" s="396"/>
      <c r="AG91" s="396"/>
      <c r="AH91" s="398"/>
      <c r="AI91" t="s">
        <v>1349</v>
      </c>
    </row>
    <row r="92" spans="1:35" ht="16.5" customHeight="1" thickBot="1" x14ac:dyDescent="0.3">
      <c r="A92" s="1758"/>
      <c r="B92" s="1213"/>
      <c r="C92" s="543" t="s">
        <v>635</v>
      </c>
      <c r="D92" s="1923"/>
      <c r="E92" s="616">
        <f>'[1]exchange rates'!$M$19</f>
        <v>0.92093999999999998</v>
      </c>
      <c r="F92" s="625">
        <f>6.14/E92</f>
        <v>6.667101005494386</v>
      </c>
      <c r="G92" s="593">
        <f>(1.32*200)/E92</f>
        <v>286.66362629487264</v>
      </c>
      <c r="H92" s="594">
        <f>(0.38*200)/E92</f>
        <v>82.524377266705756</v>
      </c>
      <c r="I92" s="566">
        <f>Tabel6689172633[[#This Row],[Fix.ch. 2015]]+Tabel6689172633[[#This Row],[Var. ch. 2015]]+Tabel6689172633[[#This Row],[Oth. ch. DW 2015]]</f>
        <v>375.85510456707277</v>
      </c>
      <c r="J92" s="596">
        <f>(2.04*200)/E92</f>
        <v>443.02560427389409</v>
      </c>
      <c r="K92" s="626">
        <f>(0*200)/E92</f>
        <v>0</v>
      </c>
      <c r="L92" s="626"/>
      <c r="M92" s="597">
        <f>(0.209*200)/E92</f>
        <v>45.388407496688167</v>
      </c>
      <c r="N92" s="1238">
        <f>Tabel6689172633[[#This Row],[Sew. 2015]]+Tabel6689172633[[#This Row],[WW 2015]]+Tabel6689172633[[#This Row],[Other ch. 2015]]</f>
        <v>488.41401177058225</v>
      </c>
      <c r="O92" s="570">
        <f>(18.96+44.96)/E92</f>
        <v>69.407344669576744</v>
      </c>
      <c r="P92" s="571">
        <f>Tabel6689172633[[#This Row],[Total. ch. DW 2015]]+Tabel6689172633[[#This Row],[Sew. 2015]]+Tabel6689172633[[#This Row],[WW 2015]]+Tabel6689172633[[#This Row],[Other ch. 2015]]+Tabel6689172633[[#This Row],[VAT 2015]]</f>
        <v>933.67646100723186</v>
      </c>
      <c r="Q92" s="397"/>
      <c r="R92" s="1970"/>
      <c r="S92" s="1973"/>
      <c r="T92" s="1976"/>
      <c r="U92" s="1979"/>
      <c r="V92" s="1982"/>
      <c r="W92" s="1956"/>
      <c r="X92" s="1959"/>
      <c r="Y92" s="1962"/>
      <c r="Z92" s="2261"/>
      <c r="AA92" s="397"/>
      <c r="AB92" s="398"/>
      <c r="AC92" s="591" t="s">
        <v>429</v>
      </c>
      <c r="AD92" s="396"/>
      <c r="AE92" s="396"/>
      <c r="AF92" s="396"/>
      <c r="AG92" s="396"/>
      <c r="AH92" s="398"/>
      <c r="AI92" t="s">
        <v>1349</v>
      </c>
    </row>
    <row r="93" spans="1:35" ht="19.5" thickBot="1" x14ac:dyDescent="0.3">
      <c r="A93" s="1167" t="s">
        <v>521</v>
      </c>
      <c r="B93" s="1617"/>
      <c r="C93" s="1047" t="s">
        <v>522</v>
      </c>
      <c r="D93" s="1256">
        <v>16000</v>
      </c>
      <c r="E93" s="308">
        <v>506.17869999999999</v>
      </c>
      <c r="F93" s="319">
        <f>3396/E93</f>
        <v>6.7090930535006708</v>
      </c>
      <c r="G93" s="320">
        <f>74524/E93</f>
        <v>147.22863684307538</v>
      </c>
      <c r="H93" s="321">
        <v>0</v>
      </c>
      <c r="I93" s="313">
        <f>Tabel6689172633[[#This Row],[Fix.ch. 2015]]+Tabel6689172633[[#This Row],[Var. ch. 2015]]+Tabel6689172633[[#This Row],[Oth. ch. DW 2015]]</f>
        <v>153.93772989657606</v>
      </c>
      <c r="J93" s="322">
        <v>0</v>
      </c>
      <c r="K93" s="323">
        <v>0</v>
      </c>
      <c r="L93" s="323"/>
      <c r="M93" s="324">
        <v>0</v>
      </c>
      <c r="N93" s="1257">
        <f>Tabel6689172633[[#This Row],[Sew. 2015]]+Tabel6689172633[[#This Row],[WW 2015]]+Tabel6689172633[[#This Row],[Other ch. 2015]]</f>
        <v>0</v>
      </c>
      <c r="O93" s="1258">
        <f>7792/E93</f>
        <v>15.393772989657606</v>
      </c>
      <c r="P93" s="318">
        <f>Tabel6689172633[[#This Row],[Total. ch. DW 2015]]+Tabel6689172633[[#This Row],[Sew. 2015]]+Tabel6689172633[[#This Row],[WW 2015]]+Tabel6689172633[[#This Row],[Other ch. 2015]]+Tabel6689172633[[#This Row],[VAT 2015]]</f>
        <v>169.33150288623366</v>
      </c>
      <c r="Q93" s="397"/>
      <c r="R93" s="1259">
        <f>Tabel6689172633[[#This Row],[Fix.ch. 2015]]</f>
        <v>6.7090930535006708</v>
      </c>
      <c r="S93" s="1260">
        <f>Tabel6689172633[[#This Row],[Var. ch. 2015]]</f>
        <v>147.22863684307538</v>
      </c>
      <c r="T93" s="1261">
        <v>0</v>
      </c>
      <c r="U93" s="1262">
        <f>Tabel6689172633[[#This Row],[Total. ch. DW 2015]]</f>
        <v>153.93772989657606</v>
      </c>
      <c r="V93" s="1263">
        <v>0</v>
      </c>
      <c r="W93" s="1264">
        <v>0</v>
      </c>
      <c r="X93" s="1265">
        <v>0</v>
      </c>
      <c r="Y93" s="1266">
        <f>Tabel6689172633[[#This Row],[VAT 2015]]</f>
        <v>15.393772989657606</v>
      </c>
      <c r="Z93" s="1267">
        <f>Tabel6689172633[[#This Row],[total charge 2015]]</f>
        <v>169.33150288623366</v>
      </c>
      <c r="AA93" s="397"/>
      <c r="AB93" s="398"/>
      <c r="AC93" s="398"/>
      <c r="AD93" s="398"/>
      <c r="AE93" s="396" t="s">
        <v>429</v>
      </c>
      <c r="AF93" s="398"/>
      <c r="AG93" s="398"/>
      <c r="AH93" s="398"/>
      <c r="AI93" s="397"/>
    </row>
    <row r="94" spans="1:35" ht="19.5" thickBot="1" x14ac:dyDescent="0.35">
      <c r="A94" s="669" t="s">
        <v>14</v>
      </c>
      <c r="B94" s="1621"/>
      <c r="C94" s="544" t="s">
        <v>96</v>
      </c>
      <c r="D94" s="1268">
        <v>47400</v>
      </c>
      <c r="E94" s="616">
        <f>'[1]exchange rates'!M21</f>
        <v>0.92093999999999998</v>
      </c>
      <c r="F94" s="319"/>
      <c r="G94" s="320"/>
      <c r="H94" s="321"/>
      <c r="I94" s="313"/>
      <c r="J94" s="322"/>
      <c r="K94" s="323"/>
      <c r="L94" s="323"/>
      <c r="M94" s="324"/>
      <c r="N94" s="1257">
        <f>Tabel6689172633[[#This Row],[Sew. 2015]]+Tabel6689172633[[#This Row],[WW 2015]]+Tabel6689172633[[#This Row],[Other ch. 2015]]</f>
        <v>0</v>
      </c>
      <c r="O94" s="1258"/>
      <c r="P94" s="318"/>
      <c r="Q94" s="397"/>
      <c r="R94" s="1228"/>
      <c r="S94" s="1229"/>
      <c r="T94" s="1230"/>
      <c r="U94" s="1231"/>
      <c r="V94" s="1232"/>
      <c r="W94" s="1233"/>
      <c r="X94" s="1234"/>
      <c r="Y94" s="1235"/>
      <c r="Z94" s="1236"/>
      <c r="AA94" s="397"/>
      <c r="AB94" s="398"/>
      <c r="AC94" s="398"/>
      <c r="AD94" s="398"/>
      <c r="AE94" s="398"/>
      <c r="AF94" s="398"/>
      <c r="AG94" s="398"/>
      <c r="AH94" s="398"/>
      <c r="AI94" s="397"/>
    </row>
    <row r="95" spans="1:35" ht="15.6" customHeight="1" x14ac:dyDescent="0.25">
      <c r="A95" s="1878" t="s">
        <v>35</v>
      </c>
      <c r="B95" s="1213"/>
      <c r="C95" s="1269" t="s">
        <v>712</v>
      </c>
      <c r="D95" s="1759">
        <v>25600</v>
      </c>
      <c r="E95" s="616">
        <f>'[1]exchange rates'!$M$22</f>
        <v>0.92093999999999998</v>
      </c>
      <c r="F95" s="549">
        <f>79.5/E95</f>
        <v>86.324842009251412</v>
      </c>
      <c r="G95" s="550">
        <f>74.92/E95</f>
        <v>81.351662431863105</v>
      </c>
      <c r="H95" s="551">
        <f>59.93/E95</f>
        <v>65.074814863074693</v>
      </c>
      <c r="I95" s="566">
        <f>Tabel6689172633[[#This Row],[Fix.ch. 2015]]+Tabel6689172633[[#This Row],[Var. ch. 2015]]+Tabel6689172633[[#This Row],[Oth. ch. DW 2015]]</f>
        <v>232.7513193041892</v>
      </c>
      <c r="J95" s="567">
        <f>67.42/E95</f>
        <v>73.207809412122401</v>
      </c>
      <c r="K95" s="568">
        <v>0</v>
      </c>
      <c r="L95" s="568"/>
      <c r="M95" s="569">
        <f>13.25/E95</f>
        <v>14.387473668208569</v>
      </c>
      <c r="N95" s="1270">
        <f>Tabel6689172633[[#This Row],[Sew. 2015]]+Tabel6689172633[[#This Row],[WW 2015]]+Tabel6689172633[[#This Row],[Other ch. 2015]]</f>
        <v>87.595283080330972</v>
      </c>
      <c r="O95" s="1271">
        <f>60.36/E95</f>
        <v>65.541729102873148</v>
      </c>
      <c r="P95" s="571">
        <f>Tabel6689172633[[#This Row],[Total. ch. DW 2015]]+Tabel6689172633[[#This Row],[Sew. 2015]]+Tabel6689172633[[#This Row],[WW 2015]]+Tabel6689172633[[#This Row],[Other ch. 2015]]+Tabel6689172633[[#This Row],[VAT 2015]]</f>
        <v>385.88833148739332</v>
      </c>
      <c r="Q95" s="397"/>
      <c r="R95" s="2258">
        <f t="shared" ref="R95:W95" si="27">SUM(F95:F99)/5</f>
        <v>46.756574804004607</v>
      </c>
      <c r="S95" s="1765">
        <f t="shared" si="27"/>
        <v>198.80556822377139</v>
      </c>
      <c r="T95" s="1768">
        <f t="shared" si="27"/>
        <v>30.388516081395096</v>
      </c>
      <c r="U95" s="1774">
        <f t="shared" si="27"/>
        <v>275.95065910917111</v>
      </c>
      <c r="V95" s="1777">
        <f t="shared" si="27"/>
        <v>154.93734662410145</v>
      </c>
      <c r="W95" s="1810">
        <f t="shared" si="27"/>
        <v>0</v>
      </c>
      <c r="X95" s="1812">
        <f>SUM(M95:M99)/5</f>
        <v>8.5238994939952661</v>
      </c>
      <c r="Y95" s="1814">
        <f t="shared" ref="Y95:Z95" si="28">SUM(O95:O99)/5</f>
        <v>80.880404803787428</v>
      </c>
      <c r="Z95" s="1793">
        <f t="shared" si="28"/>
        <v>520.29231003105519</v>
      </c>
      <c r="AA95" s="397"/>
      <c r="AB95" s="398"/>
      <c r="AC95" s="398"/>
      <c r="AD95" s="591" t="s">
        <v>429</v>
      </c>
      <c r="AE95" s="591" t="s">
        <v>429</v>
      </c>
      <c r="AF95" s="591" t="s">
        <v>429</v>
      </c>
      <c r="AG95" s="591" t="s">
        <v>429</v>
      </c>
      <c r="AH95" s="398"/>
      <c r="AI95" s="397"/>
    </row>
    <row r="96" spans="1:35" ht="15.6" customHeight="1" x14ac:dyDescent="0.25">
      <c r="A96" s="1757"/>
      <c r="B96" s="1213"/>
      <c r="C96" s="754" t="s">
        <v>713</v>
      </c>
      <c r="D96" s="1760"/>
      <c r="E96" s="616">
        <f>'[1]exchange rates'!$M$22</f>
        <v>0.92093999999999998</v>
      </c>
      <c r="F96" s="549">
        <f>51/E96</f>
        <v>55.378200534236761</v>
      </c>
      <c r="G96" s="550">
        <f>170/E96</f>
        <v>184.5940017807892</v>
      </c>
      <c r="H96" s="551">
        <f>0/E96</f>
        <v>0</v>
      </c>
      <c r="I96" s="566">
        <f>Tabel6689172633[[#This Row],[Fix.ch. 2015]]+Tabel6689172633[[#This Row],[Var. ch. 2015]]+Tabel6689172633[[#This Row],[Oth. ch. DW 2015]]</f>
        <v>239.97220231502595</v>
      </c>
      <c r="J96" s="567">
        <f>93.5/E96</f>
        <v>101.52670097943405</v>
      </c>
      <c r="K96" s="568">
        <v>0</v>
      </c>
      <c r="L96" s="568"/>
      <c r="M96" s="569">
        <f>12/E96</f>
        <v>13.03016483158512</v>
      </c>
      <c r="N96" s="1270">
        <f>Tabel6689172633[[#This Row],[Sew. 2015]]+Tabel6689172633[[#This Row],[WW 2015]]+Tabel6689172633[[#This Row],[Other ch. 2015]]</f>
        <v>114.55686581101918</v>
      </c>
      <c r="O96" s="1271">
        <f>58.1/E96</f>
        <v>63.087714726257957</v>
      </c>
      <c r="P96" s="571">
        <f>Tabel6689172633[[#This Row],[Total. ch. DW 2015]]+Tabel6689172633[[#This Row],[Sew. 2015]]+Tabel6689172633[[#This Row],[WW 2015]]+Tabel6689172633[[#This Row],[Other ch. 2015]]+Tabel6689172633[[#This Row],[VAT 2015]]</f>
        <v>417.61678285230306</v>
      </c>
      <c r="Q96" s="397"/>
      <c r="R96" s="2081"/>
      <c r="S96" s="1766"/>
      <c r="T96" s="1769"/>
      <c r="U96" s="1775"/>
      <c r="V96" s="1778"/>
      <c r="W96" s="1781"/>
      <c r="X96" s="1785"/>
      <c r="Y96" s="1788"/>
      <c r="Z96" s="1791"/>
      <c r="AA96" s="397"/>
      <c r="AB96" s="398"/>
      <c r="AC96" s="398"/>
      <c r="AD96" s="591" t="s">
        <v>429</v>
      </c>
      <c r="AE96" s="591" t="s">
        <v>429</v>
      </c>
      <c r="AF96" s="591" t="s">
        <v>429</v>
      </c>
      <c r="AG96" s="591" t="s">
        <v>429</v>
      </c>
      <c r="AH96" s="398"/>
      <c r="AI96" s="397"/>
    </row>
    <row r="97" spans="1:35" ht="15.6" customHeight="1" x14ac:dyDescent="0.25">
      <c r="A97" s="1757"/>
      <c r="B97" s="1213"/>
      <c r="C97" s="754" t="s">
        <v>714</v>
      </c>
      <c r="D97" s="1760"/>
      <c r="E97" s="616">
        <f>'[1]exchange rates'!$M$22</f>
        <v>0.92093999999999998</v>
      </c>
      <c r="F97" s="549">
        <f>48.8/E97</f>
        <v>52.989336981779488</v>
      </c>
      <c r="G97" s="550">
        <f>100/E97</f>
        <v>108.58470692987599</v>
      </c>
      <c r="H97" s="551">
        <f>80/E97</f>
        <v>86.867765543900802</v>
      </c>
      <c r="I97" s="566">
        <f>Tabel6689172633[[#This Row],[Fix.ch. 2015]]+Tabel6689172633[[#This Row],[Var. ch. 2015]]+Tabel6689172633[[#This Row],[Oth. ch. DW 2015]]</f>
        <v>248.44180945555627</v>
      </c>
      <c r="J97" s="567">
        <f>118/E97</f>
        <v>128.12995417725367</v>
      </c>
      <c r="K97" s="568">
        <v>0</v>
      </c>
      <c r="L97" s="568"/>
      <c r="M97" s="569">
        <f>0/E97</f>
        <v>0</v>
      </c>
      <c r="N97" s="1270">
        <f>Tabel6689172633[[#This Row],[Sew. 2015]]+Tabel6689172633[[#This Row],[WW 2015]]+Tabel6689172633[[#This Row],[Other ch. 2015]]</f>
        <v>128.12995417725367</v>
      </c>
      <c r="O97" s="1271">
        <f>69.76/E97</f>
        <v>75.748691554281507</v>
      </c>
      <c r="P97" s="571">
        <f>Tabel6689172633[[#This Row],[Total. ch. DW 2015]]+Tabel6689172633[[#This Row],[Sew. 2015]]+Tabel6689172633[[#This Row],[WW 2015]]+Tabel6689172633[[#This Row],[Other ch. 2015]]+Tabel6689172633[[#This Row],[VAT 2015]]</f>
        <v>452.32045518709145</v>
      </c>
      <c r="Q97" s="397"/>
      <c r="R97" s="2081"/>
      <c r="S97" s="1766"/>
      <c r="T97" s="1769"/>
      <c r="U97" s="1775"/>
      <c r="V97" s="1778"/>
      <c r="W97" s="1781"/>
      <c r="X97" s="1785"/>
      <c r="Y97" s="1788"/>
      <c r="Z97" s="1791"/>
      <c r="AA97" s="397"/>
      <c r="AB97" s="398"/>
      <c r="AC97" s="398"/>
      <c r="AD97" s="591" t="s">
        <v>429</v>
      </c>
      <c r="AE97" s="591" t="s">
        <v>429</v>
      </c>
      <c r="AF97" s="591" t="s">
        <v>429</v>
      </c>
      <c r="AG97" s="591" t="s">
        <v>429</v>
      </c>
      <c r="AH97" s="398"/>
      <c r="AI97" s="397"/>
    </row>
    <row r="98" spans="1:35" ht="15.6" customHeight="1" x14ac:dyDescent="0.25">
      <c r="A98" s="1757"/>
      <c r="B98" s="1213"/>
      <c r="C98" s="754" t="s">
        <v>715</v>
      </c>
      <c r="D98" s="1760"/>
      <c r="E98" s="616">
        <f>'[1]exchange rates'!$M$22</f>
        <v>0.92093999999999998</v>
      </c>
      <c r="F98" s="549">
        <f>12/E98</f>
        <v>13.03016483158512</v>
      </c>
      <c r="G98" s="550">
        <f>437.92/E98</f>
        <v>475.514148587313</v>
      </c>
      <c r="H98" s="551">
        <f>0/E98</f>
        <v>0</v>
      </c>
      <c r="I98" s="566">
        <f>Tabel6689172633[[#This Row],[Fix.ch. 2015]]+Tabel6689172633[[#This Row],[Var. ch. 2015]]+Tabel6689172633[[#This Row],[Oth. ch. DW 2015]]</f>
        <v>488.54431341889813</v>
      </c>
      <c r="J98" s="567">
        <f>328.44/E98</f>
        <v>356.63561144048475</v>
      </c>
      <c r="K98" s="568">
        <v>0</v>
      </c>
      <c r="L98" s="568"/>
      <c r="M98" s="569">
        <f>0/E98</f>
        <v>0</v>
      </c>
      <c r="N98" s="1270">
        <f>Tabel6689172633[[#This Row],[Sew. 2015]]+Tabel6689172633[[#This Row],[WW 2015]]+Tabel6689172633[[#This Row],[Other ch. 2015]]</f>
        <v>356.63561144048475</v>
      </c>
      <c r="O98" s="1271">
        <f>135.23/E98</f>
        <v>146.83909918127131</v>
      </c>
      <c r="P98" s="571">
        <f>Tabel6689172633[[#This Row],[Total. ch. DW 2015]]+Tabel6689172633[[#This Row],[Sew. 2015]]+Tabel6689172633[[#This Row],[WW 2015]]+Tabel6689172633[[#This Row],[Other ch. 2015]]+Tabel6689172633[[#This Row],[VAT 2015]]</f>
        <v>992.01902404065424</v>
      </c>
      <c r="Q98" s="397"/>
      <c r="R98" s="2081"/>
      <c r="S98" s="1766"/>
      <c r="T98" s="1769"/>
      <c r="U98" s="1775"/>
      <c r="V98" s="1778"/>
      <c r="W98" s="1781"/>
      <c r="X98" s="1785"/>
      <c r="Y98" s="1788"/>
      <c r="Z98" s="1791"/>
      <c r="AA98" s="397"/>
      <c r="AB98" s="398"/>
      <c r="AC98" s="398"/>
      <c r="AD98" s="591" t="s">
        <v>429</v>
      </c>
      <c r="AE98" s="591" t="s">
        <v>429</v>
      </c>
      <c r="AF98" s="591" t="s">
        <v>429</v>
      </c>
      <c r="AG98" s="591" t="s">
        <v>429</v>
      </c>
      <c r="AH98" s="398"/>
      <c r="AI98" s="397"/>
    </row>
    <row r="99" spans="1:35" ht="16.149999999999999" customHeight="1" thickBot="1" x14ac:dyDescent="0.3">
      <c r="A99" s="1758"/>
      <c r="B99" s="1213"/>
      <c r="C99" s="1272" t="s">
        <v>716</v>
      </c>
      <c r="D99" s="1923"/>
      <c r="E99" s="616">
        <f>'[1]exchange rates'!$M$22</f>
        <v>0.92093999999999998</v>
      </c>
      <c r="F99" s="549">
        <f>24/E99</f>
        <v>26.06032966317024</v>
      </c>
      <c r="G99" s="550">
        <f>132.6/E99</f>
        <v>143.98332138901557</v>
      </c>
      <c r="H99" s="551">
        <f>0/E99</f>
        <v>0</v>
      </c>
      <c r="I99" s="566">
        <f>Tabel6689172633[[#This Row],[Fix.ch. 2015]]+Tabel6689172633[[#This Row],[Var. ch. 2015]]+Tabel6689172633[[#This Row],[Oth. ch. DW 2015]]</f>
        <v>170.04365105218582</v>
      </c>
      <c r="J99" s="567">
        <f>106.08/E99</f>
        <v>115.18665711121245</v>
      </c>
      <c r="K99" s="568">
        <v>0</v>
      </c>
      <c r="L99" s="568"/>
      <c r="M99" s="569">
        <f>14/E99</f>
        <v>15.20185897018264</v>
      </c>
      <c r="N99" s="1270">
        <f>Tabel6689172633[[#This Row],[Sew. 2015]]+Tabel6689172633[[#This Row],[WW 2015]]+Tabel6689172633[[#This Row],[Other ch. 2015]]</f>
        <v>130.3885160813951</v>
      </c>
      <c r="O99" s="1271">
        <f>48.98/E99</f>
        <v>53.184789454253263</v>
      </c>
      <c r="P99" s="571">
        <f>Tabel6689172633[[#This Row],[Total. ch. DW 2015]]+Tabel6689172633[[#This Row],[Sew. 2015]]+Tabel6689172633[[#This Row],[WW 2015]]+Tabel6689172633[[#This Row],[Other ch. 2015]]+Tabel6689172633[[#This Row],[VAT 2015]]</f>
        <v>353.61695658783412</v>
      </c>
      <c r="Q99" s="397"/>
      <c r="R99" s="2259"/>
      <c r="S99" s="1973"/>
      <c r="T99" s="1976"/>
      <c r="U99" s="1979"/>
      <c r="V99" s="1982"/>
      <c r="W99" s="1956"/>
      <c r="X99" s="1959"/>
      <c r="Y99" s="1962"/>
      <c r="Z99" s="1965"/>
      <c r="AA99" s="397"/>
      <c r="AB99" s="398"/>
      <c r="AC99" s="398"/>
      <c r="AD99" s="591" t="s">
        <v>429</v>
      </c>
      <c r="AE99" s="591" t="s">
        <v>429</v>
      </c>
      <c r="AF99" s="591" t="s">
        <v>429</v>
      </c>
      <c r="AG99" s="591" t="s">
        <v>429</v>
      </c>
      <c r="AH99" s="398"/>
      <c r="AI99" s="397"/>
    </row>
    <row r="100" spans="1:35" ht="15.75" customHeight="1" x14ac:dyDescent="0.25">
      <c r="A100" s="1818" t="s">
        <v>45</v>
      </c>
      <c r="B100" s="1213"/>
      <c r="C100" s="1255" t="s">
        <v>102</v>
      </c>
      <c r="D100" s="1759">
        <v>26000</v>
      </c>
      <c r="E100" s="616">
        <f>'[1]exchange rates'!$M$23</f>
        <v>290.45296999999999</v>
      </c>
      <c r="F100" s="549">
        <f>1700/E100</f>
        <v>5.8529268955314864</v>
      </c>
      <c r="G100" s="550">
        <f>34480/E100</f>
        <v>118.71112903407392</v>
      </c>
      <c r="H100" s="551">
        <v>0</v>
      </c>
      <c r="I100" s="566">
        <f>Tabel6689172633[[#This Row],[Fix.ch. 2015]]+Tabel6689172633[[#This Row],[Var. ch. 2015]]+Tabel6689172633[[#This Row],[Oth. ch. DW 2015]]</f>
        <v>124.5640559296054</v>
      </c>
      <c r="J100" s="567">
        <f>914/E100</f>
        <v>3.1468089308916345</v>
      </c>
      <c r="K100" s="568">
        <f>59132/E100</f>
        <v>203.58545481562817</v>
      </c>
      <c r="L100" s="568"/>
      <c r="M100" s="569">
        <v>0</v>
      </c>
      <c r="N100" s="1270">
        <f>Tabel6689172633[[#This Row],[Sew. 2015]]+Tabel6689172633[[#This Row],[WW 2015]]+Tabel6689172633[[#This Row],[Other ch. 2015]]</f>
        <v>206.73226374651981</v>
      </c>
      <c r="O100" s="1271">
        <f>26440/E100</f>
        <v>91.030227716383834</v>
      </c>
      <c r="P100" s="571">
        <f>Tabel6689172633[[#This Row],[Total. ch. DW 2015]]+Tabel6689172633[[#This Row],[Sew. 2015]]+Tabel6689172633[[#This Row],[WW 2015]]+Tabel6689172633[[#This Row],[Other ch. 2015]]+Tabel6689172633[[#This Row],[VAT 2015]]</f>
        <v>422.32654739250904</v>
      </c>
      <c r="Q100" s="397"/>
      <c r="R100" s="1762">
        <f t="shared" ref="R100:W100" si="29">SUM(F100:F104)/5</f>
        <v>2.0182269095062102</v>
      </c>
      <c r="S100" s="1765">
        <f t="shared" si="29"/>
        <v>168.59459209523664</v>
      </c>
      <c r="T100" s="1768">
        <f t="shared" si="29"/>
        <v>0</v>
      </c>
      <c r="U100" s="1774">
        <f t="shared" si="29"/>
        <v>170.61281900474285</v>
      </c>
      <c r="V100" s="1777">
        <f t="shared" si="29"/>
        <v>2.0850191340787463</v>
      </c>
      <c r="W100" s="1810">
        <f t="shared" si="29"/>
        <v>146.29149772508782</v>
      </c>
      <c r="X100" s="1812">
        <f>SUM(M100:M104)/5</f>
        <v>0.84764153039991297</v>
      </c>
      <c r="Y100" s="1814">
        <f t="shared" ref="Y100:Z100" si="30">SUM(O100:O104)/5</f>
        <v>86.672207207934562</v>
      </c>
      <c r="Z100" s="1793">
        <f t="shared" si="30"/>
        <v>406.50918460224386</v>
      </c>
      <c r="AA100" s="397"/>
      <c r="AB100" s="398"/>
      <c r="AC100" s="398"/>
      <c r="AD100" s="398"/>
      <c r="AE100" s="398"/>
      <c r="AF100" s="591" t="s">
        <v>429</v>
      </c>
      <c r="AG100" s="398"/>
      <c r="AH100" s="398"/>
      <c r="AI100" s="397"/>
    </row>
    <row r="101" spans="1:35" ht="15.75" customHeight="1" x14ac:dyDescent="0.25">
      <c r="A101" s="1819"/>
      <c r="B101" s="1213"/>
      <c r="C101" s="543" t="s">
        <v>103</v>
      </c>
      <c r="D101" s="1760"/>
      <c r="E101" s="616">
        <f>'[1]exchange rates'!$M$23</f>
        <v>290.45296999999999</v>
      </c>
      <c r="F101" s="549">
        <f>1231/E101</f>
        <v>4.2382076519995646</v>
      </c>
      <c r="G101" s="550">
        <f>48980/E101</f>
        <v>168.63315255478366</v>
      </c>
      <c r="H101" s="551">
        <v>0</v>
      </c>
      <c r="I101" s="566">
        <f>Tabel6689172633[[#This Row],[Fix.ch. 2015]]+Tabel6689172633[[#This Row],[Var. ch. 2015]]+Tabel6689172633[[#This Row],[Oth. ch. DW 2015]]</f>
        <v>172.87136020678324</v>
      </c>
      <c r="J101" s="567">
        <f>854/E101</f>
        <v>2.9402350404611117</v>
      </c>
      <c r="K101" s="568">
        <f>38940/E101</f>
        <v>134.06645488940947</v>
      </c>
      <c r="L101" s="568"/>
      <c r="M101" s="569">
        <f>1231/E101</f>
        <v>4.2382076519995646</v>
      </c>
      <c r="N101" s="1270">
        <f>Tabel6689172633[[#This Row],[Sew. 2015]]+Tabel6689172633[[#This Row],[WW 2015]]+Tabel6689172633[[#This Row],[Other ch. 2015]]</f>
        <v>141.24489758187016</v>
      </c>
      <c r="O101" s="1271">
        <f>24634/E101</f>
        <v>84.812353614425078</v>
      </c>
      <c r="P101" s="571">
        <f>Tabel6689172633[[#This Row],[Total. ch. DW 2015]]+Tabel6689172633[[#This Row],[Sew. 2015]]+Tabel6689172633[[#This Row],[WW 2015]]+Tabel6689172633[[#This Row],[Other ch. 2015]]+Tabel6689172633[[#This Row],[VAT 2015]]</f>
        <v>398.92861140307849</v>
      </c>
      <c r="Q101" s="397"/>
      <c r="R101" s="1763"/>
      <c r="S101" s="1766"/>
      <c r="T101" s="1769"/>
      <c r="U101" s="1775"/>
      <c r="V101" s="1778"/>
      <c r="W101" s="1781"/>
      <c r="X101" s="1785"/>
      <c r="Y101" s="1788"/>
      <c r="Z101" s="1791"/>
      <c r="AA101" s="397"/>
      <c r="AB101" s="398"/>
      <c r="AC101" s="398"/>
      <c r="AD101" s="398"/>
      <c r="AE101" s="398"/>
      <c r="AF101" s="591" t="s">
        <v>429</v>
      </c>
      <c r="AG101" s="398"/>
      <c r="AH101" s="398"/>
      <c r="AI101" s="397"/>
    </row>
    <row r="102" spans="1:35" ht="15.75" customHeight="1" x14ac:dyDescent="0.25">
      <c r="A102" s="1819"/>
      <c r="B102" s="1213"/>
      <c r="C102" s="543" t="s">
        <v>104</v>
      </c>
      <c r="D102" s="1760"/>
      <c r="E102" s="616">
        <f>'[1]exchange rates'!$M$23</f>
        <v>290.45296999999999</v>
      </c>
      <c r="F102" s="549">
        <v>0</v>
      </c>
      <c r="G102" s="550">
        <f>49824/E102</f>
        <v>171.53895861350634</v>
      </c>
      <c r="H102" s="551">
        <v>0</v>
      </c>
      <c r="I102" s="566">
        <f>Tabel6689172633[[#This Row],[Fix.ch. 2015]]+Tabel6689172633[[#This Row],[Var. ch. 2015]]+Tabel6689172633[[#This Row],[Oth. ch. DW 2015]]</f>
        <v>171.53895861350634</v>
      </c>
      <c r="J102" s="567">
        <v>0</v>
      </c>
      <c r="K102" s="568">
        <f>38322/E102</f>
        <v>131.93874381797508</v>
      </c>
      <c r="L102" s="568"/>
      <c r="M102" s="569">
        <v>0</v>
      </c>
      <c r="N102" s="1270">
        <f>Tabel6689172633[[#This Row],[Sew. 2015]]+Tabel6689172633[[#This Row],[WW 2015]]+Tabel6689172633[[#This Row],[Other ch. 2015]]</f>
        <v>131.93874381797508</v>
      </c>
      <c r="O102" s="1271">
        <f>23799/E102</f>
        <v>81.937533639266974</v>
      </c>
      <c r="P102" s="571">
        <f>Tabel6689172633[[#This Row],[Total. ch. DW 2015]]+Tabel6689172633[[#This Row],[Sew. 2015]]+Tabel6689172633[[#This Row],[WW 2015]]+Tabel6689172633[[#This Row],[Other ch. 2015]]+Tabel6689172633[[#This Row],[VAT 2015]]</f>
        <v>385.41523607074839</v>
      </c>
      <c r="Q102" s="397"/>
      <c r="R102" s="1763"/>
      <c r="S102" s="1766"/>
      <c r="T102" s="1769"/>
      <c r="U102" s="1775"/>
      <c r="V102" s="1778"/>
      <c r="W102" s="1781"/>
      <c r="X102" s="1785"/>
      <c r="Y102" s="1788"/>
      <c r="Z102" s="1791"/>
      <c r="AA102" s="397"/>
      <c r="AB102" s="398"/>
      <c r="AC102" s="398"/>
      <c r="AD102" s="398"/>
      <c r="AE102" s="398"/>
      <c r="AF102" s="398"/>
      <c r="AG102" s="398"/>
      <c r="AH102" s="398"/>
      <c r="AI102" s="397"/>
    </row>
    <row r="103" spans="1:35" ht="16.5" customHeight="1" x14ac:dyDescent="0.25">
      <c r="A103" s="1819"/>
      <c r="B103" s="1213"/>
      <c r="C103" s="543" t="s">
        <v>105</v>
      </c>
      <c r="D103" s="1760"/>
      <c r="E103" s="616">
        <f>'[1]exchange rates'!$M$23</f>
        <v>290.45296999999999</v>
      </c>
      <c r="F103" s="549">
        <v>0</v>
      </c>
      <c r="G103" s="550">
        <f>68000/E103</f>
        <v>234.11707582125948</v>
      </c>
      <c r="H103" s="551">
        <v>0</v>
      </c>
      <c r="I103" s="566">
        <f>Tabel6689172633[[#This Row],[Fix.ch. 2015]]+Tabel6689172633[[#This Row],[Var. ch. 2015]]+Tabel6689172633[[#This Row],[Oth. ch. DW 2015]]</f>
        <v>234.11707582125948</v>
      </c>
      <c r="J103" s="567">
        <v>0</v>
      </c>
      <c r="K103" s="568">
        <f>49600/E103</f>
        <v>170.76774942256574</v>
      </c>
      <c r="L103" s="568"/>
      <c r="M103" s="569">
        <v>0</v>
      </c>
      <c r="N103" s="1270">
        <f>Tabel6689172633[[#This Row],[Sew. 2015]]+Tabel6689172633[[#This Row],[WW 2015]]+Tabel6689172633[[#This Row],[Other ch. 2015]]</f>
        <v>170.76774942256574</v>
      </c>
      <c r="O103" s="1271">
        <f>31752/E103</f>
        <v>109.3189028158328</v>
      </c>
      <c r="P103" s="571">
        <f>Tabel6689172633[[#This Row],[Total. ch. DW 2015]]+Tabel6689172633[[#This Row],[Sew. 2015]]+Tabel6689172633[[#This Row],[WW 2015]]+Tabel6689172633[[#This Row],[Other ch. 2015]]+Tabel6689172633[[#This Row],[VAT 2015]]</f>
        <v>514.20372805965803</v>
      </c>
      <c r="Q103" s="397"/>
      <c r="R103" s="1763"/>
      <c r="S103" s="1766"/>
      <c r="T103" s="1769"/>
      <c r="U103" s="1775"/>
      <c r="V103" s="1778"/>
      <c r="W103" s="1781"/>
      <c r="X103" s="1785"/>
      <c r="Y103" s="1788"/>
      <c r="Z103" s="1791"/>
      <c r="AA103" s="397"/>
      <c r="AB103" s="398"/>
      <c r="AC103" s="398"/>
      <c r="AD103" s="398"/>
      <c r="AE103" s="398"/>
      <c r="AF103" s="398"/>
      <c r="AG103" s="398"/>
      <c r="AH103" s="398"/>
      <c r="AI103" s="397"/>
    </row>
    <row r="104" spans="1:35" ht="17.25" customHeight="1" thickBot="1" x14ac:dyDescent="0.3">
      <c r="A104" s="1820"/>
      <c r="B104" s="1213"/>
      <c r="C104" s="544" t="s">
        <v>613</v>
      </c>
      <c r="D104" s="1761"/>
      <c r="E104" s="616">
        <f>'[1]exchange rates'!$M$23</f>
        <v>290.45296999999999</v>
      </c>
      <c r="F104" s="549">
        <v>0</v>
      </c>
      <c r="G104" s="550">
        <f>43560/E104</f>
        <v>149.97264445255973</v>
      </c>
      <c r="H104" s="551">
        <v>0</v>
      </c>
      <c r="I104" s="566">
        <f>Tabel6689172633[[#This Row],[Fix.ch. 2015]]+Tabel6689172633[[#This Row],[Var. ch. 2015]]+Tabel6689172633[[#This Row],[Oth. ch. DW 2015]]</f>
        <v>149.97264445255973</v>
      </c>
      <c r="J104" s="567">
        <f>1260/E104</f>
        <v>4.3380516990409843</v>
      </c>
      <c r="K104" s="568">
        <f>26460/E104</f>
        <v>91.099085679860664</v>
      </c>
      <c r="L104" s="568"/>
      <c r="M104" s="569">
        <v>0</v>
      </c>
      <c r="N104" s="1270">
        <f>Tabel6689172633[[#This Row],[Sew. 2015]]+Tabel6689172633[[#This Row],[WW 2015]]+Tabel6689172633[[#This Row],[Other ch. 2015]]</f>
        <v>95.437137378901653</v>
      </c>
      <c r="O104" s="1271">
        <f>19246/E104</f>
        <v>66.262018253764111</v>
      </c>
      <c r="P104" s="571">
        <f>Tabel6689172633[[#This Row],[Total. ch. DW 2015]]+Tabel6689172633[[#This Row],[Sew. 2015]]+Tabel6689172633[[#This Row],[WW 2015]]+Tabel6689172633[[#This Row],[Other ch. 2015]]+Tabel6689172633[[#This Row],[VAT 2015]]</f>
        <v>311.67180008522547</v>
      </c>
      <c r="Q104" s="397"/>
      <c r="R104" s="1764"/>
      <c r="S104" s="1767"/>
      <c r="T104" s="1770"/>
      <c r="U104" s="1776"/>
      <c r="V104" s="1779"/>
      <c r="W104" s="1811"/>
      <c r="X104" s="1813"/>
      <c r="Y104" s="1815"/>
      <c r="Z104" s="1794"/>
      <c r="AA104" s="397"/>
      <c r="AB104" s="398"/>
      <c r="AC104" s="398"/>
      <c r="AD104" s="398"/>
      <c r="AE104" s="398"/>
      <c r="AF104" s="398"/>
      <c r="AG104" s="398"/>
      <c r="AH104" s="398"/>
      <c r="AI104" s="397"/>
    </row>
    <row r="105" spans="1:35" ht="17.25" customHeight="1" thickBot="1" x14ac:dyDescent="0.3">
      <c r="A105" s="1137" t="s">
        <v>754</v>
      </c>
      <c r="B105" s="1213"/>
      <c r="C105" s="543" t="s">
        <v>755</v>
      </c>
      <c r="D105" s="1133">
        <v>46600</v>
      </c>
      <c r="E105" s="616">
        <f>'[1]exchange rates'!M24</f>
        <v>130.32431</v>
      </c>
      <c r="F105" s="549"/>
      <c r="G105" s="550"/>
      <c r="H105" s="551"/>
      <c r="I105" s="566">
        <f>Tabel6689172633[[#This Row],[Fix.ch. 2015]]+Tabel6689172633[[#This Row],[Var. ch. 2015]]+Tabel6689172633[[#This Row],[Oth. ch. DW 2015]]</f>
        <v>0</v>
      </c>
      <c r="J105" s="567"/>
      <c r="K105" s="568"/>
      <c r="L105" s="568"/>
      <c r="M105" s="569"/>
      <c r="N105" s="1270">
        <f>Tabel6689172633[[#This Row],[Sew. 2015]]+Tabel6689172633[[#This Row],[WW 2015]]+Tabel6689172633[[#This Row],[Other ch. 2015]]</f>
        <v>0</v>
      </c>
      <c r="O105" s="1271"/>
      <c r="P105" s="571">
        <f>Tabel6689172633[[#This Row],[Total. ch. DW 2015]]+Tabel6689172633[[#This Row],[Sew. 2015]]+Tabel6689172633[[#This Row],[WW 2015]]+Tabel6689172633[[#This Row],[Other ch. 2015]]+Tabel6689172633[[#This Row],[VAT 2015]]</f>
        <v>0</v>
      </c>
      <c r="Q105" s="397"/>
      <c r="R105" s="1138"/>
      <c r="S105" s="1139"/>
      <c r="T105" s="1140"/>
      <c r="U105" s="1141"/>
      <c r="V105" s="1142"/>
      <c r="W105" s="1134"/>
      <c r="X105" s="1135"/>
      <c r="Y105" s="1136"/>
      <c r="Z105" s="1143"/>
      <c r="AA105" s="397"/>
      <c r="AB105" s="398"/>
      <c r="AC105" s="398"/>
      <c r="AD105" s="398"/>
      <c r="AE105" s="398"/>
      <c r="AF105" s="398"/>
      <c r="AG105" s="398"/>
      <c r="AH105" s="398"/>
      <c r="AI105" s="397"/>
    </row>
    <row r="106" spans="1:35" ht="18" customHeight="1" x14ac:dyDescent="0.25">
      <c r="A106" s="1833" t="s">
        <v>466</v>
      </c>
      <c r="B106" s="1617"/>
      <c r="C106" s="1273" t="s">
        <v>606</v>
      </c>
      <c r="D106" s="2210">
        <v>12800</v>
      </c>
      <c r="E106" s="307">
        <f>'[1]exchange rates'!K27</f>
        <v>11241.536700000001</v>
      </c>
      <c r="F106" s="319">
        <f>0</f>
        <v>0</v>
      </c>
      <c r="G106" s="320">
        <f>466512/E106</f>
        <v>41.498952718804006</v>
      </c>
      <c r="H106" s="321">
        <v>0</v>
      </c>
      <c r="I106" s="313">
        <f>Tabel6689172633[[#This Row],[Fix.ch. 2015]]+Tabel6689172633[[#This Row],[Var. ch. 2015]]+Tabel6689172633[[#This Row],[Oth. ch. DW 2015]]</f>
        <v>41.498952718804006</v>
      </c>
      <c r="J106" s="322">
        <f>71496/E106</f>
        <v>6.3599845739951189</v>
      </c>
      <c r="K106" s="323">
        <v>0</v>
      </c>
      <c r="L106" s="323"/>
      <c r="M106" s="324">
        <v>0</v>
      </c>
      <c r="N106" s="1257">
        <f>Tabel6689172633[[#This Row],[Sew. 2015]]+Tabel6689172633[[#This Row],[WW 2015]]+Tabel6689172633[[#This Row],[Other ch. 2015]]</f>
        <v>6.3599845739951189</v>
      </c>
      <c r="O106" s="1258">
        <f>32280/E106</f>
        <v>2.8714935387792666</v>
      </c>
      <c r="P106" s="318">
        <f>Tabel6689172633[[#This Row],[Total. ch. DW 2015]]+Tabel6689172633[[#This Row],[Sew. 2015]]+Tabel6689172633[[#This Row],[WW 2015]]+Tabel6689172633[[#This Row],[Other ch. 2015]]+Tabel6689172633[[#This Row],[VAT 2015]]</f>
        <v>50.730430831578396</v>
      </c>
      <c r="Q106" s="397"/>
      <c r="R106" s="2211">
        <f t="shared" ref="R106:W106" si="31">SUM(F106:F110)/5</f>
        <v>0</v>
      </c>
      <c r="S106" s="2212">
        <f t="shared" si="31"/>
        <v>37.034153880403203</v>
      </c>
      <c r="T106" s="2213">
        <f t="shared" si="31"/>
        <v>0</v>
      </c>
      <c r="U106" s="2214">
        <f t="shared" si="31"/>
        <v>37.034153880403203</v>
      </c>
      <c r="V106" s="2215">
        <f t="shared" si="31"/>
        <v>6.3599845739951189</v>
      </c>
      <c r="W106" s="2216">
        <f t="shared" si="31"/>
        <v>0</v>
      </c>
      <c r="X106" s="2217">
        <f>SUM(M106:M110)/5</f>
        <v>0</v>
      </c>
      <c r="Y106" s="2218">
        <f t="shared" ref="Y106:Z106" si="32">SUM(O106:O110)/5</f>
        <v>2.603345145864266</v>
      </c>
      <c r="Z106" s="2219">
        <f t="shared" si="32"/>
        <v>45.997483600262591</v>
      </c>
      <c r="AA106" s="397"/>
      <c r="AB106" s="398"/>
      <c r="AC106" s="398"/>
      <c r="AD106" s="398"/>
      <c r="AE106" s="396" t="s">
        <v>429</v>
      </c>
      <c r="AF106" s="398"/>
      <c r="AG106" s="398"/>
      <c r="AH106" s="398"/>
      <c r="AI106" s="397"/>
    </row>
    <row r="107" spans="1:35" ht="15.75" x14ac:dyDescent="0.25">
      <c r="A107" s="1834"/>
      <c r="B107" s="1617"/>
      <c r="C107" s="298" t="s">
        <v>607</v>
      </c>
      <c r="D107" s="1837"/>
      <c r="E107" s="307">
        <f>'[1]exchange rates'!K27</f>
        <v>11241.536700000001</v>
      </c>
      <c r="F107" s="319">
        <f>0</f>
        <v>0</v>
      </c>
      <c r="G107" s="320">
        <f>408600/E107</f>
        <v>36.347343864473615</v>
      </c>
      <c r="H107" s="321">
        <v>0</v>
      </c>
      <c r="I107" s="313">
        <f>Tabel6689172633[[#This Row],[Fix.ch. 2015]]+Tabel6689172633[[#This Row],[Var. ch. 2015]]+Tabel6689172633[[#This Row],[Oth. ch. DW 2015]]</f>
        <v>36.347343864473615</v>
      </c>
      <c r="J107" s="322">
        <f>71496/E107</f>
        <v>6.3599845739951189</v>
      </c>
      <c r="K107" s="323">
        <v>0</v>
      </c>
      <c r="L107" s="323"/>
      <c r="M107" s="324">
        <v>0</v>
      </c>
      <c r="N107" s="1257">
        <f>Tabel6689172633[[#This Row],[Sew. 2015]]+Tabel6689172633[[#This Row],[WW 2015]]+Tabel6689172633[[#This Row],[Other ch. 2015]]</f>
        <v>6.3599845739951189</v>
      </c>
      <c r="O107" s="1258">
        <f>28800/E107</f>
        <v>2.5619273208439552</v>
      </c>
      <c r="P107" s="318">
        <f>Tabel6689172633[[#This Row],[Total. ch. DW 2015]]+Tabel6689172633[[#This Row],[Sew. 2015]]+Tabel6689172633[[#This Row],[WW 2015]]+Tabel6689172633[[#This Row],[Other ch. 2015]]+Tabel6689172633[[#This Row],[VAT 2015]]</f>
        <v>45.269255759312692</v>
      </c>
      <c r="Q107" s="397"/>
      <c r="R107" s="1840"/>
      <c r="S107" s="1843"/>
      <c r="T107" s="1846"/>
      <c r="U107" s="1849"/>
      <c r="V107" s="1852"/>
      <c r="W107" s="1855"/>
      <c r="X107" s="1858"/>
      <c r="Y107" s="1873"/>
      <c r="Z107" s="1876"/>
      <c r="AA107" s="397"/>
      <c r="AB107" s="398"/>
      <c r="AC107" s="398"/>
      <c r="AD107" s="398"/>
      <c r="AE107" s="396" t="s">
        <v>429</v>
      </c>
      <c r="AF107" s="398"/>
      <c r="AG107" s="398"/>
      <c r="AH107" s="398"/>
      <c r="AI107" s="397"/>
    </row>
    <row r="108" spans="1:35" ht="15.75" x14ac:dyDescent="0.25">
      <c r="A108" s="1834"/>
      <c r="B108" s="1617"/>
      <c r="C108" s="298" t="s">
        <v>608</v>
      </c>
      <c r="D108" s="1837"/>
      <c r="E108" s="307">
        <f>'[1]exchange rates'!K27</f>
        <v>11241.536700000001</v>
      </c>
      <c r="F108" s="319">
        <f>0</f>
        <v>0</v>
      </c>
      <c r="G108" s="320">
        <f>366780/E108</f>
        <v>32.62721190066479</v>
      </c>
      <c r="H108" s="321">
        <v>0</v>
      </c>
      <c r="I108" s="313">
        <f>Tabel6689172633[[#This Row],[Fix.ch. 2015]]+Tabel6689172633[[#This Row],[Var. ch. 2015]]+Tabel6689172633[[#This Row],[Oth. ch. DW 2015]]</f>
        <v>32.62721190066479</v>
      </c>
      <c r="J108" s="322">
        <f t="shared" ref="J108:J110" si="33">71496/E108</f>
        <v>6.3599845739951189</v>
      </c>
      <c r="K108" s="323">
        <v>0</v>
      </c>
      <c r="L108" s="323"/>
      <c r="M108" s="324">
        <v>0</v>
      </c>
      <c r="N108" s="1257">
        <f>Tabel6689172633[[#This Row],[Sew. 2015]]+Tabel6689172633[[#This Row],[WW 2015]]+Tabel6689172633[[#This Row],[Other ch. 2015]]</f>
        <v>6.3599845739951189</v>
      </c>
      <c r="O108" s="1258">
        <f>26292/E108</f>
        <v>2.3388261499871277</v>
      </c>
      <c r="P108" s="318">
        <f>Tabel6689172633[[#This Row],[Total. ch. DW 2015]]+Tabel6689172633[[#This Row],[Sew. 2015]]+Tabel6689172633[[#This Row],[WW 2015]]+Tabel6689172633[[#This Row],[Other ch. 2015]]+Tabel6689172633[[#This Row],[VAT 2015]]</f>
        <v>41.326022624647038</v>
      </c>
      <c r="Q108" s="397"/>
      <c r="R108" s="1840"/>
      <c r="S108" s="1843"/>
      <c r="T108" s="1846"/>
      <c r="U108" s="1849"/>
      <c r="V108" s="1852"/>
      <c r="W108" s="1855"/>
      <c r="X108" s="1858"/>
      <c r="Y108" s="1873"/>
      <c r="Z108" s="1876"/>
      <c r="AA108" s="397"/>
      <c r="AB108" s="398"/>
      <c r="AC108" s="398"/>
      <c r="AD108" s="398"/>
      <c r="AE108" s="396" t="s">
        <v>429</v>
      </c>
      <c r="AF108" s="398"/>
      <c r="AG108" s="398"/>
      <c r="AH108" s="398"/>
      <c r="AI108" s="397"/>
    </row>
    <row r="109" spans="1:35" ht="15.75" x14ac:dyDescent="0.25">
      <c r="A109" s="1834"/>
      <c r="B109" s="1617"/>
      <c r="C109" s="298" t="s">
        <v>609</v>
      </c>
      <c r="D109" s="1837"/>
      <c r="E109" s="307">
        <f>'[1]exchange rates'!K27</f>
        <v>11241.536700000001</v>
      </c>
      <c r="F109" s="319">
        <f>0</f>
        <v>0</v>
      </c>
      <c r="G109" s="320">
        <f>418248/E109</f>
        <v>37.205589516956344</v>
      </c>
      <c r="H109" s="321">
        <v>0</v>
      </c>
      <c r="I109" s="313">
        <f>Tabel6689172633[[#This Row],[Fix.ch. 2015]]+Tabel6689172633[[#This Row],[Var. ch. 2015]]+Tabel6689172633[[#This Row],[Oth. ch. DW 2015]]</f>
        <v>37.205589516956344</v>
      </c>
      <c r="J109" s="322">
        <f t="shared" si="33"/>
        <v>6.3599845739951189</v>
      </c>
      <c r="K109" s="323">
        <v>0</v>
      </c>
      <c r="L109" s="323"/>
      <c r="M109" s="324">
        <v>0</v>
      </c>
      <c r="N109" s="1257">
        <f>Tabel6689172633[[#This Row],[Sew. 2015]]+Tabel6689172633[[#This Row],[WW 2015]]+Tabel6689172633[[#This Row],[Other ch. 2015]]</f>
        <v>6.3599845739951189</v>
      </c>
      <c r="O109" s="1258">
        <f>29388/E109</f>
        <v>2.6142333369778528</v>
      </c>
      <c r="P109" s="318">
        <f>Tabel6689172633[[#This Row],[Total. ch. DW 2015]]+Tabel6689172633[[#This Row],[Sew. 2015]]+Tabel6689172633[[#This Row],[WW 2015]]+Tabel6689172633[[#This Row],[Other ch. 2015]]+Tabel6689172633[[#This Row],[VAT 2015]]</f>
        <v>46.179807427929319</v>
      </c>
      <c r="Q109" s="397"/>
      <c r="R109" s="1840"/>
      <c r="S109" s="1843"/>
      <c r="T109" s="1846"/>
      <c r="U109" s="1849"/>
      <c r="V109" s="1852"/>
      <c r="W109" s="1855"/>
      <c r="X109" s="1858"/>
      <c r="Y109" s="1873"/>
      <c r="Z109" s="1876"/>
      <c r="AA109" s="397"/>
      <c r="AB109" s="398"/>
      <c r="AC109" s="398"/>
      <c r="AD109" s="398"/>
      <c r="AE109" s="396" t="s">
        <v>429</v>
      </c>
      <c r="AF109" s="398"/>
      <c r="AG109" s="398"/>
      <c r="AH109" s="398"/>
      <c r="AI109" s="397"/>
    </row>
    <row r="110" spans="1:35" ht="16.5" thickBot="1" x14ac:dyDescent="0.3">
      <c r="A110" s="1835"/>
      <c r="B110" s="1617"/>
      <c r="C110" s="293" t="s">
        <v>610</v>
      </c>
      <c r="D110" s="2008"/>
      <c r="E110" s="307">
        <f>'[1]exchange rates'!K27</f>
        <v>11241.536700000001</v>
      </c>
      <c r="F110" s="319">
        <f>0</f>
        <v>0</v>
      </c>
      <c r="G110" s="320">
        <f>421464/E110</f>
        <v>37.491671401117252</v>
      </c>
      <c r="H110" s="321">
        <v>0</v>
      </c>
      <c r="I110" s="313">
        <f>Tabel6689172633[[#This Row],[Fix.ch. 2015]]+Tabel6689172633[[#This Row],[Var. ch. 2015]]+Tabel6689172633[[#This Row],[Oth. ch. DW 2015]]</f>
        <v>37.491671401117252</v>
      </c>
      <c r="J110" s="322">
        <f t="shared" si="33"/>
        <v>6.3599845739951189</v>
      </c>
      <c r="K110" s="323">
        <v>0</v>
      </c>
      <c r="L110" s="323"/>
      <c r="M110" s="324">
        <v>0</v>
      </c>
      <c r="N110" s="1257">
        <f>Tabel6689172633[[#This Row],[Sew. 2015]]+Tabel6689172633[[#This Row],[WW 2015]]+Tabel6689172633[[#This Row],[Other ch. 2015]]</f>
        <v>6.3599845739951189</v>
      </c>
      <c r="O110" s="1258">
        <f>29568/E110</f>
        <v>2.6302453827331274</v>
      </c>
      <c r="P110" s="318">
        <f>Tabel6689172633[[#This Row],[Total. ch. DW 2015]]+Tabel6689172633[[#This Row],[Sew. 2015]]+Tabel6689172633[[#This Row],[WW 2015]]+Tabel6689172633[[#This Row],[Other ch. 2015]]+Tabel6689172633[[#This Row],[VAT 2015]]</f>
        <v>46.481901357845501</v>
      </c>
      <c r="Q110" s="397"/>
      <c r="R110" s="2088"/>
      <c r="S110" s="2013"/>
      <c r="T110" s="2015"/>
      <c r="U110" s="2017"/>
      <c r="V110" s="2019"/>
      <c r="W110" s="2021"/>
      <c r="X110" s="2030"/>
      <c r="Y110" s="1993"/>
      <c r="Z110" s="1995"/>
      <c r="AA110" s="397"/>
      <c r="AB110" s="398"/>
      <c r="AC110" s="398"/>
      <c r="AD110" s="398"/>
      <c r="AE110" s="396" t="s">
        <v>429</v>
      </c>
      <c r="AF110" s="398"/>
      <c r="AG110" s="398"/>
      <c r="AH110" s="398"/>
      <c r="AI110" s="397"/>
    </row>
    <row r="111" spans="1:35" ht="19.5" thickBot="1" x14ac:dyDescent="0.35">
      <c r="A111" s="267" t="s">
        <v>16</v>
      </c>
      <c r="B111" s="1616"/>
      <c r="C111" s="1274" t="s">
        <v>106</v>
      </c>
      <c r="D111" s="1256">
        <v>34900</v>
      </c>
      <c r="E111" s="308">
        <f>'[1]exchange rates'!K28</f>
        <v>3.4691000000000001</v>
      </c>
      <c r="F111" s="319">
        <v>0</v>
      </c>
      <c r="G111" s="320">
        <f>1632.16/E111</f>
        <v>470.48514023810213</v>
      </c>
      <c r="H111" s="321">
        <v>0</v>
      </c>
      <c r="I111" s="313">
        <f>Tabel6689172633[[#This Row],[Fix.ch. 2015]]+Tabel6689172633[[#This Row],[Var. ch. 2015]]+Tabel6689172633[[#This Row],[Oth. ch. DW 2015]]</f>
        <v>470.48514023810213</v>
      </c>
      <c r="J111" s="322">
        <v>0</v>
      </c>
      <c r="K111" s="323">
        <v>0</v>
      </c>
      <c r="L111" s="323"/>
      <c r="M111" s="324">
        <v>0</v>
      </c>
      <c r="N111" s="1257">
        <f>Tabel6689172633[[#This Row],[Sew. 2015]]+Tabel6689172633[[#This Row],[WW 2015]]+Tabel6689172633[[#This Row],[Other ch. 2015]]</f>
        <v>0</v>
      </c>
      <c r="O111" s="1258">
        <f>282.84/E111</f>
        <v>81.531232884609835</v>
      </c>
      <c r="P111" s="318">
        <f>Tabel6689172633[[#This Row],[Total. ch. DW 2015]]+Tabel6689172633[[#This Row],[Sew. 2015]]+Tabel6689172633[[#This Row],[WW 2015]]+Tabel6689172633[[#This Row],[Other ch. 2015]]+Tabel6689172633[[#This Row],[VAT 2015]]</f>
        <v>552.01637312271191</v>
      </c>
      <c r="Q111" s="397"/>
      <c r="R111" s="1228">
        <v>0</v>
      </c>
      <c r="S111" s="1229">
        <f>Tabel6689172633[[#This Row],[Var. ch. 2015]]</f>
        <v>470.48514023810213</v>
      </c>
      <c r="T111" s="1230">
        <v>0</v>
      </c>
      <c r="U111" s="1231">
        <f>Tabel6689172633[[#This Row],[Total. ch. DW 2015]]</f>
        <v>470.48514023810213</v>
      </c>
      <c r="V111" s="1232">
        <v>0</v>
      </c>
      <c r="W111" s="1233">
        <v>0</v>
      </c>
      <c r="X111" s="1234">
        <v>0</v>
      </c>
      <c r="Y111" s="1235">
        <f>Tabel6689172633[[#This Row],[VAT 2015]]</f>
        <v>81.531232884609835</v>
      </c>
      <c r="Z111" s="1236">
        <f>Tabel6689172633[[#This Row],[total charge 2015]]</f>
        <v>552.01637312271191</v>
      </c>
      <c r="AA111" s="397"/>
      <c r="AB111" s="398"/>
      <c r="AC111" s="398"/>
      <c r="AD111" s="398"/>
      <c r="AE111" s="396" t="s">
        <v>429</v>
      </c>
      <c r="AF111" s="398"/>
      <c r="AG111" s="398"/>
      <c r="AH111" s="398" t="s">
        <v>590</v>
      </c>
      <c r="AI111" s="397"/>
    </row>
    <row r="112" spans="1:35" ht="15.75" x14ac:dyDescent="0.25">
      <c r="A112" s="1833" t="s">
        <v>17</v>
      </c>
      <c r="B112" s="1617"/>
      <c r="C112" s="1273" t="s">
        <v>107</v>
      </c>
      <c r="D112" s="2210">
        <v>29600</v>
      </c>
      <c r="E112" s="306">
        <f>'[1]exchange rates'!K29</f>
        <v>0.72762000000000004</v>
      </c>
      <c r="F112" s="319">
        <f>17.62/E112</f>
        <v>24.215936890134959</v>
      </c>
      <c r="G112" s="320">
        <f>172.8/E112</f>
        <v>237.48660014842912</v>
      </c>
      <c r="H112" s="321">
        <v>0</v>
      </c>
      <c r="I112" s="313">
        <f>Tabel6689172633[[#This Row],[Fix.ch. 2015]]+Tabel6689172633[[#This Row],[Var. ch. 2015]]+Tabel6689172633[[#This Row],[Oth. ch. DW 2015]]</f>
        <v>261.70253703856406</v>
      </c>
      <c r="J112" s="322">
        <f>34.3/E112</f>
        <v>47.139990654462487</v>
      </c>
      <c r="K112" s="323">
        <f>92.42/E112</f>
        <v>127.01684945438552</v>
      </c>
      <c r="L112" s="323"/>
      <c r="M112" s="324">
        <v>0</v>
      </c>
      <c r="N112" s="1257">
        <f>Tabel6689172633[[#This Row],[Sew. 2015]]+Tabel6689172633[[#This Row],[WW 2015]]+Tabel6689172633[[#This Row],[Other ch. 2015]]</f>
        <v>174.156840108848</v>
      </c>
      <c r="O112" s="1258">
        <f>31.71/E112</f>
        <v>43.580440339737777</v>
      </c>
      <c r="P112" s="318">
        <f>Tabel6689172633[[#This Row],[Total. ch. DW 2015]]+Tabel6689172633[[#This Row],[Sew. 2015]]+Tabel6689172633[[#This Row],[WW 2015]]+Tabel6689172633[[#This Row],[Other ch. 2015]]+Tabel6689172633[[#This Row],[VAT 2015]]</f>
        <v>479.43981748714987</v>
      </c>
      <c r="Q112" s="397"/>
      <c r="R112" s="2222">
        <f t="shared" ref="R112:W112" si="34">SUM(F112:F116)/5</f>
        <v>16.250240510156399</v>
      </c>
      <c r="S112" s="2224">
        <f t="shared" si="34"/>
        <v>150.37794453148621</v>
      </c>
      <c r="T112" s="2226">
        <f t="shared" si="34"/>
        <v>0.69266925043291816</v>
      </c>
      <c r="U112" s="2233">
        <f t="shared" si="34"/>
        <v>167.3208542920755</v>
      </c>
      <c r="V112" s="2235">
        <f t="shared" si="34"/>
        <v>42.178609713861633</v>
      </c>
      <c r="W112" s="2237">
        <f t="shared" si="34"/>
        <v>119.13361369945851</v>
      </c>
      <c r="X112" s="2239">
        <f>SUM(M112:M116)/5</f>
        <v>0</v>
      </c>
      <c r="Y112" s="2241">
        <f t="shared" ref="Y112:Z112" si="35">SUM(O112:O116)/5</f>
        <v>32.860559083037842</v>
      </c>
      <c r="Z112" s="2243">
        <f t="shared" si="35"/>
        <v>361.49363678843349</v>
      </c>
      <c r="AA112" s="397"/>
      <c r="AB112" s="398"/>
      <c r="AC112" s="398"/>
      <c r="AD112" s="398"/>
      <c r="AE112" s="396" t="s">
        <v>429</v>
      </c>
      <c r="AF112" s="396"/>
      <c r="AG112" s="398"/>
      <c r="AH112" s="398"/>
      <c r="AI112" s="397"/>
    </row>
    <row r="113" spans="1:35" ht="15.75" x14ac:dyDescent="0.25">
      <c r="A113" s="1834"/>
      <c r="B113" s="1617"/>
      <c r="C113" s="298" t="s">
        <v>108</v>
      </c>
      <c r="D113" s="1837"/>
      <c r="E113" s="306">
        <f>'[1]exchange rates'!K29</f>
        <v>0.72762000000000004</v>
      </c>
      <c r="F113" s="319">
        <f>2.79/E113</f>
        <v>3.8344190648965117</v>
      </c>
      <c r="G113" s="320">
        <f>30.35/E113</f>
        <v>41.711332838569582</v>
      </c>
      <c r="H113" s="321">
        <v>0</v>
      </c>
      <c r="I113" s="313">
        <f>Tabel6689172633[[#This Row],[Fix.ch. 2015]]+Tabel6689172633[[#This Row],[Var. ch. 2015]]+Tabel6689172633[[#This Row],[Oth. ch. DW 2015]]</f>
        <v>45.545751903466098</v>
      </c>
      <c r="J113" s="322">
        <f>21.6/E113</f>
        <v>29.68582501855364</v>
      </c>
      <c r="K113" s="323">
        <f>55.4/E113</f>
        <v>76.138643797586653</v>
      </c>
      <c r="L113" s="323"/>
      <c r="M113" s="324">
        <v>0</v>
      </c>
      <c r="N113" s="1257">
        <f>Tabel6689172633[[#This Row],[Sew. 2015]]+Tabel6689172633[[#This Row],[WW 2015]]+Tabel6689172633[[#This Row],[Other ch. 2015]]</f>
        <v>105.8244688161403</v>
      </c>
      <c r="O113" s="1258">
        <f>11.01/E113</f>
        <v>15.131524696957202</v>
      </c>
      <c r="P113" s="318">
        <f>Tabel6689172633[[#This Row],[Total. ch. DW 2015]]+Tabel6689172633[[#This Row],[Sew. 2015]]+Tabel6689172633[[#This Row],[WW 2015]]+Tabel6689172633[[#This Row],[Other ch. 2015]]+Tabel6689172633[[#This Row],[VAT 2015]]</f>
        <v>166.50174541656358</v>
      </c>
      <c r="Q113" s="397"/>
      <c r="R113" s="1840"/>
      <c r="S113" s="1843"/>
      <c r="T113" s="1846"/>
      <c r="U113" s="1849"/>
      <c r="V113" s="1852"/>
      <c r="W113" s="1855"/>
      <c r="X113" s="1858"/>
      <c r="Y113" s="1873"/>
      <c r="Z113" s="1876"/>
      <c r="AA113" s="397"/>
      <c r="AB113" s="398"/>
      <c r="AC113" s="398"/>
      <c r="AD113" s="398"/>
      <c r="AE113" s="396" t="s">
        <v>429</v>
      </c>
      <c r="AF113" s="396"/>
      <c r="AG113" s="398"/>
      <c r="AH113" s="398"/>
      <c r="AI113" s="397"/>
    </row>
    <row r="114" spans="1:35" ht="15.75" x14ac:dyDescent="0.25">
      <c r="A114" s="1834"/>
      <c r="B114" s="1617"/>
      <c r="C114" s="298" t="s">
        <v>109</v>
      </c>
      <c r="D114" s="1837"/>
      <c r="E114" s="306">
        <f>'[1]exchange rates'!K29</f>
        <v>0.72762000000000004</v>
      </c>
      <c r="F114" s="319">
        <f>8.79/E114</f>
        <v>12.080481570050299</v>
      </c>
      <c r="G114" s="320">
        <f>133.39/E114</f>
        <v>183.32371292707728</v>
      </c>
      <c r="H114" s="321">
        <v>0</v>
      </c>
      <c r="I114" s="313">
        <f>Tabel6689172633[[#This Row],[Fix.ch. 2015]]+Tabel6689172633[[#This Row],[Var. ch. 2015]]+Tabel6689172633[[#This Row],[Oth. ch. DW 2015]]</f>
        <v>195.40419449712758</v>
      </c>
      <c r="J114" s="322">
        <f>20.49/E114</f>
        <v>28.160303455100184</v>
      </c>
      <c r="K114" s="323">
        <f>72.64/E114</f>
        <v>99.832330062395201</v>
      </c>
      <c r="L114" s="323"/>
      <c r="M114" s="324">
        <v>0</v>
      </c>
      <c r="N114" s="1257">
        <f>Tabel6689172633[[#This Row],[Sew. 2015]]+Tabel6689172633[[#This Row],[WW 2015]]+Tabel6689172633[[#This Row],[Other ch. 2015]]</f>
        <v>127.99263351749539</v>
      </c>
      <c r="O114" s="1258">
        <f>23.53/E114</f>
        <v>32.338308457711442</v>
      </c>
      <c r="P114" s="318">
        <f>Tabel6689172633[[#This Row],[Total. ch. DW 2015]]+Tabel6689172633[[#This Row],[Sew. 2015]]+Tabel6689172633[[#This Row],[WW 2015]]+Tabel6689172633[[#This Row],[Other ch. 2015]]+Tabel6689172633[[#This Row],[VAT 2015]]</f>
        <v>355.73513647233437</v>
      </c>
      <c r="Q114" s="397"/>
      <c r="R114" s="1840"/>
      <c r="S114" s="1843"/>
      <c r="T114" s="1846"/>
      <c r="U114" s="1849"/>
      <c r="V114" s="1852"/>
      <c r="W114" s="1855"/>
      <c r="X114" s="1858"/>
      <c r="Y114" s="1873"/>
      <c r="Z114" s="1876"/>
      <c r="AA114" s="397"/>
      <c r="AB114" s="398"/>
      <c r="AC114" s="398"/>
      <c r="AD114" s="398"/>
      <c r="AE114" s="396" t="s">
        <v>429</v>
      </c>
      <c r="AF114" s="396" t="s">
        <v>429</v>
      </c>
      <c r="AG114" s="398"/>
      <c r="AH114" s="398"/>
      <c r="AI114" s="397"/>
    </row>
    <row r="115" spans="1:35" ht="15.75" x14ac:dyDescent="0.25">
      <c r="A115" s="1834"/>
      <c r="B115" s="1617"/>
      <c r="C115" s="298" t="s">
        <v>110</v>
      </c>
      <c r="D115" s="1837"/>
      <c r="E115" s="306">
        <f>'[1]exchange rates'!K29</f>
        <v>0.72762000000000004</v>
      </c>
      <c r="F115" s="319">
        <f>22.66/E115</f>
        <v>31.142629394464141</v>
      </c>
      <c r="G115" s="320">
        <f>83.91/E115</f>
        <v>115.32118413457573</v>
      </c>
      <c r="H115" s="321">
        <f>2.52/E115</f>
        <v>3.463346252164591</v>
      </c>
      <c r="I115" s="313">
        <f>Tabel6689172633[[#This Row],[Fix.ch. 2015]]+Tabel6689172633[[#This Row],[Var. ch. 2015]]+Tabel6689172633[[#This Row],[Oth. ch. DW 2015]]</f>
        <v>149.92715978120447</v>
      </c>
      <c r="J115" s="322">
        <f>32.46/E115</f>
        <v>44.611198152881997</v>
      </c>
      <c r="K115" s="323">
        <f>93.64/E115</f>
        <v>128.69354883043346</v>
      </c>
      <c r="L115" s="323"/>
      <c r="M115" s="324">
        <v>0</v>
      </c>
      <c r="N115" s="1257">
        <f>Tabel6689172633[[#This Row],[Sew. 2015]]+Tabel6689172633[[#This Row],[WW 2015]]+Tabel6689172633[[#This Row],[Other ch. 2015]]</f>
        <v>173.30474698331545</v>
      </c>
      <c r="O115" s="1258">
        <f>23.52/E115</f>
        <v>32.324565020202847</v>
      </c>
      <c r="P115" s="318">
        <f>Tabel6689172633[[#This Row],[Total. ch. DW 2015]]+Tabel6689172633[[#This Row],[Sew. 2015]]+Tabel6689172633[[#This Row],[WW 2015]]+Tabel6689172633[[#This Row],[Other ch. 2015]]+Tabel6689172633[[#This Row],[VAT 2015]]</f>
        <v>355.55647178472276</v>
      </c>
      <c r="Q115" s="397"/>
      <c r="R115" s="1840"/>
      <c r="S115" s="1843"/>
      <c r="T115" s="1846"/>
      <c r="U115" s="1849"/>
      <c r="V115" s="1852"/>
      <c r="W115" s="1855"/>
      <c r="X115" s="1858"/>
      <c r="Y115" s="1873"/>
      <c r="Z115" s="1876"/>
      <c r="AA115" s="397"/>
      <c r="AB115" s="398"/>
      <c r="AC115" s="398"/>
      <c r="AD115" s="398"/>
      <c r="AE115" s="396" t="s">
        <v>429</v>
      </c>
      <c r="AF115" s="396" t="s">
        <v>429</v>
      </c>
      <c r="AG115" s="398"/>
      <c r="AH115" s="398"/>
      <c r="AI115" s="397"/>
    </row>
    <row r="116" spans="1:35" ht="16.5" thickBot="1" x14ac:dyDescent="0.3">
      <c r="A116" s="1835"/>
      <c r="B116" s="1617"/>
      <c r="C116" s="293" t="s">
        <v>111</v>
      </c>
      <c r="D116" s="2221"/>
      <c r="E116" s="306">
        <f>'[1]exchange rates'!K29</f>
        <v>0.72762000000000004</v>
      </c>
      <c r="F116" s="319">
        <f>7.26/E116</f>
        <v>9.977735631236083</v>
      </c>
      <c r="G116" s="320">
        <f>126.64/E116</f>
        <v>174.0468926087793</v>
      </c>
      <c r="H116" s="321">
        <v>0</v>
      </c>
      <c r="I116" s="313">
        <f>Tabel6689172633[[#This Row],[Fix.ch. 2015]]+Tabel6689172633[[#This Row],[Var. ch. 2015]]+Tabel6689172633[[#This Row],[Oth. ch. DW 2015]]</f>
        <v>184.02462824001537</v>
      </c>
      <c r="J116" s="322">
        <f>44.6/E116</f>
        <v>61.295731288309831</v>
      </c>
      <c r="K116" s="323">
        <f>119.32/E116</f>
        <v>163.98669635249166</v>
      </c>
      <c r="L116" s="323"/>
      <c r="M116" s="324">
        <v>0</v>
      </c>
      <c r="N116" s="1257">
        <f>Tabel6689172633[[#This Row],[Sew. 2015]]+Tabel6689172633[[#This Row],[WW 2015]]+Tabel6689172633[[#This Row],[Other ch. 2015]]</f>
        <v>225.2824276408015</v>
      </c>
      <c r="O116" s="1258">
        <f>29.78/E116</f>
        <v>40.927956900579971</v>
      </c>
      <c r="P116" s="318">
        <f>Tabel6689172633[[#This Row],[Total. ch. DW 2015]]+Tabel6689172633[[#This Row],[Sew. 2015]]+Tabel6689172633[[#This Row],[WW 2015]]+Tabel6689172633[[#This Row],[Other ch. 2015]]+Tabel6689172633[[#This Row],[VAT 2015]]</f>
        <v>450.23501278139679</v>
      </c>
      <c r="Q116" s="397"/>
      <c r="R116" s="2223"/>
      <c r="S116" s="2225"/>
      <c r="T116" s="2227"/>
      <c r="U116" s="2234"/>
      <c r="V116" s="2236"/>
      <c r="W116" s="2238"/>
      <c r="X116" s="2240"/>
      <c r="Y116" s="2242"/>
      <c r="Z116" s="2244"/>
      <c r="AA116" s="397"/>
      <c r="AB116" s="398"/>
      <c r="AC116" s="398"/>
      <c r="AD116" s="398"/>
      <c r="AE116" s="396" t="s">
        <v>429</v>
      </c>
      <c r="AF116" s="396" t="s">
        <v>429</v>
      </c>
      <c r="AG116" s="398"/>
      <c r="AH116" s="398"/>
      <c r="AI116" s="397"/>
    </row>
    <row r="117" spans="1:35" ht="15.75" x14ac:dyDescent="0.25">
      <c r="A117" s="1818" t="s">
        <v>18</v>
      </c>
      <c r="B117" s="1213"/>
      <c r="C117" s="1255" t="s">
        <v>112</v>
      </c>
      <c r="D117" s="1759">
        <v>38200</v>
      </c>
      <c r="E117" s="617">
        <f>'[1]exchange rates'!$M$30</f>
        <v>120.30594000000001</v>
      </c>
      <c r="F117" s="549">
        <f>7500/E117</f>
        <v>62.341061463798042</v>
      </c>
      <c r="G117" s="550">
        <f>11568/E117</f>
        <v>96.154853201762108</v>
      </c>
      <c r="H117" s="551">
        <f>0</f>
        <v>0</v>
      </c>
      <c r="I117" s="566">
        <f>Tabel6689172633[[#This Row],[Fix.ch. 2015]]+Tabel6689172633[[#This Row],[Var. ch. 2015]]+Tabel6689172633[[#This Row],[Oth. ch. DW 2015]]</f>
        <v>158.49591466556015</v>
      </c>
      <c r="J117" s="567">
        <f>14496/E117</f>
        <v>120.49280359722886</v>
      </c>
      <c r="K117" s="568">
        <v>0</v>
      </c>
      <c r="L117" s="568"/>
      <c r="M117" s="569">
        <v>0</v>
      </c>
      <c r="N117" s="1270">
        <f>Tabel6689172633[[#This Row],[Sew. 2015]]+Tabel6689172633[[#This Row],[WW 2015]]+Tabel6689172633[[#This Row],[Other ch. 2015]]</f>
        <v>120.49280359722886</v>
      </c>
      <c r="O117" s="1271">
        <f>2676/E117</f>
        <v>22.243290730283142</v>
      </c>
      <c r="P117" s="571">
        <f>Tabel6689172633[[#This Row],[Total. ch. DW 2015]]+Tabel6689172633[[#This Row],[Sew. 2015]]+Tabel6689172633[[#This Row],[WW 2015]]+Tabel6689172633[[#This Row],[Other ch. 2015]]+Tabel6689172633[[#This Row],[VAT 2015]]</f>
        <v>301.23200899307216</v>
      </c>
      <c r="Q117" s="397"/>
      <c r="R117" s="1762">
        <f t="shared" ref="R117:W117" si="36">SUM(F117:F124)/8</f>
        <v>95.568847224002397</v>
      </c>
      <c r="S117" s="1765">
        <f t="shared" si="36"/>
        <v>114.63689989039609</v>
      </c>
      <c r="T117" s="1768">
        <f t="shared" si="36"/>
        <v>0</v>
      </c>
      <c r="U117" s="1774">
        <f t="shared" si="36"/>
        <v>210.20574711439852</v>
      </c>
      <c r="V117" s="1777">
        <f t="shared" si="36"/>
        <v>136.0240400432431</v>
      </c>
      <c r="W117" s="1810">
        <f t="shared" si="36"/>
        <v>0</v>
      </c>
      <c r="X117" s="1812">
        <f>SUM(M117:M124)/8</f>
        <v>0</v>
      </c>
      <c r="Y117" s="1814">
        <f t="shared" ref="Y117:Z117" si="37">SUM(O117:O124)/8</f>
        <v>27.639948617665926</v>
      </c>
      <c r="Z117" s="1793">
        <f t="shared" si="37"/>
        <v>373.8697357753075</v>
      </c>
      <c r="AA117" s="397"/>
      <c r="AB117" s="396"/>
      <c r="AC117" s="591" t="s">
        <v>429</v>
      </c>
      <c r="AD117" s="398"/>
      <c r="AE117" s="591" t="s">
        <v>429</v>
      </c>
      <c r="AF117" s="398"/>
      <c r="AG117" s="398"/>
      <c r="AH117" s="398"/>
      <c r="AI117" s="397"/>
    </row>
    <row r="118" spans="1:35" ht="15.75" x14ac:dyDescent="0.25">
      <c r="A118" s="1819"/>
      <c r="B118" s="1213"/>
      <c r="C118" s="543" t="s">
        <v>113</v>
      </c>
      <c r="D118" s="1880"/>
      <c r="E118" s="617">
        <f>'[1]exchange rates'!$M$30</f>
        <v>120.30594000000001</v>
      </c>
      <c r="F118" s="549">
        <f>10200/E118</f>
        <v>84.783843590765343</v>
      </c>
      <c r="G118" s="550">
        <f>8960/E118</f>
        <v>74.47678809541739</v>
      </c>
      <c r="H118" s="551">
        <v>0</v>
      </c>
      <c r="I118" s="566">
        <f>Tabel6689172633[[#This Row],[Fix.ch. 2015]]+Tabel6689172633[[#This Row],[Var. ch. 2015]]+Tabel6689172633[[#This Row],[Oth. ch. DW 2015]]</f>
        <v>159.26063168618273</v>
      </c>
      <c r="J118" s="567">
        <f>11480/E118</f>
        <v>95.423384747253536</v>
      </c>
      <c r="K118" s="568">
        <v>0</v>
      </c>
      <c r="L118" s="568"/>
      <c r="M118" s="569">
        <v>0</v>
      </c>
      <c r="N118" s="1270">
        <f>Tabel6689172633[[#This Row],[Sew. 2015]]+Tabel6689172633[[#This Row],[WW 2015]]+Tabel6689172633[[#This Row],[Other ch. 2015]]</f>
        <v>95.423384747253536</v>
      </c>
      <c r="O118" s="1271">
        <f>2444/E118</f>
        <v>20.314873895669656</v>
      </c>
      <c r="P118" s="571">
        <f>Tabel6689172633[[#This Row],[Total. ch. DW 2015]]+Tabel6689172633[[#This Row],[Sew. 2015]]+Tabel6689172633[[#This Row],[WW 2015]]+Tabel6689172633[[#This Row],[Other ch. 2015]]+Tabel6689172633[[#This Row],[VAT 2015]]</f>
        <v>274.99889032910596</v>
      </c>
      <c r="Q118" s="397"/>
      <c r="R118" s="1886"/>
      <c r="S118" s="1888"/>
      <c r="T118" s="1890"/>
      <c r="U118" s="1892"/>
      <c r="V118" s="1894"/>
      <c r="W118" s="1911"/>
      <c r="X118" s="1913"/>
      <c r="Y118" s="1915"/>
      <c r="Z118" s="1832"/>
      <c r="AA118" s="397"/>
      <c r="AB118" s="396"/>
      <c r="AC118" s="591" t="s">
        <v>429</v>
      </c>
      <c r="AD118" s="398"/>
      <c r="AE118" s="591" t="s">
        <v>429</v>
      </c>
      <c r="AF118" s="398"/>
      <c r="AG118" s="398"/>
      <c r="AH118" s="398"/>
      <c r="AI118" s="397"/>
    </row>
    <row r="119" spans="1:35" ht="15.75" x14ac:dyDescent="0.25">
      <c r="A119" s="1819"/>
      <c r="B119" s="1213"/>
      <c r="C119" s="543" t="s">
        <v>114</v>
      </c>
      <c r="D119" s="1880"/>
      <c r="E119" s="617">
        <f>'[1]exchange rates'!$M$30</f>
        <v>120.30594000000001</v>
      </c>
      <c r="F119" s="549">
        <f>9720/E119</f>
        <v>80.794015657082269</v>
      </c>
      <c r="G119" s="550">
        <f>10320/E119</f>
        <v>85.781300574186105</v>
      </c>
      <c r="H119" s="551">
        <v>0</v>
      </c>
      <c r="I119" s="566">
        <f>Tabel6689172633[[#This Row],[Fix.ch. 2015]]+Tabel6689172633[[#This Row],[Var. ch. 2015]]+Tabel6689172633[[#This Row],[Oth. ch. DW 2015]]</f>
        <v>166.57531623126837</v>
      </c>
      <c r="J119" s="567">
        <f>18180/E119</f>
        <v>151.11473298824646</v>
      </c>
      <c r="K119" s="568">
        <v>0</v>
      </c>
      <c r="L119" s="568"/>
      <c r="M119" s="569">
        <v>0</v>
      </c>
      <c r="N119" s="1270">
        <f>Tabel6689172633[[#This Row],[Sew. 2015]]+Tabel6689172633[[#This Row],[WW 2015]]+Tabel6689172633[[#This Row],[Other ch. 2015]]</f>
        <v>151.11473298824646</v>
      </c>
      <c r="O119" s="1271">
        <f>3054/E119</f>
        <v>25.385280228058562</v>
      </c>
      <c r="P119" s="571">
        <f>Tabel6689172633[[#This Row],[Total. ch. DW 2015]]+Tabel6689172633[[#This Row],[Sew. 2015]]+Tabel6689172633[[#This Row],[WW 2015]]+Tabel6689172633[[#This Row],[Other ch. 2015]]+Tabel6689172633[[#This Row],[VAT 2015]]</f>
        <v>343.07532944757338</v>
      </c>
      <c r="Q119" s="397"/>
      <c r="R119" s="1886"/>
      <c r="S119" s="1888"/>
      <c r="T119" s="1890"/>
      <c r="U119" s="1892"/>
      <c r="V119" s="1894"/>
      <c r="W119" s="1911"/>
      <c r="X119" s="1913"/>
      <c r="Y119" s="1915"/>
      <c r="Z119" s="1832"/>
      <c r="AA119" s="397"/>
      <c r="AB119" s="396"/>
      <c r="AC119" s="591" t="s">
        <v>429</v>
      </c>
      <c r="AD119" s="398"/>
      <c r="AE119" s="591" t="s">
        <v>429</v>
      </c>
      <c r="AF119" s="398"/>
      <c r="AG119" s="398"/>
      <c r="AH119" s="398"/>
      <c r="AI119" s="397"/>
    </row>
    <row r="120" spans="1:35" ht="15.75" x14ac:dyDescent="0.25">
      <c r="A120" s="1819"/>
      <c r="B120" s="1213"/>
      <c r="C120" s="543" t="s">
        <v>115</v>
      </c>
      <c r="D120" s="1880"/>
      <c r="E120" s="617">
        <f>'[1]exchange rates'!$M$30</f>
        <v>120.30594000000001</v>
      </c>
      <c r="F120" s="549">
        <f>10200/E120</f>
        <v>84.783843590765343</v>
      </c>
      <c r="G120" s="550">
        <f>13200/E120</f>
        <v>109.72026817628456</v>
      </c>
      <c r="H120" s="551">
        <v>0</v>
      </c>
      <c r="I120" s="566">
        <f>Tabel6689172633[[#This Row],[Fix.ch. 2015]]+Tabel6689172633[[#This Row],[Var. ch. 2015]]+Tabel6689172633[[#This Row],[Oth. ch. DW 2015]]</f>
        <v>194.50411176704989</v>
      </c>
      <c r="J120" s="567">
        <f>21624/E120</f>
        <v>179.74174841242251</v>
      </c>
      <c r="K120" s="568">
        <v>0</v>
      </c>
      <c r="L120" s="568"/>
      <c r="M120" s="569">
        <v>0</v>
      </c>
      <c r="N120" s="1270">
        <f>Tabel6689172633[[#This Row],[Sew. 2015]]+Tabel6689172633[[#This Row],[WW 2015]]+Tabel6689172633[[#This Row],[Other ch. 2015]]</f>
        <v>179.74174841242251</v>
      </c>
      <c r="O120" s="1271">
        <f>3600/E120</f>
        <v>29.923709502623062</v>
      </c>
      <c r="P120" s="571">
        <f>Tabel6689172633[[#This Row],[Total. ch. DW 2015]]+Tabel6689172633[[#This Row],[Sew. 2015]]+Tabel6689172633[[#This Row],[WW 2015]]+Tabel6689172633[[#This Row],[Other ch. 2015]]+Tabel6689172633[[#This Row],[VAT 2015]]</f>
        <v>404.16956968209547</v>
      </c>
      <c r="Q120" s="397"/>
      <c r="R120" s="1886"/>
      <c r="S120" s="1888"/>
      <c r="T120" s="1890"/>
      <c r="U120" s="1892"/>
      <c r="V120" s="1894"/>
      <c r="W120" s="1911"/>
      <c r="X120" s="1913"/>
      <c r="Y120" s="1915"/>
      <c r="Z120" s="1832"/>
      <c r="AA120" s="397"/>
      <c r="AB120" s="396"/>
      <c r="AC120" s="591" t="s">
        <v>429</v>
      </c>
      <c r="AD120" s="398"/>
      <c r="AE120" s="591" t="s">
        <v>429</v>
      </c>
      <c r="AF120" s="398"/>
      <c r="AG120" s="398"/>
      <c r="AH120" s="398"/>
      <c r="AI120" s="397"/>
    </row>
    <row r="121" spans="1:35" ht="15.75" x14ac:dyDescent="0.25">
      <c r="A121" s="1819"/>
      <c r="B121" s="1213"/>
      <c r="C121" s="543" t="s">
        <v>116</v>
      </c>
      <c r="D121" s="1880"/>
      <c r="E121" s="617">
        <f>'[1]exchange rates'!$M$30</f>
        <v>120.30594000000001</v>
      </c>
      <c r="F121" s="549">
        <f>15840/E121</f>
        <v>131.66432181154147</v>
      </c>
      <c r="G121" s="550">
        <f>16800/E121</f>
        <v>139.64397767890762</v>
      </c>
      <c r="H121" s="551">
        <v>0</v>
      </c>
      <c r="I121" s="566">
        <f>Tabel6689172633[[#This Row],[Fix.ch. 2015]]+Tabel6689172633[[#This Row],[Var. ch. 2015]]+Tabel6689172633[[#This Row],[Oth. ch. DW 2015]]</f>
        <v>271.30829949044909</v>
      </c>
      <c r="J121" s="567">
        <f>12828/E121</f>
        <v>106.62815152768017</v>
      </c>
      <c r="K121" s="568">
        <v>0</v>
      </c>
      <c r="L121" s="568"/>
      <c r="M121" s="569">
        <v>0</v>
      </c>
      <c r="N121" s="1270">
        <f>Tabel6689172633[[#This Row],[Sew. 2015]]+Tabel6689172633[[#This Row],[WW 2015]]+Tabel6689172633[[#This Row],[Other ch. 2015]]</f>
        <v>106.62815152768017</v>
      </c>
      <c r="O121" s="1271">
        <f>3624/E121</f>
        <v>30.123200899307214</v>
      </c>
      <c r="P121" s="571">
        <f>Tabel6689172633[[#This Row],[Total. ch. DW 2015]]+Tabel6689172633[[#This Row],[Sew. 2015]]+Tabel6689172633[[#This Row],[WW 2015]]+Tabel6689172633[[#This Row],[Other ch. 2015]]+Tabel6689172633[[#This Row],[VAT 2015]]</f>
        <v>408.0596519174365</v>
      </c>
      <c r="Q121" s="397"/>
      <c r="R121" s="1886"/>
      <c r="S121" s="1888"/>
      <c r="T121" s="1890"/>
      <c r="U121" s="1892"/>
      <c r="V121" s="1894"/>
      <c r="W121" s="1911"/>
      <c r="X121" s="1913"/>
      <c r="Y121" s="1915"/>
      <c r="Z121" s="1832"/>
      <c r="AA121" s="397"/>
      <c r="AB121" s="396"/>
      <c r="AC121" s="591" t="s">
        <v>429</v>
      </c>
      <c r="AD121" s="398"/>
      <c r="AE121" s="591" t="s">
        <v>429</v>
      </c>
      <c r="AF121" s="398"/>
      <c r="AG121" s="398"/>
      <c r="AH121" s="398"/>
      <c r="AI121" s="397"/>
    </row>
    <row r="122" spans="1:35" ht="15.75" x14ac:dyDescent="0.25">
      <c r="A122" s="1819"/>
      <c r="B122" s="1213"/>
      <c r="C122" s="543" t="s">
        <v>117</v>
      </c>
      <c r="D122" s="1880"/>
      <c r="E122" s="617">
        <f>'[1]exchange rates'!$M$30</f>
        <v>120.30594000000001</v>
      </c>
      <c r="F122" s="549">
        <f>15000/E122</f>
        <v>124.68212292759608</v>
      </c>
      <c r="G122" s="550">
        <f>24252/E122</f>
        <v>201.58605634933735</v>
      </c>
      <c r="H122" s="551">
        <v>0</v>
      </c>
      <c r="I122" s="566">
        <f>Tabel6689172633[[#This Row],[Fix.ch. 2015]]+Tabel6689172633[[#This Row],[Var. ch. 2015]]+Tabel6689172633[[#This Row],[Oth. ch. DW 2015]]</f>
        <v>326.26817927693344</v>
      </c>
      <c r="J122" s="567">
        <f>16668/E122</f>
        <v>138.54677499714478</v>
      </c>
      <c r="K122" s="568">
        <v>0</v>
      </c>
      <c r="L122" s="568"/>
      <c r="M122" s="569">
        <v>0</v>
      </c>
      <c r="N122" s="1270">
        <f>Tabel6689172633[[#This Row],[Sew. 2015]]+Tabel6689172633[[#This Row],[WW 2015]]+Tabel6689172633[[#This Row],[Other ch. 2015]]</f>
        <v>138.54677499714478</v>
      </c>
      <c r="O122" s="1271">
        <f>4464/E122</f>
        <v>37.105399783252594</v>
      </c>
      <c r="P122" s="571">
        <f>Tabel6689172633[[#This Row],[Total. ch. DW 2015]]+Tabel6689172633[[#This Row],[Sew. 2015]]+Tabel6689172633[[#This Row],[WW 2015]]+Tabel6689172633[[#This Row],[Other ch. 2015]]+Tabel6689172633[[#This Row],[VAT 2015]]</f>
        <v>501.92035405733083</v>
      </c>
      <c r="Q122" s="397"/>
      <c r="R122" s="1886"/>
      <c r="S122" s="1888"/>
      <c r="T122" s="1890"/>
      <c r="U122" s="1892"/>
      <c r="V122" s="1894"/>
      <c r="W122" s="1911"/>
      <c r="X122" s="1913"/>
      <c r="Y122" s="1915"/>
      <c r="Z122" s="1832"/>
      <c r="AA122" s="397"/>
      <c r="AB122" s="396"/>
      <c r="AC122" s="591" t="s">
        <v>429</v>
      </c>
      <c r="AD122" s="398"/>
      <c r="AE122" s="591" t="s">
        <v>429</v>
      </c>
      <c r="AF122" s="398"/>
      <c r="AG122" s="398"/>
      <c r="AH122" s="398"/>
      <c r="AI122" s="397"/>
    </row>
    <row r="123" spans="1:35" ht="15.75" x14ac:dyDescent="0.25">
      <c r="A123" s="1819"/>
      <c r="B123" s="1213"/>
      <c r="C123" s="543" t="s">
        <v>118</v>
      </c>
      <c r="D123" s="1880"/>
      <c r="E123" s="617">
        <f>'[1]exchange rates'!$M$30</f>
        <v>120.30594000000001</v>
      </c>
      <c r="F123" s="549">
        <f>14040/E123</f>
        <v>116.70246706022994</v>
      </c>
      <c r="G123" s="550">
        <f>11560/E123</f>
        <v>96.088356069534058</v>
      </c>
      <c r="H123" s="551">
        <v>0</v>
      </c>
      <c r="I123" s="566">
        <f>Tabel6689172633[[#This Row],[Fix.ch. 2015]]+Tabel6689172633[[#This Row],[Var. ch. 2015]]+Tabel6689172633[[#This Row],[Oth. ch. DW 2015]]</f>
        <v>212.79082312976399</v>
      </c>
      <c r="J123" s="567">
        <f>18160/E123</f>
        <v>150.94849015767633</v>
      </c>
      <c r="K123" s="568">
        <v>0</v>
      </c>
      <c r="L123" s="568"/>
      <c r="M123" s="569">
        <v>0</v>
      </c>
      <c r="N123" s="1270">
        <f>Tabel6689172633[[#This Row],[Sew. 2015]]+Tabel6689172633[[#This Row],[WW 2015]]+Tabel6689172633[[#This Row],[Other ch. 2015]]</f>
        <v>150.94849015767633</v>
      </c>
      <c r="O123" s="1271">
        <f>3496/E123</f>
        <v>29.059246783658395</v>
      </c>
      <c r="P123" s="571">
        <f>Tabel6689172633[[#This Row],[Total. ch. DW 2015]]+Tabel6689172633[[#This Row],[Sew. 2015]]+Tabel6689172633[[#This Row],[WW 2015]]+Tabel6689172633[[#This Row],[Other ch. 2015]]+Tabel6689172633[[#This Row],[VAT 2015]]</f>
        <v>392.79856007109873</v>
      </c>
      <c r="Q123" s="397"/>
      <c r="R123" s="1886"/>
      <c r="S123" s="1888"/>
      <c r="T123" s="1890"/>
      <c r="U123" s="1892"/>
      <c r="V123" s="1894"/>
      <c r="W123" s="1911"/>
      <c r="X123" s="1913"/>
      <c r="Y123" s="1915"/>
      <c r="Z123" s="1832"/>
      <c r="AA123" s="397"/>
      <c r="AB123" s="396"/>
      <c r="AC123" s="591" t="s">
        <v>429</v>
      </c>
      <c r="AD123" s="398"/>
      <c r="AE123" s="591" t="s">
        <v>429</v>
      </c>
      <c r="AF123" s="398"/>
      <c r="AG123" s="398"/>
      <c r="AH123" s="398"/>
      <c r="AI123" s="397"/>
    </row>
    <row r="124" spans="1:35" ht="16.5" thickBot="1" x14ac:dyDescent="0.3">
      <c r="A124" s="1820"/>
      <c r="B124" s="1213"/>
      <c r="C124" s="544" t="s">
        <v>119</v>
      </c>
      <c r="D124" s="1761"/>
      <c r="E124" s="617">
        <f>'[1]exchange rates'!$M$30</f>
        <v>120.30594000000001</v>
      </c>
      <c r="F124" s="549">
        <f>9480/E124</f>
        <v>78.799101690240732</v>
      </c>
      <c r="G124" s="550">
        <f>13672/E124</f>
        <v>113.64359897773959</v>
      </c>
      <c r="H124" s="551">
        <v>0</v>
      </c>
      <c r="I124" s="566">
        <f>Tabel6689172633[[#This Row],[Fix.ch. 2015]]+Tabel6689172633[[#This Row],[Var. ch. 2015]]+Tabel6689172633[[#This Row],[Oth. ch. DW 2015]]</f>
        <v>192.44270066798032</v>
      </c>
      <c r="J124" s="567">
        <f>17480/E124</f>
        <v>145.29623391829196</v>
      </c>
      <c r="K124" s="568">
        <v>0</v>
      </c>
      <c r="L124" s="568"/>
      <c r="M124" s="569">
        <v>0</v>
      </c>
      <c r="N124" s="1270">
        <f>Tabel6689172633[[#This Row],[Sew. 2015]]+Tabel6689172633[[#This Row],[WW 2015]]+Tabel6689172633[[#This Row],[Other ch. 2015]]</f>
        <v>145.29623391829196</v>
      </c>
      <c r="O124" s="1271">
        <f>3244/E124</f>
        <v>26.964587118474782</v>
      </c>
      <c r="P124" s="571">
        <f>Tabel6689172633[[#This Row],[Total. ch. DW 2015]]+Tabel6689172633[[#This Row],[Sew. 2015]]+Tabel6689172633[[#This Row],[WW 2015]]+Tabel6689172633[[#This Row],[Other ch. 2015]]+Tabel6689172633[[#This Row],[VAT 2015]]</f>
        <v>364.70352170474712</v>
      </c>
      <c r="Q124" s="397"/>
      <c r="R124" s="1764"/>
      <c r="S124" s="1767"/>
      <c r="T124" s="1770"/>
      <c r="U124" s="1776"/>
      <c r="V124" s="1779"/>
      <c r="W124" s="1811"/>
      <c r="X124" s="1813"/>
      <c r="Y124" s="1815"/>
      <c r="Z124" s="1794"/>
      <c r="AA124" s="397"/>
      <c r="AB124" s="396"/>
      <c r="AC124" s="591" t="s">
        <v>429</v>
      </c>
      <c r="AD124" s="398"/>
      <c r="AE124" s="591" t="s">
        <v>429</v>
      </c>
      <c r="AF124" s="398"/>
      <c r="AG124" s="398"/>
      <c r="AH124" s="398"/>
      <c r="AI124" s="397"/>
    </row>
    <row r="125" spans="1:35" ht="19.5" thickBot="1" x14ac:dyDescent="0.3">
      <c r="A125" s="1137" t="s">
        <v>742</v>
      </c>
      <c r="B125" s="1213"/>
      <c r="C125" s="751" t="s">
        <v>743</v>
      </c>
      <c r="D125" s="1159">
        <v>3300</v>
      </c>
      <c r="E125" s="617">
        <f>'[1]exchange rates'!M31</f>
        <v>102.86302000000001</v>
      </c>
      <c r="F125" s="549">
        <f>600/E125</f>
        <v>5.8330000421920332</v>
      </c>
      <c r="G125" s="550">
        <f>4603.08/E125</f>
        <v>44.749609723688842</v>
      </c>
      <c r="H125" s="551">
        <f>0</f>
        <v>0</v>
      </c>
      <c r="I125" s="566">
        <f>Tabel6689172633[[#This Row],[Fix.ch. 2015]]+Tabel6689172633[[#This Row],[Var. ch. 2015]]+Tabel6689172633[[#This Row],[Oth. ch. DW 2015]]</f>
        <v>50.582609765880875</v>
      </c>
      <c r="J125" s="567">
        <f>0</f>
        <v>0</v>
      </c>
      <c r="K125" s="568">
        <f>3452.31/E125</f>
        <v>33.56220729276663</v>
      </c>
      <c r="L125" s="568"/>
      <c r="M125" s="569">
        <f>0</f>
        <v>0</v>
      </c>
      <c r="N125" s="1270">
        <f>Tabel6689172633[[#This Row],[Sew. 2015]]+Tabel6689172633[[#This Row],[WW 2015]]+Tabel6689172633[[#This Row],[Other ch. 2015]]</f>
        <v>33.56220729276663</v>
      </c>
      <c r="O125" s="1271">
        <v>0</v>
      </c>
      <c r="P125" s="571">
        <f>Tabel6689172633[[#This Row],[Total. ch. DW 2015]]+Tabel6689172633[[#This Row],[Sew. 2015]]+Tabel6689172633[[#This Row],[WW 2015]]+Tabel6689172633[[#This Row],[Other ch. 2015]]+Tabel6689172633[[#This Row],[VAT 2015]]</f>
        <v>84.144817058647504</v>
      </c>
      <c r="Q125" s="397"/>
      <c r="R125" s="1160">
        <f>Tabel6689172633[[#This Row],[Fix.ch. 2015]]</f>
        <v>5.8330000421920332</v>
      </c>
      <c r="S125" s="1165">
        <f>Tabel6689172633[[#This Row],[Var. ch. 2015]]</f>
        <v>44.749609723688842</v>
      </c>
      <c r="T125" s="1161">
        <f>Tabel6689172633[[#This Row],[Oth. ch. DW 2015]]</f>
        <v>0</v>
      </c>
      <c r="U125" s="1162">
        <f>SUM(R125:T125)</f>
        <v>50.582609765880875</v>
      </c>
      <c r="V125" s="1156">
        <f>Tabel6689172633[[#This Row],[Sew. 2015]]</f>
        <v>0</v>
      </c>
      <c r="W125" s="1157">
        <f>Tabel6689172633[[#This Row],[WW 2015]]</f>
        <v>33.56220729276663</v>
      </c>
      <c r="X125" s="1158">
        <f>Tabel6689172633[[#This Row],[Other ch. 2015]]</f>
        <v>0</v>
      </c>
      <c r="Y125" s="1163">
        <f>Tabel6689172633[[#This Row],[VAT 2015]]</f>
        <v>0</v>
      </c>
      <c r="Z125" s="1164">
        <f>SUM(U125:Y125)</f>
        <v>84.144817058647504</v>
      </c>
      <c r="AA125" s="397"/>
      <c r="AB125" s="396"/>
      <c r="AC125" s="591" t="s">
        <v>429</v>
      </c>
      <c r="AD125" s="398"/>
      <c r="AE125" s="591" t="s">
        <v>429</v>
      </c>
      <c r="AF125" s="591" t="s">
        <v>429</v>
      </c>
      <c r="AG125" s="398"/>
      <c r="AH125" s="614" t="s">
        <v>745</v>
      </c>
      <c r="AI125" s="397"/>
    </row>
    <row r="126" spans="1:35" ht="18.75" customHeight="1" x14ac:dyDescent="0.25">
      <c r="A126" s="1833" t="s">
        <v>19</v>
      </c>
      <c r="B126" s="1617"/>
      <c r="C126" s="1273" t="s">
        <v>120</v>
      </c>
      <c r="D126" s="2262">
        <v>18700</v>
      </c>
      <c r="E126" s="307">
        <v>2.6644800000000002</v>
      </c>
      <c r="F126" s="319">
        <f>39/E126</f>
        <v>14.637002341920374</v>
      </c>
      <c r="G126" s="320">
        <f>364/E126</f>
        <v>136.61202185792348</v>
      </c>
      <c r="H126" s="321">
        <v>0</v>
      </c>
      <c r="I126" s="313">
        <f>Tabel6689172633[[#This Row],[Fix.ch. 2015]]+Tabel6689172633[[#This Row],[Var. ch. 2015]]+Tabel6689172633[[#This Row],[Oth. ch. DW 2015]]</f>
        <v>151.24902419984386</v>
      </c>
      <c r="J126" s="322">
        <f>398/E126</f>
        <v>149.37248543805919</v>
      </c>
      <c r="K126" s="323">
        <v>0</v>
      </c>
      <c r="L126" s="323"/>
      <c r="M126" s="324">
        <v>0</v>
      </c>
      <c r="N126" s="1257">
        <f>Tabel6689172633[[#This Row],[Sew. 2015]]+Tabel6689172633[[#This Row],[WW 2015]]+Tabel6689172633[[#This Row],[Other ch. 2015]]</f>
        <v>149.37248543805919</v>
      </c>
      <c r="O126" s="1258">
        <f>168.21/E126</f>
        <v>63.130517023959648</v>
      </c>
      <c r="P126" s="318">
        <f>Tabel6689172633[[#This Row],[Total. ch. DW 2015]]+Tabel6689172633[[#This Row],[Sew. 2015]]+Tabel6689172633[[#This Row],[WW 2015]]+Tabel6689172633[[#This Row],[Other ch. 2015]]+Tabel6689172633[[#This Row],[VAT 2015]]</f>
        <v>363.75202666186271</v>
      </c>
      <c r="Q126" s="397"/>
      <c r="R126" s="2211">
        <f t="shared" ref="R126:W126" si="38">SUM(F126:F130)/5</f>
        <v>14.29472167177085</v>
      </c>
      <c r="S126" s="2212">
        <f t="shared" si="38"/>
        <v>145.16903861166153</v>
      </c>
      <c r="T126" s="2213">
        <f t="shared" si="38"/>
        <v>0</v>
      </c>
      <c r="U126" s="2214">
        <f t="shared" si="38"/>
        <v>159.46376028343238</v>
      </c>
      <c r="V126" s="2215">
        <f t="shared" si="38"/>
        <v>181.19858283792709</v>
      </c>
      <c r="W126" s="2216">
        <f t="shared" si="38"/>
        <v>0</v>
      </c>
      <c r="X126" s="2217">
        <f>SUM(M126:M130)/5</f>
        <v>0</v>
      </c>
      <c r="Y126" s="2218">
        <f t="shared" ref="Y126:Z126" si="39">SUM(O126:O130)/5</f>
        <v>71.538911907764358</v>
      </c>
      <c r="Z126" s="2265">
        <f t="shared" si="39"/>
        <v>412.20125502912379</v>
      </c>
      <c r="AA126" s="397"/>
      <c r="AB126" s="398"/>
      <c r="AC126" s="398"/>
      <c r="AD126" s="398"/>
      <c r="AE126" s="398"/>
      <c r="AF126" s="396" t="s">
        <v>429</v>
      </c>
      <c r="AG126" s="398"/>
      <c r="AH126" s="398" t="s">
        <v>444</v>
      </c>
      <c r="AI126" s="397"/>
    </row>
    <row r="127" spans="1:35" ht="18.75" customHeight="1" x14ac:dyDescent="0.25">
      <c r="A127" s="1834"/>
      <c r="B127" s="1617"/>
      <c r="C127" s="298" t="s">
        <v>121</v>
      </c>
      <c r="D127" s="2263"/>
      <c r="E127" s="307">
        <v>2.6644800000000002</v>
      </c>
      <c r="F127" s="319">
        <f>47.04/E127</f>
        <v>17.65447667087011</v>
      </c>
      <c r="G127" s="320">
        <f>330/E127</f>
        <v>123.85155827778777</v>
      </c>
      <c r="H127" s="321">
        <v>0</v>
      </c>
      <c r="I127" s="313">
        <f>Tabel6689172633[[#This Row],[Fix.ch. 2015]]+Tabel6689172633[[#This Row],[Var. ch. 2015]]+Tabel6689172633[[#This Row],[Oth. ch. DW 2015]]</f>
        <v>141.50603494865788</v>
      </c>
      <c r="J127" s="322">
        <f>468/E127</f>
        <v>175.64402810304449</v>
      </c>
      <c r="K127" s="323">
        <v>0</v>
      </c>
      <c r="L127" s="323"/>
      <c r="M127" s="324">
        <v>0</v>
      </c>
      <c r="N127" s="1257">
        <f>Tabel6689172633[[#This Row],[Sew. 2015]]+Tabel6689172633[[#This Row],[WW 2015]]+Tabel6689172633[[#This Row],[Other ch. 2015]]</f>
        <v>175.64402810304449</v>
      </c>
      <c r="O127" s="1258">
        <f>177.46/E127</f>
        <v>66.602113733261277</v>
      </c>
      <c r="P127" s="318">
        <f>Tabel6689172633[[#This Row],[Total. ch. DW 2015]]+Tabel6689172633[[#This Row],[Sew. 2015]]+Tabel6689172633[[#This Row],[WW 2015]]+Tabel6689172633[[#This Row],[Other ch. 2015]]+Tabel6689172633[[#This Row],[VAT 2015]]</f>
        <v>383.75217678496364</v>
      </c>
      <c r="Q127" s="397"/>
      <c r="R127" s="2158"/>
      <c r="S127" s="2159"/>
      <c r="T127" s="2160"/>
      <c r="U127" s="2141"/>
      <c r="V127" s="2142"/>
      <c r="W127" s="2143"/>
      <c r="X127" s="2144"/>
      <c r="Y127" s="2145"/>
      <c r="Z127" s="2266"/>
      <c r="AA127" s="397"/>
      <c r="AB127" s="398"/>
      <c r="AC127" s="398"/>
      <c r="AD127" s="398"/>
      <c r="AE127" s="398"/>
      <c r="AF127" s="396" t="s">
        <v>429</v>
      </c>
      <c r="AG127" s="398"/>
      <c r="AH127" s="398" t="s">
        <v>444</v>
      </c>
      <c r="AI127" s="397"/>
    </row>
    <row r="128" spans="1:35" ht="18.75" customHeight="1" x14ac:dyDescent="0.25">
      <c r="A128" s="1834"/>
      <c r="B128" s="1617"/>
      <c r="C128" s="298" t="s">
        <v>122</v>
      </c>
      <c r="D128" s="2263"/>
      <c r="E128" s="307">
        <v>2.6644800000000002</v>
      </c>
      <c r="F128" s="319">
        <f>30.84/E128</f>
        <v>11.574491082687803</v>
      </c>
      <c r="G128" s="320">
        <f>334/E128</f>
        <v>125.35278928721551</v>
      </c>
      <c r="H128" s="321">
        <v>0</v>
      </c>
      <c r="I128" s="313">
        <f>Tabel6689172633[[#This Row],[Fix.ch. 2015]]+Tabel6689172633[[#This Row],[Var. ch. 2015]]+Tabel6689172633[[#This Row],[Oth. ch. DW 2015]]</f>
        <v>136.92728036990331</v>
      </c>
      <c r="J128" s="322">
        <f>636/E128</f>
        <v>238.69573049900916</v>
      </c>
      <c r="K128" s="323">
        <v>0</v>
      </c>
      <c r="L128" s="323"/>
      <c r="M128" s="324">
        <v>0</v>
      </c>
      <c r="N128" s="1257">
        <f>Tabel6689172633[[#This Row],[Sew. 2015]]+Tabel6689172633[[#This Row],[WW 2015]]+Tabel6689172633[[#This Row],[Other ch. 2015]]</f>
        <v>238.69573049900916</v>
      </c>
      <c r="O128" s="1258">
        <f>210.18/E128</f>
        <v>78.882183390380106</v>
      </c>
      <c r="P128" s="318">
        <f>Tabel6689172633[[#This Row],[Total. ch. DW 2015]]+Tabel6689172633[[#This Row],[Sew. 2015]]+Tabel6689172633[[#This Row],[WW 2015]]+Tabel6689172633[[#This Row],[Other ch. 2015]]+Tabel6689172633[[#This Row],[VAT 2015]]</f>
        <v>454.50519425929258</v>
      </c>
      <c r="Q128" s="397"/>
      <c r="R128" s="2158"/>
      <c r="S128" s="2159"/>
      <c r="T128" s="2160"/>
      <c r="U128" s="2141"/>
      <c r="V128" s="2142"/>
      <c r="W128" s="2143"/>
      <c r="X128" s="2144"/>
      <c r="Y128" s="2145"/>
      <c r="Z128" s="2266"/>
      <c r="AA128" s="397"/>
      <c r="AB128" s="398"/>
      <c r="AC128" s="398"/>
      <c r="AD128" s="398"/>
      <c r="AE128" s="398"/>
      <c r="AF128" s="396" t="s">
        <v>429</v>
      </c>
      <c r="AG128" s="398"/>
      <c r="AH128" s="398" t="s">
        <v>444</v>
      </c>
      <c r="AI128" s="397"/>
    </row>
    <row r="129" spans="1:35" ht="18.75" customHeight="1" x14ac:dyDescent="0.25">
      <c r="A129" s="1834"/>
      <c r="B129" s="1617"/>
      <c r="C129" s="298" t="s">
        <v>123</v>
      </c>
      <c r="D129" s="2263"/>
      <c r="E129" s="307">
        <v>2.6644800000000002</v>
      </c>
      <c r="F129" s="319">
        <f>34.68/E129</f>
        <v>13.015672851738424</v>
      </c>
      <c r="G129" s="320">
        <f>570/E129</f>
        <v>213.92541884345161</v>
      </c>
      <c r="H129" s="321">
        <v>0</v>
      </c>
      <c r="I129" s="313">
        <f>Tabel6689172633[[#This Row],[Fix.ch. 2015]]+Tabel6689172633[[#This Row],[Var. ch. 2015]]+Tabel6689172633[[#This Row],[Oth. ch. DW 2015]]</f>
        <v>226.94109169519004</v>
      </c>
      <c r="J129" s="322">
        <f>526/E129</f>
        <v>197.41187773974659</v>
      </c>
      <c r="K129" s="323">
        <v>0</v>
      </c>
      <c r="L129" s="323"/>
      <c r="M129" s="324">
        <v>0</v>
      </c>
      <c r="N129" s="1257">
        <f>Tabel6689172633[[#This Row],[Sew. 2015]]+Tabel6689172633[[#This Row],[WW 2015]]+Tabel6689172633[[#This Row],[Other ch. 2015]]</f>
        <v>197.41187773974659</v>
      </c>
      <c r="O129" s="1258">
        <f>237.44/E129</f>
        <v>89.113072719630097</v>
      </c>
      <c r="P129" s="318">
        <f>Tabel6689172633[[#This Row],[Total. ch. DW 2015]]+Tabel6689172633[[#This Row],[Sew. 2015]]+Tabel6689172633[[#This Row],[WW 2015]]+Tabel6689172633[[#This Row],[Other ch. 2015]]+Tabel6689172633[[#This Row],[VAT 2015]]</f>
        <v>513.46604215456671</v>
      </c>
      <c r="Q129" s="397"/>
      <c r="R129" s="2158"/>
      <c r="S129" s="2159"/>
      <c r="T129" s="2160"/>
      <c r="U129" s="2141"/>
      <c r="V129" s="2142"/>
      <c r="W129" s="2143"/>
      <c r="X129" s="2144"/>
      <c r="Y129" s="2145"/>
      <c r="Z129" s="2266"/>
      <c r="AA129" s="397"/>
      <c r="AB129" s="398"/>
      <c r="AC129" s="398"/>
      <c r="AD129" s="398"/>
      <c r="AE129" s="398"/>
      <c r="AF129" s="396" t="s">
        <v>429</v>
      </c>
      <c r="AG129" s="398"/>
      <c r="AH129" s="398" t="s">
        <v>444</v>
      </c>
      <c r="AI129" s="397"/>
    </row>
    <row r="130" spans="1:35" ht="19.5" customHeight="1" thickBot="1" x14ac:dyDescent="0.3">
      <c r="A130" s="1835"/>
      <c r="B130" s="1617"/>
      <c r="C130" s="293" t="s">
        <v>124</v>
      </c>
      <c r="D130" s="2264"/>
      <c r="E130" s="307">
        <v>2.6644800000000002</v>
      </c>
      <c r="F130" s="319">
        <f>38.88/E130</f>
        <v>14.591965411637542</v>
      </c>
      <c r="G130" s="320">
        <f>336/E130</f>
        <v>126.10340479192938</v>
      </c>
      <c r="H130" s="321">
        <v>0</v>
      </c>
      <c r="I130" s="313">
        <f>Tabel6689172633[[#This Row],[Fix.ch. 2015]]+Tabel6689172633[[#This Row],[Var. ch. 2015]]+Tabel6689172633[[#This Row],[Oth. ch. DW 2015]]</f>
        <v>140.69537020356691</v>
      </c>
      <c r="J130" s="322">
        <f>386/E130</f>
        <v>144.86879240977601</v>
      </c>
      <c r="K130" s="323">
        <v>0</v>
      </c>
      <c r="L130" s="323"/>
      <c r="M130" s="324">
        <v>0</v>
      </c>
      <c r="N130" s="1257">
        <f>Tabel6689172633[[#This Row],[Sew. 2015]]+Tabel6689172633[[#This Row],[WW 2015]]+Tabel6689172633[[#This Row],[Other ch. 2015]]</f>
        <v>144.86879240977601</v>
      </c>
      <c r="O130" s="1258">
        <f>159.78/E130</f>
        <v>59.9666726715907</v>
      </c>
      <c r="P130" s="318">
        <f>Tabel6689172633[[#This Row],[Total. ch. DW 2015]]+Tabel6689172633[[#This Row],[Sew. 2015]]+Tabel6689172633[[#This Row],[WW 2015]]+Tabel6689172633[[#This Row],[Other ch. 2015]]+Tabel6689172633[[#This Row],[VAT 2015]]</f>
        <v>345.53083528493357</v>
      </c>
      <c r="Q130" s="397"/>
      <c r="R130" s="2223"/>
      <c r="S130" s="2225"/>
      <c r="T130" s="2227"/>
      <c r="U130" s="2234"/>
      <c r="V130" s="2236"/>
      <c r="W130" s="2238"/>
      <c r="X130" s="2240"/>
      <c r="Y130" s="2242"/>
      <c r="Z130" s="2267"/>
      <c r="AA130" s="397"/>
      <c r="AB130" s="398"/>
      <c r="AC130" s="398"/>
      <c r="AD130" s="398"/>
      <c r="AE130" s="398"/>
      <c r="AF130" s="396" t="s">
        <v>429</v>
      </c>
      <c r="AG130" s="398"/>
      <c r="AH130" s="398" t="s">
        <v>444</v>
      </c>
      <c r="AI130" s="397"/>
    </row>
    <row r="131" spans="1:35" ht="16.5" thickBot="1" x14ac:dyDescent="0.3">
      <c r="A131" s="270" t="s">
        <v>50</v>
      </c>
      <c r="B131" s="1616"/>
      <c r="C131" s="1275"/>
      <c r="D131" s="1276"/>
      <c r="E131" s="309"/>
      <c r="F131" s="325"/>
      <c r="G131" s="326"/>
      <c r="H131" s="327"/>
      <c r="I131" s="313">
        <f>Tabel6689172633[[#This Row],[Fix.ch. 2015]]+Tabel6689172633[[#This Row],[Var. ch. 2015]]+Tabel6689172633[[#This Row],[Oth. ch. DW 2015]]</f>
        <v>0</v>
      </c>
      <c r="J131" s="328"/>
      <c r="K131" s="329"/>
      <c r="L131" s="329"/>
      <c r="M131" s="330"/>
      <c r="N131" s="1277">
        <f>Tabel6689172633[[#This Row],[Sew. 2015]]+Tabel6689172633[[#This Row],[WW 2015]]+Tabel6689172633[[#This Row],[Other ch. 2015]]</f>
        <v>0</v>
      </c>
      <c r="O131" s="1278"/>
      <c r="P131" s="318">
        <f>Tabel6689172633[[#This Row],[Total. ch. DW 2015]]+Tabel6689172633[[#This Row],[Sew. 2015]]+Tabel6689172633[[#This Row],[WW 2015]]+Tabel6689172633[[#This Row],[Other ch. 2015]]+Tabel6689172633[[#This Row],[VAT 2015]]</f>
        <v>0</v>
      </c>
      <c r="Q131" s="397"/>
      <c r="R131" s="349"/>
      <c r="S131" s="350"/>
      <c r="T131" s="351"/>
      <c r="U131" s="352"/>
      <c r="V131" s="353"/>
      <c r="W131" s="354"/>
      <c r="X131" s="355"/>
      <c r="Y131" s="356"/>
      <c r="Z131" s="357"/>
      <c r="AA131" s="397"/>
      <c r="AB131" s="398"/>
      <c r="AC131" s="398"/>
      <c r="AD131" s="398"/>
      <c r="AE131" s="398"/>
      <c r="AF131" s="398"/>
      <c r="AG131" s="398"/>
      <c r="AH131" s="398"/>
      <c r="AI131" s="397"/>
    </row>
    <row r="132" spans="1:35" ht="19.5" thickBot="1" x14ac:dyDescent="0.35">
      <c r="A132" s="695" t="s">
        <v>586</v>
      </c>
      <c r="B132" s="1621"/>
      <c r="C132" s="813" t="s">
        <v>587</v>
      </c>
      <c r="D132" s="1279">
        <v>88700</v>
      </c>
      <c r="E132" s="616">
        <f>'[1]exchange rates'!M36</f>
        <v>8.0490899999999996</v>
      </c>
      <c r="F132" s="549">
        <f>0</f>
        <v>0</v>
      </c>
      <c r="G132" s="550">
        <f>11294.63/E132</f>
        <v>1403.2182520011579</v>
      </c>
      <c r="H132" s="551">
        <v>0</v>
      </c>
      <c r="I132" s="566">
        <f>Tabel6689172633[[#This Row],[Fix.ch. 2015]]+Tabel6689172633[[#This Row],[Var. ch. 2015]]+Tabel6689172633[[#This Row],[Oth. ch. DW 2015]]</f>
        <v>1403.2182520011579</v>
      </c>
      <c r="J132" s="567">
        <v>0</v>
      </c>
      <c r="K132" s="568">
        <v>0</v>
      </c>
      <c r="L132" s="568"/>
      <c r="M132" s="569">
        <v>0</v>
      </c>
      <c r="N132" s="1270">
        <f>Tabel6689172633[[#This Row],[Sew. 2015]]+Tabel6689172633[[#This Row],[WW 2015]]+Tabel6689172633[[#This Row],[Other ch. 2015]]</f>
        <v>0</v>
      </c>
      <c r="O132" s="1271">
        <v>0</v>
      </c>
      <c r="P132" s="571">
        <f>Tabel6689172633[[#This Row],[Total. ch. DW 2015]]+Tabel6689172633[[#This Row],[Sew. 2015]]+Tabel6689172633[[#This Row],[WW 2015]]+Tabel6689172633[[#This Row],[Other ch. 2015]]+Tabel6689172633[[#This Row],[VAT 2015]]</f>
        <v>1403.2182520011579</v>
      </c>
      <c r="Q132" s="397"/>
      <c r="R132" s="1280">
        <v>0</v>
      </c>
      <c r="S132" s="1281">
        <f>Tabel6689172633[[#This Row],[Var. ch. 2015]]</f>
        <v>1403.2182520011579</v>
      </c>
      <c r="T132" s="1282">
        <v>0</v>
      </c>
      <c r="U132" s="1283">
        <f>Tabel6689172633[[#This Row],[Total. ch. DW 2015]]</f>
        <v>1403.2182520011579</v>
      </c>
      <c r="V132" s="1284">
        <v>0</v>
      </c>
      <c r="W132" s="1285">
        <v>0</v>
      </c>
      <c r="X132" s="1286">
        <v>0</v>
      </c>
      <c r="Y132" s="1287">
        <v>0</v>
      </c>
      <c r="Z132" s="1288">
        <f>Tabel6689172633[[#This Row],[total charge 2015]]</f>
        <v>1403.2182520011579</v>
      </c>
      <c r="AA132" s="397"/>
      <c r="AB132" s="398"/>
      <c r="AC132" s="396"/>
      <c r="AD132" s="398"/>
      <c r="AE132" s="591" t="s">
        <v>429</v>
      </c>
      <c r="AF132" s="398"/>
      <c r="AG132" s="398"/>
      <c r="AH132" s="398"/>
      <c r="AI132" s="397"/>
    </row>
    <row r="133" spans="1:35" ht="19.5" thickBot="1" x14ac:dyDescent="0.35">
      <c r="A133" s="267" t="s">
        <v>36</v>
      </c>
      <c r="B133" s="1616"/>
      <c r="C133" s="1289" t="s">
        <v>181</v>
      </c>
      <c r="D133" s="1256">
        <v>900</v>
      </c>
      <c r="E133" s="306">
        <v>163.83132000000001</v>
      </c>
      <c r="F133" s="319">
        <f>363/E133</f>
        <v>2.2156935560306783</v>
      </c>
      <c r="G133" s="320">
        <f>(124*200)/E133</f>
        <v>151.37520713377637</v>
      </c>
      <c r="H133" s="321">
        <v>0</v>
      </c>
      <c r="I133" s="313">
        <f>Tabel6689172633[[#This Row],[Fix.ch. 2015]]+Tabel6689172633[[#This Row],[Var. ch. 2015]]+Tabel6689172633[[#This Row],[Oth. ch. DW 2015]]</f>
        <v>153.59090068980706</v>
      </c>
      <c r="J133" s="322">
        <v>0</v>
      </c>
      <c r="K133" s="323">
        <v>0</v>
      </c>
      <c r="L133" s="323"/>
      <c r="M133" s="324">
        <v>0</v>
      </c>
      <c r="N133" s="1257">
        <f>Tabel6689172633[[#This Row],[Sew. 2015]]+Tabel6689172633[[#This Row],[WW 2015]]+Tabel6689172633[[#This Row],[Other ch. 2015]]</f>
        <v>0</v>
      </c>
      <c r="O133" s="1258">
        <v>0</v>
      </c>
      <c r="P133" s="318">
        <f>Tabel6689172633[[#This Row],[Total. ch. DW 2015]]+Tabel6689172633[[#This Row],[Sew. 2015]]+Tabel6689172633[[#This Row],[WW 2015]]+Tabel6689172633[[#This Row],[Other ch. 2015]]+Tabel6689172633[[#This Row],[VAT 2015]]</f>
        <v>153.59090068980706</v>
      </c>
      <c r="Q133" s="397"/>
      <c r="R133" s="1228">
        <f>Tabel6689172633[[#This Row],[Fix.ch. 2015]]</f>
        <v>2.2156935560306783</v>
      </c>
      <c r="S133" s="1229">
        <f>Tabel6689172633[[#This Row],[Var. ch. 2015]]</f>
        <v>151.37520713377637</v>
      </c>
      <c r="T133" s="1230">
        <v>0</v>
      </c>
      <c r="U133" s="1231">
        <v>0</v>
      </c>
      <c r="V133" s="1232">
        <v>0</v>
      </c>
      <c r="W133" s="1233">
        <v>0</v>
      </c>
      <c r="X133" s="1234">
        <v>0</v>
      </c>
      <c r="Y133" s="1235">
        <v>0</v>
      </c>
      <c r="Z133" s="1236">
        <f>Tabel6689172633[[#This Row],[total charge 2015]]</f>
        <v>153.59090068980706</v>
      </c>
      <c r="AA133" s="397"/>
      <c r="AB133" s="398"/>
      <c r="AC133" s="398"/>
      <c r="AD133" s="398"/>
      <c r="AE133" s="396" t="s">
        <v>429</v>
      </c>
      <c r="AF133" s="396" t="s">
        <v>429</v>
      </c>
      <c r="AG133" s="398"/>
      <c r="AH133" s="398"/>
      <c r="AI133" s="397"/>
    </row>
    <row r="134" spans="1:35" ht="19.5" thickBot="1" x14ac:dyDescent="0.35">
      <c r="A134" s="669" t="s">
        <v>774</v>
      </c>
      <c r="B134" s="1621"/>
      <c r="C134" s="751" t="s">
        <v>775</v>
      </c>
      <c r="D134" s="1268">
        <v>34700</v>
      </c>
      <c r="E134" s="616">
        <f>'[1]exchange rates'!M38</f>
        <v>0.92093999999999998</v>
      </c>
      <c r="F134" s="549">
        <f>59/E134</f>
        <v>64.064977088626833</v>
      </c>
      <c r="G134" s="550">
        <f>657.34/E134</f>
        <v>713.77071253284691</v>
      </c>
      <c r="H134" s="551">
        <v>0</v>
      </c>
      <c r="I134" s="566" t="e">
        <f>[1]!Tabel6689[[#This Row],[Fix.ch. 2015]]+[1]!Tabel6689[[#This Row],[Var. ch. 2015]]+[1]!Tabel6689[[#This Row],[Oth. ch. DW 2015]]</f>
        <v>#REF!</v>
      </c>
      <c r="J134" s="567">
        <v>0</v>
      </c>
      <c r="K134" s="568">
        <v>0</v>
      </c>
      <c r="L134" s="568"/>
      <c r="M134" s="569">
        <v>0</v>
      </c>
      <c r="N134" s="1270">
        <f>Tabel6689172633[[#This Row],[Sew. 2015]]+Tabel6689172633[[#This Row],[WW 2015]]+Tabel6689172633[[#This Row],[Other ch. 2015]]</f>
        <v>0</v>
      </c>
      <c r="O134" s="1271">
        <v>0</v>
      </c>
      <c r="P134" s="571" t="e">
        <f>[1]!Tabel6689[[#This Row],[Total. ch. DW 2015]]+[1]!Tabel6689[[#This Row],[Sew. 2015]]+[1]!Tabel6689[[#This Row],[WW 2015]]+[1]!Tabel6689[[#This Row],[Other ch. 2015]]+[1]!Tabel6689[[#This Row],[VAT 2015]]</f>
        <v>#REF!</v>
      </c>
      <c r="Q134" s="397"/>
      <c r="R134" s="1280" t="e">
        <f>[1]!Tabel6689[[#This Row],[Fix.ch. 2015]]</f>
        <v>#REF!</v>
      </c>
      <c r="S134" s="1281" t="e">
        <f>[1]!Tabel6689[[#This Row],[Var. ch. 2015]]</f>
        <v>#REF!</v>
      </c>
      <c r="T134" s="1282" t="e">
        <f>[1]!Tabel6689[[#This Row],[Oth. ch. DW 2015]]</f>
        <v>#REF!</v>
      </c>
      <c r="U134" s="1283" t="e">
        <f>[1]!Tabel6689[[#This Row],[Total. ch. DW 2015]]</f>
        <v>#REF!</v>
      </c>
      <c r="V134" s="1284" t="e">
        <f>[1]!Tabel6689[[#This Row],[Sew. 2015]]</f>
        <v>#REF!</v>
      </c>
      <c r="W134" s="1285" t="e">
        <f>[1]!Tabel6689[[#This Row],[WW 2015]]</f>
        <v>#REF!</v>
      </c>
      <c r="X134" s="1286" t="e">
        <f>[1]!Tabel6689[[#This Row],[Other ch. 2015]]</f>
        <v>#REF!</v>
      </c>
      <c r="Y134" s="1287" t="e">
        <f>[1]!Tabel6689[[#This Row],[VAT 2015]]</f>
        <v>#REF!</v>
      </c>
      <c r="Z134" s="1288" t="e">
        <f>[1]!Tabel6689[[#This Row],[total charge 2015]]</f>
        <v>#REF!</v>
      </c>
      <c r="AA134" s="397"/>
      <c r="AB134" s="398"/>
      <c r="AC134" s="398"/>
      <c r="AD134" s="398"/>
      <c r="AE134" s="591" t="s">
        <v>429</v>
      </c>
      <c r="AF134" s="591" t="s">
        <v>429</v>
      </c>
      <c r="AG134" s="398"/>
      <c r="AH134" s="398"/>
      <c r="AI134" s="397"/>
    </row>
    <row r="135" spans="1:35" ht="19.5" thickBot="1" x14ac:dyDescent="0.35">
      <c r="A135" s="669" t="s">
        <v>37</v>
      </c>
      <c r="B135" s="1621"/>
      <c r="C135" s="1290" t="s">
        <v>37</v>
      </c>
      <c r="D135" s="1268">
        <v>19500</v>
      </c>
      <c r="E135" s="616">
        <f>'[1]exchange rates'!M39</f>
        <v>35.849890000000002</v>
      </c>
      <c r="F135" s="549">
        <f>660/E135</f>
        <v>18.410098329450939</v>
      </c>
      <c r="G135" s="550">
        <f>732/E135</f>
        <v>20.418472692663769</v>
      </c>
      <c r="H135" s="551">
        <v>0</v>
      </c>
      <c r="I135" s="566">
        <f>Tabel6689172633[[#This Row],[Fix.ch. 2015]]+Tabel6689172633[[#This Row],[Var. ch. 2015]]+Tabel6689172633[[#This Row],[Oth. ch. DW 2015]]</f>
        <v>38.828571022114708</v>
      </c>
      <c r="J135" s="567">
        <f>7.515/E135</f>
        <v>0.2096240741603391</v>
      </c>
      <c r="K135" s="568">
        <f>1650/E135</f>
        <v>46.025245823627351</v>
      </c>
      <c r="L135" s="568"/>
      <c r="M135" s="569">
        <v>0</v>
      </c>
      <c r="N135" s="1270">
        <f>Tabel6689172633[[#This Row],[Sew. 2015]]+Tabel6689172633[[#This Row],[WW 2015]]+Tabel6689172633[[#This Row],[Other ch. 2015]]</f>
        <v>46.234869897787689</v>
      </c>
      <c r="O135" s="1271">
        <v>0</v>
      </c>
      <c r="P135" s="571">
        <f>Tabel6689172633[[#This Row],[Total. ch. DW 2015]]+Tabel6689172633[[#This Row],[Sew. 2015]]+Tabel6689172633[[#This Row],[WW 2015]]+Tabel6689172633[[#This Row],[Other ch. 2015]]+Tabel6689172633[[#This Row],[VAT 2015]]</f>
        <v>85.063440919902405</v>
      </c>
      <c r="Q135" s="397"/>
      <c r="R135" s="1280">
        <f>Tabel6689172633[[#This Row],[Fix.ch. 2015]]</f>
        <v>18.410098329450939</v>
      </c>
      <c r="S135" s="1281">
        <f>Tabel6689172633[[#This Row],[Var. ch. 2015]]</f>
        <v>20.418472692663769</v>
      </c>
      <c r="T135" s="1282">
        <v>0</v>
      </c>
      <c r="U135" s="1283">
        <f>Tabel6689172633[[#This Row],[Total. ch. DW 2015]]</f>
        <v>38.828571022114708</v>
      </c>
      <c r="V135" s="1284">
        <f>Tabel6689172633[[#This Row],[Sew. 2015]]</f>
        <v>0.2096240741603391</v>
      </c>
      <c r="W135" s="1285">
        <f>Tabel6689172633[[#This Row],[WW 2015]]</f>
        <v>46.025245823627351</v>
      </c>
      <c r="X135" s="1286">
        <v>0</v>
      </c>
      <c r="Y135" s="1287">
        <v>0</v>
      </c>
      <c r="Z135" s="1288">
        <f>Tabel6689172633[[#This Row],[total charge 2015]]</f>
        <v>85.063440919902405</v>
      </c>
      <c r="AA135" s="397"/>
      <c r="AB135" s="398"/>
      <c r="AC135" s="398"/>
      <c r="AD135" s="398"/>
      <c r="AE135" s="591" t="s">
        <v>429</v>
      </c>
      <c r="AF135" s="398"/>
      <c r="AG135" s="398"/>
      <c r="AH135" s="398"/>
      <c r="AI135" s="397"/>
    </row>
    <row r="136" spans="1:35" ht="15.75" x14ac:dyDescent="0.25">
      <c r="A136" s="1795" t="s">
        <v>38</v>
      </c>
      <c r="B136" s="1618"/>
      <c r="C136" s="752" t="s">
        <v>620</v>
      </c>
      <c r="D136" s="1759">
        <v>18500</v>
      </c>
      <c r="E136" s="616">
        <f>'[1]exchange rates'!$M$40</f>
        <v>17.273230000000002</v>
      </c>
      <c r="F136" s="549">
        <f>2.2/E136</f>
        <v>0.12736471406911157</v>
      </c>
      <c r="G136" s="550">
        <f>16.8/E136</f>
        <v>0.97260327107321554</v>
      </c>
      <c r="H136" s="551">
        <v>0</v>
      </c>
      <c r="I136" s="566">
        <f>Tabel6689172633[[#This Row],[Fix.ch. 2015]]+Tabel6689172633[[#This Row],[Var. ch. 2015]]+Tabel6689172633[[#This Row],[Oth. ch. DW 2015]]</f>
        <v>1.0999679851423272</v>
      </c>
      <c r="J136" s="567">
        <f>6/E136</f>
        <v>0.34735831109757698</v>
      </c>
      <c r="K136" s="568">
        <v>0</v>
      </c>
      <c r="L136" s="568"/>
      <c r="M136" s="569">
        <v>0</v>
      </c>
      <c r="N136" s="1270">
        <f>Tabel6689172633[[#This Row],[Sew. 2015]]+Tabel6689172633[[#This Row],[WW 2015]]+Tabel6689172633[[#This Row],[Other ch. 2015]]</f>
        <v>0.34735831109757698</v>
      </c>
      <c r="O136" s="1271">
        <f>1.16/E136</f>
        <v>6.7155940145531542E-2</v>
      </c>
      <c r="P136" s="571">
        <f>Tabel6689172633[[#This Row],[Total. ch. DW 2015]]+Tabel6689172633[[#This Row],[Sew. 2015]]+Tabel6689172633[[#This Row],[WW 2015]]+Tabel6689172633[[#This Row],[Other ch. 2015]]+Tabel6689172633[[#This Row],[VAT 2015]]</f>
        <v>1.5144822363854356</v>
      </c>
      <c r="Q136" s="397"/>
      <c r="R136" s="1762">
        <f t="shared" ref="R136:W136" si="40">SUM(F136:F140)/5</f>
        <v>0.1991520983626108</v>
      </c>
      <c r="S136" s="1765">
        <f t="shared" si="40"/>
        <v>1.2759628627650994</v>
      </c>
      <c r="T136" s="1768">
        <f t="shared" si="40"/>
        <v>0</v>
      </c>
      <c r="U136" s="1774">
        <f t="shared" si="40"/>
        <v>1.4751149611277103</v>
      </c>
      <c r="V136" s="1777">
        <f t="shared" si="40"/>
        <v>0.26630803850814233</v>
      </c>
      <c r="W136" s="1810">
        <f t="shared" si="40"/>
        <v>0</v>
      </c>
      <c r="X136" s="1812">
        <f>SUM(M136:M140)/5</f>
        <v>0</v>
      </c>
      <c r="Y136" s="1814">
        <f t="shared" ref="Y136:Z136" si="41">SUM(O136:O140)/5</f>
        <v>6.7155940145531542E-2</v>
      </c>
      <c r="Z136" s="2260">
        <f t="shared" si="41"/>
        <v>1.8085789397813841</v>
      </c>
      <c r="AA136" s="397"/>
      <c r="AB136" s="591" t="s">
        <v>429</v>
      </c>
      <c r="AC136" s="614"/>
      <c r="AD136" s="614"/>
      <c r="AE136" s="591" t="s">
        <v>429</v>
      </c>
      <c r="AF136" s="591" t="s">
        <v>429</v>
      </c>
      <c r="AG136" s="398"/>
      <c r="AH136" s="398"/>
      <c r="AI136" s="397"/>
    </row>
    <row r="137" spans="1:35" ht="15.75" x14ac:dyDescent="0.25">
      <c r="A137" s="1796"/>
      <c r="B137" s="1618"/>
      <c r="C137" s="657" t="s">
        <v>621</v>
      </c>
      <c r="D137" s="1880"/>
      <c r="E137" s="616">
        <f>'[1]exchange rates'!$M$40</f>
        <v>17.273230000000002</v>
      </c>
      <c r="F137" s="549">
        <f>0/E137</f>
        <v>0</v>
      </c>
      <c r="G137" s="550">
        <f>17.2/E137</f>
        <v>0.99576049181305393</v>
      </c>
      <c r="H137" s="551">
        <v>0</v>
      </c>
      <c r="I137" s="566">
        <f>Tabel6689172633[[#This Row],[Fix.ch. 2015]]+Tabel6689172633[[#This Row],[Var. ch. 2015]]+Tabel6689172633[[#This Row],[Oth. ch. DW 2015]]</f>
        <v>0.99576049181305393</v>
      </c>
      <c r="J137" s="567">
        <f>0.8/E137</f>
        <v>4.6314441479676935E-2</v>
      </c>
      <c r="K137" s="568">
        <v>0</v>
      </c>
      <c r="L137" s="568"/>
      <c r="M137" s="569">
        <v>0</v>
      </c>
      <c r="N137" s="1270">
        <f>Tabel6689172633[[#This Row],[Sew. 2015]]+Tabel6689172633[[#This Row],[WW 2015]]+Tabel6689172633[[#This Row],[Other ch. 2015]]</f>
        <v>4.6314441479676935E-2</v>
      </c>
      <c r="O137" s="1271">
        <f>1.16/E137</f>
        <v>6.7155940145531542E-2</v>
      </c>
      <c r="P137" s="571">
        <f>Tabel6689172633[[#This Row],[Total. ch. DW 2015]]+Tabel6689172633[[#This Row],[Sew. 2015]]+Tabel6689172633[[#This Row],[WW 2015]]+Tabel6689172633[[#This Row],[Other ch. 2015]]+Tabel6689172633[[#This Row],[VAT 2015]]</f>
        <v>1.1092308734382623</v>
      </c>
      <c r="Q137" s="397"/>
      <c r="R137" s="1886"/>
      <c r="S137" s="1888"/>
      <c r="T137" s="1890"/>
      <c r="U137" s="1892"/>
      <c r="V137" s="1894"/>
      <c r="W137" s="1911"/>
      <c r="X137" s="1913"/>
      <c r="Y137" s="1915"/>
      <c r="Z137" s="2053"/>
      <c r="AA137" s="397"/>
      <c r="AB137" s="591" t="s">
        <v>429</v>
      </c>
      <c r="AC137" s="614"/>
      <c r="AD137" s="614"/>
      <c r="AE137" s="591" t="s">
        <v>429</v>
      </c>
      <c r="AF137" s="591"/>
      <c r="AG137" s="398"/>
      <c r="AH137" s="398"/>
      <c r="AI137" s="397"/>
    </row>
    <row r="138" spans="1:35" ht="15.75" x14ac:dyDescent="0.25">
      <c r="A138" s="1796"/>
      <c r="B138" s="1618"/>
      <c r="C138" s="657" t="s">
        <v>622</v>
      </c>
      <c r="D138" s="1880"/>
      <c r="E138" s="616">
        <f>'[1]exchange rates'!$M$40</f>
        <v>17.273230000000002</v>
      </c>
      <c r="F138" s="549">
        <f>6.4/E138</f>
        <v>0.37051553183741548</v>
      </c>
      <c r="G138" s="550">
        <f>36.6/E138</f>
        <v>2.1188856976952195</v>
      </c>
      <c r="H138" s="551">
        <v>0</v>
      </c>
      <c r="I138" s="566">
        <f>Tabel6689172633[[#This Row],[Fix.ch. 2015]]+Tabel6689172633[[#This Row],[Var. ch. 2015]]+Tabel6689172633[[#This Row],[Oth. ch. DW 2015]]</f>
        <v>2.4894012295326351</v>
      </c>
      <c r="J138" s="567">
        <f>4.8/E138</f>
        <v>0.27788664887806158</v>
      </c>
      <c r="K138" s="568">
        <v>0</v>
      </c>
      <c r="L138" s="568"/>
      <c r="M138" s="569">
        <v>0</v>
      </c>
      <c r="N138" s="1270">
        <f>Tabel6689172633[[#This Row],[Sew. 2015]]+Tabel6689172633[[#This Row],[WW 2015]]+Tabel6689172633[[#This Row],[Other ch. 2015]]</f>
        <v>0.27788664887806158</v>
      </c>
      <c r="O138" s="1271">
        <f t="shared" ref="O138:O140" si="42">1.16/E138</f>
        <v>6.7155940145531542E-2</v>
      </c>
      <c r="P138" s="571">
        <f>Tabel6689172633[[#This Row],[Total. ch. DW 2015]]+Tabel6689172633[[#This Row],[Sew. 2015]]+Tabel6689172633[[#This Row],[WW 2015]]+Tabel6689172633[[#This Row],[Other ch. 2015]]+Tabel6689172633[[#This Row],[VAT 2015]]</f>
        <v>2.8344438185562284</v>
      </c>
      <c r="Q138" s="397"/>
      <c r="R138" s="1886"/>
      <c r="S138" s="1888"/>
      <c r="T138" s="1890"/>
      <c r="U138" s="1892"/>
      <c r="V138" s="1894"/>
      <c r="W138" s="1911"/>
      <c r="X138" s="1913"/>
      <c r="Y138" s="1915"/>
      <c r="Z138" s="2053"/>
      <c r="AA138" s="397"/>
      <c r="AB138" s="591" t="s">
        <v>429</v>
      </c>
      <c r="AC138" s="614"/>
      <c r="AD138" s="614"/>
      <c r="AE138" s="591" t="s">
        <v>429</v>
      </c>
      <c r="AF138" s="591" t="s">
        <v>429</v>
      </c>
      <c r="AG138" s="396"/>
      <c r="AH138" s="398"/>
      <c r="AI138" s="397"/>
    </row>
    <row r="139" spans="1:35" ht="15.75" x14ac:dyDescent="0.25">
      <c r="A139" s="1796"/>
      <c r="B139" s="1618"/>
      <c r="C139" s="657" t="s">
        <v>623</v>
      </c>
      <c r="D139" s="1880"/>
      <c r="E139" s="616">
        <f>'[1]exchange rates'!$M$40</f>
        <v>17.273230000000002</v>
      </c>
      <c r="F139" s="549">
        <f>3.8/E139</f>
        <v>0.21999359702846541</v>
      </c>
      <c r="G139" s="550">
        <f>17.8/E139</f>
        <v>1.0304963229228117</v>
      </c>
      <c r="H139" s="551">
        <v>0</v>
      </c>
      <c r="I139" s="566">
        <f>Tabel6689172633[[#This Row],[Fix.ch. 2015]]+Tabel6689172633[[#This Row],[Var. ch. 2015]]+Tabel6689172633[[#This Row],[Oth. ch. DW 2015]]</f>
        <v>1.2504899199512771</v>
      </c>
      <c r="J139" s="567">
        <f>4.6/E139</f>
        <v>0.26630803850814233</v>
      </c>
      <c r="K139" s="568">
        <v>0</v>
      </c>
      <c r="L139" s="568"/>
      <c r="M139" s="569">
        <v>0</v>
      </c>
      <c r="N139" s="1270">
        <f>Tabel6689172633[[#This Row],[Sew. 2015]]+Tabel6689172633[[#This Row],[WW 2015]]+Tabel6689172633[[#This Row],[Other ch. 2015]]</f>
        <v>0.26630803850814233</v>
      </c>
      <c r="O139" s="1271">
        <f t="shared" si="42"/>
        <v>6.7155940145531542E-2</v>
      </c>
      <c r="P139" s="571">
        <f>Tabel6689172633[[#This Row],[Total. ch. DW 2015]]+Tabel6689172633[[#This Row],[Sew. 2015]]+Tabel6689172633[[#This Row],[WW 2015]]+Tabel6689172633[[#This Row],[Other ch. 2015]]+Tabel6689172633[[#This Row],[VAT 2015]]</f>
        <v>1.5839538986049508</v>
      </c>
      <c r="Q139" s="397"/>
      <c r="R139" s="1886"/>
      <c r="S139" s="1888"/>
      <c r="T139" s="1890"/>
      <c r="U139" s="1892"/>
      <c r="V139" s="1894"/>
      <c r="W139" s="1911"/>
      <c r="X139" s="1913"/>
      <c r="Y139" s="1915"/>
      <c r="Z139" s="2053"/>
      <c r="AA139" s="397"/>
      <c r="AB139" s="591" t="s">
        <v>429</v>
      </c>
      <c r="AC139" s="614"/>
      <c r="AD139" s="614"/>
      <c r="AE139" s="591" t="s">
        <v>429</v>
      </c>
      <c r="AF139" s="591" t="s">
        <v>429</v>
      </c>
      <c r="AG139" s="396"/>
      <c r="AH139" s="398"/>
      <c r="AI139" s="397"/>
    </row>
    <row r="140" spans="1:35" ht="16.5" thickBot="1" x14ac:dyDescent="0.3">
      <c r="A140" s="1797"/>
      <c r="B140" s="1618"/>
      <c r="C140" s="657" t="s">
        <v>624</v>
      </c>
      <c r="D140" s="1761"/>
      <c r="E140" s="616">
        <f>'[1]exchange rates'!$M$40</f>
        <v>17.273230000000002</v>
      </c>
      <c r="F140" s="549">
        <f>4.8/E140</f>
        <v>0.27788664887806158</v>
      </c>
      <c r="G140" s="550">
        <f>21.8/E140</f>
        <v>1.2620685303211963</v>
      </c>
      <c r="H140" s="551">
        <v>0</v>
      </c>
      <c r="I140" s="566">
        <f>Tabel6689172633[[#This Row],[Fix.ch. 2015]]+Tabel6689172633[[#This Row],[Var. ch. 2015]]+Tabel6689172633[[#This Row],[Oth. ch. DW 2015]]</f>
        <v>1.5399551791992578</v>
      </c>
      <c r="J140" s="567">
        <f>6.8/E140</f>
        <v>0.39367275257725387</v>
      </c>
      <c r="K140" s="568">
        <v>0</v>
      </c>
      <c r="L140" s="568"/>
      <c r="M140" s="569">
        <v>0</v>
      </c>
      <c r="N140" s="1270">
        <f>Tabel6689172633[[#This Row],[Sew. 2015]]+Tabel6689172633[[#This Row],[WW 2015]]+Tabel6689172633[[#This Row],[Other ch. 2015]]</f>
        <v>0.39367275257725387</v>
      </c>
      <c r="O140" s="1271">
        <f t="shared" si="42"/>
        <v>6.7155940145531542E-2</v>
      </c>
      <c r="P140" s="571">
        <f>Tabel6689172633[[#This Row],[Total. ch. DW 2015]]+Tabel6689172633[[#This Row],[Sew. 2015]]+Tabel6689172633[[#This Row],[WW 2015]]+Tabel6689172633[[#This Row],[Other ch. 2015]]+Tabel6689172633[[#This Row],[VAT 2015]]</f>
        <v>2.0007838719220432</v>
      </c>
      <c r="Q140" s="397"/>
      <c r="R140" s="1764"/>
      <c r="S140" s="1767"/>
      <c r="T140" s="1770"/>
      <c r="U140" s="1776"/>
      <c r="V140" s="1779"/>
      <c r="W140" s="1811"/>
      <c r="X140" s="1813"/>
      <c r="Y140" s="1815"/>
      <c r="Z140" s="1991"/>
      <c r="AA140" s="397"/>
      <c r="AB140" s="591" t="s">
        <v>429</v>
      </c>
      <c r="AC140" s="614"/>
      <c r="AD140" s="614"/>
      <c r="AE140" s="591" t="s">
        <v>429</v>
      </c>
      <c r="AF140" s="591" t="s">
        <v>429</v>
      </c>
      <c r="AG140" s="396"/>
      <c r="AH140" s="398"/>
      <c r="AI140" s="397"/>
    </row>
    <row r="141" spans="1:35" ht="15.75" x14ac:dyDescent="0.25">
      <c r="A141" s="2082" t="s">
        <v>39</v>
      </c>
      <c r="B141" s="1619"/>
      <c r="C141" s="1051" t="s">
        <v>494</v>
      </c>
      <c r="D141" s="2210">
        <v>5100</v>
      </c>
      <c r="E141" s="306">
        <v>8.5832200000000007</v>
      </c>
      <c r="F141" s="319">
        <f>84/E141</f>
        <v>9.7865369872844923</v>
      </c>
      <c r="G141" s="320">
        <f>1362.08/E141</f>
        <v>158.69102737667214</v>
      </c>
      <c r="H141" s="321">
        <v>0</v>
      </c>
      <c r="I141" s="313">
        <f>Tabel6689172633[[#This Row],[Fix.ch. 2015]]+Tabel6689172633[[#This Row],[Var. ch. 2015]]+Tabel6689172633[[#This Row],[Oth. ch. DW 2015]]</f>
        <v>168.47756436395662</v>
      </c>
      <c r="J141" s="322">
        <f>343.44/E141</f>
        <v>40.012955510868878</v>
      </c>
      <c r="K141" s="323">
        <v>0</v>
      </c>
      <c r="L141" s="323"/>
      <c r="M141" s="324">
        <v>0</v>
      </c>
      <c r="N141" s="1257">
        <f>Tabel6689172633[[#This Row],[Sew. 2015]]+Tabel6689172633[[#This Row],[WW 2015]]+Tabel6689172633[[#This Row],[Other ch. 2015]]</f>
        <v>40.012955510868878</v>
      </c>
      <c r="O141" s="1258">
        <f>125.27/E141</f>
        <v>14.594755814251526</v>
      </c>
      <c r="P141" s="318">
        <f>Tabel6689172633[[#This Row],[Total. ch. DW 2015]]+Tabel6689172633[[#This Row],[Sew. 2015]]+Tabel6689172633[[#This Row],[WW 2015]]+Tabel6689172633[[#This Row],[Other ch. 2015]]+Tabel6689172633[[#This Row],[VAT 2015]]</f>
        <v>223.08527568907704</v>
      </c>
      <c r="Q141" s="397"/>
      <c r="R141" s="2211">
        <f t="shared" ref="R141:W141" si="43">SUM(F141:F145)/5</f>
        <v>9.38109474066842</v>
      </c>
      <c r="S141" s="2212">
        <f t="shared" si="43"/>
        <v>129.00333441295922</v>
      </c>
      <c r="T141" s="2213">
        <f t="shared" si="43"/>
        <v>0</v>
      </c>
      <c r="U141" s="2214">
        <f t="shared" si="43"/>
        <v>138.38442915362765</v>
      </c>
      <c r="V141" s="2215">
        <f t="shared" si="43"/>
        <v>34.621971707587591</v>
      </c>
      <c r="W141" s="2216">
        <f t="shared" si="43"/>
        <v>0</v>
      </c>
      <c r="X141" s="2217">
        <f>SUM(M141:M145)/5</f>
        <v>0</v>
      </c>
      <c r="Y141" s="2218">
        <f t="shared" ref="Y141:Z141" si="44">SUM(O141:O145)/5</f>
        <v>12.110373496193734</v>
      </c>
      <c r="Z141" s="2219">
        <f t="shared" si="44"/>
        <v>185.11677435740899</v>
      </c>
      <c r="AA141" s="397"/>
      <c r="AB141" s="398"/>
      <c r="AC141" s="398"/>
      <c r="AD141" s="398"/>
      <c r="AE141" s="396" t="s">
        <v>429</v>
      </c>
      <c r="AF141" s="398"/>
      <c r="AG141" s="398"/>
      <c r="AH141" s="398"/>
      <c r="AI141" s="397"/>
    </row>
    <row r="142" spans="1:35" ht="15.75" x14ac:dyDescent="0.25">
      <c r="A142" s="2083"/>
      <c r="B142" s="1619"/>
      <c r="C142" s="1291" t="s">
        <v>495</v>
      </c>
      <c r="D142" s="2157"/>
      <c r="E142" s="306">
        <v>8.5832200000000007</v>
      </c>
      <c r="F142" s="319">
        <f>102.6/E142</f>
        <v>11.953555891611771</v>
      </c>
      <c r="G142" s="320">
        <f>1117.04/E142</f>
        <v>130.1423009080508</v>
      </c>
      <c r="H142" s="321">
        <v>0</v>
      </c>
      <c r="I142" s="313">
        <f>Tabel6689172633[[#This Row],[Fix.ch. 2015]]+Tabel6689172633[[#This Row],[Var. ch. 2015]]+Tabel6689172633[[#This Row],[Oth. ch. DW 2015]]</f>
        <v>142.09585679966256</v>
      </c>
      <c r="J142" s="322">
        <f>328.8/E142</f>
        <v>38.307301921656439</v>
      </c>
      <c r="K142" s="323">
        <v>0</v>
      </c>
      <c r="L142" s="323"/>
      <c r="M142" s="324">
        <v>0</v>
      </c>
      <c r="N142" s="1257">
        <f>Tabel6689172633[[#This Row],[Sew. 2015]]+Tabel6689172633[[#This Row],[WW 2015]]+Tabel6689172633[[#This Row],[Other ch. 2015]]</f>
        <v>38.307301921656439</v>
      </c>
      <c r="O142" s="1258">
        <f>108.39/E142</f>
        <v>12.628127905378166</v>
      </c>
      <c r="P142" s="318">
        <f>Tabel6689172633[[#This Row],[Total. ch. DW 2015]]+Tabel6689172633[[#This Row],[Sew. 2015]]+Tabel6689172633[[#This Row],[WW 2015]]+Tabel6689172633[[#This Row],[Other ch. 2015]]+Tabel6689172633[[#This Row],[VAT 2015]]</f>
        <v>193.03128662669715</v>
      </c>
      <c r="Q142" s="397"/>
      <c r="R142" s="2158"/>
      <c r="S142" s="2159"/>
      <c r="T142" s="2160"/>
      <c r="U142" s="2141"/>
      <c r="V142" s="2142"/>
      <c r="W142" s="2143"/>
      <c r="X142" s="2144"/>
      <c r="Y142" s="2145"/>
      <c r="Z142" s="2146"/>
      <c r="AA142" s="397"/>
      <c r="AB142" s="398"/>
      <c r="AC142" s="398"/>
      <c r="AD142" s="398"/>
      <c r="AE142" s="396" t="s">
        <v>429</v>
      </c>
      <c r="AF142" s="398"/>
      <c r="AG142" s="398"/>
      <c r="AH142" s="398"/>
      <c r="AI142" s="397"/>
    </row>
    <row r="143" spans="1:35" ht="15.75" x14ac:dyDescent="0.25">
      <c r="A143" s="2083"/>
      <c r="B143" s="1619"/>
      <c r="C143" s="1291" t="s">
        <v>496</v>
      </c>
      <c r="D143" s="2157"/>
      <c r="E143" s="306">
        <v>8.5832200000000007</v>
      </c>
      <c r="F143" s="319">
        <f>72/E143</f>
        <v>8.3884602748152783</v>
      </c>
      <c r="G143" s="320">
        <f>1045.2/E143</f>
        <v>121.77248165606846</v>
      </c>
      <c r="H143" s="321">
        <v>0</v>
      </c>
      <c r="I143" s="313">
        <f>Tabel6689172633[[#This Row],[Fix.ch. 2015]]+Tabel6689172633[[#This Row],[Var. ch. 2015]]+Tabel6689172633[[#This Row],[Oth. ch. DW 2015]]</f>
        <v>130.16094193088375</v>
      </c>
      <c r="J143" s="322">
        <f>223.4/E143</f>
        <v>26.027528130468518</v>
      </c>
      <c r="K143" s="323">
        <v>0</v>
      </c>
      <c r="L143" s="323"/>
      <c r="M143" s="324">
        <v>0</v>
      </c>
      <c r="N143" s="1257">
        <f>Tabel6689172633[[#This Row],[Sew. 2015]]+Tabel6689172633[[#This Row],[WW 2015]]+Tabel6689172633[[#This Row],[Other ch. 2015]]</f>
        <v>26.027528130468518</v>
      </c>
      <c r="O143" s="1258">
        <f>93.84/E143</f>
        <v>10.932959891509247</v>
      </c>
      <c r="P143" s="318">
        <f>Tabel6689172633[[#This Row],[Total. ch. DW 2015]]+Tabel6689172633[[#This Row],[Sew. 2015]]+Tabel6689172633[[#This Row],[WW 2015]]+Tabel6689172633[[#This Row],[Other ch. 2015]]+Tabel6689172633[[#This Row],[VAT 2015]]</f>
        <v>167.12142995286152</v>
      </c>
      <c r="Q143" s="397"/>
      <c r="R143" s="2158"/>
      <c r="S143" s="2159"/>
      <c r="T143" s="2160"/>
      <c r="U143" s="2141"/>
      <c r="V143" s="2142"/>
      <c r="W143" s="2143"/>
      <c r="X143" s="2144"/>
      <c r="Y143" s="2145"/>
      <c r="Z143" s="2146"/>
      <c r="AA143" s="397"/>
      <c r="AB143" s="398"/>
      <c r="AC143" s="398"/>
      <c r="AD143" s="398"/>
      <c r="AE143" s="396" t="s">
        <v>429</v>
      </c>
      <c r="AF143" s="398"/>
      <c r="AG143" s="398"/>
      <c r="AH143" s="398"/>
      <c r="AI143" s="397"/>
    </row>
    <row r="144" spans="1:35" ht="15.75" x14ac:dyDescent="0.25">
      <c r="A144" s="2083"/>
      <c r="B144" s="1619"/>
      <c r="C144" s="1291" t="s">
        <v>497</v>
      </c>
      <c r="D144" s="2157"/>
      <c r="E144" s="306">
        <v>8.5832200000000007</v>
      </c>
      <c r="F144" s="319">
        <f>72/E144</f>
        <v>8.3884602748152783</v>
      </c>
      <c r="G144" s="320">
        <f>1074.24/E144</f>
        <v>125.15582730024396</v>
      </c>
      <c r="H144" s="321">
        <v>0</v>
      </c>
      <c r="I144" s="313">
        <f>Tabel6689172633[[#This Row],[Fix.ch. 2015]]+Tabel6689172633[[#This Row],[Var. ch. 2015]]+Tabel6689172633[[#This Row],[Oth. ch. DW 2015]]</f>
        <v>133.54428757505923</v>
      </c>
      <c r="J144" s="322">
        <f>233.08/E144</f>
        <v>27.155310011860351</v>
      </c>
      <c r="K144" s="323">
        <v>0</v>
      </c>
      <c r="L144" s="323"/>
      <c r="M144" s="324">
        <v>0</v>
      </c>
      <c r="N144" s="1257">
        <f>Tabel6689172633[[#This Row],[Sew. 2015]]+Tabel6689172633[[#This Row],[WW 2015]]+Tabel6689172633[[#This Row],[Other ch. 2015]]</f>
        <v>27.155310011860351</v>
      </c>
      <c r="O144" s="1258">
        <f>96.55/E144</f>
        <v>11.248692215741876</v>
      </c>
      <c r="P144" s="318">
        <f>Tabel6689172633[[#This Row],[Total. ch. DW 2015]]+Tabel6689172633[[#This Row],[Sew. 2015]]+Tabel6689172633[[#This Row],[WW 2015]]+Tabel6689172633[[#This Row],[Other ch. 2015]]+Tabel6689172633[[#This Row],[VAT 2015]]</f>
        <v>171.94828980266146</v>
      </c>
      <c r="Q144" s="397"/>
      <c r="R144" s="2158"/>
      <c r="S144" s="2159"/>
      <c r="T144" s="2160"/>
      <c r="U144" s="2141"/>
      <c r="V144" s="2142"/>
      <c r="W144" s="2143"/>
      <c r="X144" s="2144"/>
      <c r="Y144" s="2145"/>
      <c r="Z144" s="2146"/>
      <c r="AA144" s="397"/>
      <c r="AB144" s="398"/>
      <c r="AC144" s="398"/>
      <c r="AD144" s="398"/>
      <c r="AE144" s="396" t="s">
        <v>429</v>
      </c>
      <c r="AF144" s="398"/>
      <c r="AG144" s="398"/>
      <c r="AH144" s="398"/>
      <c r="AI144" s="397"/>
    </row>
    <row r="145" spans="1:35" ht="16.5" thickBot="1" x14ac:dyDescent="0.3">
      <c r="A145" s="2084"/>
      <c r="B145" s="1619"/>
      <c r="C145" s="1052" t="s">
        <v>498</v>
      </c>
      <c r="D145" s="2221"/>
      <c r="E145" s="306">
        <v>8.5832200000000007</v>
      </c>
      <c r="F145" s="319">
        <f>72/E145</f>
        <v>8.3884602748152783</v>
      </c>
      <c r="G145" s="320">
        <f>937.76/E145</f>
        <v>109.25503482376077</v>
      </c>
      <c r="H145" s="321">
        <v>0</v>
      </c>
      <c r="I145" s="313">
        <f>Tabel6689172633[[#This Row],[Fix.ch. 2015]]+Tabel6689172633[[#This Row],[Var. ch. 2015]]+Tabel6689172633[[#This Row],[Oth. ch. DW 2015]]</f>
        <v>117.64349509857604</v>
      </c>
      <c r="J145" s="322">
        <f>357.12/E145</f>
        <v>41.606762963083781</v>
      </c>
      <c r="K145" s="323">
        <v>0</v>
      </c>
      <c r="L145" s="323"/>
      <c r="M145" s="324">
        <v>0</v>
      </c>
      <c r="N145" s="1257">
        <f>Tabel6689172633[[#This Row],[Sew. 2015]]+Tabel6689172633[[#This Row],[WW 2015]]+Tabel6689172633[[#This Row],[Other ch. 2015]]</f>
        <v>41.606762963083781</v>
      </c>
      <c r="O145" s="1258">
        <f>95.68/E145</f>
        <v>11.147331654087859</v>
      </c>
      <c r="P145" s="318">
        <f>Tabel6689172633[[#This Row],[Total. ch. DW 2015]]+Tabel6689172633[[#This Row],[Sew. 2015]]+Tabel6689172633[[#This Row],[WW 2015]]+Tabel6689172633[[#This Row],[Other ch. 2015]]+Tabel6689172633[[#This Row],[VAT 2015]]</f>
        <v>170.39758971574767</v>
      </c>
      <c r="Q145" s="397"/>
      <c r="R145" s="2223"/>
      <c r="S145" s="2225"/>
      <c r="T145" s="2227"/>
      <c r="U145" s="2234"/>
      <c r="V145" s="2236"/>
      <c r="W145" s="2238"/>
      <c r="X145" s="2240"/>
      <c r="Y145" s="2242"/>
      <c r="Z145" s="2244"/>
      <c r="AA145" s="397"/>
      <c r="AB145" s="398"/>
      <c r="AC145" s="398"/>
      <c r="AD145" s="398"/>
      <c r="AE145" s="396" t="s">
        <v>429</v>
      </c>
      <c r="AF145" s="398"/>
      <c r="AG145" s="398"/>
      <c r="AH145" s="398"/>
      <c r="AI145" s="397"/>
    </row>
    <row r="146" spans="1:35" ht="19.5" thickBot="1" x14ac:dyDescent="0.3">
      <c r="A146" s="1144" t="s">
        <v>734</v>
      </c>
      <c r="B146" s="1213"/>
      <c r="C146" s="751" t="s">
        <v>735</v>
      </c>
      <c r="D146" s="1159">
        <v>11300</v>
      </c>
      <c r="E146" s="616">
        <f>'[1]exchange rates'!M42</f>
        <v>15.682219999999999</v>
      </c>
      <c r="F146" s="319"/>
      <c r="G146" s="320"/>
      <c r="H146" s="321"/>
      <c r="I146" s="313">
        <f>Tabel6689172633[[#This Row],[Fix.ch. 2015]]+Tabel6689172633[[#This Row],[Var. ch. 2015]]+Tabel6689172633[[#This Row],[Oth. ch. DW 2015]]</f>
        <v>0</v>
      </c>
      <c r="J146" s="322"/>
      <c r="K146" s="323"/>
      <c r="L146" s="323"/>
      <c r="M146" s="324"/>
      <c r="N146" s="1257">
        <f>Tabel6689172633[[#This Row],[Sew. 2015]]+Tabel6689172633[[#This Row],[WW 2015]]+Tabel6689172633[[#This Row],[Other ch. 2015]]</f>
        <v>0</v>
      </c>
      <c r="O146" s="1258"/>
      <c r="P146" s="318">
        <f>Tabel6689172633[[#This Row],[Total. ch. DW 2015]]+Tabel6689172633[[#This Row],[Sew. 2015]]+Tabel6689172633[[#This Row],[WW 2015]]+Tabel6689172633[[#This Row],[Other ch. 2015]]+Tabel6689172633[[#This Row],[VAT 2015]]</f>
        <v>0</v>
      </c>
      <c r="Q146" s="397"/>
      <c r="R146" s="1147"/>
      <c r="S146" s="1148"/>
      <c r="T146" s="1149"/>
      <c r="U146" s="1150"/>
      <c r="V146" s="1151"/>
      <c r="W146" s="1152"/>
      <c r="X146" s="1153"/>
      <c r="Y146" s="1154"/>
      <c r="Z146" s="1155"/>
      <c r="AA146" s="397"/>
      <c r="AB146" s="398"/>
      <c r="AC146" s="398"/>
      <c r="AD146" s="398"/>
      <c r="AE146" s="396"/>
      <c r="AF146" s="398"/>
      <c r="AG146" s="398"/>
      <c r="AH146" s="398"/>
      <c r="AI146" s="397"/>
    </row>
    <row r="147" spans="1:35" ht="15.75" customHeight="1" x14ac:dyDescent="0.25">
      <c r="A147" s="2078" t="s">
        <v>20</v>
      </c>
      <c r="B147" s="1213"/>
      <c r="C147" s="727" t="s">
        <v>182</v>
      </c>
      <c r="D147" s="1759">
        <v>49300</v>
      </c>
      <c r="E147" s="616">
        <f>'[1]exchange rates'!$M$43</f>
        <v>0.92093999999999998</v>
      </c>
      <c r="F147" s="549">
        <f>42.15/E147</f>
        <v>45.76845397094273</v>
      </c>
      <c r="G147" s="550">
        <f>248/E147</f>
        <v>269.29007318609246</v>
      </c>
      <c r="H147" s="551">
        <v>0</v>
      </c>
      <c r="I147" s="566">
        <f>Tabel6689172633[[#This Row],[Fix.ch. 2015]]+Tabel6689172633[[#This Row],[Var. ch. 2015]]+Tabel6689172633[[#This Row],[Oth. ch. DW 2015]]</f>
        <v>315.0585271570352</v>
      </c>
      <c r="J147" s="567">
        <f>149/E147</f>
        <v>161.79121332551523</v>
      </c>
      <c r="K147" s="323">
        <f>165/E147</f>
        <v>179.16476643429539</v>
      </c>
      <c r="L147" s="323"/>
      <c r="M147" s="569">
        <f>66.6/E147</f>
        <v>72.317414815297411</v>
      </c>
      <c r="N147" s="1270">
        <f>Tabel6689172633[[#This Row],[Sew. 2015]]+Tabel6689172633[[#This Row],[WW 2015]]+Tabel6689172633[[#This Row],[Other ch. 2015]]</f>
        <v>413.273394575108</v>
      </c>
      <c r="O147" s="1271">
        <f>21.41/E147</f>
        <v>23.24798575368645</v>
      </c>
      <c r="P147" s="571">
        <f>Tabel6689172633[[#This Row],[Total. ch. DW 2015]]+Tabel6689172633[[#This Row],[Sew. 2015]]+Tabel6689172633[[#This Row],[WW 2015]]+Tabel6689172633[[#This Row],[Other ch. 2015]]+Tabel6689172633[[#This Row],[VAT 2015]]</f>
        <v>751.57990748582961</v>
      </c>
      <c r="Q147" s="397"/>
      <c r="R147" s="2258">
        <f t="shared" ref="R147:W147" si="45">SUM(F147:F151)/5</f>
        <v>60.488196842356714</v>
      </c>
      <c r="S147" s="1765">
        <f t="shared" si="45"/>
        <v>189.17627641322994</v>
      </c>
      <c r="T147" s="1768">
        <f t="shared" si="45"/>
        <v>5.8961495862922657</v>
      </c>
      <c r="U147" s="1774">
        <f t="shared" si="45"/>
        <v>255.56062284187891</v>
      </c>
      <c r="V147" s="1777">
        <f t="shared" si="45"/>
        <v>218.90676917063001</v>
      </c>
      <c r="W147" s="1810">
        <f t="shared" si="45"/>
        <v>197.62416661237432</v>
      </c>
      <c r="X147" s="1812">
        <f>SUM(M147:M151)/5</f>
        <v>72.317414815297411</v>
      </c>
      <c r="Y147" s="1814">
        <f t="shared" ref="Y147:Z147" si="46">SUM(O147:O151)/5</f>
        <v>19.321562751102132</v>
      </c>
      <c r="Z147" s="1793">
        <f t="shared" si="46"/>
        <v>763.73053619128291</v>
      </c>
      <c r="AA147" s="397"/>
      <c r="AB147" s="591" t="s">
        <v>429</v>
      </c>
      <c r="AC147" s="591" t="s">
        <v>429</v>
      </c>
      <c r="AD147" s="396"/>
      <c r="AE147" s="396"/>
      <c r="AF147" s="591" t="s">
        <v>429</v>
      </c>
      <c r="AG147" s="396"/>
      <c r="AH147" s="712" t="s">
        <v>1350</v>
      </c>
      <c r="AI147" s="397"/>
    </row>
    <row r="148" spans="1:35" ht="15.75" customHeight="1" x14ac:dyDescent="0.25">
      <c r="A148" s="2079"/>
      <c r="B148" s="1213"/>
      <c r="C148" s="727" t="s">
        <v>183</v>
      </c>
      <c r="D148" s="1880"/>
      <c r="E148" s="616">
        <f>'[1]exchange rates'!$M$43</f>
        <v>0.92093999999999998</v>
      </c>
      <c r="F148" s="549">
        <f>59.76/E148</f>
        <v>64.890220861293898</v>
      </c>
      <c r="G148" s="550">
        <f>182.8/E148</f>
        <v>198.49284426781333</v>
      </c>
      <c r="H148" s="551">
        <f>8.45/E148</f>
        <v>9.1754077355745203</v>
      </c>
      <c r="I148" s="566">
        <f>Tabel6689172633[[#This Row],[Fix.ch. 2015]]+Tabel6689172633[[#This Row],[Var. ch. 2015]]+Tabel6689172633[[#This Row],[Oth. ch. DW 2015]]</f>
        <v>272.55847286468173</v>
      </c>
      <c r="J148" s="567">
        <f>351/E148</f>
        <v>381.13232132386474</v>
      </c>
      <c r="K148" s="323">
        <f>190/E148</f>
        <v>206.31094316676439</v>
      </c>
      <c r="L148" s="323"/>
      <c r="M148" s="569">
        <f>66.6/E148</f>
        <v>72.317414815297411</v>
      </c>
      <c r="N148" s="1270">
        <f>Tabel6689172633[[#This Row],[Sew. 2015]]+Tabel6689172633[[#This Row],[WW 2015]]+Tabel6689172633[[#This Row],[Other ch. 2015]]</f>
        <v>659.7606793059266</v>
      </c>
      <c r="O148" s="1271">
        <f>18.55/E148</f>
        <v>20.142463135491997</v>
      </c>
      <c r="P148" s="571">
        <f>Tabel6689172633[[#This Row],[Total. ch. DW 2015]]+Tabel6689172633[[#This Row],[Sew. 2015]]+Tabel6689172633[[#This Row],[WW 2015]]+Tabel6689172633[[#This Row],[Other ch. 2015]]+Tabel6689172633[[#This Row],[VAT 2015]]</f>
        <v>952.46161530610038</v>
      </c>
      <c r="Q148" s="397"/>
      <c r="R148" s="2269"/>
      <c r="S148" s="1888"/>
      <c r="T148" s="1890"/>
      <c r="U148" s="1892"/>
      <c r="V148" s="1894"/>
      <c r="W148" s="1911"/>
      <c r="X148" s="1913"/>
      <c r="Y148" s="1915"/>
      <c r="Z148" s="1832"/>
      <c r="AA148" s="397"/>
      <c r="AB148" s="591" t="s">
        <v>429</v>
      </c>
      <c r="AC148" s="591" t="s">
        <v>429</v>
      </c>
      <c r="AD148" s="396"/>
      <c r="AE148" s="396"/>
      <c r="AF148" s="591" t="s">
        <v>429</v>
      </c>
      <c r="AG148" s="396"/>
      <c r="AH148" s="712" t="s">
        <v>1350</v>
      </c>
      <c r="AI148" s="397"/>
    </row>
    <row r="149" spans="1:35" ht="15.75" customHeight="1" x14ac:dyDescent="0.25">
      <c r="A149" s="2079"/>
      <c r="B149" s="1213"/>
      <c r="C149" s="727" t="s">
        <v>184</v>
      </c>
      <c r="D149" s="1880"/>
      <c r="E149" s="616">
        <f>'[1]exchange rates'!$M$43</f>
        <v>0.92093999999999998</v>
      </c>
      <c r="F149" s="549">
        <f>61.18/E149</f>
        <v>66.432123699698138</v>
      </c>
      <c r="G149" s="550">
        <f>212/E149</f>
        <v>230.19957869133711</v>
      </c>
      <c r="H149" s="551">
        <f>18.7/E149</f>
        <v>20.30534019588681</v>
      </c>
      <c r="I149" s="566">
        <f>Tabel6689172633[[#This Row],[Fix.ch. 2015]]+Tabel6689172633[[#This Row],[Var. ch. 2015]]+Tabel6689172633[[#This Row],[Oth. ch. DW 2015]]</f>
        <v>316.93704258692202</v>
      </c>
      <c r="J149" s="567">
        <f>133/E149</f>
        <v>144.41766021673507</v>
      </c>
      <c r="K149" s="323">
        <f>255/E149</f>
        <v>276.8910026711838</v>
      </c>
      <c r="L149" s="323"/>
      <c r="M149" s="569">
        <f>66.6/E149</f>
        <v>72.317414815297411</v>
      </c>
      <c r="N149" s="1270">
        <f>Tabel6689172633[[#This Row],[Sew. 2015]]+Tabel6689172633[[#This Row],[WW 2015]]+Tabel6689172633[[#This Row],[Other ch. 2015]]</f>
        <v>493.62607770321631</v>
      </c>
      <c r="O149" s="1271">
        <f>20.39/E149</f>
        <v>22.140421743001717</v>
      </c>
      <c r="P149" s="571">
        <f>Tabel6689172633[[#This Row],[Total. ch. DW 2015]]+Tabel6689172633[[#This Row],[Sew. 2015]]+Tabel6689172633[[#This Row],[WW 2015]]+Tabel6689172633[[#This Row],[Other ch. 2015]]+Tabel6689172633[[#This Row],[VAT 2015]]</f>
        <v>832.70354203314002</v>
      </c>
      <c r="Q149" s="397"/>
      <c r="R149" s="2269"/>
      <c r="S149" s="1888"/>
      <c r="T149" s="1890"/>
      <c r="U149" s="1892"/>
      <c r="V149" s="1894"/>
      <c r="W149" s="1911"/>
      <c r="X149" s="1913"/>
      <c r="Y149" s="1915"/>
      <c r="Z149" s="1832"/>
      <c r="AA149" s="397"/>
      <c r="AB149" s="614"/>
      <c r="AC149" s="591" t="s">
        <v>429</v>
      </c>
      <c r="AD149" s="396"/>
      <c r="AE149" s="396"/>
      <c r="AF149" s="591" t="s">
        <v>429</v>
      </c>
      <c r="AG149" s="396"/>
      <c r="AH149" s="712" t="s">
        <v>1350</v>
      </c>
      <c r="AI149" s="397"/>
    </row>
    <row r="150" spans="1:35" ht="15.75" customHeight="1" x14ac:dyDescent="0.25">
      <c r="A150" s="2079"/>
      <c r="B150" s="1213"/>
      <c r="C150" s="727" t="s">
        <v>185</v>
      </c>
      <c r="D150" s="1880"/>
      <c r="E150" s="616">
        <f>'[1]exchange rates'!$M$43</f>
        <v>0.92093999999999998</v>
      </c>
      <c r="F150" s="549">
        <f>45/E150</f>
        <v>48.863118118444199</v>
      </c>
      <c r="G150" s="550">
        <f>136/E150</f>
        <v>147.67520142463135</v>
      </c>
      <c r="H150" s="551">
        <v>0</v>
      </c>
      <c r="I150" s="566">
        <f>Tabel6689172633[[#This Row],[Fix.ch. 2015]]+Tabel6689172633[[#This Row],[Var. ch. 2015]]+Tabel6689172633[[#This Row],[Oth. ch. DW 2015]]</f>
        <v>196.53831954307554</v>
      </c>
      <c r="J150" s="567">
        <f>231/E150</f>
        <v>250.83067300801355</v>
      </c>
      <c r="K150" s="323">
        <f>165/E150</f>
        <v>179.16476643429539</v>
      </c>
      <c r="L150" s="323"/>
      <c r="M150" s="569">
        <f>66.6/E150</f>
        <v>72.317414815297411</v>
      </c>
      <c r="N150" s="1270">
        <f>Tabel6689172633[[#This Row],[Sew. 2015]]+Tabel6689172633[[#This Row],[WW 2015]]+Tabel6689172633[[#This Row],[Other ch. 2015]]</f>
        <v>502.31285425760632</v>
      </c>
      <c r="O150" s="1271">
        <f>14.86/E150</f>
        <v>16.135687449779574</v>
      </c>
      <c r="P150" s="571">
        <f>Tabel6689172633[[#This Row],[Total. ch. DW 2015]]+Tabel6689172633[[#This Row],[Sew. 2015]]+Tabel6689172633[[#This Row],[WW 2015]]+Tabel6689172633[[#This Row],[Other ch. 2015]]+Tabel6689172633[[#This Row],[VAT 2015]]</f>
        <v>714.9868612504614</v>
      </c>
      <c r="Q150" s="397"/>
      <c r="R150" s="2269"/>
      <c r="S150" s="1888"/>
      <c r="T150" s="1890"/>
      <c r="U150" s="1892"/>
      <c r="V150" s="1894"/>
      <c r="W150" s="1911"/>
      <c r="X150" s="1913"/>
      <c r="Y150" s="1915"/>
      <c r="Z150" s="1832"/>
      <c r="AA150" s="397"/>
      <c r="AB150" s="614"/>
      <c r="AC150" s="591" t="s">
        <v>429</v>
      </c>
      <c r="AD150" s="396"/>
      <c r="AE150" s="396"/>
      <c r="AF150" s="591" t="s">
        <v>429</v>
      </c>
      <c r="AG150" s="396"/>
      <c r="AH150" s="712" t="s">
        <v>1350</v>
      </c>
      <c r="AI150" s="397"/>
    </row>
    <row r="151" spans="1:35" ht="16.5" customHeight="1" x14ac:dyDescent="0.25">
      <c r="A151" s="2079"/>
      <c r="B151" s="1213"/>
      <c r="C151" s="727" t="s">
        <v>186</v>
      </c>
      <c r="D151" s="1880"/>
      <c r="E151" s="616">
        <f>'[1]exchange rates'!$M$43</f>
        <v>0.92093999999999998</v>
      </c>
      <c r="F151" s="549">
        <f>70.44/E151</f>
        <v>76.487067561404658</v>
      </c>
      <c r="G151" s="550">
        <f>92.3/E151</f>
        <v>100.22368449627554</v>
      </c>
      <c r="H151" s="551">
        <v>0</v>
      </c>
      <c r="I151" s="566">
        <f>Tabel6689172633[[#This Row],[Fix.ch. 2015]]+Tabel6689172633[[#This Row],[Var. ch. 2015]]+Tabel6689172633[[#This Row],[Oth. ch. DW 2015]]</f>
        <v>176.7107520576802</v>
      </c>
      <c r="J151" s="567">
        <f>144/E151</f>
        <v>156.36197797902145</v>
      </c>
      <c r="K151" s="323">
        <f>135/E151</f>
        <v>146.5893543553326</v>
      </c>
      <c r="L151" s="323"/>
      <c r="M151" s="569">
        <f>66.6/E151</f>
        <v>72.317414815297411</v>
      </c>
      <c r="N151" s="1270">
        <f>Tabel6689172633[[#This Row],[Sew. 2015]]+Tabel6689172633[[#This Row],[WW 2015]]+Tabel6689172633[[#This Row],[Other ch. 2015]]</f>
        <v>375.26874714965146</v>
      </c>
      <c r="O151" s="1271">
        <f>13.76/E151</f>
        <v>14.941255673550938</v>
      </c>
      <c r="P151" s="571">
        <f>Tabel6689172633[[#This Row],[Total. ch. DW 2015]]+Tabel6689172633[[#This Row],[Sew. 2015]]+Tabel6689172633[[#This Row],[WW 2015]]+Tabel6689172633[[#This Row],[Other ch. 2015]]+Tabel6689172633[[#This Row],[VAT 2015]]</f>
        <v>566.92075488088255</v>
      </c>
      <c r="Q151" s="397"/>
      <c r="R151" s="2269"/>
      <c r="S151" s="1888"/>
      <c r="T151" s="1890"/>
      <c r="U151" s="1892"/>
      <c r="V151" s="1894"/>
      <c r="W151" s="1911"/>
      <c r="X151" s="1913"/>
      <c r="Y151" s="1915"/>
      <c r="Z151" s="1832"/>
      <c r="AA151" s="397"/>
      <c r="AB151" s="614"/>
      <c r="AC151" s="591" t="s">
        <v>429</v>
      </c>
      <c r="AD151" s="396"/>
      <c r="AE151" s="396"/>
      <c r="AF151" s="591" t="s">
        <v>429</v>
      </c>
      <c r="AG151" s="396"/>
      <c r="AH151" s="712" t="s">
        <v>1350</v>
      </c>
      <c r="AI151" s="397"/>
    </row>
    <row r="152" spans="1:35" ht="16.5" customHeight="1" thickBot="1" x14ac:dyDescent="0.3">
      <c r="A152" s="2268"/>
      <c r="B152" s="1213"/>
      <c r="C152" s="1289" t="s">
        <v>187</v>
      </c>
      <c r="D152" s="1761"/>
      <c r="E152" s="616">
        <f>'[1]exchange rates'!$M$43</f>
        <v>0.92093999999999998</v>
      </c>
      <c r="F152" s="319"/>
      <c r="G152" s="320"/>
      <c r="H152" s="321"/>
      <c r="I152" s="313">
        <f>Tabel6689172633[[#This Row],[Fix.ch. 2015]]+Tabel6689172633[[#This Row],[Var. ch. 2015]]+Tabel6689172633[[#This Row],[Oth. ch. DW 2015]]</f>
        <v>0</v>
      </c>
      <c r="J152" s="322"/>
      <c r="K152" s="323"/>
      <c r="L152" s="323"/>
      <c r="M152" s="324"/>
      <c r="N152" s="1257">
        <f>Tabel6689172633[[#This Row],[Sew. 2015]]+Tabel6689172633[[#This Row],[WW 2015]]+Tabel6689172633[[#This Row],[Other ch. 2015]]</f>
        <v>0</v>
      </c>
      <c r="O152" s="1258"/>
      <c r="P152" s="318">
        <f>Tabel6689172633[[#This Row],[Total. ch. DW 2015]]+Tabel6689172633[[#This Row],[Sew. 2015]]+Tabel6689172633[[#This Row],[WW 2015]]+Tabel6689172633[[#This Row],[Other ch. 2015]]+Tabel6689172633[[#This Row],[VAT 2015]]</f>
        <v>0</v>
      </c>
      <c r="Q152" s="397"/>
      <c r="R152" s="2270"/>
      <c r="S152" s="1767"/>
      <c r="T152" s="1770"/>
      <c r="U152" s="1776"/>
      <c r="V152" s="1779"/>
      <c r="W152" s="1811"/>
      <c r="X152" s="1813"/>
      <c r="Y152" s="1815"/>
      <c r="Z152" s="1794"/>
      <c r="AA152" s="397"/>
      <c r="AB152" s="398"/>
      <c r="AC152" s="396" t="s">
        <v>429</v>
      </c>
      <c r="AD152" s="396"/>
      <c r="AE152" s="396"/>
      <c r="AF152" s="396" t="s">
        <v>429</v>
      </c>
      <c r="AG152" s="398"/>
      <c r="AH152" s="1292" t="s">
        <v>1350</v>
      </c>
      <c r="AI152" s="397"/>
    </row>
    <row r="153" spans="1:35" ht="15.75" x14ac:dyDescent="0.25">
      <c r="A153" s="2004" t="s">
        <v>527</v>
      </c>
      <c r="B153" s="1617"/>
      <c r="C153" s="809" t="s">
        <v>528</v>
      </c>
      <c r="D153" s="2210">
        <v>27900</v>
      </c>
      <c r="E153" s="306">
        <v>1.28559</v>
      </c>
      <c r="F153" s="319">
        <f>125/E153</f>
        <v>97.231621278945852</v>
      </c>
      <c r="G153" s="320">
        <v>0</v>
      </c>
      <c r="H153" s="321">
        <f>220/E153</f>
        <v>171.12765345094471</v>
      </c>
      <c r="I153" s="313">
        <f>Tabel6689172633[[#This Row],[Fix.ch. 2015]]+Tabel6689172633[[#This Row],[Var. ch. 2015]]+Tabel6689172633[[#This Row],[Oth. ch. DW 2015]]</f>
        <v>268.35927472989056</v>
      </c>
      <c r="J153" s="322">
        <v>0</v>
      </c>
      <c r="K153" s="323">
        <f>280/E153</f>
        <v>217.7988316648387</v>
      </c>
      <c r="L153" s="323"/>
      <c r="M153" s="324">
        <v>0</v>
      </c>
      <c r="N153" s="1257">
        <f>Tabel6689172633[[#This Row],[Sew. 2015]]+Tabel6689172633[[#This Row],[WW 2015]]+Tabel6689172633[[#This Row],[Other ch. 2015]]</f>
        <v>217.7988316648387</v>
      </c>
      <c r="O153" s="1258">
        <v>0</v>
      </c>
      <c r="P153" s="318">
        <f>Tabel6689172633[[#This Row],[Total. ch. DW 2015]]+Tabel6689172633[[#This Row],[Sew. 2015]]+Tabel6689172633[[#This Row],[WW 2015]]+Tabel6689172633[[#This Row],[Other ch. 2015]]+Tabel6689172633[[#This Row],[VAT 2015]]</f>
        <v>486.15810639472926</v>
      </c>
      <c r="Q153" s="397"/>
      <c r="R153" s="2211">
        <f t="shared" ref="R153:W153" si="47">SUM(F153:F157)/5</f>
        <v>118.23365147519814</v>
      </c>
      <c r="S153" s="2212">
        <f t="shared" si="47"/>
        <v>98.009474249177416</v>
      </c>
      <c r="T153" s="2213">
        <f t="shared" si="47"/>
        <v>34.22553069018894</v>
      </c>
      <c r="U153" s="2214">
        <f t="shared" si="47"/>
        <v>250.46865641456452</v>
      </c>
      <c r="V153" s="2215">
        <f t="shared" si="47"/>
        <v>0</v>
      </c>
      <c r="W153" s="2216">
        <f t="shared" si="47"/>
        <v>238.80086186109102</v>
      </c>
      <c r="X153" s="2217">
        <f>SUM(M153:M157)/5</f>
        <v>0</v>
      </c>
      <c r="Y153" s="2218">
        <f t="shared" ref="Y153:Z153" si="48">SUM(O153:O157)/5</f>
        <v>0</v>
      </c>
      <c r="Z153" s="2219">
        <f t="shared" si="48"/>
        <v>489.26951827565551</v>
      </c>
      <c r="AA153" s="397"/>
      <c r="AB153" s="398"/>
      <c r="AC153" s="398"/>
      <c r="AD153" s="398"/>
      <c r="AE153" s="398"/>
      <c r="AF153" s="398"/>
      <c r="AG153" s="398"/>
      <c r="AH153" s="398"/>
      <c r="AI153" s="397"/>
    </row>
    <row r="154" spans="1:35" ht="15.75" x14ac:dyDescent="0.25">
      <c r="A154" s="2005"/>
      <c r="B154" s="1617"/>
      <c r="C154" s="1289" t="s">
        <v>529</v>
      </c>
      <c r="D154" s="2157"/>
      <c r="E154" s="306">
        <v>1.28559</v>
      </c>
      <c r="F154" s="319">
        <f>360/E154</f>
        <v>280.02706928336403</v>
      </c>
      <c r="G154" s="320">
        <v>0</v>
      </c>
      <c r="H154" s="321">
        <v>0</v>
      </c>
      <c r="I154" s="313">
        <f>Tabel6689172633[[#This Row],[Fix.ch. 2015]]+Tabel6689172633[[#This Row],[Var. ch. 2015]]+Tabel6689172633[[#This Row],[Oth. ch. DW 2015]]</f>
        <v>280.02706928336403</v>
      </c>
      <c r="J154" s="322">
        <v>0</v>
      </c>
      <c r="K154" s="323">
        <f>310/E154</f>
        <v>241.13442077178573</v>
      </c>
      <c r="L154" s="323"/>
      <c r="M154" s="324">
        <v>0</v>
      </c>
      <c r="N154" s="1257">
        <f>Tabel6689172633[[#This Row],[Sew. 2015]]+Tabel6689172633[[#This Row],[WW 2015]]+Tabel6689172633[[#This Row],[Other ch. 2015]]</f>
        <v>241.13442077178573</v>
      </c>
      <c r="O154" s="1258">
        <v>0</v>
      </c>
      <c r="P154" s="318">
        <f>Tabel6689172633[[#This Row],[Total. ch. DW 2015]]+Tabel6689172633[[#This Row],[Sew. 2015]]+Tabel6689172633[[#This Row],[WW 2015]]+Tabel6689172633[[#This Row],[Other ch. 2015]]+Tabel6689172633[[#This Row],[VAT 2015]]</f>
        <v>521.16149005514978</v>
      </c>
      <c r="Q154" s="397"/>
      <c r="R154" s="2158"/>
      <c r="S154" s="2159"/>
      <c r="T154" s="2160"/>
      <c r="U154" s="2141"/>
      <c r="V154" s="2142"/>
      <c r="W154" s="2143"/>
      <c r="X154" s="2144"/>
      <c r="Y154" s="2145"/>
      <c r="Z154" s="2146"/>
      <c r="AA154" s="397"/>
      <c r="AB154" s="398"/>
      <c r="AC154" s="398"/>
      <c r="AD154" s="398"/>
      <c r="AE154" s="398"/>
      <c r="AF154" s="398"/>
      <c r="AG154" s="398"/>
      <c r="AH154" s="398"/>
      <c r="AI154" s="397"/>
    </row>
    <row r="155" spans="1:35" ht="15.75" x14ac:dyDescent="0.25">
      <c r="A155" s="2005"/>
      <c r="B155" s="1617"/>
      <c r="C155" s="1289" t="s">
        <v>530</v>
      </c>
      <c r="D155" s="2157"/>
      <c r="E155" s="306">
        <v>1.28559</v>
      </c>
      <c r="F155" s="319">
        <f>225/E155</f>
        <v>175.01691830210254</v>
      </c>
      <c r="G155" s="320">
        <v>0</v>
      </c>
      <c r="H155" s="321">
        <v>0</v>
      </c>
      <c r="I155" s="313">
        <f>Tabel6689172633[[#This Row],[Fix.ch. 2015]]+Tabel6689172633[[#This Row],[Var. ch. 2015]]+Tabel6689172633[[#This Row],[Oth. ch. DW 2015]]</f>
        <v>175.01691830210254</v>
      </c>
      <c r="J155" s="322">
        <v>0</v>
      </c>
      <c r="K155" s="323">
        <f>125/E155</f>
        <v>97.231621278945852</v>
      </c>
      <c r="L155" s="323"/>
      <c r="M155" s="324">
        <v>0</v>
      </c>
      <c r="N155" s="1257">
        <f>Tabel6689172633[[#This Row],[Sew. 2015]]+Tabel6689172633[[#This Row],[WW 2015]]+Tabel6689172633[[#This Row],[Other ch. 2015]]</f>
        <v>97.231621278945852</v>
      </c>
      <c r="O155" s="1258">
        <v>0</v>
      </c>
      <c r="P155" s="318">
        <f>Tabel6689172633[[#This Row],[Total. ch. DW 2015]]+Tabel6689172633[[#This Row],[Sew. 2015]]+Tabel6689172633[[#This Row],[WW 2015]]+Tabel6689172633[[#This Row],[Other ch. 2015]]+Tabel6689172633[[#This Row],[VAT 2015]]</f>
        <v>272.24853958104836</v>
      </c>
      <c r="Q155" s="397"/>
      <c r="R155" s="2158"/>
      <c r="S155" s="2159"/>
      <c r="T155" s="2160"/>
      <c r="U155" s="2141"/>
      <c r="V155" s="2142"/>
      <c r="W155" s="2143"/>
      <c r="X155" s="2144"/>
      <c r="Y155" s="2145"/>
      <c r="Z155" s="2146"/>
      <c r="AA155" s="397"/>
      <c r="AB155" s="398"/>
      <c r="AC155" s="398"/>
      <c r="AD155" s="398"/>
      <c r="AE155" s="398"/>
      <c r="AF155" s="398"/>
      <c r="AG155" s="398"/>
      <c r="AH155" s="398"/>
      <c r="AI155" s="397"/>
    </row>
    <row r="156" spans="1:35" ht="15.75" x14ac:dyDescent="0.25">
      <c r="A156" s="2005"/>
      <c r="B156" s="1617"/>
      <c r="C156" s="1289" t="s">
        <v>531</v>
      </c>
      <c r="D156" s="2157"/>
      <c r="E156" s="306">
        <v>1.28559</v>
      </c>
      <c r="F156" s="319">
        <f>25/E156</f>
        <v>19.446324255789172</v>
      </c>
      <c r="G156" s="320">
        <f>280/E156</f>
        <v>217.7988316648387</v>
      </c>
      <c r="H156" s="321">
        <v>0</v>
      </c>
      <c r="I156" s="313">
        <f>Tabel6689172633[[#This Row],[Fix.ch. 2015]]+Tabel6689172633[[#This Row],[Var. ch. 2015]]+Tabel6689172633[[#This Row],[Oth. ch. DW 2015]]</f>
        <v>237.24515592062787</v>
      </c>
      <c r="J156" s="322">
        <v>0</v>
      </c>
      <c r="K156" s="323">
        <f>280/E156</f>
        <v>217.7988316648387</v>
      </c>
      <c r="L156" s="323"/>
      <c r="M156" s="324">
        <v>0</v>
      </c>
      <c r="N156" s="1257">
        <f>Tabel6689172633[[#This Row],[Sew. 2015]]+Tabel6689172633[[#This Row],[WW 2015]]+Tabel6689172633[[#This Row],[Other ch. 2015]]</f>
        <v>217.7988316648387</v>
      </c>
      <c r="O156" s="1258">
        <v>0</v>
      </c>
      <c r="P156" s="318">
        <f>Tabel6689172633[[#This Row],[Total. ch. DW 2015]]+Tabel6689172633[[#This Row],[Sew. 2015]]+Tabel6689172633[[#This Row],[WW 2015]]+Tabel6689172633[[#This Row],[Other ch. 2015]]+Tabel6689172633[[#This Row],[VAT 2015]]</f>
        <v>455.04398758546654</v>
      </c>
      <c r="Q156" s="397"/>
      <c r="R156" s="2158"/>
      <c r="S156" s="2159"/>
      <c r="T156" s="2160"/>
      <c r="U156" s="2141"/>
      <c r="V156" s="2142"/>
      <c r="W156" s="2143"/>
      <c r="X156" s="2144"/>
      <c r="Y156" s="2145"/>
      <c r="Z156" s="2146"/>
      <c r="AA156" s="397"/>
      <c r="AB156" s="398"/>
      <c r="AC156" s="398"/>
      <c r="AD156" s="398"/>
      <c r="AE156" s="398"/>
      <c r="AF156" s="398"/>
      <c r="AG156" s="398"/>
      <c r="AH156" s="398"/>
      <c r="AI156" s="397"/>
    </row>
    <row r="157" spans="1:35" ht="16.5" thickBot="1" x14ac:dyDescent="0.3">
      <c r="A157" s="2006"/>
      <c r="B157" s="1617"/>
      <c r="C157" s="800" t="s">
        <v>532</v>
      </c>
      <c r="D157" s="2221"/>
      <c r="E157" s="306">
        <v>1.28559</v>
      </c>
      <c r="F157" s="319">
        <f>25/E157</f>
        <v>19.446324255789172</v>
      </c>
      <c r="G157" s="320">
        <f>350/E157</f>
        <v>272.24853958104836</v>
      </c>
      <c r="H157" s="321">
        <v>0</v>
      </c>
      <c r="I157" s="313">
        <f>Tabel6689172633[[#This Row],[Fix.ch. 2015]]+Tabel6689172633[[#This Row],[Var. ch. 2015]]+Tabel6689172633[[#This Row],[Oth. ch. DW 2015]]</f>
        <v>291.69486383683756</v>
      </c>
      <c r="J157" s="322">
        <v>0</v>
      </c>
      <c r="K157" s="323">
        <f>540/E157</f>
        <v>420.04060392504607</v>
      </c>
      <c r="L157" s="323"/>
      <c r="M157" s="324">
        <v>0</v>
      </c>
      <c r="N157" s="1257">
        <f>Tabel6689172633[[#This Row],[Sew. 2015]]+Tabel6689172633[[#This Row],[WW 2015]]+Tabel6689172633[[#This Row],[Other ch. 2015]]</f>
        <v>420.04060392504607</v>
      </c>
      <c r="O157" s="1258">
        <v>0</v>
      </c>
      <c r="P157" s="318">
        <f>Tabel6689172633[[#This Row],[Total. ch. DW 2015]]+Tabel6689172633[[#This Row],[Sew. 2015]]+Tabel6689172633[[#This Row],[WW 2015]]+Tabel6689172633[[#This Row],[Other ch. 2015]]+Tabel6689172633[[#This Row],[VAT 2015]]</f>
        <v>711.73546776188368</v>
      </c>
      <c r="Q157" s="397"/>
      <c r="R157" s="2223"/>
      <c r="S157" s="2225"/>
      <c r="T157" s="2227"/>
      <c r="U157" s="2234"/>
      <c r="V157" s="2236"/>
      <c r="W157" s="2238"/>
      <c r="X157" s="2240"/>
      <c r="Y157" s="2242"/>
      <c r="Z157" s="2244"/>
      <c r="AA157" s="397"/>
      <c r="AB157" s="398"/>
      <c r="AC157" s="398"/>
      <c r="AD157" s="398"/>
      <c r="AE157" s="398"/>
      <c r="AF157" s="398"/>
      <c r="AG157" s="398"/>
      <c r="AH157" s="398"/>
      <c r="AI157" s="397"/>
    </row>
    <row r="158" spans="1:35" ht="19.5" thickBot="1" x14ac:dyDescent="0.35">
      <c r="A158" s="267" t="s">
        <v>46</v>
      </c>
      <c r="B158" s="1616"/>
      <c r="C158" s="293" t="s">
        <v>477</v>
      </c>
      <c r="D158" s="1226">
        <v>39500</v>
      </c>
      <c r="E158" s="306">
        <v>0.64417999999999997</v>
      </c>
      <c r="F158" s="319">
        <f>94/E158</f>
        <v>145.92194728181565</v>
      </c>
      <c r="G158" s="320">
        <f>208/E158</f>
        <v>322.89111738954949</v>
      </c>
      <c r="H158" s="321">
        <v>0</v>
      </c>
      <c r="I158" s="313">
        <f>Tabel6689172633[[#This Row],[Fix.ch. 2015]]+Tabel6689172633[[#This Row],[Var. ch. 2015]]+Tabel6689172633[[#This Row],[Oth. ch. DW 2015]]</f>
        <v>468.81306467136517</v>
      </c>
      <c r="J158" s="322">
        <v>0</v>
      </c>
      <c r="K158" s="323">
        <f>449/E158</f>
        <v>697.01015244186408</v>
      </c>
      <c r="L158" s="323"/>
      <c r="M158" s="324">
        <v>0</v>
      </c>
      <c r="N158" s="1257">
        <f>Tabel6689172633[[#This Row],[Sew. 2015]]+Tabel6689172633[[#This Row],[WW 2015]]+Tabel6689172633[[#This Row],[Other ch. 2015]]</f>
        <v>697.01015244186408</v>
      </c>
      <c r="O158" s="1258">
        <f>60/E158</f>
        <v>93.141668477754664</v>
      </c>
      <c r="P158" s="318">
        <f>Tabel6689172633[[#This Row],[Total. ch. DW 2015]]+Tabel6689172633[[#This Row],[Sew. 2015]]+Tabel6689172633[[#This Row],[WW 2015]]+Tabel6689172633[[#This Row],[Other ch. 2015]]+Tabel6689172633[[#This Row],[VAT 2015]]</f>
        <v>1258.9648855909838</v>
      </c>
      <c r="Q158" s="397"/>
      <c r="R158" s="1228">
        <f>Tabel6689172633[[#This Row],[Fix.ch. 2015]]</f>
        <v>145.92194728181565</v>
      </c>
      <c r="S158" s="1229">
        <f>Tabel6689172633[[#This Row],[Var. ch. 2015]]</f>
        <v>322.89111738954949</v>
      </c>
      <c r="T158" s="1230">
        <v>0</v>
      </c>
      <c r="U158" s="1231">
        <f>Tabel6689172633[[#This Row],[Total. ch. DW 2015]]</f>
        <v>468.81306467136517</v>
      </c>
      <c r="V158" s="1232">
        <v>0</v>
      </c>
      <c r="W158" s="1233">
        <f>Tabel6689172633[[#This Row],[WW 2015]]</f>
        <v>697.01015244186408</v>
      </c>
      <c r="X158" s="1234">
        <v>0</v>
      </c>
      <c r="Y158" s="1235">
        <f>Tabel6689172633[[#This Row],[VAT 2015]]</f>
        <v>93.141668477754664</v>
      </c>
      <c r="Z158" s="1236">
        <f>Tabel6689172633[[#This Row],[total charge 2015]]</f>
        <v>1258.9648855909838</v>
      </c>
      <c r="AA158" s="397"/>
      <c r="AB158" s="398"/>
      <c r="AC158" s="398"/>
      <c r="AD158" s="398"/>
      <c r="AE158" s="398"/>
      <c r="AF158" s="398"/>
      <c r="AG158" s="398"/>
      <c r="AH158" s="398" t="s">
        <v>476</v>
      </c>
      <c r="AI158" s="397"/>
    </row>
    <row r="159" spans="1:35" ht="15.75" customHeight="1" x14ac:dyDescent="0.25">
      <c r="A159" s="1818" t="s">
        <v>21</v>
      </c>
      <c r="B159" s="1213"/>
      <c r="C159" s="1255" t="s">
        <v>125</v>
      </c>
      <c r="D159" s="1759">
        <v>68400</v>
      </c>
      <c r="E159" s="617">
        <f>'[1]exchange rates'!$M$46</f>
        <v>8.8603000000000005</v>
      </c>
      <c r="F159" s="549">
        <v>277.53010620407883</v>
      </c>
      <c r="G159" s="550">
        <v>0</v>
      </c>
      <c r="H159" s="551">
        <v>0</v>
      </c>
      <c r="I159" s="566">
        <f>Tabel6689172633[[#This Row],[Fix.ch. 2015]]+Tabel6689172633[[#This Row],[Var. ch. 2015]]+Tabel6689172633[[#This Row],[Oth. ch. DW 2015]]</f>
        <v>277.53010620407883</v>
      </c>
      <c r="J159" s="567">
        <v>360.93585995959501</v>
      </c>
      <c r="K159" s="568">
        <v>0</v>
      </c>
      <c r="L159" s="568"/>
      <c r="M159" s="569">
        <v>0</v>
      </c>
      <c r="N159" s="1270">
        <f>Tabel6689172633[[#This Row],[Sew. 2015]]+Tabel6689172633[[#This Row],[WW 2015]]+Tabel6689172633[[#This Row],[Other ch. 2015]]</f>
        <v>360.93585995959501</v>
      </c>
      <c r="O159" s="1271">
        <v>159.58827579201605</v>
      </c>
      <c r="P159" s="571">
        <f>Tabel6689172633[[#This Row],[Total. ch. DW 2015]]+Tabel6689172633[[#This Row],[Sew. 2015]]+Tabel6689172633[[#This Row],[WW 2015]]+Tabel6689172633[[#This Row],[Other ch. 2015]]+Tabel6689172633[[#This Row],[VAT 2015]]</f>
        <v>798.0542419556898</v>
      </c>
      <c r="Q159" s="397"/>
      <c r="R159" s="2258">
        <f t="shared" ref="R159:W159" si="49">SUM(F159:F161)/3</f>
        <v>115.6093285027971</v>
      </c>
      <c r="S159" s="2271">
        <f t="shared" si="49"/>
        <v>137.16616066423634</v>
      </c>
      <c r="T159" s="2272">
        <f t="shared" si="49"/>
        <v>6.9448363298458666</v>
      </c>
      <c r="U159" s="2274">
        <f t="shared" si="49"/>
        <v>259.7203254968793</v>
      </c>
      <c r="V159" s="2276">
        <f t="shared" si="49"/>
        <v>333.59291822323547</v>
      </c>
      <c r="W159" s="2278">
        <f t="shared" si="49"/>
        <v>0</v>
      </c>
      <c r="X159" s="2280">
        <f>SUM(M159:M161)/3</f>
        <v>0</v>
      </c>
      <c r="Y159" s="2282">
        <f t="shared" ref="Y159" si="50">SUM(O159:O161)/3</f>
        <v>148.32078673032137</v>
      </c>
      <c r="Z159" s="1793">
        <f>SUM(P159:P161)/3</f>
        <v>741.63403045043617</v>
      </c>
      <c r="AA159" s="397"/>
      <c r="AB159" s="591" t="s">
        <v>429</v>
      </c>
      <c r="AC159" s="591" t="s">
        <v>429</v>
      </c>
      <c r="AD159" s="591"/>
      <c r="AE159" s="591"/>
      <c r="AF159" s="591" t="s">
        <v>429</v>
      </c>
      <c r="AG159" s="591" t="s">
        <v>429</v>
      </c>
      <c r="AH159" s="614"/>
      <c r="AI159" s="397"/>
    </row>
    <row r="160" spans="1:35" ht="16.5" customHeight="1" x14ac:dyDescent="0.25">
      <c r="A160" s="1819"/>
      <c r="B160" s="1213"/>
      <c r="C160" s="543" t="s">
        <v>126</v>
      </c>
      <c r="D160" s="1760"/>
      <c r="E160" s="617">
        <f>'[1]exchange rates'!$M$46</f>
        <v>8.8603000000000005</v>
      </c>
      <c r="F160" s="549">
        <v>35.438980621423653</v>
      </c>
      <c r="G160" s="550">
        <v>225.04881324560114</v>
      </c>
      <c r="H160" s="551">
        <v>0</v>
      </c>
      <c r="I160" s="566">
        <f>Tabel6689172633[[#This Row],[Fix.ch. 2015]]+Tabel6689172633[[#This Row],[Var. ch. 2015]]+Tabel6689172633[[#This Row],[Oth. ch. DW 2015]]</f>
        <v>260.48779386702478</v>
      </c>
      <c r="J160" s="567">
        <v>337.68608286401138</v>
      </c>
      <c r="K160" s="568">
        <v>0</v>
      </c>
      <c r="L160" s="568"/>
      <c r="M160" s="569">
        <v>0</v>
      </c>
      <c r="N160" s="1270">
        <f>Tabel6689172633[[#This Row],[Sew. 2015]]+Tabel6689172633[[#This Row],[WW 2015]]+Tabel6689172633[[#This Row],[Other ch. 2015]]</f>
        <v>337.68608286401138</v>
      </c>
      <c r="O160" s="1271">
        <v>149.54346918275905</v>
      </c>
      <c r="P160" s="571">
        <f>Tabel6689172633[[#This Row],[Total. ch. DW 2015]]+Tabel6689172633[[#This Row],[Sew. 2015]]+Tabel6689172633[[#This Row],[WW 2015]]+Tabel6689172633[[#This Row],[Other ch. 2015]]+Tabel6689172633[[#This Row],[VAT 2015]]</f>
        <v>747.71734591379527</v>
      </c>
      <c r="Q160" s="397"/>
      <c r="R160" s="2081"/>
      <c r="S160" s="2097"/>
      <c r="T160" s="2100"/>
      <c r="U160" s="2106"/>
      <c r="V160" s="2109"/>
      <c r="W160" s="2120"/>
      <c r="X160" s="2123"/>
      <c r="Y160" s="2126"/>
      <c r="Z160" s="1791"/>
      <c r="AA160" s="397"/>
      <c r="AB160" s="591" t="s">
        <v>429</v>
      </c>
      <c r="AC160" s="591" t="s">
        <v>429</v>
      </c>
      <c r="AD160" s="591"/>
      <c r="AE160" s="591"/>
      <c r="AF160" s="591" t="s">
        <v>429</v>
      </c>
      <c r="AG160" s="591" t="s">
        <v>429</v>
      </c>
      <c r="AH160" s="614"/>
      <c r="AI160" s="397"/>
    </row>
    <row r="161" spans="1:35" ht="18" customHeight="1" thickBot="1" x14ac:dyDescent="0.3">
      <c r="A161" s="1820"/>
      <c r="B161" s="1213"/>
      <c r="C161" s="543" t="s">
        <v>127</v>
      </c>
      <c r="D161" s="1761"/>
      <c r="E161" s="617">
        <f>'[1]exchange rates'!$M$46</f>
        <v>8.8603000000000005</v>
      </c>
      <c r="F161" s="549">
        <v>33.858898682888842</v>
      </c>
      <c r="G161" s="550">
        <v>186.44966874710786</v>
      </c>
      <c r="H161" s="551">
        <v>20.8345089895376</v>
      </c>
      <c r="I161" s="566">
        <f>Tabel6689172633[[#This Row],[Fix.ch. 2015]]+Tabel6689172633[[#This Row],[Var. ch. 2015]]+Tabel6689172633[[#This Row],[Oth. ch. DW 2015]]</f>
        <v>241.14307641953431</v>
      </c>
      <c r="J161" s="567">
        <v>302.15681184609997</v>
      </c>
      <c r="K161" s="568">
        <v>0</v>
      </c>
      <c r="L161" s="568"/>
      <c r="M161" s="569">
        <v>0</v>
      </c>
      <c r="N161" s="1270">
        <f>Tabel6689172633[[#This Row],[Sew. 2015]]+Tabel6689172633[[#This Row],[WW 2015]]+Tabel6689172633[[#This Row],[Other ch. 2015]]</f>
        <v>302.15681184609997</v>
      </c>
      <c r="O161" s="1271">
        <v>135.83061521618907</v>
      </c>
      <c r="P161" s="571">
        <f>Tabel6689172633[[#This Row],[Total. ch. DW 2015]]+Tabel6689172633[[#This Row],[Sew. 2015]]+Tabel6689172633[[#This Row],[WW 2015]]+Tabel6689172633[[#This Row],[Other ch. 2015]]+Tabel6689172633[[#This Row],[VAT 2015]]</f>
        <v>679.13050348182333</v>
      </c>
      <c r="Q161" s="397"/>
      <c r="R161" s="2270"/>
      <c r="S161" s="2132"/>
      <c r="T161" s="2273"/>
      <c r="U161" s="2275"/>
      <c r="V161" s="2277"/>
      <c r="W161" s="2279"/>
      <c r="X161" s="2281"/>
      <c r="Y161" s="2283"/>
      <c r="Z161" s="1794"/>
      <c r="AA161" s="397"/>
      <c r="AB161" s="591" t="s">
        <v>429</v>
      </c>
      <c r="AC161" s="591" t="s">
        <v>429</v>
      </c>
      <c r="AD161" s="591"/>
      <c r="AE161" s="591"/>
      <c r="AF161" s="591" t="s">
        <v>429</v>
      </c>
      <c r="AG161" s="591" t="s">
        <v>429</v>
      </c>
      <c r="AH161" s="614"/>
      <c r="AI161" s="397"/>
    </row>
    <row r="162" spans="1:35" ht="15.75" x14ac:dyDescent="0.25">
      <c r="A162" s="1818" t="s">
        <v>22</v>
      </c>
      <c r="B162" s="1213"/>
      <c r="C162" s="1255" t="s">
        <v>128</v>
      </c>
      <c r="D162" s="1759">
        <v>26400</v>
      </c>
      <c r="E162" s="661">
        <f>'[1]exchange rates'!$M$47</f>
        <v>3.9519899999999999</v>
      </c>
      <c r="F162" s="549">
        <v>0</v>
      </c>
      <c r="G162" s="550">
        <f>1102/E162</f>
        <v>278.84685943031235</v>
      </c>
      <c r="H162" s="551">
        <v>0</v>
      </c>
      <c r="I162" s="566">
        <f>Tabel6689172633[[#This Row],[Fix.ch. 2015]]+Tabel6689172633[[#This Row],[Var. ch. 2015]]+Tabel6689172633[[#This Row],[Oth. ch. DW 2015]]</f>
        <v>278.84685943031235</v>
      </c>
      <c r="J162" s="567">
        <v>0</v>
      </c>
      <c r="K162" s="568">
        <f>1098/E162</f>
        <v>277.83471112022045</v>
      </c>
      <c r="L162" s="568"/>
      <c r="M162" s="569">
        <v>0</v>
      </c>
      <c r="N162" s="1270">
        <f>Tabel6689172633[[#This Row],[Sew. 2015]]+Tabel6689172633[[#This Row],[WW 2015]]+Tabel6689172633[[#This Row],[Other ch. 2015]]</f>
        <v>277.83471112022045</v>
      </c>
      <c r="O162" s="1271">
        <v>0</v>
      </c>
      <c r="P162" s="571">
        <f>Tabel6689172633[[#This Row],[Total. ch. DW 2015]]+Tabel6689172633[[#This Row],[Sew. 2015]]+Tabel6689172633[[#This Row],[WW 2015]]+Tabel6689172633[[#This Row],[Other ch. 2015]]+Tabel6689172633[[#This Row],[VAT 2015]]</f>
        <v>556.6815705505328</v>
      </c>
      <c r="Q162" s="397"/>
      <c r="R162" s="1762">
        <f t="shared" ref="R162:W162" si="51">SUM(F162:F166)/5</f>
        <v>4.3360433604336039</v>
      </c>
      <c r="S162" s="1765">
        <f t="shared" si="51"/>
        <v>231.07345919397568</v>
      </c>
      <c r="T162" s="1768">
        <f t="shared" si="51"/>
        <v>2.8056751155746853</v>
      </c>
      <c r="U162" s="1774">
        <f t="shared" si="51"/>
        <v>238.215177669984</v>
      </c>
      <c r="V162" s="1777">
        <f t="shared" si="51"/>
        <v>0</v>
      </c>
      <c r="W162" s="1810">
        <f t="shared" si="51"/>
        <v>264.87921275104446</v>
      </c>
      <c r="X162" s="1812">
        <f>SUM(M162:M166)/5</f>
        <v>13.493961270144913</v>
      </c>
      <c r="Y162" s="1814">
        <f t="shared" ref="Y162:Z162" si="52">SUM(O162:O166)/5</f>
        <v>0</v>
      </c>
      <c r="Z162" s="1793">
        <f t="shared" si="52"/>
        <v>516.58835169117333</v>
      </c>
      <c r="AA162" s="397"/>
      <c r="AB162" s="398"/>
      <c r="AC162" s="591" t="s">
        <v>429</v>
      </c>
      <c r="AD162" s="398"/>
      <c r="AE162" s="398"/>
      <c r="AF162" s="398"/>
      <c r="AG162" s="398"/>
      <c r="AH162" s="398"/>
      <c r="AI162" s="397"/>
    </row>
    <row r="163" spans="1:35" ht="15.75" x14ac:dyDescent="0.25">
      <c r="A163" s="1819"/>
      <c r="B163" s="1213"/>
      <c r="C163" s="543" t="s">
        <v>129</v>
      </c>
      <c r="D163" s="1880"/>
      <c r="E163" s="661">
        <f>'[1]exchange rates'!$M$47</f>
        <v>3.9519899999999999</v>
      </c>
      <c r="F163" s="549">
        <v>0</v>
      </c>
      <c r="G163" s="550">
        <f>858/E163</f>
        <v>217.10581251470779</v>
      </c>
      <c r="H163" s="551">
        <v>0</v>
      </c>
      <c r="I163" s="566">
        <f>Tabel6689172633[[#This Row],[Fix.ch. 2015]]+Tabel6689172633[[#This Row],[Var. ch. 2015]]+Tabel6689172633[[#This Row],[Oth. ch. DW 2015]]</f>
        <v>217.10581251470779</v>
      </c>
      <c r="J163" s="567">
        <v>0</v>
      </c>
      <c r="K163" s="568">
        <f>1002/E163</f>
        <v>253.54315167801539</v>
      </c>
      <c r="L163" s="568"/>
      <c r="M163" s="569">
        <v>0</v>
      </c>
      <c r="N163" s="1270">
        <f>Tabel6689172633[[#This Row],[Sew. 2015]]+Tabel6689172633[[#This Row],[WW 2015]]+Tabel6689172633[[#This Row],[Other ch. 2015]]</f>
        <v>253.54315167801539</v>
      </c>
      <c r="O163" s="1271">
        <v>0</v>
      </c>
      <c r="P163" s="571">
        <f>Tabel6689172633[[#This Row],[Total. ch. DW 2015]]+Tabel6689172633[[#This Row],[Sew. 2015]]+Tabel6689172633[[#This Row],[WW 2015]]+Tabel6689172633[[#This Row],[Other ch. 2015]]+Tabel6689172633[[#This Row],[VAT 2015]]</f>
        <v>470.64896419272316</v>
      </c>
      <c r="Q163" s="397"/>
      <c r="R163" s="1886"/>
      <c r="S163" s="1888"/>
      <c r="T163" s="1890"/>
      <c r="U163" s="1892"/>
      <c r="V163" s="1894"/>
      <c r="W163" s="1911"/>
      <c r="X163" s="1913"/>
      <c r="Y163" s="1915"/>
      <c r="Z163" s="1832"/>
      <c r="AA163" s="397"/>
      <c r="AB163" s="398"/>
      <c r="AC163" s="591" t="s">
        <v>429</v>
      </c>
      <c r="AD163" s="398"/>
      <c r="AE163" s="398"/>
      <c r="AF163" s="398"/>
      <c r="AG163" s="398"/>
      <c r="AH163" s="398"/>
      <c r="AI163" s="397"/>
    </row>
    <row r="164" spans="1:35" ht="15.75" x14ac:dyDescent="0.25">
      <c r="A164" s="1819"/>
      <c r="B164" s="1213"/>
      <c r="C164" s="543" t="s">
        <v>130</v>
      </c>
      <c r="D164" s="1880"/>
      <c r="E164" s="661">
        <f>'[1]exchange rates'!$M$47</f>
        <v>3.9519899999999999</v>
      </c>
      <c r="F164" s="549">
        <f>((3.57/E164)*12)*2</f>
        <v>21.680216802168019</v>
      </c>
      <c r="G164" s="550">
        <f>1292/E164</f>
        <v>326.92390415967651</v>
      </c>
      <c r="H164" s="551">
        <v>0</v>
      </c>
      <c r="I164" s="566">
        <f>Tabel6689172633[[#This Row],[Fix.ch. 2015]]+Tabel6689172633[[#This Row],[Var. ch. 2015]]+Tabel6689172633[[#This Row],[Oth. ch. DW 2015]]</f>
        <v>348.6041209618445</v>
      </c>
      <c r="J164" s="567">
        <v>0</v>
      </c>
      <c r="K164" s="568">
        <f>1292/E164</f>
        <v>326.92390415967651</v>
      </c>
      <c r="L164" s="568"/>
      <c r="M164" s="569">
        <f>((3.57/E164)*12)*2</f>
        <v>21.680216802168019</v>
      </c>
      <c r="N164" s="1270">
        <f>Tabel6689172633[[#This Row],[Sew. 2015]]+Tabel6689172633[[#This Row],[WW 2015]]+Tabel6689172633[[#This Row],[Other ch. 2015]]</f>
        <v>348.6041209618445</v>
      </c>
      <c r="O164" s="1271">
        <v>0</v>
      </c>
      <c r="P164" s="571">
        <f>Tabel6689172633[[#This Row],[Total. ch. DW 2015]]+Tabel6689172633[[#This Row],[Sew. 2015]]+Tabel6689172633[[#This Row],[WW 2015]]+Tabel6689172633[[#This Row],[Other ch. 2015]]+Tabel6689172633[[#This Row],[VAT 2015]]</f>
        <v>697.20824192368912</v>
      </c>
      <c r="Q164" s="397"/>
      <c r="R164" s="1886"/>
      <c r="S164" s="1888"/>
      <c r="T164" s="1890"/>
      <c r="U164" s="1892"/>
      <c r="V164" s="1894"/>
      <c r="W164" s="1911"/>
      <c r="X164" s="1913"/>
      <c r="Y164" s="1915"/>
      <c r="Z164" s="1832"/>
      <c r="AA164" s="397"/>
      <c r="AB164" s="591" t="s">
        <v>429</v>
      </c>
      <c r="AC164" s="591" t="s">
        <v>429</v>
      </c>
      <c r="AD164" s="398"/>
      <c r="AE164" s="398"/>
      <c r="AF164" s="398"/>
      <c r="AG164" s="398"/>
      <c r="AH164" s="398"/>
      <c r="AI164" s="397"/>
    </row>
    <row r="165" spans="1:35" ht="15.75" x14ac:dyDescent="0.25">
      <c r="A165" s="1819"/>
      <c r="B165" s="1213"/>
      <c r="C165" s="543" t="s">
        <v>131</v>
      </c>
      <c r="D165" s="1880"/>
      <c r="E165" s="661">
        <f>'[1]exchange rates'!$M$47</f>
        <v>3.9519899999999999</v>
      </c>
      <c r="F165" s="549">
        <v>0</v>
      </c>
      <c r="G165" s="550">
        <f>684/E165</f>
        <v>173.0773610257111</v>
      </c>
      <c r="H165" s="551">
        <v>0</v>
      </c>
      <c r="I165" s="566">
        <f>Tabel6689172633[[#This Row],[Fix.ch. 2015]]+Tabel6689172633[[#This Row],[Var. ch. 2015]]+Tabel6689172633[[#This Row],[Oth. ch. DW 2015]]</f>
        <v>173.0773610257111</v>
      </c>
      <c r="J165" s="567">
        <v>0</v>
      </c>
      <c r="K165" s="568">
        <f>674/E165</f>
        <v>170.5469902504814</v>
      </c>
      <c r="L165" s="568"/>
      <c r="M165" s="569">
        <v>0</v>
      </c>
      <c r="N165" s="1270">
        <f>Tabel6689172633[[#This Row],[Sew. 2015]]+Tabel6689172633[[#This Row],[WW 2015]]+Tabel6689172633[[#This Row],[Other ch. 2015]]</f>
        <v>170.5469902504814</v>
      </c>
      <c r="O165" s="1271">
        <v>0</v>
      </c>
      <c r="P165" s="571">
        <f>Tabel6689172633[[#This Row],[Total. ch. DW 2015]]+Tabel6689172633[[#This Row],[Sew. 2015]]+Tabel6689172633[[#This Row],[WW 2015]]+Tabel6689172633[[#This Row],[Other ch. 2015]]+Tabel6689172633[[#This Row],[VAT 2015]]</f>
        <v>343.6243512761925</v>
      </c>
      <c r="Q165" s="397"/>
      <c r="R165" s="1886"/>
      <c r="S165" s="1888"/>
      <c r="T165" s="1890"/>
      <c r="U165" s="1892"/>
      <c r="V165" s="1894"/>
      <c r="W165" s="1911"/>
      <c r="X165" s="1913"/>
      <c r="Y165" s="1915"/>
      <c r="Z165" s="1832"/>
      <c r="AA165" s="397"/>
      <c r="AB165" s="591"/>
      <c r="AC165" s="591" t="s">
        <v>429</v>
      </c>
      <c r="AD165" s="398"/>
      <c r="AE165" s="398"/>
      <c r="AF165" s="398"/>
      <c r="AG165" s="398"/>
      <c r="AH165" s="398"/>
      <c r="AI165" s="397"/>
    </row>
    <row r="166" spans="1:35" ht="16.5" thickBot="1" x14ac:dyDescent="0.3">
      <c r="A166" s="1820"/>
      <c r="B166" s="1213"/>
      <c r="C166" s="543" t="s">
        <v>132</v>
      </c>
      <c r="D166" s="1761"/>
      <c r="E166" s="661">
        <f>'[1]exchange rates'!$M$47</f>
        <v>3.9519899999999999</v>
      </c>
      <c r="F166" s="549">
        <v>0</v>
      </c>
      <c r="G166" s="550">
        <f>630/E166</f>
        <v>159.41335883947076</v>
      </c>
      <c r="H166" s="551">
        <f>((2.31/E166)*12)*2</f>
        <v>14.028375577873426</v>
      </c>
      <c r="I166" s="566">
        <f>Tabel6689172633[[#This Row],[Fix.ch. 2015]]+Tabel6689172633[[#This Row],[Var. ch. 2015]]+Tabel6689172633[[#This Row],[Oth. ch. DW 2015]]</f>
        <v>173.44173441734418</v>
      </c>
      <c r="J166" s="567">
        <v>0</v>
      </c>
      <c r="K166" s="568">
        <f>1168/E166</f>
        <v>295.54730654682834</v>
      </c>
      <c r="L166" s="568"/>
      <c r="M166" s="569">
        <f>((7.54/E166)*12)*2</f>
        <v>45.789589548556549</v>
      </c>
      <c r="N166" s="1270">
        <f>Tabel6689172633[[#This Row],[Sew. 2015]]+Tabel6689172633[[#This Row],[WW 2015]]+Tabel6689172633[[#This Row],[Other ch. 2015]]</f>
        <v>341.33689609538487</v>
      </c>
      <c r="O166" s="1271">
        <v>0</v>
      </c>
      <c r="P166" s="571">
        <f>Tabel6689172633[[#This Row],[Total. ch. DW 2015]]+Tabel6689172633[[#This Row],[Sew. 2015]]+Tabel6689172633[[#This Row],[WW 2015]]+Tabel6689172633[[#This Row],[Other ch. 2015]]+Tabel6689172633[[#This Row],[VAT 2015]]</f>
        <v>514.77863051272914</v>
      </c>
      <c r="Q166" s="397"/>
      <c r="R166" s="1764"/>
      <c r="S166" s="1767"/>
      <c r="T166" s="1770"/>
      <c r="U166" s="1776"/>
      <c r="V166" s="1779"/>
      <c r="W166" s="1811"/>
      <c r="X166" s="1813"/>
      <c r="Y166" s="1815"/>
      <c r="Z166" s="1794"/>
      <c r="AA166" s="397"/>
      <c r="AB166" s="591" t="s">
        <v>429</v>
      </c>
      <c r="AC166" s="591" t="s">
        <v>429</v>
      </c>
      <c r="AD166" s="398"/>
      <c r="AE166" s="398"/>
      <c r="AF166" s="398"/>
      <c r="AG166" s="398"/>
      <c r="AH166" s="398"/>
      <c r="AI166" s="397"/>
    </row>
    <row r="167" spans="1:35" ht="15.75" x14ac:dyDescent="0.25">
      <c r="A167" s="1878" t="s">
        <v>23</v>
      </c>
      <c r="B167" s="1213"/>
      <c r="C167" s="693" t="s">
        <v>133</v>
      </c>
      <c r="D167" s="1759">
        <v>27800</v>
      </c>
      <c r="E167" s="616">
        <f>'[1]exchange rates'!$M$48</f>
        <v>0.92093999999999998</v>
      </c>
      <c r="F167" s="549">
        <f>51.48/E167</f>
        <v>55.899407127500162</v>
      </c>
      <c r="G167" s="550">
        <f>123.61/E167</f>
        <v>134.22155623601972</v>
      </c>
      <c r="H167" s="551">
        <f>22.24/E167</f>
        <v>24.14923882120442</v>
      </c>
      <c r="I167" s="566">
        <f>Tabel6689172633[[#This Row],[Fix.ch. 2015]]+Tabel6689172633[[#This Row],[Var. ch. 2015]]+Tabel6689172633[[#This Row],[Oth. ch. DW 2015]]</f>
        <v>214.2702021847243</v>
      </c>
      <c r="J167" s="567">
        <v>0</v>
      </c>
      <c r="K167" s="568">
        <f>59.48/E167</f>
        <v>64.586183681890247</v>
      </c>
      <c r="L167" s="568"/>
      <c r="M167" s="569">
        <f>5.92/E167</f>
        <v>6.428214650248659</v>
      </c>
      <c r="N167" s="1270">
        <f>Tabel6689172633[[#This Row],[Sew. 2015]]+Tabel6689172633[[#This Row],[WW 2015]]+Tabel6689172633[[#This Row],[Other ch. 2015]]</f>
        <v>71.01439833213891</v>
      </c>
      <c r="O167" s="1271">
        <f>10.86/E167</f>
        <v>11.792299172584533</v>
      </c>
      <c r="P167" s="571">
        <f>Tabel6689172633[[#This Row],[Total. ch. DW 2015]]+Tabel6689172633[[#This Row],[Sew. 2015]]+Tabel6689172633[[#This Row],[WW 2015]]+Tabel6689172633[[#This Row],[Other ch. 2015]]+Tabel6689172633[[#This Row],[VAT 2015]]</f>
        <v>297.07689968944777</v>
      </c>
      <c r="Q167" s="397"/>
      <c r="R167" s="1762">
        <f t="shared" ref="R167:W167" si="53">SUM(F167:F173)/7</f>
        <v>48.760738251910318</v>
      </c>
      <c r="S167" s="1765">
        <f t="shared" si="53"/>
        <v>177.8384817996519</v>
      </c>
      <c r="T167" s="1768">
        <f t="shared" si="53"/>
        <v>3.4498912601720599</v>
      </c>
      <c r="U167" s="1774">
        <f t="shared" si="53"/>
        <v>230.04911131173429</v>
      </c>
      <c r="V167" s="1777">
        <f t="shared" si="53"/>
        <v>0</v>
      </c>
      <c r="W167" s="1810">
        <f t="shared" si="53"/>
        <v>158.18309863524536</v>
      </c>
      <c r="X167" s="1812">
        <f>SUM(M167:M173)/7</f>
        <v>9.6392195551749911</v>
      </c>
      <c r="Y167" s="1814">
        <f t="shared" ref="Y167:Z167" si="54">SUM(O167:O173)/7</f>
        <v>19.225697966984047</v>
      </c>
      <c r="Z167" s="1793">
        <f t="shared" si="54"/>
        <v>417.09712746913868</v>
      </c>
      <c r="AA167" s="397"/>
      <c r="AB167" s="398"/>
      <c r="AC167" s="398"/>
      <c r="AD167" s="398"/>
      <c r="AE167" s="591" t="s">
        <v>429</v>
      </c>
      <c r="AF167" s="591" t="s">
        <v>429</v>
      </c>
      <c r="AG167" s="398"/>
      <c r="AH167" s="398"/>
      <c r="AI167" s="397"/>
    </row>
    <row r="168" spans="1:35" ht="15.75" x14ac:dyDescent="0.25">
      <c r="A168" s="1757"/>
      <c r="B168" s="1213"/>
      <c r="C168" s="1293" t="s">
        <v>134</v>
      </c>
      <c r="D168" s="1880"/>
      <c r="E168" s="616">
        <f>'[1]exchange rates'!$M$48</f>
        <v>0.92093999999999998</v>
      </c>
      <c r="F168" s="549">
        <f>48.84/E168</f>
        <v>53.032770864551445</v>
      </c>
      <c r="G168" s="550">
        <f>183.47/E168</f>
        <v>199.22036180424348</v>
      </c>
      <c r="H168" s="551">
        <v>0</v>
      </c>
      <c r="I168" s="566">
        <f>Tabel6689172633[[#This Row],[Fix.ch. 2015]]+Tabel6689172633[[#This Row],[Var. ch. 2015]]+Tabel6689172633[[#This Row],[Oth. ch. DW 2015]]</f>
        <v>252.25313266879493</v>
      </c>
      <c r="J168" s="567">
        <v>0</v>
      </c>
      <c r="K168" s="568">
        <f>207.12/E168</f>
        <v>224.90064499315918</v>
      </c>
      <c r="L168" s="568"/>
      <c r="M168" s="569">
        <f>20.5/E168</f>
        <v>22.25986492062458</v>
      </c>
      <c r="N168" s="1270">
        <f>Tabel6689172633[[#This Row],[Sew. 2015]]+Tabel6689172633[[#This Row],[WW 2015]]+Tabel6689172633[[#This Row],[Other ch. 2015]]</f>
        <v>247.16050991378376</v>
      </c>
      <c r="O168" s="1271">
        <f>15.17/E168</f>
        <v>16.472300041262187</v>
      </c>
      <c r="P168" s="571">
        <f>Tabel6689172633[[#This Row],[Total. ch. DW 2015]]+Tabel6689172633[[#This Row],[Sew. 2015]]+Tabel6689172633[[#This Row],[WW 2015]]+Tabel6689172633[[#This Row],[Other ch. 2015]]+Tabel6689172633[[#This Row],[VAT 2015]]</f>
        <v>515.88594262384083</v>
      </c>
      <c r="Q168" s="397"/>
      <c r="R168" s="1886"/>
      <c r="S168" s="1888"/>
      <c r="T168" s="1890"/>
      <c r="U168" s="1892"/>
      <c r="V168" s="1894"/>
      <c r="W168" s="1911"/>
      <c r="X168" s="1913"/>
      <c r="Y168" s="1915"/>
      <c r="Z168" s="1832"/>
      <c r="AA168" s="397"/>
      <c r="AB168" s="398"/>
      <c r="AC168" s="398"/>
      <c r="AD168" s="398"/>
      <c r="AE168" s="591" t="s">
        <v>429</v>
      </c>
      <c r="AF168" s="591" t="s">
        <v>429</v>
      </c>
      <c r="AG168" s="398"/>
      <c r="AH168" s="398"/>
      <c r="AI168" s="397"/>
    </row>
    <row r="169" spans="1:35" ht="15.75" x14ac:dyDescent="0.25">
      <c r="A169" s="1757"/>
      <c r="B169" s="1213"/>
      <c r="C169" s="1293" t="s">
        <v>135</v>
      </c>
      <c r="D169" s="1880"/>
      <c r="E169" s="616">
        <f>'[1]exchange rates'!$M$48</f>
        <v>0.92093999999999998</v>
      </c>
      <c r="F169" s="549">
        <f>41.11/E169</f>
        <v>44.639173018872022</v>
      </c>
      <c r="G169" s="550">
        <f>190.24/E169</f>
        <v>206.57154646339612</v>
      </c>
      <c r="H169" s="551">
        <v>0</v>
      </c>
      <c r="I169" s="566">
        <f>Tabel6689172633[[#This Row],[Fix.ch. 2015]]+Tabel6689172633[[#This Row],[Var. ch. 2015]]+Tabel6689172633[[#This Row],[Oth. ch. DW 2015]]</f>
        <v>251.21071948226813</v>
      </c>
      <c r="J169" s="567">
        <v>0</v>
      </c>
      <c r="K169" s="568">
        <f>90.54/E169</f>
        <v>98.312593654309737</v>
      </c>
      <c r="L169" s="568"/>
      <c r="M169" s="569">
        <f>6.14/E169</f>
        <v>6.667101005494386</v>
      </c>
      <c r="N169" s="1270">
        <f>Tabel6689172633[[#This Row],[Sew. 2015]]+Tabel6689172633[[#This Row],[WW 2015]]+Tabel6689172633[[#This Row],[Other ch. 2015]]</f>
        <v>104.97969465980412</v>
      </c>
      <c r="O169" s="1271">
        <f>19.68/E169</f>
        <v>21.369470323799597</v>
      </c>
      <c r="P169" s="571">
        <f>Tabel6689172633[[#This Row],[Total. ch. DW 2015]]+Tabel6689172633[[#This Row],[Sew. 2015]]+Tabel6689172633[[#This Row],[WW 2015]]+Tabel6689172633[[#This Row],[Other ch. 2015]]+Tabel6689172633[[#This Row],[VAT 2015]]</f>
        <v>377.55988446587185</v>
      </c>
      <c r="Q169" s="397"/>
      <c r="R169" s="1886"/>
      <c r="S169" s="1888"/>
      <c r="T169" s="1890"/>
      <c r="U169" s="1892"/>
      <c r="V169" s="1894"/>
      <c r="W169" s="1911"/>
      <c r="X169" s="1913"/>
      <c r="Y169" s="1915"/>
      <c r="Z169" s="1832"/>
      <c r="AA169" s="397"/>
      <c r="AB169" s="398"/>
      <c r="AC169" s="398"/>
      <c r="AD169" s="398"/>
      <c r="AE169" s="591" t="s">
        <v>429</v>
      </c>
      <c r="AF169" s="591" t="s">
        <v>429</v>
      </c>
      <c r="AG169" s="398"/>
      <c r="AH169" s="398"/>
      <c r="AI169" s="397"/>
    </row>
    <row r="170" spans="1:35" ht="15.75" x14ac:dyDescent="0.25">
      <c r="A170" s="1757"/>
      <c r="B170" s="1213"/>
      <c r="C170" s="1293" t="s">
        <v>136</v>
      </c>
      <c r="D170" s="1880"/>
      <c r="E170" s="616">
        <f>'[1]exchange rates'!$M$48</f>
        <v>0.92093999999999998</v>
      </c>
      <c r="F170" s="549">
        <f>37.14/E170</f>
        <v>40.328360153755945</v>
      </c>
      <c r="G170" s="550">
        <f>208.54/E170</f>
        <v>226.44254783156339</v>
      </c>
      <c r="H170" s="551">
        <v>0</v>
      </c>
      <c r="I170" s="566">
        <f>Tabel6689172633[[#This Row],[Fix.ch. 2015]]+Tabel6689172633[[#This Row],[Var. ch. 2015]]+Tabel6689172633[[#This Row],[Oth. ch. DW 2015]]</f>
        <v>266.77090798531935</v>
      </c>
      <c r="J170" s="567">
        <v>0</v>
      </c>
      <c r="K170" s="568">
        <f>210.48/E170</f>
        <v>228.54909114600298</v>
      </c>
      <c r="L170" s="568"/>
      <c r="M170" s="569">
        <f>9.46/E170</f>
        <v>10.272113275566271</v>
      </c>
      <c r="N170" s="1270">
        <f>Tabel6689172633[[#This Row],[Sew. 2015]]+Tabel6689172633[[#This Row],[WW 2015]]+Tabel6689172633[[#This Row],[Other ch. 2015]]</f>
        <v>238.82120442156926</v>
      </c>
      <c r="O170" s="1271">
        <f>15.31/E170</f>
        <v>16.624318630964016</v>
      </c>
      <c r="P170" s="571">
        <f>Tabel6689172633[[#This Row],[Total. ch. DW 2015]]+Tabel6689172633[[#This Row],[Sew. 2015]]+Tabel6689172633[[#This Row],[WW 2015]]+Tabel6689172633[[#This Row],[Other ch. 2015]]+Tabel6689172633[[#This Row],[VAT 2015]]</f>
        <v>522.21643103785266</v>
      </c>
      <c r="Q170" s="397"/>
      <c r="R170" s="1886"/>
      <c r="S170" s="1888"/>
      <c r="T170" s="1890"/>
      <c r="U170" s="1892"/>
      <c r="V170" s="1894"/>
      <c r="W170" s="1911"/>
      <c r="X170" s="1913"/>
      <c r="Y170" s="1915"/>
      <c r="Z170" s="1832"/>
      <c r="AA170" s="397"/>
      <c r="AB170" s="398"/>
      <c r="AC170" s="398"/>
      <c r="AD170" s="398"/>
      <c r="AE170" s="591" t="s">
        <v>429</v>
      </c>
      <c r="AF170" s="591" t="s">
        <v>429</v>
      </c>
      <c r="AG170" s="398"/>
      <c r="AH170" s="398"/>
      <c r="AI170" s="397"/>
    </row>
    <row r="171" spans="1:35" ht="15.75" x14ac:dyDescent="0.25">
      <c r="A171" s="1757"/>
      <c r="B171" s="1213"/>
      <c r="C171" s="1293" t="s">
        <v>137</v>
      </c>
      <c r="D171" s="1880"/>
      <c r="E171" s="616">
        <f>'[1]exchange rates'!$M$48</f>
        <v>0.92093999999999998</v>
      </c>
      <c r="F171" s="549">
        <f>56.28/E171</f>
        <v>61.111473060134216</v>
      </c>
      <c r="G171" s="550">
        <f>153.8/E171</f>
        <v>167.00327925814929</v>
      </c>
      <c r="H171" s="551">
        <v>0</v>
      </c>
      <c r="I171" s="566">
        <f>Tabel6689172633[[#This Row],[Fix.ch. 2015]]+Tabel6689172633[[#This Row],[Var. ch. 2015]]+Tabel6689172633[[#This Row],[Oth. ch. DW 2015]]</f>
        <v>228.11475231828351</v>
      </c>
      <c r="J171" s="567">
        <v>0</v>
      </c>
      <c r="K171" s="568">
        <f>138.32/E171</f>
        <v>150.19436662540448</v>
      </c>
      <c r="L171" s="568"/>
      <c r="M171" s="569">
        <f>6.12/E171</f>
        <v>6.645384064108411</v>
      </c>
      <c r="N171" s="1270">
        <f>Tabel6689172633[[#This Row],[Sew. 2015]]+Tabel6689172633[[#This Row],[WW 2015]]+Tabel6689172633[[#This Row],[Other ch. 2015]]</f>
        <v>156.8397506895129</v>
      </c>
      <c r="O171" s="1271">
        <f>21.27/E171</f>
        <v>23.095967163984625</v>
      </c>
      <c r="P171" s="571">
        <f>Tabel6689172633[[#This Row],[Total. ch. DW 2015]]+Tabel6689172633[[#This Row],[Sew. 2015]]+Tabel6689172633[[#This Row],[WW 2015]]+Tabel6689172633[[#This Row],[Other ch. 2015]]+Tabel6689172633[[#This Row],[VAT 2015]]</f>
        <v>408.05047017178094</v>
      </c>
      <c r="Q171" s="397"/>
      <c r="R171" s="1886"/>
      <c r="S171" s="1888"/>
      <c r="T171" s="1890"/>
      <c r="U171" s="1892"/>
      <c r="V171" s="1894"/>
      <c r="W171" s="1911"/>
      <c r="X171" s="1913"/>
      <c r="Y171" s="1915"/>
      <c r="Z171" s="1832"/>
      <c r="AA171" s="397"/>
      <c r="AB171" s="398"/>
      <c r="AC171" s="398"/>
      <c r="AD171" s="398"/>
      <c r="AE171" s="591" t="s">
        <v>429</v>
      </c>
      <c r="AF171" s="591" t="s">
        <v>429</v>
      </c>
      <c r="AG171" s="398"/>
      <c r="AH171" s="398"/>
      <c r="AI171" s="397"/>
    </row>
    <row r="172" spans="1:35" ht="15.75" x14ac:dyDescent="0.25">
      <c r="A172" s="1757"/>
      <c r="B172" s="1213"/>
      <c r="C172" s="1293" t="s">
        <v>138</v>
      </c>
      <c r="D172" s="1880"/>
      <c r="E172" s="616">
        <f>'[1]exchange rates'!$M$48</f>
        <v>0.92093999999999998</v>
      </c>
      <c r="F172" s="549">
        <f>46.74/E172</f>
        <v>50.752492019024046</v>
      </c>
      <c r="G172" s="550">
        <f>162.36/E172</f>
        <v>176.29813017134668</v>
      </c>
      <c r="H172" s="551">
        <v>0</v>
      </c>
      <c r="I172" s="566">
        <f>Tabel6689172633[[#This Row],[Fix.ch. 2015]]+Tabel6689172633[[#This Row],[Var. ch. 2015]]+Tabel6689172633[[#This Row],[Oth. ch. DW 2015]]</f>
        <v>227.05062219037075</v>
      </c>
      <c r="J172" s="567">
        <v>0</v>
      </c>
      <c r="K172" s="568">
        <f>152.33/E172</f>
        <v>165.40708406628013</v>
      </c>
      <c r="L172" s="568"/>
      <c r="M172" s="569">
        <f>8.2/E172</f>
        <v>8.9039459682498308</v>
      </c>
      <c r="N172" s="1270">
        <f>Tabel6689172633[[#This Row],[Sew. 2015]]+Tabel6689172633[[#This Row],[WW 2015]]+Tabel6689172633[[#This Row],[Other ch. 2015]]</f>
        <v>174.31103003452998</v>
      </c>
      <c r="O172" s="1271">
        <f>22.18/E172</f>
        <v>24.084087997046495</v>
      </c>
      <c r="P172" s="571">
        <f>Tabel6689172633[[#This Row],[Total. ch. DW 2015]]+Tabel6689172633[[#This Row],[Sew. 2015]]+Tabel6689172633[[#This Row],[WW 2015]]+Tabel6689172633[[#This Row],[Other ch. 2015]]+Tabel6689172633[[#This Row],[VAT 2015]]</f>
        <v>425.44574022194723</v>
      </c>
      <c r="Q172" s="397"/>
      <c r="R172" s="1886"/>
      <c r="S172" s="1888"/>
      <c r="T172" s="1890"/>
      <c r="U172" s="1892"/>
      <c r="V172" s="1894"/>
      <c r="W172" s="1911"/>
      <c r="X172" s="1913"/>
      <c r="Y172" s="1915"/>
      <c r="Z172" s="1832"/>
      <c r="AA172" s="397"/>
      <c r="AB172" s="398"/>
      <c r="AC172" s="398"/>
      <c r="AD172" s="398"/>
      <c r="AE172" s="591" t="s">
        <v>429</v>
      </c>
      <c r="AF172" s="591" t="s">
        <v>429</v>
      </c>
      <c r="AG172" s="398"/>
      <c r="AH172" s="398"/>
      <c r="AI172" s="397"/>
    </row>
    <row r="173" spans="1:35" ht="16.5" thickBot="1" x14ac:dyDescent="0.3">
      <c r="A173" s="1758"/>
      <c r="B173" s="1213"/>
      <c r="C173" s="652" t="s">
        <v>139</v>
      </c>
      <c r="D173" s="1761"/>
      <c r="E173" s="616">
        <f>'[1]exchange rates'!$M$48</f>
        <v>0.92093999999999998</v>
      </c>
      <c r="F173" s="549">
        <f>32.75/E173</f>
        <v>35.561491519534393</v>
      </c>
      <c r="G173" s="550">
        <f>124.43/E173</f>
        <v>135.11195083284471</v>
      </c>
      <c r="H173" s="551">
        <v>0</v>
      </c>
      <c r="I173" s="566">
        <f>Tabel6689172633[[#This Row],[Fix.ch. 2015]]+Tabel6689172633[[#This Row],[Var. ch. 2015]]+Tabel6689172633[[#This Row],[Oth. ch. DW 2015]]</f>
        <v>170.67344235237911</v>
      </c>
      <c r="J173" s="567">
        <v>0</v>
      </c>
      <c r="K173" s="568">
        <f>161.47/E173</f>
        <v>175.33172627967076</v>
      </c>
      <c r="L173" s="568"/>
      <c r="M173" s="569">
        <f>5.8/E173</f>
        <v>6.297913001932808</v>
      </c>
      <c r="N173" s="1270">
        <f>Tabel6689172633[[#This Row],[Sew. 2015]]+Tabel6689172633[[#This Row],[WW 2015]]+Tabel6689172633[[#This Row],[Other ch. 2015]]</f>
        <v>181.62963928160357</v>
      </c>
      <c r="O173" s="1271">
        <f>19.47/E173</f>
        <v>21.141442439246855</v>
      </c>
      <c r="P173" s="571">
        <f>Tabel6689172633[[#This Row],[Total. ch. DW 2015]]+Tabel6689172633[[#This Row],[Sew. 2015]]+Tabel6689172633[[#This Row],[WW 2015]]+Tabel6689172633[[#This Row],[Other ch. 2015]]+Tabel6689172633[[#This Row],[VAT 2015]]</f>
        <v>373.4445240732295</v>
      </c>
      <c r="Q173" s="397"/>
      <c r="R173" s="1764"/>
      <c r="S173" s="1767"/>
      <c r="T173" s="1770"/>
      <c r="U173" s="1776"/>
      <c r="V173" s="1779"/>
      <c r="W173" s="1811"/>
      <c r="X173" s="1813"/>
      <c r="Y173" s="1815"/>
      <c r="Z173" s="1794"/>
      <c r="AA173" s="397"/>
      <c r="AB173" s="398"/>
      <c r="AC173" s="398"/>
      <c r="AD173" s="398"/>
      <c r="AE173" s="591" t="s">
        <v>429</v>
      </c>
      <c r="AF173" s="591" t="s">
        <v>429</v>
      </c>
      <c r="AG173" s="398"/>
      <c r="AH173" s="398"/>
      <c r="AI173" s="397"/>
    </row>
    <row r="174" spans="1:35" ht="18.75" customHeight="1" x14ac:dyDescent="0.25">
      <c r="A174" s="1878" t="s">
        <v>40</v>
      </c>
      <c r="B174" s="1213"/>
      <c r="C174" s="502" t="s">
        <v>1351</v>
      </c>
      <c r="D174" s="1759">
        <v>20600</v>
      </c>
      <c r="E174" s="616">
        <f>'[1]exchange rates'!$M$49</f>
        <v>4.1749499999999999</v>
      </c>
      <c r="F174" s="319"/>
      <c r="G174" s="320"/>
      <c r="H174" s="321"/>
      <c r="I174" s="313"/>
      <c r="J174" s="322"/>
      <c r="K174" s="323"/>
      <c r="L174" s="323"/>
      <c r="M174" s="324"/>
      <c r="N174" s="1257">
        <f>Tabel6689172633[[#This Row],[Sew. 2015]]+Tabel6689172633[[#This Row],[WW 2015]]+Tabel6689172633[[#This Row],[Other ch. 2015]]</f>
        <v>0</v>
      </c>
      <c r="O174" s="1258"/>
      <c r="P174" s="318"/>
      <c r="Q174" s="397"/>
      <c r="R174" s="1762">
        <f t="shared" ref="R174:W174" si="55">SUM(F174:F202)/20</f>
        <v>0</v>
      </c>
      <c r="S174" s="2286">
        <f t="shared" si="55"/>
        <v>135.97767637935783</v>
      </c>
      <c r="T174" s="1768">
        <f t="shared" si="55"/>
        <v>0</v>
      </c>
      <c r="U174" s="1774" t="e">
        <f t="shared" si="55"/>
        <v>#REF!</v>
      </c>
      <c r="V174" s="1777">
        <f t="shared" si="55"/>
        <v>0</v>
      </c>
      <c r="W174" s="1810">
        <f t="shared" si="55"/>
        <v>86.875291919663709</v>
      </c>
      <c r="X174" s="1812">
        <f>SUM(M174:M202)/20</f>
        <v>0</v>
      </c>
      <c r="Y174" s="2284">
        <f t="shared" ref="Y174:Z174" si="56">SUM(O174:O202)/20</f>
        <v>53.484712391765171</v>
      </c>
      <c r="Z174" s="2260" t="e">
        <f t="shared" si="56"/>
        <v>#REF!</v>
      </c>
      <c r="AA174" s="397"/>
      <c r="AB174" s="591"/>
      <c r="AC174" s="591"/>
      <c r="AD174" s="591"/>
      <c r="AE174" s="591"/>
      <c r="AF174" s="591"/>
      <c r="AG174" s="591"/>
      <c r="AH174" s="614"/>
      <c r="AI174" s="397"/>
    </row>
    <row r="175" spans="1:35" ht="15.75" customHeight="1" x14ac:dyDescent="0.25">
      <c r="A175" s="1757"/>
      <c r="B175" s="1213"/>
      <c r="C175" s="783" t="s">
        <v>188</v>
      </c>
      <c r="D175" s="1880"/>
      <c r="E175" s="616">
        <f>'[1]exchange rates'!$M$49</f>
        <v>4.1749499999999999</v>
      </c>
      <c r="F175" s="549">
        <v>0</v>
      </c>
      <c r="G175" s="550">
        <f>640/E175</f>
        <v>153.29524904489875</v>
      </c>
      <c r="H175" s="551">
        <v>0</v>
      </c>
      <c r="I175" s="566" t="e">
        <f>[1]!Tabel6689[[#This Row],[Fix.ch. 2015]]+[1]!Tabel6689[[#This Row],[Var. ch. 2015]]+[1]!Tabel6689[[#This Row],[Oth. ch. DW 2015]]</f>
        <v>#REF!</v>
      </c>
      <c r="J175" s="567">
        <v>0</v>
      </c>
      <c r="K175" s="568">
        <f>466/E175</f>
        <v>111.6181032108169</v>
      </c>
      <c r="L175" s="568"/>
      <c r="M175" s="569">
        <v>0</v>
      </c>
      <c r="N175" s="1270">
        <f>Tabel6689172633[[#This Row],[Sew. 2015]]+Tabel6689172633[[#This Row],[WW 2015]]+Tabel6689172633[[#This Row],[Other ch. 2015]]</f>
        <v>111.6181032108169</v>
      </c>
      <c r="O175" s="1271">
        <f>265.44/E175</f>
        <v>63.579204541371752</v>
      </c>
      <c r="P175" s="571" t="e">
        <f>[1]!Tabel6689[[#This Row],[Total. ch. DW 2015]]+[1]!Tabel6689[[#This Row],[Sew. 2015]]+[1]!Tabel6689[[#This Row],[WW 2015]]+[1]!Tabel6689[[#This Row],[Other ch. 2015]]+[1]!Tabel6689[[#This Row],[VAT 2015]]</f>
        <v>#REF!</v>
      </c>
      <c r="Q175" s="397"/>
      <c r="R175" s="1886"/>
      <c r="S175" s="2130"/>
      <c r="T175" s="1890"/>
      <c r="U175" s="1892"/>
      <c r="V175" s="1894"/>
      <c r="W175" s="1911"/>
      <c r="X175" s="1913"/>
      <c r="Y175" s="2138"/>
      <c r="Z175" s="2053"/>
      <c r="AA175" s="397"/>
      <c r="AB175" s="591" t="s">
        <v>429</v>
      </c>
      <c r="AC175" s="591" t="s">
        <v>429</v>
      </c>
      <c r="AD175" s="614"/>
      <c r="AE175" s="614"/>
      <c r="AF175" s="614"/>
      <c r="AG175" s="591" t="s">
        <v>429</v>
      </c>
      <c r="AH175" s="614"/>
      <c r="AI175" s="397"/>
    </row>
    <row r="176" spans="1:35" ht="15.75" customHeight="1" x14ac:dyDescent="0.25">
      <c r="A176" s="1757"/>
      <c r="B176" s="1213"/>
      <c r="C176" s="502" t="s">
        <v>189</v>
      </c>
      <c r="D176" s="1880"/>
      <c r="E176" s="616">
        <f>'[1]exchange rates'!$M$49</f>
        <v>4.1749499999999999</v>
      </c>
      <c r="F176" s="319"/>
      <c r="G176" s="320"/>
      <c r="H176" s="321"/>
      <c r="I176" s="313"/>
      <c r="J176" s="322"/>
      <c r="K176" s="323"/>
      <c r="L176" s="323"/>
      <c r="M176" s="324"/>
      <c r="N176" s="1257">
        <f>Tabel6689172633[[#This Row],[Sew. 2015]]+Tabel6689172633[[#This Row],[WW 2015]]+Tabel6689172633[[#This Row],[Other ch. 2015]]</f>
        <v>0</v>
      </c>
      <c r="O176" s="1258"/>
      <c r="P176" s="318"/>
      <c r="Q176" s="397"/>
      <c r="R176" s="1886"/>
      <c r="S176" s="2130"/>
      <c r="T176" s="1890"/>
      <c r="U176" s="1892"/>
      <c r="V176" s="1894"/>
      <c r="W176" s="1911"/>
      <c r="X176" s="1913"/>
      <c r="Y176" s="2138"/>
      <c r="Z176" s="2053"/>
      <c r="AA176" s="397"/>
      <c r="AB176" s="591"/>
      <c r="AC176" s="591"/>
      <c r="AD176" s="614"/>
      <c r="AE176" s="614"/>
      <c r="AF176" s="614"/>
      <c r="AG176" s="591"/>
      <c r="AH176" s="614"/>
      <c r="AI176" s="397"/>
    </row>
    <row r="177" spans="1:35" ht="15.75" customHeight="1" x14ac:dyDescent="0.25">
      <c r="A177" s="1757"/>
      <c r="B177" s="1213"/>
      <c r="C177" s="783" t="s">
        <v>190</v>
      </c>
      <c r="D177" s="1880"/>
      <c r="E177" s="616">
        <f>'[1]exchange rates'!$M$49</f>
        <v>4.1749499999999999</v>
      </c>
      <c r="F177" s="549">
        <v>0</v>
      </c>
      <c r="G177" s="550">
        <f>704/E177</f>
        <v>168.62477394938861</v>
      </c>
      <c r="H177" s="551">
        <v>0</v>
      </c>
      <c r="I177" s="566" t="e">
        <f>[1]!Tabel6689[[#This Row],[Fix.ch. 2015]]+[1]!Tabel6689[[#This Row],[Var. ch. 2015]]+[1]!Tabel6689[[#This Row],[Oth. ch. DW 2015]]</f>
        <v>#REF!</v>
      </c>
      <c r="J177" s="567">
        <v>0</v>
      </c>
      <c r="K177" s="568">
        <f>486/E177</f>
        <v>116.40857974346999</v>
      </c>
      <c r="L177" s="568"/>
      <c r="M177" s="569">
        <v>0</v>
      </c>
      <c r="N177" s="1270">
        <f>Tabel6689172633[[#This Row],[Sew. 2015]]+Tabel6689172633[[#This Row],[WW 2015]]+Tabel6689172633[[#This Row],[Other ch. 2015]]</f>
        <v>116.40857974346999</v>
      </c>
      <c r="O177" s="1271">
        <f>285.6/E177</f>
        <v>68.408004886286065</v>
      </c>
      <c r="P177" s="571" t="e">
        <f>[1]!Tabel6689[[#This Row],[Total. ch. DW 2015]]+[1]!Tabel6689[[#This Row],[Sew. 2015]]+[1]!Tabel6689[[#This Row],[WW 2015]]+[1]!Tabel6689[[#This Row],[Other ch. 2015]]+[1]!Tabel6689[[#This Row],[VAT 2015]]</f>
        <v>#REF!</v>
      </c>
      <c r="Q177" s="397"/>
      <c r="R177" s="1886"/>
      <c r="S177" s="2130"/>
      <c r="T177" s="1890"/>
      <c r="U177" s="1892"/>
      <c r="V177" s="1894"/>
      <c r="W177" s="1911"/>
      <c r="X177" s="1913"/>
      <c r="Y177" s="2138"/>
      <c r="Z177" s="2053"/>
      <c r="AA177" s="397"/>
      <c r="AB177" s="591" t="s">
        <v>429</v>
      </c>
      <c r="AC177" s="591" t="s">
        <v>429</v>
      </c>
      <c r="AD177" s="614"/>
      <c r="AE177" s="614"/>
      <c r="AF177" s="614"/>
      <c r="AG177" s="591" t="s">
        <v>429</v>
      </c>
      <c r="AH177" s="614"/>
      <c r="AI177" s="397"/>
    </row>
    <row r="178" spans="1:35" ht="15.75" customHeight="1" x14ac:dyDescent="0.25">
      <c r="A178" s="1757"/>
      <c r="B178" s="1213"/>
      <c r="C178" s="1289" t="s">
        <v>191</v>
      </c>
      <c r="D178" s="1880"/>
      <c r="E178" s="616">
        <f>'[1]exchange rates'!$M$49</f>
        <v>4.1749499999999999</v>
      </c>
      <c r="F178" s="319"/>
      <c r="G178" s="320"/>
      <c r="H178" s="321"/>
      <c r="I178" s="313"/>
      <c r="J178" s="322"/>
      <c r="K178" s="323"/>
      <c r="L178" s="323"/>
      <c r="M178" s="324"/>
      <c r="N178" s="1257">
        <f>Tabel6689172633[[#This Row],[Sew. 2015]]+Tabel6689172633[[#This Row],[WW 2015]]+Tabel6689172633[[#This Row],[Other ch. 2015]]</f>
        <v>0</v>
      </c>
      <c r="O178" s="1258"/>
      <c r="P178" s="318"/>
      <c r="Q178" s="397"/>
      <c r="R178" s="1886"/>
      <c r="S178" s="2130"/>
      <c r="T178" s="1890"/>
      <c r="U178" s="1892"/>
      <c r="V178" s="1894"/>
      <c r="W178" s="1911"/>
      <c r="X178" s="1913"/>
      <c r="Y178" s="2138"/>
      <c r="Z178" s="2053"/>
      <c r="AA178" s="397"/>
      <c r="AB178" s="591"/>
      <c r="AC178" s="591"/>
      <c r="AD178" s="614"/>
      <c r="AE178" s="614"/>
      <c r="AF178" s="614"/>
      <c r="AG178" s="591"/>
      <c r="AH178" s="614"/>
      <c r="AI178" s="397"/>
    </row>
    <row r="179" spans="1:35" ht="15.75" customHeight="1" x14ac:dyDescent="0.25">
      <c r="A179" s="1757"/>
      <c r="B179" s="1213"/>
      <c r="C179" s="1289" t="s">
        <v>218</v>
      </c>
      <c r="D179" s="1880"/>
      <c r="E179" s="616">
        <f>'[1]exchange rates'!$M$49</f>
        <v>4.1749499999999999</v>
      </c>
      <c r="F179" s="319"/>
      <c r="G179" s="320"/>
      <c r="H179" s="321"/>
      <c r="I179" s="313"/>
      <c r="J179" s="322"/>
      <c r="K179" s="323"/>
      <c r="L179" s="323"/>
      <c r="M179" s="324"/>
      <c r="N179" s="1257">
        <f>Tabel6689172633[[#This Row],[Sew. 2015]]+Tabel6689172633[[#This Row],[WW 2015]]+Tabel6689172633[[#This Row],[Other ch. 2015]]</f>
        <v>0</v>
      </c>
      <c r="O179" s="1258"/>
      <c r="P179" s="318"/>
      <c r="Q179" s="397"/>
      <c r="R179" s="1886"/>
      <c r="S179" s="2130"/>
      <c r="T179" s="1890"/>
      <c r="U179" s="1892"/>
      <c r="V179" s="1894"/>
      <c r="W179" s="1911"/>
      <c r="X179" s="1913"/>
      <c r="Y179" s="2138"/>
      <c r="Z179" s="2053"/>
      <c r="AA179" s="397"/>
      <c r="AB179" s="591"/>
      <c r="AC179" s="591"/>
      <c r="AD179" s="614"/>
      <c r="AE179" s="614"/>
      <c r="AF179" s="614"/>
      <c r="AG179" s="591"/>
      <c r="AH179" s="614"/>
      <c r="AI179" s="397"/>
    </row>
    <row r="180" spans="1:35" ht="16.5" customHeight="1" x14ac:dyDescent="0.25">
      <c r="A180" s="1757"/>
      <c r="B180" s="1213"/>
      <c r="C180" s="633" t="s">
        <v>219</v>
      </c>
      <c r="D180" s="1880"/>
      <c r="E180" s="616">
        <f>'[1]exchange rates'!$M$49</f>
        <v>4.1749499999999999</v>
      </c>
      <c r="F180" s="549">
        <v>0</v>
      </c>
      <c r="G180" s="550">
        <f>556/E180</f>
        <v>133.17524760775578</v>
      </c>
      <c r="H180" s="551">
        <v>0</v>
      </c>
      <c r="I180" s="566" t="e">
        <f>[1]!Tabel6689[[#This Row],[Fix.ch. 2015]]+[1]!Tabel6689[[#This Row],[Var. ch. 2015]]+[1]!Tabel6689[[#This Row],[Oth. ch. DW 2015]]</f>
        <v>#REF!</v>
      </c>
      <c r="J180" s="567">
        <v>0</v>
      </c>
      <c r="K180" s="568">
        <f>368/E180</f>
        <v>88.144768200816785</v>
      </c>
      <c r="L180" s="568"/>
      <c r="M180" s="569">
        <v>0</v>
      </c>
      <c r="N180" s="1270">
        <f>Tabel6689172633[[#This Row],[Sew. 2015]]+Tabel6689172633[[#This Row],[WW 2015]]+Tabel6689172633[[#This Row],[Other ch. 2015]]</f>
        <v>88.144768200816785</v>
      </c>
      <c r="O180" s="1271">
        <f>221.76/E180</f>
        <v>53.116803794057411</v>
      </c>
      <c r="P180" s="571" t="e">
        <f>[1]!Tabel6689[[#This Row],[Total. ch. DW 2015]]+[1]!Tabel6689[[#This Row],[Sew. 2015]]+[1]!Tabel6689[[#This Row],[WW 2015]]+[1]!Tabel6689[[#This Row],[Other ch. 2015]]+[1]!Tabel6689[[#This Row],[VAT 2015]]</f>
        <v>#REF!</v>
      </c>
      <c r="Q180" s="397"/>
      <c r="R180" s="1886"/>
      <c r="S180" s="2130"/>
      <c r="T180" s="1890"/>
      <c r="U180" s="1892"/>
      <c r="V180" s="1894"/>
      <c r="W180" s="1911"/>
      <c r="X180" s="1913"/>
      <c r="Y180" s="2138"/>
      <c r="Z180" s="2053"/>
      <c r="AA180" s="397"/>
      <c r="AB180" s="591" t="s">
        <v>429</v>
      </c>
      <c r="AC180" s="591" t="s">
        <v>429</v>
      </c>
      <c r="AD180" s="614"/>
      <c r="AE180" s="614"/>
      <c r="AF180" s="614"/>
      <c r="AG180" s="591" t="s">
        <v>429</v>
      </c>
      <c r="AH180" s="614"/>
      <c r="AI180" s="397"/>
    </row>
    <row r="181" spans="1:35" ht="15.75" customHeight="1" x14ac:dyDescent="0.25">
      <c r="A181" s="1757"/>
      <c r="B181" s="1213"/>
      <c r="C181" s="633" t="s">
        <v>513</v>
      </c>
      <c r="D181" s="1880"/>
      <c r="E181" s="616">
        <f>'[1]exchange rates'!$M$49</f>
        <v>4.1749499999999999</v>
      </c>
      <c r="F181" s="549">
        <v>0</v>
      </c>
      <c r="G181" s="550">
        <f>738/E181</f>
        <v>176.76858405489887</v>
      </c>
      <c r="H181" s="551">
        <v>0</v>
      </c>
      <c r="I181" s="566" t="e">
        <f>[1]!Tabel6689[[#This Row],[Fix.ch. 2015]]+[1]!Tabel6689[[#This Row],[Var. ch. 2015]]+[1]!Tabel6689[[#This Row],[Oth. ch. DW 2015]]</f>
        <v>#REF!</v>
      </c>
      <c r="J181" s="567">
        <v>0</v>
      </c>
      <c r="K181" s="568">
        <f>664/E181</f>
        <v>159.04382088408244</v>
      </c>
      <c r="L181" s="568"/>
      <c r="M181" s="569">
        <v>0</v>
      </c>
      <c r="N181" s="1270">
        <f>Tabel6689172633[[#This Row],[Sew. 2015]]+Tabel6689172633[[#This Row],[WW 2015]]+Tabel6689172633[[#This Row],[Other ch. 2015]]</f>
        <v>159.04382088408244</v>
      </c>
      <c r="O181" s="1271">
        <f>336.48/E181</f>
        <v>80.594977185355518</v>
      </c>
      <c r="P181" s="571" t="e">
        <f>[1]!Tabel6689[[#This Row],[Total. ch. DW 2015]]+[1]!Tabel6689[[#This Row],[Sew. 2015]]+[1]!Tabel6689[[#This Row],[WW 2015]]+[1]!Tabel6689[[#This Row],[Other ch. 2015]]+[1]!Tabel6689[[#This Row],[VAT 2015]]</f>
        <v>#REF!</v>
      </c>
      <c r="Q181" s="397"/>
      <c r="R181" s="1886"/>
      <c r="S181" s="2130"/>
      <c r="T181" s="1890"/>
      <c r="U181" s="1892"/>
      <c r="V181" s="1894"/>
      <c r="W181" s="1911"/>
      <c r="X181" s="1913"/>
      <c r="Y181" s="2138"/>
      <c r="Z181" s="2053"/>
      <c r="AA181" s="397"/>
      <c r="AB181" s="591" t="s">
        <v>429</v>
      </c>
      <c r="AC181" s="591" t="s">
        <v>429</v>
      </c>
      <c r="AD181" s="614"/>
      <c r="AE181" s="614"/>
      <c r="AF181" s="614"/>
      <c r="AG181" s="591" t="s">
        <v>429</v>
      </c>
      <c r="AH181" s="614"/>
      <c r="AI181" s="397"/>
    </row>
    <row r="182" spans="1:35" ht="15.75" customHeight="1" x14ac:dyDescent="0.25">
      <c r="A182" s="1757"/>
      <c r="B182" s="1213"/>
      <c r="C182" s="503" t="s">
        <v>514</v>
      </c>
      <c r="D182" s="1880"/>
      <c r="E182" s="616">
        <f>'[1]exchange rates'!$M$49</f>
        <v>4.1749499999999999</v>
      </c>
      <c r="F182" s="319"/>
      <c r="G182" s="320"/>
      <c r="H182" s="321"/>
      <c r="I182" s="313"/>
      <c r="J182" s="322"/>
      <c r="K182" s="323"/>
      <c r="L182" s="323"/>
      <c r="M182" s="324"/>
      <c r="N182" s="1257">
        <f>Tabel6689172633[[#This Row],[Sew. 2015]]+Tabel6689172633[[#This Row],[WW 2015]]+Tabel6689172633[[#This Row],[Other ch. 2015]]</f>
        <v>0</v>
      </c>
      <c r="O182" s="1258"/>
      <c r="P182" s="318"/>
      <c r="Q182" s="397"/>
      <c r="R182" s="1886"/>
      <c r="S182" s="2130"/>
      <c r="T182" s="1890"/>
      <c r="U182" s="1892"/>
      <c r="V182" s="1894"/>
      <c r="W182" s="1911"/>
      <c r="X182" s="1913"/>
      <c r="Y182" s="2138"/>
      <c r="Z182" s="2053"/>
      <c r="AA182" s="397"/>
      <c r="AB182" s="591"/>
      <c r="AC182" s="591"/>
      <c r="AD182" s="614"/>
      <c r="AE182" s="614"/>
      <c r="AF182" s="614"/>
      <c r="AG182" s="591"/>
      <c r="AH182" s="614"/>
      <c r="AI182" s="397"/>
    </row>
    <row r="183" spans="1:35" ht="15.75" customHeight="1" x14ac:dyDescent="0.25">
      <c r="A183" s="1757"/>
      <c r="B183" s="1213"/>
      <c r="C183" s="503" t="s">
        <v>515</v>
      </c>
      <c r="D183" s="1880"/>
      <c r="E183" s="616">
        <f>'[1]exchange rates'!$M$49</f>
        <v>4.1749499999999999</v>
      </c>
      <c r="F183" s="319"/>
      <c r="G183" s="320"/>
      <c r="H183" s="321"/>
      <c r="I183" s="313"/>
      <c r="J183" s="322"/>
      <c r="K183" s="323"/>
      <c r="L183" s="323"/>
      <c r="M183" s="324"/>
      <c r="N183" s="1257">
        <f>Tabel6689172633[[#This Row],[Sew. 2015]]+Tabel6689172633[[#This Row],[WW 2015]]+Tabel6689172633[[#This Row],[Other ch. 2015]]</f>
        <v>0</v>
      </c>
      <c r="O183" s="1258"/>
      <c r="P183" s="318"/>
      <c r="Q183" s="397"/>
      <c r="R183" s="1886"/>
      <c r="S183" s="2130"/>
      <c r="T183" s="1890"/>
      <c r="U183" s="1892"/>
      <c r="V183" s="1894"/>
      <c r="W183" s="1911"/>
      <c r="X183" s="1913"/>
      <c r="Y183" s="2138"/>
      <c r="Z183" s="2053"/>
      <c r="AA183" s="397"/>
      <c r="AB183" s="591"/>
      <c r="AC183" s="591"/>
      <c r="AD183" s="614"/>
      <c r="AE183" s="614"/>
      <c r="AF183" s="614"/>
      <c r="AG183" s="591"/>
      <c r="AH183" s="614"/>
      <c r="AI183" s="397"/>
    </row>
    <row r="184" spans="1:35" ht="15.75" customHeight="1" x14ac:dyDescent="0.25">
      <c r="A184" s="1757"/>
      <c r="B184" s="1213"/>
      <c r="C184" s="633" t="s">
        <v>516</v>
      </c>
      <c r="D184" s="1880"/>
      <c r="E184" s="616">
        <f>'[1]exchange rates'!$M$49</f>
        <v>4.1749499999999999</v>
      </c>
      <c r="F184" s="549">
        <v>0</v>
      </c>
      <c r="G184" s="550">
        <f>880/E184</f>
        <v>210.78096743673578</v>
      </c>
      <c r="H184" s="551">
        <v>0</v>
      </c>
      <c r="I184" s="566" t="e">
        <f>[1]!Tabel6689[[#This Row],[Fix.ch. 2015]]+[1]!Tabel6689[[#This Row],[Var. ch. 2015]]+[1]!Tabel6689[[#This Row],[Oth. ch. DW 2015]]</f>
        <v>#REF!</v>
      </c>
      <c r="J184" s="567">
        <v>0</v>
      </c>
      <c r="K184" s="568">
        <f>502/E184</f>
        <v>120.24096096959245</v>
      </c>
      <c r="L184" s="568"/>
      <c r="M184" s="569">
        <v>0</v>
      </c>
      <c r="N184" s="1270">
        <f>Tabel6689172633[[#This Row],[Sew. 2015]]+Tabel6689172633[[#This Row],[WW 2015]]+Tabel6689172633[[#This Row],[Other ch. 2015]]</f>
        <v>120.24096096959245</v>
      </c>
      <c r="O184" s="1271">
        <f>331.68/E184</f>
        <v>79.445262817518781</v>
      </c>
      <c r="P184" s="571" t="e">
        <f>[1]!Tabel6689[[#This Row],[Total. ch. DW 2015]]+[1]!Tabel6689[[#This Row],[Sew. 2015]]+[1]!Tabel6689[[#This Row],[WW 2015]]+[1]!Tabel6689[[#This Row],[Other ch. 2015]]+[1]!Tabel6689[[#This Row],[VAT 2015]]</f>
        <v>#REF!</v>
      </c>
      <c r="Q184" s="397"/>
      <c r="R184" s="1886"/>
      <c r="S184" s="2130"/>
      <c r="T184" s="1890"/>
      <c r="U184" s="1892"/>
      <c r="V184" s="1894"/>
      <c r="W184" s="1911"/>
      <c r="X184" s="1913"/>
      <c r="Y184" s="2138"/>
      <c r="Z184" s="2053"/>
      <c r="AA184" s="397"/>
      <c r="AB184" s="591" t="s">
        <v>429</v>
      </c>
      <c r="AC184" s="591" t="s">
        <v>429</v>
      </c>
      <c r="AD184" s="614"/>
      <c r="AE184" s="614"/>
      <c r="AF184" s="614"/>
      <c r="AG184" s="591" t="s">
        <v>429</v>
      </c>
      <c r="AH184" s="614"/>
      <c r="AI184" s="397"/>
    </row>
    <row r="185" spans="1:35" ht="15.75" customHeight="1" x14ac:dyDescent="0.25">
      <c r="A185" s="1757"/>
      <c r="B185" s="1213"/>
      <c r="C185" s="503" t="s">
        <v>1352</v>
      </c>
      <c r="D185" s="1880"/>
      <c r="E185" s="616">
        <f>'[1]exchange rates'!$M$49</f>
        <v>4.1749499999999999</v>
      </c>
      <c r="F185" s="319"/>
      <c r="G185" s="320"/>
      <c r="H185" s="321"/>
      <c r="I185" s="313"/>
      <c r="J185" s="322"/>
      <c r="K185" s="323"/>
      <c r="L185" s="323"/>
      <c r="M185" s="324"/>
      <c r="N185" s="1257">
        <f>Tabel6689172633[[#This Row],[Sew. 2015]]+Tabel6689172633[[#This Row],[WW 2015]]+Tabel6689172633[[#This Row],[Other ch. 2015]]</f>
        <v>0</v>
      </c>
      <c r="O185" s="1258"/>
      <c r="P185" s="318"/>
      <c r="Q185" s="397"/>
      <c r="R185" s="1886"/>
      <c r="S185" s="2130"/>
      <c r="T185" s="1890"/>
      <c r="U185" s="1892"/>
      <c r="V185" s="1894"/>
      <c r="W185" s="1911"/>
      <c r="X185" s="1913"/>
      <c r="Y185" s="2138"/>
      <c r="Z185" s="2053"/>
      <c r="AA185" s="397"/>
      <c r="AB185" s="591"/>
      <c r="AC185" s="591"/>
      <c r="AD185" s="614"/>
      <c r="AE185" s="614"/>
      <c r="AF185" s="614"/>
      <c r="AG185" s="591"/>
      <c r="AH185" s="614"/>
      <c r="AI185" s="397"/>
    </row>
    <row r="186" spans="1:35" ht="15.75" customHeight="1" x14ac:dyDescent="0.25">
      <c r="A186" s="1757"/>
      <c r="B186" s="1213"/>
      <c r="C186" s="503" t="s">
        <v>517</v>
      </c>
      <c r="D186" s="1880"/>
      <c r="E186" s="616">
        <f>'[1]exchange rates'!$M$49</f>
        <v>4.1749499999999999</v>
      </c>
      <c r="F186" s="319"/>
      <c r="G186" s="320"/>
      <c r="H186" s="321"/>
      <c r="I186" s="313"/>
      <c r="J186" s="322"/>
      <c r="K186" s="323"/>
      <c r="L186" s="323"/>
      <c r="M186" s="324"/>
      <c r="N186" s="1257">
        <f>Tabel6689172633[[#This Row],[Sew. 2015]]+Tabel6689172633[[#This Row],[WW 2015]]+Tabel6689172633[[#This Row],[Other ch. 2015]]</f>
        <v>0</v>
      </c>
      <c r="O186" s="1258"/>
      <c r="P186" s="318"/>
      <c r="Q186" s="397"/>
      <c r="R186" s="1886"/>
      <c r="S186" s="2130"/>
      <c r="T186" s="1890"/>
      <c r="U186" s="1892"/>
      <c r="V186" s="1894"/>
      <c r="W186" s="1911"/>
      <c r="X186" s="1913"/>
      <c r="Y186" s="2138"/>
      <c r="Z186" s="2053"/>
      <c r="AA186" s="397"/>
      <c r="AB186" s="591"/>
      <c r="AC186" s="591"/>
      <c r="AD186" s="614"/>
      <c r="AE186" s="614"/>
      <c r="AF186" s="614"/>
      <c r="AG186" s="591"/>
      <c r="AH186" s="614"/>
      <c r="AI186" s="397"/>
    </row>
    <row r="187" spans="1:35" ht="15.75" customHeight="1" x14ac:dyDescent="0.25">
      <c r="A187" s="1757"/>
      <c r="B187" s="1213"/>
      <c r="C187" s="503" t="s">
        <v>518</v>
      </c>
      <c r="D187" s="1880"/>
      <c r="E187" s="616">
        <f>'[1]exchange rates'!$M$49</f>
        <v>4.1749499999999999</v>
      </c>
      <c r="F187" s="319"/>
      <c r="G187" s="320"/>
      <c r="H187" s="321"/>
      <c r="I187" s="313"/>
      <c r="J187" s="322"/>
      <c r="K187" s="323"/>
      <c r="L187" s="323"/>
      <c r="M187" s="324"/>
      <c r="N187" s="1257">
        <f>Tabel6689172633[[#This Row],[Sew. 2015]]+Tabel6689172633[[#This Row],[WW 2015]]+Tabel6689172633[[#This Row],[Other ch. 2015]]</f>
        <v>0</v>
      </c>
      <c r="O187" s="1258"/>
      <c r="P187" s="318"/>
      <c r="Q187" s="397"/>
      <c r="R187" s="1886"/>
      <c r="S187" s="2130"/>
      <c r="T187" s="1890"/>
      <c r="U187" s="1892"/>
      <c r="V187" s="1894"/>
      <c r="W187" s="1911"/>
      <c r="X187" s="1913"/>
      <c r="Y187" s="2138"/>
      <c r="Z187" s="2053"/>
      <c r="AA187" s="397"/>
      <c r="AB187" s="591"/>
      <c r="AC187" s="591"/>
      <c r="AD187" s="614"/>
      <c r="AE187" s="614"/>
      <c r="AF187" s="614"/>
      <c r="AG187" s="591"/>
      <c r="AH187" s="614"/>
      <c r="AI187" s="397"/>
    </row>
    <row r="188" spans="1:35" ht="15.75" customHeight="1" x14ac:dyDescent="0.25">
      <c r="A188" s="1757"/>
      <c r="B188" s="1213"/>
      <c r="C188" s="503" t="s">
        <v>519</v>
      </c>
      <c r="D188" s="1880"/>
      <c r="E188" s="616">
        <f>'[1]exchange rates'!$M$49</f>
        <v>4.1749499999999999</v>
      </c>
      <c r="F188" s="319"/>
      <c r="G188" s="320"/>
      <c r="H188" s="321"/>
      <c r="I188" s="313"/>
      <c r="J188" s="322"/>
      <c r="K188" s="323"/>
      <c r="L188" s="323"/>
      <c r="M188" s="324"/>
      <c r="N188" s="1257">
        <f>Tabel6689172633[[#This Row],[Sew. 2015]]+Tabel6689172633[[#This Row],[WW 2015]]+Tabel6689172633[[#This Row],[Other ch. 2015]]</f>
        <v>0</v>
      </c>
      <c r="O188" s="1258"/>
      <c r="P188" s="318"/>
      <c r="Q188" s="397"/>
      <c r="R188" s="1886"/>
      <c r="S188" s="2130"/>
      <c r="T188" s="1890"/>
      <c r="U188" s="1892"/>
      <c r="V188" s="1894"/>
      <c r="W188" s="1911"/>
      <c r="X188" s="1913"/>
      <c r="Y188" s="2138"/>
      <c r="Z188" s="2053"/>
      <c r="AA188" s="397"/>
      <c r="AB188" s="591"/>
      <c r="AC188" s="591"/>
      <c r="AD188" s="614"/>
      <c r="AE188" s="614"/>
      <c r="AF188" s="614"/>
      <c r="AG188" s="591"/>
      <c r="AH188" s="614"/>
      <c r="AI188" s="397"/>
    </row>
    <row r="189" spans="1:35" ht="15.75" customHeight="1" x14ac:dyDescent="0.25">
      <c r="A189" s="1757"/>
      <c r="B189" s="1213"/>
      <c r="C189" s="503" t="s">
        <v>596</v>
      </c>
      <c r="D189" s="1880"/>
      <c r="E189" s="616">
        <f>'[1]exchange rates'!$M$49</f>
        <v>4.1749499999999999</v>
      </c>
      <c r="F189" s="319"/>
      <c r="G189" s="320"/>
      <c r="H189" s="321"/>
      <c r="I189" s="313"/>
      <c r="J189" s="322"/>
      <c r="K189" s="323"/>
      <c r="L189" s="323"/>
      <c r="M189" s="324"/>
      <c r="N189" s="1257">
        <f>Tabel6689172633[[#This Row],[Sew. 2015]]+Tabel6689172633[[#This Row],[WW 2015]]+Tabel6689172633[[#This Row],[Other ch. 2015]]</f>
        <v>0</v>
      </c>
      <c r="O189" s="1258"/>
      <c r="P189" s="318"/>
      <c r="Q189" s="397"/>
      <c r="R189" s="1886"/>
      <c r="S189" s="2130"/>
      <c r="T189" s="1890"/>
      <c r="U189" s="1892"/>
      <c r="V189" s="1894"/>
      <c r="W189" s="1911"/>
      <c r="X189" s="1913"/>
      <c r="Y189" s="2138"/>
      <c r="Z189" s="2053"/>
      <c r="AA189" s="397"/>
      <c r="AB189" s="591"/>
      <c r="AC189" s="591"/>
      <c r="AD189" s="614"/>
      <c r="AE189" s="614"/>
      <c r="AF189" s="614"/>
      <c r="AG189" s="591"/>
      <c r="AH189" s="614"/>
      <c r="AI189" s="397"/>
    </row>
    <row r="190" spans="1:35" ht="15.75" customHeight="1" x14ac:dyDescent="0.25">
      <c r="A190" s="1757"/>
      <c r="B190" s="1213"/>
      <c r="C190" s="633" t="s">
        <v>1353</v>
      </c>
      <c r="D190" s="1880"/>
      <c r="E190" s="616">
        <f>'[1]exchange rates'!$M$49</f>
        <v>4.1749499999999999</v>
      </c>
      <c r="F190" s="549">
        <v>0</v>
      </c>
      <c r="G190" s="550">
        <f>622/E190</f>
        <v>148.98382016551096</v>
      </c>
      <c r="H190" s="551">
        <v>0</v>
      </c>
      <c r="I190" s="566" t="e">
        <f>[1]!Tabel6689[[#This Row],[Fix.ch. 2015]]+[1]!Tabel6689[[#This Row],[Var. ch. 2015]]+[1]!Tabel6689[[#This Row],[Oth. ch. DW 2015]]</f>
        <v>#REF!</v>
      </c>
      <c r="J190" s="567">
        <v>0</v>
      </c>
      <c r="K190" s="568">
        <f>248/E190</f>
        <v>59.401909004898265</v>
      </c>
      <c r="L190" s="568"/>
      <c r="M190" s="569">
        <v>0</v>
      </c>
      <c r="N190" s="1270">
        <f>Tabel6689172633[[#This Row],[Sew. 2015]]+Tabel6689172633[[#This Row],[WW 2015]]+Tabel6689172633[[#This Row],[Other ch. 2015]]</f>
        <v>59.401909004898265</v>
      </c>
      <c r="O190" s="1271">
        <f>208.8/E190</f>
        <v>50.012575000898217</v>
      </c>
      <c r="P190" s="571" t="e">
        <f>[1]!Tabel6689[[#This Row],[Total. ch. DW 2015]]+[1]!Tabel6689[[#This Row],[Sew. 2015]]+[1]!Tabel6689[[#This Row],[WW 2015]]+[1]!Tabel6689[[#This Row],[Other ch. 2015]]+[1]!Tabel6689[[#This Row],[VAT 2015]]</f>
        <v>#REF!</v>
      </c>
      <c r="Q190" s="397"/>
      <c r="R190" s="1886"/>
      <c r="S190" s="2130"/>
      <c r="T190" s="1890"/>
      <c r="U190" s="1892"/>
      <c r="V190" s="1894"/>
      <c r="W190" s="1911"/>
      <c r="X190" s="1913"/>
      <c r="Y190" s="2138"/>
      <c r="Z190" s="2053"/>
      <c r="AA190" s="397"/>
      <c r="AB190" s="591" t="s">
        <v>429</v>
      </c>
      <c r="AC190" s="591" t="s">
        <v>429</v>
      </c>
      <c r="AD190" s="614"/>
      <c r="AE190" s="614"/>
      <c r="AF190" s="614"/>
      <c r="AG190" s="591" t="s">
        <v>429</v>
      </c>
      <c r="AH190" s="614"/>
      <c r="AI190" s="397"/>
    </row>
    <row r="191" spans="1:35" ht="16.5" customHeight="1" x14ac:dyDescent="0.25">
      <c r="A191" s="1757"/>
      <c r="B191" s="1213"/>
      <c r="C191" s="633" t="s">
        <v>520</v>
      </c>
      <c r="D191" s="1880"/>
      <c r="E191" s="616">
        <f>'[1]exchange rates'!$M$49</f>
        <v>4.1749499999999999</v>
      </c>
      <c r="F191" s="549">
        <v>0</v>
      </c>
      <c r="G191" s="550">
        <f>638/E191</f>
        <v>152.81620139163343</v>
      </c>
      <c r="H191" s="551">
        <v>0</v>
      </c>
      <c r="I191" s="566" t="e">
        <f>[1]!Tabel6689[[#This Row],[Fix.ch. 2015]]+[1]!Tabel6689[[#This Row],[Var. ch. 2015]]+[1]!Tabel6689[[#This Row],[Oth. ch. DW 2015]]</f>
        <v>#REF!</v>
      </c>
      <c r="J191" s="567">
        <v>0</v>
      </c>
      <c r="K191" s="568">
        <f>614/E191</f>
        <v>147.06762955244974</v>
      </c>
      <c r="L191" s="568"/>
      <c r="M191" s="569">
        <v>0</v>
      </c>
      <c r="N191" s="1270">
        <f>Tabel6689172633[[#This Row],[Sew. 2015]]+Tabel6689172633[[#This Row],[WW 2015]]+Tabel6689172633[[#This Row],[Other ch. 2015]]</f>
        <v>147.06762955244974</v>
      </c>
      <c r="O191" s="1271">
        <f>300.48/E191</f>
        <v>71.972119426579965</v>
      </c>
      <c r="P191" s="571" t="e">
        <f>[1]!Tabel6689[[#This Row],[Total. ch. DW 2015]]+[1]!Tabel6689[[#This Row],[Sew. 2015]]+[1]!Tabel6689[[#This Row],[WW 2015]]+[1]!Tabel6689[[#This Row],[Other ch. 2015]]+[1]!Tabel6689[[#This Row],[VAT 2015]]</f>
        <v>#REF!</v>
      </c>
      <c r="Q191" s="397"/>
      <c r="R191" s="1886"/>
      <c r="S191" s="2130"/>
      <c r="T191" s="1890"/>
      <c r="U191" s="1892"/>
      <c r="V191" s="1894"/>
      <c r="W191" s="1911"/>
      <c r="X191" s="1913"/>
      <c r="Y191" s="2138"/>
      <c r="Z191" s="2053"/>
      <c r="AA191" s="397"/>
      <c r="AB191" s="591" t="s">
        <v>429</v>
      </c>
      <c r="AC191" s="591" t="s">
        <v>429</v>
      </c>
      <c r="AD191" s="614"/>
      <c r="AE191" s="614"/>
      <c r="AF191" s="614"/>
      <c r="AG191" s="591" t="s">
        <v>429</v>
      </c>
      <c r="AH191" s="614"/>
      <c r="AI191" s="397"/>
    </row>
    <row r="192" spans="1:35" ht="15.75" x14ac:dyDescent="0.25">
      <c r="A192" s="1757"/>
      <c r="B192" s="1213"/>
      <c r="C192" s="633" t="s">
        <v>597</v>
      </c>
      <c r="D192" s="1880"/>
      <c r="E192" s="616">
        <f>'[1]exchange rates'!$M$49</f>
        <v>4.1749499999999999</v>
      </c>
      <c r="F192" s="549">
        <v>0</v>
      </c>
      <c r="G192" s="550">
        <f>702/E192</f>
        <v>168.14572629612331</v>
      </c>
      <c r="H192" s="551">
        <v>0</v>
      </c>
      <c r="I192" s="566" t="e">
        <f>[1]!Tabel6689[[#This Row],[Fix.ch. 2015]]+[1]!Tabel6689[[#This Row],[Var. ch. 2015]]+[1]!Tabel6689[[#This Row],[Oth. ch. DW 2015]]</f>
        <v>#REF!</v>
      </c>
      <c r="J192" s="567">
        <v>0</v>
      </c>
      <c r="K192" s="568">
        <f>506/E192</f>
        <v>121.19905627612307</v>
      </c>
      <c r="L192" s="568"/>
      <c r="M192" s="569">
        <v>0</v>
      </c>
      <c r="N192" s="1270">
        <f>Tabel6689172633[[#This Row],[Sew. 2015]]+Tabel6689172633[[#This Row],[WW 2015]]+Tabel6689172633[[#This Row],[Other ch. 2015]]</f>
        <v>121.19905627612307</v>
      </c>
      <c r="O192" s="1271">
        <f>289.92/E192</f>
        <v>69.442747817339139</v>
      </c>
      <c r="P192" s="571" t="e">
        <f>[1]!Tabel6689[[#This Row],[Total. ch. DW 2015]]+[1]!Tabel6689[[#This Row],[Sew. 2015]]+[1]!Tabel6689[[#This Row],[WW 2015]]+[1]!Tabel6689[[#This Row],[Other ch. 2015]]+[1]!Tabel6689[[#This Row],[VAT 2015]]</f>
        <v>#REF!</v>
      </c>
      <c r="Q192" s="397"/>
      <c r="R192" s="1886"/>
      <c r="S192" s="2130"/>
      <c r="T192" s="1890"/>
      <c r="U192" s="1892"/>
      <c r="V192" s="1894"/>
      <c r="W192" s="1911"/>
      <c r="X192" s="1913"/>
      <c r="Y192" s="2138"/>
      <c r="Z192" s="2053"/>
      <c r="AA192" s="397"/>
      <c r="AB192" s="591" t="s">
        <v>429</v>
      </c>
      <c r="AC192" s="591" t="s">
        <v>429</v>
      </c>
      <c r="AD192" s="614"/>
      <c r="AE192" s="614"/>
      <c r="AF192" s="614"/>
      <c r="AG192" s="591" t="s">
        <v>429</v>
      </c>
      <c r="AH192" s="614"/>
      <c r="AI192" s="397"/>
    </row>
    <row r="193" spans="1:35" ht="15.75" x14ac:dyDescent="0.25">
      <c r="A193" s="1757"/>
      <c r="B193" s="1213"/>
      <c r="C193" s="633" t="s">
        <v>765</v>
      </c>
      <c r="D193" s="1880"/>
      <c r="E193" s="616">
        <f>'[1]exchange rates'!$M$49</f>
        <v>4.1749499999999999</v>
      </c>
      <c r="F193" s="549">
        <v>0</v>
      </c>
      <c r="G193" s="550">
        <f>618/E193</f>
        <v>148.02572485898034</v>
      </c>
      <c r="H193" s="551">
        <v>0</v>
      </c>
      <c r="I193" s="566" t="e">
        <f>[1]!Tabel6689[[#This Row],[Fix.ch. 2015]]+[1]!Tabel6689[[#This Row],[Var. ch. 2015]]+[1]!Tabel6689[[#This Row],[Oth. ch. DW 2015]]</f>
        <v>#REF!</v>
      </c>
      <c r="J193" s="567">
        <v>0</v>
      </c>
      <c r="K193" s="568">
        <f>514/E193</f>
        <v>123.11524688918431</v>
      </c>
      <c r="L193" s="568"/>
      <c r="M193" s="569">
        <v>0</v>
      </c>
      <c r="N193" s="1270">
        <f>Tabel6689172633[[#This Row],[Sew. 2015]]+Tabel6689172633[[#This Row],[WW 2015]]+Tabel6689172633[[#This Row],[Other ch. 2015]]</f>
        <v>123.11524688918431</v>
      </c>
      <c r="O193" s="1271">
        <f>271.68/E193</f>
        <v>65.073833219559518</v>
      </c>
      <c r="P193" s="571" t="e">
        <f>[1]!Tabel6689[[#This Row],[Total. ch. DW 2015]]+[1]!Tabel6689[[#This Row],[Sew. 2015]]+[1]!Tabel6689[[#This Row],[WW 2015]]+[1]!Tabel6689[[#This Row],[Other ch. 2015]]+[1]!Tabel6689[[#This Row],[VAT 2015]]</f>
        <v>#REF!</v>
      </c>
      <c r="Q193" s="397"/>
      <c r="R193" s="1886"/>
      <c r="S193" s="2130"/>
      <c r="T193" s="1890"/>
      <c r="U193" s="1892"/>
      <c r="V193" s="1894"/>
      <c r="W193" s="1911"/>
      <c r="X193" s="1913"/>
      <c r="Y193" s="2138"/>
      <c r="Z193" s="2053"/>
      <c r="AA193" s="397"/>
      <c r="AB193" s="591" t="s">
        <v>429</v>
      </c>
      <c r="AC193" s="591" t="s">
        <v>429</v>
      </c>
      <c r="AD193" s="614"/>
      <c r="AE193" s="614"/>
      <c r="AF193" s="614"/>
      <c r="AG193" s="591" t="s">
        <v>429</v>
      </c>
      <c r="AH193" s="614"/>
      <c r="AI193" s="397"/>
    </row>
    <row r="194" spans="1:35" ht="15.75" x14ac:dyDescent="0.25">
      <c r="A194" s="1757"/>
      <c r="B194" s="1213"/>
      <c r="C194" s="633" t="s">
        <v>1354</v>
      </c>
      <c r="D194" s="1880"/>
      <c r="E194" s="616">
        <f>'[1]exchange rates'!$M$49</f>
        <v>4.1749499999999999</v>
      </c>
      <c r="F194" s="549">
        <v>0</v>
      </c>
      <c r="G194" s="550">
        <f>918/E194</f>
        <v>219.88287284877663</v>
      </c>
      <c r="H194" s="551">
        <v>0</v>
      </c>
      <c r="I194" s="566" t="e">
        <f>[1]!Tabel6689[[#This Row],[Fix.ch. 2015]]+[1]!Tabel6689[[#This Row],[Var. ch. 2015]]+[1]!Tabel6689[[#This Row],[Oth. ch. DW 2015]]</f>
        <v>#REF!</v>
      </c>
      <c r="J194" s="567">
        <v>0</v>
      </c>
      <c r="K194" s="568">
        <f>204/E194</f>
        <v>48.862860633061473</v>
      </c>
      <c r="L194" s="568"/>
      <c r="M194" s="569">
        <v>0</v>
      </c>
      <c r="N194" s="1270">
        <f>Tabel6689172633[[#This Row],[Sew. 2015]]+Tabel6689172633[[#This Row],[WW 2015]]+Tabel6689172633[[#This Row],[Other ch. 2015]]</f>
        <v>48.862860633061473</v>
      </c>
      <c r="O194" s="1271">
        <f>269.28/E194</f>
        <v>64.498976035641135</v>
      </c>
      <c r="P194" s="571" t="e">
        <f>[1]!Tabel6689[[#This Row],[Total. ch. DW 2015]]+[1]!Tabel6689[[#This Row],[Sew. 2015]]+[1]!Tabel6689[[#This Row],[WW 2015]]+[1]!Tabel6689[[#This Row],[Other ch. 2015]]+[1]!Tabel6689[[#This Row],[VAT 2015]]</f>
        <v>#REF!</v>
      </c>
      <c r="Q194" s="397"/>
      <c r="R194" s="1886"/>
      <c r="S194" s="2130"/>
      <c r="T194" s="1890"/>
      <c r="U194" s="1892"/>
      <c r="V194" s="1894"/>
      <c r="W194" s="1911"/>
      <c r="X194" s="1913"/>
      <c r="Y194" s="2138"/>
      <c r="Z194" s="2053"/>
      <c r="AA194" s="397"/>
      <c r="AB194" s="591" t="s">
        <v>429</v>
      </c>
      <c r="AC194" s="591" t="s">
        <v>429</v>
      </c>
      <c r="AD194" s="614"/>
      <c r="AE194" s="614"/>
      <c r="AF194" s="614"/>
      <c r="AG194" s="591" t="s">
        <v>429</v>
      </c>
      <c r="AH194" s="614"/>
      <c r="AI194" s="397"/>
    </row>
    <row r="195" spans="1:35" ht="15.75" x14ac:dyDescent="0.25">
      <c r="A195" s="1757"/>
      <c r="B195" s="1213"/>
      <c r="C195" s="633" t="s">
        <v>766</v>
      </c>
      <c r="D195" s="1880"/>
      <c r="E195" s="616">
        <f>'[1]exchange rates'!$M$49</f>
        <v>4.1749499999999999</v>
      </c>
      <c r="F195" s="549">
        <v>0</v>
      </c>
      <c r="G195" s="550">
        <f>604/E195</f>
        <v>144.6723912861232</v>
      </c>
      <c r="H195" s="551">
        <v>0</v>
      </c>
      <c r="I195" s="566" t="e">
        <f>[1]!Tabel6689[[#This Row],[Fix.ch. 2015]]+[1]!Tabel6689[[#This Row],[Var. ch. 2015]]+[1]!Tabel6689[[#This Row],[Oth. ch. DW 2015]]</f>
        <v>#REF!</v>
      </c>
      <c r="J195" s="567">
        <v>0</v>
      </c>
      <c r="K195" s="568">
        <f>458/E195</f>
        <v>109.70191259775567</v>
      </c>
      <c r="L195" s="568"/>
      <c r="M195" s="569">
        <v>0</v>
      </c>
      <c r="N195" s="1270">
        <f>Tabel6689172633[[#This Row],[Sew. 2015]]+Tabel6689172633[[#This Row],[WW 2015]]+Tabel6689172633[[#This Row],[Other ch. 2015]]</f>
        <v>109.70191259775567</v>
      </c>
      <c r="O195" s="1271">
        <f>254.88/E195</f>
        <v>61.049832932130926</v>
      </c>
      <c r="P195" s="571" t="e">
        <f>[1]!Tabel6689[[#This Row],[Total. ch. DW 2015]]+[1]!Tabel6689[[#This Row],[Sew. 2015]]+[1]!Tabel6689[[#This Row],[WW 2015]]+[1]!Tabel6689[[#This Row],[Other ch. 2015]]+[1]!Tabel6689[[#This Row],[VAT 2015]]</f>
        <v>#REF!</v>
      </c>
      <c r="Q195" s="397"/>
      <c r="R195" s="1886"/>
      <c r="S195" s="2130"/>
      <c r="T195" s="1890"/>
      <c r="U195" s="1892"/>
      <c r="V195" s="1894"/>
      <c r="W195" s="1911"/>
      <c r="X195" s="1913"/>
      <c r="Y195" s="2138"/>
      <c r="Z195" s="2053"/>
      <c r="AA195" s="397"/>
      <c r="AB195" s="591"/>
      <c r="AC195" s="591" t="s">
        <v>429</v>
      </c>
      <c r="AD195" s="614"/>
      <c r="AE195" s="614"/>
      <c r="AF195" s="614"/>
      <c r="AG195" s="591" t="s">
        <v>429</v>
      </c>
      <c r="AH195" s="614"/>
      <c r="AI195" s="397"/>
    </row>
    <row r="196" spans="1:35" ht="15.75" x14ac:dyDescent="0.25">
      <c r="A196" s="1757"/>
      <c r="B196" s="1213"/>
      <c r="C196" s="633" t="s">
        <v>767</v>
      </c>
      <c r="D196" s="1880"/>
      <c r="E196" s="616">
        <f>'[1]exchange rates'!$M$49</f>
        <v>4.1749499999999999</v>
      </c>
      <c r="F196" s="549">
        <v>0</v>
      </c>
      <c r="G196" s="550">
        <f>540/E196</f>
        <v>129.34286638163331</v>
      </c>
      <c r="H196" s="551">
        <v>0</v>
      </c>
      <c r="I196" s="566" t="e">
        <f>[1]!Tabel6689[[#This Row],[Fix.ch. 2015]]+[1]!Tabel6689[[#This Row],[Var. ch. 2015]]+[1]!Tabel6689[[#This Row],[Oth. ch. DW 2015]]</f>
        <v>#REF!</v>
      </c>
      <c r="J196" s="567">
        <v>0</v>
      </c>
      <c r="K196" s="568">
        <f>508/E196</f>
        <v>121.67810392938837</v>
      </c>
      <c r="L196" s="568"/>
      <c r="M196" s="569">
        <v>0</v>
      </c>
      <c r="N196" s="1270">
        <f>Tabel6689172633[[#This Row],[Sew. 2015]]+Tabel6689172633[[#This Row],[WW 2015]]+Tabel6689172633[[#This Row],[Other ch. 2015]]</f>
        <v>121.67810392938837</v>
      </c>
      <c r="O196" s="1271">
        <f>251.52/E196</f>
        <v>60.245032874645212</v>
      </c>
      <c r="P196" s="571" t="e">
        <f>[1]!Tabel6689[[#This Row],[Total. ch. DW 2015]]+[1]!Tabel6689[[#This Row],[Sew. 2015]]+[1]!Tabel6689[[#This Row],[WW 2015]]+[1]!Tabel6689[[#This Row],[Other ch. 2015]]+[1]!Tabel6689[[#This Row],[VAT 2015]]</f>
        <v>#REF!</v>
      </c>
      <c r="Q196" s="397"/>
      <c r="R196" s="1886"/>
      <c r="S196" s="2130"/>
      <c r="T196" s="1890"/>
      <c r="U196" s="1892"/>
      <c r="V196" s="1894"/>
      <c r="W196" s="1911"/>
      <c r="X196" s="1913"/>
      <c r="Y196" s="2138"/>
      <c r="Z196" s="2053"/>
      <c r="AA196" s="397"/>
      <c r="AB196" s="591" t="s">
        <v>429</v>
      </c>
      <c r="AC196" s="591" t="s">
        <v>429</v>
      </c>
      <c r="AD196" s="614"/>
      <c r="AE196" s="614"/>
      <c r="AF196" s="614"/>
      <c r="AG196" s="591" t="s">
        <v>429</v>
      </c>
      <c r="AH196" s="614"/>
      <c r="AI196" s="397"/>
    </row>
    <row r="197" spans="1:35" ht="15.75" x14ac:dyDescent="0.25">
      <c r="A197" s="1757"/>
      <c r="B197" s="1213"/>
      <c r="C197" s="633" t="s">
        <v>768</v>
      </c>
      <c r="D197" s="1880"/>
      <c r="E197" s="616">
        <f>'[1]exchange rates'!$M$49</f>
        <v>4.1749499999999999</v>
      </c>
      <c r="F197" s="549">
        <v>0</v>
      </c>
      <c r="G197" s="550">
        <f>610/E197</f>
        <v>146.10953424591912</v>
      </c>
      <c r="H197" s="551">
        <v>0</v>
      </c>
      <c r="I197" s="566" t="e">
        <f>[1]!Tabel6689[[#This Row],[Fix.ch. 2015]]+[1]!Tabel6689[[#This Row],[Var. ch. 2015]]+[1]!Tabel6689[[#This Row],[Oth. ch. DW 2015]]</f>
        <v>#REF!</v>
      </c>
      <c r="J197" s="567">
        <v>0</v>
      </c>
      <c r="K197" s="568">
        <f>294/E197</f>
        <v>70.420005030000354</v>
      </c>
      <c r="L197" s="568"/>
      <c r="M197" s="569">
        <v>0</v>
      </c>
      <c r="N197" s="1270">
        <f>Tabel6689172633[[#This Row],[Sew. 2015]]+Tabel6689172633[[#This Row],[WW 2015]]+Tabel6689172633[[#This Row],[Other ch. 2015]]</f>
        <v>70.420005030000354</v>
      </c>
      <c r="O197" s="1271">
        <f>216.96/E197</f>
        <v>51.967089426220674</v>
      </c>
      <c r="P197" s="571" t="e">
        <f>[1]!Tabel6689[[#This Row],[Total. ch. DW 2015]]+[1]!Tabel6689[[#This Row],[Sew. 2015]]+[1]!Tabel6689[[#This Row],[WW 2015]]+[1]!Tabel6689[[#This Row],[Other ch. 2015]]+[1]!Tabel6689[[#This Row],[VAT 2015]]</f>
        <v>#REF!</v>
      </c>
      <c r="Q197" s="397"/>
      <c r="R197" s="1886"/>
      <c r="S197" s="2130"/>
      <c r="T197" s="1890"/>
      <c r="U197" s="1892"/>
      <c r="V197" s="1894"/>
      <c r="W197" s="1911"/>
      <c r="X197" s="1913"/>
      <c r="Y197" s="2138"/>
      <c r="Z197" s="2053"/>
      <c r="AA197" s="397"/>
      <c r="AB197" s="591" t="s">
        <v>429</v>
      </c>
      <c r="AC197" s="591" t="s">
        <v>429</v>
      </c>
      <c r="AD197" s="614"/>
      <c r="AE197" s="614"/>
      <c r="AF197" s="614"/>
      <c r="AG197" s="591" t="s">
        <v>429</v>
      </c>
      <c r="AH197" s="614"/>
      <c r="AI197" s="397"/>
    </row>
    <row r="198" spans="1:35" ht="15.75" x14ac:dyDescent="0.25">
      <c r="A198" s="1757"/>
      <c r="B198" s="1213"/>
      <c r="C198" s="633" t="s">
        <v>769</v>
      </c>
      <c r="D198" s="1880"/>
      <c r="E198" s="616">
        <f>'[1]exchange rates'!$M$49</f>
        <v>4.1749499999999999</v>
      </c>
      <c r="F198" s="549">
        <v>0</v>
      </c>
      <c r="G198" s="550">
        <f>606/E198</f>
        <v>145.1514389393885</v>
      </c>
      <c r="H198" s="551">
        <v>0</v>
      </c>
      <c r="I198" s="566" t="e">
        <f>[1]!Tabel6689[[#This Row],[Fix.ch. 2015]]+[1]!Tabel6689[[#This Row],[Var. ch. 2015]]+[1]!Tabel6689[[#This Row],[Oth. ch. DW 2015]]</f>
        <v>#REF!</v>
      </c>
      <c r="J198" s="567">
        <v>0</v>
      </c>
      <c r="K198" s="568">
        <f>388/E198</f>
        <v>92.935244733469858</v>
      </c>
      <c r="L198" s="568"/>
      <c r="M198" s="569">
        <v>0</v>
      </c>
      <c r="N198" s="1270">
        <f>Tabel6689172633[[#This Row],[Sew. 2015]]+Tabel6689172633[[#This Row],[WW 2015]]+Tabel6689172633[[#This Row],[Other ch. 2015]]</f>
        <v>92.935244733469858</v>
      </c>
      <c r="O198" s="1271">
        <f>238.56/E198</f>
        <v>57.14080408148601</v>
      </c>
      <c r="P198" s="571" t="e">
        <f>[1]!Tabel6689[[#This Row],[Total. ch. DW 2015]]+[1]!Tabel6689[[#This Row],[Sew. 2015]]+[1]!Tabel6689[[#This Row],[WW 2015]]+[1]!Tabel6689[[#This Row],[Other ch. 2015]]+[1]!Tabel6689[[#This Row],[VAT 2015]]</f>
        <v>#REF!</v>
      </c>
      <c r="Q198" s="397"/>
      <c r="R198" s="1886"/>
      <c r="S198" s="2130"/>
      <c r="T198" s="1890"/>
      <c r="U198" s="1892"/>
      <c r="V198" s="1894"/>
      <c r="W198" s="1911"/>
      <c r="X198" s="1913"/>
      <c r="Y198" s="2138"/>
      <c r="Z198" s="2053"/>
      <c r="AA198" s="397"/>
      <c r="AB198" s="591" t="s">
        <v>429</v>
      </c>
      <c r="AC198" s="591" t="s">
        <v>429</v>
      </c>
      <c r="AD198" s="614"/>
      <c r="AE198" s="614"/>
      <c r="AF198" s="614"/>
      <c r="AG198" s="591" t="s">
        <v>429</v>
      </c>
      <c r="AH198" s="614"/>
      <c r="AI198" s="397"/>
    </row>
    <row r="199" spans="1:35" ht="15.75" x14ac:dyDescent="0.25">
      <c r="A199" s="1757"/>
      <c r="B199" s="1213"/>
      <c r="C199" s="633" t="s">
        <v>770</v>
      </c>
      <c r="D199" s="1880"/>
      <c r="E199" s="616">
        <f>'[1]exchange rates'!$M$49</f>
        <v>4.1749499999999999</v>
      </c>
      <c r="F199" s="549">
        <v>0</v>
      </c>
      <c r="G199" s="550">
        <f>596/E199</f>
        <v>142.75620067306195</v>
      </c>
      <c r="H199" s="551">
        <v>0</v>
      </c>
      <c r="I199" s="566" t="e">
        <f>[1]!Tabel6689[[#This Row],[Fix.ch. 2015]]+[1]!Tabel6689[[#This Row],[Var. ch. 2015]]+[1]!Tabel6689[[#This Row],[Oth. ch. DW 2015]]</f>
        <v>#REF!</v>
      </c>
      <c r="J199" s="567">
        <v>0</v>
      </c>
      <c r="K199" s="568">
        <f>276/E199</f>
        <v>66.108576150612578</v>
      </c>
      <c r="L199" s="568"/>
      <c r="M199" s="569">
        <v>0</v>
      </c>
      <c r="N199" s="1270">
        <f>Tabel6689172633[[#This Row],[Sew. 2015]]+Tabel6689172633[[#This Row],[WW 2015]]+Tabel6689172633[[#This Row],[Other ch. 2015]]</f>
        <v>66.108576150612578</v>
      </c>
      <c r="O199" s="1271">
        <f>209.28/E199</f>
        <v>50.127546437681886</v>
      </c>
      <c r="P199" s="571" t="e">
        <f>[1]!Tabel6689[[#This Row],[Total. ch. DW 2015]]+[1]!Tabel6689[[#This Row],[Sew. 2015]]+[1]!Tabel6689[[#This Row],[WW 2015]]+[1]!Tabel6689[[#This Row],[Other ch. 2015]]+[1]!Tabel6689[[#This Row],[VAT 2015]]</f>
        <v>#REF!</v>
      </c>
      <c r="Q199" s="397"/>
      <c r="R199" s="1886"/>
      <c r="S199" s="2130"/>
      <c r="T199" s="1890"/>
      <c r="U199" s="1892"/>
      <c r="V199" s="1894"/>
      <c r="W199" s="1911"/>
      <c r="X199" s="1913"/>
      <c r="Y199" s="2138"/>
      <c r="Z199" s="2053"/>
      <c r="AA199" s="397"/>
      <c r="AB199" s="591" t="s">
        <v>429</v>
      </c>
      <c r="AC199" s="591" t="s">
        <v>429</v>
      </c>
      <c r="AD199" s="614"/>
      <c r="AE199" s="614"/>
      <c r="AF199" s="614"/>
      <c r="AG199" s="591" t="s">
        <v>429</v>
      </c>
      <c r="AH199" s="614"/>
      <c r="AI199" s="397"/>
    </row>
    <row r="200" spans="1:35" ht="15.75" x14ac:dyDescent="0.25">
      <c r="A200" s="1757"/>
      <c r="B200" s="1213"/>
      <c r="C200" s="633" t="s">
        <v>771</v>
      </c>
      <c r="D200" s="1880"/>
      <c r="E200" s="616">
        <f>'[1]exchange rates'!$M$49</f>
        <v>4.1749499999999999</v>
      </c>
      <c r="F200" s="549">
        <v>0</v>
      </c>
      <c r="G200" s="550">
        <f>612/E200</f>
        <v>146.58858189918442</v>
      </c>
      <c r="H200" s="551">
        <v>0</v>
      </c>
      <c r="I200" s="566" t="e">
        <f>[1]!Tabel6689[[#This Row],[Fix.ch. 2015]]+[1]!Tabel6689[[#This Row],[Var. ch. 2015]]+[1]!Tabel6689[[#This Row],[Oth. ch. DW 2015]]</f>
        <v>#REF!</v>
      </c>
      <c r="J200" s="567">
        <v>0</v>
      </c>
      <c r="K200" s="568">
        <f>412/E200</f>
        <v>98.683816572653569</v>
      </c>
      <c r="L200" s="568"/>
      <c r="M200" s="569">
        <v>0</v>
      </c>
      <c r="N200" s="1270">
        <f>Tabel6689172633[[#This Row],[Sew. 2015]]+Tabel6689172633[[#This Row],[WW 2015]]+Tabel6689172633[[#This Row],[Other ch. 2015]]</f>
        <v>98.683816572653569</v>
      </c>
      <c r="O200" s="1271">
        <f>245.76/E200</f>
        <v>58.865375633241115</v>
      </c>
      <c r="P200" s="571" t="e">
        <f>[1]!Tabel6689[[#This Row],[Total. ch. DW 2015]]+[1]!Tabel6689[[#This Row],[Sew. 2015]]+[1]!Tabel6689[[#This Row],[WW 2015]]+[1]!Tabel6689[[#This Row],[Other ch. 2015]]+[1]!Tabel6689[[#This Row],[VAT 2015]]</f>
        <v>#REF!</v>
      </c>
      <c r="Q200" s="397"/>
      <c r="R200" s="1886"/>
      <c r="S200" s="2130"/>
      <c r="T200" s="1890"/>
      <c r="U200" s="1892"/>
      <c r="V200" s="1894"/>
      <c r="W200" s="1911"/>
      <c r="X200" s="1913"/>
      <c r="Y200" s="2138"/>
      <c r="Z200" s="2053"/>
      <c r="AA200" s="397"/>
      <c r="AB200" s="591" t="s">
        <v>429</v>
      </c>
      <c r="AC200" s="591" t="s">
        <v>429</v>
      </c>
      <c r="AD200" s="614"/>
      <c r="AE200" s="614"/>
      <c r="AF200" s="614"/>
      <c r="AG200" s="591" t="s">
        <v>429</v>
      </c>
      <c r="AH200" s="614"/>
      <c r="AI200" s="397"/>
    </row>
    <row r="201" spans="1:35" ht="15.75" x14ac:dyDescent="0.25">
      <c r="A201" s="1757"/>
      <c r="B201" s="1213"/>
      <c r="C201" s="633" t="s">
        <v>772</v>
      </c>
      <c r="D201" s="1880"/>
      <c r="E201" s="616">
        <f>'[1]exchange rates'!$M$49</f>
        <v>4.1749499999999999</v>
      </c>
      <c r="F201" s="549">
        <v>0</v>
      </c>
      <c r="G201" s="550">
        <f>770/E201</f>
        <v>184.4333465071438</v>
      </c>
      <c r="H201" s="551">
        <v>0</v>
      </c>
      <c r="I201" s="566" t="e">
        <f>[1]!Tabel6689[[#This Row],[Fix.ch. 2015]]+[1]!Tabel6689[[#This Row],[Var. ch. 2015]]+[1]!Tabel6689[[#This Row],[Oth. ch. DW 2015]]</f>
        <v>#REF!</v>
      </c>
      <c r="J201" s="567">
        <v>0</v>
      </c>
      <c r="K201" s="568">
        <f>346/E201</f>
        <v>82.875244014898385</v>
      </c>
      <c r="L201" s="568"/>
      <c r="M201" s="569">
        <v>0</v>
      </c>
      <c r="N201" s="1270">
        <f>Tabel6689172633[[#This Row],[Sew. 2015]]+Tabel6689172633[[#This Row],[WW 2015]]+Tabel6689172633[[#This Row],[Other ch. 2015]]</f>
        <v>82.875244014898385</v>
      </c>
      <c r="O201" s="1271">
        <f>267.84/E201</f>
        <v>64.15406172529012</v>
      </c>
      <c r="P201" s="571" t="e">
        <f>[1]!Tabel6689[[#This Row],[Total. ch. DW 2015]]+[1]!Tabel6689[[#This Row],[Sew. 2015]]+[1]!Tabel6689[[#This Row],[WW 2015]]+[1]!Tabel6689[[#This Row],[Other ch. 2015]]+[1]!Tabel6689[[#This Row],[VAT 2015]]</f>
        <v>#REF!</v>
      </c>
      <c r="Q201" s="397"/>
      <c r="R201" s="1886"/>
      <c r="S201" s="2130"/>
      <c r="T201" s="1890"/>
      <c r="U201" s="1892"/>
      <c r="V201" s="1894"/>
      <c r="W201" s="1911"/>
      <c r="X201" s="1913"/>
      <c r="Y201" s="2138"/>
      <c r="Z201" s="2053"/>
      <c r="AA201" s="397"/>
      <c r="AB201" s="591" t="s">
        <v>429</v>
      </c>
      <c r="AC201" s="591" t="s">
        <v>429</v>
      </c>
      <c r="AD201" s="614"/>
      <c r="AE201" s="614"/>
      <c r="AF201" s="614"/>
      <c r="AG201" s="591" t="s">
        <v>429</v>
      </c>
      <c r="AH201" s="614"/>
      <c r="AI201" s="397"/>
    </row>
    <row r="202" spans="1:35" ht="16.5" thickBot="1" x14ac:dyDescent="0.3">
      <c r="A202" s="1758"/>
      <c r="B202" s="1213"/>
      <c r="C202" s="1294" t="s">
        <v>598</v>
      </c>
      <c r="D202" s="1923"/>
      <c r="E202" s="616">
        <f>'[1]exchange rates'!$M$49</f>
        <v>4.1749499999999999</v>
      </c>
      <c r="F202" s="319"/>
      <c r="G202" s="320"/>
      <c r="H202" s="321"/>
      <c r="I202" s="313"/>
      <c r="J202" s="322"/>
      <c r="K202" s="323"/>
      <c r="L202" s="323"/>
      <c r="M202" s="324"/>
      <c r="N202" s="1257">
        <f>Tabel6689172633[[#This Row],[Sew. 2015]]+Tabel6689172633[[#This Row],[WW 2015]]+Tabel6689172633[[#This Row],[Other ch. 2015]]</f>
        <v>0</v>
      </c>
      <c r="O202" s="1258"/>
      <c r="P202" s="318"/>
      <c r="Q202" s="397"/>
      <c r="R202" s="1970"/>
      <c r="S202" s="2287"/>
      <c r="T202" s="1976"/>
      <c r="U202" s="1979"/>
      <c r="V202" s="1982"/>
      <c r="W202" s="1956"/>
      <c r="X202" s="1959"/>
      <c r="Y202" s="2285"/>
      <c r="Z202" s="2261"/>
      <c r="AA202" s="397"/>
      <c r="AB202" s="591"/>
      <c r="AC202" s="591"/>
      <c r="AD202" s="614"/>
      <c r="AE202" s="614"/>
      <c r="AF202" s="614"/>
      <c r="AG202" s="591"/>
      <c r="AH202" s="614"/>
      <c r="AI202" s="397"/>
    </row>
    <row r="203" spans="1:35" ht="19.5" thickBot="1" x14ac:dyDescent="0.35">
      <c r="A203" s="1144" t="s">
        <v>693</v>
      </c>
      <c r="B203" s="1213"/>
      <c r="C203" s="1295" t="s">
        <v>694</v>
      </c>
      <c r="D203" s="1159">
        <v>23700</v>
      </c>
      <c r="E203" s="616">
        <f>'[1]exchange rates'!M50</f>
        <v>72.996619999999993</v>
      </c>
      <c r="F203" s="549">
        <f>0</f>
        <v>0</v>
      </c>
      <c r="G203" s="550">
        <f>5064/E203</f>
        <v>69.373075082106553</v>
      </c>
      <c r="H203" s="551">
        <f>454/E203</f>
        <v>6.2194660519898051</v>
      </c>
      <c r="I203" s="566">
        <f>Tabel6689172633[[#This Row],[Fix.ch. 2015]]+Tabel6689172633[[#This Row],[Var. ch. 2015]]+Tabel6689172633[[#This Row],[Oth. ch. DW 2015]]</f>
        <v>75.592541134096365</v>
      </c>
      <c r="J203" s="567">
        <f>4400/E203</f>
        <v>60.276763499460664</v>
      </c>
      <c r="K203" s="568">
        <f>0</f>
        <v>0</v>
      </c>
      <c r="L203" s="568"/>
      <c r="M203" s="569">
        <f>742/E203</f>
        <v>10.16485420831814</v>
      </c>
      <c r="N203" s="1270">
        <f>Tabel6689172633[[#This Row],[Sew. 2015]]+Tabel6689172633[[#This Row],[WW 2015]]+Tabel6689172633[[#This Row],[Other ch. 2015]]</f>
        <v>70.441617707778803</v>
      </c>
      <c r="O203" s="1271">
        <v>0</v>
      </c>
      <c r="P203" s="571">
        <f>Tabel6689172633[[#This Row],[Total. ch. DW 2015]]+Tabel6689172633[[#This Row],[Sew. 2015]]+Tabel6689172633[[#This Row],[WW 2015]]+Tabel6689172633[[#This Row],[Other ch. 2015]]+Tabel6689172633[[#This Row],[VAT 2015]]</f>
        <v>146.03415884187515</v>
      </c>
      <c r="Q203" s="397"/>
      <c r="R203" s="1296">
        <f>Tabel6689172633[[#This Row],[Fix.ch. 2015]]</f>
        <v>0</v>
      </c>
      <c r="S203" s="1297">
        <f>Tabel6689172633[[#This Row],[Var. ch. 2015]]</f>
        <v>69.373075082106553</v>
      </c>
      <c r="T203" s="1298">
        <f>Tabel6689172633[[#This Row],[Oth. ch. DW 2015]]</f>
        <v>6.2194660519898051</v>
      </c>
      <c r="U203" s="1299">
        <f>Tabel6689172633[[#This Row],[Total. ch. DW 2015]]</f>
        <v>75.592541134096365</v>
      </c>
      <c r="V203" s="1300">
        <f>Tabel6689172633[[#This Row],[Sew. 2015]]</f>
        <v>60.276763499460664</v>
      </c>
      <c r="W203" s="1301">
        <f>Tabel6689172633[[#This Row],[WW 2015]]</f>
        <v>0</v>
      </c>
      <c r="X203" s="1302">
        <f>Tabel6689172633[[#This Row],[Other ch. 2015]]</f>
        <v>10.16485420831814</v>
      </c>
      <c r="Y203" s="1303">
        <f>Tabel6689172633[[#This Row],[VAT 2015]]</f>
        <v>0</v>
      </c>
      <c r="Z203" s="1304">
        <f>Tabel6689172633[[#This Row],[total charge 2015]]</f>
        <v>146.03415884187515</v>
      </c>
      <c r="AA203" s="397"/>
      <c r="AB203" s="396"/>
      <c r="AC203" s="396"/>
      <c r="AD203" s="398"/>
      <c r="AE203" s="398"/>
      <c r="AF203" s="398"/>
      <c r="AG203" s="396"/>
      <c r="AH203" s="398"/>
      <c r="AI203" s="397"/>
    </row>
    <row r="204" spans="1:35" ht="15.75" x14ac:dyDescent="0.25">
      <c r="A204" s="1878" t="s">
        <v>47</v>
      </c>
      <c r="B204" s="1213"/>
      <c r="C204" s="543" t="s">
        <v>204</v>
      </c>
      <c r="D204" s="1759">
        <v>41200</v>
      </c>
      <c r="E204" s="617">
        <f>'[1]exchange rates'!$M$51</f>
        <v>0.67854999999999999</v>
      </c>
      <c r="F204" s="319"/>
      <c r="G204" s="320"/>
      <c r="H204" s="321"/>
      <c r="I204" s="313">
        <f>Tabel6689172633[[#This Row],[Fix.ch. 2015]]+Tabel6689172633[[#This Row],[Var. ch. 2015]]+Tabel6689172633[[#This Row],[Oth. ch. DW 2015]]</f>
        <v>0</v>
      </c>
      <c r="J204" s="322"/>
      <c r="K204" s="323"/>
      <c r="L204" s="323"/>
      <c r="M204" s="324"/>
      <c r="N204" s="1257">
        <f>Tabel6689172633[[#This Row],[Sew. 2015]]+Tabel6689172633[[#This Row],[WW 2015]]+Tabel6689172633[[#This Row],[Other ch. 2015]]</f>
        <v>0</v>
      </c>
      <c r="O204" s="1258"/>
      <c r="P204" s="318">
        <f>Tabel6689172633[[#This Row],[Total. ch. DW 2015]]+Tabel6689172633[[#This Row],[Sew. 2015]]+Tabel6689172633[[#This Row],[WW 2015]]+Tabel6689172633[[#This Row],[Other ch. 2015]]+Tabel6689172633[[#This Row],[VAT 2015]]</f>
        <v>0</v>
      </c>
      <c r="Q204" s="397"/>
      <c r="R204" s="349"/>
      <c r="S204" s="350"/>
      <c r="T204" s="351"/>
      <c r="U204" s="352"/>
      <c r="V204" s="353"/>
      <c r="W204" s="354"/>
      <c r="X204" s="355"/>
      <c r="Y204" s="356"/>
      <c r="Z204" s="357"/>
      <c r="AA204" s="397"/>
      <c r="AB204" s="662" t="s">
        <v>429</v>
      </c>
      <c r="AC204" s="662" t="s">
        <v>429</v>
      </c>
      <c r="AD204" s="398"/>
      <c r="AE204" s="398"/>
      <c r="AF204" s="398"/>
      <c r="AG204" s="398"/>
      <c r="AH204" s="398"/>
      <c r="AI204" s="397"/>
    </row>
    <row r="205" spans="1:35" ht="15.75" x14ac:dyDescent="0.25">
      <c r="A205" s="1757"/>
      <c r="B205" s="1213"/>
      <c r="C205" s="639" t="s">
        <v>205</v>
      </c>
      <c r="D205" s="1760"/>
      <c r="E205" s="617">
        <f>'[1]exchange rates'!$M$51</f>
        <v>0.67854999999999999</v>
      </c>
      <c r="F205" s="319"/>
      <c r="G205" s="320"/>
      <c r="H205" s="321"/>
      <c r="I205" s="313">
        <f>Tabel6689172633[[#This Row],[Fix.ch. 2015]]+Tabel6689172633[[#This Row],[Var. ch. 2015]]+Tabel6689172633[[#This Row],[Oth. ch. DW 2015]]</f>
        <v>0</v>
      </c>
      <c r="J205" s="322"/>
      <c r="K205" s="323"/>
      <c r="L205" s="323"/>
      <c r="M205" s="324"/>
      <c r="N205" s="1257">
        <f>Tabel6689172633[[#This Row],[Sew. 2015]]+Tabel6689172633[[#This Row],[WW 2015]]+Tabel6689172633[[#This Row],[Other ch. 2015]]</f>
        <v>0</v>
      </c>
      <c r="O205" s="1258"/>
      <c r="P205" s="318">
        <f>Tabel6689172633[[#This Row],[Total. ch. DW 2015]]+Tabel6689172633[[#This Row],[Sew. 2015]]+Tabel6689172633[[#This Row],[WW 2015]]+Tabel6689172633[[#This Row],[Other ch. 2015]]+Tabel6689172633[[#This Row],[VAT 2015]]</f>
        <v>0</v>
      </c>
      <c r="Q205" s="397"/>
      <c r="R205" s="358"/>
      <c r="S205" s="359"/>
      <c r="T205" s="360"/>
      <c r="U205" s="361"/>
      <c r="V205" s="362"/>
      <c r="W205" s="363"/>
      <c r="X205" s="364"/>
      <c r="Y205" s="365"/>
      <c r="Z205" s="366"/>
      <c r="AA205" s="397"/>
      <c r="AB205" s="662" t="s">
        <v>429</v>
      </c>
      <c r="AC205" s="662" t="s">
        <v>429</v>
      </c>
      <c r="AD205" s="398"/>
      <c r="AE205" s="398"/>
      <c r="AF205" s="398"/>
      <c r="AG205" s="398"/>
      <c r="AH205" s="398"/>
      <c r="AI205" s="397"/>
    </row>
    <row r="206" spans="1:35" ht="15.75" x14ac:dyDescent="0.25">
      <c r="A206" s="1757"/>
      <c r="B206" s="1213"/>
      <c r="C206" s="639" t="s">
        <v>206</v>
      </c>
      <c r="D206" s="1760"/>
      <c r="E206" s="617">
        <f>'[1]exchange rates'!$M$51</f>
        <v>0.67854999999999999</v>
      </c>
      <c r="F206" s="319"/>
      <c r="G206" s="320"/>
      <c r="H206" s="321"/>
      <c r="I206" s="313">
        <f>Tabel6689172633[[#This Row],[Fix.ch. 2015]]+Tabel6689172633[[#This Row],[Var. ch. 2015]]+Tabel6689172633[[#This Row],[Oth. ch. DW 2015]]</f>
        <v>0</v>
      </c>
      <c r="J206" s="322"/>
      <c r="K206" s="323"/>
      <c r="L206" s="323"/>
      <c r="M206" s="324"/>
      <c r="N206" s="1257">
        <f>Tabel6689172633[[#This Row],[Sew. 2015]]+Tabel6689172633[[#This Row],[WW 2015]]+Tabel6689172633[[#This Row],[Other ch. 2015]]</f>
        <v>0</v>
      </c>
      <c r="O206" s="1258"/>
      <c r="P206" s="318">
        <f>Tabel6689172633[[#This Row],[Total. ch. DW 2015]]+Tabel6689172633[[#This Row],[Sew. 2015]]+Tabel6689172633[[#This Row],[WW 2015]]+Tabel6689172633[[#This Row],[Other ch. 2015]]+Tabel6689172633[[#This Row],[VAT 2015]]</f>
        <v>0</v>
      </c>
      <c r="Q206" s="397"/>
      <c r="R206" s="358"/>
      <c r="S206" s="359"/>
      <c r="T206" s="360"/>
      <c r="U206" s="361"/>
      <c r="V206" s="362"/>
      <c r="W206" s="363"/>
      <c r="X206" s="364"/>
      <c r="Y206" s="365"/>
      <c r="Z206" s="366"/>
      <c r="AA206" s="397"/>
      <c r="AB206" s="662" t="s">
        <v>429</v>
      </c>
      <c r="AC206" s="662" t="s">
        <v>429</v>
      </c>
      <c r="AD206" s="398"/>
      <c r="AE206" s="398"/>
      <c r="AF206" s="398"/>
      <c r="AG206" s="398"/>
      <c r="AH206" s="398"/>
      <c r="AI206" s="397"/>
    </row>
    <row r="207" spans="1:35" ht="15.75" x14ac:dyDescent="0.25">
      <c r="A207" s="1757"/>
      <c r="B207" s="1213"/>
      <c r="C207" s="639" t="s">
        <v>207</v>
      </c>
      <c r="D207" s="1760"/>
      <c r="E207" s="617">
        <f>'[1]exchange rates'!$M$51</f>
        <v>0.67854999999999999</v>
      </c>
      <c r="F207" s="319"/>
      <c r="G207" s="320"/>
      <c r="H207" s="321"/>
      <c r="I207" s="313">
        <f>Tabel6689172633[[#This Row],[Fix.ch. 2015]]+Tabel6689172633[[#This Row],[Var. ch. 2015]]+Tabel6689172633[[#This Row],[Oth. ch. DW 2015]]</f>
        <v>0</v>
      </c>
      <c r="J207" s="322"/>
      <c r="K207" s="323"/>
      <c r="L207" s="323"/>
      <c r="M207" s="324"/>
      <c r="N207" s="1257">
        <f>Tabel6689172633[[#This Row],[Sew. 2015]]+Tabel6689172633[[#This Row],[WW 2015]]+Tabel6689172633[[#This Row],[Other ch. 2015]]</f>
        <v>0</v>
      </c>
      <c r="O207" s="1258"/>
      <c r="P207" s="318">
        <f>Tabel6689172633[[#This Row],[Total. ch. DW 2015]]+Tabel6689172633[[#This Row],[Sew. 2015]]+Tabel6689172633[[#This Row],[WW 2015]]+Tabel6689172633[[#This Row],[Other ch. 2015]]+Tabel6689172633[[#This Row],[VAT 2015]]</f>
        <v>0</v>
      </c>
      <c r="Q207" s="397"/>
      <c r="R207" s="358"/>
      <c r="S207" s="359"/>
      <c r="T207" s="360"/>
      <c r="U207" s="361"/>
      <c r="V207" s="362"/>
      <c r="W207" s="363"/>
      <c r="X207" s="364"/>
      <c r="Y207" s="365"/>
      <c r="Z207" s="366"/>
      <c r="AA207" s="397"/>
      <c r="AB207" s="662" t="s">
        <v>429</v>
      </c>
      <c r="AC207" s="662" t="s">
        <v>429</v>
      </c>
      <c r="AD207" s="398"/>
      <c r="AE207" s="398"/>
      <c r="AF207" s="398"/>
      <c r="AG207" s="398"/>
      <c r="AH207" s="398"/>
      <c r="AI207" s="397"/>
    </row>
    <row r="208" spans="1:35" ht="15.75" x14ac:dyDescent="0.25">
      <c r="A208" s="1757"/>
      <c r="B208" s="1213"/>
      <c r="C208" s="639" t="s">
        <v>208</v>
      </c>
      <c r="D208" s="1760"/>
      <c r="E208" s="617">
        <f>'[1]exchange rates'!$M$51</f>
        <v>0.67854999999999999</v>
      </c>
      <c r="F208" s="319"/>
      <c r="G208" s="320"/>
      <c r="H208" s="321"/>
      <c r="I208" s="313">
        <f>Tabel6689172633[[#This Row],[Fix.ch. 2015]]+Tabel6689172633[[#This Row],[Var. ch. 2015]]+Tabel6689172633[[#This Row],[Oth. ch. DW 2015]]</f>
        <v>0</v>
      </c>
      <c r="J208" s="322"/>
      <c r="K208" s="323"/>
      <c r="L208" s="323"/>
      <c r="M208" s="324"/>
      <c r="N208" s="1257">
        <f>Tabel6689172633[[#This Row],[Sew. 2015]]+Tabel6689172633[[#This Row],[WW 2015]]+Tabel6689172633[[#This Row],[Other ch. 2015]]</f>
        <v>0</v>
      </c>
      <c r="O208" s="1258"/>
      <c r="P208" s="318">
        <f>Tabel6689172633[[#This Row],[Total. ch. DW 2015]]+Tabel6689172633[[#This Row],[Sew. 2015]]+Tabel6689172633[[#This Row],[WW 2015]]+Tabel6689172633[[#This Row],[Other ch. 2015]]+Tabel6689172633[[#This Row],[VAT 2015]]</f>
        <v>0</v>
      </c>
      <c r="Q208" s="397"/>
      <c r="R208" s="358"/>
      <c r="S208" s="359"/>
      <c r="T208" s="360"/>
      <c r="U208" s="361"/>
      <c r="V208" s="362"/>
      <c r="W208" s="363"/>
      <c r="X208" s="364"/>
      <c r="Y208" s="365"/>
      <c r="Z208" s="366"/>
      <c r="AA208" s="397"/>
      <c r="AB208" s="662" t="s">
        <v>429</v>
      </c>
      <c r="AC208" s="662" t="s">
        <v>429</v>
      </c>
      <c r="AD208" s="398"/>
      <c r="AE208" s="398"/>
      <c r="AF208" s="398"/>
      <c r="AG208" s="398"/>
      <c r="AH208" s="398"/>
      <c r="AI208" s="397"/>
    </row>
    <row r="209" spans="1:35" ht="15.75" x14ac:dyDescent="0.25">
      <c r="A209" s="1757"/>
      <c r="B209" s="1213"/>
      <c r="C209" s="639" t="s">
        <v>209</v>
      </c>
      <c r="D209" s="1760"/>
      <c r="E209" s="617">
        <f>'[1]exchange rates'!$M$51</f>
        <v>0.67854999999999999</v>
      </c>
      <c r="F209" s="319"/>
      <c r="G209" s="320"/>
      <c r="H209" s="321"/>
      <c r="I209" s="313">
        <f>Tabel6689172633[[#This Row],[Fix.ch. 2015]]+Tabel6689172633[[#This Row],[Var. ch. 2015]]+Tabel6689172633[[#This Row],[Oth. ch. DW 2015]]</f>
        <v>0</v>
      </c>
      <c r="J209" s="322"/>
      <c r="K209" s="323"/>
      <c r="L209" s="323"/>
      <c r="M209" s="324"/>
      <c r="N209" s="1257">
        <f>Tabel6689172633[[#This Row],[Sew. 2015]]+Tabel6689172633[[#This Row],[WW 2015]]+Tabel6689172633[[#This Row],[Other ch. 2015]]</f>
        <v>0</v>
      </c>
      <c r="O209" s="1258"/>
      <c r="P209" s="318">
        <f>Tabel6689172633[[#This Row],[Total. ch. DW 2015]]+Tabel6689172633[[#This Row],[Sew. 2015]]+Tabel6689172633[[#This Row],[WW 2015]]+Tabel6689172633[[#This Row],[Other ch. 2015]]+Tabel6689172633[[#This Row],[VAT 2015]]</f>
        <v>0</v>
      </c>
      <c r="Q209" s="397"/>
      <c r="R209" s="358"/>
      <c r="S209" s="359"/>
      <c r="T209" s="360"/>
      <c r="U209" s="361"/>
      <c r="V209" s="362"/>
      <c r="W209" s="363"/>
      <c r="X209" s="364"/>
      <c r="Y209" s="365"/>
      <c r="Z209" s="366"/>
      <c r="AA209" s="397"/>
      <c r="AB209" s="662" t="s">
        <v>429</v>
      </c>
      <c r="AC209" s="662" t="s">
        <v>429</v>
      </c>
      <c r="AD209" s="398"/>
      <c r="AE209" s="398"/>
      <c r="AF209" s="398"/>
      <c r="AG209" s="398"/>
      <c r="AH209" s="398"/>
      <c r="AI209" s="397"/>
    </row>
    <row r="210" spans="1:35" ht="15.75" x14ac:dyDescent="0.25">
      <c r="A210" s="1757"/>
      <c r="B210" s="1213"/>
      <c r="C210" s="639" t="s">
        <v>210</v>
      </c>
      <c r="D210" s="1760"/>
      <c r="E210" s="617">
        <f>'[1]exchange rates'!$M$51</f>
        <v>0.67854999999999999</v>
      </c>
      <c r="F210" s="319"/>
      <c r="G210" s="320"/>
      <c r="H210" s="321"/>
      <c r="I210" s="313">
        <f>Tabel6689172633[[#This Row],[Fix.ch. 2015]]+Tabel6689172633[[#This Row],[Var. ch. 2015]]+Tabel6689172633[[#This Row],[Oth. ch. DW 2015]]</f>
        <v>0</v>
      </c>
      <c r="J210" s="322"/>
      <c r="K210" s="323"/>
      <c r="L210" s="323"/>
      <c r="M210" s="324"/>
      <c r="N210" s="1257">
        <f>Tabel6689172633[[#This Row],[Sew. 2015]]+Tabel6689172633[[#This Row],[WW 2015]]+Tabel6689172633[[#This Row],[Other ch. 2015]]</f>
        <v>0</v>
      </c>
      <c r="O210" s="1258"/>
      <c r="P210" s="318">
        <f>Tabel6689172633[[#This Row],[Total. ch. DW 2015]]+Tabel6689172633[[#This Row],[Sew. 2015]]+Tabel6689172633[[#This Row],[WW 2015]]+Tabel6689172633[[#This Row],[Other ch. 2015]]+Tabel6689172633[[#This Row],[VAT 2015]]</f>
        <v>0</v>
      </c>
      <c r="Q210" s="397"/>
      <c r="R210" s="358"/>
      <c r="S210" s="359"/>
      <c r="T210" s="360"/>
      <c r="U210" s="361"/>
      <c r="V210" s="362"/>
      <c r="W210" s="363"/>
      <c r="X210" s="364"/>
      <c r="Y210" s="365"/>
      <c r="Z210" s="366"/>
      <c r="AA210" s="397"/>
      <c r="AB210" s="662" t="s">
        <v>429</v>
      </c>
      <c r="AC210" s="662" t="s">
        <v>429</v>
      </c>
      <c r="AD210" s="398"/>
      <c r="AE210" s="398"/>
      <c r="AF210" s="398"/>
      <c r="AG210" s="398"/>
      <c r="AH210" s="398"/>
      <c r="AI210" s="397"/>
    </row>
    <row r="211" spans="1:35" ht="16.5" thickBot="1" x14ac:dyDescent="0.3">
      <c r="A211" s="1758"/>
      <c r="B211" s="1213"/>
      <c r="C211" s="1305" t="s">
        <v>211</v>
      </c>
      <c r="D211" s="1923"/>
      <c r="E211" s="617">
        <f>'[1]exchange rates'!$M$51</f>
        <v>0.67854999999999999</v>
      </c>
      <c r="F211" s="319"/>
      <c r="G211" s="320"/>
      <c r="H211" s="321"/>
      <c r="I211" s="313">
        <f>Tabel6689172633[[#This Row],[Fix.ch. 2015]]+Tabel6689172633[[#This Row],[Var. ch. 2015]]+Tabel6689172633[[#This Row],[Oth. ch. DW 2015]]</f>
        <v>0</v>
      </c>
      <c r="J211" s="322"/>
      <c r="K211" s="323"/>
      <c r="L211" s="323"/>
      <c r="M211" s="324"/>
      <c r="N211" s="1257">
        <f>Tabel6689172633[[#This Row],[Sew. 2015]]+Tabel6689172633[[#This Row],[WW 2015]]+Tabel6689172633[[#This Row],[Other ch. 2015]]</f>
        <v>0</v>
      </c>
      <c r="O211" s="1258"/>
      <c r="P211" s="318">
        <f>Tabel6689172633[[#This Row],[Total. ch. DW 2015]]+Tabel6689172633[[#This Row],[Sew. 2015]]+Tabel6689172633[[#This Row],[WW 2015]]+Tabel6689172633[[#This Row],[Other ch. 2015]]+Tabel6689172633[[#This Row],[VAT 2015]]</f>
        <v>0</v>
      </c>
      <c r="Q211" s="397"/>
      <c r="R211" s="358"/>
      <c r="S211" s="359"/>
      <c r="T211" s="360"/>
      <c r="U211" s="361"/>
      <c r="V211" s="362"/>
      <c r="W211" s="363"/>
      <c r="X211" s="364"/>
      <c r="Y211" s="365"/>
      <c r="Z211" s="366"/>
      <c r="AA211" s="397"/>
      <c r="AB211" s="662" t="s">
        <v>429</v>
      </c>
      <c r="AC211" s="662" t="s">
        <v>429</v>
      </c>
      <c r="AD211" s="398"/>
      <c r="AE211" s="398"/>
      <c r="AF211" s="398"/>
      <c r="AG211" s="398"/>
      <c r="AH211" s="398"/>
      <c r="AI211" s="397"/>
    </row>
    <row r="212" spans="1:35" ht="15.75" x14ac:dyDescent="0.25">
      <c r="A212" s="2150" t="s">
        <v>41</v>
      </c>
      <c r="B212" s="1617"/>
      <c r="C212" s="261" t="s">
        <v>192</v>
      </c>
      <c r="D212" s="2288"/>
      <c r="E212" s="306"/>
      <c r="F212" s="325"/>
      <c r="G212" s="326"/>
      <c r="H212" s="327"/>
      <c r="I212" s="313">
        <f>Tabel6689172633[[#This Row],[Fix.ch. 2015]]+Tabel6689172633[[#This Row],[Var. ch. 2015]]+Tabel6689172633[[#This Row],[Oth. ch. DW 2015]]</f>
        <v>0</v>
      </c>
      <c r="J212" s="328"/>
      <c r="K212" s="329"/>
      <c r="L212" s="329"/>
      <c r="M212" s="330"/>
      <c r="N212" s="1277">
        <f>Tabel6689172633[[#This Row],[Sew. 2015]]+Tabel6689172633[[#This Row],[WW 2015]]+Tabel6689172633[[#This Row],[Other ch. 2015]]</f>
        <v>0</v>
      </c>
      <c r="O212" s="1278"/>
      <c r="P212" s="318">
        <f>Tabel6689172633[[#This Row],[Total. ch. DW 2015]]+Tabel6689172633[[#This Row],[Sew. 2015]]+Tabel6689172633[[#This Row],[WW 2015]]+Tabel6689172633[[#This Row],[Other ch. 2015]]+Tabel6689172633[[#This Row],[VAT 2015]]</f>
        <v>0</v>
      </c>
      <c r="Q212" s="397"/>
      <c r="R212" s="358"/>
      <c r="S212" s="359"/>
      <c r="T212" s="360"/>
      <c r="U212" s="361"/>
      <c r="V212" s="362"/>
      <c r="W212" s="363"/>
      <c r="X212" s="364"/>
      <c r="Y212" s="365"/>
      <c r="Z212" s="366"/>
      <c r="AA212" s="397"/>
      <c r="AB212" s="398"/>
      <c r="AC212" s="398"/>
      <c r="AD212" s="398"/>
      <c r="AE212" s="398"/>
      <c r="AF212" s="398"/>
      <c r="AG212" s="398"/>
      <c r="AH212" s="398"/>
      <c r="AI212" s="397"/>
    </row>
    <row r="213" spans="1:35" ht="15.75" x14ac:dyDescent="0.25">
      <c r="A213" s="2151"/>
      <c r="B213" s="1617"/>
      <c r="C213" s="261" t="s">
        <v>193</v>
      </c>
      <c r="D213" s="2289"/>
      <c r="E213" s="306"/>
      <c r="F213" s="325"/>
      <c r="G213" s="326"/>
      <c r="H213" s="327"/>
      <c r="I213" s="313">
        <f>Tabel6689172633[[#This Row],[Fix.ch. 2015]]+Tabel6689172633[[#This Row],[Var. ch. 2015]]+Tabel6689172633[[#This Row],[Oth. ch. DW 2015]]</f>
        <v>0</v>
      </c>
      <c r="J213" s="328"/>
      <c r="K213" s="329"/>
      <c r="L213" s="329"/>
      <c r="M213" s="330"/>
      <c r="N213" s="1277">
        <f>Tabel6689172633[[#This Row],[Sew. 2015]]+Tabel6689172633[[#This Row],[WW 2015]]+Tabel6689172633[[#This Row],[Other ch. 2015]]</f>
        <v>0</v>
      </c>
      <c r="O213" s="1278"/>
      <c r="P213" s="318">
        <f>Tabel6689172633[[#This Row],[Total. ch. DW 2015]]+Tabel6689172633[[#This Row],[Sew. 2015]]+Tabel6689172633[[#This Row],[WW 2015]]+Tabel6689172633[[#This Row],[Other ch. 2015]]+Tabel6689172633[[#This Row],[VAT 2015]]</f>
        <v>0</v>
      </c>
      <c r="Q213" s="397"/>
      <c r="R213" s="358"/>
      <c r="S213" s="359"/>
      <c r="T213" s="360"/>
      <c r="U213" s="361"/>
      <c r="V213" s="362"/>
      <c r="W213" s="363"/>
      <c r="X213" s="364"/>
      <c r="Y213" s="365"/>
      <c r="Z213" s="366"/>
      <c r="AA213" s="397"/>
      <c r="AB213" s="398"/>
      <c r="AC213" s="398"/>
      <c r="AD213" s="398"/>
      <c r="AE213" s="398"/>
      <c r="AF213" s="398"/>
      <c r="AG213" s="398"/>
      <c r="AH213" s="398"/>
      <c r="AI213" s="397"/>
    </row>
    <row r="214" spans="1:35" ht="16.5" thickBot="1" x14ac:dyDescent="0.3">
      <c r="A214" s="2152"/>
      <c r="B214" s="1617"/>
      <c r="C214" s="261" t="s">
        <v>194</v>
      </c>
      <c r="D214" s="2155"/>
      <c r="E214" s="306"/>
      <c r="F214" s="325"/>
      <c r="G214" s="326"/>
      <c r="H214" s="327"/>
      <c r="I214" s="313">
        <f>Tabel6689172633[[#This Row],[Fix.ch. 2015]]+Tabel6689172633[[#This Row],[Var. ch. 2015]]+Tabel6689172633[[#This Row],[Oth. ch. DW 2015]]</f>
        <v>0</v>
      </c>
      <c r="J214" s="328"/>
      <c r="K214" s="329"/>
      <c r="L214" s="329"/>
      <c r="M214" s="330"/>
      <c r="N214" s="1277">
        <f>Tabel6689172633[[#This Row],[Sew. 2015]]+Tabel6689172633[[#This Row],[WW 2015]]+Tabel6689172633[[#This Row],[Other ch. 2015]]</f>
        <v>0</v>
      </c>
      <c r="O214" s="1278"/>
      <c r="P214" s="318">
        <f>Tabel6689172633[[#This Row],[Total. ch. DW 2015]]+Tabel6689172633[[#This Row],[Sew. 2015]]+Tabel6689172633[[#This Row],[WW 2015]]+Tabel6689172633[[#This Row],[Other ch. 2015]]+Tabel6689172633[[#This Row],[VAT 2015]]</f>
        <v>0</v>
      </c>
      <c r="Q214" s="397"/>
      <c r="R214" s="367"/>
      <c r="S214" s="368"/>
      <c r="T214" s="369"/>
      <c r="U214" s="370"/>
      <c r="V214" s="371"/>
      <c r="W214" s="372"/>
      <c r="X214" s="373"/>
      <c r="Y214" s="374"/>
      <c r="Z214" s="375"/>
      <c r="AA214" s="397"/>
      <c r="AB214" s="398"/>
      <c r="AC214" s="398"/>
      <c r="AD214" s="398"/>
      <c r="AE214" s="398"/>
      <c r="AF214" s="398"/>
      <c r="AG214" s="398"/>
      <c r="AH214" s="398"/>
      <c r="AI214" s="397"/>
    </row>
    <row r="215" spans="1:35" ht="19.5" thickBot="1" x14ac:dyDescent="0.35">
      <c r="A215" s="270" t="s">
        <v>42</v>
      </c>
      <c r="B215" s="1616"/>
      <c r="C215" s="1049" t="s">
        <v>42</v>
      </c>
      <c r="D215" s="1256">
        <v>59900</v>
      </c>
      <c r="E215" s="306">
        <v>1.2966299999999999</v>
      </c>
      <c r="F215" s="319">
        <v>0</v>
      </c>
      <c r="G215" s="320">
        <f>234/E215</f>
        <v>180.46782813909905</v>
      </c>
      <c r="H215" s="321">
        <f>70.2/E215</f>
        <v>54.140348441729721</v>
      </c>
      <c r="I215" s="313">
        <f>Tabel6689172633[[#This Row],[Fix.ch. 2015]]+Tabel6689172633[[#This Row],[Var. ch. 2015]]+Tabel6689172633[[#This Row],[Oth. ch. DW 2015]]</f>
        <v>234.60817658082877</v>
      </c>
      <c r="J215" s="322">
        <v>0</v>
      </c>
      <c r="K215" s="323">
        <f>56.06/E215</f>
        <v>43.23515574990553</v>
      </c>
      <c r="L215" s="323"/>
      <c r="M215" s="324">
        <f>67.29/E215</f>
        <v>51.896069040512721</v>
      </c>
      <c r="N215" s="1257">
        <f>Tabel6689172633[[#This Row],[Sew. 2015]]+Tabel6689172633[[#This Row],[WW 2015]]+Tabel6689172633[[#This Row],[Other ch. 2015]]</f>
        <v>95.131224790418258</v>
      </c>
      <c r="O215" s="1258">
        <f>29.93/E215</f>
        <v>23.082914941039466</v>
      </c>
      <c r="P215" s="318">
        <f>Tabel6689172633[[#This Row],[Total. ch. DW 2015]]+Tabel6689172633[[#This Row],[Sew. 2015]]+Tabel6689172633[[#This Row],[WW 2015]]+Tabel6689172633[[#This Row],[Other ch. 2015]]+Tabel6689172633[[#This Row],[VAT 2015]]</f>
        <v>352.82231631228649</v>
      </c>
      <c r="Q215" s="397"/>
      <c r="R215" s="1228">
        <f>Tabel6689172633[[#This Row],[Fix.ch. 2015]]</f>
        <v>0</v>
      </c>
      <c r="S215" s="1229">
        <f>Tabel6689172633[[#This Row],[Var. ch. 2015]]</f>
        <v>180.46782813909905</v>
      </c>
      <c r="T215" s="1230">
        <f>Tabel6689172633[[#This Row],[Oth. ch. DW 2015]]</f>
        <v>54.140348441729721</v>
      </c>
      <c r="U215" s="1231">
        <f>Tabel6689172633[[#This Row],[Total. ch. DW 2015]]</f>
        <v>234.60817658082877</v>
      </c>
      <c r="V215" s="1232">
        <f>Tabel6689172633[[#This Row],[Sew. 2015]]</f>
        <v>0</v>
      </c>
      <c r="W215" s="1233">
        <f>Tabel6689172633[[#This Row],[WW 2015]]</f>
        <v>43.23515574990553</v>
      </c>
      <c r="X215" s="1234">
        <f>Tabel6689172633[[#This Row],[Other ch. 2015]]</f>
        <v>51.896069040512721</v>
      </c>
      <c r="Y215" s="1235">
        <f>Tabel6689172633[[#This Row],[VAT 2015]]</f>
        <v>23.082914941039466</v>
      </c>
      <c r="Z215" s="1236">
        <f>Tabel6689172633[[#This Row],[total charge 2015]]</f>
        <v>352.82231631228649</v>
      </c>
      <c r="AA215" s="397"/>
      <c r="AB215" s="398"/>
      <c r="AC215" s="398"/>
      <c r="AD215" s="398"/>
      <c r="AE215" s="396" t="s">
        <v>429</v>
      </c>
      <c r="AF215" s="398"/>
      <c r="AG215" s="398"/>
      <c r="AH215" s="398"/>
      <c r="AI215" s="397"/>
    </row>
    <row r="216" spans="1:35" ht="15.75" x14ac:dyDescent="0.25">
      <c r="A216" s="1833" t="s">
        <v>24</v>
      </c>
      <c r="B216" s="1617"/>
      <c r="C216" s="298" t="s">
        <v>140</v>
      </c>
      <c r="D216" s="2210">
        <v>23400</v>
      </c>
      <c r="E216" s="307">
        <v>0.77166999999999997</v>
      </c>
      <c r="F216" s="319">
        <f>0.9*200/E216</f>
        <v>233.26033148884886</v>
      </c>
      <c r="G216" s="320">
        <v>0</v>
      </c>
      <c r="H216" s="321">
        <v>0</v>
      </c>
      <c r="I216" s="313">
        <f>Tabel6689172633[[#This Row],[Fix.ch. 2015]]+Tabel6689172633[[#This Row],[Var. ch. 2015]]+Tabel6689172633[[#This Row],[Oth. ch. DW 2015]]</f>
        <v>233.26033148884886</v>
      </c>
      <c r="J216" s="322">
        <f>1.02*200/E216</f>
        <v>264.3617090206954</v>
      </c>
      <c r="K216" s="323">
        <v>0</v>
      </c>
      <c r="L216" s="323"/>
      <c r="M216" s="324">
        <v>0</v>
      </c>
      <c r="N216" s="1257">
        <f>Tabel6689172633[[#This Row],[Sew. 2015]]+Tabel6689172633[[#This Row],[WW 2015]]+Tabel6689172633[[#This Row],[Other ch. 2015]]</f>
        <v>264.3617090206954</v>
      </c>
      <c r="O216" s="1258">
        <f>0.4*200/E216</f>
        <v>103.67125843948838</v>
      </c>
      <c r="P216" s="318">
        <f>Tabel6689172633[[#This Row],[Total. ch. DW 2015]]+Tabel6689172633[[#This Row],[Sew. 2015]]+Tabel6689172633[[#This Row],[WW 2015]]+Tabel6689172633[[#This Row],[Other ch. 2015]]+Tabel6689172633[[#This Row],[VAT 2015]]</f>
        <v>601.29329894903265</v>
      </c>
      <c r="Q216" s="397"/>
      <c r="R216" s="2211">
        <f>SUM(F216:F218)/3</f>
        <v>264.3617090206954</v>
      </c>
      <c r="S216" s="2212">
        <v>0</v>
      </c>
      <c r="T216" s="2213">
        <v>0</v>
      </c>
      <c r="U216" s="2214">
        <f>SUM(I216:I218)/3</f>
        <v>264.3617090206954</v>
      </c>
      <c r="V216" s="2215">
        <f>SUM(J216:J218)/3</f>
        <v>282.50417924760586</v>
      </c>
      <c r="W216" s="2216">
        <v>0</v>
      </c>
      <c r="X216" s="2217">
        <v>0</v>
      </c>
      <c r="Y216" s="2218">
        <f>SUM(O216:O218)/3</f>
        <v>113.17445712977481</v>
      </c>
      <c r="Z216" s="2219">
        <f>SUM(P216:P218)/3</f>
        <v>660.04034539807606</v>
      </c>
      <c r="AA216" s="397"/>
      <c r="AB216" s="398"/>
      <c r="AC216" s="396" t="s">
        <v>429</v>
      </c>
      <c r="AD216" s="396" t="s">
        <v>429</v>
      </c>
      <c r="AE216" s="396"/>
      <c r="AF216" s="396" t="s">
        <v>429</v>
      </c>
      <c r="AG216" s="398"/>
      <c r="AH216" s="398"/>
      <c r="AI216" s="397"/>
    </row>
    <row r="217" spans="1:35" ht="15.75" x14ac:dyDescent="0.25">
      <c r="A217" s="1834"/>
      <c r="B217" s="1617"/>
      <c r="C217" s="298" t="s">
        <v>141</v>
      </c>
      <c r="D217" s="2157"/>
      <c r="E217" s="307">
        <v>0.77166999999999997</v>
      </c>
      <c r="F217" s="319">
        <f>0.96*200/E217</f>
        <v>248.81102025477213</v>
      </c>
      <c r="G217" s="320">
        <v>0</v>
      </c>
      <c r="H217" s="321">
        <v>0</v>
      </c>
      <c r="I217" s="313">
        <f>Tabel6689172633[[#This Row],[Fix.ch. 2015]]+Tabel6689172633[[#This Row],[Var. ch. 2015]]+Tabel6689172633[[#This Row],[Oth. ch. DW 2015]]</f>
        <v>248.81102025477213</v>
      </c>
      <c r="J217" s="322">
        <f>1.1*200/E217</f>
        <v>285.09596070859311</v>
      </c>
      <c r="K217" s="323">
        <v>0</v>
      </c>
      <c r="L217" s="323"/>
      <c r="M217" s="324">
        <v>0</v>
      </c>
      <c r="N217" s="1257">
        <f>Tabel6689172633[[#This Row],[Sew. 2015]]+Tabel6689172633[[#This Row],[WW 2015]]+Tabel6689172633[[#This Row],[Other ch. 2015]]</f>
        <v>285.09596070859311</v>
      </c>
      <c r="O217" s="1258">
        <f>0.44*200/E217</f>
        <v>114.03838428343722</v>
      </c>
      <c r="P217" s="318">
        <f>Tabel6689172633[[#This Row],[Total. ch. DW 2015]]+Tabel6689172633[[#This Row],[Sew. 2015]]+Tabel6689172633[[#This Row],[WW 2015]]+Tabel6689172633[[#This Row],[Other ch. 2015]]+Tabel6689172633[[#This Row],[VAT 2015]]</f>
        <v>647.94536524680245</v>
      </c>
      <c r="Q217" s="397"/>
      <c r="R217" s="2158"/>
      <c r="S217" s="2159"/>
      <c r="T217" s="2160"/>
      <c r="U217" s="2141"/>
      <c r="V217" s="2142"/>
      <c r="W217" s="2143"/>
      <c r="X217" s="2144"/>
      <c r="Y217" s="2145"/>
      <c r="Z217" s="2146"/>
      <c r="AA217" s="397"/>
      <c r="AB217" s="398"/>
      <c r="AC217" s="396" t="s">
        <v>429</v>
      </c>
      <c r="AD217" s="396" t="s">
        <v>429</v>
      </c>
      <c r="AE217" s="396"/>
      <c r="AF217" s="396" t="s">
        <v>429</v>
      </c>
      <c r="AG217" s="398"/>
      <c r="AH217" s="398"/>
      <c r="AI217" s="397"/>
    </row>
    <row r="218" spans="1:35" ht="16.5" thickBot="1" x14ac:dyDescent="0.3">
      <c r="A218" s="1835"/>
      <c r="B218" s="1617"/>
      <c r="C218" s="293" t="s">
        <v>142</v>
      </c>
      <c r="D218" s="2221"/>
      <c r="E218" s="307">
        <v>0.77166999999999997</v>
      </c>
      <c r="F218" s="319">
        <f>1.2*200/E218</f>
        <v>311.01377531846515</v>
      </c>
      <c r="G218" s="320">
        <v>0</v>
      </c>
      <c r="H218" s="321">
        <v>0</v>
      </c>
      <c r="I218" s="313">
        <f>Tabel6689172633[[#This Row],[Fix.ch. 2015]]+Tabel6689172633[[#This Row],[Var. ch. 2015]]+Tabel6689172633[[#This Row],[Oth. ch. DW 2015]]</f>
        <v>311.01377531846515</v>
      </c>
      <c r="J218" s="322">
        <f>1.15*200/E218</f>
        <v>298.05486801352907</v>
      </c>
      <c r="K218" s="323">
        <v>0</v>
      </c>
      <c r="L218" s="323"/>
      <c r="M218" s="324">
        <v>0</v>
      </c>
      <c r="N218" s="1257">
        <f>Tabel6689172633[[#This Row],[Sew. 2015]]+Tabel6689172633[[#This Row],[WW 2015]]+Tabel6689172633[[#This Row],[Other ch. 2015]]</f>
        <v>298.05486801352907</v>
      </c>
      <c r="O218" s="1258">
        <f>0.47*200/E218</f>
        <v>121.81372866639886</v>
      </c>
      <c r="P218" s="318">
        <f>Tabel6689172633[[#This Row],[Total. ch. DW 2015]]+Tabel6689172633[[#This Row],[Sew. 2015]]+Tabel6689172633[[#This Row],[WW 2015]]+Tabel6689172633[[#This Row],[Other ch. 2015]]+Tabel6689172633[[#This Row],[VAT 2015]]</f>
        <v>730.88237199839318</v>
      </c>
      <c r="Q218" s="397"/>
      <c r="R218" s="2223"/>
      <c r="S218" s="2225"/>
      <c r="T218" s="2227"/>
      <c r="U218" s="2234"/>
      <c r="V218" s="2236"/>
      <c r="W218" s="2238"/>
      <c r="X218" s="2240"/>
      <c r="Y218" s="2242"/>
      <c r="Z218" s="2244"/>
      <c r="AA218" s="397"/>
      <c r="AB218" s="398"/>
      <c r="AC218" s="396" t="s">
        <v>429</v>
      </c>
      <c r="AD218" s="396" t="s">
        <v>429</v>
      </c>
      <c r="AE218" s="396"/>
      <c r="AF218" s="396" t="s">
        <v>429</v>
      </c>
      <c r="AG218" s="398"/>
      <c r="AH218" s="398"/>
      <c r="AI218" s="397"/>
    </row>
    <row r="219" spans="1:35" ht="19.5" thickBot="1" x14ac:dyDescent="0.35">
      <c r="A219" s="267" t="s">
        <v>43</v>
      </c>
      <c r="B219" s="1616"/>
      <c r="C219" s="294" t="s">
        <v>644</v>
      </c>
      <c r="D219" s="1256">
        <v>11500</v>
      </c>
      <c r="E219" s="306">
        <f>'[1]exchange rates'!K55</f>
        <v>10.498559999999999</v>
      </c>
      <c r="F219" s="319">
        <v>0</v>
      </c>
      <c r="G219" s="320">
        <f>1099.22/E219</f>
        <v>104.70197817605462</v>
      </c>
      <c r="H219" s="321">
        <v>0</v>
      </c>
      <c r="I219" s="313">
        <f>Tabel6689172633[[#This Row],[Fix.ch. 2015]]+Tabel6689172633[[#This Row],[Var. ch. 2015]]+Tabel6689172633[[#This Row],[Oth. ch. DW 2015]]</f>
        <v>104.70197817605462</v>
      </c>
      <c r="J219" s="322">
        <f>860.9/E219</f>
        <v>82.00172214094124</v>
      </c>
      <c r="K219" s="323">
        <v>0</v>
      </c>
      <c r="L219" s="323"/>
      <c r="M219" s="324">
        <v>0</v>
      </c>
      <c r="N219" s="1257">
        <f>Tabel6689172633[[#This Row],[Sew. 2015]]+Tabel6689172633[[#This Row],[WW 2015]]+Tabel6689172633[[#This Row],[Other ch. 2015]]</f>
        <v>82.00172214094124</v>
      </c>
      <c r="O219" s="1278">
        <f>274.42/E219</f>
        <v>26.138822848085837</v>
      </c>
      <c r="P219" s="318">
        <f>Tabel6689172633[[#This Row],[Total. ch. DW 2015]]+Tabel6689172633[[#This Row],[Sew. 2015]]+Tabel6689172633[[#This Row],[WW 2015]]+Tabel6689172633[[#This Row],[Other ch. 2015]]+Tabel6689172633[[#This Row],[VAT 2015]]</f>
        <v>212.84252316508173</v>
      </c>
      <c r="Q219" s="397"/>
      <c r="R219" s="1259">
        <f>Tabel6689172633[[#This Row],[Fix.ch. 2015]]</f>
        <v>0</v>
      </c>
      <c r="S219" s="1260">
        <f>Tabel6689172633[[#This Row],[Var. ch. 2015]]</f>
        <v>104.70197817605462</v>
      </c>
      <c r="T219" s="1230">
        <f>Tabel6689172633[[#This Row],[Oth. ch. DW 2015]]</f>
        <v>0</v>
      </c>
      <c r="U219" s="1231">
        <f>Tabel6689172633[[#This Row],[Total. ch. DW 2015]]</f>
        <v>104.70197817605462</v>
      </c>
      <c r="V219" s="1232">
        <f>Tabel6689172633[[#This Row],[Sew. 2015]]</f>
        <v>82.00172214094124</v>
      </c>
      <c r="W219" s="1233">
        <f>Tabel6689172633[[#This Row],[WW 2015]]</f>
        <v>0</v>
      </c>
      <c r="X219" s="1234">
        <f>Tabel6689172633[[#This Row],[Other ch. 2015]]</f>
        <v>0</v>
      </c>
      <c r="Y219" s="1235">
        <f>Tabel6689172633[[#This Row],[VAT 2015]]</f>
        <v>26.138822848085837</v>
      </c>
      <c r="Z219" s="1306">
        <f>SUM(U219:Y219)</f>
        <v>212.84252316508173</v>
      </c>
      <c r="AA219" s="397"/>
      <c r="AB219" s="398"/>
      <c r="AC219" s="398"/>
      <c r="AD219" s="398"/>
      <c r="AE219" s="396" t="s">
        <v>429</v>
      </c>
      <c r="AF219" s="396"/>
      <c r="AG219" s="396" t="s">
        <v>429</v>
      </c>
      <c r="AH219" s="398"/>
      <c r="AI219" s="397"/>
    </row>
    <row r="220" spans="1:35" ht="19.5" thickBot="1" x14ac:dyDescent="0.3">
      <c r="A220" s="267" t="s">
        <v>450</v>
      </c>
      <c r="B220" s="1616"/>
      <c r="C220" s="1289" t="s">
        <v>177</v>
      </c>
      <c r="D220" s="1256">
        <v>40800</v>
      </c>
      <c r="E220" s="306">
        <v>0.97958999999999996</v>
      </c>
      <c r="F220" s="310">
        <f>142.4/E220</f>
        <v>145.36693922967774</v>
      </c>
      <c r="G220" s="311">
        <f>352/E220</f>
        <v>359.33400708459664</v>
      </c>
      <c r="H220" s="312">
        <f>36/E220</f>
        <v>36.750068906379198</v>
      </c>
      <c r="I220" s="313">
        <f>Tabel6689172633[[#This Row],[Fix.ch. 2015]]+Tabel6689172633[[#This Row],[Var. ch. 2015]]+Tabel6689172633[[#This Row],[Oth. ch. DW 2015]]</f>
        <v>541.45101522065352</v>
      </c>
      <c r="J220" s="314">
        <f>457.3/E220</f>
        <v>466.82795863575581</v>
      </c>
      <c r="K220" s="315">
        <f>0</f>
        <v>0</v>
      </c>
      <c r="L220" s="315"/>
      <c r="M220" s="316">
        <v>0</v>
      </c>
      <c r="N220" s="1227">
        <f>Tabel6689172633[[#This Row],[Sew. 2015]]+Tabel6689172633[[#This Row],[WW 2015]]+Tabel6689172633[[#This Row],[Other ch. 2015]]</f>
        <v>466.82795863575581</v>
      </c>
      <c r="O220" s="317">
        <f>0</f>
        <v>0</v>
      </c>
      <c r="P220" s="318">
        <f>Tabel6689172633[[#This Row],[Total. ch. DW 2015]]+Tabel6689172633[[#This Row],[Sew. 2015]]+Tabel6689172633[[#This Row],[WW 2015]]+Tabel6689172633[[#This Row],[Other ch. 2015]]+Tabel6689172633[[#This Row],[VAT 2015]]</f>
        <v>1008.2789738564093</v>
      </c>
      <c r="Q220" s="397"/>
      <c r="R220" s="1259">
        <f>Tabel6689172633[[#This Row],[Fix.ch. 2015]]</f>
        <v>145.36693922967774</v>
      </c>
      <c r="S220" s="1260">
        <v>359.33400708459664</v>
      </c>
      <c r="T220" s="1261">
        <v>36.750068906379198</v>
      </c>
      <c r="U220" s="1262">
        <v>541.45101522065352</v>
      </c>
      <c r="V220" s="1263">
        <v>466.82795863575581</v>
      </c>
      <c r="W220" s="1264">
        <v>0</v>
      </c>
      <c r="X220" s="1265">
        <v>0</v>
      </c>
      <c r="Y220" s="1266">
        <v>0</v>
      </c>
      <c r="Z220" s="1267">
        <v>1008.2789738564093</v>
      </c>
      <c r="AA220" s="397"/>
      <c r="AB220" s="398"/>
      <c r="AC220" s="398"/>
      <c r="AD220" s="398"/>
      <c r="AE220" s="396" t="s">
        <v>429</v>
      </c>
      <c r="AF220" s="396" t="s">
        <v>429</v>
      </c>
      <c r="AG220" s="396" t="s">
        <v>429</v>
      </c>
      <c r="AH220" s="398" t="s">
        <v>452</v>
      </c>
      <c r="AI220" s="397"/>
    </row>
    <row r="221" spans="1:35" ht="15.75" x14ac:dyDescent="0.25">
      <c r="A221" s="1878" t="s">
        <v>25</v>
      </c>
      <c r="B221" s="1213"/>
      <c r="C221" s="693" t="s">
        <v>143</v>
      </c>
      <c r="D221" s="1759">
        <v>36700</v>
      </c>
      <c r="E221" s="617">
        <f>'[1]exchange rates'!$M$56</f>
        <v>1180.2052799999999</v>
      </c>
      <c r="F221" s="549">
        <v>0</v>
      </c>
      <c r="G221" s="550">
        <f>114850/E221</f>
        <v>97.313579210559041</v>
      </c>
      <c r="H221" s="551">
        <v>0</v>
      </c>
      <c r="I221" s="566">
        <f>Tabel6689172633[[#This Row],[Fix.ch. 2015]]+Tabel6689172633[[#This Row],[Var. ch. 2015]]+Tabel6689172633[[#This Row],[Oth. ch. DW 2015]]</f>
        <v>97.313579210559041</v>
      </c>
      <c r="J221" s="567">
        <f>89158/E221</f>
        <v>75.544484939094673</v>
      </c>
      <c r="K221" s="568">
        <v>0</v>
      </c>
      <c r="L221" s="568"/>
      <c r="M221" s="569">
        <v>0</v>
      </c>
      <c r="N221" s="1270">
        <f>Tabel6689172633[[#This Row],[Sew. 2015]]+Tabel6689172633[[#This Row],[WW 2015]]+Tabel6689172633[[#This Row],[Other ch. 2015]]</f>
        <v>75.544484939094673</v>
      </c>
      <c r="O221" s="1271">
        <v>0</v>
      </c>
      <c r="P221" s="571">
        <f>Tabel6689172633[[#This Row],[Total. ch. DW 2015]]+Tabel6689172633[[#This Row],[Sew. 2015]]+Tabel6689172633[[#This Row],[WW 2015]]+Tabel6689172633[[#This Row],[Other ch. 2015]]+Tabel6689172633[[#This Row],[VAT 2015]]</f>
        <v>172.85806414965373</v>
      </c>
      <c r="Q221" s="397"/>
      <c r="R221" s="1762">
        <f t="shared" ref="R221:W221" si="57">SUM(F221:F228)/8</f>
        <v>0</v>
      </c>
      <c r="S221" s="1765">
        <f t="shared" si="57"/>
        <v>107.5882748126665</v>
      </c>
      <c r="T221" s="1768">
        <f t="shared" si="57"/>
        <v>0</v>
      </c>
      <c r="U221" s="1774">
        <f t="shared" si="57"/>
        <v>107.5882748126665</v>
      </c>
      <c r="V221" s="1777">
        <f t="shared" si="57"/>
        <v>67.471524953692807</v>
      </c>
      <c r="W221" s="1810">
        <f t="shared" si="57"/>
        <v>0</v>
      </c>
      <c r="X221" s="1812">
        <f>SUM(M221:M228)/8</f>
        <v>0</v>
      </c>
      <c r="Y221" s="1814">
        <f t="shared" ref="Y221:Z221" si="58">SUM(O221:O228)/8</f>
        <v>0</v>
      </c>
      <c r="Z221" s="1793">
        <f t="shared" si="58"/>
        <v>175.0597997663593</v>
      </c>
      <c r="AA221" s="397"/>
      <c r="AB221" s="398"/>
      <c r="AC221" s="398"/>
      <c r="AD221" s="398"/>
      <c r="AE221" s="591" t="s">
        <v>429</v>
      </c>
      <c r="AF221" s="398"/>
      <c r="AG221" s="398"/>
      <c r="AH221" s="398"/>
      <c r="AI221" s="397"/>
    </row>
    <row r="222" spans="1:35" ht="15.75" x14ac:dyDescent="0.25">
      <c r="A222" s="1757"/>
      <c r="B222" s="1213"/>
      <c r="C222" s="1293" t="s">
        <v>144</v>
      </c>
      <c r="D222" s="1880"/>
      <c r="E222" s="617">
        <f>'[1]exchange rates'!$M$56</f>
        <v>1180.2052799999999</v>
      </c>
      <c r="F222" s="549">
        <v>0</v>
      </c>
      <c r="G222" s="550">
        <f>143016/E222</f>
        <v>121.17891897585818</v>
      </c>
      <c r="H222" s="551">
        <v>0</v>
      </c>
      <c r="I222" s="566">
        <f>Tabel6689172633[[#This Row],[Fix.ch. 2015]]+Tabel6689172633[[#This Row],[Var. ch. 2015]]+Tabel6689172633[[#This Row],[Oth. ch. DW 2015]]</f>
        <v>121.17891897585818</v>
      </c>
      <c r="J222" s="567">
        <f>98162/E222</f>
        <v>83.173666194748776</v>
      </c>
      <c r="K222" s="568">
        <v>0</v>
      </c>
      <c r="L222" s="568"/>
      <c r="M222" s="569">
        <v>0</v>
      </c>
      <c r="N222" s="1270">
        <f>Tabel6689172633[[#This Row],[Sew. 2015]]+Tabel6689172633[[#This Row],[WW 2015]]+Tabel6689172633[[#This Row],[Other ch. 2015]]</f>
        <v>83.173666194748776</v>
      </c>
      <c r="O222" s="1271">
        <v>0</v>
      </c>
      <c r="P222" s="571">
        <f>Tabel6689172633[[#This Row],[Total. ch. DW 2015]]+Tabel6689172633[[#This Row],[Sew. 2015]]+Tabel6689172633[[#This Row],[WW 2015]]+Tabel6689172633[[#This Row],[Other ch. 2015]]+Tabel6689172633[[#This Row],[VAT 2015]]</f>
        <v>204.35258517060697</v>
      </c>
      <c r="Q222" s="397"/>
      <c r="R222" s="1886"/>
      <c r="S222" s="1888"/>
      <c r="T222" s="1890"/>
      <c r="U222" s="1892"/>
      <c r="V222" s="1894"/>
      <c r="W222" s="1911"/>
      <c r="X222" s="1913"/>
      <c r="Y222" s="1915"/>
      <c r="Z222" s="1832"/>
      <c r="AA222" s="397"/>
      <c r="AB222" s="398"/>
      <c r="AC222" s="398"/>
      <c r="AD222" s="398"/>
      <c r="AE222" s="591" t="s">
        <v>429</v>
      </c>
      <c r="AF222" s="398"/>
      <c r="AG222" s="398"/>
      <c r="AH222" s="398"/>
      <c r="AI222" s="397"/>
    </row>
    <row r="223" spans="1:35" ht="15.75" x14ac:dyDescent="0.25">
      <c r="A223" s="1757"/>
      <c r="B223" s="1213"/>
      <c r="C223" s="1293" t="s">
        <v>145</v>
      </c>
      <c r="D223" s="1880"/>
      <c r="E223" s="617">
        <f>'[1]exchange rates'!$M$56</f>
        <v>1180.2052799999999</v>
      </c>
      <c r="F223" s="549">
        <v>0</v>
      </c>
      <c r="G223" s="550">
        <f>115792/E223</f>
        <v>98.111745441437108</v>
      </c>
      <c r="H223" s="551">
        <v>0</v>
      </c>
      <c r="I223" s="566">
        <f>Tabel6689172633[[#This Row],[Fix.ch. 2015]]+Tabel6689172633[[#This Row],[Var. ch. 2015]]+Tabel6689172633[[#This Row],[Oth. ch. DW 2015]]</f>
        <v>98.111745441437108</v>
      </c>
      <c r="J223" s="567">
        <f>77178/E223</f>
        <v>65.393708457227035</v>
      </c>
      <c r="K223" s="568">
        <v>0</v>
      </c>
      <c r="L223" s="568"/>
      <c r="M223" s="569">
        <v>0</v>
      </c>
      <c r="N223" s="1270">
        <f>Tabel6689172633[[#This Row],[Sew. 2015]]+Tabel6689172633[[#This Row],[WW 2015]]+Tabel6689172633[[#This Row],[Other ch. 2015]]</f>
        <v>65.393708457227035</v>
      </c>
      <c r="O223" s="1271">
        <v>0</v>
      </c>
      <c r="P223" s="571">
        <f>Tabel6689172633[[#This Row],[Total. ch. DW 2015]]+Tabel6689172633[[#This Row],[Sew. 2015]]+Tabel6689172633[[#This Row],[WW 2015]]+Tabel6689172633[[#This Row],[Other ch. 2015]]+Tabel6689172633[[#This Row],[VAT 2015]]</f>
        <v>163.50545389866414</v>
      </c>
      <c r="Q223" s="397"/>
      <c r="R223" s="1886"/>
      <c r="S223" s="1888"/>
      <c r="T223" s="1890"/>
      <c r="U223" s="1892"/>
      <c r="V223" s="1894"/>
      <c r="W223" s="1911"/>
      <c r="X223" s="1913"/>
      <c r="Y223" s="1915"/>
      <c r="Z223" s="1832"/>
      <c r="AA223" s="397"/>
      <c r="AB223" s="398"/>
      <c r="AC223" s="398"/>
      <c r="AD223" s="398"/>
      <c r="AE223" s="591" t="s">
        <v>429</v>
      </c>
      <c r="AF223" s="398"/>
      <c r="AG223" s="398"/>
      <c r="AH223" s="398"/>
      <c r="AI223" s="397"/>
    </row>
    <row r="224" spans="1:35" ht="15.75" x14ac:dyDescent="0.25">
      <c r="A224" s="1757"/>
      <c r="B224" s="1213"/>
      <c r="C224" s="1293" t="s">
        <v>146</v>
      </c>
      <c r="D224" s="1880"/>
      <c r="E224" s="617">
        <f>'[1]exchange rates'!$M$56</f>
        <v>1180.2052799999999</v>
      </c>
      <c r="F224" s="549">
        <v>0</v>
      </c>
      <c r="G224" s="550">
        <f>132740/E224</f>
        <v>112.47195911545151</v>
      </c>
      <c r="H224" s="551">
        <v>0</v>
      </c>
      <c r="I224" s="566">
        <f>Tabel6689172633[[#This Row],[Fix.ch. 2015]]+Tabel6689172633[[#This Row],[Var. ch. 2015]]+Tabel6689172633[[#This Row],[Oth. ch. DW 2015]]</f>
        <v>112.47195911545151</v>
      </c>
      <c r="J224" s="567">
        <f>83382/E224</f>
        <v>70.65042108606734</v>
      </c>
      <c r="K224" s="568">
        <v>0</v>
      </c>
      <c r="L224" s="568"/>
      <c r="M224" s="569">
        <v>0</v>
      </c>
      <c r="N224" s="1270">
        <f>Tabel6689172633[[#This Row],[Sew. 2015]]+Tabel6689172633[[#This Row],[WW 2015]]+Tabel6689172633[[#This Row],[Other ch. 2015]]</f>
        <v>70.65042108606734</v>
      </c>
      <c r="O224" s="1271">
        <v>0</v>
      </c>
      <c r="P224" s="571">
        <f>Tabel6689172633[[#This Row],[Total. ch. DW 2015]]+Tabel6689172633[[#This Row],[Sew. 2015]]+Tabel6689172633[[#This Row],[WW 2015]]+Tabel6689172633[[#This Row],[Other ch. 2015]]+Tabel6689172633[[#This Row],[VAT 2015]]</f>
        <v>183.12238020151887</v>
      </c>
      <c r="Q224" s="397"/>
      <c r="R224" s="1886"/>
      <c r="S224" s="1888"/>
      <c r="T224" s="1890"/>
      <c r="U224" s="1892"/>
      <c r="V224" s="1894"/>
      <c r="W224" s="1911"/>
      <c r="X224" s="1913"/>
      <c r="Y224" s="1915"/>
      <c r="Z224" s="1832"/>
      <c r="AA224" s="397"/>
      <c r="AB224" s="398"/>
      <c r="AC224" s="398"/>
      <c r="AD224" s="398"/>
      <c r="AE224" s="591" t="s">
        <v>429</v>
      </c>
      <c r="AF224" s="398"/>
      <c r="AG224" s="398"/>
      <c r="AH224" s="398"/>
      <c r="AI224" s="397"/>
    </row>
    <row r="225" spans="1:35" ht="15.75" x14ac:dyDescent="0.25">
      <c r="A225" s="1757"/>
      <c r="B225" s="1213"/>
      <c r="C225" s="1293" t="s">
        <v>147</v>
      </c>
      <c r="D225" s="1880"/>
      <c r="E225" s="617">
        <f>'[1]exchange rates'!$M$56</f>
        <v>1180.2052799999999</v>
      </c>
      <c r="F225" s="549">
        <v>0</v>
      </c>
      <c r="G225" s="550">
        <f>106270/E225</f>
        <v>90.043657489822451</v>
      </c>
      <c r="H225" s="551">
        <v>0</v>
      </c>
      <c r="I225" s="566">
        <f>Tabel6689172633[[#This Row],[Fix.ch. 2015]]+Tabel6689172633[[#This Row],[Var. ch. 2015]]+Tabel6689172633[[#This Row],[Oth. ch. DW 2015]]</f>
        <v>90.043657489822451</v>
      </c>
      <c r="J225" s="567">
        <f>70268/E225</f>
        <v>59.538794810340121</v>
      </c>
      <c r="K225" s="568">
        <v>0</v>
      </c>
      <c r="L225" s="568"/>
      <c r="M225" s="569">
        <v>0</v>
      </c>
      <c r="N225" s="1270">
        <f>Tabel6689172633[[#This Row],[Sew. 2015]]+Tabel6689172633[[#This Row],[WW 2015]]+Tabel6689172633[[#This Row],[Other ch. 2015]]</f>
        <v>59.538794810340121</v>
      </c>
      <c r="O225" s="1271">
        <v>0</v>
      </c>
      <c r="P225" s="571">
        <f>Tabel6689172633[[#This Row],[Total. ch. DW 2015]]+Tabel6689172633[[#This Row],[Sew. 2015]]+Tabel6689172633[[#This Row],[WW 2015]]+Tabel6689172633[[#This Row],[Other ch. 2015]]+Tabel6689172633[[#This Row],[VAT 2015]]</f>
        <v>149.58245230016257</v>
      </c>
      <c r="Q225" s="397"/>
      <c r="R225" s="1886"/>
      <c r="S225" s="1888"/>
      <c r="T225" s="1890"/>
      <c r="U225" s="1892"/>
      <c r="V225" s="1894"/>
      <c r="W225" s="1911"/>
      <c r="X225" s="1913"/>
      <c r="Y225" s="1915"/>
      <c r="Z225" s="1832"/>
      <c r="AA225" s="397"/>
      <c r="AB225" s="398"/>
      <c r="AC225" s="398"/>
      <c r="AD225" s="398"/>
      <c r="AE225" s="591" t="s">
        <v>429</v>
      </c>
      <c r="AF225" s="398"/>
      <c r="AG225" s="398"/>
      <c r="AH225" s="398"/>
      <c r="AI225" s="397"/>
    </row>
    <row r="226" spans="1:35" ht="15.75" x14ac:dyDescent="0.25">
      <c r="A226" s="1757"/>
      <c r="B226" s="1213"/>
      <c r="C226" s="1293" t="s">
        <v>148</v>
      </c>
      <c r="D226" s="1880"/>
      <c r="E226" s="617">
        <f>'[1]exchange rates'!$M$56</f>
        <v>1180.2052799999999</v>
      </c>
      <c r="F226" s="549">
        <v>0</v>
      </c>
      <c r="G226" s="550">
        <f>101878/E226</f>
        <v>86.322270986620239</v>
      </c>
      <c r="H226" s="551">
        <v>0</v>
      </c>
      <c r="I226" s="566">
        <f>Tabel6689172633[[#This Row],[Fix.ch. 2015]]+Tabel6689172633[[#This Row],[Var. ch. 2015]]+Tabel6689172633[[#This Row],[Oth. ch. DW 2015]]</f>
        <v>86.322270986620239</v>
      </c>
      <c r="J226" s="567">
        <f>76982/E226</f>
        <v>65.227635653350077</v>
      </c>
      <c r="K226" s="568">
        <v>0</v>
      </c>
      <c r="L226" s="568"/>
      <c r="M226" s="569">
        <v>0</v>
      </c>
      <c r="N226" s="1270">
        <f>Tabel6689172633[[#This Row],[Sew. 2015]]+Tabel6689172633[[#This Row],[WW 2015]]+Tabel6689172633[[#This Row],[Other ch. 2015]]</f>
        <v>65.227635653350077</v>
      </c>
      <c r="O226" s="1271">
        <v>0</v>
      </c>
      <c r="P226" s="571">
        <f>Tabel6689172633[[#This Row],[Total. ch. DW 2015]]+Tabel6689172633[[#This Row],[Sew. 2015]]+Tabel6689172633[[#This Row],[WW 2015]]+Tabel6689172633[[#This Row],[Other ch. 2015]]+Tabel6689172633[[#This Row],[VAT 2015]]</f>
        <v>151.54990663997032</v>
      </c>
      <c r="Q226" s="397"/>
      <c r="R226" s="1886"/>
      <c r="S226" s="1888"/>
      <c r="T226" s="1890"/>
      <c r="U226" s="1892"/>
      <c r="V226" s="1894"/>
      <c r="W226" s="1911"/>
      <c r="X226" s="1913"/>
      <c r="Y226" s="1915"/>
      <c r="Z226" s="1832"/>
      <c r="AA226" s="397"/>
      <c r="AB226" s="398"/>
      <c r="AC226" s="398"/>
      <c r="AD226" s="398"/>
      <c r="AE226" s="591" t="s">
        <v>429</v>
      </c>
      <c r="AF226" s="398"/>
      <c r="AG226" s="398"/>
      <c r="AH226" s="398"/>
      <c r="AI226" s="397"/>
    </row>
    <row r="227" spans="1:35" ht="15.75" x14ac:dyDescent="0.25">
      <c r="A227" s="1757"/>
      <c r="B227" s="1213"/>
      <c r="C227" s="1293" t="s">
        <v>149</v>
      </c>
      <c r="D227" s="1880"/>
      <c r="E227" s="617">
        <f>'[1]exchange rates'!$M$56</f>
        <v>1180.2052799999999</v>
      </c>
      <c r="F227" s="549">
        <v>0</v>
      </c>
      <c r="G227" s="550">
        <f>174392/E227</f>
        <v>147.76412455975458</v>
      </c>
      <c r="H227" s="551">
        <v>0</v>
      </c>
      <c r="I227" s="566">
        <f>Tabel6689172633[[#This Row],[Fix.ch. 2015]]+Tabel6689172633[[#This Row],[Var. ch. 2015]]+Tabel6689172633[[#This Row],[Oth. ch. DW 2015]]</f>
        <v>147.76412455975458</v>
      </c>
      <c r="J227" s="567">
        <f>80010/E227</f>
        <v>67.793291011204431</v>
      </c>
      <c r="K227" s="568">
        <v>0</v>
      </c>
      <c r="L227" s="568"/>
      <c r="M227" s="569">
        <v>0</v>
      </c>
      <c r="N227" s="1270">
        <f>Tabel6689172633[[#This Row],[Sew. 2015]]+Tabel6689172633[[#This Row],[WW 2015]]+Tabel6689172633[[#This Row],[Other ch. 2015]]</f>
        <v>67.793291011204431</v>
      </c>
      <c r="O227" s="1271">
        <v>0</v>
      </c>
      <c r="P227" s="571">
        <f>Tabel6689172633[[#This Row],[Total. ch. DW 2015]]+Tabel6689172633[[#This Row],[Sew. 2015]]+Tabel6689172633[[#This Row],[WW 2015]]+Tabel6689172633[[#This Row],[Other ch. 2015]]+Tabel6689172633[[#This Row],[VAT 2015]]</f>
        <v>215.55741557095899</v>
      </c>
      <c r="Q227" s="397"/>
      <c r="R227" s="1886"/>
      <c r="S227" s="1888"/>
      <c r="T227" s="1890"/>
      <c r="U227" s="1892"/>
      <c r="V227" s="1894"/>
      <c r="W227" s="1911"/>
      <c r="X227" s="1913"/>
      <c r="Y227" s="1915"/>
      <c r="Z227" s="1832"/>
      <c r="AA227" s="397"/>
      <c r="AB227" s="398"/>
      <c r="AC227" s="398"/>
      <c r="AD227" s="398"/>
      <c r="AE227" s="591" t="s">
        <v>429</v>
      </c>
      <c r="AF227" s="398"/>
      <c r="AG227" s="398"/>
      <c r="AH227" s="398"/>
      <c r="AI227" s="397"/>
    </row>
    <row r="228" spans="1:35" ht="16.5" thickBot="1" x14ac:dyDescent="0.3">
      <c r="A228" s="1758"/>
      <c r="B228" s="1213"/>
      <c r="C228" s="652" t="s">
        <v>150</v>
      </c>
      <c r="D228" s="1761"/>
      <c r="E228" s="617">
        <f>'[1]exchange rates'!$M$56</f>
        <v>1180.2052799999999</v>
      </c>
      <c r="F228" s="549">
        <v>0</v>
      </c>
      <c r="G228" s="550">
        <f>126872/E228</f>
        <v>107.49994272182887</v>
      </c>
      <c r="H228" s="551">
        <v>0</v>
      </c>
      <c r="I228" s="566">
        <f>Tabel6689172633[[#This Row],[Fix.ch. 2015]]+Tabel6689172633[[#This Row],[Var. ch. 2015]]+Tabel6689172633[[#This Row],[Oth. ch. DW 2015]]</f>
        <v>107.49994272182887</v>
      </c>
      <c r="J228" s="567">
        <f>61902/E228</f>
        <v>52.450197477510017</v>
      </c>
      <c r="K228" s="568">
        <v>0</v>
      </c>
      <c r="L228" s="568"/>
      <c r="M228" s="569">
        <v>0</v>
      </c>
      <c r="N228" s="1270">
        <f>Tabel6689172633[[#This Row],[Sew. 2015]]+Tabel6689172633[[#This Row],[WW 2015]]+Tabel6689172633[[#This Row],[Other ch. 2015]]</f>
        <v>52.450197477510017</v>
      </c>
      <c r="O228" s="1271">
        <v>0</v>
      </c>
      <c r="P228" s="571">
        <f>Tabel6689172633[[#This Row],[Total. ch. DW 2015]]+Tabel6689172633[[#This Row],[Sew. 2015]]+Tabel6689172633[[#This Row],[WW 2015]]+Tabel6689172633[[#This Row],[Other ch. 2015]]+Tabel6689172633[[#This Row],[VAT 2015]]</f>
        <v>159.95014019933888</v>
      </c>
      <c r="Q228" s="397"/>
      <c r="R228" s="1764"/>
      <c r="S228" s="1767"/>
      <c r="T228" s="1770"/>
      <c r="U228" s="1776"/>
      <c r="V228" s="1779"/>
      <c r="W228" s="1811"/>
      <c r="X228" s="1813"/>
      <c r="Y228" s="1815"/>
      <c r="Z228" s="1794"/>
      <c r="AA228" s="397"/>
      <c r="AB228" s="398"/>
      <c r="AC228" s="398"/>
      <c r="AD228" s="398"/>
      <c r="AE228" s="591" t="s">
        <v>429</v>
      </c>
      <c r="AF228" s="398"/>
      <c r="AG228" s="398"/>
      <c r="AH228" s="398"/>
      <c r="AI228" s="397"/>
    </row>
    <row r="229" spans="1:35" ht="15.75" x14ac:dyDescent="0.25">
      <c r="A229" s="1878" t="s">
        <v>26</v>
      </c>
      <c r="B229" s="1213"/>
      <c r="C229" s="693" t="s">
        <v>151</v>
      </c>
      <c r="D229" s="1759">
        <v>35200</v>
      </c>
      <c r="E229" s="617">
        <f>'[1]exchange rates'!$M$57</f>
        <v>0.92093999999999998</v>
      </c>
      <c r="F229" s="549">
        <f>83.28/E229</f>
        <v>90.429343931200734</v>
      </c>
      <c r="G229" s="550">
        <f>279/E229</f>
        <v>302.95133233435405</v>
      </c>
      <c r="H229" s="551">
        <v>0</v>
      </c>
      <c r="I229" s="566">
        <f>Tabel6689172633[[#This Row],[Fix.ch. 2015]]+Tabel6689172633[[#This Row],[Var. ch. 2015]]+Tabel6689172633[[#This Row],[Oth. ch. DW 2015]]</f>
        <v>393.38067626555477</v>
      </c>
      <c r="J229" s="567">
        <f>34.86/E229</f>
        <v>37.852628835754771</v>
      </c>
      <c r="K229" s="568">
        <f>169.02/E229</f>
        <v>183.52987165287644</v>
      </c>
      <c r="L229" s="568"/>
      <c r="M229" s="569">
        <v>0</v>
      </c>
      <c r="N229" s="1270">
        <f>Tabel6689172633[[#This Row],[Sew. 2015]]+Tabel6689172633[[#This Row],[WW 2015]]+Tabel6689172633[[#This Row],[Other ch. 2015]]</f>
        <v>221.38250048863119</v>
      </c>
      <c r="O229" s="1271">
        <f>56.62/E229</f>
        <v>61.480661063695784</v>
      </c>
      <c r="P229" s="571">
        <f>Tabel6689172633[[#This Row],[Total. ch. DW 2015]]+Tabel6689172633[[#This Row],[Sew. 2015]]+Tabel6689172633[[#This Row],[WW 2015]]+Tabel6689172633[[#This Row],[Other ch. 2015]]+Tabel6689172633[[#This Row],[VAT 2015]]</f>
        <v>676.24383781788185</v>
      </c>
      <c r="Q229" s="397"/>
      <c r="R229" s="1762">
        <f t="shared" ref="R229:W229" si="59">SUM(F229:F233)/5</f>
        <v>64.004169652746114</v>
      </c>
      <c r="S229" s="1765">
        <f t="shared" si="59"/>
        <v>157.49777401350795</v>
      </c>
      <c r="T229" s="1768">
        <f t="shared" si="59"/>
        <v>0</v>
      </c>
      <c r="U229" s="1774">
        <f t="shared" si="59"/>
        <v>221.50194366625405</v>
      </c>
      <c r="V229" s="1777">
        <f t="shared" si="59"/>
        <v>44.958412057245859</v>
      </c>
      <c r="W229" s="1810">
        <f t="shared" si="59"/>
        <v>148.61554498664412</v>
      </c>
      <c r="X229" s="1812">
        <f>SUM(M229:M233)/5</f>
        <v>0</v>
      </c>
      <c r="Y229" s="1814">
        <f t="shared" ref="Y229:Z229" si="60">SUM(O229:O233)/5</f>
        <v>41.509761765152987</v>
      </c>
      <c r="Z229" s="1793">
        <f t="shared" si="60"/>
        <v>456.58566247529706</v>
      </c>
      <c r="AA229" s="397"/>
      <c r="AB229" s="398"/>
      <c r="AC229" s="398"/>
      <c r="AD229" s="398"/>
      <c r="AE229" s="591" t="s">
        <v>429</v>
      </c>
      <c r="AF229" s="591" t="s">
        <v>429</v>
      </c>
      <c r="AG229" s="398"/>
      <c r="AH229" s="398"/>
      <c r="AI229" s="397"/>
    </row>
    <row r="230" spans="1:35" ht="15.75" x14ac:dyDescent="0.25">
      <c r="A230" s="1757"/>
      <c r="B230" s="1213"/>
      <c r="C230" s="1293" t="s">
        <v>152</v>
      </c>
      <c r="D230" s="1880"/>
      <c r="E230" s="617">
        <f>'[1]exchange rates'!$M$57</f>
        <v>0.92093999999999998</v>
      </c>
      <c r="F230" s="549">
        <f>32.93/E230</f>
        <v>35.756943992008168</v>
      </c>
      <c r="G230" s="550">
        <f>115.79/E230</f>
        <v>125.73023215410342</v>
      </c>
      <c r="H230" s="551">
        <v>0</v>
      </c>
      <c r="I230" s="566">
        <f>Tabel6689172633[[#This Row],[Fix.ch. 2015]]+Tabel6689172633[[#This Row],[Var. ch. 2015]]+Tabel6689172633[[#This Row],[Oth. ch. DW 2015]]</f>
        <v>161.48717614611158</v>
      </c>
      <c r="J230" s="567">
        <v>0</v>
      </c>
      <c r="K230" s="568">
        <f>142.15/E230</f>
        <v>154.35316090081875</v>
      </c>
      <c r="L230" s="568"/>
      <c r="M230" s="569">
        <v>0</v>
      </c>
      <c r="N230" s="1270">
        <f>Tabel6689172633[[#This Row],[Sew. 2015]]+Tabel6689172633[[#This Row],[WW 2015]]+Tabel6689172633[[#This Row],[Other ch. 2015]]</f>
        <v>154.35316090081875</v>
      </c>
      <c r="O230" s="1271">
        <f>29.09/E230</f>
        <v>31.587291245900929</v>
      </c>
      <c r="P230" s="571">
        <f>Tabel6689172633[[#This Row],[Total. ch. DW 2015]]+Tabel6689172633[[#This Row],[Sew. 2015]]+Tabel6689172633[[#This Row],[WW 2015]]+Tabel6689172633[[#This Row],[Other ch. 2015]]+Tabel6689172633[[#This Row],[VAT 2015]]</f>
        <v>347.42762829283129</v>
      </c>
      <c r="Q230" s="397"/>
      <c r="R230" s="1886"/>
      <c r="S230" s="1888"/>
      <c r="T230" s="1890"/>
      <c r="U230" s="1892"/>
      <c r="V230" s="1894"/>
      <c r="W230" s="1911"/>
      <c r="X230" s="1913"/>
      <c r="Y230" s="1915"/>
      <c r="Z230" s="1832"/>
      <c r="AA230" s="397"/>
      <c r="AB230" s="398"/>
      <c r="AC230" s="398"/>
      <c r="AD230" s="398"/>
      <c r="AE230" s="591" t="s">
        <v>429</v>
      </c>
      <c r="AF230" s="591" t="s">
        <v>429</v>
      </c>
      <c r="AG230" s="398"/>
      <c r="AH230" s="398"/>
      <c r="AI230" s="397"/>
    </row>
    <row r="231" spans="1:35" ht="15.75" x14ac:dyDescent="0.25">
      <c r="A231" s="1757"/>
      <c r="B231" s="1213"/>
      <c r="C231" s="1293" t="s">
        <v>153</v>
      </c>
      <c r="D231" s="1880"/>
      <c r="E231" s="617">
        <f>'[1]exchange rates'!$M$57</f>
        <v>0.92093999999999998</v>
      </c>
      <c r="F231" s="549">
        <f>61.23/E231</f>
        <v>66.486416053163069</v>
      </c>
      <c r="G231" s="550">
        <f>104.73/E231</f>
        <v>113.72076356765913</v>
      </c>
      <c r="H231" s="551">
        <v>0</v>
      </c>
      <c r="I231" s="566">
        <f>Tabel6689172633[[#This Row],[Fix.ch. 2015]]+Tabel6689172633[[#This Row],[Var. ch. 2015]]+Tabel6689172633[[#This Row],[Oth. ch. DW 2015]]</f>
        <v>180.20717962082222</v>
      </c>
      <c r="J231" s="567">
        <f>28.85/E231</f>
        <v>31.326687949269228</v>
      </c>
      <c r="K231" s="568">
        <f>83.33/E231</f>
        <v>90.483636284665664</v>
      </c>
      <c r="L231" s="568"/>
      <c r="M231" s="569">
        <v>0</v>
      </c>
      <c r="N231" s="1270">
        <f>Tabel6689172633[[#This Row],[Sew. 2015]]+Tabel6689172633[[#This Row],[WW 2015]]+Tabel6689172633[[#This Row],[Other ch. 2015]]</f>
        <v>121.81032423393489</v>
      </c>
      <c r="O231" s="1271">
        <f>27.81/E231</f>
        <v>30.197406997198513</v>
      </c>
      <c r="P231" s="571">
        <f>Tabel6689172633[[#This Row],[Total. ch. DW 2015]]+Tabel6689172633[[#This Row],[Sew. 2015]]+Tabel6689172633[[#This Row],[WW 2015]]+Tabel6689172633[[#This Row],[Other ch. 2015]]+Tabel6689172633[[#This Row],[VAT 2015]]</f>
        <v>332.21491085195566</v>
      </c>
      <c r="Q231" s="397"/>
      <c r="R231" s="1886"/>
      <c r="S231" s="1888"/>
      <c r="T231" s="1890"/>
      <c r="U231" s="1892"/>
      <c r="V231" s="1894"/>
      <c r="W231" s="1911"/>
      <c r="X231" s="1913"/>
      <c r="Y231" s="1915"/>
      <c r="Z231" s="1832"/>
      <c r="AA231" s="397"/>
      <c r="AB231" s="398"/>
      <c r="AC231" s="398"/>
      <c r="AD231" s="398"/>
      <c r="AE231" s="591" t="s">
        <v>429</v>
      </c>
      <c r="AF231" s="591" t="s">
        <v>429</v>
      </c>
      <c r="AG231" s="398"/>
      <c r="AH231" s="398"/>
      <c r="AI231" s="397"/>
    </row>
    <row r="232" spans="1:35" ht="15.75" x14ac:dyDescent="0.25">
      <c r="A232" s="1757"/>
      <c r="B232" s="1213"/>
      <c r="C232" s="1293" t="s">
        <v>214</v>
      </c>
      <c r="D232" s="1880"/>
      <c r="E232" s="617">
        <f>'[1]exchange rates'!$M$57</f>
        <v>0.92093999999999998</v>
      </c>
      <c r="F232" s="549">
        <f>46.36/E232</f>
        <v>50.339870132690514</v>
      </c>
      <c r="G232" s="550">
        <f>113.89/E232</f>
        <v>123.66712272243578</v>
      </c>
      <c r="H232" s="551">
        <v>0</v>
      </c>
      <c r="I232" s="566">
        <f>Tabel6689172633[[#This Row],[Fix.ch. 2015]]+Tabel6689172633[[#This Row],[Var. ch. 2015]]+Tabel6689172633[[#This Row],[Oth. ch. DW 2015]]</f>
        <v>174.0069928551263</v>
      </c>
      <c r="J232" s="567">
        <f>82.73/E232</f>
        <v>89.832128043086414</v>
      </c>
      <c r="K232" s="568">
        <f>156.8/E232</f>
        <v>170.26082046604557</v>
      </c>
      <c r="L232" s="568"/>
      <c r="M232" s="569">
        <v>0</v>
      </c>
      <c r="N232" s="1270">
        <f>Tabel6689172633[[#This Row],[Sew. 2015]]+Tabel6689172633[[#This Row],[WW 2015]]+Tabel6689172633[[#This Row],[Other ch. 2015]]</f>
        <v>260.09294850913199</v>
      </c>
      <c r="O232" s="1271">
        <f>39.98/E232</f>
        <v>43.412165830564419</v>
      </c>
      <c r="P232" s="571">
        <f>Tabel6689172633[[#This Row],[Total. ch. DW 2015]]+Tabel6689172633[[#This Row],[Sew. 2015]]+Tabel6689172633[[#This Row],[WW 2015]]+Tabel6689172633[[#This Row],[Other ch. 2015]]+Tabel6689172633[[#This Row],[VAT 2015]]</f>
        <v>477.51210719482276</v>
      </c>
      <c r="Q232" s="397"/>
      <c r="R232" s="1886"/>
      <c r="S232" s="1888"/>
      <c r="T232" s="1890"/>
      <c r="U232" s="1892"/>
      <c r="V232" s="1894"/>
      <c r="W232" s="1911"/>
      <c r="X232" s="1913"/>
      <c r="Y232" s="1915"/>
      <c r="Z232" s="1832"/>
      <c r="AA232" s="397"/>
      <c r="AB232" s="398"/>
      <c r="AC232" s="398"/>
      <c r="AD232" s="398"/>
      <c r="AE232" s="591" t="s">
        <v>429</v>
      </c>
      <c r="AF232" s="591" t="s">
        <v>429</v>
      </c>
      <c r="AG232" s="398"/>
      <c r="AH232" s="398"/>
      <c r="AI232" s="397"/>
    </row>
    <row r="233" spans="1:35" ht="16.5" thickBot="1" x14ac:dyDescent="0.3">
      <c r="A233" s="1758"/>
      <c r="B233" s="1213"/>
      <c r="C233" s="652" t="s">
        <v>154</v>
      </c>
      <c r="D233" s="1761"/>
      <c r="E233" s="617">
        <f>'[1]exchange rates'!$M$57</f>
        <v>0.92093999999999998</v>
      </c>
      <c r="F233" s="549">
        <f>70.92/E233</f>
        <v>77.008274154668058</v>
      </c>
      <c r="G233" s="550">
        <f>111.82/E233</f>
        <v>121.41941928898733</v>
      </c>
      <c r="H233" s="551">
        <v>0</v>
      </c>
      <c r="I233" s="566">
        <f>Tabel6689172633[[#This Row],[Fix.ch. 2015]]+Tabel6689172633[[#This Row],[Var. ch. 2015]]+Tabel6689172633[[#This Row],[Oth. ch. DW 2015]]</f>
        <v>198.42769344365539</v>
      </c>
      <c r="J233" s="567">
        <f>60.58/E233</f>
        <v>65.780615458118874</v>
      </c>
      <c r="K233" s="568">
        <f>133.03/E233</f>
        <v>144.45023562881406</v>
      </c>
      <c r="L233" s="568"/>
      <c r="M233" s="569">
        <v>0</v>
      </c>
      <c r="N233" s="1270">
        <f>Tabel6689172633[[#This Row],[Sew. 2015]]+Tabel6689172633[[#This Row],[WW 2015]]+Tabel6689172633[[#This Row],[Other ch. 2015]]</f>
        <v>210.23085108693294</v>
      </c>
      <c r="O233" s="1271">
        <f>37.64/E233</f>
        <v>40.871283688405327</v>
      </c>
      <c r="P233" s="571">
        <f>Tabel6689172633[[#This Row],[Total. ch. DW 2015]]+Tabel6689172633[[#This Row],[Sew. 2015]]+Tabel6689172633[[#This Row],[WW 2015]]+Tabel6689172633[[#This Row],[Other ch. 2015]]+Tabel6689172633[[#This Row],[VAT 2015]]</f>
        <v>449.52982821899366</v>
      </c>
      <c r="Q233" s="397"/>
      <c r="R233" s="1764"/>
      <c r="S233" s="1767"/>
      <c r="T233" s="1770"/>
      <c r="U233" s="1776"/>
      <c r="V233" s="1779"/>
      <c r="W233" s="1811"/>
      <c r="X233" s="1813"/>
      <c r="Y233" s="1815"/>
      <c r="Z233" s="1794"/>
      <c r="AA233" s="397"/>
      <c r="AB233" s="398"/>
      <c r="AC233" s="396"/>
      <c r="AD233" s="396"/>
      <c r="AE233" s="591" t="s">
        <v>429</v>
      </c>
      <c r="AF233" s="591" t="s">
        <v>429</v>
      </c>
      <c r="AG233" s="398"/>
      <c r="AH233" s="398"/>
      <c r="AI233" s="397"/>
    </row>
    <row r="234" spans="1:35" ht="15.75" customHeight="1" x14ac:dyDescent="0.25">
      <c r="A234" s="2004" t="s">
        <v>48</v>
      </c>
      <c r="B234" s="1617"/>
      <c r="C234" s="1307" t="s">
        <v>155</v>
      </c>
      <c r="D234" s="2210">
        <v>40900</v>
      </c>
      <c r="E234" s="307">
        <f>'[1]exchange rates'!K58</f>
        <v>6.4383900000000001</v>
      </c>
      <c r="F234" s="319">
        <f>561.6/E234</f>
        <v>87.226775638008888</v>
      </c>
      <c r="G234" s="320">
        <f>486.4/E234</f>
        <v>75.54683701981395</v>
      </c>
      <c r="H234" s="321">
        <f>0</f>
        <v>0</v>
      </c>
      <c r="I234" s="313">
        <f>Tabel6689172633[[#This Row],[Fix.ch. 2015]]+Tabel6689172633[[#This Row],[Var. ch. 2015]]+Tabel6689172633[[#This Row],[Oth. ch. DW 2015]]</f>
        <v>162.77361265782284</v>
      </c>
      <c r="J234" s="322">
        <f>842.4/E234</f>
        <v>130.84016345701332</v>
      </c>
      <c r="K234" s="323">
        <f>428.8/E234</f>
        <v>66.600501056941255</v>
      </c>
      <c r="L234" s="323"/>
      <c r="M234" s="324">
        <f>277.6/E234</f>
        <v>43.116369154400402</v>
      </c>
      <c r="N234" s="1257">
        <f>Tabel6689172633[[#This Row],[Sew. 2015]]+Tabel6689172633[[#This Row],[WW 2015]]+Tabel6689172633[[#This Row],[Other ch. 2015]]</f>
        <v>240.55703366835496</v>
      </c>
      <c r="O234" s="1258">
        <f>649.2/E234</f>
        <v>100.83266158154446</v>
      </c>
      <c r="P234" s="318">
        <f>Tabel6689172633[[#This Row],[Total. ch. DW 2015]]+Tabel6689172633[[#This Row],[Sew. 2015]]+Tabel6689172633[[#This Row],[WW 2015]]+Tabel6689172633[[#This Row],[Other ch. 2015]]+Tabel6689172633[[#This Row],[VAT 2015]]</f>
        <v>504.16330790772224</v>
      </c>
      <c r="Q234" s="397"/>
      <c r="R234" s="2211">
        <f t="shared" ref="R234:W234" si="61">SUM(F234:F238)/5</f>
        <v>96.108499174483057</v>
      </c>
      <c r="S234" s="2212">
        <f t="shared" si="61"/>
        <v>155.9147550862871</v>
      </c>
      <c r="T234" s="2213">
        <f t="shared" si="61"/>
        <v>0</v>
      </c>
      <c r="U234" s="2214">
        <f t="shared" si="61"/>
        <v>252.02325426077013</v>
      </c>
      <c r="V234" s="2215">
        <f t="shared" si="61"/>
        <v>144.16274876172457</v>
      </c>
      <c r="W234" s="2216">
        <f t="shared" si="61"/>
        <v>203.45459035566344</v>
      </c>
      <c r="X234" s="2217">
        <f>SUM(M234:M238)/5</f>
        <v>25.124293495734186</v>
      </c>
      <c r="Y234" s="2218">
        <f t="shared" ref="Y234:Z234" si="62">SUM(O234:O238)/5</f>
        <v>156.19122171847309</v>
      </c>
      <c r="Z234" s="2219">
        <f t="shared" si="62"/>
        <v>780.95610859236547</v>
      </c>
      <c r="AA234" s="397"/>
      <c r="AB234" s="398"/>
      <c r="AC234" s="398"/>
      <c r="AD234" s="396" t="s">
        <v>429</v>
      </c>
      <c r="AE234" s="396"/>
      <c r="AF234" s="396"/>
      <c r="AG234" s="396" t="s">
        <v>429</v>
      </c>
      <c r="AH234" s="398"/>
      <c r="AI234" s="397"/>
    </row>
    <row r="235" spans="1:35" ht="15.75" customHeight="1" x14ac:dyDescent="0.25">
      <c r="A235" s="2005"/>
      <c r="B235" s="1617"/>
      <c r="C235" s="1308" t="s">
        <v>156</v>
      </c>
      <c r="D235" s="2157"/>
      <c r="E235" s="307">
        <f>'[1]exchange rates'!K58</f>
        <v>6.4383900000000001</v>
      </c>
      <c r="F235" s="319">
        <f>974.72/E235</f>
        <v>151.39188523839036</v>
      </c>
      <c r="G235" s="320">
        <f>1008/E235</f>
        <v>156.56087935027236</v>
      </c>
      <c r="H235" s="321">
        <v>0</v>
      </c>
      <c r="I235" s="313">
        <f>Tabel6689172633[[#This Row],[Fix.ch. 2015]]+Tabel6689172633[[#This Row],[Var. ch. 2015]]+Tabel6689172633[[#This Row],[Oth. ch. DW 2015]]</f>
        <v>307.95276458866272</v>
      </c>
      <c r="J235" s="322">
        <f>1462.08/E235</f>
        <v>227.08782785758549</v>
      </c>
      <c r="K235" s="323">
        <f>1286.4/E235</f>
        <v>199.80150317082376</v>
      </c>
      <c r="L235" s="323"/>
      <c r="M235" s="324">
        <v>0</v>
      </c>
      <c r="N235" s="1257">
        <f>Tabel6689172633[[#This Row],[Sew. 2015]]+Tabel6689172633[[#This Row],[WW 2015]]+Tabel6689172633[[#This Row],[Other ch. 2015]]</f>
        <v>426.88933102840929</v>
      </c>
      <c r="O235" s="1258">
        <f>1182.8/E235</f>
        <v>183.71052390426797</v>
      </c>
      <c r="P235" s="318">
        <f>Tabel6689172633[[#This Row],[Total. ch. DW 2015]]+Tabel6689172633[[#This Row],[Sew. 2015]]+Tabel6689172633[[#This Row],[WW 2015]]+Tabel6689172633[[#This Row],[Other ch. 2015]]+Tabel6689172633[[#This Row],[VAT 2015]]</f>
        <v>918.55261952133992</v>
      </c>
      <c r="Q235" s="397"/>
      <c r="R235" s="2158"/>
      <c r="S235" s="2159"/>
      <c r="T235" s="2160"/>
      <c r="U235" s="2141"/>
      <c r="V235" s="2142"/>
      <c r="W235" s="2143"/>
      <c r="X235" s="2144"/>
      <c r="Y235" s="2145"/>
      <c r="Z235" s="2146"/>
      <c r="AA235" s="397"/>
      <c r="AB235" s="398"/>
      <c r="AC235" s="398"/>
      <c r="AD235" s="396" t="s">
        <v>429</v>
      </c>
      <c r="AE235" s="396"/>
      <c r="AF235" s="396"/>
      <c r="AG235" s="396" t="s">
        <v>429</v>
      </c>
      <c r="AH235" s="398"/>
      <c r="AI235" s="397"/>
    </row>
    <row r="236" spans="1:35" ht="15.75" customHeight="1" x14ac:dyDescent="0.25">
      <c r="A236" s="2005"/>
      <c r="B236" s="1617"/>
      <c r="C236" s="1308" t="s">
        <v>157</v>
      </c>
      <c r="D236" s="2157"/>
      <c r="E236" s="307">
        <f>'[1]exchange rates'!K58</f>
        <v>6.4383900000000001</v>
      </c>
      <c r="F236" s="319">
        <f>524/E236</f>
        <v>81.386806328911419</v>
      </c>
      <c r="G236" s="320">
        <f>715.2/E236</f>
        <v>111.08367153900276</v>
      </c>
      <c r="H236" s="321">
        <v>0</v>
      </c>
      <c r="I236" s="313">
        <f>Tabel6689172633[[#This Row],[Fix.ch. 2015]]+Tabel6689172633[[#This Row],[Var. ch. 2015]]+Tabel6689172633[[#This Row],[Oth. ch. DW 2015]]</f>
        <v>192.47047786791418</v>
      </c>
      <c r="J236" s="322">
        <f>786/E236</f>
        <v>122.08020949336714</v>
      </c>
      <c r="K236" s="323">
        <f>760/E236</f>
        <v>118.04193284345931</v>
      </c>
      <c r="L236" s="323"/>
      <c r="M236" s="324">
        <f>531.2/E236</f>
        <v>82.50509832427052</v>
      </c>
      <c r="N236" s="1257">
        <f>Tabel6689172633[[#This Row],[Sew. 2015]]+Tabel6689172633[[#This Row],[WW 2015]]+Tabel6689172633[[#This Row],[Other ch. 2015]]</f>
        <v>322.62724066109695</v>
      </c>
      <c r="O236" s="1258">
        <f>829.1/E236</f>
        <v>128.77442963225278</v>
      </c>
      <c r="P236" s="318">
        <f>Tabel6689172633[[#This Row],[Total. ch. DW 2015]]+Tabel6689172633[[#This Row],[Sew. 2015]]+Tabel6689172633[[#This Row],[WW 2015]]+Tabel6689172633[[#This Row],[Other ch. 2015]]+Tabel6689172633[[#This Row],[VAT 2015]]</f>
        <v>643.87214816126402</v>
      </c>
      <c r="Q236" s="397"/>
      <c r="R236" s="2158"/>
      <c r="S236" s="2159"/>
      <c r="T236" s="2160"/>
      <c r="U236" s="2141"/>
      <c r="V236" s="2142"/>
      <c r="W236" s="2143"/>
      <c r="X236" s="2144"/>
      <c r="Y236" s="2145"/>
      <c r="Z236" s="2146"/>
      <c r="AA236" s="397"/>
      <c r="AB236" s="398"/>
      <c r="AC236" s="398"/>
      <c r="AD236" s="396" t="s">
        <v>429</v>
      </c>
      <c r="AE236" s="396"/>
      <c r="AF236" s="396"/>
      <c r="AG236" s="396" t="s">
        <v>429</v>
      </c>
      <c r="AH236" s="398"/>
      <c r="AI236" s="397"/>
    </row>
    <row r="237" spans="1:35" ht="15.75" customHeight="1" x14ac:dyDescent="0.25">
      <c r="A237" s="2005"/>
      <c r="B237" s="1617"/>
      <c r="C237" s="1308" t="s">
        <v>158</v>
      </c>
      <c r="D237" s="2157"/>
      <c r="E237" s="307">
        <f>'[1]exchange rates'!K58</f>
        <v>6.4383900000000001</v>
      </c>
      <c r="F237" s="319">
        <f>0</f>
        <v>0</v>
      </c>
      <c r="G237" s="320">
        <f>1876.8/E237</f>
        <v>291.50144679026897</v>
      </c>
      <c r="H237" s="321">
        <v>0</v>
      </c>
      <c r="I237" s="313">
        <f>Tabel6689172633[[#This Row],[Fix.ch. 2015]]+Tabel6689172633[[#This Row],[Var. ch. 2015]]+Tabel6689172633[[#This Row],[Oth. ch. DW 2015]]</f>
        <v>291.50144679026897</v>
      </c>
      <c r="J237" s="322">
        <v>0</v>
      </c>
      <c r="K237" s="323">
        <f>2815.2/E237</f>
        <v>437.25217018540349</v>
      </c>
      <c r="L237" s="323"/>
      <c r="M237" s="324">
        <v>0</v>
      </c>
      <c r="N237" s="1257">
        <f>Tabel6689172633[[#This Row],[Sew. 2015]]+Tabel6689172633[[#This Row],[WW 2015]]+Tabel6689172633[[#This Row],[Other ch. 2015]]</f>
        <v>437.25217018540349</v>
      </c>
      <c r="O237" s="1258">
        <f>1173/E237</f>
        <v>182.18840424391811</v>
      </c>
      <c r="P237" s="318">
        <f>Tabel6689172633[[#This Row],[Total. ch. DW 2015]]+Tabel6689172633[[#This Row],[Sew. 2015]]+Tabel6689172633[[#This Row],[WW 2015]]+Tabel6689172633[[#This Row],[Other ch. 2015]]+Tabel6689172633[[#This Row],[VAT 2015]]</f>
        <v>910.94202121959052</v>
      </c>
      <c r="Q237" s="397"/>
      <c r="R237" s="2158"/>
      <c r="S237" s="2159"/>
      <c r="T237" s="2160"/>
      <c r="U237" s="2141"/>
      <c r="V237" s="2142"/>
      <c r="W237" s="2143"/>
      <c r="X237" s="2144"/>
      <c r="Y237" s="2145"/>
      <c r="Z237" s="2146"/>
      <c r="AA237" s="397"/>
      <c r="AB237" s="398"/>
      <c r="AC237" s="398"/>
      <c r="AD237" s="396" t="s">
        <v>429</v>
      </c>
      <c r="AE237" s="396"/>
      <c r="AF237" s="396"/>
      <c r="AG237" s="396" t="s">
        <v>429</v>
      </c>
      <c r="AH237" s="398"/>
      <c r="AI237" s="397"/>
    </row>
    <row r="238" spans="1:35" ht="16.5" customHeight="1" thickBot="1" x14ac:dyDescent="0.3">
      <c r="A238" s="2006"/>
      <c r="B238" s="1617"/>
      <c r="C238" s="835" t="s">
        <v>159</v>
      </c>
      <c r="D238" s="2221"/>
      <c r="E238" s="307">
        <f>'[1]exchange rates'!K58</f>
        <v>6.4383900000000001</v>
      </c>
      <c r="F238" s="319">
        <f>1033.6/E238</f>
        <v>160.53702866710464</v>
      </c>
      <c r="G238" s="320">
        <f>932.8/E238</f>
        <v>144.88094073207742</v>
      </c>
      <c r="H238" s="321">
        <v>0</v>
      </c>
      <c r="I238" s="313">
        <f>Tabel6689172633[[#This Row],[Fix.ch. 2015]]+Tabel6689172633[[#This Row],[Var. ch. 2015]]+Tabel6689172633[[#This Row],[Oth. ch. DW 2015]]</f>
        <v>305.41796939918208</v>
      </c>
      <c r="J238" s="322">
        <f>1550.4/E238</f>
        <v>240.805543000657</v>
      </c>
      <c r="K238" s="323">
        <f>1259.2/E238</f>
        <v>195.57684452168942</v>
      </c>
      <c r="L238" s="323"/>
      <c r="M238" s="324">
        <v>0</v>
      </c>
      <c r="N238" s="1257">
        <f>Tabel6689172633[[#This Row],[Sew. 2015]]+Tabel6689172633[[#This Row],[WW 2015]]+Tabel6689172633[[#This Row],[Other ch. 2015]]</f>
        <v>436.38238752234645</v>
      </c>
      <c r="O238" s="1258">
        <f>1194/E238</f>
        <v>185.45008923038213</v>
      </c>
      <c r="P238" s="318">
        <f>Tabel6689172633[[#This Row],[Total. ch. DW 2015]]+Tabel6689172633[[#This Row],[Sew. 2015]]+Tabel6689172633[[#This Row],[WW 2015]]+Tabel6689172633[[#This Row],[Other ch. 2015]]+Tabel6689172633[[#This Row],[VAT 2015]]</f>
        <v>927.25044615191064</v>
      </c>
      <c r="Q238" s="397"/>
      <c r="R238" s="2223"/>
      <c r="S238" s="2225"/>
      <c r="T238" s="2227"/>
      <c r="U238" s="2234"/>
      <c r="V238" s="2236"/>
      <c r="W238" s="2238"/>
      <c r="X238" s="2240"/>
      <c r="Y238" s="2242"/>
      <c r="Z238" s="2244"/>
      <c r="AA238" s="397"/>
      <c r="AB238" s="398"/>
      <c r="AC238" s="398"/>
      <c r="AD238" s="396" t="s">
        <v>429</v>
      </c>
      <c r="AE238" s="396"/>
      <c r="AF238" s="396"/>
      <c r="AG238" s="396" t="s">
        <v>429</v>
      </c>
      <c r="AH238" s="398"/>
      <c r="AI238" s="397"/>
    </row>
    <row r="239" spans="1:35" ht="15.75" x14ac:dyDescent="0.25">
      <c r="A239" s="1818" t="s">
        <v>28</v>
      </c>
      <c r="B239" s="1213"/>
      <c r="C239" s="543" t="s">
        <v>160</v>
      </c>
      <c r="D239" s="1759">
        <v>59300</v>
      </c>
      <c r="E239" s="617">
        <f>'[1]exchange rates'!$M$59</f>
        <v>1.0015000000000001</v>
      </c>
      <c r="F239" s="549">
        <f>198/E239</f>
        <v>197.70344483275088</v>
      </c>
      <c r="G239" s="550">
        <f>258/E239</f>
        <v>257.61357963055417</v>
      </c>
      <c r="H239" s="551">
        <v>0</v>
      </c>
      <c r="I239" s="566">
        <f>Tabel6689172633[[#This Row],[Fix.ch. 2015]]+Tabel6689172633[[#This Row],[Var. ch. 2015]]+Tabel6689172633[[#This Row],[Oth. ch. DW 2015]]</f>
        <v>455.31702446330507</v>
      </c>
      <c r="J239" s="567">
        <f>331.5/E239</f>
        <v>331.00349475786317</v>
      </c>
      <c r="K239" s="568">
        <v>0</v>
      </c>
      <c r="L239" s="568"/>
      <c r="M239" s="569">
        <v>0</v>
      </c>
      <c r="N239" s="1270">
        <f>Tabel6689172633[[#This Row],[Sew. 2015]]+Tabel6689172633[[#This Row],[WW 2015]]+Tabel6689172633[[#This Row],[Other ch. 2015]]</f>
        <v>331.00349475786317</v>
      </c>
      <c r="O239" s="1271">
        <f>37.92/E239</f>
        <v>37.86320519221168</v>
      </c>
      <c r="P239" s="571">
        <f>Tabel6689172633[[#This Row],[Total. ch. DW 2015]]+Tabel6689172633[[#This Row],[Sew. 2015]]+Tabel6689172633[[#This Row],[WW 2015]]+Tabel6689172633[[#This Row],[Other ch. 2015]]+Tabel6689172633[[#This Row],[VAT 2015]]</f>
        <v>824.18372441337999</v>
      </c>
      <c r="Q239" s="397"/>
      <c r="R239" s="1762">
        <f t="shared" ref="R239:W239" si="63">SUM(F239:F243)/5</f>
        <v>103.21118322516227</v>
      </c>
      <c r="S239" s="1765">
        <f t="shared" si="63"/>
        <v>338.29256115826257</v>
      </c>
      <c r="T239" s="2272">
        <f t="shared" si="63"/>
        <v>0</v>
      </c>
      <c r="U239" s="1774">
        <f t="shared" si="63"/>
        <v>441.50374438342476</v>
      </c>
      <c r="V239" s="1777">
        <f t="shared" si="63"/>
        <v>404.80878681977032</v>
      </c>
      <c r="W239" s="1810">
        <f t="shared" si="63"/>
        <v>0</v>
      </c>
      <c r="X239" s="1812">
        <f>SUM(M239:M243)/5</f>
        <v>0</v>
      </c>
      <c r="Y239" s="1814">
        <f t="shared" ref="Y239:Z239" si="64">SUM(O239:O243)/5</f>
        <v>43.422865701447833</v>
      </c>
      <c r="Z239" s="2260">
        <f t="shared" si="64"/>
        <v>889.73539690464293</v>
      </c>
      <c r="AA239" s="397"/>
      <c r="AB239" s="398"/>
      <c r="AC239" s="591" t="s">
        <v>429</v>
      </c>
      <c r="AD239" s="614"/>
      <c r="AE239" s="614"/>
      <c r="AF239" s="591" t="s">
        <v>429</v>
      </c>
      <c r="AG239" s="398"/>
      <c r="AH239" s="398"/>
      <c r="AI239" s="397"/>
    </row>
    <row r="240" spans="1:35" ht="15.75" x14ac:dyDescent="0.25">
      <c r="A240" s="1819"/>
      <c r="B240" s="1213"/>
      <c r="C240" s="543" t="s">
        <v>603</v>
      </c>
      <c r="D240" s="1880"/>
      <c r="E240" s="617">
        <f>'[1]exchange rates'!$M$59</f>
        <v>1.0015000000000001</v>
      </c>
      <c r="F240" s="549">
        <f>108/E240</f>
        <v>107.83824263604592</v>
      </c>
      <c r="G240" s="550">
        <f>240/E240</f>
        <v>239.64053919121318</v>
      </c>
      <c r="H240" s="551">
        <v>0</v>
      </c>
      <c r="I240" s="566">
        <f>Tabel6689172633[[#This Row],[Fix.ch. 2015]]+Tabel6689172633[[#This Row],[Var. ch. 2015]]+Tabel6689172633[[#This Row],[Oth. ch. DW 2015]]</f>
        <v>347.47878182725913</v>
      </c>
      <c r="J240" s="567">
        <f>462.25/E240</f>
        <v>461.55766350474283</v>
      </c>
      <c r="K240" s="568">
        <v>0</v>
      </c>
      <c r="L240" s="568"/>
      <c r="M240" s="569">
        <v>0</v>
      </c>
      <c r="N240" s="1270">
        <f>Tabel6689172633[[#This Row],[Sew. 2015]]+Tabel6689172633[[#This Row],[WW 2015]]+Tabel6689172633[[#This Row],[Other ch. 2015]]</f>
        <v>461.55766350474283</v>
      </c>
      <c r="O240" s="1271">
        <f>45.68/E240</f>
        <v>45.611582626060908</v>
      </c>
      <c r="P240" s="571">
        <f>Tabel6689172633[[#This Row],[Total. ch. DW 2015]]+Tabel6689172633[[#This Row],[Sew. 2015]]+Tabel6689172633[[#This Row],[WW 2015]]+Tabel6689172633[[#This Row],[Other ch. 2015]]+Tabel6689172633[[#This Row],[VAT 2015]]</f>
        <v>854.64802795806281</v>
      </c>
      <c r="Q240" s="397"/>
      <c r="R240" s="1886"/>
      <c r="S240" s="1888"/>
      <c r="T240" s="2290"/>
      <c r="U240" s="1892"/>
      <c r="V240" s="1894"/>
      <c r="W240" s="1864"/>
      <c r="X240" s="1913"/>
      <c r="Y240" s="1915"/>
      <c r="Z240" s="2291"/>
      <c r="AA240" s="397"/>
      <c r="AB240" s="398"/>
      <c r="AC240" s="591" t="s">
        <v>429</v>
      </c>
      <c r="AD240" s="614"/>
      <c r="AE240" s="614"/>
      <c r="AF240" s="591" t="s">
        <v>429</v>
      </c>
      <c r="AG240" s="398"/>
      <c r="AH240" s="398"/>
      <c r="AI240" s="397"/>
    </row>
    <row r="241" spans="1:35" ht="15.75" x14ac:dyDescent="0.25">
      <c r="A241" s="1819"/>
      <c r="B241" s="1213"/>
      <c r="C241" s="543" t="s">
        <v>162</v>
      </c>
      <c r="D241" s="1880"/>
      <c r="E241" s="617">
        <f>'[1]exchange rates'!$M$59</f>
        <v>1.0015000000000001</v>
      </c>
      <c r="F241" s="549">
        <f>136/E241</f>
        <v>135.79630554168747</v>
      </c>
      <c r="G241" s="550">
        <f>384/E241</f>
        <v>383.42486270594105</v>
      </c>
      <c r="H241" s="551">
        <v>0</v>
      </c>
      <c r="I241" s="566">
        <f>Tabel6689172633[[#This Row],[Fix.ch. 2015]]+Tabel6689172633[[#This Row],[Var. ch. 2015]]+Tabel6689172633[[#This Row],[Oth. ch. DW 2015]]</f>
        <v>519.2211682476285</v>
      </c>
      <c r="J241" s="567">
        <f>240/E241</f>
        <v>239.64053919121318</v>
      </c>
      <c r="K241" s="568">
        <v>0</v>
      </c>
      <c r="L241" s="568"/>
      <c r="M241" s="569">
        <v>0</v>
      </c>
      <c r="N241" s="1270">
        <f>Tabel6689172633[[#This Row],[Sew. 2015]]+Tabel6689172633[[#This Row],[WW 2015]]+Tabel6689172633[[#This Row],[Other ch. 2015]]</f>
        <v>239.64053919121318</v>
      </c>
      <c r="O241" s="1271">
        <f>32.2/E241</f>
        <v>32.151772341487771</v>
      </c>
      <c r="P241" s="571">
        <f>Tabel6689172633[[#This Row],[Total. ch. DW 2015]]+Tabel6689172633[[#This Row],[Sew. 2015]]+Tabel6689172633[[#This Row],[WW 2015]]+Tabel6689172633[[#This Row],[Other ch. 2015]]+Tabel6689172633[[#This Row],[VAT 2015]]</f>
        <v>791.01347978032948</v>
      </c>
      <c r="Q241" s="397"/>
      <c r="R241" s="1886"/>
      <c r="S241" s="1888"/>
      <c r="T241" s="2290"/>
      <c r="U241" s="1892"/>
      <c r="V241" s="1894"/>
      <c r="W241" s="1864"/>
      <c r="X241" s="1913"/>
      <c r="Y241" s="1915"/>
      <c r="Z241" s="2291"/>
      <c r="AA241" s="397"/>
      <c r="AB241" s="398"/>
      <c r="AC241" s="591" t="s">
        <v>429</v>
      </c>
      <c r="AD241" s="614"/>
      <c r="AE241" s="614"/>
      <c r="AF241" s="591" t="s">
        <v>429</v>
      </c>
      <c r="AG241" s="398"/>
      <c r="AH241" s="398"/>
      <c r="AI241" s="397"/>
    </row>
    <row r="242" spans="1:35" ht="15.75" x14ac:dyDescent="0.25">
      <c r="A242" s="1819"/>
      <c r="B242" s="1213"/>
      <c r="C242" s="543" t="s">
        <v>161</v>
      </c>
      <c r="D242" s="1880"/>
      <c r="E242" s="617">
        <f>'[1]exchange rates'!$M$59</f>
        <v>1.0015000000000001</v>
      </c>
      <c r="F242" s="549">
        <f>70/E242</f>
        <v>69.895157264103844</v>
      </c>
      <c r="G242" s="550">
        <f>292/E242</f>
        <v>291.56265601597602</v>
      </c>
      <c r="H242" s="551">
        <v>0</v>
      </c>
      <c r="I242" s="566">
        <f>Tabel6689172633[[#This Row],[Fix.ch. 2015]]+Tabel6689172633[[#This Row],[Var. ch. 2015]]+Tabel6689172633[[#This Row],[Oth. ch. DW 2015]]</f>
        <v>361.45781328007985</v>
      </c>
      <c r="J242" s="567">
        <f>435/E242</f>
        <v>434.34847728407385</v>
      </c>
      <c r="K242" s="568">
        <v>0</v>
      </c>
      <c r="L242" s="568"/>
      <c r="M242" s="569">
        <v>0</v>
      </c>
      <c r="N242" s="1270">
        <f>Tabel6689172633[[#This Row],[Sew. 2015]]+Tabel6689172633[[#This Row],[WW 2015]]+Tabel6689172633[[#This Row],[Other ch. 2015]]</f>
        <v>434.34847728407385</v>
      </c>
      <c r="O242" s="1271">
        <f>43.85/E242</f>
        <v>43.784323514727909</v>
      </c>
      <c r="P242" s="571">
        <f>Tabel6689172633[[#This Row],[Total. ch. DW 2015]]+Tabel6689172633[[#This Row],[Sew. 2015]]+Tabel6689172633[[#This Row],[WW 2015]]+Tabel6689172633[[#This Row],[Other ch. 2015]]+Tabel6689172633[[#This Row],[VAT 2015]]</f>
        <v>839.59061407888157</v>
      </c>
      <c r="Q242" s="397"/>
      <c r="R242" s="1886"/>
      <c r="S242" s="1888"/>
      <c r="T242" s="2290"/>
      <c r="U242" s="1892"/>
      <c r="V242" s="1894"/>
      <c r="W242" s="1864"/>
      <c r="X242" s="1913"/>
      <c r="Y242" s="1915"/>
      <c r="Z242" s="2291"/>
      <c r="AA242" s="397"/>
      <c r="AB242" s="398"/>
      <c r="AC242" s="591" t="s">
        <v>429</v>
      </c>
      <c r="AD242" s="614"/>
      <c r="AE242" s="614"/>
      <c r="AF242" s="591" t="s">
        <v>429</v>
      </c>
      <c r="AG242" s="398"/>
      <c r="AH242" s="398"/>
      <c r="AI242" s="397"/>
    </row>
    <row r="243" spans="1:35" ht="16.5" thickBot="1" x14ac:dyDescent="0.3">
      <c r="A243" s="1820"/>
      <c r="B243" s="1213"/>
      <c r="C243" s="544" t="s">
        <v>163</v>
      </c>
      <c r="D243" s="1761"/>
      <c r="E243" s="617">
        <f>'[1]exchange rates'!$M$59</f>
        <v>1.0015000000000001</v>
      </c>
      <c r="F243" s="549">
        <f>4.83/E243</f>
        <v>4.8227658512231653</v>
      </c>
      <c r="G243" s="550">
        <f>520/E243</f>
        <v>519.2211682476285</v>
      </c>
      <c r="H243" s="551">
        <v>0</v>
      </c>
      <c r="I243" s="566">
        <f>Tabel6689172633[[#This Row],[Fix.ch. 2015]]+Tabel6689172633[[#This Row],[Var. ch. 2015]]+Tabel6689172633[[#This Row],[Oth. ch. DW 2015]]</f>
        <v>524.04393409885165</v>
      </c>
      <c r="J243" s="567">
        <f>558.33/E243</f>
        <v>557.49375936095862</v>
      </c>
      <c r="K243" s="568">
        <v>0</v>
      </c>
      <c r="L243" s="568"/>
      <c r="M243" s="569">
        <v>0</v>
      </c>
      <c r="N243" s="1270">
        <f>Tabel6689172633[[#This Row],[Sew. 2015]]+Tabel6689172633[[#This Row],[WW 2015]]+Tabel6689172633[[#This Row],[Other ch. 2015]]</f>
        <v>557.49375936095862</v>
      </c>
      <c r="O243" s="1271">
        <f>57.79/E243</f>
        <v>57.703444832750868</v>
      </c>
      <c r="P243" s="571">
        <f>Tabel6689172633[[#This Row],[Total. ch. DW 2015]]+Tabel6689172633[[#This Row],[Sew. 2015]]+Tabel6689172633[[#This Row],[WW 2015]]+Tabel6689172633[[#This Row],[Other ch. 2015]]+Tabel6689172633[[#This Row],[VAT 2015]]</f>
        <v>1139.2411382925611</v>
      </c>
      <c r="Q243" s="397"/>
      <c r="R243" s="1764"/>
      <c r="S243" s="1767"/>
      <c r="T243" s="2273"/>
      <c r="U243" s="1776"/>
      <c r="V243" s="1779"/>
      <c r="W243" s="2248"/>
      <c r="X243" s="1813"/>
      <c r="Y243" s="1815"/>
      <c r="Z243" s="2292"/>
      <c r="AA243" s="397"/>
      <c r="AB243" s="398"/>
      <c r="AC243" s="591" t="s">
        <v>429</v>
      </c>
      <c r="AD243" s="614"/>
      <c r="AE243" s="614"/>
      <c r="AF243" s="591" t="s">
        <v>429</v>
      </c>
      <c r="AG243" s="398"/>
      <c r="AH243" s="398"/>
      <c r="AI243" s="397"/>
    </row>
    <row r="244" spans="1:35" ht="19.5" thickBot="1" x14ac:dyDescent="0.3">
      <c r="A244" s="1145" t="s">
        <v>706</v>
      </c>
      <c r="B244" s="1213"/>
      <c r="C244" s="543" t="s">
        <v>708</v>
      </c>
      <c r="D244" s="1146">
        <v>3000</v>
      </c>
      <c r="E244" s="617">
        <f>'[1]exchange rates'!M60</f>
        <v>2171.8366799999999</v>
      </c>
      <c r="F244" s="549"/>
      <c r="G244" s="550"/>
      <c r="H244" s="551"/>
      <c r="I244" s="566">
        <f>Tabel6689172633[[#This Row],[Fix.ch. 2015]]+Tabel6689172633[[#This Row],[Var. ch. 2015]]+Tabel6689172633[[#This Row],[Oth. ch. DW 2015]]</f>
        <v>0</v>
      </c>
      <c r="J244" s="567"/>
      <c r="K244" s="568"/>
      <c r="L244" s="568"/>
      <c r="M244" s="569"/>
      <c r="N244" s="1270">
        <f>Tabel6689172633[[#This Row],[Sew. 2015]]+Tabel6689172633[[#This Row],[WW 2015]]+Tabel6689172633[[#This Row],[Other ch. 2015]]</f>
        <v>0</v>
      </c>
      <c r="O244" s="1271"/>
      <c r="P244" s="571">
        <f>Tabel6689172633[[#This Row],[Total. ch. DW 2015]]+Tabel6689172633[[#This Row],[Sew. 2015]]+Tabel6689172633[[#This Row],[WW 2015]]+Tabel6689172633[[#This Row],[Other ch. 2015]]+Tabel6689172633[[#This Row],[VAT 2015]]</f>
        <v>0</v>
      </c>
      <c r="Q244" s="397"/>
      <c r="R244" s="1296"/>
      <c r="S244" s="1309"/>
      <c r="T244" s="1310"/>
      <c r="U244" s="1299"/>
      <c r="V244" s="1300"/>
      <c r="W244" s="1311"/>
      <c r="X244" s="1302"/>
      <c r="Y244" s="1312"/>
      <c r="Z244" s="1313"/>
      <c r="AA244" s="397"/>
      <c r="AB244" s="398"/>
      <c r="AC244" s="591"/>
      <c r="AD244" s="614"/>
      <c r="AE244" s="614"/>
      <c r="AF244" s="591"/>
      <c r="AG244" s="398"/>
      <c r="AH244" s="398"/>
      <c r="AI244" s="397"/>
    </row>
    <row r="245" spans="1:35" ht="19.5" thickBot="1" x14ac:dyDescent="0.3">
      <c r="A245" s="1145" t="s">
        <v>737</v>
      </c>
      <c r="B245" s="1213"/>
      <c r="C245" s="1295" t="s">
        <v>738</v>
      </c>
      <c r="D245" s="1146">
        <v>16100</v>
      </c>
      <c r="E245" s="617">
        <f>'[1]exchange rates'!M61</f>
        <v>36.151380000000003</v>
      </c>
      <c r="F245" s="549"/>
      <c r="G245" s="550"/>
      <c r="H245" s="551"/>
      <c r="I245" s="566">
        <f>((30*8.5)+(10*10.03)+(10*10.35)+(10*10.68)+(10*11)+(10*11.33)+(10*12.5)+(10*12.82)+(20*13.15)+(40*13.47)+(40*13.8))/E245</f>
        <v>66.274095207430534</v>
      </c>
      <c r="J245" s="567"/>
      <c r="K245" s="568">
        <f>(3.358*200)/E245</f>
        <v>18.577437431157538</v>
      </c>
      <c r="L245" s="568"/>
      <c r="M245" s="569"/>
      <c r="N245" s="1270">
        <f>Tabel6689172633[[#This Row],[Sew. 2015]]+Tabel6689172633[[#This Row],[WW 2015]]+Tabel6689172633[[#This Row],[Other ch. 2015]]</f>
        <v>18.577437431157538</v>
      </c>
      <c r="O245" s="1271"/>
      <c r="P245" s="571">
        <f>Tabel6689172633[[#This Row],[Total. ch. DW 2015]]+Tabel6689172633[[#This Row],[Sew. 2015]]+Tabel6689172633[[#This Row],[WW 2015]]+Tabel6689172633[[#This Row],[Other ch. 2015]]+Tabel6689172633[[#This Row],[VAT 2015]]</f>
        <v>84.851532638588068</v>
      </c>
      <c r="Q245" s="397"/>
      <c r="R245" s="1296"/>
      <c r="S245" s="1309"/>
      <c r="T245" s="1310"/>
      <c r="U245" s="1299">
        <f>Tabel6689172633[[#This Row],[Total. ch. DW 2015]]</f>
        <v>66.274095207430534</v>
      </c>
      <c r="V245" s="1300"/>
      <c r="W245" s="1301">
        <f>Tabel6689172633[[#This Row],[WW 2015]]</f>
        <v>18.577437431157538</v>
      </c>
      <c r="X245" s="1302"/>
      <c r="Y245" s="1312"/>
      <c r="Z245" s="1314">
        <f>SUM(U245:Y245)</f>
        <v>84.851532638588068</v>
      </c>
      <c r="AA245" s="397"/>
      <c r="AB245" s="398"/>
      <c r="AC245" s="591"/>
      <c r="AD245" s="591" t="s">
        <v>429</v>
      </c>
      <c r="AE245" s="614"/>
      <c r="AF245" s="591" t="s">
        <v>429</v>
      </c>
      <c r="AG245" s="398"/>
      <c r="AH245" s="398"/>
      <c r="AI245" s="397"/>
    </row>
    <row r="246" spans="1:35" ht="16.5" thickBot="1" x14ac:dyDescent="0.3">
      <c r="A246" s="267" t="s">
        <v>29</v>
      </c>
      <c r="B246" s="1616"/>
      <c r="C246" s="298" t="s">
        <v>164</v>
      </c>
      <c r="D246" s="1315"/>
      <c r="E246" s="307"/>
      <c r="F246" s="319"/>
      <c r="G246" s="320"/>
      <c r="H246" s="321"/>
      <c r="I246" s="313">
        <f>Tabel6689172633[[#This Row],[Fix.ch. 2015]]+Tabel6689172633[[#This Row],[Var. ch. 2015]]+Tabel6689172633[[#This Row],[Oth. ch. DW 2015]]</f>
        <v>0</v>
      </c>
      <c r="J246" s="322"/>
      <c r="K246" s="323"/>
      <c r="L246" s="323"/>
      <c r="M246" s="324"/>
      <c r="N246" s="1257">
        <f>Tabel6689172633[[#This Row],[Sew. 2015]]+Tabel6689172633[[#This Row],[WW 2015]]+Tabel6689172633[[#This Row],[Other ch. 2015]]</f>
        <v>0</v>
      </c>
      <c r="O246" s="1258"/>
      <c r="P246" s="318">
        <f>Tabel6689172633[[#This Row],[Total. ch. DW 2015]]+Tabel6689172633[[#This Row],[Sew. 2015]]+Tabel6689172633[[#This Row],[WW 2015]]+Tabel6689172633[[#This Row],[Other ch. 2015]]+Tabel6689172633[[#This Row],[VAT 2015]]</f>
        <v>0</v>
      </c>
      <c r="Q246" s="397"/>
      <c r="R246" s="376"/>
      <c r="S246" s="377"/>
      <c r="T246" s="378"/>
      <c r="U246" s="379"/>
      <c r="V246" s="380"/>
      <c r="W246" s="381"/>
      <c r="X246" s="382"/>
      <c r="Y246" s="383"/>
      <c r="Z246" s="384"/>
      <c r="AA246" s="397"/>
      <c r="AB246" s="398"/>
      <c r="AC246" s="398"/>
      <c r="AD246" s="398"/>
      <c r="AE246" s="398"/>
      <c r="AF246" s="398"/>
      <c r="AG246" s="398"/>
      <c r="AH246" s="398"/>
      <c r="AI246" s="397"/>
    </row>
    <row r="247" spans="1:35" ht="15.75" x14ac:dyDescent="0.25">
      <c r="A247" s="1878" t="s">
        <v>505</v>
      </c>
      <c r="B247" s="1213"/>
      <c r="C247" s="693" t="s">
        <v>746</v>
      </c>
      <c r="D247" s="2293">
        <v>2100</v>
      </c>
      <c r="E247" s="617">
        <f>'[1]exchange rates'!$M$63</f>
        <v>3401.52324</v>
      </c>
      <c r="F247" s="549">
        <f>21126/E247</f>
        <v>6.2107469240751092</v>
      </c>
      <c r="G247" s="550">
        <f>457227/E247</f>
        <v>134.41830842819701</v>
      </c>
      <c r="H247" s="551">
        <v>0</v>
      </c>
      <c r="I247" s="566">
        <f>Tabel6689172633[[#This Row],[Fix.ch. 2015]]+Tabel6689172633[[#This Row],[Var. ch. 2015]]+Tabel6689172633[[#This Row],[Oth. ch. DW 2015]]</f>
        <v>140.6290553522721</v>
      </c>
      <c r="J247" s="567">
        <v>0</v>
      </c>
      <c r="K247" s="568">
        <f>100056/E247</f>
        <v>29.415057002521024</v>
      </c>
      <c r="L247" s="568"/>
      <c r="M247" s="569">
        <v>0</v>
      </c>
      <c r="N247" s="1270">
        <f>Tabel6689172633[[#This Row],[Sew. 2015]]+Tabel6689172633[[#This Row],[WW 2015]]+Tabel6689172633[[#This Row],[Other ch. 2015]]</f>
        <v>29.415057002521024</v>
      </c>
      <c r="O247" s="1271">
        <v>0</v>
      </c>
      <c r="P247" s="571">
        <f>Tabel6689172633[[#This Row],[Total. ch. DW 2015]]+Tabel6689172633[[#This Row],[Sew. 2015]]+Tabel6689172633[[#This Row],[WW 2015]]+Tabel6689172633[[#This Row],[Other ch. 2015]]+Tabel6689172633[[#This Row],[VAT 2015]]</f>
        <v>170.04411235479313</v>
      </c>
      <c r="Q247" s="397"/>
      <c r="R247" s="1762">
        <f t="shared" ref="R247:W247" si="65">SUM(F247:F250)/4</f>
        <v>6.1991344795280598</v>
      </c>
      <c r="S247" s="1765">
        <f t="shared" si="65"/>
        <v>137.80833377460624</v>
      </c>
      <c r="T247" s="1768">
        <f t="shared" si="65"/>
        <v>0</v>
      </c>
      <c r="U247" s="1774">
        <f t="shared" si="65"/>
        <v>144.0074682541343</v>
      </c>
      <c r="V247" s="1777">
        <f t="shared" si="65"/>
        <v>0</v>
      </c>
      <c r="W247" s="1810">
        <f t="shared" si="65"/>
        <v>28.761820248507256</v>
      </c>
      <c r="X247" s="1812">
        <f>SUM(M247:M250)/4</f>
        <v>0</v>
      </c>
      <c r="Y247" s="1814">
        <f t="shared" ref="Y247:Z247" si="66">SUM(O247:O250)/4</f>
        <v>0</v>
      </c>
      <c r="Z247" s="1793">
        <f t="shared" si="66"/>
        <v>172.76928850264156</v>
      </c>
      <c r="AA247" s="397"/>
      <c r="AB247" s="398"/>
      <c r="AC247" s="591" t="s">
        <v>429</v>
      </c>
      <c r="AD247" s="398"/>
      <c r="AE247" s="398"/>
      <c r="AF247" s="591" t="s">
        <v>429</v>
      </c>
      <c r="AG247" s="591" t="s">
        <v>429</v>
      </c>
      <c r="AH247" s="398"/>
      <c r="AI247" s="397"/>
    </row>
    <row r="248" spans="1:35" ht="15.75" x14ac:dyDescent="0.25">
      <c r="A248" s="1757"/>
      <c r="B248" s="1213"/>
      <c r="C248" s="639" t="s">
        <v>747</v>
      </c>
      <c r="D248" s="2186"/>
      <c r="E248" s="617">
        <f>'[1]exchange rates'!$M$63</f>
        <v>3401.52324</v>
      </c>
      <c r="F248" s="549">
        <f>19383/E248</f>
        <v>5.6983294343154336</v>
      </c>
      <c r="G248" s="550">
        <f>471727/E248</f>
        <v>138.68110452774681</v>
      </c>
      <c r="H248" s="551">
        <v>0</v>
      </c>
      <c r="I248" s="566">
        <f>Tabel6689172633[[#This Row],[Fix.ch. 2015]]+Tabel6689172633[[#This Row],[Var. ch. 2015]]+Tabel6689172633[[#This Row],[Oth. ch. DW 2015]]</f>
        <v>144.37943396206225</v>
      </c>
      <c r="J248" s="567">
        <v>0</v>
      </c>
      <c r="K248" s="568">
        <f>165441/E248</f>
        <v>48.637327552111621</v>
      </c>
      <c r="L248" s="568"/>
      <c r="M248" s="569">
        <v>0</v>
      </c>
      <c r="N248" s="1270">
        <f>Tabel6689172633[[#This Row],[Sew. 2015]]+Tabel6689172633[[#This Row],[WW 2015]]+Tabel6689172633[[#This Row],[Other ch. 2015]]</f>
        <v>48.637327552111621</v>
      </c>
      <c r="O248" s="1271">
        <v>0</v>
      </c>
      <c r="P248" s="571">
        <f>Tabel6689172633[[#This Row],[Total. ch. DW 2015]]+Tabel6689172633[[#This Row],[Sew. 2015]]+Tabel6689172633[[#This Row],[WW 2015]]+Tabel6689172633[[#This Row],[Other ch. 2015]]+Tabel6689172633[[#This Row],[VAT 2015]]</f>
        <v>193.01676151417388</v>
      </c>
      <c r="Q248" s="397"/>
      <c r="R248" s="1763"/>
      <c r="S248" s="1766"/>
      <c r="T248" s="1769"/>
      <c r="U248" s="1775"/>
      <c r="V248" s="1778"/>
      <c r="W248" s="1781"/>
      <c r="X248" s="1785"/>
      <c r="Y248" s="1788"/>
      <c r="Z248" s="1791"/>
      <c r="AA248" s="397"/>
      <c r="AB248" s="398"/>
      <c r="AC248" s="591" t="s">
        <v>429</v>
      </c>
      <c r="AD248" s="398"/>
      <c r="AE248" s="398"/>
      <c r="AF248" s="591" t="s">
        <v>429</v>
      </c>
      <c r="AG248" s="591" t="s">
        <v>429</v>
      </c>
      <c r="AH248" s="398"/>
      <c r="AI248" s="397"/>
    </row>
    <row r="249" spans="1:35" ht="15.75" x14ac:dyDescent="0.25">
      <c r="A249" s="1757"/>
      <c r="B249" s="1213"/>
      <c r="C249" s="639" t="s">
        <v>748</v>
      </c>
      <c r="D249" s="2186"/>
      <c r="E249" s="617">
        <f>'[1]exchange rates'!$M$63</f>
        <v>3401.52324</v>
      </c>
      <c r="F249" s="549">
        <f>23132/E249</f>
        <v>6.8004827155024818</v>
      </c>
      <c r="G249" s="550">
        <f>465967/E249</f>
        <v>136.9877455254429</v>
      </c>
      <c r="H249" s="551">
        <v>0</v>
      </c>
      <c r="I249" s="566">
        <f>Tabel6689172633[[#This Row],[Fix.ch. 2015]]+Tabel6689172633[[#This Row],[Var. ch. 2015]]+Tabel6689172633[[#This Row],[Oth. ch. DW 2015]]</f>
        <v>143.78822824094539</v>
      </c>
      <c r="J249" s="567">
        <v>0</v>
      </c>
      <c r="K249" s="568">
        <f>58373/E249</f>
        <v>17.160841153035896</v>
      </c>
      <c r="L249" s="568"/>
      <c r="M249" s="569">
        <v>0</v>
      </c>
      <c r="N249" s="1270">
        <f>Tabel6689172633[[#This Row],[Sew. 2015]]+Tabel6689172633[[#This Row],[WW 2015]]+Tabel6689172633[[#This Row],[Other ch. 2015]]</f>
        <v>17.160841153035896</v>
      </c>
      <c r="O249" s="1271">
        <v>0</v>
      </c>
      <c r="P249" s="571">
        <f>Tabel6689172633[[#This Row],[Total. ch. DW 2015]]+Tabel6689172633[[#This Row],[Sew. 2015]]+Tabel6689172633[[#This Row],[WW 2015]]+Tabel6689172633[[#This Row],[Other ch. 2015]]+Tabel6689172633[[#This Row],[VAT 2015]]</f>
        <v>160.94906939398129</v>
      </c>
      <c r="Q249" s="397"/>
      <c r="R249" s="1763"/>
      <c r="S249" s="1766"/>
      <c r="T249" s="1769"/>
      <c r="U249" s="1775"/>
      <c r="V249" s="1778"/>
      <c r="W249" s="1781"/>
      <c r="X249" s="1785"/>
      <c r="Y249" s="1788"/>
      <c r="Z249" s="1791"/>
      <c r="AA249" s="397"/>
      <c r="AB249" s="398"/>
      <c r="AC249" s="591" t="s">
        <v>429</v>
      </c>
      <c r="AD249" s="398"/>
      <c r="AE249" s="398"/>
      <c r="AF249" s="591" t="s">
        <v>429</v>
      </c>
      <c r="AG249" s="591" t="s">
        <v>429</v>
      </c>
      <c r="AH249" s="398"/>
      <c r="AI249" s="397"/>
    </row>
    <row r="250" spans="1:35" ht="16.5" thickBot="1" x14ac:dyDescent="0.3">
      <c r="A250" s="1758"/>
      <c r="B250" s="1213"/>
      <c r="C250" s="652" t="s">
        <v>749</v>
      </c>
      <c r="D250" s="2187"/>
      <c r="E250" s="617">
        <f>'[1]exchange rates'!$M$63</f>
        <v>3401.52324</v>
      </c>
      <c r="F250" s="549">
        <f>20705/E250</f>
        <v>6.0869788442192148</v>
      </c>
      <c r="G250" s="550">
        <f>480112/E250</f>
        <v>141.14617661703821</v>
      </c>
      <c r="H250" s="551">
        <v>0</v>
      </c>
      <c r="I250" s="566">
        <f>Tabel6689172633[[#This Row],[Fix.ch. 2015]]+Tabel6689172633[[#This Row],[Var. ch. 2015]]+Tabel6689172633[[#This Row],[Oth. ch. DW 2015]]</f>
        <v>147.23315546125741</v>
      </c>
      <c r="J250" s="567">
        <v>0</v>
      </c>
      <c r="K250" s="568">
        <f>67466/E250</f>
        <v>19.834055286360471</v>
      </c>
      <c r="L250" s="568"/>
      <c r="M250" s="569">
        <v>0</v>
      </c>
      <c r="N250" s="1270">
        <f>Tabel6689172633[[#This Row],[Sew. 2015]]+Tabel6689172633[[#This Row],[WW 2015]]+Tabel6689172633[[#This Row],[Other ch. 2015]]</f>
        <v>19.834055286360471</v>
      </c>
      <c r="O250" s="1271">
        <v>0</v>
      </c>
      <c r="P250" s="571">
        <f>Tabel6689172633[[#This Row],[Total. ch. DW 2015]]+Tabel6689172633[[#This Row],[Sew. 2015]]+Tabel6689172633[[#This Row],[WW 2015]]+Tabel6689172633[[#This Row],[Other ch. 2015]]+Tabel6689172633[[#This Row],[VAT 2015]]</f>
        <v>167.06721074761788</v>
      </c>
      <c r="Q250" s="397"/>
      <c r="R250" s="1764"/>
      <c r="S250" s="1767"/>
      <c r="T250" s="1770"/>
      <c r="U250" s="1776"/>
      <c r="V250" s="1779"/>
      <c r="W250" s="1811"/>
      <c r="X250" s="1813"/>
      <c r="Y250" s="1815"/>
      <c r="Z250" s="1794"/>
      <c r="AA250" s="397"/>
      <c r="AB250" s="398"/>
      <c r="AC250" s="591" t="s">
        <v>429</v>
      </c>
      <c r="AD250" s="398"/>
      <c r="AE250" s="398"/>
      <c r="AF250" s="591" t="s">
        <v>429</v>
      </c>
      <c r="AG250" s="591" t="s">
        <v>429</v>
      </c>
      <c r="AH250" s="398"/>
      <c r="AI250" s="397"/>
    </row>
    <row r="251" spans="1:35" ht="15.75" customHeight="1" x14ac:dyDescent="0.25">
      <c r="A251" s="1818" t="s">
        <v>456</v>
      </c>
      <c r="B251" s="1213"/>
      <c r="C251" s="543" t="s">
        <v>165</v>
      </c>
      <c r="D251" s="1759">
        <v>41200</v>
      </c>
      <c r="E251" s="617">
        <f>'[1]exchange rates'!$M$64</f>
        <v>0.67854999999999999</v>
      </c>
      <c r="F251" s="549">
        <f>29.52/E251</f>
        <v>43.504531722054381</v>
      </c>
      <c r="G251" s="550">
        <f>296.78/E251</f>
        <v>437.37381180458328</v>
      </c>
      <c r="H251" s="551">
        <v>0</v>
      </c>
      <c r="I251" s="566">
        <f>Tabel6689172633[[#This Row],[Fix.ch. 2015]]+Tabel6689172633[[#This Row],[Var. ch. 2015]]+Tabel6689172633[[#This Row],[Oth. ch. DW 2015]]</f>
        <v>480.87834352663765</v>
      </c>
      <c r="J251" s="567">
        <v>0</v>
      </c>
      <c r="K251" s="568">
        <f>255.91/E251</f>
        <v>377.14243607692873</v>
      </c>
      <c r="L251" s="568"/>
      <c r="M251" s="569">
        <v>0</v>
      </c>
      <c r="N251" s="1270">
        <f>Tabel6689172633[[#This Row],[Sew. 2015]]+Tabel6689172633[[#This Row],[WW 2015]]+Tabel6689172633[[#This Row],[Other ch. 2015]]</f>
        <v>377.14243607692873</v>
      </c>
      <c r="O251" s="1271">
        <v>0</v>
      </c>
      <c r="P251" s="571">
        <f>Tabel6689172633[[#This Row],[Total. ch. DW 2015]]+Tabel6689172633[[#This Row],[Sew. 2015]]+Tabel6689172633[[#This Row],[WW 2015]]+Tabel6689172633[[#This Row],[Other ch. 2015]]+Tabel6689172633[[#This Row],[VAT 2015]]</f>
        <v>858.02077960356633</v>
      </c>
      <c r="Q251" s="397"/>
      <c r="R251" s="1762">
        <f t="shared" ref="R251:W251" si="67">SUM(F251:F255)/5</f>
        <v>41.957114435192693</v>
      </c>
      <c r="S251" s="1765">
        <f t="shared" si="67"/>
        <v>416.81232038906489</v>
      </c>
      <c r="T251" s="1768">
        <f t="shared" si="67"/>
        <v>0</v>
      </c>
      <c r="U251" s="1774">
        <f t="shared" si="67"/>
        <v>458.76943482425759</v>
      </c>
      <c r="V251" s="1777">
        <f t="shared" si="67"/>
        <v>0</v>
      </c>
      <c r="W251" s="1810">
        <f t="shared" si="67"/>
        <v>469.02365337852768</v>
      </c>
      <c r="X251" s="1812">
        <f>SUM(M251:M255)/5</f>
        <v>0</v>
      </c>
      <c r="Y251" s="1814">
        <f t="shared" ref="Y251:Z251" si="68">SUM(O251:O255)/5</f>
        <v>0</v>
      </c>
      <c r="Z251" s="1793">
        <f t="shared" si="68"/>
        <v>927.79308820278527</v>
      </c>
      <c r="AA251" s="397"/>
      <c r="AB251" s="398"/>
      <c r="AC251" s="398"/>
      <c r="AD251" s="398"/>
      <c r="AE251" s="398"/>
      <c r="AF251" s="398"/>
      <c r="AG251" s="398"/>
      <c r="AH251" s="398"/>
      <c r="AI251" s="2191"/>
    </row>
    <row r="252" spans="1:35" ht="15.75" customHeight="1" x14ac:dyDescent="0.25">
      <c r="A252" s="1819"/>
      <c r="B252" s="1213"/>
      <c r="C252" s="543" t="s">
        <v>166</v>
      </c>
      <c r="D252" s="1760"/>
      <c r="E252" s="617">
        <f>'[1]exchange rates'!$M$64</f>
        <v>0.67854999999999999</v>
      </c>
      <c r="F252" s="549">
        <f>34.4/E252</f>
        <v>50.696337779087763</v>
      </c>
      <c r="G252" s="550">
        <f>261.58/E252</f>
        <v>385.49848942598186</v>
      </c>
      <c r="H252" s="551">
        <v>0</v>
      </c>
      <c r="I252" s="566">
        <f>Tabel6689172633[[#This Row],[Fix.ch. 2015]]+Tabel6689172633[[#This Row],[Var. ch. 2015]]+Tabel6689172633[[#This Row],[Oth. ch. DW 2015]]</f>
        <v>436.1948272050696</v>
      </c>
      <c r="J252" s="567">
        <v>0</v>
      </c>
      <c r="K252" s="568">
        <f>415.16/E252</f>
        <v>611.83405791761845</v>
      </c>
      <c r="L252" s="568"/>
      <c r="M252" s="569">
        <v>0</v>
      </c>
      <c r="N252" s="1270">
        <f>Tabel6689172633[[#This Row],[Sew. 2015]]+Tabel6689172633[[#This Row],[WW 2015]]+Tabel6689172633[[#This Row],[Other ch. 2015]]</f>
        <v>611.83405791761845</v>
      </c>
      <c r="O252" s="1271">
        <v>0</v>
      </c>
      <c r="P252" s="571">
        <f>Tabel6689172633[[#This Row],[Total. ch. DW 2015]]+Tabel6689172633[[#This Row],[Sew. 2015]]+Tabel6689172633[[#This Row],[WW 2015]]+Tabel6689172633[[#This Row],[Other ch. 2015]]+Tabel6689172633[[#This Row],[VAT 2015]]</f>
        <v>1048.0288851226881</v>
      </c>
      <c r="Q252" s="397"/>
      <c r="R252" s="1763"/>
      <c r="S252" s="1766"/>
      <c r="T252" s="1769"/>
      <c r="U252" s="1775"/>
      <c r="V252" s="1778"/>
      <c r="W252" s="1781"/>
      <c r="X252" s="1785"/>
      <c r="Y252" s="1788"/>
      <c r="Z252" s="1791"/>
      <c r="AA252" s="397"/>
      <c r="AB252" s="398"/>
      <c r="AC252" s="398"/>
      <c r="AD252" s="398"/>
      <c r="AE252" s="398"/>
      <c r="AF252" s="398"/>
      <c r="AG252" s="398"/>
      <c r="AH252" s="398"/>
      <c r="AI252" s="2191"/>
    </row>
    <row r="253" spans="1:35" ht="15.75" customHeight="1" x14ac:dyDescent="0.25">
      <c r="A253" s="1819"/>
      <c r="B253" s="1213"/>
      <c r="C253" s="543" t="s">
        <v>167</v>
      </c>
      <c r="D253" s="1760"/>
      <c r="E253" s="617">
        <f>'[1]exchange rates'!$M$64</f>
        <v>0.67854999999999999</v>
      </c>
      <c r="F253" s="549">
        <f>21.25/E253</f>
        <v>31.31677842458183</v>
      </c>
      <c r="G253" s="550">
        <f>252.58/E253</f>
        <v>372.23491268145312</v>
      </c>
      <c r="H253" s="551">
        <v>0</v>
      </c>
      <c r="I253" s="566">
        <f>Tabel6689172633[[#This Row],[Fix.ch. 2015]]+Tabel6689172633[[#This Row],[Var. ch. 2015]]+Tabel6689172633[[#This Row],[Oth. ch. DW 2015]]</f>
        <v>403.55169110603498</v>
      </c>
      <c r="J253" s="567">
        <v>0</v>
      </c>
      <c r="K253" s="568">
        <f>227.01/E253</f>
        <v>334.55161741949746</v>
      </c>
      <c r="L253" s="568"/>
      <c r="M253" s="569">
        <v>0</v>
      </c>
      <c r="N253" s="1270">
        <f>Tabel6689172633[[#This Row],[Sew. 2015]]+Tabel6689172633[[#This Row],[WW 2015]]+Tabel6689172633[[#This Row],[Other ch. 2015]]</f>
        <v>334.55161741949746</v>
      </c>
      <c r="O253" s="1271">
        <v>0</v>
      </c>
      <c r="P253" s="571">
        <f>Tabel6689172633[[#This Row],[Total. ch. DW 2015]]+Tabel6689172633[[#This Row],[Sew. 2015]]+Tabel6689172633[[#This Row],[WW 2015]]+Tabel6689172633[[#This Row],[Other ch. 2015]]+Tabel6689172633[[#This Row],[VAT 2015]]</f>
        <v>738.10330852553238</v>
      </c>
      <c r="Q253" s="397"/>
      <c r="R253" s="1763"/>
      <c r="S253" s="1766"/>
      <c r="T253" s="1769"/>
      <c r="U253" s="1775"/>
      <c r="V253" s="1778"/>
      <c r="W253" s="1781"/>
      <c r="X253" s="1785"/>
      <c r="Y253" s="1788"/>
      <c r="Z253" s="1791"/>
      <c r="AA253" s="397"/>
      <c r="AB253" s="398"/>
      <c r="AC253" s="398"/>
      <c r="AD253" s="398"/>
      <c r="AE253" s="398"/>
      <c r="AF253" s="398"/>
      <c r="AG253" s="398"/>
      <c r="AH253" s="398"/>
      <c r="AI253" s="2191"/>
    </row>
    <row r="254" spans="1:35" ht="15.75" customHeight="1" x14ac:dyDescent="0.25">
      <c r="A254" s="1819"/>
      <c r="B254" s="1213"/>
      <c r="C254" s="543" t="s">
        <v>168</v>
      </c>
      <c r="D254" s="1760"/>
      <c r="E254" s="617">
        <f>'[1]exchange rates'!$M$64</f>
        <v>0.67854999999999999</v>
      </c>
      <c r="F254" s="549">
        <f>34.79/E254</f>
        <v>51.271092771350673</v>
      </c>
      <c r="G254" s="550">
        <f>350/E254</f>
        <v>515.8057622872301</v>
      </c>
      <c r="H254" s="551">
        <v>0</v>
      </c>
      <c r="I254" s="566">
        <f>Tabel6689172633[[#This Row],[Fix.ch. 2015]]+Tabel6689172633[[#This Row],[Var. ch. 2015]]+Tabel6689172633[[#This Row],[Oth. ch. DW 2015]]</f>
        <v>567.0768550585808</v>
      </c>
      <c r="J254" s="567">
        <v>0</v>
      </c>
      <c r="K254" s="568">
        <f>334.64/E254</f>
        <v>493.16925797656768</v>
      </c>
      <c r="L254" s="568"/>
      <c r="M254" s="569">
        <v>0</v>
      </c>
      <c r="N254" s="1270">
        <f>Tabel6689172633[[#This Row],[Sew. 2015]]+Tabel6689172633[[#This Row],[WW 2015]]+Tabel6689172633[[#This Row],[Other ch. 2015]]</f>
        <v>493.16925797656768</v>
      </c>
      <c r="O254" s="1271">
        <v>0</v>
      </c>
      <c r="P254" s="571">
        <f>Tabel6689172633[[#This Row],[Total. ch. DW 2015]]+Tabel6689172633[[#This Row],[Sew. 2015]]+Tabel6689172633[[#This Row],[WW 2015]]+Tabel6689172633[[#This Row],[Other ch. 2015]]+Tabel6689172633[[#This Row],[VAT 2015]]</f>
        <v>1060.2461130351485</v>
      </c>
      <c r="Q254" s="397"/>
      <c r="R254" s="1763"/>
      <c r="S254" s="1766"/>
      <c r="T254" s="1769"/>
      <c r="U254" s="1775"/>
      <c r="V254" s="1778"/>
      <c r="W254" s="1781"/>
      <c r="X254" s="1785"/>
      <c r="Y254" s="1788"/>
      <c r="Z254" s="1791"/>
      <c r="AA254" s="397"/>
      <c r="AB254" s="398"/>
      <c r="AC254" s="398"/>
      <c r="AD254" s="398"/>
      <c r="AE254" s="398"/>
      <c r="AF254" s="398"/>
      <c r="AG254" s="398"/>
      <c r="AH254" s="398"/>
      <c r="AI254" s="2191"/>
    </row>
    <row r="255" spans="1:35" ht="16.5" customHeight="1" thickBot="1" x14ac:dyDescent="0.3">
      <c r="A255" s="1820"/>
      <c r="B255" s="1213"/>
      <c r="C255" s="543" t="s">
        <v>169</v>
      </c>
      <c r="D255" s="1761"/>
      <c r="E255" s="617">
        <f>'[1]exchange rates'!$M$64</f>
        <v>0.67854999999999999</v>
      </c>
      <c r="F255" s="549">
        <f>22.39/E255</f>
        <v>32.996831478888808</v>
      </c>
      <c r="G255" s="550">
        <f>253.2/E255</f>
        <v>373.14862574607616</v>
      </c>
      <c r="H255" s="551">
        <v>0</v>
      </c>
      <c r="I255" s="566">
        <f>Tabel6689172633[[#This Row],[Fix.ch. 2015]]+Tabel6689172633[[#This Row],[Var. ch. 2015]]+Tabel6689172633[[#This Row],[Oth. ch. DW 2015]]</f>
        <v>406.14545722496496</v>
      </c>
      <c r="J255" s="567">
        <v>0</v>
      </c>
      <c r="K255" s="568">
        <f>358.56/E255</f>
        <v>528.42089750202638</v>
      </c>
      <c r="L255" s="568"/>
      <c r="M255" s="569">
        <v>0</v>
      </c>
      <c r="N255" s="1270">
        <f>Tabel6689172633[[#This Row],[Sew. 2015]]+Tabel6689172633[[#This Row],[WW 2015]]+Tabel6689172633[[#This Row],[Other ch. 2015]]</f>
        <v>528.42089750202638</v>
      </c>
      <c r="O255" s="1271">
        <v>0</v>
      </c>
      <c r="P255" s="571">
        <f>Tabel6689172633[[#This Row],[Total. ch. DW 2015]]+Tabel6689172633[[#This Row],[Sew. 2015]]+Tabel6689172633[[#This Row],[WW 2015]]+Tabel6689172633[[#This Row],[Other ch. 2015]]+Tabel6689172633[[#This Row],[VAT 2015]]</f>
        <v>934.56635472699134</v>
      </c>
      <c r="Q255" s="397"/>
      <c r="R255" s="1764"/>
      <c r="S255" s="1767"/>
      <c r="T255" s="1770"/>
      <c r="U255" s="1776"/>
      <c r="V255" s="1779"/>
      <c r="W255" s="1811"/>
      <c r="X255" s="1813"/>
      <c r="Y255" s="1815"/>
      <c r="Z255" s="1794"/>
      <c r="AA255" s="397"/>
      <c r="AB255" s="398"/>
      <c r="AC255" s="398"/>
      <c r="AD255" s="398"/>
      <c r="AE255" s="398"/>
      <c r="AF255" s="398"/>
      <c r="AG255" s="398"/>
      <c r="AH255" s="398"/>
      <c r="AI255" s="2191"/>
    </row>
    <row r="256" spans="1:35" ht="15.75" x14ac:dyDescent="0.25">
      <c r="A256" s="2192" t="s">
        <v>31</v>
      </c>
      <c r="B256" s="1213"/>
      <c r="C256" s="693" t="s">
        <v>170</v>
      </c>
      <c r="D256" s="1759">
        <v>56300</v>
      </c>
      <c r="E256" s="715">
        <v>1</v>
      </c>
      <c r="F256" s="549">
        <v>178.85</v>
      </c>
      <c r="G256" s="550">
        <v>269.10000000000002</v>
      </c>
      <c r="H256" s="551">
        <v>0</v>
      </c>
      <c r="I256" s="566">
        <f>Tabel6689172633[[#This Row],[Fix.ch. 2015]]+Tabel6689172633[[#This Row],[Var. ch. 2015]]+Tabel6689172633[[#This Row],[Oth. ch. DW 2015]]</f>
        <v>447.95000000000005</v>
      </c>
      <c r="J256" s="567">
        <v>0</v>
      </c>
      <c r="K256" s="568">
        <v>427.87</v>
      </c>
      <c r="L256" s="568"/>
      <c r="M256" s="569">
        <v>0</v>
      </c>
      <c r="N256" s="1270">
        <f>Tabel6689172633[[#This Row],[Sew. 2015]]+Tabel6689172633[[#This Row],[WW 2015]]+Tabel6689172633[[#This Row],[Other ch. 2015]]</f>
        <v>427.87</v>
      </c>
      <c r="O256" s="1271">
        <v>0</v>
      </c>
      <c r="P256" s="571">
        <f>Tabel6689172633[[#This Row],[Total. ch. DW 2015]]+Tabel6689172633[[#This Row],[Sew. 2015]]+Tabel6689172633[[#This Row],[WW 2015]]+Tabel6689172633[[#This Row],[Other ch. 2015]]+Tabel6689172633[[#This Row],[VAT 2015]]</f>
        <v>875.82</v>
      </c>
      <c r="Q256" s="397"/>
      <c r="R256" s="1762">
        <f t="shared" ref="R256:W256" si="69">SUM(F256:F262)/7</f>
        <v>58.721428571428568</v>
      </c>
      <c r="S256" s="1765">
        <f t="shared" si="69"/>
        <v>206.48857142857148</v>
      </c>
      <c r="T256" s="1768">
        <f t="shared" si="69"/>
        <v>10.799999999999999</v>
      </c>
      <c r="U256" s="1774">
        <f t="shared" si="69"/>
        <v>276.01</v>
      </c>
      <c r="V256" s="1777">
        <f t="shared" si="69"/>
        <v>0</v>
      </c>
      <c r="W256" s="1810">
        <f t="shared" si="69"/>
        <v>295.38285714285718</v>
      </c>
      <c r="X256" s="1812">
        <f>SUM(M256:M262)/7</f>
        <v>34.799999999999997</v>
      </c>
      <c r="Y256" s="1814">
        <f t="shared" ref="Y256:Z256" si="70">SUM(O256:O262)/7</f>
        <v>3.1742857142857139</v>
      </c>
      <c r="Z256" s="1793">
        <f t="shared" si="70"/>
        <v>609.36714285714277</v>
      </c>
      <c r="AA256" s="397"/>
      <c r="AB256" s="591"/>
      <c r="AC256" s="591" t="s">
        <v>429</v>
      </c>
      <c r="AD256" s="591"/>
      <c r="AE256" s="591"/>
      <c r="AF256" s="591" t="s">
        <v>429</v>
      </c>
      <c r="AG256" s="591" t="s">
        <v>429</v>
      </c>
      <c r="AH256" s="591"/>
      <c r="AI256" s="397"/>
    </row>
    <row r="257" spans="1:35" ht="15.75" x14ac:dyDescent="0.25">
      <c r="A257" s="2148"/>
      <c r="B257" s="1213"/>
      <c r="C257" s="639" t="s">
        <v>171</v>
      </c>
      <c r="D257" s="1760"/>
      <c r="E257" s="715">
        <v>1</v>
      </c>
      <c r="F257" s="549">
        <v>46.32</v>
      </c>
      <c r="G257" s="550">
        <v>236.58</v>
      </c>
      <c r="H257" s="551">
        <v>75.599999999999994</v>
      </c>
      <c r="I257" s="566">
        <f>Tabel6689172633[[#This Row],[Fix.ch. 2015]]+Tabel6689172633[[#This Row],[Var. ch. 2015]]+Tabel6689172633[[#This Row],[Oth. ch. DW 2015]]</f>
        <v>358.5</v>
      </c>
      <c r="J257" s="567">
        <v>0</v>
      </c>
      <c r="K257" s="568">
        <v>385.86</v>
      </c>
      <c r="L257" s="568"/>
      <c r="M257" s="569">
        <v>243.6</v>
      </c>
      <c r="N257" s="1270">
        <f>Tabel6689172633[[#This Row],[Sew. 2015]]+Tabel6689172633[[#This Row],[WW 2015]]+Tabel6689172633[[#This Row],[Other ch. 2015]]</f>
        <v>629.46</v>
      </c>
      <c r="O257" s="1271">
        <v>0</v>
      </c>
      <c r="P257" s="571">
        <f>Tabel6689172633[[#This Row],[Total. ch. DW 2015]]+Tabel6689172633[[#This Row],[Sew. 2015]]+Tabel6689172633[[#This Row],[WW 2015]]+Tabel6689172633[[#This Row],[Other ch. 2015]]+Tabel6689172633[[#This Row],[VAT 2015]]</f>
        <v>987.96</v>
      </c>
      <c r="Q257" s="397"/>
      <c r="R257" s="1763"/>
      <c r="S257" s="1766"/>
      <c r="T257" s="1769"/>
      <c r="U257" s="1775"/>
      <c r="V257" s="1778"/>
      <c r="W257" s="1781"/>
      <c r="X257" s="1785"/>
      <c r="Y257" s="1788"/>
      <c r="Z257" s="1791"/>
      <c r="AA257" s="397"/>
      <c r="AB257" s="591"/>
      <c r="AC257" s="591" t="s">
        <v>429</v>
      </c>
      <c r="AD257" s="591"/>
      <c r="AE257" s="591"/>
      <c r="AF257" s="591" t="s">
        <v>429</v>
      </c>
      <c r="AG257" s="591" t="s">
        <v>429</v>
      </c>
      <c r="AH257" s="591"/>
      <c r="AI257" s="397"/>
    </row>
    <row r="258" spans="1:35" ht="15.75" x14ac:dyDescent="0.25">
      <c r="A258" s="2148"/>
      <c r="B258" s="1213"/>
      <c r="C258" s="639" t="s">
        <v>172</v>
      </c>
      <c r="D258" s="1760"/>
      <c r="E258" s="715">
        <v>1</v>
      </c>
      <c r="F258" s="549">
        <v>0</v>
      </c>
      <c r="G258" s="550">
        <v>330.11</v>
      </c>
      <c r="H258" s="551">
        <v>0</v>
      </c>
      <c r="I258" s="566">
        <f>Tabel6689172633[[#This Row],[Fix.ch. 2015]]+Tabel6689172633[[#This Row],[Var. ch. 2015]]+Tabel6689172633[[#This Row],[Oth. ch. DW 2015]]</f>
        <v>330.11</v>
      </c>
      <c r="J258" s="567">
        <v>0</v>
      </c>
      <c r="K258" s="568">
        <v>300.02999999999997</v>
      </c>
      <c r="L258" s="568"/>
      <c r="M258" s="569">
        <v>0</v>
      </c>
      <c r="N258" s="1270">
        <f>Tabel6689172633[[#This Row],[Sew. 2015]]+Tabel6689172633[[#This Row],[WW 2015]]+Tabel6689172633[[#This Row],[Other ch. 2015]]</f>
        <v>300.02999999999997</v>
      </c>
      <c r="O258" s="1271">
        <v>0</v>
      </c>
      <c r="P258" s="571">
        <f>Tabel6689172633[[#This Row],[Total. ch. DW 2015]]+Tabel6689172633[[#This Row],[Sew. 2015]]+Tabel6689172633[[#This Row],[WW 2015]]+Tabel6689172633[[#This Row],[Other ch. 2015]]+Tabel6689172633[[#This Row],[VAT 2015]]</f>
        <v>630.14</v>
      </c>
      <c r="Q258" s="397"/>
      <c r="R258" s="1763"/>
      <c r="S258" s="1766"/>
      <c r="T258" s="1769"/>
      <c r="U258" s="1775"/>
      <c r="V258" s="1778"/>
      <c r="W258" s="1781"/>
      <c r="X258" s="1785"/>
      <c r="Y258" s="1788"/>
      <c r="Z258" s="1791"/>
      <c r="AA258" s="397"/>
      <c r="AB258" s="591"/>
      <c r="AC258" s="591" t="s">
        <v>429</v>
      </c>
      <c r="AD258" s="591"/>
      <c r="AE258" s="591"/>
      <c r="AF258" s="591"/>
      <c r="AG258" s="591" t="s">
        <v>429</v>
      </c>
      <c r="AH258" s="591"/>
      <c r="AI258" s="397"/>
    </row>
    <row r="259" spans="1:35" ht="15.75" x14ac:dyDescent="0.25">
      <c r="A259" s="2148"/>
      <c r="B259" s="1213"/>
      <c r="C259" s="639" t="s">
        <v>173</v>
      </c>
      <c r="D259" s="1760"/>
      <c r="E259" s="715">
        <v>1</v>
      </c>
      <c r="F259" s="549">
        <v>0</v>
      </c>
      <c r="G259" s="550">
        <v>201.31</v>
      </c>
      <c r="H259" s="551">
        <v>0</v>
      </c>
      <c r="I259" s="566">
        <f>Tabel6689172633[[#This Row],[Fix.ch. 2015]]+Tabel6689172633[[#This Row],[Var. ch. 2015]]+Tabel6689172633[[#This Row],[Oth. ch. DW 2015]]</f>
        <v>201.31</v>
      </c>
      <c r="J259" s="567">
        <v>0</v>
      </c>
      <c r="K259" s="568">
        <v>201.31</v>
      </c>
      <c r="L259" s="568"/>
      <c r="M259" s="569">
        <v>0</v>
      </c>
      <c r="N259" s="1270">
        <f>Tabel6689172633[[#This Row],[Sew. 2015]]+Tabel6689172633[[#This Row],[WW 2015]]+Tabel6689172633[[#This Row],[Other ch. 2015]]</f>
        <v>201.31</v>
      </c>
      <c r="O259" s="1271">
        <v>0</v>
      </c>
      <c r="P259" s="571">
        <f>Tabel6689172633[[#This Row],[Total. ch. DW 2015]]+Tabel6689172633[[#This Row],[Sew. 2015]]+Tabel6689172633[[#This Row],[WW 2015]]+Tabel6689172633[[#This Row],[Other ch. 2015]]+Tabel6689172633[[#This Row],[VAT 2015]]</f>
        <v>402.62</v>
      </c>
      <c r="Q259" s="397"/>
      <c r="R259" s="1763"/>
      <c r="S259" s="1766"/>
      <c r="T259" s="1769"/>
      <c r="U259" s="1775"/>
      <c r="V259" s="1778"/>
      <c r="W259" s="1781"/>
      <c r="X259" s="1785"/>
      <c r="Y259" s="1788"/>
      <c r="Z259" s="1791"/>
      <c r="AA259" s="397"/>
      <c r="AB259" s="591"/>
      <c r="AC259" s="591" t="s">
        <v>429</v>
      </c>
      <c r="AD259" s="591"/>
      <c r="AE259" s="591"/>
      <c r="AF259" s="591"/>
      <c r="AG259" s="591" t="s">
        <v>429</v>
      </c>
      <c r="AH259" s="591"/>
      <c r="AI259" s="397"/>
    </row>
    <row r="260" spans="1:35" ht="15.75" x14ac:dyDescent="0.25">
      <c r="A260" s="2148"/>
      <c r="B260" s="1213"/>
      <c r="C260" s="639" t="s">
        <v>174</v>
      </c>
      <c r="D260" s="1760"/>
      <c r="E260" s="715">
        <v>1</v>
      </c>
      <c r="F260" s="549">
        <v>105.48</v>
      </c>
      <c r="G260" s="550">
        <v>137.37</v>
      </c>
      <c r="H260" s="551">
        <v>0</v>
      </c>
      <c r="I260" s="566">
        <f>Tabel6689172633[[#This Row],[Fix.ch. 2015]]+Tabel6689172633[[#This Row],[Var. ch. 2015]]+Tabel6689172633[[#This Row],[Oth. ch. DW 2015]]</f>
        <v>242.85000000000002</v>
      </c>
      <c r="J260" s="567">
        <v>0</v>
      </c>
      <c r="K260" s="568">
        <v>323.68</v>
      </c>
      <c r="L260" s="568"/>
      <c r="M260" s="569">
        <v>0</v>
      </c>
      <c r="N260" s="1270">
        <f>Tabel6689172633[[#This Row],[Sew. 2015]]+Tabel6689172633[[#This Row],[WW 2015]]+Tabel6689172633[[#This Row],[Other ch. 2015]]</f>
        <v>323.68</v>
      </c>
      <c r="O260" s="1271">
        <v>0</v>
      </c>
      <c r="P260" s="571">
        <f>Tabel6689172633[[#This Row],[Total. ch. DW 2015]]+Tabel6689172633[[#This Row],[Sew. 2015]]+Tabel6689172633[[#This Row],[WW 2015]]+Tabel6689172633[[#This Row],[Other ch. 2015]]+Tabel6689172633[[#This Row],[VAT 2015]]</f>
        <v>566.53</v>
      </c>
      <c r="Q260" s="397"/>
      <c r="R260" s="1763"/>
      <c r="S260" s="1766"/>
      <c r="T260" s="1769"/>
      <c r="U260" s="1775"/>
      <c r="V260" s="1778"/>
      <c r="W260" s="1781"/>
      <c r="X260" s="1785"/>
      <c r="Y260" s="1788"/>
      <c r="Z260" s="1791"/>
      <c r="AA260" s="397"/>
      <c r="AB260" s="591"/>
      <c r="AC260" s="591"/>
      <c r="AD260" s="591"/>
      <c r="AE260" s="591" t="s">
        <v>429</v>
      </c>
      <c r="AF260" s="591" t="s">
        <v>429</v>
      </c>
      <c r="AG260" s="591" t="s">
        <v>429</v>
      </c>
      <c r="AH260" s="591"/>
      <c r="AI260" s="397"/>
    </row>
    <row r="261" spans="1:35" ht="15.75" x14ac:dyDescent="0.25">
      <c r="A261" s="2148"/>
      <c r="B261" s="1213"/>
      <c r="C261" s="639" t="s">
        <v>175</v>
      </c>
      <c r="D261" s="1760"/>
      <c r="E261" s="715">
        <v>1</v>
      </c>
      <c r="F261" s="549">
        <v>38.4</v>
      </c>
      <c r="G261" s="550">
        <v>26.24</v>
      </c>
      <c r="H261" s="551">
        <v>0</v>
      </c>
      <c r="I261" s="566">
        <f>Tabel6689172633[[#This Row],[Fix.ch. 2015]]+Tabel6689172633[[#This Row],[Var. ch. 2015]]+Tabel6689172633[[#This Row],[Oth. ch. DW 2015]]</f>
        <v>64.64</v>
      </c>
      <c r="J261" s="567">
        <v>0</v>
      </c>
      <c r="K261" s="568">
        <v>136.88</v>
      </c>
      <c r="L261" s="568"/>
      <c r="M261" s="569">
        <v>0</v>
      </c>
      <c r="N261" s="1270">
        <f>Tabel6689172633[[#This Row],[Sew. 2015]]+Tabel6689172633[[#This Row],[WW 2015]]+Tabel6689172633[[#This Row],[Other ch. 2015]]</f>
        <v>136.88</v>
      </c>
      <c r="O261" s="1271">
        <v>0</v>
      </c>
      <c r="P261" s="571">
        <f>Tabel6689172633[[#This Row],[Total. ch. DW 2015]]+Tabel6689172633[[#This Row],[Sew. 2015]]+Tabel6689172633[[#This Row],[WW 2015]]+Tabel6689172633[[#This Row],[Other ch. 2015]]+Tabel6689172633[[#This Row],[VAT 2015]]</f>
        <v>201.51999999999998</v>
      </c>
      <c r="Q261" s="397"/>
      <c r="R261" s="1763"/>
      <c r="S261" s="1766"/>
      <c r="T261" s="1769"/>
      <c r="U261" s="1775"/>
      <c r="V261" s="1778"/>
      <c r="W261" s="1781"/>
      <c r="X261" s="1785"/>
      <c r="Y261" s="1788"/>
      <c r="Z261" s="1791"/>
      <c r="AA261" s="397"/>
      <c r="AB261" s="591"/>
      <c r="AC261" s="591"/>
      <c r="AD261" s="591"/>
      <c r="AE261" s="591" t="s">
        <v>429</v>
      </c>
      <c r="AF261" s="591" t="s">
        <v>429</v>
      </c>
      <c r="AG261" s="591" t="s">
        <v>429</v>
      </c>
      <c r="AH261" s="591"/>
      <c r="AI261" s="397"/>
    </row>
    <row r="262" spans="1:35" ht="16.5" thickBot="1" x14ac:dyDescent="0.3">
      <c r="A262" s="2148"/>
      <c r="B262" s="1213"/>
      <c r="C262" s="1053" t="s">
        <v>212</v>
      </c>
      <c r="D262" s="1761"/>
      <c r="E262" s="715">
        <v>1</v>
      </c>
      <c r="F262" s="716">
        <v>42</v>
      </c>
      <c r="G262" s="717">
        <v>244.71</v>
      </c>
      <c r="H262" s="718">
        <v>0</v>
      </c>
      <c r="I262" s="1316">
        <f>Tabel6689172633[[#This Row],[Fix.ch. 2015]]+Tabel6689172633[[#This Row],[Var. ch. 2015]]+Tabel6689172633[[#This Row],[Oth. ch. DW 2015]]</f>
        <v>286.71000000000004</v>
      </c>
      <c r="J262" s="1317">
        <v>0</v>
      </c>
      <c r="K262" s="720">
        <v>292.05</v>
      </c>
      <c r="L262" s="720"/>
      <c r="M262" s="721">
        <v>0</v>
      </c>
      <c r="N262" s="1318">
        <f>Tabel6689172633[[#This Row],[Sew. 2015]]+Tabel6689172633[[#This Row],[WW 2015]]+Tabel6689172633[[#This Row],[Other ch. 2015]]</f>
        <v>292.05</v>
      </c>
      <c r="O262" s="1319">
        <v>22.22</v>
      </c>
      <c r="P262" s="1320">
        <f>Tabel6689172633[[#This Row],[Total. ch. DW 2015]]+Tabel6689172633[[#This Row],[Sew. 2015]]+Tabel6689172633[[#This Row],[WW 2015]]+Tabel6689172633[[#This Row],[Other ch. 2015]]+Tabel6689172633[[#This Row],[VAT 2015]]</f>
        <v>600.98</v>
      </c>
      <c r="Q262" s="397"/>
      <c r="R262" s="1764"/>
      <c r="S262" s="1767"/>
      <c r="T262" s="1770"/>
      <c r="U262" s="1776"/>
      <c r="V262" s="1779"/>
      <c r="W262" s="1811"/>
      <c r="X262" s="1813"/>
      <c r="Y262" s="1815"/>
      <c r="Z262" s="1794"/>
      <c r="AA262" s="397"/>
      <c r="AB262" s="591"/>
      <c r="AC262" s="591" t="s">
        <v>429</v>
      </c>
      <c r="AD262" s="591"/>
      <c r="AE262" s="591"/>
      <c r="AF262" s="591" t="s">
        <v>429</v>
      </c>
      <c r="AG262" s="591" t="s">
        <v>429</v>
      </c>
      <c r="AH262" s="591"/>
      <c r="AI262" s="397"/>
    </row>
    <row r="263" spans="1:35" ht="16.5" thickBot="1" x14ac:dyDescent="0.3">
      <c r="A263" s="1818" t="s">
        <v>718</v>
      </c>
      <c r="B263" s="1213"/>
      <c r="C263" s="543" t="s">
        <v>761</v>
      </c>
      <c r="D263" s="1759">
        <v>4300</v>
      </c>
      <c r="E263" s="1321">
        <f>'[1]exchange rates'!$M$66</f>
        <v>11.06053</v>
      </c>
      <c r="F263" s="1322">
        <f>10/E263</f>
        <v>0.90411580638540834</v>
      </c>
      <c r="G263" s="1323">
        <f>908.98/E263</f>
        <v>82.182318568820847</v>
      </c>
      <c r="H263" s="1324">
        <v>0</v>
      </c>
      <c r="I263" s="1325">
        <f>F263+G263+H263</f>
        <v>83.086434375206252</v>
      </c>
      <c r="J263" s="1326">
        <v>0</v>
      </c>
      <c r="K263" s="1327">
        <f>272.69/E263</f>
        <v>24.654333924323698</v>
      </c>
      <c r="L263" s="1327"/>
      <c r="M263" s="1328">
        <f>22.7/E263</f>
        <v>2.0523428804948769</v>
      </c>
      <c r="N263" s="1318">
        <f>J263+K263+M263</f>
        <v>26.706676804818574</v>
      </c>
      <c r="O263" s="1329">
        <v>0</v>
      </c>
      <c r="P263" s="1330">
        <f>I263+J263+K263+M263+O263</f>
        <v>109.79311118002482</v>
      </c>
      <c r="Q263" s="397"/>
      <c r="R263" s="1762">
        <f t="shared" ref="R263:W263" si="71">SUM(F263:F267)/5</f>
        <v>0.54246948383124505</v>
      </c>
      <c r="S263" s="1765">
        <f t="shared" si="71"/>
        <v>82.153025216693962</v>
      </c>
      <c r="T263" s="2272">
        <f t="shared" si="71"/>
        <v>0</v>
      </c>
      <c r="U263" s="1774">
        <f t="shared" si="71"/>
        <v>82.695494700525188</v>
      </c>
      <c r="V263" s="1777">
        <f t="shared" si="71"/>
        <v>0</v>
      </c>
      <c r="W263" s="1810">
        <f t="shared" si="71"/>
        <v>25.252858588150836</v>
      </c>
      <c r="X263" s="1812">
        <f>SUM(M263:M267)/5</f>
        <v>1.4541798629902907</v>
      </c>
      <c r="Y263" s="1814">
        <f t="shared" ref="Y263:Z263" si="72">SUM(O263:O267)/5</f>
        <v>0</v>
      </c>
      <c r="Z263" s="2260">
        <f t="shared" si="72"/>
        <v>109.40253315166633</v>
      </c>
      <c r="AA263" s="397"/>
      <c r="AB263" s="591" t="s">
        <v>429</v>
      </c>
      <c r="AC263" s="591"/>
      <c r="AD263" s="614"/>
      <c r="AE263" s="591" t="s">
        <v>429</v>
      </c>
      <c r="AF263" s="591" t="s">
        <v>429</v>
      </c>
      <c r="AG263" s="591" t="s">
        <v>429</v>
      </c>
      <c r="AH263" s="398"/>
      <c r="AI263" s="397"/>
    </row>
    <row r="264" spans="1:35" ht="96.75" customHeight="1" thickBot="1" x14ac:dyDescent="0.3">
      <c r="A264" s="1819"/>
      <c r="B264" s="1213"/>
      <c r="C264" s="543" t="s">
        <v>746</v>
      </c>
      <c r="D264" s="1880"/>
      <c r="E264" s="1331">
        <f>'[1]exchange rates'!$M$66</f>
        <v>11.06053</v>
      </c>
      <c r="F264" s="1322">
        <f>5/E264</f>
        <v>0.45205790319270417</v>
      </c>
      <c r="G264" s="1323">
        <f>894.54/E264</f>
        <v>80.876775344400315</v>
      </c>
      <c r="H264" s="1324">
        <v>0</v>
      </c>
      <c r="I264" s="1325">
        <f t="shared" ref="I264:I267" si="73">F264+G264+H264</f>
        <v>81.328833247593025</v>
      </c>
      <c r="J264" s="1326">
        <v>0</v>
      </c>
      <c r="K264" s="1327">
        <f>178.91/E264</f>
        <v>16.175535892041339</v>
      </c>
      <c r="L264" s="1327"/>
      <c r="M264" s="1328">
        <f>22.3/E264</f>
        <v>2.0161782482394606</v>
      </c>
      <c r="N264" s="1318">
        <f t="shared" ref="N264:N267" si="74">J264+K264+M264</f>
        <v>18.191714140280798</v>
      </c>
      <c r="O264" s="1329">
        <v>0</v>
      </c>
      <c r="P264" s="1330">
        <f t="shared" ref="P264:P267" si="75">I264+J264+K264+M264+O264</f>
        <v>99.520547387873819</v>
      </c>
      <c r="Q264" s="397"/>
      <c r="R264" s="1886"/>
      <c r="S264" s="1888"/>
      <c r="T264" s="2290"/>
      <c r="U264" s="1892"/>
      <c r="V264" s="1894"/>
      <c r="W264" s="1864"/>
      <c r="X264" s="1913"/>
      <c r="Y264" s="1915"/>
      <c r="Z264" s="2291"/>
      <c r="AA264" s="397"/>
      <c r="AB264" s="591" t="s">
        <v>429</v>
      </c>
      <c r="AC264" s="591"/>
      <c r="AD264" s="614"/>
      <c r="AE264" s="591" t="s">
        <v>429</v>
      </c>
      <c r="AF264" s="591" t="s">
        <v>429</v>
      </c>
      <c r="AG264" s="591" t="s">
        <v>429</v>
      </c>
      <c r="AH264" s="398"/>
      <c r="AI264" s="397"/>
    </row>
    <row r="265" spans="1:35" ht="28.5" customHeight="1" thickBot="1" x14ac:dyDescent="0.3">
      <c r="A265" s="1819"/>
      <c r="B265" s="1213"/>
      <c r="C265" s="543" t="s">
        <v>762</v>
      </c>
      <c r="D265" s="1880"/>
      <c r="E265" s="1331">
        <f>'[1]exchange rates'!$M$66</f>
        <v>11.06053</v>
      </c>
      <c r="F265" s="1322">
        <f>5/E265</f>
        <v>0.45205790319270417</v>
      </c>
      <c r="G265" s="1323">
        <f>669/E265</f>
        <v>60.485347447183813</v>
      </c>
      <c r="H265" s="1324">
        <v>0</v>
      </c>
      <c r="I265" s="1325">
        <f t="shared" si="73"/>
        <v>60.937405350376515</v>
      </c>
      <c r="J265" s="1326">
        <v>0</v>
      </c>
      <c r="K265" s="1327">
        <f>267/E265</f>
        <v>24.139892030490401</v>
      </c>
      <c r="L265" s="1327"/>
      <c r="M265" s="1328">
        <f>16.72/E265</f>
        <v>1.5116816282764025</v>
      </c>
      <c r="N265" s="1318">
        <f t="shared" si="74"/>
        <v>25.651573658766804</v>
      </c>
      <c r="O265" s="1329">
        <v>0</v>
      </c>
      <c r="P265" s="1330">
        <f t="shared" si="75"/>
        <v>86.58897900914333</v>
      </c>
      <c r="Q265" s="397"/>
      <c r="R265" s="1886"/>
      <c r="S265" s="1888"/>
      <c r="T265" s="2290"/>
      <c r="U265" s="1892"/>
      <c r="V265" s="1894"/>
      <c r="W265" s="1864"/>
      <c r="X265" s="1913"/>
      <c r="Y265" s="1915"/>
      <c r="Z265" s="2291"/>
      <c r="AA265" s="397"/>
      <c r="AB265" s="591" t="s">
        <v>429</v>
      </c>
      <c r="AC265" s="591"/>
      <c r="AD265" s="614"/>
      <c r="AE265" s="591" t="s">
        <v>429</v>
      </c>
      <c r="AF265" s="591" t="s">
        <v>429</v>
      </c>
      <c r="AG265" s="591" t="s">
        <v>429</v>
      </c>
      <c r="AH265" s="398"/>
      <c r="AI265" s="397"/>
    </row>
    <row r="266" spans="1:35" ht="32.25" customHeight="1" thickBot="1" x14ac:dyDescent="0.3">
      <c r="A266" s="1819"/>
      <c r="B266" s="1213"/>
      <c r="C266" s="543" t="s">
        <v>763</v>
      </c>
      <c r="D266" s="1880"/>
      <c r="E266" s="1331">
        <f>'[1]exchange rates'!$M$66</f>
        <v>11.06053</v>
      </c>
      <c r="F266" s="1322">
        <f>5/E266</f>
        <v>0.45205790319270417</v>
      </c>
      <c r="G266" s="1323">
        <f>751.38/E266</f>
        <v>67.933453460186811</v>
      </c>
      <c r="H266" s="1324">
        <v>0</v>
      </c>
      <c r="I266" s="1325">
        <f t="shared" si="73"/>
        <v>68.385511363379521</v>
      </c>
      <c r="J266" s="1326">
        <v>0</v>
      </c>
      <c r="K266" s="1327">
        <f>150.2/E266</f>
        <v>13.579819411908831</v>
      </c>
      <c r="L266" s="1327"/>
      <c r="M266" s="1328">
        <f>18.7/E266</f>
        <v>1.6906965579407134</v>
      </c>
      <c r="N266" s="1318">
        <f t="shared" si="74"/>
        <v>15.270515969849544</v>
      </c>
      <c r="O266" s="1329">
        <v>0</v>
      </c>
      <c r="P266" s="1330">
        <f t="shared" si="75"/>
        <v>83.656027333229062</v>
      </c>
      <c r="Q266" s="397"/>
      <c r="R266" s="1886"/>
      <c r="S266" s="1888"/>
      <c r="T266" s="2290"/>
      <c r="U266" s="1892"/>
      <c r="V266" s="1894"/>
      <c r="W266" s="1864"/>
      <c r="X266" s="1913"/>
      <c r="Y266" s="1915"/>
      <c r="Z266" s="2291"/>
      <c r="AA266" s="397"/>
      <c r="AB266" s="591" t="s">
        <v>429</v>
      </c>
      <c r="AC266" s="591"/>
      <c r="AD266" s="614"/>
      <c r="AE266" s="591" t="s">
        <v>429</v>
      </c>
      <c r="AF266" s="591" t="s">
        <v>429</v>
      </c>
      <c r="AG266" s="591" t="s">
        <v>429</v>
      </c>
      <c r="AH266" s="398"/>
      <c r="AI266" s="397"/>
    </row>
    <row r="267" spans="1:35" ht="12" customHeight="1" thickBot="1" x14ac:dyDescent="0.3">
      <c r="A267" s="1820"/>
      <c r="B267" s="1213"/>
      <c r="C267" s="544" t="s">
        <v>764</v>
      </c>
      <c r="D267" s="1761"/>
      <c r="E267" s="1332">
        <f>'[1]exchange rates'!$M$66</f>
        <v>11.06053</v>
      </c>
      <c r="F267" s="1333">
        <f>5/E267</f>
        <v>0.45205790319270417</v>
      </c>
      <c r="G267" s="1334">
        <f>1319.38/E267</f>
        <v>119.28723126287801</v>
      </c>
      <c r="H267" s="1335">
        <v>0</v>
      </c>
      <c r="I267" s="1325">
        <f t="shared" si="73"/>
        <v>119.73928916607072</v>
      </c>
      <c r="J267" s="1336">
        <v>0</v>
      </c>
      <c r="K267" s="1327">
        <f>527.75/E267</f>
        <v>47.714711681989925</v>
      </c>
      <c r="L267" s="1327"/>
      <c r="M267" s="1328">
        <v>0</v>
      </c>
      <c r="N267" s="1318">
        <f t="shared" si="74"/>
        <v>47.714711681989925</v>
      </c>
      <c r="O267" s="1337">
        <v>0</v>
      </c>
      <c r="P267" s="1330">
        <f t="shared" si="75"/>
        <v>167.45400084806064</v>
      </c>
      <c r="Q267" s="397"/>
      <c r="R267" s="1764"/>
      <c r="S267" s="1767"/>
      <c r="T267" s="2273"/>
      <c r="U267" s="1776"/>
      <c r="V267" s="1779"/>
      <c r="W267" s="2248"/>
      <c r="X267" s="1813"/>
      <c r="Y267" s="1815"/>
      <c r="Z267" s="2292"/>
      <c r="AA267" s="397"/>
      <c r="AB267" s="398"/>
      <c r="AC267" s="591"/>
      <c r="AD267" s="614"/>
      <c r="AE267" s="591" t="s">
        <v>429</v>
      </c>
      <c r="AF267" s="591" t="s">
        <v>429</v>
      </c>
      <c r="AG267" s="398"/>
      <c r="AH267" s="398"/>
      <c r="AI267" s="397"/>
    </row>
    <row r="269" spans="1:35" x14ac:dyDescent="0.25">
      <c r="A269" s="29"/>
      <c r="B269" s="29"/>
    </row>
    <row r="270" spans="1:35" x14ac:dyDescent="0.25">
      <c r="A270" s="29"/>
      <c r="B270" s="29"/>
    </row>
    <row r="271" spans="1:35" x14ac:dyDescent="0.25">
      <c r="A271" s="29"/>
      <c r="B271" s="29"/>
    </row>
    <row r="272" spans="1:35" ht="18.75" x14ac:dyDescent="0.25">
      <c r="M272" s="1755" t="s">
        <v>248</v>
      </c>
      <c r="N272" s="1755"/>
      <c r="O272" s="1755"/>
      <c r="P272" s="1755"/>
      <c r="Q272" s="1755"/>
      <c r="R272" s="1755"/>
      <c r="S272" s="1755"/>
    </row>
    <row r="273" spans="1:20" ht="48" thickBot="1" x14ac:dyDescent="0.3">
      <c r="A273" s="1338" t="s">
        <v>1355</v>
      </c>
      <c r="B273" s="1339"/>
      <c r="C273" s="1339" t="s">
        <v>1356</v>
      </c>
      <c r="D273" s="1340" t="s">
        <v>1357</v>
      </c>
      <c r="E273" s="1341" t="s">
        <v>1358</v>
      </c>
      <c r="F273" s="1341" t="s">
        <v>1359</v>
      </c>
      <c r="G273" s="1341" t="s">
        <v>1360</v>
      </c>
      <c r="H273" s="1341" t="s">
        <v>1361</v>
      </c>
      <c r="I273" s="1341" t="s">
        <v>1362</v>
      </c>
      <c r="J273" s="1341" t="s">
        <v>1363</v>
      </c>
      <c r="K273" s="1341" t="s">
        <v>1364</v>
      </c>
      <c r="L273" s="1342" t="s">
        <v>1203</v>
      </c>
      <c r="M273" s="112" t="s">
        <v>249</v>
      </c>
      <c r="N273" s="112" t="s">
        <v>250</v>
      </c>
      <c r="O273" s="112" t="s">
        <v>251</v>
      </c>
      <c r="P273" s="112" t="s">
        <v>252</v>
      </c>
      <c r="Q273" s="112" t="s">
        <v>438</v>
      </c>
      <c r="R273" s="112" t="s">
        <v>253</v>
      </c>
      <c r="S273" s="1343" t="s">
        <v>254</v>
      </c>
    </row>
    <row r="274" spans="1:20" ht="14.45" customHeight="1" x14ac:dyDescent="0.25">
      <c r="A274" s="1344" t="s">
        <v>34</v>
      </c>
      <c r="B274" s="1424"/>
      <c r="C274" s="1345" t="s">
        <v>178</v>
      </c>
      <c r="D274" s="1346">
        <v>65400</v>
      </c>
      <c r="E274" s="1347">
        <v>114.01091873798683</v>
      </c>
      <c r="F274" s="1347">
        <v>317.91506186554022</v>
      </c>
      <c r="G274" s="1347">
        <v>0</v>
      </c>
      <c r="H274" s="1348">
        <v>431.92598060352702</v>
      </c>
      <c r="I274" s="1347">
        <v>440.69605127567985</v>
      </c>
      <c r="J274" s="1347">
        <v>0</v>
      </c>
      <c r="K274" s="1348">
        <v>872.62203187920682</v>
      </c>
      <c r="L274" s="1349">
        <f>H274+I274+J274</f>
        <v>872.62203187920682</v>
      </c>
      <c r="M274" s="1350"/>
      <c r="N274" s="398"/>
      <c r="O274" s="398"/>
      <c r="P274" s="591" t="s">
        <v>429</v>
      </c>
      <c r="Q274" s="591" t="s">
        <v>429</v>
      </c>
      <c r="R274" s="591" t="s">
        <v>429</v>
      </c>
      <c r="S274" s="398"/>
      <c r="T274" s="397"/>
    </row>
    <row r="275" spans="1:20" ht="14.45" customHeight="1" x14ac:dyDescent="0.25">
      <c r="A275" s="1351"/>
      <c r="B275" s="1424"/>
      <c r="C275" s="1352" t="s">
        <v>179</v>
      </c>
      <c r="D275" s="1353"/>
      <c r="E275" s="1347">
        <v>157.86127209875099</v>
      </c>
      <c r="F275" s="1347">
        <v>230.21435514401188</v>
      </c>
      <c r="G275" s="1347">
        <v>0</v>
      </c>
      <c r="H275" s="1348">
        <v>388.07562724276283</v>
      </c>
      <c r="I275" s="1347">
        <v>526.20424032917003</v>
      </c>
      <c r="J275" s="1347">
        <v>0</v>
      </c>
      <c r="K275" s="1348">
        <v>914.27986757193287</v>
      </c>
      <c r="L275" s="1349">
        <f t="shared" ref="L275:L338" si="76">H275+I275+J275</f>
        <v>914.27986757193287</v>
      </c>
      <c r="M275" s="1350"/>
      <c r="N275" s="398"/>
      <c r="O275" s="398"/>
      <c r="P275" s="591" t="s">
        <v>429</v>
      </c>
      <c r="Q275" s="591" t="s">
        <v>429</v>
      </c>
      <c r="R275" s="591" t="s">
        <v>429</v>
      </c>
      <c r="S275" s="398"/>
      <c r="T275" s="397"/>
    </row>
    <row r="276" spans="1:20" ht="14.45" customHeight="1" x14ac:dyDescent="0.25">
      <c r="A276" s="1351"/>
      <c r="B276" s="1424"/>
      <c r="C276" s="1352" t="s">
        <v>180</v>
      </c>
      <c r="D276" s="1353"/>
      <c r="E276" s="1347">
        <v>83.315671385451921</v>
      </c>
      <c r="F276" s="1347">
        <v>325.95429331501362</v>
      </c>
      <c r="G276" s="1347">
        <v>0</v>
      </c>
      <c r="H276" s="1348">
        <v>409.26996470046555</v>
      </c>
      <c r="I276" s="1347">
        <v>432.65681982620646</v>
      </c>
      <c r="J276" s="1347">
        <v>0</v>
      </c>
      <c r="K276" s="1348">
        <v>841.92678452667201</v>
      </c>
      <c r="L276" s="1349">
        <f t="shared" si="76"/>
        <v>841.92678452667201</v>
      </c>
      <c r="M276" s="1350"/>
      <c r="N276" s="396"/>
      <c r="O276" s="396"/>
      <c r="P276" s="591" t="s">
        <v>429</v>
      </c>
      <c r="Q276" s="591" t="s">
        <v>429</v>
      </c>
      <c r="R276" s="591" t="s">
        <v>429</v>
      </c>
      <c r="S276" s="398"/>
      <c r="T276" s="397"/>
    </row>
    <row r="277" spans="1:20" ht="14.45" customHeight="1" x14ac:dyDescent="0.25">
      <c r="A277" s="1351"/>
      <c r="B277" s="1424"/>
      <c r="C277" s="1352" t="s">
        <v>544</v>
      </c>
      <c r="D277" s="1353"/>
      <c r="E277" s="1347">
        <v>75.276439935978487</v>
      </c>
      <c r="F277" s="1347">
        <v>385.88310957472464</v>
      </c>
      <c r="G277" s="1347">
        <v>0</v>
      </c>
      <c r="H277" s="1348">
        <v>461.15954951070313</v>
      </c>
      <c r="I277" s="1347">
        <v>369.07380745309837</v>
      </c>
      <c r="J277" s="1347">
        <v>0</v>
      </c>
      <c r="K277" s="1348">
        <v>830.2333569638015</v>
      </c>
      <c r="L277" s="1349">
        <f t="shared" si="76"/>
        <v>830.2333569638015</v>
      </c>
      <c r="M277" s="1354"/>
      <c r="N277" s="396"/>
      <c r="O277" s="396"/>
      <c r="P277" s="591" t="s">
        <v>429</v>
      </c>
      <c r="Q277" s="591" t="s">
        <v>429</v>
      </c>
      <c r="R277" s="591" t="s">
        <v>429</v>
      </c>
      <c r="S277" s="396"/>
      <c r="T277" s="399"/>
    </row>
    <row r="278" spans="1:20" ht="14.45" customHeight="1" thickBot="1" x14ac:dyDescent="0.3">
      <c r="A278" s="1351"/>
      <c r="B278" s="1424"/>
      <c r="C278" s="1355" t="s">
        <v>779</v>
      </c>
      <c r="D278" s="1356"/>
      <c r="E278" s="1347">
        <v>162.2463074348274</v>
      </c>
      <c r="F278" s="1347">
        <v>486.73892230448223</v>
      </c>
      <c r="G278" s="1347">
        <v>0</v>
      </c>
      <c r="H278" s="1348">
        <v>648.9852297393096</v>
      </c>
      <c r="I278" s="1347">
        <v>460.42871028802375</v>
      </c>
      <c r="J278" s="1347">
        <v>0</v>
      </c>
      <c r="K278" s="1348">
        <v>1109.4139400273334</v>
      </c>
      <c r="L278" s="1349">
        <f t="shared" si="76"/>
        <v>1109.4139400273334</v>
      </c>
      <c r="M278" s="1354"/>
      <c r="N278" s="396"/>
      <c r="O278" s="396"/>
      <c r="P278" s="591" t="s">
        <v>429</v>
      </c>
      <c r="Q278" s="591" t="s">
        <v>429</v>
      </c>
      <c r="R278" s="591" t="s">
        <v>429</v>
      </c>
      <c r="S278" s="396"/>
      <c r="T278" s="399"/>
    </row>
    <row r="279" spans="1:20" ht="14.45" customHeight="1" x14ac:dyDescent="0.25">
      <c r="A279" s="1357" t="s">
        <v>6</v>
      </c>
      <c r="B279" s="1622"/>
      <c r="C279" s="1358" t="s">
        <v>67</v>
      </c>
      <c r="D279" s="1359">
        <v>44100</v>
      </c>
      <c r="E279" s="1347">
        <v>57.75620561600104</v>
      </c>
      <c r="F279" s="1347">
        <v>276.8910026711838</v>
      </c>
      <c r="G279" s="1347">
        <v>0</v>
      </c>
      <c r="H279" s="1348">
        <v>334.64720828718487</v>
      </c>
      <c r="I279" s="1347">
        <v>630.03018654852644</v>
      </c>
      <c r="J279" s="1347">
        <v>57.875648793623903</v>
      </c>
      <c r="K279" s="1348">
        <v>1022.5530436293352</v>
      </c>
      <c r="L279" s="1349">
        <f t="shared" si="76"/>
        <v>1022.5530436293352</v>
      </c>
      <c r="M279" s="1350"/>
      <c r="N279" s="398"/>
      <c r="O279" s="398"/>
      <c r="P279" s="591" t="s">
        <v>429</v>
      </c>
      <c r="Q279" s="591" t="s">
        <v>429</v>
      </c>
      <c r="R279" s="614"/>
      <c r="S279" s="614"/>
      <c r="T279" s="397"/>
    </row>
    <row r="280" spans="1:20" ht="14.45" customHeight="1" x14ac:dyDescent="0.25">
      <c r="A280" s="1360"/>
      <c r="B280" s="1622"/>
      <c r="C280" s="1358" t="s">
        <v>71</v>
      </c>
      <c r="D280" s="1361"/>
      <c r="E280" s="1347">
        <v>73.663865181227877</v>
      </c>
      <c r="F280" s="1347">
        <v>195.30045388407498</v>
      </c>
      <c r="G280" s="1347">
        <v>0</v>
      </c>
      <c r="H280" s="1348">
        <v>268.96431906530285</v>
      </c>
      <c r="I280" s="1347">
        <v>498.01289986318329</v>
      </c>
      <c r="J280" s="1347">
        <v>46.01819879688145</v>
      </c>
      <c r="K280" s="1348">
        <v>812.99541772536759</v>
      </c>
      <c r="L280" s="1349">
        <f t="shared" si="76"/>
        <v>812.99541772536759</v>
      </c>
      <c r="M280" s="1350"/>
      <c r="N280" s="398"/>
      <c r="O280" s="398"/>
      <c r="P280" s="591" t="s">
        <v>429</v>
      </c>
      <c r="Q280" s="591" t="s">
        <v>429</v>
      </c>
      <c r="R280" s="614"/>
      <c r="S280" s="614"/>
      <c r="T280" s="397"/>
    </row>
    <row r="281" spans="1:20" ht="14.45" customHeight="1" x14ac:dyDescent="0.25">
      <c r="A281" s="1360"/>
      <c r="B281" s="1622"/>
      <c r="C281" s="1358" t="s">
        <v>68</v>
      </c>
      <c r="D281" s="1361"/>
      <c r="E281" s="1347">
        <v>25.84316024931049</v>
      </c>
      <c r="F281" s="1347">
        <v>406.19367168328012</v>
      </c>
      <c r="G281" s="1347">
        <v>0</v>
      </c>
      <c r="H281" s="1348">
        <v>432.03683193259059</v>
      </c>
      <c r="I281" s="1347">
        <v>315.16711186396509</v>
      </c>
      <c r="J281" s="1347">
        <v>44.834625491345797</v>
      </c>
      <c r="K281" s="1348">
        <v>792.03856928790151</v>
      </c>
      <c r="L281" s="1349">
        <f t="shared" si="76"/>
        <v>792.03856928790151</v>
      </c>
      <c r="M281" s="1350"/>
      <c r="N281" s="398"/>
      <c r="O281" s="398"/>
      <c r="P281" s="591" t="s">
        <v>429</v>
      </c>
      <c r="Q281" s="591" t="s">
        <v>429</v>
      </c>
      <c r="R281" s="614"/>
      <c r="S281" s="614"/>
      <c r="T281" s="397"/>
    </row>
    <row r="282" spans="1:20" ht="14.45" customHeight="1" x14ac:dyDescent="0.25">
      <c r="A282" s="1360"/>
      <c r="B282" s="1622"/>
      <c r="C282" s="1358" t="s">
        <v>72</v>
      </c>
      <c r="D282" s="1361"/>
      <c r="E282" s="1347">
        <v>114.1008100419137</v>
      </c>
      <c r="F282" s="1347">
        <v>529.64362499185609</v>
      </c>
      <c r="G282" s="1347">
        <v>0</v>
      </c>
      <c r="H282" s="1348">
        <v>643.74443503376983</v>
      </c>
      <c r="I282" s="1347">
        <v>381.67524485851413</v>
      </c>
      <c r="J282" s="1347">
        <v>61.361217886072922</v>
      </c>
      <c r="K282" s="1348">
        <v>1086.7808977783568</v>
      </c>
      <c r="L282" s="1349">
        <f t="shared" si="76"/>
        <v>1086.7808977783568</v>
      </c>
      <c r="M282" s="1350"/>
      <c r="N282" s="398"/>
      <c r="O282" s="398"/>
      <c r="P282" s="591" t="s">
        <v>429</v>
      </c>
      <c r="Q282" s="591" t="s">
        <v>429</v>
      </c>
      <c r="R282" s="591" t="s">
        <v>429</v>
      </c>
      <c r="S282" s="614"/>
      <c r="T282" s="397"/>
    </row>
    <row r="283" spans="1:20" ht="14.45" customHeight="1" x14ac:dyDescent="0.25">
      <c r="A283" s="1360"/>
      <c r="B283" s="1622"/>
      <c r="C283" s="1358" t="s">
        <v>69</v>
      </c>
      <c r="D283" s="1361"/>
      <c r="E283" s="1347">
        <v>57.75620561600104</v>
      </c>
      <c r="F283" s="1347">
        <v>291.82139987404173</v>
      </c>
      <c r="G283" s="1347">
        <v>0</v>
      </c>
      <c r="H283" s="1348">
        <v>349.57760549004274</v>
      </c>
      <c r="I283" s="1347">
        <v>630.03018654852644</v>
      </c>
      <c r="J283" s="1347">
        <v>58.77690186114188</v>
      </c>
      <c r="K283" s="1348">
        <v>1038.384693899711</v>
      </c>
      <c r="L283" s="1349">
        <f t="shared" si="76"/>
        <v>1038.384693899711</v>
      </c>
      <c r="M283" s="1350"/>
      <c r="N283" s="398"/>
      <c r="O283" s="398"/>
      <c r="P283" s="591" t="s">
        <v>429</v>
      </c>
      <c r="Q283" s="591" t="s">
        <v>429</v>
      </c>
      <c r="R283" s="614"/>
      <c r="S283" s="614"/>
      <c r="T283" s="397"/>
    </row>
    <row r="284" spans="1:20" ht="14.45" customHeight="1" x14ac:dyDescent="0.25">
      <c r="A284" s="1360"/>
      <c r="B284" s="1622"/>
      <c r="C284" s="1358" t="s">
        <v>70</v>
      </c>
      <c r="D284" s="1361"/>
      <c r="E284" s="1347">
        <v>57.75620561600104</v>
      </c>
      <c r="F284" s="1347">
        <v>214.45479618650509</v>
      </c>
      <c r="G284" s="1347">
        <v>0</v>
      </c>
      <c r="H284" s="1348">
        <v>272.21100180250613</v>
      </c>
      <c r="I284" s="1347">
        <v>630.03018654852644</v>
      </c>
      <c r="J284" s="1347">
        <v>54.129476404543183</v>
      </c>
      <c r="K284" s="1348">
        <v>956.37066475557583</v>
      </c>
      <c r="L284" s="1349">
        <f t="shared" si="76"/>
        <v>956.37066475557583</v>
      </c>
      <c r="M284" s="1350"/>
      <c r="N284" s="398"/>
      <c r="O284" s="398"/>
      <c r="P284" s="591" t="s">
        <v>429</v>
      </c>
      <c r="Q284" s="591" t="s">
        <v>429</v>
      </c>
      <c r="R284" s="614"/>
      <c r="S284" s="614"/>
      <c r="T284" s="397"/>
    </row>
    <row r="285" spans="1:20" ht="15" customHeight="1" thickBot="1" x14ac:dyDescent="0.3">
      <c r="A285" s="1362"/>
      <c r="B285" s="1622"/>
      <c r="C285" s="1363" t="s">
        <v>629</v>
      </c>
      <c r="D285" s="1364"/>
      <c r="E285" s="1347">
        <v>113.74248050904511</v>
      </c>
      <c r="F285" s="1347">
        <v>526.31007448910896</v>
      </c>
      <c r="G285" s="1347">
        <v>0</v>
      </c>
      <c r="H285" s="1348">
        <v>640.05255499815405</v>
      </c>
      <c r="I285" s="1347">
        <v>381.67524485851413</v>
      </c>
      <c r="J285" s="1347">
        <v>61.144048472213179</v>
      </c>
      <c r="K285" s="1348">
        <v>1082.8718483288815</v>
      </c>
      <c r="L285" s="1349">
        <f t="shared" si="76"/>
        <v>1082.8718483288815</v>
      </c>
      <c r="M285" s="1350"/>
      <c r="N285" s="398"/>
      <c r="O285" s="398"/>
      <c r="P285" s="591" t="s">
        <v>429</v>
      </c>
      <c r="Q285" s="591" t="s">
        <v>429</v>
      </c>
      <c r="R285" s="591" t="s">
        <v>429</v>
      </c>
      <c r="S285" s="614"/>
      <c r="T285" s="397"/>
    </row>
    <row r="286" spans="1:20" ht="14.45" customHeight="1" x14ac:dyDescent="0.25">
      <c r="A286" s="1357" t="s">
        <v>49</v>
      </c>
      <c r="B286" s="1622"/>
      <c r="C286" s="1365" t="s">
        <v>459</v>
      </c>
      <c r="D286" s="1366">
        <v>15800</v>
      </c>
      <c r="E286" s="1347" t="s">
        <v>5</v>
      </c>
      <c r="F286" s="1347" t="s">
        <v>5</v>
      </c>
      <c r="G286" s="1347" t="s">
        <v>5</v>
      </c>
      <c r="H286" s="1348" t="s">
        <v>5</v>
      </c>
      <c r="I286" s="1347" t="s">
        <v>5</v>
      </c>
      <c r="J286" s="1347" t="s">
        <v>5</v>
      </c>
      <c r="K286" s="1348">
        <v>135.32414677620517</v>
      </c>
      <c r="L286" s="1349">
        <f>K286</f>
        <v>135.32414677620517</v>
      </c>
      <c r="M286" s="1367" t="s">
        <v>429</v>
      </c>
      <c r="N286" s="614"/>
      <c r="O286" s="614"/>
      <c r="P286" s="614"/>
      <c r="Q286" s="614"/>
      <c r="R286" s="614"/>
      <c r="S286" s="614"/>
      <c r="T286" s="397"/>
    </row>
    <row r="287" spans="1:20" ht="14.45" customHeight="1" x14ac:dyDescent="0.25">
      <c r="A287" s="1360"/>
      <c r="B287" s="1622"/>
      <c r="C287" s="1368" t="s">
        <v>462</v>
      </c>
      <c r="D287" s="1369"/>
      <c r="E287" s="1347" t="s">
        <v>5</v>
      </c>
      <c r="F287" s="1347" t="s">
        <v>5</v>
      </c>
      <c r="G287" s="1347" t="s">
        <v>5</v>
      </c>
      <c r="H287" s="1348" t="s">
        <v>5</v>
      </c>
      <c r="I287" s="1347" t="s">
        <v>5</v>
      </c>
      <c r="J287" s="1347" t="s">
        <v>5</v>
      </c>
      <c r="K287" s="1348">
        <v>110.07710446721167</v>
      </c>
      <c r="L287" s="1349">
        <f>K287</f>
        <v>110.07710446721167</v>
      </c>
      <c r="M287" s="1367" t="s">
        <v>429</v>
      </c>
      <c r="N287" s="614"/>
      <c r="O287" s="614"/>
      <c r="P287" s="614"/>
      <c r="Q287" s="614"/>
      <c r="R287" s="614"/>
      <c r="S287" s="614"/>
      <c r="T287" s="397"/>
    </row>
    <row r="288" spans="1:20" ht="15" customHeight="1" thickBot="1" x14ac:dyDescent="0.3">
      <c r="A288" s="1362"/>
      <c r="B288" s="1622"/>
      <c r="C288" s="1370" t="s">
        <v>1346</v>
      </c>
      <c r="D288" s="1356"/>
      <c r="E288" s="1347" t="s">
        <v>5</v>
      </c>
      <c r="F288" s="1347" t="s">
        <v>5</v>
      </c>
      <c r="G288" s="1347" t="s">
        <v>5</v>
      </c>
      <c r="H288" s="1348" t="s">
        <v>5</v>
      </c>
      <c r="I288" s="1347" t="s">
        <v>5</v>
      </c>
      <c r="J288" s="1347" t="s">
        <v>5</v>
      </c>
      <c r="K288" s="1348">
        <v>212.5800962417253</v>
      </c>
      <c r="L288" s="1349">
        <f>K288</f>
        <v>212.5800962417253</v>
      </c>
      <c r="M288" s="1367" t="s">
        <v>429</v>
      </c>
      <c r="N288" s="614"/>
      <c r="O288" s="614"/>
      <c r="P288" s="614"/>
      <c r="Q288" s="614"/>
      <c r="R288" s="614"/>
      <c r="S288" s="614"/>
      <c r="T288" s="397"/>
    </row>
    <row r="289" spans="1:20" ht="14.45" customHeight="1" x14ac:dyDescent="0.25">
      <c r="A289" s="1371" t="s">
        <v>343</v>
      </c>
      <c r="B289" s="1424"/>
      <c r="C289" s="1372" t="s">
        <v>548</v>
      </c>
      <c r="D289" s="1366">
        <v>45900</v>
      </c>
      <c r="E289" s="1347">
        <v>136.39208407967715</v>
      </c>
      <c r="F289" s="1347">
        <v>254.6273316500133</v>
      </c>
      <c r="G289" s="1347">
        <v>0</v>
      </c>
      <c r="H289" s="1348">
        <v>391.01941572969042</v>
      </c>
      <c r="I289" s="1347">
        <v>336.52013150038488</v>
      </c>
      <c r="J289" s="1347">
        <v>0</v>
      </c>
      <c r="K289" s="1348">
        <v>727.5395472300753</v>
      </c>
      <c r="L289" s="1349">
        <f t="shared" si="76"/>
        <v>727.5395472300753</v>
      </c>
      <c r="M289" s="1367"/>
      <c r="N289" s="591" t="s">
        <v>429</v>
      </c>
      <c r="O289" s="591"/>
      <c r="P289" s="591"/>
      <c r="Q289" s="591" t="s">
        <v>429</v>
      </c>
      <c r="R289" s="591" t="s">
        <v>429</v>
      </c>
      <c r="S289" s="614"/>
      <c r="T289" s="397"/>
    </row>
    <row r="290" spans="1:20" ht="14.45" customHeight="1" x14ac:dyDescent="0.25">
      <c r="A290" s="1351"/>
      <c r="B290" s="1424"/>
      <c r="C290" s="1373" t="s">
        <v>549</v>
      </c>
      <c r="D290" s="1369"/>
      <c r="E290" s="1347">
        <v>93.661652674968167</v>
      </c>
      <c r="F290" s="1347">
        <v>208.61658429908425</v>
      </c>
      <c r="G290" s="1347">
        <v>0</v>
      </c>
      <c r="H290" s="1348">
        <v>302.27823697405245</v>
      </c>
      <c r="I290" s="1347">
        <v>328.03159462200836</v>
      </c>
      <c r="J290" s="1347">
        <v>0</v>
      </c>
      <c r="K290" s="1348">
        <v>630.3098315960608</v>
      </c>
      <c r="L290" s="1349">
        <f t="shared" si="76"/>
        <v>630.3098315960608</v>
      </c>
      <c r="M290" s="1367"/>
      <c r="N290" s="591"/>
      <c r="O290" s="591" t="s">
        <v>429</v>
      </c>
      <c r="P290" s="591"/>
      <c r="Q290" s="591" t="s">
        <v>429</v>
      </c>
      <c r="R290" s="591" t="s">
        <v>429</v>
      </c>
      <c r="S290" s="614"/>
      <c r="T290" s="397"/>
    </row>
    <row r="291" spans="1:20" ht="14.45" customHeight="1" x14ac:dyDescent="0.25">
      <c r="A291" s="1351"/>
      <c r="B291" s="1424"/>
      <c r="C291" s="1373" t="s">
        <v>722</v>
      </c>
      <c r="D291" s="1369"/>
      <c r="E291" s="1347">
        <v>75.965211386149292</v>
      </c>
      <c r="F291" s="1347">
        <v>208.61658429908425</v>
      </c>
      <c r="G291" s="1347">
        <v>0</v>
      </c>
      <c r="H291" s="1348">
        <v>284.58179568523354</v>
      </c>
      <c r="I291" s="1347">
        <v>205.45136715799472</v>
      </c>
      <c r="J291" s="1347">
        <v>0</v>
      </c>
      <c r="K291" s="1348">
        <v>490.0331628432283</v>
      </c>
      <c r="L291" s="1349">
        <f t="shared" si="76"/>
        <v>490.0331628432283</v>
      </c>
      <c r="M291" s="1367"/>
      <c r="N291" s="591"/>
      <c r="O291" s="591"/>
      <c r="P291" s="591" t="s">
        <v>429</v>
      </c>
      <c r="Q291" s="591" t="s">
        <v>429</v>
      </c>
      <c r="R291" s="591" t="s">
        <v>429</v>
      </c>
      <c r="S291" s="614"/>
      <c r="T291" s="397"/>
    </row>
    <row r="292" spans="1:20" ht="14.45" customHeight="1" x14ac:dyDescent="0.25">
      <c r="A292" s="1351"/>
      <c r="B292" s="1424"/>
      <c r="C292" s="1373" t="s">
        <v>723</v>
      </c>
      <c r="D292" s="1369"/>
      <c r="E292" s="1347">
        <v>408.60075821337881</v>
      </c>
      <c r="F292" s="1347">
        <v>0</v>
      </c>
      <c r="G292" s="1347">
        <v>0</v>
      </c>
      <c r="H292" s="1348">
        <v>408.60075821337881</v>
      </c>
      <c r="I292" s="1347">
        <v>225.88140506866364</v>
      </c>
      <c r="J292" s="1347">
        <v>0</v>
      </c>
      <c r="K292" s="1348">
        <v>634.48216328204239</v>
      </c>
      <c r="L292" s="1349">
        <f t="shared" si="76"/>
        <v>634.48216328204239</v>
      </c>
      <c r="M292" s="1367" t="s">
        <v>429</v>
      </c>
      <c r="N292" s="591"/>
      <c r="O292" s="591"/>
      <c r="P292" s="591"/>
      <c r="Q292" s="591" t="s">
        <v>429</v>
      </c>
      <c r="R292" s="591" t="s">
        <v>429</v>
      </c>
      <c r="S292" s="614"/>
      <c r="T292" s="397"/>
    </row>
    <row r="293" spans="1:20" ht="15" customHeight="1" thickBot="1" x14ac:dyDescent="0.3">
      <c r="A293" s="1374"/>
      <c r="B293" s="1424"/>
      <c r="C293" s="1375" t="s">
        <v>552</v>
      </c>
      <c r="D293" s="1356"/>
      <c r="E293" s="1347">
        <v>136.91002870276452</v>
      </c>
      <c r="F293" s="1347">
        <v>135.81659005402452</v>
      </c>
      <c r="G293" s="1347">
        <v>0</v>
      </c>
      <c r="H293" s="1348">
        <v>272.72661875678904</v>
      </c>
      <c r="I293" s="1347">
        <v>284.64653876311945</v>
      </c>
      <c r="J293" s="1347">
        <v>0</v>
      </c>
      <c r="K293" s="1348">
        <v>557.37315751990855</v>
      </c>
      <c r="L293" s="1349">
        <f t="shared" si="76"/>
        <v>557.37315751990855</v>
      </c>
      <c r="M293" s="1367"/>
      <c r="N293" s="591"/>
      <c r="O293" s="591" t="s">
        <v>429</v>
      </c>
      <c r="P293" s="591"/>
      <c r="Q293" s="591" t="s">
        <v>429</v>
      </c>
      <c r="R293" s="591" t="s">
        <v>429</v>
      </c>
      <c r="S293" s="614"/>
      <c r="T293" s="397"/>
    </row>
    <row r="294" spans="1:20" ht="14.45" customHeight="1" x14ac:dyDescent="0.25">
      <c r="A294" s="1357" t="s">
        <v>489</v>
      </c>
      <c r="B294" s="1622"/>
      <c r="C294" s="1358" t="s">
        <v>728</v>
      </c>
      <c r="D294" s="1366">
        <v>23800</v>
      </c>
      <c r="E294" s="1347">
        <v>15.456467891895299</v>
      </c>
      <c r="F294" s="1347">
        <v>399.89215632775705</v>
      </c>
      <c r="G294" s="1347">
        <v>0</v>
      </c>
      <c r="H294" s="1348">
        <v>415.34862421965232</v>
      </c>
      <c r="I294" s="1347">
        <v>91.080647602095667</v>
      </c>
      <c r="J294" s="1347">
        <v>0</v>
      </c>
      <c r="K294" s="1348">
        <v>506.42927182174799</v>
      </c>
      <c r="L294" s="1349">
        <f t="shared" si="76"/>
        <v>506.42927182174799</v>
      </c>
      <c r="M294" s="1354"/>
      <c r="N294" s="396"/>
      <c r="O294" s="396"/>
      <c r="P294" s="396"/>
      <c r="Q294" s="396"/>
      <c r="R294" s="396"/>
      <c r="S294" s="398"/>
      <c r="T294" s="397"/>
    </row>
    <row r="295" spans="1:20" ht="14.45" customHeight="1" x14ac:dyDescent="0.25">
      <c r="A295" s="1360"/>
      <c r="B295" s="1622"/>
      <c r="C295" s="1358" t="s">
        <v>492</v>
      </c>
      <c r="D295" s="1369"/>
      <c r="E295" s="1347">
        <v>17.885341417764561</v>
      </c>
      <c r="F295" s="1347">
        <v>190.04704729426021</v>
      </c>
      <c r="G295" s="1347">
        <v>0</v>
      </c>
      <c r="H295" s="1348">
        <v>207.93238871202476</v>
      </c>
      <c r="I295" s="1347">
        <v>139.88314403965407</v>
      </c>
      <c r="J295" s="1347">
        <v>0</v>
      </c>
      <c r="K295" s="1348">
        <v>347.8155327516788</v>
      </c>
      <c r="L295" s="1349">
        <f t="shared" si="76"/>
        <v>347.8155327516788</v>
      </c>
      <c r="M295" s="1354"/>
      <c r="N295" s="396"/>
      <c r="O295" s="396"/>
      <c r="P295" s="396"/>
      <c r="Q295" s="396"/>
      <c r="R295" s="396"/>
      <c r="S295" s="398"/>
      <c r="T295" s="397"/>
    </row>
    <row r="296" spans="1:20" ht="14.45" customHeight="1" x14ac:dyDescent="0.25">
      <c r="A296" s="1360"/>
      <c r="B296" s="1622"/>
      <c r="C296" s="1358" t="s">
        <v>729</v>
      </c>
      <c r="D296" s="1369"/>
      <c r="E296" s="1347">
        <v>17.885341417764561</v>
      </c>
      <c r="F296" s="1347">
        <v>190.04704729426021</v>
      </c>
      <c r="G296" s="1347">
        <v>0</v>
      </c>
      <c r="H296" s="1348">
        <v>207.93238871202476</v>
      </c>
      <c r="I296" s="1347">
        <v>139.88314403965407</v>
      </c>
      <c r="J296" s="1347">
        <v>0</v>
      </c>
      <c r="K296" s="1348">
        <v>347.8155327516788</v>
      </c>
      <c r="L296" s="1349">
        <f t="shared" si="76"/>
        <v>347.8155327516788</v>
      </c>
      <c r="M296" s="1354"/>
      <c r="N296" s="396"/>
      <c r="O296" s="396"/>
      <c r="P296" s="396"/>
      <c r="Q296" s="396"/>
      <c r="R296" s="396"/>
      <c r="S296" s="398"/>
      <c r="T296" s="397"/>
    </row>
    <row r="297" spans="1:20" ht="14.45" customHeight="1" x14ac:dyDescent="0.25">
      <c r="A297" s="1360"/>
      <c r="B297" s="1622"/>
      <c r="C297" s="1358" t="s">
        <v>493</v>
      </c>
      <c r="D297" s="1369"/>
      <c r="E297" s="1347">
        <v>10.80827622831805</v>
      </c>
      <c r="F297" s="1347">
        <v>115.19076853665082</v>
      </c>
      <c r="G297" s="1347">
        <v>0</v>
      </c>
      <c r="H297" s="1348">
        <v>125.99904476496887</v>
      </c>
      <c r="I297" s="1347">
        <v>146.31607253260486</v>
      </c>
      <c r="J297" s="1347">
        <v>0</v>
      </c>
      <c r="K297" s="1348">
        <v>272.31511729757375</v>
      </c>
      <c r="L297" s="1349">
        <f t="shared" si="76"/>
        <v>272.31511729757375</v>
      </c>
      <c r="M297" s="1354"/>
      <c r="N297" s="396"/>
      <c r="O297" s="396"/>
      <c r="P297" s="396"/>
      <c r="Q297" s="396"/>
      <c r="R297" s="396"/>
      <c r="S297" s="398"/>
      <c r="T297" s="397"/>
    </row>
    <row r="298" spans="1:20" ht="14.45" customHeight="1" x14ac:dyDescent="0.25">
      <c r="A298" s="1360"/>
      <c r="B298" s="1622"/>
      <c r="C298" s="1358" t="s">
        <v>730</v>
      </c>
      <c r="D298" s="1369"/>
      <c r="E298" s="1347">
        <v>18.17506228998753</v>
      </c>
      <c r="F298" s="1347">
        <v>120.2116593805149</v>
      </c>
      <c r="G298" s="1347">
        <v>0</v>
      </c>
      <c r="H298" s="1348">
        <v>138.38672167050242</v>
      </c>
      <c r="I298" s="1347">
        <v>196.81470184346861</v>
      </c>
      <c r="J298" s="1347">
        <v>0</v>
      </c>
      <c r="K298" s="1348">
        <v>335.20142351397101</v>
      </c>
      <c r="L298" s="1349">
        <f t="shared" si="76"/>
        <v>335.20142351397101</v>
      </c>
      <c r="M298" s="1354"/>
      <c r="N298" s="396"/>
      <c r="O298" s="396"/>
      <c r="P298" s="396"/>
      <c r="Q298" s="396"/>
      <c r="R298" s="396"/>
      <c r="S298" s="398"/>
      <c r="T298" s="397"/>
    </row>
    <row r="299" spans="1:20" ht="15" customHeight="1" thickBot="1" x14ac:dyDescent="0.3">
      <c r="A299" s="1362"/>
      <c r="B299" s="1622"/>
      <c r="C299" s="1358" t="s">
        <v>731</v>
      </c>
      <c r="D299" s="1356"/>
      <c r="E299" s="1347">
        <v>10.266807607901336</v>
      </c>
      <c r="F299" s="1347">
        <v>94.520731356743156</v>
      </c>
      <c r="G299" s="1347">
        <v>0</v>
      </c>
      <c r="H299" s="1348">
        <v>104.7875389646445</v>
      </c>
      <c r="I299" s="1347">
        <v>127.27466044995059</v>
      </c>
      <c r="J299" s="1347">
        <v>0</v>
      </c>
      <c r="K299" s="1348">
        <v>232.06219941459509</v>
      </c>
      <c r="L299" s="1349">
        <f t="shared" si="76"/>
        <v>232.06219941459509</v>
      </c>
      <c r="M299" s="1354"/>
      <c r="N299" s="396"/>
      <c r="O299" s="396"/>
      <c r="P299" s="396"/>
      <c r="Q299" s="396"/>
      <c r="R299" s="396"/>
      <c r="S299" s="398"/>
      <c r="T299" s="397"/>
    </row>
    <row r="300" spans="1:20" ht="16.5" thickBot="1" x14ac:dyDescent="0.3">
      <c r="A300" s="1376" t="s">
        <v>585</v>
      </c>
      <c r="B300" s="1623"/>
      <c r="C300" s="1377" t="s">
        <v>84</v>
      </c>
      <c r="D300" s="1378">
        <v>57000</v>
      </c>
      <c r="E300" s="1347">
        <v>0</v>
      </c>
      <c r="F300" s="1347">
        <v>114.49633598349713</v>
      </c>
      <c r="G300" s="1347">
        <v>0</v>
      </c>
      <c r="H300" s="1348">
        <v>114.49633598349713</v>
      </c>
      <c r="I300" s="1347">
        <v>55.815484810214492</v>
      </c>
      <c r="J300" s="1347">
        <v>0</v>
      </c>
      <c r="K300" s="1348">
        <v>170.31182079371163</v>
      </c>
      <c r="L300" s="1349">
        <f t="shared" si="76"/>
        <v>170.31182079371163</v>
      </c>
      <c r="M300" s="1350"/>
      <c r="N300" s="396"/>
      <c r="O300" s="398"/>
      <c r="P300" s="398"/>
      <c r="Q300" s="398"/>
      <c r="R300" s="398"/>
      <c r="S300" s="398"/>
      <c r="T300" s="397"/>
    </row>
    <row r="301" spans="1:20" ht="15.75" x14ac:dyDescent="0.25">
      <c r="A301" s="1357" t="s">
        <v>9</v>
      </c>
      <c r="B301" s="1622"/>
      <c r="C301" s="1358" t="s">
        <v>82</v>
      </c>
      <c r="D301" s="1366">
        <v>47500</v>
      </c>
      <c r="E301" s="1347">
        <v>23.588728700587662</v>
      </c>
      <c r="F301" s="1347">
        <v>28.911313638156159</v>
      </c>
      <c r="G301" s="1347">
        <v>0</v>
      </c>
      <c r="H301" s="1348">
        <v>52.500042338743825</v>
      </c>
      <c r="I301" s="1347">
        <v>31.451638267450218</v>
      </c>
      <c r="J301" s="1347">
        <v>2.6310505089117009</v>
      </c>
      <c r="K301" s="1348">
        <v>86.582731115105744</v>
      </c>
      <c r="L301" s="1349">
        <f t="shared" si="76"/>
        <v>86.582731115105744</v>
      </c>
      <c r="M301" s="1350"/>
      <c r="N301" s="398"/>
      <c r="O301" s="398"/>
      <c r="P301" s="591" t="s">
        <v>429</v>
      </c>
      <c r="Q301" s="591" t="s">
        <v>429</v>
      </c>
      <c r="R301" s="591" t="s">
        <v>429</v>
      </c>
      <c r="S301" s="398"/>
      <c r="T301" s="397"/>
    </row>
    <row r="302" spans="1:20" ht="16.5" thickBot="1" x14ac:dyDescent="0.3">
      <c r="A302" s="1362"/>
      <c r="B302" s="1622"/>
      <c r="C302" s="1358" t="s">
        <v>83</v>
      </c>
      <c r="D302" s="1356"/>
      <c r="E302" s="1347">
        <v>28.548410119685581</v>
      </c>
      <c r="F302" s="1347">
        <v>47.177457401175324</v>
      </c>
      <c r="G302" s="1347">
        <v>2.3588728700587662</v>
      </c>
      <c r="H302" s="1348">
        <v>78.084740390919663</v>
      </c>
      <c r="I302" s="1347">
        <v>54.435527770586916</v>
      </c>
      <c r="J302" s="1347">
        <v>3.3266155859803113</v>
      </c>
      <c r="K302" s="1348">
        <v>135.84688374748688</v>
      </c>
      <c r="L302" s="1349">
        <f t="shared" si="76"/>
        <v>135.84688374748688</v>
      </c>
      <c r="M302" s="1350"/>
      <c r="N302" s="398"/>
      <c r="O302" s="398"/>
      <c r="P302" s="591" t="s">
        <v>429</v>
      </c>
      <c r="Q302" s="591" t="s">
        <v>429</v>
      </c>
      <c r="R302" s="591" t="s">
        <v>429</v>
      </c>
      <c r="S302" s="398"/>
      <c r="T302" s="397"/>
    </row>
    <row r="303" spans="1:20" ht="15.75" x14ac:dyDescent="0.25">
      <c r="A303" s="1371" t="s">
        <v>10</v>
      </c>
      <c r="B303" s="1424"/>
      <c r="C303" s="1379" t="s">
        <v>85</v>
      </c>
      <c r="D303" s="1366">
        <v>31000</v>
      </c>
      <c r="E303" s="1347">
        <v>71.665906573718161</v>
      </c>
      <c r="F303" s="1347">
        <v>247.57313180011727</v>
      </c>
      <c r="G303" s="1347">
        <v>0</v>
      </c>
      <c r="H303" s="1348">
        <v>319.23903837383546</v>
      </c>
      <c r="I303" s="1347">
        <v>325.75412078962796</v>
      </c>
      <c r="J303" s="1347">
        <v>15.961951918691771</v>
      </c>
      <c r="K303" s="1348">
        <v>660.95511108215521</v>
      </c>
      <c r="L303" s="1349">
        <f t="shared" si="76"/>
        <v>660.9551110821551</v>
      </c>
      <c r="M303" s="1350"/>
      <c r="N303" s="398"/>
      <c r="O303" s="398"/>
      <c r="P303" s="591" t="s">
        <v>429</v>
      </c>
      <c r="Q303" s="591" t="s">
        <v>429</v>
      </c>
      <c r="R303" s="591" t="s">
        <v>429</v>
      </c>
      <c r="S303" s="398"/>
      <c r="T303" s="397"/>
    </row>
    <row r="304" spans="1:20" ht="15.75" x14ac:dyDescent="0.25">
      <c r="A304" s="1351"/>
      <c r="B304" s="1424"/>
      <c r="C304" s="1380" t="s">
        <v>1347</v>
      </c>
      <c r="D304" s="1369"/>
      <c r="E304" s="1347">
        <v>45.605576910547917</v>
      </c>
      <c r="F304" s="1347">
        <v>238.8863552457272</v>
      </c>
      <c r="G304" s="1347">
        <v>0</v>
      </c>
      <c r="H304" s="1348">
        <v>284.49193215627514</v>
      </c>
      <c r="I304" s="1347">
        <v>363.88906986340044</v>
      </c>
      <c r="J304" s="1347">
        <v>14.224596607813755</v>
      </c>
      <c r="K304" s="1348">
        <v>662.60559862748937</v>
      </c>
      <c r="L304" s="1349">
        <f t="shared" si="76"/>
        <v>662.60559862748937</v>
      </c>
      <c r="M304" s="1350"/>
      <c r="N304" s="398"/>
      <c r="O304" s="398"/>
      <c r="P304" s="591" t="s">
        <v>429</v>
      </c>
      <c r="Q304" s="591" t="s">
        <v>429</v>
      </c>
      <c r="R304" s="591" t="s">
        <v>429</v>
      </c>
      <c r="S304" s="398"/>
      <c r="T304" s="397"/>
    </row>
    <row r="305" spans="1:20" ht="15.75" x14ac:dyDescent="0.25">
      <c r="A305" s="1351"/>
      <c r="B305" s="1424"/>
      <c r="C305" s="1380" t="s">
        <v>1348</v>
      </c>
      <c r="D305" s="1369"/>
      <c r="E305" s="1347">
        <v>71.665906573718161</v>
      </c>
      <c r="F305" s="1347">
        <v>238.8863552457272</v>
      </c>
      <c r="G305" s="1347">
        <v>0</v>
      </c>
      <c r="H305" s="1348">
        <v>310.55226181944533</v>
      </c>
      <c r="I305" s="1347">
        <v>339.92442504397684</v>
      </c>
      <c r="J305" s="1347">
        <v>15.527613090972268</v>
      </c>
      <c r="K305" s="1348">
        <v>666.00429995439447</v>
      </c>
      <c r="L305" s="1349">
        <f t="shared" si="76"/>
        <v>666.00429995439447</v>
      </c>
      <c r="M305" s="1350"/>
      <c r="N305" s="398"/>
      <c r="O305" s="398"/>
      <c r="P305" s="591" t="s">
        <v>429</v>
      </c>
      <c r="Q305" s="591" t="s">
        <v>429</v>
      </c>
      <c r="R305" s="591" t="s">
        <v>429</v>
      </c>
      <c r="S305" s="398"/>
      <c r="T305" s="397"/>
    </row>
    <row r="306" spans="1:20" ht="16.5" thickBot="1" x14ac:dyDescent="0.3">
      <c r="A306" s="1374"/>
      <c r="B306" s="1424"/>
      <c r="C306" s="1381" t="s">
        <v>86</v>
      </c>
      <c r="D306" s="1356"/>
      <c r="E306" s="1347">
        <v>52.12065932634048</v>
      </c>
      <c r="F306" s="1347">
        <v>226.50769865572133</v>
      </c>
      <c r="G306" s="1347">
        <v>0</v>
      </c>
      <c r="H306" s="1348">
        <v>278.6283579820618</v>
      </c>
      <c r="I306" s="1347">
        <v>272.54761439398879</v>
      </c>
      <c r="J306" s="1347">
        <v>13.93141789910309</v>
      </c>
      <c r="K306" s="1348">
        <v>565.10739027515365</v>
      </c>
      <c r="L306" s="1349">
        <f t="shared" si="76"/>
        <v>565.10739027515365</v>
      </c>
      <c r="M306" s="1350"/>
      <c r="N306" s="398"/>
      <c r="O306" s="398"/>
      <c r="P306" s="591" t="s">
        <v>429</v>
      </c>
      <c r="Q306" s="591" t="s">
        <v>429</v>
      </c>
      <c r="R306" s="591" t="s">
        <v>429</v>
      </c>
      <c r="S306" s="398"/>
      <c r="T306" s="397"/>
    </row>
    <row r="307" spans="1:20" ht="15.75" x14ac:dyDescent="0.25">
      <c r="A307" s="1357" t="s">
        <v>11</v>
      </c>
      <c r="B307" s="1622"/>
      <c r="C307" s="1382" t="s">
        <v>87</v>
      </c>
      <c r="D307" s="1366">
        <v>45800</v>
      </c>
      <c r="E307" s="1347">
        <v>141.87043032265103</v>
      </c>
      <c r="F307" s="1347">
        <v>127.9837037575934</v>
      </c>
      <c r="G307" s="1347">
        <v>190.02582663417118</v>
      </c>
      <c r="H307" s="1348">
        <v>459.87996071441557</v>
      </c>
      <c r="I307" s="1347">
        <v>676.87606853151942</v>
      </c>
      <c r="J307" s="1347">
        <v>284.18900731148375</v>
      </c>
      <c r="K307" s="1348">
        <v>1420.9450365574187</v>
      </c>
      <c r="L307" s="1349">
        <f t="shared" si="76"/>
        <v>1420.9450365574187</v>
      </c>
      <c r="M307" s="1354"/>
      <c r="N307" s="591" t="s">
        <v>429</v>
      </c>
      <c r="O307" s="591"/>
      <c r="P307" s="591"/>
      <c r="Q307" s="591" t="s">
        <v>429</v>
      </c>
      <c r="R307" s="591" t="s">
        <v>429</v>
      </c>
      <c r="S307" s="396"/>
      <c r="T307" s="397"/>
    </row>
    <row r="308" spans="1:20" ht="15.75" x14ac:dyDescent="0.25">
      <c r="A308" s="1360"/>
      <c r="B308" s="1622"/>
      <c r="C308" s="1382" t="s">
        <v>213</v>
      </c>
      <c r="D308" s="1369"/>
      <c r="E308" s="1347">
        <v>80.026190389582041</v>
      </c>
      <c r="F308" s="1347">
        <v>311.6656360263359</v>
      </c>
      <c r="G308" s="1347">
        <v>190.02582663417118</v>
      </c>
      <c r="H308" s="1348">
        <v>581.7176530500891</v>
      </c>
      <c r="I308" s="1347">
        <v>796.53704848859627</v>
      </c>
      <c r="J308" s="1347">
        <v>344.56367538467134</v>
      </c>
      <c r="K308" s="1348">
        <v>1722.8183769233569</v>
      </c>
      <c r="L308" s="1349">
        <f t="shared" si="76"/>
        <v>1722.8183769233567</v>
      </c>
      <c r="M308" s="1354"/>
      <c r="N308" s="591" t="s">
        <v>429</v>
      </c>
      <c r="O308" s="591"/>
      <c r="P308" s="591"/>
      <c r="Q308" s="591" t="s">
        <v>429</v>
      </c>
      <c r="R308" s="591" t="s">
        <v>429</v>
      </c>
      <c r="S308" s="396"/>
      <c r="T308" s="397"/>
    </row>
    <row r="309" spans="1:20" ht="15.75" x14ac:dyDescent="0.25">
      <c r="A309" s="1360"/>
      <c r="B309" s="1622"/>
      <c r="C309" s="1382" t="s">
        <v>88</v>
      </c>
      <c r="D309" s="1369"/>
      <c r="E309" s="1347">
        <v>55.872831108362739</v>
      </c>
      <c r="F309" s="1347">
        <v>252.3007529737005</v>
      </c>
      <c r="G309" s="1347">
        <v>190.02582663417118</v>
      </c>
      <c r="H309" s="1348">
        <v>498.19941071623441</v>
      </c>
      <c r="I309" s="1347">
        <v>430.4536029973446</v>
      </c>
      <c r="J309" s="1347">
        <v>232.16325342839474</v>
      </c>
      <c r="K309" s="1348">
        <v>1160.8162671419736</v>
      </c>
      <c r="L309" s="1349">
        <f t="shared" si="76"/>
        <v>1160.8162671419736</v>
      </c>
      <c r="M309" s="1354"/>
      <c r="N309" s="591" t="s">
        <v>429</v>
      </c>
      <c r="O309" s="591"/>
      <c r="P309" s="591"/>
      <c r="Q309" s="591" t="s">
        <v>429</v>
      </c>
      <c r="R309" s="591" t="s">
        <v>429</v>
      </c>
      <c r="S309" s="396"/>
      <c r="T309" s="397"/>
    </row>
    <row r="310" spans="1:20" ht="15.75" x14ac:dyDescent="0.25">
      <c r="A310" s="1360"/>
      <c r="B310" s="1622"/>
      <c r="C310" s="1382" t="s">
        <v>89</v>
      </c>
      <c r="D310" s="1369"/>
      <c r="E310" s="1347">
        <v>96.32243279618784</v>
      </c>
      <c r="F310" s="1347">
        <v>141.25350114582955</v>
      </c>
      <c r="G310" s="1347">
        <v>190.02582663417118</v>
      </c>
      <c r="H310" s="1348">
        <v>427.60176057618855</v>
      </c>
      <c r="I310" s="1347">
        <v>765.49270670401222</v>
      </c>
      <c r="J310" s="1347">
        <v>298.27361682005022</v>
      </c>
      <c r="K310" s="1348">
        <v>1491.3680841002508</v>
      </c>
      <c r="L310" s="1349">
        <f t="shared" si="76"/>
        <v>1491.3680841002508</v>
      </c>
      <c r="M310" s="1354"/>
      <c r="N310" s="591" t="s">
        <v>429</v>
      </c>
      <c r="O310" s="591"/>
      <c r="P310" s="591"/>
      <c r="Q310" s="591" t="s">
        <v>429</v>
      </c>
      <c r="R310" s="591" t="s">
        <v>429</v>
      </c>
      <c r="S310" s="396"/>
      <c r="T310" s="397"/>
    </row>
    <row r="311" spans="1:20" ht="16.5" thickBot="1" x14ac:dyDescent="0.3">
      <c r="A311" s="1362"/>
      <c r="B311" s="1622"/>
      <c r="C311" s="1383" t="s">
        <v>90</v>
      </c>
      <c r="D311" s="1356"/>
      <c r="E311" s="1347">
        <v>69.841038885453429</v>
      </c>
      <c r="F311" s="1347">
        <v>254.62878760321561</v>
      </c>
      <c r="G311" s="1347">
        <v>190.02582663417118</v>
      </c>
      <c r="H311" s="1348">
        <v>514.49565312284017</v>
      </c>
      <c r="I311" s="1347">
        <v>921.14510203339273</v>
      </c>
      <c r="J311" s="1347">
        <v>358.91018878905822</v>
      </c>
      <c r="K311" s="1348">
        <v>1794.5509439452912</v>
      </c>
      <c r="L311" s="1349">
        <f t="shared" si="76"/>
        <v>1794.5509439452912</v>
      </c>
      <c r="M311" s="1354"/>
      <c r="N311" s="591" t="s">
        <v>429</v>
      </c>
      <c r="O311" s="591"/>
      <c r="P311" s="591"/>
      <c r="Q311" s="591" t="s">
        <v>429</v>
      </c>
      <c r="R311" s="591" t="s">
        <v>429</v>
      </c>
      <c r="S311" s="396"/>
      <c r="T311" s="397"/>
    </row>
    <row r="312" spans="1:20" ht="15.75" x14ac:dyDescent="0.25">
      <c r="A312" s="1357" t="s">
        <v>12</v>
      </c>
      <c r="B312" s="1622"/>
      <c r="C312" s="1384" t="s">
        <v>91</v>
      </c>
      <c r="D312" s="1366">
        <v>41200</v>
      </c>
      <c r="E312" s="1347">
        <v>41.902838404239155</v>
      </c>
      <c r="F312" s="1347">
        <v>234.54296696853217</v>
      </c>
      <c r="G312" s="1347">
        <v>0</v>
      </c>
      <c r="H312" s="1348">
        <v>276.4458053727713</v>
      </c>
      <c r="I312" s="1347">
        <v>353.86670141377294</v>
      </c>
      <c r="J312" s="1347">
        <v>151.28021369470324</v>
      </c>
      <c r="K312" s="1348">
        <v>781.5927204812474</v>
      </c>
      <c r="L312" s="1349">
        <f t="shared" si="76"/>
        <v>781.5927204812474</v>
      </c>
      <c r="M312" s="1385"/>
      <c r="N312" s="662" t="s">
        <v>429</v>
      </c>
      <c r="O312" s="662"/>
      <c r="P312" s="662"/>
      <c r="Q312" s="662" t="s">
        <v>429</v>
      </c>
      <c r="R312" s="662" t="s">
        <v>429</v>
      </c>
      <c r="S312" s="400"/>
      <c r="T312" s="397"/>
    </row>
    <row r="313" spans="1:20" ht="15.75" x14ac:dyDescent="0.25">
      <c r="A313" s="1360"/>
      <c r="B313" s="1622"/>
      <c r="C313" s="1382" t="s">
        <v>92</v>
      </c>
      <c r="D313" s="1369"/>
      <c r="E313" s="1347">
        <v>41.902838404239155</v>
      </c>
      <c r="F313" s="1347">
        <v>234.54296696853217</v>
      </c>
      <c r="G313" s="1347">
        <v>0</v>
      </c>
      <c r="H313" s="1348">
        <v>276.4458053727713</v>
      </c>
      <c r="I313" s="1347">
        <v>353.86670141377294</v>
      </c>
      <c r="J313" s="1347">
        <v>151.28021369470324</v>
      </c>
      <c r="K313" s="1348">
        <v>781.5927204812474</v>
      </c>
      <c r="L313" s="1349">
        <f t="shared" si="76"/>
        <v>781.5927204812474</v>
      </c>
      <c r="M313" s="1385"/>
      <c r="N313" s="662" t="s">
        <v>429</v>
      </c>
      <c r="O313" s="662"/>
      <c r="P313" s="662"/>
      <c r="Q313" s="662" t="s">
        <v>429</v>
      </c>
      <c r="R313" s="662" t="s">
        <v>429</v>
      </c>
      <c r="S313" s="400"/>
      <c r="T313" s="397"/>
    </row>
    <row r="314" spans="1:20" ht="15.75" x14ac:dyDescent="0.25">
      <c r="A314" s="1360"/>
      <c r="B314" s="1622"/>
      <c r="C314" s="1382" t="s">
        <v>93</v>
      </c>
      <c r="D314" s="1369"/>
      <c r="E314" s="1347">
        <v>45.540426086389992</v>
      </c>
      <c r="F314" s="1347">
        <v>267.11837904749495</v>
      </c>
      <c r="G314" s="1347">
        <v>0</v>
      </c>
      <c r="H314" s="1348">
        <v>312.65880513388493</v>
      </c>
      <c r="I314" s="1347">
        <v>410.38504137077331</v>
      </c>
      <c r="J314" s="1347">
        <v>173.52922014463485</v>
      </c>
      <c r="K314" s="1348">
        <v>896.57306664929297</v>
      </c>
      <c r="L314" s="1349">
        <f t="shared" si="76"/>
        <v>896.57306664929297</v>
      </c>
      <c r="M314" s="1385"/>
      <c r="N314" s="662" t="s">
        <v>429</v>
      </c>
      <c r="O314" s="662"/>
      <c r="P314" s="662"/>
      <c r="Q314" s="662" t="s">
        <v>429</v>
      </c>
      <c r="R314" s="662" t="s">
        <v>429</v>
      </c>
      <c r="S314" s="400"/>
      <c r="T314" s="397"/>
    </row>
    <row r="315" spans="1:20" ht="15.75" x14ac:dyDescent="0.25">
      <c r="A315" s="1360"/>
      <c r="B315" s="1622"/>
      <c r="C315" s="1382" t="s">
        <v>94</v>
      </c>
      <c r="D315" s="1369"/>
      <c r="E315" s="1347">
        <v>83.523356570460621</v>
      </c>
      <c r="F315" s="1347">
        <v>236.71466110712967</v>
      </c>
      <c r="G315" s="1347">
        <v>0</v>
      </c>
      <c r="H315" s="1348">
        <v>320.23801767759028</v>
      </c>
      <c r="I315" s="1347">
        <v>430.99441874606384</v>
      </c>
      <c r="J315" s="1347">
        <v>180.29404738636609</v>
      </c>
      <c r="K315" s="1348">
        <v>931.52648381002018</v>
      </c>
      <c r="L315" s="1349">
        <f t="shared" si="76"/>
        <v>931.52648381002018</v>
      </c>
      <c r="M315" s="1385"/>
      <c r="N315" s="662" t="s">
        <v>429</v>
      </c>
      <c r="O315" s="662"/>
      <c r="P315" s="662"/>
      <c r="Q315" s="662" t="s">
        <v>429</v>
      </c>
      <c r="R315" s="662" t="s">
        <v>429</v>
      </c>
      <c r="S315" s="400"/>
      <c r="T315" s="397"/>
    </row>
    <row r="316" spans="1:20" ht="15.75" x14ac:dyDescent="0.25">
      <c r="A316" s="1360"/>
      <c r="B316" s="1622"/>
      <c r="C316" s="1382" t="s">
        <v>95</v>
      </c>
      <c r="D316" s="1369"/>
      <c r="E316" s="1347">
        <v>117.27148348426608</v>
      </c>
      <c r="F316" s="1347">
        <v>275.80515560188502</v>
      </c>
      <c r="G316" s="1347">
        <v>0</v>
      </c>
      <c r="H316" s="1348">
        <v>393.07663908615109</v>
      </c>
      <c r="I316" s="1347">
        <v>408.27849805633377</v>
      </c>
      <c r="J316" s="1347">
        <v>192.32523291419636</v>
      </c>
      <c r="K316" s="1348">
        <v>993.68037005668123</v>
      </c>
      <c r="L316" s="1349">
        <f t="shared" si="76"/>
        <v>993.68037005668123</v>
      </c>
      <c r="M316" s="1385"/>
      <c r="N316" s="662" t="s">
        <v>429</v>
      </c>
      <c r="O316" s="662"/>
      <c r="P316" s="662"/>
      <c r="Q316" s="662" t="s">
        <v>429</v>
      </c>
      <c r="R316" s="662" t="s">
        <v>429</v>
      </c>
      <c r="S316" s="400"/>
      <c r="T316" s="397"/>
    </row>
    <row r="317" spans="1:20" ht="16.5" thickBot="1" x14ac:dyDescent="0.3">
      <c r="A317" s="1362"/>
      <c r="B317" s="1622"/>
      <c r="C317" s="1383" t="s">
        <v>195</v>
      </c>
      <c r="D317" s="1356"/>
      <c r="E317" s="1347">
        <v>41.902838404239155</v>
      </c>
      <c r="F317" s="1347">
        <v>234.54296696853217</v>
      </c>
      <c r="G317" s="1347">
        <v>0</v>
      </c>
      <c r="H317" s="1348">
        <v>276.4458053727713</v>
      </c>
      <c r="I317" s="1347">
        <v>353.86670141377294</v>
      </c>
      <c r="J317" s="1347">
        <v>151.28021369470324</v>
      </c>
      <c r="K317" s="1348">
        <v>781.5927204812474</v>
      </c>
      <c r="L317" s="1349">
        <f t="shared" si="76"/>
        <v>781.5927204812474</v>
      </c>
      <c r="M317" s="1385"/>
      <c r="N317" s="662" t="s">
        <v>429</v>
      </c>
      <c r="O317" s="662"/>
      <c r="P317" s="662"/>
      <c r="Q317" s="662" t="s">
        <v>429</v>
      </c>
      <c r="R317" s="662" t="s">
        <v>429</v>
      </c>
      <c r="S317" s="400"/>
      <c r="T317" s="397"/>
    </row>
    <row r="318" spans="1:20" ht="15.75" x14ac:dyDescent="0.25">
      <c r="A318" s="1357" t="s">
        <v>13</v>
      </c>
      <c r="B318" s="1622"/>
      <c r="C318" s="1384" t="s">
        <v>97</v>
      </c>
      <c r="D318" s="1366">
        <v>41400</v>
      </c>
      <c r="E318" s="1347">
        <v>59.623862575194906</v>
      </c>
      <c r="F318" s="1347">
        <v>232.37127282993464</v>
      </c>
      <c r="G318" s="1347">
        <v>86.867765543900802</v>
      </c>
      <c r="H318" s="1348">
        <v>378.86290094903035</v>
      </c>
      <c r="I318" s="1347">
        <v>289.92116750276898</v>
      </c>
      <c r="J318" s="1347">
        <v>49.677503420418269</v>
      </c>
      <c r="K318" s="1348">
        <v>718.46157187221752</v>
      </c>
      <c r="L318" s="1349">
        <f t="shared" si="76"/>
        <v>718.46157187221763</v>
      </c>
      <c r="M318" s="1350"/>
      <c r="N318" s="591" t="s">
        <v>429</v>
      </c>
      <c r="O318" s="396"/>
      <c r="P318" s="591" t="s">
        <v>429</v>
      </c>
      <c r="Q318" s="591" t="s">
        <v>429</v>
      </c>
      <c r="R318" s="396"/>
      <c r="S318" s="398"/>
      <c r="T318" t="s">
        <v>1349</v>
      </c>
    </row>
    <row r="319" spans="1:20" ht="15.75" x14ac:dyDescent="0.25">
      <c r="A319" s="1360"/>
      <c r="B319" s="1622"/>
      <c r="C319" s="1382" t="s">
        <v>98</v>
      </c>
      <c r="D319" s="1369"/>
      <c r="E319" s="1347">
        <v>0</v>
      </c>
      <c r="F319" s="1347">
        <v>321.41073251243296</v>
      </c>
      <c r="G319" s="1347">
        <v>104.24131865268096</v>
      </c>
      <c r="H319" s="1348">
        <v>425.6520511651139</v>
      </c>
      <c r="I319" s="1347">
        <v>451.69066388689816</v>
      </c>
      <c r="J319" s="1347">
        <v>68.549525484830724</v>
      </c>
      <c r="K319" s="1348">
        <v>945.89224053684279</v>
      </c>
      <c r="L319" s="1349">
        <f t="shared" si="76"/>
        <v>945.89224053684279</v>
      </c>
      <c r="M319" s="1350"/>
      <c r="N319" s="591" t="s">
        <v>429</v>
      </c>
      <c r="O319" s="396"/>
      <c r="P319" s="396"/>
      <c r="Q319" s="591" t="s">
        <v>429</v>
      </c>
      <c r="R319" s="396"/>
      <c r="S319" s="398"/>
      <c r="T319" t="s">
        <v>1349</v>
      </c>
    </row>
    <row r="320" spans="1:20" ht="15.75" x14ac:dyDescent="0.25">
      <c r="A320" s="1360"/>
      <c r="B320" s="1622"/>
      <c r="C320" s="1382" t="s">
        <v>99</v>
      </c>
      <c r="D320" s="1369"/>
      <c r="E320" s="1347">
        <v>19.990444545790172</v>
      </c>
      <c r="F320" s="1347">
        <v>243.22974352292226</v>
      </c>
      <c r="G320" s="1347">
        <v>97.726236236888397</v>
      </c>
      <c r="H320" s="1348">
        <v>360.94642430560083</v>
      </c>
      <c r="I320" s="1347">
        <v>373.878862900949</v>
      </c>
      <c r="J320" s="1347">
        <v>57.321866788281547</v>
      </c>
      <c r="K320" s="1348">
        <v>792.14715399483146</v>
      </c>
      <c r="L320" s="1349">
        <f t="shared" si="76"/>
        <v>792.14715399483134</v>
      </c>
      <c r="M320" s="1350"/>
      <c r="N320" s="591" t="s">
        <v>429</v>
      </c>
      <c r="O320" s="591" t="s">
        <v>429</v>
      </c>
      <c r="P320" s="396"/>
      <c r="Q320" s="591" t="s">
        <v>429</v>
      </c>
      <c r="R320" s="396"/>
      <c r="S320" s="398"/>
      <c r="T320" t="s">
        <v>1349</v>
      </c>
    </row>
    <row r="321" spans="1:20" ht="15.75" x14ac:dyDescent="0.25">
      <c r="A321" s="1360"/>
      <c r="B321" s="1622"/>
      <c r="C321" s="1382" t="s">
        <v>100</v>
      </c>
      <c r="D321" s="1369"/>
      <c r="E321" s="1347">
        <v>66.193237344452413</v>
      </c>
      <c r="F321" s="1347">
        <v>256.25990835450733</v>
      </c>
      <c r="G321" s="1347">
        <v>76.009294850913193</v>
      </c>
      <c r="H321" s="1348">
        <v>398.46244054987295</v>
      </c>
      <c r="I321" s="1347">
        <v>246.79132191022217</v>
      </c>
      <c r="J321" s="1347">
        <v>46.647990097074732</v>
      </c>
      <c r="K321" s="1348">
        <v>691.90175255716986</v>
      </c>
      <c r="L321" s="1349">
        <f t="shared" si="76"/>
        <v>691.90175255716986</v>
      </c>
      <c r="M321" s="1350"/>
      <c r="N321" s="591" t="s">
        <v>429</v>
      </c>
      <c r="O321" s="396"/>
      <c r="P321" s="396"/>
      <c r="Q321" s="591" t="s">
        <v>429</v>
      </c>
      <c r="R321" s="396"/>
      <c r="S321" s="398"/>
      <c r="T321" t="s">
        <v>1349</v>
      </c>
    </row>
    <row r="322" spans="1:20" ht="15.75" x14ac:dyDescent="0.25">
      <c r="A322" s="1360"/>
      <c r="B322" s="1622"/>
      <c r="C322" s="1382" t="s">
        <v>101</v>
      </c>
      <c r="D322" s="1369"/>
      <c r="E322" s="1347">
        <v>22.824505396659934</v>
      </c>
      <c r="F322" s="1347">
        <v>214.99771972115448</v>
      </c>
      <c r="G322" s="1347">
        <v>106.41301279127848</v>
      </c>
      <c r="H322" s="1348">
        <v>344.23523790909292</v>
      </c>
      <c r="I322" s="1347">
        <v>338.78428562121314</v>
      </c>
      <c r="J322" s="1347">
        <v>52.64186591960388</v>
      </c>
      <c r="K322" s="1348">
        <v>735.66138944990996</v>
      </c>
      <c r="L322" s="1349">
        <f t="shared" si="76"/>
        <v>735.66138944990996</v>
      </c>
      <c r="M322" s="1350"/>
      <c r="N322" s="591" t="s">
        <v>429</v>
      </c>
      <c r="O322" s="396"/>
      <c r="P322" s="396"/>
      <c r="Q322" s="591" t="s">
        <v>429</v>
      </c>
      <c r="R322" s="396"/>
      <c r="S322" s="398"/>
      <c r="T322" t="s">
        <v>1349</v>
      </c>
    </row>
    <row r="323" spans="1:20" ht="15.75" x14ac:dyDescent="0.25">
      <c r="A323" s="1360"/>
      <c r="B323" s="1622"/>
      <c r="C323" s="1382" t="s">
        <v>630</v>
      </c>
      <c r="D323" s="1369"/>
      <c r="E323" s="1347">
        <v>30.794622885312833</v>
      </c>
      <c r="F323" s="1347">
        <v>217.16941385975198</v>
      </c>
      <c r="G323" s="1347">
        <v>86.867765543900802</v>
      </c>
      <c r="H323" s="1348">
        <v>334.8318022889656</v>
      </c>
      <c r="I323" s="1347">
        <v>295.35040284926271</v>
      </c>
      <c r="J323" s="1347">
        <v>47.864138814689341</v>
      </c>
      <c r="K323" s="1348">
        <v>678.0463439529176</v>
      </c>
      <c r="L323" s="1349">
        <f t="shared" si="76"/>
        <v>678.0463439529176</v>
      </c>
      <c r="M323" s="1350"/>
      <c r="N323" s="591" t="s">
        <v>429</v>
      </c>
      <c r="O323" s="396"/>
      <c r="P323" s="396"/>
      <c r="Q323" s="591" t="s">
        <v>429</v>
      </c>
      <c r="R323" s="396"/>
      <c r="S323" s="398"/>
      <c r="T323" t="s">
        <v>1349</v>
      </c>
    </row>
    <row r="324" spans="1:20" ht="15.75" x14ac:dyDescent="0.25">
      <c r="A324" s="1360"/>
      <c r="B324" s="1622"/>
      <c r="C324" s="1382" t="s">
        <v>631</v>
      </c>
      <c r="D324" s="1369"/>
      <c r="E324" s="1347">
        <v>11.890025408821421</v>
      </c>
      <c r="F324" s="1347">
        <v>201.96755488956936</v>
      </c>
      <c r="G324" s="1347">
        <v>95.554542098290881</v>
      </c>
      <c r="H324" s="1348">
        <v>309.41212239668164</v>
      </c>
      <c r="I324" s="1347">
        <v>317.0673442352379</v>
      </c>
      <c r="J324" s="1347">
        <v>48.711099528742373</v>
      </c>
      <c r="K324" s="1348">
        <v>675.19056616066189</v>
      </c>
      <c r="L324" s="1349">
        <f t="shared" si="76"/>
        <v>675.19056616066189</v>
      </c>
      <c r="M324" s="1350"/>
      <c r="N324" s="591" t="s">
        <v>429</v>
      </c>
      <c r="O324" s="396"/>
      <c r="P324" s="396"/>
      <c r="Q324" s="591"/>
      <c r="R324" s="396"/>
      <c r="S324" s="398"/>
      <c r="T324" t="s">
        <v>1349</v>
      </c>
    </row>
    <row r="325" spans="1:20" ht="15.75" x14ac:dyDescent="0.25">
      <c r="A325" s="1360"/>
      <c r="B325" s="1622"/>
      <c r="C325" s="1382" t="s">
        <v>632</v>
      </c>
      <c r="D325" s="1369"/>
      <c r="E325" s="1347">
        <v>45.76845397094273</v>
      </c>
      <c r="F325" s="1347">
        <v>321.41073251243296</v>
      </c>
      <c r="G325" s="1347">
        <v>99.897930375485913</v>
      </c>
      <c r="H325" s="1348">
        <v>467.07711685886159</v>
      </c>
      <c r="I325" s="1347">
        <v>281.5818620105544</v>
      </c>
      <c r="J325" s="1347">
        <v>53.684279106130688</v>
      </c>
      <c r="K325" s="1348">
        <v>802.34325797554675</v>
      </c>
      <c r="L325" s="1349">
        <f t="shared" si="76"/>
        <v>802.34325797554663</v>
      </c>
      <c r="M325" s="1350"/>
      <c r="N325" s="591" t="s">
        <v>429</v>
      </c>
      <c r="O325" s="396"/>
      <c r="P325" s="396"/>
      <c r="Q325" s="591" t="s">
        <v>429</v>
      </c>
      <c r="R325" s="396"/>
      <c r="S325" s="398"/>
      <c r="T325" t="s">
        <v>1349</v>
      </c>
    </row>
    <row r="326" spans="1:20" ht="15.75" x14ac:dyDescent="0.25">
      <c r="A326" s="1360"/>
      <c r="B326" s="1622"/>
      <c r="C326" s="1382" t="s">
        <v>633</v>
      </c>
      <c r="D326" s="1369"/>
      <c r="E326" s="1347">
        <v>32.977175494603344</v>
      </c>
      <c r="F326" s="1347">
        <v>327.92581492822552</v>
      </c>
      <c r="G326" s="1347">
        <v>112.92809520707104</v>
      </c>
      <c r="H326" s="1348">
        <v>473.83108562989992</v>
      </c>
      <c r="I326" s="1347">
        <v>501.6613460160271</v>
      </c>
      <c r="J326" s="1347">
        <v>76.269898147544893</v>
      </c>
      <c r="K326" s="1348">
        <v>1051.762329793472</v>
      </c>
      <c r="L326" s="1349">
        <f t="shared" si="76"/>
        <v>1051.762329793472</v>
      </c>
      <c r="M326" s="1350"/>
      <c r="N326" s="591" t="s">
        <v>429</v>
      </c>
      <c r="O326" s="396"/>
      <c r="P326" s="396"/>
      <c r="Q326" s="591" t="s">
        <v>429</v>
      </c>
      <c r="R326" s="396"/>
      <c r="S326" s="398"/>
      <c r="T326" t="s">
        <v>1349</v>
      </c>
    </row>
    <row r="327" spans="1:20" ht="15.75" x14ac:dyDescent="0.25">
      <c r="A327" s="1360"/>
      <c r="B327" s="1622"/>
      <c r="C327" s="1382" t="s">
        <v>634</v>
      </c>
      <c r="D327" s="1369"/>
      <c r="E327" s="1347">
        <v>20.631094316676439</v>
      </c>
      <c r="F327" s="1347">
        <v>308.38056768084783</v>
      </c>
      <c r="G327" s="1347">
        <v>73.837600712315677</v>
      </c>
      <c r="H327" s="1348">
        <v>402.84926270983993</v>
      </c>
      <c r="I327" s="1347">
        <v>305.12302647295155</v>
      </c>
      <c r="J327" s="1347">
        <v>52.652724390296868</v>
      </c>
      <c r="K327" s="1348">
        <v>760.62501357308838</v>
      </c>
      <c r="L327" s="1349">
        <f t="shared" si="76"/>
        <v>760.62501357308827</v>
      </c>
      <c r="M327" s="1350"/>
      <c r="N327" s="591" t="s">
        <v>429</v>
      </c>
      <c r="O327" s="396"/>
      <c r="P327" s="396"/>
      <c r="Q327" s="396"/>
      <c r="R327" s="396"/>
      <c r="S327" s="398"/>
      <c r="T327" t="s">
        <v>1349</v>
      </c>
    </row>
    <row r="328" spans="1:20" ht="16.5" thickBot="1" x14ac:dyDescent="0.3">
      <c r="A328" s="1362"/>
      <c r="B328" s="1622"/>
      <c r="C328" s="1382" t="s">
        <v>635</v>
      </c>
      <c r="D328" s="1356"/>
      <c r="E328" s="1347">
        <v>6.667101005494386</v>
      </c>
      <c r="F328" s="1347">
        <v>286.66362629487264</v>
      </c>
      <c r="G328" s="1347">
        <v>82.524377266705756</v>
      </c>
      <c r="H328" s="1348">
        <v>375.85510456707277</v>
      </c>
      <c r="I328" s="1347">
        <v>488.41401177058225</v>
      </c>
      <c r="J328" s="1347">
        <v>69.407344669576744</v>
      </c>
      <c r="K328" s="1348">
        <v>933.67646100723186</v>
      </c>
      <c r="L328" s="1349">
        <f t="shared" si="76"/>
        <v>933.67646100723186</v>
      </c>
      <c r="M328" s="1350"/>
      <c r="N328" s="591" t="s">
        <v>429</v>
      </c>
      <c r="O328" s="396"/>
      <c r="P328" s="396"/>
      <c r="Q328" s="396"/>
      <c r="R328" s="396"/>
      <c r="S328" s="398"/>
      <c r="T328" t="s">
        <v>1349</v>
      </c>
    </row>
    <row r="329" spans="1:20" ht="15.75" x14ac:dyDescent="0.25">
      <c r="A329" s="1371" t="s">
        <v>35</v>
      </c>
      <c r="B329" s="1622"/>
      <c r="C329" s="1386" t="s">
        <v>712</v>
      </c>
      <c r="D329" s="1366">
        <v>25600</v>
      </c>
      <c r="E329" s="1347">
        <v>86.324842009251412</v>
      </c>
      <c r="F329" s="1347">
        <v>81.351662431863105</v>
      </c>
      <c r="G329" s="1347">
        <v>65.074814863074693</v>
      </c>
      <c r="H329" s="1348">
        <v>232.7513193041892</v>
      </c>
      <c r="I329" s="1347">
        <v>87.595283080330972</v>
      </c>
      <c r="J329" s="1347">
        <v>65.541729102873148</v>
      </c>
      <c r="K329" s="1348">
        <v>385.88833148739332</v>
      </c>
      <c r="L329" s="1349">
        <f t="shared" si="76"/>
        <v>385.88833148739332</v>
      </c>
      <c r="M329" s="1350"/>
      <c r="N329" s="398"/>
      <c r="O329" s="591" t="s">
        <v>429</v>
      </c>
      <c r="P329" s="591" t="s">
        <v>429</v>
      </c>
      <c r="Q329" s="591" t="s">
        <v>429</v>
      </c>
      <c r="R329" s="591" t="s">
        <v>429</v>
      </c>
      <c r="S329" s="398"/>
      <c r="T329" s="397"/>
    </row>
    <row r="330" spans="1:20" ht="15.75" x14ac:dyDescent="0.25">
      <c r="A330" s="1351"/>
      <c r="B330" s="1622"/>
      <c r="C330" s="1387" t="s">
        <v>713</v>
      </c>
      <c r="D330" s="1369"/>
      <c r="E330" s="1347">
        <v>55.378200534236761</v>
      </c>
      <c r="F330" s="1347">
        <v>184.5940017807892</v>
      </c>
      <c r="G330" s="1347">
        <v>0</v>
      </c>
      <c r="H330" s="1348">
        <v>239.97220231502595</v>
      </c>
      <c r="I330" s="1347">
        <v>114.55686581101918</v>
      </c>
      <c r="J330" s="1347">
        <v>63.087714726257957</v>
      </c>
      <c r="K330" s="1348">
        <v>417.61678285230306</v>
      </c>
      <c r="L330" s="1349">
        <f t="shared" si="76"/>
        <v>417.61678285230306</v>
      </c>
      <c r="M330" s="1350"/>
      <c r="N330" s="398"/>
      <c r="O330" s="591" t="s">
        <v>429</v>
      </c>
      <c r="P330" s="591" t="s">
        <v>429</v>
      </c>
      <c r="Q330" s="591" t="s">
        <v>429</v>
      </c>
      <c r="R330" s="591" t="s">
        <v>429</v>
      </c>
      <c r="S330" s="398"/>
      <c r="T330" s="397"/>
    </row>
    <row r="331" spans="1:20" ht="15.75" x14ac:dyDescent="0.25">
      <c r="A331" s="1351"/>
      <c r="B331" s="1622"/>
      <c r="C331" s="1387" t="s">
        <v>714</v>
      </c>
      <c r="D331" s="1369"/>
      <c r="E331" s="1347">
        <v>52.989336981779488</v>
      </c>
      <c r="F331" s="1347">
        <v>108.58470692987599</v>
      </c>
      <c r="G331" s="1347">
        <v>86.867765543900802</v>
      </c>
      <c r="H331" s="1348">
        <v>248.44180945555627</v>
      </c>
      <c r="I331" s="1347">
        <v>128.12995417725367</v>
      </c>
      <c r="J331" s="1347">
        <v>75.748691554281507</v>
      </c>
      <c r="K331" s="1348">
        <v>452.32045518709145</v>
      </c>
      <c r="L331" s="1349">
        <f t="shared" si="76"/>
        <v>452.32045518709145</v>
      </c>
      <c r="M331" s="1350"/>
      <c r="N331" s="398"/>
      <c r="O331" s="591" t="s">
        <v>429</v>
      </c>
      <c r="P331" s="591" t="s">
        <v>429</v>
      </c>
      <c r="Q331" s="591" t="s">
        <v>429</v>
      </c>
      <c r="R331" s="591" t="s">
        <v>429</v>
      </c>
      <c r="S331" s="398"/>
      <c r="T331" s="397"/>
    </row>
    <row r="332" spans="1:20" ht="15.75" x14ac:dyDescent="0.25">
      <c r="A332" s="1351"/>
      <c r="B332" s="1622"/>
      <c r="C332" s="1387" t="s">
        <v>715</v>
      </c>
      <c r="D332" s="1369"/>
      <c r="E332" s="1347">
        <v>13.03016483158512</v>
      </c>
      <c r="F332" s="1347">
        <v>475.514148587313</v>
      </c>
      <c r="G332" s="1347">
        <v>0</v>
      </c>
      <c r="H332" s="1348">
        <v>488.54431341889813</v>
      </c>
      <c r="I332" s="1347">
        <v>356.63561144048475</v>
      </c>
      <c r="J332" s="1347">
        <v>146.83909918127131</v>
      </c>
      <c r="K332" s="1348">
        <v>992.01902404065424</v>
      </c>
      <c r="L332" s="1349">
        <f t="shared" si="76"/>
        <v>992.01902404065424</v>
      </c>
      <c r="M332" s="1350"/>
      <c r="N332" s="398"/>
      <c r="O332" s="591" t="s">
        <v>429</v>
      </c>
      <c r="P332" s="591" t="s">
        <v>429</v>
      </c>
      <c r="Q332" s="591" t="s">
        <v>429</v>
      </c>
      <c r="R332" s="591" t="s">
        <v>429</v>
      </c>
      <c r="S332" s="398"/>
      <c r="T332" s="397"/>
    </row>
    <row r="333" spans="1:20" ht="16.5" thickBot="1" x14ac:dyDescent="0.3">
      <c r="A333" s="1374"/>
      <c r="B333" s="1622"/>
      <c r="C333" s="1388" t="s">
        <v>716</v>
      </c>
      <c r="D333" s="1356"/>
      <c r="E333" s="1347">
        <v>26.06032966317024</v>
      </c>
      <c r="F333" s="1347">
        <v>143.98332138901557</v>
      </c>
      <c r="G333" s="1347">
        <v>0</v>
      </c>
      <c r="H333" s="1348">
        <v>170.04365105218582</v>
      </c>
      <c r="I333" s="1347">
        <v>130.3885160813951</v>
      </c>
      <c r="J333" s="1347">
        <v>53.184789454253263</v>
      </c>
      <c r="K333" s="1348">
        <v>353.61695658783412</v>
      </c>
      <c r="L333" s="1349">
        <f t="shared" si="76"/>
        <v>353.61695658783424</v>
      </c>
      <c r="M333" s="1350"/>
      <c r="N333" s="398"/>
      <c r="O333" s="591" t="s">
        <v>429</v>
      </c>
      <c r="P333" s="591" t="s">
        <v>429</v>
      </c>
      <c r="Q333" s="591" t="s">
        <v>429</v>
      </c>
      <c r="R333" s="591" t="s">
        <v>429</v>
      </c>
      <c r="S333" s="398"/>
      <c r="T333" s="397"/>
    </row>
    <row r="334" spans="1:20" ht="15.75" x14ac:dyDescent="0.25">
      <c r="A334" s="1357" t="s">
        <v>45</v>
      </c>
      <c r="B334" s="1622"/>
      <c r="C334" s="1384" t="s">
        <v>102</v>
      </c>
      <c r="D334" s="1366">
        <v>26000</v>
      </c>
      <c r="E334" s="1347">
        <v>5.8529268955314864</v>
      </c>
      <c r="F334" s="1347">
        <v>118.71112903407392</v>
      </c>
      <c r="G334" s="1347">
        <v>0</v>
      </c>
      <c r="H334" s="1348">
        <v>124.5640559296054</v>
      </c>
      <c r="I334" s="1347">
        <v>206.73226374651981</v>
      </c>
      <c r="J334" s="1347">
        <v>91.030227716383834</v>
      </c>
      <c r="K334" s="1348">
        <v>422.32654739250904</v>
      </c>
      <c r="L334" s="1349">
        <f t="shared" si="76"/>
        <v>422.32654739250904</v>
      </c>
      <c r="M334" s="1350"/>
      <c r="N334" s="398"/>
      <c r="O334" s="398"/>
      <c r="P334" s="398"/>
      <c r="Q334" s="591" t="s">
        <v>429</v>
      </c>
      <c r="R334" s="398"/>
      <c r="S334" s="398"/>
      <c r="T334" s="397"/>
    </row>
    <row r="335" spans="1:20" ht="15.75" x14ac:dyDescent="0.25">
      <c r="A335" s="1360"/>
      <c r="B335" s="1622"/>
      <c r="C335" s="1382" t="s">
        <v>103</v>
      </c>
      <c r="D335" s="1369"/>
      <c r="E335" s="1347">
        <v>4.2382076519995646</v>
      </c>
      <c r="F335" s="1347">
        <v>168.63315255478366</v>
      </c>
      <c r="G335" s="1347">
        <v>0</v>
      </c>
      <c r="H335" s="1348">
        <v>172.87136020678324</v>
      </c>
      <c r="I335" s="1347">
        <v>141.24489758187016</v>
      </c>
      <c r="J335" s="1347">
        <v>84.812353614425078</v>
      </c>
      <c r="K335" s="1348">
        <v>398.92861140307849</v>
      </c>
      <c r="L335" s="1349">
        <f t="shared" si="76"/>
        <v>398.92861140307849</v>
      </c>
      <c r="M335" s="1350"/>
      <c r="N335" s="398"/>
      <c r="O335" s="398"/>
      <c r="P335" s="398"/>
      <c r="Q335" s="591" t="s">
        <v>429</v>
      </c>
      <c r="R335" s="398"/>
      <c r="S335" s="398"/>
      <c r="T335" s="397"/>
    </row>
    <row r="336" spans="1:20" ht="15.75" x14ac:dyDescent="0.25">
      <c r="A336" s="1360"/>
      <c r="B336" s="1622"/>
      <c r="C336" s="1382" t="s">
        <v>104</v>
      </c>
      <c r="D336" s="1369"/>
      <c r="E336" s="1347">
        <v>0</v>
      </c>
      <c r="F336" s="1347">
        <v>171.53895861350634</v>
      </c>
      <c r="G336" s="1347">
        <v>0</v>
      </c>
      <c r="H336" s="1348">
        <v>171.53895861350634</v>
      </c>
      <c r="I336" s="1347">
        <v>131.93874381797508</v>
      </c>
      <c r="J336" s="1347">
        <v>81.937533639266974</v>
      </c>
      <c r="K336" s="1348">
        <v>385.41523607074839</v>
      </c>
      <c r="L336" s="1349">
        <f t="shared" si="76"/>
        <v>385.41523607074839</v>
      </c>
      <c r="M336" s="1350"/>
      <c r="N336" s="398"/>
      <c r="O336" s="398"/>
      <c r="P336" s="398"/>
      <c r="Q336" s="398"/>
      <c r="R336" s="398"/>
      <c r="S336" s="398"/>
      <c r="T336" s="397"/>
    </row>
    <row r="337" spans="1:20" ht="15.75" x14ac:dyDescent="0.25">
      <c r="A337" s="1360"/>
      <c r="B337" s="1622"/>
      <c r="C337" s="1382" t="s">
        <v>105</v>
      </c>
      <c r="D337" s="1369"/>
      <c r="E337" s="1347">
        <v>0</v>
      </c>
      <c r="F337" s="1347">
        <v>234.11707582125948</v>
      </c>
      <c r="G337" s="1347">
        <v>0</v>
      </c>
      <c r="H337" s="1348">
        <v>234.11707582125948</v>
      </c>
      <c r="I337" s="1347">
        <v>170.76774942256574</v>
      </c>
      <c r="J337" s="1347">
        <v>109.3189028158328</v>
      </c>
      <c r="K337" s="1348">
        <v>514.20372805965803</v>
      </c>
      <c r="L337" s="1349">
        <f t="shared" si="76"/>
        <v>514.20372805965803</v>
      </c>
      <c r="M337" s="1350"/>
      <c r="N337" s="398"/>
      <c r="O337" s="398"/>
      <c r="P337" s="398"/>
      <c r="Q337" s="398"/>
      <c r="R337" s="398"/>
      <c r="S337" s="398"/>
      <c r="T337" s="397"/>
    </row>
    <row r="338" spans="1:20" ht="16.5" thickBot="1" x14ac:dyDescent="0.3">
      <c r="A338" s="1362"/>
      <c r="B338" s="1622"/>
      <c r="C338" s="1383" t="s">
        <v>613</v>
      </c>
      <c r="D338" s="1356"/>
      <c r="E338" s="1347">
        <v>0</v>
      </c>
      <c r="F338" s="1347">
        <v>149.97264445255973</v>
      </c>
      <c r="G338" s="1347">
        <v>0</v>
      </c>
      <c r="H338" s="1348">
        <v>149.97264445255973</v>
      </c>
      <c r="I338" s="1347">
        <v>95.437137378901653</v>
      </c>
      <c r="J338" s="1347">
        <v>66.262018253764111</v>
      </c>
      <c r="K338" s="1348">
        <v>311.67180008522547</v>
      </c>
      <c r="L338" s="1349">
        <f t="shared" si="76"/>
        <v>311.67180008522547</v>
      </c>
      <c r="M338" s="1350"/>
      <c r="N338" s="398"/>
      <c r="O338" s="398"/>
      <c r="P338" s="398"/>
      <c r="Q338" s="398"/>
      <c r="R338" s="398"/>
      <c r="S338" s="398"/>
      <c r="T338" s="397"/>
    </row>
    <row r="339" spans="1:20" ht="15.75" x14ac:dyDescent="0.25">
      <c r="A339" s="1357" t="s">
        <v>18</v>
      </c>
      <c r="B339" s="1622"/>
      <c r="C339" s="1384" t="s">
        <v>112</v>
      </c>
      <c r="D339" s="1366">
        <v>38200</v>
      </c>
      <c r="E339" s="1347">
        <v>62.341061463798042</v>
      </c>
      <c r="F339" s="1347">
        <v>96.154853201762108</v>
      </c>
      <c r="G339" s="1347">
        <v>0</v>
      </c>
      <c r="H339" s="1348">
        <v>158.49591466556015</v>
      </c>
      <c r="I339" s="1347">
        <v>120.49280359722886</v>
      </c>
      <c r="J339" s="1347">
        <v>22.243290730283142</v>
      </c>
      <c r="K339" s="1348">
        <v>301.23200899307216</v>
      </c>
      <c r="L339" s="1349">
        <f t="shared" ref="L339:L402" si="77">H339+I339+J339</f>
        <v>301.23200899307216</v>
      </c>
      <c r="M339" s="1354"/>
      <c r="N339" s="591" t="s">
        <v>429</v>
      </c>
      <c r="O339" s="398"/>
      <c r="P339" s="591" t="s">
        <v>429</v>
      </c>
      <c r="Q339" s="398"/>
      <c r="R339" s="398"/>
      <c r="S339" s="398"/>
      <c r="T339" s="397"/>
    </row>
    <row r="340" spans="1:20" ht="15.75" x14ac:dyDescent="0.25">
      <c r="A340" s="1360"/>
      <c r="B340" s="1622"/>
      <c r="C340" s="1382" t="s">
        <v>113</v>
      </c>
      <c r="D340" s="1369"/>
      <c r="E340" s="1347">
        <v>84.783843590765343</v>
      </c>
      <c r="F340" s="1347">
        <v>74.47678809541739</v>
      </c>
      <c r="G340" s="1347">
        <v>0</v>
      </c>
      <c r="H340" s="1348">
        <v>159.26063168618273</v>
      </c>
      <c r="I340" s="1347">
        <v>95.423384747253536</v>
      </c>
      <c r="J340" s="1347">
        <v>20.314873895669656</v>
      </c>
      <c r="K340" s="1348">
        <v>274.99889032910596</v>
      </c>
      <c r="L340" s="1349">
        <f t="shared" si="77"/>
        <v>274.99889032910596</v>
      </c>
      <c r="M340" s="1354"/>
      <c r="N340" s="591" t="s">
        <v>429</v>
      </c>
      <c r="O340" s="398"/>
      <c r="P340" s="591" t="s">
        <v>429</v>
      </c>
      <c r="Q340" s="398"/>
      <c r="R340" s="398"/>
      <c r="S340" s="398"/>
      <c r="T340" s="397"/>
    </row>
    <row r="341" spans="1:20" ht="15.75" x14ac:dyDescent="0.25">
      <c r="A341" s="1360"/>
      <c r="B341" s="1622"/>
      <c r="C341" s="1382" t="s">
        <v>114</v>
      </c>
      <c r="D341" s="1369"/>
      <c r="E341" s="1347">
        <v>80.794015657082269</v>
      </c>
      <c r="F341" s="1347">
        <v>85.781300574186105</v>
      </c>
      <c r="G341" s="1347">
        <v>0</v>
      </c>
      <c r="H341" s="1348">
        <v>166.57531623126837</v>
      </c>
      <c r="I341" s="1347">
        <v>151.11473298824646</v>
      </c>
      <c r="J341" s="1347">
        <v>25.385280228058562</v>
      </c>
      <c r="K341" s="1348">
        <v>343.07532944757338</v>
      </c>
      <c r="L341" s="1349">
        <f t="shared" si="77"/>
        <v>343.07532944757338</v>
      </c>
      <c r="M341" s="1354"/>
      <c r="N341" s="591" t="s">
        <v>429</v>
      </c>
      <c r="O341" s="398"/>
      <c r="P341" s="591" t="s">
        <v>429</v>
      </c>
      <c r="Q341" s="398"/>
      <c r="R341" s="398"/>
      <c r="S341" s="398"/>
      <c r="T341" s="397"/>
    </row>
    <row r="342" spans="1:20" ht="15.75" x14ac:dyDescent="0.25">
      <c r="A342" s="1360"/>
      <c r="B342" s="1622"/>
      <c r="C342" s="1382" t="s">
        <v>115</v>
      </c>
      <c r="D342" s="1369"/>
      <c r="E342" s="1347">
        <v>84.783843590765343</v>
      </c>
      <c r="F342" s="1347">
        <v>109.72026817628456</v>
      </c>
      <c r="G342" s="1347">
        <v>0</v>
      </c>
      <c r="H342" s="1348">
        <v>194.50411176704989</v>
      </c>
      <c r="I342" s="1347">
        <v>179.74174841242251</v>
      </c>
      <c r="J342" s="1347">
        <v>29.923709502623062</v>
      </c>
      <c r="K342" s="1348">
        <v>404.16956968209547</v>
      </c>
      <c r="L342" s="1349">
        <f t="shared" si="77"/>
        <v>404.16956968209547</v>
      </c>
      <c r="M342" s="1354"/>
      <c r="N342" s="591" t="s">
        <v>429</v>
      </c>
      <c r="O342" s="398"/>
      <c r="P342" s="591" t="s">
        <v>429</v>
      </c>
      <c r="Q342" s="398"/>
      <c r="R342" s="398"/>
      <c r="S342" s="398"/>
      <c r="T342" s="397"/>
    </row>
    <row r="343" spans="1:20" ht="15.75" x14ac:dyDescent="0.25">
      <c r="A343" s="1360"/>
      <c r="B343" s="1622"/>
      <c r="C343" s="1382" t="s">
        <v>116</v>
      </c>
      <c r="D343" s="1369"/>
      <c r="E343" s="1347">
        <v>131.66432181154147</v>
      </c>
      <c r="F343" s="1347">
        <v>139.64397767890762</v>
      </c>
      <c r="G343" s="1347">
        <v>0</v>
      </c>
      <c r="H343" s="1348">
        <v>271.30829949044909</v>
      </c>
      <c r="I343" s="1347">
        <v>106.62815152768017</v>
      </c>
      <c r="J343" s="1347">
        <v>30.123200899307214</v>
      </c>
      <c r="K343" s="1348">
        <v>408.0596519174365</v>
      </c>
      <c r="L343" s="1349">
        <f t="shared" si="77"/>
        <v>408.0596519174365</v>
      </c>
      <c r="M343" s="1354"/>
      <c r="N343" s="591" t="s">
        <v>429</v>
      </c>
      <c r="O343" s="398"/>
      <c r="P343" s="591" t="s">
        <v>429</v>
      </c>
      <c r="Q343" s="398"/>
      <c r="R343" s="398"/>
      <c r="S343" s="398"/>
      <c r="T343" s="397"/>
    </row>
    <row r="344" spans="1:20" ht="15.75" x14ac:dyDescent="0.25">
      <c r="A344" s="1360"/>
      <c r="B344" s="1622"/>
      <c r="C344" s="1382" t="s">
        <v>117</v>
      </c>
      <c r="D344" s="1369"/>
      <c r="E344" s="1347">
        <v>124.68212292759608</v>
      </c>
      <c r="F344" s="1347">
        <v>201.58605634933735</v>
      </c>
      <c r="G344" s="1347">
        <v>0</v>
      </c>
      <c r="H344" s="1348">
        <v>326.26817927693344</v>
      </c>
      <c r="I344" s="1347">
        <v>138.54677499714478</v>
      </c>
      <c r="J344" s="1347">
        <v>37.105399783252594</v>
      </c>
      <c r="K344" s="1348">
        <v>501.92035405733083</v>
      </c>
      <c r="L344" s="1349">
        <f t="shared" si="77"/>
        <v>501.92035405733083</v>
      </c>
      <c r="M344" s="1354"/>
      <c r="N344" s="591" t="s">
        <v>429</v>
      </c>
      <c r="O344" s="398"/>
      <c r="P344" s="591" t="s">
        <v>429</v>
      </c>
      <c r="Q344" s="398"/>
      <c r="R344" s="398"/>
      <c r="S344" s="398"/>
      <c r="T344" s="397"/>
    </row>
    <row r="345" spans="1:20" ht="15.75" x14ac:dyDescent="0.25">
      <c r="A345" s="1360"/>
      <c r="B345" s="1622"/>
      <c r="C345" s="1382" t="s">
        <v>118</v>
      </c>
      <c r="D345" s="1369"/>
      <c r="E345" s="1347">
        <v>116.70246706022994</v>
      </c>
      <c r="F345" s="1347">
        <v>96.088356069534058</v>
      </c>
      <c r="G345" s="1347">
        <v>0</v>
      </c>
      <c r="H345" s="1348">
        <v>212.79082312976399</v>
      </c>
      <c r="I345" s="1347">
        <v>150.94849015767633</v>
      </c>
      <c r="J345" s="1347">
        <v>29.059246783658395</v>
      </c>
      <c r="K345" s="1348">
        <v>392.79856007109873</v>
      </c>
      <c r="L345" s="1349">
        <f t="shared" si="77"/>
        <v>392.79856007109873</v>
      </c>
      <c r="M345" s="1354"/>
      <c r="N345" s="591" t="s">
        <v>429</v>
      </c>
      <c r="O345" s="398"/>
      <c r="P345" s="591" t="s">
        <v>429</v>
      </c>
      <c r="Q345" s="398"/>
      <c r="R345" s="398"/>
      <c r="S345" s="398"/>
      <c r="T345" s="397"/>
    </row>
    <row r="346" spans="1:20" ht="16.5" thickBot="1" x14ac:dyDescent="0.3">
      <c r="A346" s="1362"/>
      <c r="B346" s="1622"/>
      <c r="C346" s="1383" t="s">
        <v>119</v>
      </c>
      <c r="D346" s="1356"/>
      <c r="E346" s="1347">
        <v>78.799101690240732</v>
      </c>
      <c r="F346" s="1347">
        <v>113.64359897773959</v>
      </c>
      <c r="G346" s="1347">
        <v>0</v>
      </c>
      <c r="H346" s="1348">
        <v>192.44270066798032</v>
      </c>
      <c r="I346" s="1347">
        <v>145.29623391829196</v>
      </c>
      <c r="J346" s="1347">
        <v>26.964587118474782</v>
      </c>
      <c r="K346" s="1348">
        <v>364.70352170474712</v>
      </c>
      <c r="L346" s="1349">
        <f t="shared" si="77"/>
        <v>364.70352170474712</v>
      </c>
      <c r="M346" s="1354"/>
      <c r="N346" s="591" t="s">
        <v>429</v>
      </c>
      <c r="O346" s="398"/>
      <c r="P346" s="591" t="s">
        <v>429</v>
      </c>
      <c r="Q346" s="398"/>
      <c r="R346" s="398"/>
      <c r="S346" s="398"/>
      <c r="T346" s="397"/>
    </row>
    <row r="347" spans="1:20" ht="16.5" thickBot="1" x14ac:dyDescent="0.3">
      <c r="A347" s="1389" t="s">
        <v>742</v>
      </c>
      <c r="B347" s="1622"/>
      <c r="C347" s="1390" t="s">
        <v>743</v>
      </c>
      <c r="D347" s="1391">
        <v>3300</v>
      </c>
      <c r="E347" s="1347">
        <v>5.8330000421920332</v>
      </c>
      <c r="F347" s="1347">
        <v>44.749609723688842</v>
      </c>
      <c r="G347" s="1347">
        <v>0</v>
      </c>
      <c r="H347" s="1348">
        <v>50.582609765880875</v>
      </c>
      <c r="I347" s="1347">
        <v>33.56220729276663</v>
      </c>
      <c r="J347" s="1347">
        <v>0</v>
      </c>
      <c r="K347" s="1348">
        <v>84.144817058647504</v>
      </c>
      <c r="L347" s="1349">
        <f t="shared" si="77"/>
        <v>84.144817058647504</v>
      </c>
      <c r="M347" s="1354"/>
      <c r="N347" s="591" t="s">
        <v>429</v>
      </c>
      <c r="O347" s="398"/>
      <c r="P347" s="591" t="s">
        <v>429</v>
      </c>
      <c r="Q347" s="591" t="s">
        <v>429</v>
      </c>
      <c r="R347" s="398"/>
      <c r="S347" s="614" t="s">
        <v>745</v>
      </c>
      <c r="T347" s="397"/>
    </row>
    <row r="348" spans="1:20" ht="16.5" thickBot="1" x14ac:dyDescent="0.3">
      <c r="A348" s="1392" t="s">
        <v>586</v>
      </c>
      <c r="B348" s="1624"/>
      <c r="C348" s="1393" t="s">
        <v>587</v>
      </c>
      <c r="D348" s="1394">
        <v>88700</v>
      </c>
      <c r="E348" s="1347">
        <v>0</v>
      </c>
      <c r="F348" s="1347">
        <v>1403.2182520011579</v>
      </c>
      <c r="G348" s="1347">
        <v>0</v>
      </c>
      <c r="H348" s="1348">
        <v>1403.2182520011579</v>
      </c>
      <c r="I348" s="1347">
        <v>0</v>
      </c>
      <c r="J348" s="1347">
        <v>0</v>
      </c>
      <c r="K348" s="1348">
        <v>1403.2182520011579</v>
      </c>
      <c r="L348" s="1349">
        <f t="shared" si="77"/>
        <v>1403.2182520011579</v>
      </c>
      <c r="M348" s="1350"/>
      <c r="N348" s="396"/>
      <c r="O348" s="398"/>
      <c r="P348" s="591" t="s">
        <v>429</v>
      </c>
      <c r="Q348" s="398"/>
      <c r="R348" s="398"/>
      <c r="S348" s="398"/>
      <c r="T348" s="397"/>
    </row>
    <row r="349" spans="1:20" s="1402" customFormat="1" ht="16.5" thickBot="1" x14ac:dyDescent="0.3">
      <c r="A349" s="1395" t="s">
        <v>774</v>
      </c>
      <c r="B349" s="1624"/>
      <c r="C349" s="1396" t="s">
        <v>775</v>
      </c>
      <c r="D349" s="1397">
        <v>34700</v>
      </c>
      <c r="E349" s="1347">
        <v>64.064977088626833</v>
      </c>
      <c r="F349" s="1347">
        <v>713.77071253284691</v>
      </c>
      <c r="G349" s="1347">
        <v>0</v>
      </c>
      <c r="H349" s="1348">
        <v>777.83568962147376</v>
      </c>
      <c r="I349" s="1347">
        <v>0</v>
      </c>
      <c r="J349" s="1347">
        <v>0</v>
      </c>
      <c r="K349" s="1348">
        <v>777.83568962147376</v>
      </c>
      <c r="L349" s="1349">
        <f t="shared" si="77"/>
        <v>777.83568962147376</v>
      </c>
      <c r="M349" s="1398"/>
      <c r="N349" s="1399"/>
      <c r="O349" s="1399"/>
      <c r="P349" s="1400" t="s">
        <v>429</v>
      </c>
      <c r="Q349" s="1400" t="s">
        <v>429</v>
      </c>
      <c r="R349" s="1399"/>
      <c r="S349" s="1399"/>
      <c r="T349" s="1401"/>
    </row>
    <row r="350" spans="1:20" ht="16.5" thickBot="1" x14ac:dyDescent="0.3">
      <c r="A350" s="1395" t="s">
        <v>37</v>
      </c>
      <c r="B350" s="1624"/>
      <c r="C350" s="1403" t="s">
        <v>37</v>
      </c>
      <c r="D350" s="1404">
        <v>19500</v>
      </c>
      <c r="E350" s="1347">
        <v>18.410098329450939</v>
      </c>
      <c r="F350" s="1347">
        <v>20.418472692663769</v>
      </c>
      <c r="G350" s="1347">
        <v>0</v>
      </c>
      <c r="H350" s="1348">
        <v>38.828571022114708</v>
      </c>
      <c r="I350" s="1347">
        <v>46.234869897787689</v>
      </c>
      <c r="J350" s="1347">
        <v>0</v>
      </c>
      <c r="K350" s="1348">
        <v>85.063440919902405</v>
      </c>
      <c r="L350" s="1349">
        <f t="shared" si="77"/>
        <v>85.063440919902405</v>
      </c>
      <c r="M350" s="1350"/>
      <c r="N350" s="398"/>
      <c r="O350" s="398"/>
      <c r="P350" s="591" t="s">
        <v>429</v>
      </c>
      <c r="Q350" s="398"/>
      <c r="R350" s="398"/>
      <c r="S350" s="398"/>
      <c r="T350" s="397"/>
    </row>
    <row r="351" spans="1:20" ht="15.75" x14ac:dyDescent="0.25">
      <c r="A351" s="1371" t="s">
        <v>38</v>
      </c>
      <c r="B351" s="1424"/>
      <c r="C351" s="1405" t="s">
        <v>620</v>
      </c>
      <c r="D351" s="1406">
        <v>18500</v>
      </c>
      <c r="E351" s="1347">
        <v>0.12736471406911157</v>
      </c>
      <c r="F351" s="1347">
        <v>0.97260327107321554</v>
      </c>
      <c r="G351" s="1347">
        <v>0</v>
      </c>
      <c r="H351" s="1348">
        <v>1.0999679851423272</v>
      </c>
      <c r="I351" s="1347">
        <v>0.34735831109757698</v>
      </c>
      <c r="J351" s="1347">
        <v>6.7155940145531542E-2</v>
      </c>
      <c r="K351" s="1348">
        <v>1.5144822363854356</v>
      </c>
      <c r="L351" s="1349">
        <f t="shared" si="77"/>
        <v>1.5144822363854356</v>
      </c>
      <c r="M351" s="1367" t="s">
        <v>429</v>
      </c>
      <c r="N351" s="614"/>
      <c r="O351" s="614"/>
      <c r="P351" s="591" t="s">
        <v>429</v>
      </c>
      <c r="Q351" s="591" t="s">
        <v>429</v>
      </c>
      <c r="R351" s="398"/>
      <c r="S351" s="398"/>
      <c r="T351" s="397"/>
    </row>
    <row r="352" spans="1:20" ht="15.75" x14ac:dyDescent="0.25">
      <c r="A352" s="1407"/>
      <c r="B352" s="1424"/>
      <c r="C352" s="1408" t="s">
        <v>621</v>
      </c>
      <c r="D352" s="1369"/>
      <c r="E352" s="1347">
        <v>0</v>
      </c>
      <c r="F352" s="1347">
        <v>0.99576049181305393</v>
      </c>
      <c r="G352" s="1347">
        <v>0</v>
      </c>
      <c r="H352" s="1348">
        <v>0.99576049181305393</v>
      </c>
      <c r="I352" s="1347">
        <v>4.6314441479676935E-2</v>
      </c>
      <c r="J352" s="1347">
        <v>6.7155940145531542E-2</v>
      </c>
      <c r="K352" s="1348">
        <v>1.1092308734382623</v>
      </c>
      <c r="L352" s="1349">
        <f t="shared" si="77"/>
        <v>1.1092308734382623</v>
      </c>
      <c r="M352" s="1367" t="s">
        <v>429</v>
      </c>
      <c r="N352" s="614"/>
      <c r="O352" s="614"/>
      <c r="P352" s="591" t="s">
        <v>429</v>
      </c>
      <c r="Q352" s="591"/>
      <c r="R352" s="398"/>
      <c r="S352" s="398"/>
      <c r="T352" s="397"/>
    </row>
    <row r="353" spans="1:20" ht="15.75" x14ac:dyDescent="0.25">
      <c r="A353" s="1407"/>
      <c r="B353" s="1424"/>
      <c r="C353" s="1408" t="s">
        <v>622</v>
      </c>
      <c r="D353" s="1369"/>
      <c r="E353" s="1347">
        <v>0.37051553183741548</v>
      </c>
      <c r="F353" s="1347">
        <v>2.1188856976952195</v>
      </c>
      <c r="G353" s="1347">
        <v>0</v>
      </c>
      <c r="H353" s="1348">
        <v>2.4894012295326351</v>
      </c>
      <c r="I353" s="1347">
        <v>0.27788664887806158</v>
      </c>
      <c r="J353" s="1347">
        <v>6.7155940145531542E-2</v>
      </c>
      <c r="K353" s="1348">
        <v>2.8344438185562284</v>
      </c>
      <c r="L353" s="1349">
        <f t="shared" si="77"/>
        <v>2.8344438185562284</v>
      </c>
      <c r="M353" s="1367" t="s">
        <v>429</v>
      </c>
      <c r="N353" s="614"/>
      <c r="O353" s="614"/>
      <c r="P353" s="591" t="s">
        <v>429</v>
      </c>
      <c r="Q353" s="591" t="s">
        <v>429</v>
      </c>
      <c r="R353" s="396"/>
      <c r="S353" s="398"/>
      <c r="T353" s="397"/>
    </row>
    <row r="354" spans="1:20" ht="15.75" x14ac:dyDescent="0.25">
      <c r="A354" s="1407"/>
      <c r="B354" s="1424"/>
      <c r="C354" s="1408" t="s">
        <v>623</v>
      </c>
      <c r="D354" s="1369"/>
      <c r="E354" s="1347">
        <v>0.21999359702846541</v>
      </c>
      <c r="F354" s="1347">
        <v>1.0304963229228117</v>
      </c>
      <c r="G354" s="1347">
        <v>0</v>
      </c>
      <c r="H354" s="1348">
        <v>1.2504899199512771</v>
      </c>
      <c r="I354" s="1347">
        <v>0.26630803850814233</v>
      </c>
      <c r="J354" s="1347">
        <v>6.7155940145531542E-2</v>
      </c>
      <c r="K354" s="1348">
        <v>1.5839538986049508</v>
      </c>
      <c r="L354" s="1349">
        <f t="shared" si="77"/>
        <v>1.5839538986049508</v>
      </c>
      <c r="M354" s="1367" t="s">
        <v>429</v>
      </c>
      <c r="N354" s="614"/>
      <c r="O354" s="614"/>
      <c r="P354" s="591" t="s">
        <v>429</v>
      </c>
      <c r="Q354" s="591" t="s">
        <v>429</v>
      </c>
      <c r="R354" s="396"/>
      <c r="S354" s="398"/>
      <c r="T354" s="397"/>
    </row>
    <row r="355" spans="1:20" ht="16.5" thickBot="1" x14ac:dyDescent="0.3">
      <c r="A355" s="1409"/>
      <c r="B355" s="1424"/>
      <c r="C355" s="1408" t="s">
        <v>624</v>
      </c>
      <c r="D355" s="1356"/>
      <c r="E355" s="1347">
        <v>0.27788664887806158</v>
      </c>
      <c r="F355" s="1347">
        <v>1.2620685303211963</v>
      </c>
      <c r="G355" s="1347">
        <v>0</v>
      </c>
      <c r="H355" s="1348">
        <v>1.5399551791992578</v>
      </c>
      <c r="I355" s="1347">
        <v>0.39367275257725387</v>
      </c>
      <c r="J355" s="1347">
        <v>6.7155940145531542E-2</v>
      </c>
      <c r="K355" s="1348">
        <v>2.0007838719220432</v>
      </c>
      <c r="L355" s="1349">
        <f t="shared" si="77"/>
        <v>2.0007838719220432</v>
      </c>
      <c r="M355" s="1367" t="s">
        <v>429</v>
      </c>
      <c r="N355" s="614"/>
      <c r="O355" s="614"/>
      <c r="P355" s="591" t="s">
        <v>429</v>
      </c>
      <c r="Q355" s="591" t="s">
        <v>429</v>
      </c>
      <c r="R355" s="396"/>
      <c r="S355" s="398"/>
      <c r="T355" s="397"/>
    </row>
    <row r="356" spans="1:20" ht="15.75" x14ac:dyDescent="0.25">
      <c r="A356" s="1371" t="s">
        <v>20</v>
      </c>
      <c r="B356" s="1424"/>
      <c r="C356" s="1410" t="s">
        <v>182</v>
      </c>
      <c r="D356" s="1406">
        <v>49300</v>
      </c>
      <c r="E356" s="1347">
        <v>45.76845397094273</v>
      </c>
      <c r="F356" s="1347">
        <v>269.29007318609246</v>
      </c>
      <c r="G356" s="1347">
        <v>0</v>
      </c>
      <c r="H356" s="1348">
        <v>315.0585271570352</v>
      </c>
      <c r="I356" s="1347">
        <v>413.273394575108</v>
      </c>
      <c r="J356" s="1347">
        <v>23.24798575368645</v>
      </c>
      <c r="K356" s="1348">
        <v>751.57990748582961</v>
      </c>
      <c r="L356" s="1349">
        <f t="shared" si="77"/>
        <v>751.57990748582961</v>
      </c>
      <c r="M356" s="1367" t="s">
        <v>429</v>
      </c>
      <c r="N356" s="591" t="s">
        <v>429</v>
      </c>
      <c r="O356" s="396"/>
      <c r="P356" s="396"/>
      <c r="Q356" s="591" t="s">
        <v>429</v>
      </c>
      <c r="R356" s="396"/>
      <c r="S356" s="712" t="s">
        <v>1350</v>
      </c>
      <c r="T356" s="397"/>
    </row>
    <row r="357" spans="1:20" ht="15.75" x14ac:dyDescent="0.25">
      <c r="A357" s="1407"/>
      <c r="B357" s="1424"/>
      <c r="C357" s="1411" t="s">
        <v>183</v>
      </c>
      <c r="D357" s="1369"/>
      <c r="E357" s="1347">
        <v>64.890220861293898</v>
      </c>
      <c r="F357" s="1347">
        <v>198.49284426781333</v>
      </c>
      <c r="G357" s="1347">
        <v>9.1754077355745203</v>
      </c>
      <c r="H357" s="1348">
        <v>272.55847286468173</v>
      </c>
      <c r="I357" s="1347">
        <v>659.7606793059266</v>
      </c>
      <c r="J357" s="1347">
        <v>20.142463135491997</v>
      </c>
      <c r="K357" s="1348">
        <v>952.46161530610038</v>
      </c>
      <c r="L357" s="1349">
        <f t="shared" si="77"/>
        <v>952.46161530610027</v>
      </c>
      <c r="M357" s="1367" t="s">
        <v>429</v>
      </c>
      <c r="N357" s="591" t="s">
        <v>429</v>
      </c>
      <c r="O357" s="396"/>
      <c r="P357" s="396"/>
      <c r="Q357" s="591" t="s">
        <v>429</v>
      </c>
      <c r="R357" s="396"/>
      <c r="S357" s="712" t="s">
        <v>1350</v>
      </c>
      <c r="T357" s="397"/>
    </row>
    <row r="358" spans="1:20" ht="15.75" x14ac:dyDescent="0.25">
      <c r="A358" s="1407"/>
      <c r="B358" s="1424"/>
      <c r="C358" s="1411" t="s">
        <v>184</v>
      </c>
      <c r="D358" s="1369"/>
      <c r="E358" s="1347">
        <v>66.432123699698138</v>
      </c>
      <c r="F358" s="1347">
        <v>230.19957869133711</v>
      </c>
      <c r="G358" s="1347">
        <v>20.30534019588681</v>
      </c>
      <c r="H358" s="1348">
        <v>316.93704258692202</v>
      </c>
      <c r="I358" s="1347">
        <v>493.62607770321631</v>
      </c>
      <c r="J358" s="1347">
        <v>22.140421743001717</v>
      </c>
      <c r="K358" s="1348">
        <v>832.70354203314002</v>
      </c>
      <c r="L358" s="1349">
        <f t="shared" si="77"/>
        <v>832.70354203314014</v>
      </c>
      <c r="M358" s="1412"/>
      <c r="N358" s="591" t="s">
        <v>429</v>
      </c>
      <c r="O358" s="396"/>
      <c r="P358" s="396"/>
      <c r="Q358" s="591" t="s">
        <v>429</v>
      </c>
      <c r="R358" s="396"/>
      <c r="S358" s="712" t="s">
        <v>1350</v>
      </c>
      <c r="T358" s="397"/>
    </row>
    <row r="359" spans="1:20" ht="15.75" x14ac:dyDescent="0.25">
      <c r="A359" s="1407"/>
      <c r="B359" s="1424"/>
      <c r="C359" s="1411" t="s">
        <v>185</v>
      </c>
      <c r="D359" s="1369"/>
      <c r="E359" s="1347">
        <v>48.863118118444199</v>
      </c>
      <c r="F359" s="1347">
        <v>147.67520142463135</v>
      </c>
      <c r="G359" s="1347">
        <v>0</v>
      </c>
      <c r="H359" s="1348">
        <v>196.53831954307554</v>
      </c>
      <c r="I359" s="1347">
        <v>502.31285425760632</v>
      </c>
      <c r="J359" s="1347">
        <v>16.135687449779574</v>
      </c>
      <c r="K359" s="1348">
        <v>714.9868612504614</v>
      </c>
      <c r="L359" s="1349">
        <f t="shared" si="77"/>
        <v>714.9868612504614</v>
      </c>
      <c r="M359" s="1412"/>
      <c r="N359" s="591" t="s">
        <v>429</v>
      </c>
      <c r="O359" s="396"/>
      <c r="P359" s="396"/>
      <c r="Q359" s="591" t="s">
        <v>429</v>
      </c>
      <c r="R359" s="396"/>
      <c r="S359" s="712" t="s">
        <v>1350</v>
      </c>
      <c r="T359" s="397"/>
    </row>
    <row r="360" spans="1:20" ht="16.5" thickBot="1" x14ac:dyDescent="0.3">
      <c r="A360" s="1407"/>
      <c r="B360" s="1424"/>
      <c r="C360" s="1355" t="s">
        <v>186</v>
      </c>
      <c r="D360" s="1356"/>
      <c r="E360" s="1347">
        <v>76.487067561404658</v>
      </c>
      <c r="F360" s="1347">
        <v>100.22368449627554</v>
      </c>
      <c r="G360" s="1347">
        <v>0</v>
      </c>
      <c r="H360" s="1348">
        <v>176.7107520576802</v>
      </c>
      <c r="I360" s="1347">
        <v>375.26874714965146</v>
      </c>
      <c r="J360" s="1347">
        <v>14.941255673550938</v>
      </c>
      <c r="K360" s="1348">
        <v>566.92075488088255</v>
      </c>
      <c r="L360" s="1349">
        <f t="shared" si="77"/>
        <v>566.92075488088255</v>
      </c>
      <c r="M360" s="1412"/>
      <c r="N360" s="591" t="s">
        <v>429</v>
      </c>
      <c r="O360" s="396"/>
      <c r="P360" s="396"/>
      <c r="Q360" s="591" t="s">
        <v>429</v>
      </c>
      <c r="R360" s="396"/>
      <c r="S360" s="712" t="s">
        <v>1350</v>
      </c>
      <c r="T360" s="397"/>
    </row>
    <row r="361" spans="1:20" ht="15.75" x14ac:dyDescent="0.25">
      <c r="A361" s="1357" t="s">
        <v>21</v>
      </c>
      <c r="B361" s="1622"/>
      <c r="C361" s="1413" t="s">
        <v>125</v>
      </c>
      <c r="D361" s="1406">
        <v>68400</v>
      </c>
      <c r="E361" s="1347">
        <v>277.53010620407883</v>
      </c>
      <c r="F361" s="1347">
        <v>0</v>
      </c>
      <c r="G361" s="1347">
        <v>0</v>
      </c>
      <c r="H361" s="1348">
        <v>277.53010620407883</v>
      </c>
      <c r="I361" s="1347">
        <v>360.93585995959501</v>
      </c>
      <c r="J361" s="1347">
        <v>159.58827579201605</v>
      </c>
      <c r="K361" s="1348">
        <v>798.0542419556898</v>
      </c>
      <c r="L361" s="1349">
        <f t="shared" si="77"/>
        <v>798.0542419556898</v>
      </c>
      <c r="M361" s="1367" t="s">
        <v>429</v>
      </c>
      <c r="N361" s="591" t="s">
        <v>429</v>
      </c>
      <c r="O361" s="591"/>
      <c r="P361" s="591"/>
      <c r="Q361" s="591" t="s">
        <v>429</v>
      </c>
      <c r="R361" s="591" t="s">
        <v>429</v>
      </c>
      <c r="S361" s="614"/>
      <c r="T361" s="397"/>
    </row>
    <row r="362" spans="1:20" ht="15.75" x14ac:dyDescent="0.25">
      <c r="A362" s="1360"/>
      <c r="B362" s="1622"/>
      <c r="C362" s="1382" t="s">
        <v>126</v>
      </c>
      <c r="D362" s="1369"/>
      <c r="E362" s="1347">
        <v>35.438980621423653</v>
      </c>
      <c r="F362" s="1347">
        <v>225.04881324560114</v>
      </c>
      <c r="G362" s="1347">
        <v>0</v>
      </c>
      <c r="H362" s="1348">
        <v>260.48779386702478</v>
      </c>
      <c r="I362" s="1347">
        <v>337.68608286401138</v>
      </c>
      <c r="J362" s="1347">
        <v>149.54346918275905</v>
      </c>
      <c r="K362" s="1348">
        <v>747.71734591379527</v>
      </c>
      <c r="L362" s="1349">
        <f t="shared" si="77"/>
        <v>747.71734591379527</v>
      </c>
      <c r="M362" s="1367" t="s">
        <v>429</v>
      </c>
      <c r="N362" s="591" t="s">
        <v>429</v>
      </c>
      <c r="O362" s="591"/>
      <c r="P362" s="591"/>
      <c r="Q362" s="591" t="s">
        <v>429</v>
      </c>
      <c r="R362" s="591" t="s">
        <v>429</v>
      </c>
      <c r="S362" s="614"/>
      <c r="T362" s="397"/>
    </row>
    <row r="363" spans="1:20" ht="16.5" thickBot="1" x14ac:dyDescent="0.3">
      <c r="A363" s="1362"/>
      <c r="B363" s="1622"/>
      <c r="C363" s="1382" t="s">
        <v>127</v>
      </c>
      <c r="D363" s="1356"/>
      <c r="E363" s="1347">
        <v>33.858898682888842</v>
      </c>
      <c r="F363" s="1347">
        <v>186.44966874710786</v>
      </c>
      <c r="G363" s="1347">
        <v>20.8345089895376</v>
      </c>
      <c r="H363" s="1348">
        <v>241.14307641953431</v>
      </c>
      <c r="I363" s="1347">
        <v>302.15681184609997</v>
      </c>
      <c r="J363" s="1347">
        <v>135.83061521618907</v>
      </c>
      <c r="K363" s="1348">
        <v>679.13050348182333</v>
      </c>
      <c r="L363" s="1349">
        <f t="shared" si="77"/>
        <v>679.13050348182333</v>
      </c>
      <c r="M363" s="1367" t="s">
        <v>429</v>
      </c>
      <c r="N363" s="591" t="s">
        <v>429</v>
      </c>
      <c r="O363" s="591"/>
      <c r="P363" s="591"/>
      <c r="Q363" s="591" t="s">
        <v>429</v>
      </c>
      <c r="R363" s="591" t="s">
        <v>429</v>
      </c>
      <c r="S363" s="614"/>
      <c r="T363" s="397"/>
    </row>
    <row r="364" spans="1:20" ht="15.75" x14ac:dyDescent="0.25">
      <c r="A364" s="1357" t="s">
        <v>22</v>
      </c>
      <c r="B364" s="1622"/>
      <c r="C364" s="1413" t="s">
        <v>128</v>
      </c>
      <c r="D364" s="1406">
        <v>26400</v>
      </c>
      <c r="E364" s="1347">
        <v>0</v>
      </c>
      <c r="F364" s="1347">
        <v>278.84685943031235</v>
      </c>
      <c r="G364" s="1347">
        <v>0</v>
      </c>
      <c r="H364" s="1348">
        <v>278.84685943031235</v>
      </c>
      <c r="I364" s="1347">
        <v>277.83471112022045</v>
      </c>
      <c r="J364" s="1347">
        <v>0</v>
      </c>
      <c r="K364" s="1348">
        <v>556.6815705505328</v>
      </c>
      <c r="L364" s="1349">
        <f t="shared" si="77"/>
        <v>556.6815705505328</v>
      </c>
      <c r="M364" s="1350"/>
      <c r="N364" s="591" t="s">
        <v>429</v>
      </c>
      <c r="O364" s="398"/>
      <c r="P364" s="398"/>
      <c r="Q364" s="398"/>
      <c r="R364" s="398"/>
      <c r="S364" s="398"/>
      <c r="T364" s="397"/>
    </row>
    <row r="365" spans="1:20" ht="15.75" x14ac:dyDescent="0.25">
      <c r="A365" s="1360"/>
      <c r="B365" s="1622"/>
      <c r="C365" s="1382" t="s">
        <v>129</v>
      </c>
      <c r="D365" s="1369"/>
      <c r="E365" s="1347">
        <v>0</v>
      </c>
      <c r="F365" s="1347">
        <v>217.10581251470779</v>
      </c>
      <c r="G365" s="1347">
        <v>0</v>
      </c>
      <c r="H365" s="1348">
        <v>217.10581251470779</v>
      </c>
      <c r="I365" s="1347">
        <v>253.54315167801539</v>
      </c>
      <c r="J365" s="1347">
        <v>0</v>
      </c>
      <c r="K365" s="1348">
        <v>470.64896419272316</v>
      </c>
      <c r="L365" s="1349">
        <f t="shared" si="77"/>
        <v>470.64896419272316</v>
      </c>
      <c r="M365" s="1350"/>
      <c r="N365" s="591" t="s">
        <v>429</v>
      </c>
      <c r="O365" s="398"/>
      <c r="P365" s="398"/>
      <c r="Q365" s="398"/>
      <c r="R365" s="398"/>
      <c r="S365" s="398"/>
      <c r="T365" s="397"/>
    </row>
    <row r="366" spans="1:20" ht="15.75" x14ac:dyDescent="0.25">
      <c r="A366" s="1360"/>
      <c r="B366" s="1622"/>
      <c r="C366" s="1382" t="s">
        <v>130</v>
      </c>
      <c r="D366" s="1369"/>
      <c r="E366" s="1347">
        <v>21.680216802168019</v>
      </c>
      <c r="F366" s="1347">
        <v>326.92390415967651</v>
      </c>
      <c r="G366" s="1347">
        <v>0</v>
      </c>
      <c r="H366" s="1348">
        <v>348.6041209618445</v>
      </c>
      <c r="I366" s="1347">
        <v>348.6041209618445</v>
      </c>
      <c r="J366" s="1347">
        <v>0</v>
      </c>
      <c r="K366" s="1348">
        <v>697.20824192368912</v>
      </c>
      <c r="L366" s="1349">
        <f t="shared" si="77"/>
        <v>697.208241923689</v>
      </c>
      <c r="M366" s="1367" t="s">
        <v>429</v>
      </c>
      <c r="N366" s="591" t="s">
        <v>429</v>
      </c>
      <c r="O366" s="398"/>
      <c r="P366" s="398"/>
      <c r="Q366" s="398"/>
      <c r="R366" s="398"/>
      <c r="S366" s="398"/>
      <c r="T366" s="397"/>
    </row>
    <row r="367" spans="1:20" ht="15.75" x14ac:dyDescent="0.25">
      <c r="A367" s="1360"/>
      <c r="B367" s="1622"/>
      <c r="C367" s="1382" t="s">
        <v>131</v>
      </c>
      <c r="D367" s="1369"/>
      <c r="E367" s="1347">
        <v>0</v>
      </c>
      <c r="F367" s="1347">
        <v>173.0773610257111</v>
      </c>
      <c r="G367" s="1347">
        <v>0</v>
      </c>
      <c r="H367" s="1348">
        <v>173.0773610257111</v>
      </c>
      <c r="I367" s="1347">
        <v>170.5469902504814</v>
      </c>
      <c r="J367" s="1347">
        <v>0</v>
      </c>
      <c r="K367" s="1348">
        <v>343.6243512761925</v>
      </c>
      <c r="L367" s="1349">
        <f t="shared" si="77"/>
        <v>343.6243512761925</v>
      </c>
      <c r="M367" s="1367"/>
      <c r="N367" s="591" t="s">
        <v>429</v>
      </c>
      <c r="O367" s="398"/>
      <c r="P367" s="398"/>
      <c r="Q367" s="398"/>
      <c r="R367" s="398"/>
      <c r="S367" s="398"/>
      <c r="T367" s="397"/>
    </row>
    <row r="368" spans="1:20" ht="16.5" thickBot="1" x14ac:dyDescent="0.3">
      <c r="A368" s="1362"/>
      <c r="B368" s="1622"/>
      <c r="C368" s="1382" t="s">
        <v>132</v>
      </c>
      <c r="D368" s="1356"/>
      <c r="E368" s="1347">
        <v>0</v>
      </c>
      <c r="F368" s="1347">
        <v>159.41335883947076</v>
      </c>
      <c r="G368" s="1347">
        <v>14.028375577873426</v>
      </c>
      <c r="H368" s="1348">
        <v>173.44173441734418</v>
      </c>
      <c r="I368" s="1347">
        <v>341.33689609538487</v>
      </c>
      <c r="J368" s="1347">
        <v>0</v>
      </c>
      <c r="K368" s="1348">
        <v>514.77863051272914</v>
      </c>
      <c r="L368" s="1349">
        <f t="shared" si="77"/>
        <v>514.77863051272902</v>
      </c>
      <c r="M368" s="1367" t="s">
        <v>429</v>
      </c>
      <c r="N368" s="591" t="s">
        <v>429</v>
      </c>
      <c r="O368" s="398"/>
      <c r="P368" s="398"/>
      <c r="Q368" s="398"/>
      <c r="R368" s="398"/>
      <c r="S368" s="398"/>
      <c r="T368" s="397"/>
    </row>
    <row r="369" spans="1:20" ht="15.75" x14ac:dyDescent="0.25">
      <c r="A369" s="1371" t="s">
        <v>23</v>
      </c>
      <c r="B369" s="1424"/>
      <c r="C369" s="1414" t="s">
        <v>133</v>
      </c>
      <c r="D369" s="1406">
        <v>27800</v>
      </c>
      <c r="E369" s="1347">
        <v>55.899407127500162</v>
      </c>
      <c r="F369" s="1347">
        <v>134.22155623601972</v>
      </c>
      <c r="G369" s="1347">
        <v>24.14923882120442</v>
      </c>
      <c r="H369" s="1348">
        <v>214.2702021847243</v>
      </c>
      <c r="I369" s="1347">
        <v>71.01439833213891</v>
      </c>
      <c r="J369" s="1347">
        <v>11.792299172584533</v>
      </c>
      <c r="K369" s="1348">
        <v>297.07689968944777</v>
      </c>
      <c r="L369" s="1349">
        <f t="shared" si="77"/>
        <v>297.07689968944771</v>
      </c>
      <c r="M369" s="1350"/>
      <c r="N369" s="398"/>
      <c r="O369" s="398"/>
      <c r="P369" s="591" t="s">
        <v>429</v>
      </c>
      <c r="Q369" s="591" t="s">
        <v>429</v>
      </c>
      <c r="R369" s="398"/>
      <c r="S369" s="398"/>
      <c r="T369" s="397"/>
    </row>
    <row r="370" spans="1:20" ht="15.75" x14ac:dyDescent="0.25">
      <c r="A370" s="1351"/>
      <c r="B370" s="1424"/>
      <c r="C370" s="1380" t="s">
        <v>134</v>
      </c>
      <c r="D370" s="1369"/>
      <c r="E370" s="1347">
        <v>53.032770864551445</v>
      </c>
      <c r="F370" s="1347">
        <v>199.22036180424348</v>
      </c>
      <c r="G370" s="1347">
        <v>0</v>
      </c>
      <c r="H370" s="1348">
        <v>252.25313266879493</v>
      </c>
      <c r="I370" s="1347">
        <v>247.16050991378376</v>
      </c>
      <c r="J370" s="1347">
        <v>16.472300041262187</v>
      </c>
      <c r="K370" s="1348">
        <v>515.88594262384083</v>
      </c>
      <c r="L370" s="1349">
        <f t="shared" si="77"/>
        <v>515.88594262384083</v>
      </c>
      <c r="M370" s="1350"/>
      <c r="N370" s="398"/>
      <c r="O370" s="398"/>
      <c r="P370" s="591" t="s">
        <v>429</v>
      </c>
      <c r="Q370" s="591" t="s">
        <v>429</v>
      </c>
      <c r="R370" s="398"/>
      <c r="S370" s="398"/>
      <c r="T370" s="397"/>
    </row>
    <row r="371" spans="1:20" ht="15.75" x14ac:dyDescent="0.25">
      <c r="A371" s="1351"/>
      <c r="B371" s="1424"/>
      <c r="C371" s="1380" t="s">
        <v>135</v>
      </c>
      <c r="D371" s="1369"/>
      <c r="E371" s="1347">
        <v>44.639173018872022</v>
      </c>
      <c r="F371" s="1347">
        <v>206.57154646339612</v>
      </c>
      <c r="G371" s="1347">
        <v>0</v>
      </c>
      <c r="H371" s="1348">
        <v>251.21071948226813</v>
      </c>
      <c r="I371" s="1347">
        <v>104.97969465980412</v>
      </c>
      <c r="J371" s="1347">
        <v>21.369470323799597</v>
      </c>
      <c r="K371" s="1348">
        <v>377.55988446587185</v>
      </c>
      <c r="L371" s="1349">
        <f t="shared" si="77"/>
        <v>377.55988446587185</v>
      </c>
      <c r="M371" s="1350"/>
      <c r="N371" s="398"/>
      <c r="O371" s="398"/>
      <c r="P371" s="591" t="s">
        <v>429</v>
      </c>
      <c r="Q371" s="591" t="s">
        <v>429</v>
      </c>
      <c r="R371" s="398"/>
      <c r="S371" s="398"/>
      <c r="T371" s="397"/>
    </row>
    <row r="372" spans="1:20" ht="15.75" x14ac:dyDescent="0.25">
      <c r="A372" s="1351"/>
      <c r="B372" s="1424"/>
      <c r="C372" s="1380" t="s">
        <v>136</v>
      </c>
      <c r="D372" s="1369"/>
      <c r="E372" s="1347">
        <v>40.328360153755945</v>
      </c>
      <c r="F372" s="1347">
        <v>226.44254783156339</v>
      </c>
      <c r="G372" s="1347">
        <v>0</v>
      </c>
      <c r="H372" s="1348">
        <v>266.77090798531935</v>
      </c>
      <c r="I372" s="1347">
        <v>238.82120442156926</v>
      </c>
      <c r="J372" s="1347">
        <v>16.624318630964016</v>
      </c>
      <c r="K372" s="1348">
        <v>522.21643103785266</v>
      </c>
      <c r="L372" s="1349">
        <f t="shared" si="77"/>
        <v>522.21643103785266</v>
      </c>
      <c r="M372" s="1350"/>
      <c r="N372" s="398"/>
      <c r="O372" s="398"/>
      <c r="P372" s="591" t="s">
        <v>429</v>
      </c>
      <c r="Q372" s="591" t="s">
        <v>429</v>
      </c>
      <c r="R372" s="398"/>
      <c r="S372" s="398"/>
      <c r="T372" s="397"/>
    </row>
    <row r="373" spans="1:20" ht="15.75" x14ac:dyDescent="0.25">
      <c r="A373" s="1351"/>
      <c r="B373" s="1424"/>
      <c r="C373" s="1380" t="s">
        <v>137</v>
      </c>
      <c r="D373" s="1369"/>
      <c r="E373" s="1347">
        <v>61.111473060134216</v>
      </c>
      <c r="F373" s="1347">
        <v>167.00327925814929</v>
      </c>
      <c r="G373" s="1347">
        <v>0</v>
      </c>
      <c r="H373" s="1348">
        <v>228.11475231828351</v>
      </c>
      <c r="I373" s="1347">
        <v>156.8397506895129</v>
      </c>
      <c r="J373" s="1347">
        <v>23.095967163984625</v>
      </c>
      <c r="K373" s="1348">
        <v>408.05047017178094</v>
      </c>
      <c r="L373" s="1349">
        <f t="shared" si="77"/>
        <v>408.05047017178106</v>
      </c>
      <c r="M373" s="1350"/>
      <c r="N373" s="398"/>
      <c r="O373" s="398"/>
      <c r="P373" s="591" t="s">
        <v>429</v>
      </c>
      <c r="Q373" s="591" t="s">
        <v>429</v>
      </c>
      <c r="R373" s="398"/>
      <c r="S373" s="398"/>
      <c r="T373" s="397"/>
    </row>
    <row r="374" spans="1:20" ht="15.75" x14ac:dyDescent="0.25">
      <c r="A374" s="1351"/>
      <c r="B374" s="1424"/>
      <c r="C374" s="1380" t="s">
        <v>138</v>
      </c>
      <c r="D374" s="1369"/>
      <c r="E374" s="1347">
        <v>50.752492019024046</v>
      </c>
      <c r="F374" s="1347">
        <v>176.29813017134668</v>
      </c>
      <c r="G374" s="1347">
        <v>0</v>
      </c>
      <c r="H374" s="1348">
        <v>227.05062219037075</v>
      </c>
      <c r="I374" s="1347">
        <v>174.31103003452998</v>
      </c>
      <c r="J374" s="1347">
        <v>24.084087997046495</v>
      </c>
      <c r="K374" s="1348">
        <v>425.44574022194723</v>
      </c>
      <c r="L374" s="1349">
        <f t="shared" si="77"/>
        <v>425.44574022194718</v>
      </c>
      <c r="M374" s="1350"/>
      <c r="N374" s="398"/>
      <c r="O374" s="398"/>
      <c r="P374" s="591" t="s">
        <v>429</v>
      </c>
      <c r="Q374" s="591" t="s">
        <v>429</v>
      </c>
      <c r="R374" s="398"/>
      <c r="S374" s="398"/>
      <c r="T374" s="397"/>
    </row>
    <row r="375" spans="1:20" ht="16.5" thickBot="1" x14ac:dyDescent="0.3">
      <c r="A375" s="1374"/>
      <c r="B375" s="1424"/>
      <c r="C375" s="1381" t="s">
        <v>139</v>
      </c>
      <c r="D375" s="1356"/>
      <c r="E375" s="1347">
        <v>35.561491519534393</v>
      </c>
      <c r="F375" s="1347">
        <v>135.11195083284471</v>
      </c>
      <c r="G375" s="1347">
        <v>0</v>
      </c>
      <c r="H375" s="1348">
        <v>170.67344235237911</v>
      </c>
      <c r="I375" s="1347">
        <v>181.62963928160357</v>
      </c>
      <c r="J375" s="1347">
        <v>21.141442439246855</v>
      </c>
      <c r="K375" s="1348">
        <v>373.4445240732295</v>
      </c>
      <c r="L375" s="1349">
        <f t="shared" si="77"/>
        <v>373.44452407322956</v>
      </c>
      <c r="M375" s="1350"/>
      <c r="N375" s="398"/>
      <c r="O375" s="398"/>
      <c r="P375" s="591" t="s">
        <v>429</v>
      </c>
      <c r="Q375" s="591" t="s">
        <v>429</v>
      </c>
      <c r="R375" s="398"/>
      <c r="S375" s="398"/>
      <c r="T375" s="397"/>
    </row>
    <row r="376" spans="1:20" ht="15.75" x14ac:dyDescent="0.25">
      <c r="A376" s="1415" t="s">
        <v>40</v>
      </c>
      <c r="B376" s="1622"/>
      <c r="C376" s="1387" t="s">
        <v>188</v>
      </c>
      <c r="D376" s="1406">
        <v>20600</v>
      </c>
      <c r="E376" s="1347">
        <v>0</v>
      </c>
      <c r="F376" s="1347">
        <v>153.29524904489875</v>
      </c>
      <c r="G376" s="1347">
        <v>0</v>
      </c>
      <c r="H376" s="1348">
        <v>153.29524904489875</v>
      </c>
      <c r="I376" s="1347">
        <v>111.6181032108169</v>
      </c>
      <c r="J376" s="1347">
        <v>63.579204541371752</v>
      </c>
      <c r="K376" s="1348">
        <v>328.49255679708745</v>
      </c>
      <c r="L376" s="1349">
        <f t="shared" si="77"/>
        <v>328.49255679708745</v>
      </c>
      <c r="M376" s="1367" t="s">
        <v>429</v>
      </c>
      <c r="N376" s="591" t="s">
        <v>429</v>
      </c>
      <c r="O376" s="614"/>
      <c r="P376" s="614"/>
      <c r="Q376" s="614"/>
      <c r="R376" s="591" t="s">
        <v>429</v>
      </c>
      <c r="S376" s="614"/>
      <c r="T376" s="397"/>
    </row>
    <row r="377" spans="1:20" ht="15.75" x14ac:dyDescent="0.25">
      <c r="A377" s="1416"/>
      <c r="B377" s="1622"/>
      <c r="C377" s="1387" t="s">
        <v>190</v>
      </c>
      <c r="D377" s="1369"/>
      <c r="E377" s="1347">
        <v>0</v>
      </c>
      <c r="F377" s="1347">
        <v>168.62477394938861</v>
      </c>
      <c r="G377" s="1347">
        <v>0</v>
      </c>
      <c r="H377" s="1348">
        <v>168.62477394938861</v>
      </c>
      <c r="I377" s="1347">
        <v>116.40857974346999</v>
      </c>
      <c r="J377" s="1347">
        <v>68.408004886286065</v>
      </c>
      <c r="K377" s="1348">
        <v>353.44135857914466</v>
      </c>
      <c r="L377" s="1349">
        <f t="shared" si="77"/>
        <v>353.44135857914466</v>
      </c>
      <c r="M377" s="1367" t="s">
        <v>429</v>
      </c>
      <c r="N377" s="591" t="s">
        <v>429</v>
      </c>
      <c r="O377" s="614"/>
      <c r="P377" s="614"/>
      <c r="Q377" s="614"/>
      <c r="R377" s="591" t="s">
        <v>429</v>
      </c>
      <c r="S377" s="614"/>
      <c r="T377" s="397"/>
    </row>
    <row r="378" spans="1:20" ht="15.75" x14ac:dyDescent="0.25">
      <c r="A378" s="1416"/>
      <c r="B378" s="1622"/>
      <c r="C378" s="1368" t="s">
        <v>219</v>
      </c>
      <c r="D378" s="1369"/>
      <c r="E378" s="1347">
        <v>0</v>
      </c>
      <c r="F378" s="1347">
        <v>133.17524760775578</v>
      </c>
      <c r="G378" s="1347">
        <v>0</v>
      </c>
      <c r="H378" s="1348">
        <v>133.17524760775578</v>
      </c>
      <c r="I378" s="1347">
        <v>88.144768200816785</v>
      </c>
      <c r="J378" s="1347">
        <v>53.116803794057411</v>
      </c>
      <c r="K378" s="1348">
        <v>274.43681960263001</v>
      </c>
      <c r="L378" s="1349">
        <f t="shared" si="77"/>
        <v>274.43681960263001</v>
      </c>
      <c r="M378" s="1367" t="s">
        <v>429</v>
      </c>
      <c r="N378" s="591" t="s">
        <v>429</v>
      </c>
      <c r="O378" s="614"/>
      <c r="P378" s="614"/>
      <c r="Q378" s="614"/>
      <c r="R378" s="591" t="s">
        <v>429</v>
      </c>
      <c r="S378" s="614"/>
      <c r="T378" s="397"/>
    </row>
    <row r="379" spans="1:20" ht="15.75" x14ac:dyDescent="0.25">
      <c r="A379" s="1416"/>
      <c r="B379" s="1622"/>
      <c r="C379" s="1368" t="s">
        <v>513</v>
      </c>
      <c r="D379" s="1369"/>
      <c r="E379" s="1347">
        <v>0</v>
      </c>
      <c r="F379" s="1347">
        <v>176.76858405489887</v>
      </c>
      <c r="G379" s="1347">
        <v>0</v>
      </c>
      <c r="H379" s="1348">
        <v>176.76858405489887</v>
      </c>
      <c r="I379" s="1347">
        <v>159.04382088408244</v>
      </c>
      <c r="J379" s="1347">
        <v>80.594977185355518</v>
      </c>
      <c r="K379" s="1348">
        <v>416.40738212433683</v>
      </c>
      <c r="L379" s="1349">
        <f t="shared" si="77"/>
        <v>416.40738212433683</v>
      </c>
      <c r="M379" s="1367" t="s">
        <v>429</v>
      </c>
      <c r="N379" s="591" t="s">
        <v>429</v>
      </c>
      <c r="O379" s="614"/>
      <c r="P379" s="614"/>
      <c r="Q379" s="614"/>
      <c r="R379" s="591" t="s">
        <v>429</v>
      </c>
      <c r="S379" s="614"/>
      <c r="T379" s="397"/>
    </row>
    <row r="380" spans="1:20" ht="15.75" x14ac:dyDescent="0.25">
      <c r="A380" s="1416"/>
      <c r="B380" s="1622"/>
      <c r="C380" s="1368" t="s">
        <v>516</v>
      </c>
      <c r="D380" s="1369"/>
      <c r="E380" s="1347">
        <v>0</v>
      </c>
      <c r="F380" s="1347">
        <v>210.78096743673578</v>
      </c>
      <c r="G380" s="1347">
        <v>0</v>
      </c>
      <c r="H380" s="1348">
        <v>210.78096743673578</v>
      </c>
      <c r="I380" s="1347">
        <v>120.24096096959245</v>
      </c>
      <c r="J380" s="1347">
        <v>79.445262817518781</v>
      </c>
      <c r="K380" s="1348">
        <v>410.46719122384701</v>
      </c>
      <c r="L380" s="1349">
        <f t="shared" si="77"/>
        <v>410.46719122384701</v>
      </c>
      <c r="M380" s="1367" t="s">
        <v>429</v>
      </c>
      <c r="N380" s="591" t="s">
        <v>429</v>
      </c>
      <c r="O380" s="614"/>
      <c r="P380" s="614"/>
      <c r="Q380" s="614"/>
      <c r="R380" s="591" t="s">
        <v>429</v>
      </c>
      <c r="S380" s="614"/>
      <c r="T380" s="397"/>
    </row>
    <row r="381" spans="1:20" ht="15.75" x14ac:dyDescent="0.25">
      <c r="A381" s="1416"/>
      <c r="B381" s="1622"/>
      <c r="C381" s="1368" t="s">
        <v>1353</v>
      </c>
      <c r="D381" s="1369"/>
      <c r="E381" s="1347">
        <v>0</v>
      </c>
      <c r="F381" s="1347">
        <v>148.98382016551096</v>
      </c>
      <c r="G381" s="1347">
        <v>0</v>
      </c>
      <c r="H381" s="1348">
        <v>148.98382016551096</v>
      </c>
      <c r="I381" s="1347">
        <v>59.401909004898265</v>
      </c>
      <c r="J381" s="1347">
        <v>50.012575000898217</v>
      </c>
      <c r="K381" s="1348">
        <v>258.39830417130747</v>
      </c>
      <c r="L381" s="1349">
        <f t="shared" si="77"/>
        <v>258.39830417130747</v>
      </c>
      <c r="M381" s="1367" t="s">
        <v>429</v>
      </c>
      <c r="N381" s="591" t="s">
        <v>429</v>
      </c>
      <c r="O381" s="614"/>
      <c r="P381" s="614"/>
      <c r="Q381" s="614"/>
      <c r="R381" s="591" t="s">
        <v>429</v>
      </c>
      <c r="S381" s="614"/>
      <c r="T381" s="397"/>
    </row>
    <row r="382" spans="1:20" ht="15.75" x14ac:dyDescent="0.25">
      <c r="A382" s="1416"/>
      <c r="B382" s="1622"/>
      <c r="C382" s="1368" t="s">
        <v>520</v>
      </c>
      <c r="D382" s="1369"/>
      <c r="E382" s="1347">
        <v>0</v>
      </c>
      <c r="F382" s="1347">
        <v>152.81620139163343</v>
      </c>
      <c r="G382" s="1347">
        <v>0</v>
      </c>
      <c r="H382" s="1348">
        <v>152.81620139163343</v>
      </c>
      <c r="I382" s="1347">
        <v>147.06762955244974</v>
      </c>
      <c r="J382" s="1347">
        <v>71.972119426579965</v>
      </c>
      <c r="K382" s="1348">
        <v>371.85595037066315</v>
      </c>
      <c r="L382" s="1349">
        <f t="shared" si="77"/>
        <v>371.85595037066315</v>
      </c>
      <c r="M382" s="1367" t="s">
        <v>429</v>
      </c>
      <c r="N382" s="591" t="s">
        <v>429</v>
      </c>
      <c r="O382" s="614"/>
      <c r="P382" s="614"/>
      <c r="Q382" s="614"/>
      <c r="R382" s="591" t="s">
        <v>429</v>
      </c>
      <c r="S382" s="614"/>
      <c r="T382" s="397"/>
    </row>
    <row r="383" spans="1:20" ht="15.75" x14ac:dyDescent="0.25">
      <c r="A383" s="1416"/>
      <c r="B383" s="1622"/>
      <c r="C383" s="1368" t="s">
        <v>597</v>
      </c>
      <c r="D383" s="1369"/>
      <c r="E383" s="1347">
        <v>0</v>
      </c>
      <c r="F383" s="1347">
        <v>168.14572629612331</v>
      </c>
      <c r="G383" s="1347">
        <v>0</v>
      </c>
      <c r="H383" s="1348">
        <v>168.14572629612331</v>
      </c>
      <c r="I383" s="1347">
        <v>121.19905627612307</v>
      </c>
      <c r="J383" s="1347">
        <v>69.442747817339139</v>
      </c>
      <c r="K383" s="1348">
        <v>358.78753038958553</v>
      </c>
      <c r="L383" s="1349">
        <f t="shared" si="77"/>
        <v>358.78753038958553</v>
      </c>
      <c r="M383" s="1367" t="s">
        <v>429</v>
      </c>
      <c r="N383" s="591" t="s">
        <v>429</v>
      </c>
      <c r="O383" s="614"/>
      <c r="P383" s="614"/>
      <c r="Q383" s="614"/>
      <c r="R383" s="591" t="s">
        <v>429</v>
      </c>
      <c r="S383" s="614"/>
      <c r="T383" s="397"/>
    </row>
    <row r="384" spans="1:20" ht="15.75" x14ac:dyDescent="0.25">
      <c r="A384" s="1416"/>
      <c r="B384" s="1622"/>
      <c r="C384" s="1368" t="s">
        <v>765</v>
      </c>
      <c r="D384" s="1369"/>
      <c r="E384" s="1347">
        <v>0</v>
      </c>
      <c r="F384" s="1347">
        <v>148.02572485898034</v>
      </c>
      <c r="G384" s="1347">
        <v>0</v>
      </c>
      <c r="H384" s="1348">
        <v>148.02572485898034</v>
      </c>
      <c r="I384" s="1347">
        <v>123.11524688918431</v>
      </c>
      <c r="J384" s="1347">
        <v>65.073833219559518</v>
      </c>
      <c r="K384" s="1348">
        <v>336.21480496772415</v>
      </c>
      <c r="L384" s="1349">
        <f t="shared" si="77"/>
        <v>336.21480496772415</v>
      </c>
      <c r="M384" s="1367" t="s">
        <v>429</v>
      </c>
      <c r="N384" s="591" t="s">
        <v>429</v>
      </c>
      <c r="O384" s="614"/>
      <c r="P384" s="614"/>
      <c r="Q384" s="614"/>
      <c r="R384" s="591" t="s">
        <v>429</v>
      </c>
      <c r="S384" s="614"/>
      <c r="T384" s="397"/>
    </row>
    <row r="385" spans="1:20" ht="15.75" x14ac:dyDescent="0.25">
      <c r="A385" s="1416"/>
      <c r="B385" s="1622"/>
      <c r="C385" s="1368" t="s">
        <v>860</v>
      </c>
      <c r="D385" s="1369"/>
      <c r="E385" s="1347">
        <v>0</v>
      </c>
      <c r="F385" s="1347">
        <v>219.88287284877663</v>
      </c>
      <c r="G385" s="1347">
        <v>0</v>
      </c>
      <c r="H385" s="1348">
        <v>219.88287284877663</v>
      </c>
      <c r="I385" s="1347">
        <v>48.862860633061473</v>
      </c>
      <c r="J385" s="1347">
        <v>64.498976035641135</v>
      </c>
      <c r="K385" s="1348">
        <v>333.24470951747924</v>
      </c>
      <c r="L385" s="1349">
        <f t="shared" si="77"/>
        <v>333.24470951747924</v>
      </c>
      <c r="M385" s="1367" t="s">
        <v>429</v>
      </c>
      <c r="N385" s="591" t="s">
        <v>429</v>
      </c>
      <c r="O385" s="614"/>
      <c r="P385" s="614"/>
      <c r="Q385" s="614"/>
      <c r="R385" s="591" t="s">
        <v>429</v>
      </c>
      <c r="S385" s="614"/>
      <c r="T385" s="397"/>
    </row>
    <row r="386" spans="1:20" ht="15.75" x14ac:dyDescent="0.25">
      <c r="A386" s="1416"/>
      <c r="B386" s="1622"/>
      <c r="C386" s="1368" t="s">
        <v>766</v>
      </c>
      <c r="D386" s="1369"/>
      <c r="E386" s="1347">
        <v>0</v>
      </c>
      <c r="F386" s="1347">
        <v>144.6723912861232</v>
      </c>
      <c r="G386" s="1347">
        <v>0</v>
      </c>
      <c r="H386" s="1348">
        <v>144.6723912861232</v>
      </c>
      <c r="I386" s="1347">
        <v>109.70191259775567</v>
      </c>
      <c r="J386" s="1347">
        <v>61.049832932130926</v>
      </c>
      <c r="K386" s="1348">
        <v>315.42413681600976</v>
      </c>
      <c r="L386" s="1349">
        <f t="shared" si="77"/>
        <v>315.42413681600976</v>
      </c>
      <c r="M386" s="1367"/>
      <c r="N386" s="591" t="s">
        <v>429</v>
      </c>
      <c r="O386" s="614"/>
      <c r="P386" s="614"/>
      <c r="Q386" s="614"/>
      <c r="R386" s="591" t="s">
        <v>429</v>
      </c>
      <c r="S386" s="614"/>
      <c r="T386" s="397"/>
    </row>
    <row r="387" spans="1:20" ht="15.75" x14ac:dyDescent="0.25">
      <c r="A387" s="1416"/>
      <c r="B387" s="1622"/>
      <c r="C387" s="1368" t="s">
        <v>767</v>
      </c>
      <c r="D387" s="1369"/>
      <c r="E387" s="1347">
        <v>0</v>
      </c>
      <c r="F387" s="1347">
        <v>129.34286638163331</v>
      </c>
      <c r="G387" s="1347">
        <v>0</v>
      </c>
      <c r="H387" s="1348">
        <v>129.34286638163331</v>
      </c>
      <c r="I387" s="1347">
        <v>121.67810392938837</v>
      </c>
      <c r="J387" s="1347">
        <v>60.245032874645212</v>
      </c>
      <c r="K387" s="1348">
        <v>311.26600318566693</v>
      </c>
      <c r="L387" s="1349">
        <f t="shared" si="77"/>
        <v>311.26600318566693</v>
      </c>
      <c r="M387" s="1367" t="s">
        <v>429</v>
      </c>
      <c r="N387" s="591" t="s">
        <v>429</v>
      </c>
      <c r="O387" s="614"/>
      <c r="P387" s="614"/>
      <c r="Q387" s="614"/>
      <c r="R387" s="591" t="s">
        <v>429</v>
      </c>
      <c r="S387" s="614"/>
      <c r="T387" s="397"/>
    </row>
    <row r="388" spans="1:20" ht="15.75" x14ac:dyDescent="0.25">
      <c r="A388" s="1416"/>
      <c r="B388" s="1622"/>
      <c r="C388" s="1368" t="s">
        <v>768</v>
      </c>
      <c r="D388" s="1369"/>
      <c r="E388" s="1347">
        <v>0</v>
      </c>
      <c r="F388" s="1347">
        <v>146.10953424591912</v>
      </c>
      <c r="G388" s="1347">
        <v>0</v>
      </c>
      <c r="H388" s="1348">
        <v>146.10953424591912</v>
      </c>
      <c r="I388" s="1347">
        <v>70.420005030000354</v>
      </c>
      <c r="J388" s="1347">
        <v>51.967089426220674</v>
      </c>
      <c r="K388" s="1348">
        <v>268.49662870214019</v>
      </c>
      <c r="L388" s="1349">
        <f t="shared" si="77"/>
        <v>268.49662870214019</v>
      </c>
      <c r="M388" s="1367" t="s">
        <v>429</v>
      </c>
      <c r="N388" s="591" t="s">
        <v>429</v>
      </c>
      <c r="O388" s="614"/>
      <c r="P388" s="614"/>
      <c r="Q388" s="614"/>
      <c r="R388" s="591" t="s">
        <v>429</v>
      </c>
      <c r="S388" s="614"/>
      <c r="T388" s="397"/>
    </row>
    <row r="389" spans="1:20" ht="15.75" x14ac:dyDescent="0.25">
      <c r="A389" s="1416"/>
      <c r="B389" s="1622"/>
      <c r="C389" s="1368" t="s">
        <v>769</v>
      </c>
      <c r="D389" s="1369"/>
      <c r="E389" s="1347">
        <v>0</v>
      </c>
      <c r="F389" s="1347">
        <v>145.1514389393885</v>
      </c>
      <c r="G389" s="1347">
        <v>0</v>
      </c>
      <c r="H389" s="1348">
        <v>145.1514389393885</v>
      </c>
      <c r="I389" s="1347">
        <v>92.935244733469858</v>
      </c>
      <c r="J389" s="1347">
        <v>57.14080408148601</v>
      </c>
      <c r="K389" s="1348">
        <v>295.22748775434434</v>
      </c>
      <c r="L389" s="1349">
        <f t="shared" si="77"/>
        <v>295.22748775434434</v>
      </c>
      <c r="M389" s="1367" t="s">
        <v>429</v>
      </c>
      <c r="N389" s="591" t="s">
        <v>429</v>
      </c>
      <c r="O389" s="614"/>
      <c r="P389" s="614"/>
      <c r="Q389" s="614"/>
      <c r="R389" s="591" t="s">
        <v>429</v>
      </c>
      <c r="S389" s="614"/>
      <c r="T389" s="397"/>
    </row>
    <row r="390" spans="1:20" ht="15.75" x14ac:dyDescent="0.25">
      <c r="A390" s="1416"/>
      <c r="B390" s="1622"/>
      <c r="C390" s="1368" t="s">
        <v>770</v>
      </c>
      <c r="D390" s="1369"/>
      <c r="E390" s="1347">
        <v>0</v>
      </c>
      <c r="F390" s="1347">
        <v>142.75620067306195</v>
      </c>
      <c r="G390" s="1347">
        <v>0</v>
      </c>
      <c r="H390" s="1348">
        <v>142.75620067306195</v>
      </c>
      <c r="I390" s="1347">
        <v>66.108576150612578</v>
      </c>
      <c r="J390" s="1347">
        <v>50.127546437681886</v>
      </c>
      <c r="K390" s="1348">
        <v>258.99232326135643</v>
      </c>
      <c r="L390" s="1349">
        <f t="shared" si="77"/>
        <v>258.99232326135643</v>
      </c>
      <c r="M390" s="1367" t="s">
        <v>429</v>
      </c>
      <c r="N390" s="591" t="s">
        <v>429</v>
      </c>
      <c r="O390" s="614"/>
      <c r="P390" s="614"/>
      <c r="Q390" s="614"/>
      <c r="R390" s="591" t="s">
        <v>429</v>
      </c>
      <c r="S390" s="614"/>
      <c r="T390" s="397"/>
    </row>
    <row r="391" spans="1:20" ht="15.75" x14ac:dyDescent="0.25">
      <c r="A391" s="1416"/>
      <c r="B391" s="1622"/>
      <c r="C391" s="1368" t="s">
        <v>771</v>
      </c>
      <c r="D391" s="1369"/>
      <c r="E391" s="1347">
        <v>0</v>
      </c>
      <c r="F391" s="1347">
        <v>146.58858189918442</v>
      </c>
      <c r="G391" s="1347">
        <v>0</v>
      </c>
      <c r="H391" s="1348">
        <v>146.58858189918442</v>
      </c>
      <c r="I391" s="1347">
        <v>98.683816572653569</v>
      </c>
      <c r="J391" s="1347">
        <v>58.865375633241115</v>
      </c>
      <c r="K391" s="1348">
        <v>304.13777410507907</v>
      </c>
      <c r="L391" s="1349">
        <f t="shared" si="77"/>
        <v>304.13777410507907</v>
      </c>
      <c r="M391" s="1367" t="s">
        <v>429</v>
      </c>
      <c r="N391" s="591" t="s">
        <v>429</v>
      </c>
      <c r="O391" s="614"/>
      <c r="P391" s="614"/>
      <c r="Q391" s="614"/>
      <c r="R391" s="591" t="s">
        <v>429</v>
      </c>
      <c r="S391" s="614"/>
      <c r="T391" s="397"/>
    </row>
    <row r="392" spans="1:20" ht="16.5" thickBot="1" x14ac:dyDescent="0.3">
      <c r="A392" s="1416"/>
      <c r="B392" s="1622"/>
      <c r="C392" s="1368" t="s">
        <v>772</v>
      </c>
      <c r="D392" s="1369"/>
      <c r="E392" s="1347">
        <v>0</v>
      </c>
      <c r="F392" s="1347">
        <v>184.4333465071438</v>
      </c>
      <c r="G392" s="1347">
        <v>0</v>
      </c>
      <c r="H392" s="1348">
        <v>184.4333465071438</v>
      </c>
      <c r="I392" s="1347">
        <v>82.875244014898385</v>
      </c>
      <c r="J392" s="1347">
        <v>64.15406172529012</v>
      </c>
      <c r="K392" s="1348">
        <v>331.46265224733236</v>
      </c>
      <c r="L392" s="1349">
        <f t="shared" si="77"/>
        <v>331.46265224733236</v>
      </c>
      <c r="M392" s="1367" t="s">
        <v>429</v>
      </c>
      <c r="N392" s="591" t="s">
        <v>429</v>
      </c>
      <c r="O392" s="614"/>
      <c r="P392" s="614"/>
      <c r="Q392" s="614"/>
      <c r="R392" s="591" t="s">
        <v>429</v>
      </c>
      <c r="S392" s="614"/>
      <c r="T392" s="397"/>
    </row>
    <row r="393" spans="1:20" ht="16.5" thickBot="1" x14ac:dyDescent="0.3">
      <c r="A393" s="1417" t="s">
        <v>693</v>
      </c>
      <c r="B393" s="1424"/>
      <c r="C393" s="1418" t="s">
        <v>694</v>
      </c>
      <c r="D393" s="1419">
        <v>23700</v>
      </c>
      <c r="E393" s="1347">
        <v>0</v>
      </c>
      <c r="F393" s="1347">
        <v>69.373075082106553</v>
      </c>
      <c r="G393" s="1347">
        <v>6.2194660519898051</v>
      </c>
      <c r="H393" s="1348">
        <v>75.592541134096365</v>
      </c>
      <c r="I393" s="1347">
        <v>70.441617707778803</v>
      </c>
      <c r="J393" s="1347">
        <v>0</v>
      </c>
      <c r="K393" s="1348">
        <v>146.03415884187515</v>
      </c>
      <c r="L393" s="1349">
        <f t="shared" si="77"/>
        <v>146.03415884187518</v>
      </c>
      <c r="M393" s="1354"/>
      <c r="N393" s="396"/>
      <c r="O393" s="398"/>
      <c r="P393" s="398"/>
      <c r="Q393" s="398"/>
      <c r="R393" s="396"/>
      <c r="S393" s="398"/>
      <c r="T393" s="397"/>
    </row>
    <row r="394" spans="1:20" ht="15.75" x14ac:dyDescent="0.25">
      <c r="A394" s="1371" t="s">
        <v>25</v>
      </c>
      <c r="B394" s="1424"/>
      <c r="C394" s="1414" t="s">
        <v>143</v>
      </c>
      <c r="D394" s="1406">
        <v>36700</v>
      </c>
      <c r="E394" s="1347">
        <v>0</v>
      </c>
      <c r="F394" s="1347">
        <v>97.313579210559041</v>
      </c>
      <c r="G394" s="1347">
        <v>0</v>
      </c>
      <c r="H394" s="1348">
        <v>97.313579210559041</v>
      </c>
      <c r="I394" s="1347">
        <v>75.544484939094673</v>
      </c>
      <c r="J394" s="1347">
        <v>0</v>
      </c>
      <c r="K394" s="1348">
        <v>172.85806414965373</v>
      </c>
      <c r="L394" s="1349">
        <f t="shared" si="77"/>
        <v>172.85806414965373</v>
      </c>
      <c r="M394" s="1350"/>
      <c r="N394" s="398"/>
      <c r="O394" s="398"/>
      <c r="P394" s="591" t="s">
        <v>429</v>
      </c>
      <c r="Q394" s="398"/>
      <c r="R394" s="398"/>
      <c r="S394" s="398"/>
      <c r="T394" s="397"/>
    </row>
    <row r="395" spans="1:20" ht="15.75" x14ac:dyDescent="0.25">
      <c r="A395" s="1351"/>
      <c r="B395" s="1424"/>
      <c r="C395" s="1380" t="s">
        <v>144</v>
      </c>
      <c r="D395" s="1369"/>
      <c r="E395" s="1347">
        <v>0</v>
      </c>
      <c r="F395" s="1347">
        <v>121.17891897585818</v>
      </c>
      <c r="G395" s="1347">
        <v>0</v>
      </c>
      <c r="H395" s="1348">
        <v>121.17891897585818</v>
      </c>
      <c r="I395" s="1347">
        <v>83.173666194748776</v>
      </c>
      <c r="J395" s="1347">
        <v>0</v>
      </c>
      <c r="K395" s="1348">
        <v>204.35258517060697</v>
      </c>
      <c r="L395" s="1349">
        <f t="shared" si="77"/>
        <v>204.35258517060697</v>
      </c>
      <c r="M395" s="1350"/>
      <c r="N395" s="398"/>
      <c r="O395" s="398"/>
      <c r="P395" s="591" t="s">
        <v>429</v>
      </c>
      <c r="Q395" s="398"/>
      <c r="R395" s="398"/>
      <c r="S395" s="398"/>
      <c r="T395" s="397"/>
    </row>
    <row r="396" spans="1:20" ht="15.75" x14ac:dyDescent="0.25">
      <c r="A396" s="1351"/>
      <c r="B396" s="1424"/>
      <c r="C396" s="1380" t="s">
        <v>145</v>
      </c>
      <c r="D396" s="1369"/>
      <c r="E396" s="1347">
        <v>0</v>
      </c>
      <c r="F396" s="1347">
        <v>98.111745441437108</v>
      </c>
      <c r="G396" s="1347">
        <v>0</v>
      </c>
      <c r="H396" s="1348">
        <v>98.111745441437108</v>
      </c>
      <c r="I396" s="1347">
        <v>65.393708457227035</v>
      </c>
      <c r="J396" s="1347">
        <v>0</v>
      </c>
      <c r="K396" s="1348">
        <v>163.50545389866414</v>
      </c>
      <c r="L396" s="1349">
        <f t="shared" si="77"/>
        <v>163.50545389866414</v>
      </c>
      <c r="M396" s="1350"/>
      <c r="N396" s="398"/>
      <c r="O396" s="398"/>
      <c r="P396" s="591" t="s">
        <v>429</v>
      </c>
      <c r="Q396" s="398"/>
      <c r="R396" s="398"/>
      <c r="S396" s="398"/>
      <c r="T396" s="397"/>
    </row>
    <row r="397" spans="1:20" ht="15.75" x14ac:dyDescent="0.25">
      <c r="A397" s="1351"/>
      <c r="B397" s="1424"/>
      <c r="C397" s="1380" t="s">
        <v>146</v>
      </c>
      <c r="D397" s="1369"/>
      <c r="E397" s="1347">
        <v>0</v>
      </c>
      <c r="F397" s="1347">
        <v>112.47195911545151</v>
      </c>
      <c r="G397" s="1347">
        <v>0</v>
      </c>
      <c r="H397" s="1348">
        <v>112.47195911545151</v>
      </c>
      <c r="I397" s="1347">
        <v>70.65042108606734</v>
      </c>
      <c r="J397" s="1347">
        <v>0</v>
      </c>
      <c r="K397" s="1348">
        <v>183.12238020151887</v>
      </c>
      <c r="L397" s="1349">
        <f t="shared" si="77"/>
        <v>183.12238020151887</v>
      </c>
      <c r="M397" s="1350"/>
      <c r="N397" s="398"/>
      <c r="O397" s="398"/>
      <c r="P397" s="591" t="s">
        <v>429</v>
      </c>
      <c r="Q397" s="398"/>
      <c r="R397" s="398"/>
      <c r="S397" s="398"/>
      <c r="T397" s="397"/>
    </row>
    <row r="398" spans="1:20" ht="15.75" x14ac:dyDescent="0.25">
      <c r="A398" s="1351"/>
      <c r="B398" s="1424"/>
      <c r="C398" s="1380" t="s">
        <v>147</v>
      </c>
      <c r="D398" s="1369"/>
      <c r="E398" s="1347">
        <v>0</v>
      </c>
      <c r="F398" s="1347">
        <v>90.043657489822451</v>
      </c>
      <c r="G398" s="1347">
        <v>0</v>
      </c>
      <c r="H398" s="1348">
        <v>90.043657489822451</v>
      </c>
      <c r="I398" s="1347">
        <v>59.538794810340121</v>
      </c>
      <c r="J398" s="1347">
        <v>0</v>
      </c>
      <c r="K398" s="1348">
        <v>149.58245230016257</v>
      </c>
      <c r="L398" s="1349">
        <f t="shared" si="77"/>
        <v>149.58245230016257</v>
      </c>
      <c r="M398" s="1350"/>
      <c r="N398" s="398"/>
      <c r="O398" s="398"/>
      <c r="P398" s="591" t="s">
        <v>429</v>
      </c>
      <c r="Q398" s="398"/>
      <c r="R398" s="398"/>
      <c r="S398" s="398"/>
      <c r="T398" s="397"/>
    </row>
    <row r="399" spans="1:20" ht="15.75" x14ac:dyDescent="0.25">
      <c r="A399" s="1351"/>
      <c r="B399" s="1424"/>
      <c r="C399" s="1380" t="s">
        <v>148</v>
      </c>
      <c r="D399" s="1369"/>
      <c r="E399" s="1347">
        <v>0</v>
      </c>
      <c r="F399" s="1347">
        <v>86.322270986620239</v>
      </c>
      <c r="G399" s="1347">
        <v>0</v>
      </c>
      <c r="H399" s="1348">
        <v>86.322270986620239</v>
      </c>
      <c r="I399" s="1347">
        <v>65.227635653350077</v>
      </c>
      <c r="J399" s="1347">
        <v>0</v>
      </c>
      <c r="K399" s="1348">
        <v>151.54990663997032</v>
      </c>
      <c r="L399" s="1349">
        <f t="shared" si="77"/>
        <v>151.54990663997032</v>
      </c>
      <c r="M399" s="1350"/>
      <c r="N399" s="398"/>
      <c r="O399" s="398"/>
      <c r="P399" s="591" t="s">
        <v>429</v>
      </c>
      <c r="Q399" s="398"/>
      <c r="R399" s="398"/>
      <c r="S399" s="398"/>
      <c r="T399" s="397"/>
    </row>
    <row r="400" spans="1:20" ht="15.75" x14ac:dyDescent="0.25">
      <c r="A400" s="1351"/>
      <c r="B400" s="1424"/>
      <c r="C400" s="1380" t="s">
        <v>149</v>
      </c>
      <c r="D400" s="1369"/>
      <c r="E400" s="1347">
        <v>0</v>
      </c>
      <c r="F400" s="1347">
        <v>147.76412455975458</v>
      </c>
      <c r="G400" s="1347">
        <v>0</v>
      </c>
      <c r="H400" s="1348">
        <v>147.76412455975458</v>
      </c>
      <c r="I400" s="1347">
        <v>67.793291011204431</v>
      </c>
      <c r="J400" s="1347">
        <v>0</v>
      </c>
      <c r="K400" s="1348">
        <v>215.55741557095899</v>
      </c>
      <c r="L400" s="1349">
        <f t="shared" si="77"/>
        <v>215.55741557095899</v>
      </c>
      <c r="M400" s="1350"/>
      <c r="N400" s="398"/>
      <c r="O400" s="398"/>
      <c r="P400" s="591" t="s">
        <v>429</v>
      </c>
      <c r="Q400" s="398"/>
      <c r="R400" s="398"/>
      <c r="S400" s="398"/>
      <c r="T400" s="397"/>
    </row>
    <row r="401" spans="1:20" ht="16.5" thickBot="1" x14ac:dyDescent="0.3">
      <c r="A401" s="1374"/>
      <c r="B401" s="1424"/>
      <c r="C401" s="1381" t="s">
        <v>150</v>
      </c>
      <c r="D401" s="1356"/>
      <c r="E401" s="1347">
        <v>0</v>
      </c>
      <c r="F401" s="1347">
        <v>107.49994272182887</v>
      </c>
      <c r="G401" s="1347">
        <v>0</v>
      </c>
      <c r="H401" s="1348">
        <v>107.49994272182887</v>
      </c>
      <c r="I401" s="1347">
        <v>52.450197477510017</v>
      </c>
      <c r="J401" s="1347">
        <v>0</v>
      </c>
      <c r="K401" s="1348">
        <v>159.95014019933888</v>
      </c>
      <c r="L401" s="1349">
        <f t="shared" si="77"/>
        <v>159.95014019933888</v>
      </c>
      <c r="M401" s="1350"/>
      <c r="N401" s="398"/>
      <c r="O401" s="398"/>
      <c r="P401" s="591" t="s">
        <v>429</v>
      </c>
      <c r="Q401" s="398"/>
      <c r="R401" s="398"/>
      <c r="S401" s="398"/>
      <c r="T401" s="397"/>
    </row>
    <row r="402" spans="1:20" ht="15.75" x14ac:dyDescent="0.25">
      <c r="A402" s="1371" t="s">
        <v>26</v>
      </c>
      <c r="B402" s="1424"/>
      <c r="C402" s="1414" t="s">
        <v>151</v>
      </c>
      <c r="D402" s="1406">
        <v>35200</v>
      </c>
      <c r="E402" s="1347">
        <v>90.429343931200734</v>
      </c>
      <c r="F402" s="1347">
        <v>302.95133233435405</v>
      </c>
      <c r="G402" s="1347">
        <v>0</v>
      </c>
      <c r="H402" s="1348">
        <v>393.38067626555477</v>
      </c>
      <c r="I402" s="1347">
        <v>221.38250048863119</v>
      </c>
      <c r="J402" s="1347">
        <v>61.480661063695784</v>
      </c>
      <c r="K402" s="1348">
        <v>676.24383781788185</v>
      </c>
      <c r="L402" s="1349">
        <f t="shared" si="77"/>
        <v>676.24383781788174</v>
      </c>
      <c r="M402" s="1350"/>
      <c r="N402" s="398"/>
      <c r="O402" s="398"/>
      <c r="P402" s="591" t="s">
        <v>429</v>
      </c>
      <c r="Q402" s="591" t="s">
        <v>429</v>
      </c>
      <c r="R402" s="398"/>
      <c r="S402" s="398"/>
      <c r="T402" s="397"/>
    </row>
    <row r="403" spans="1:20" ht="15.75" x14ac:dyDescent="0.25">
      <c r="A403" s="1351"/>
      <c r="B403" s="1424"/>
      <c r="C403" s="1380" t="s">
        <v>152</v>
      </c>
      <c r="D403" s="1369"/>
      <c r="E403" s="1347">
        <v>35.756943992008168</v>
      </c>
      <c r="F403" s="1347">
        <v>125.73023215410342</v>
      </c>
      <c r="G403" s="1347">
        <v>0</v>
      </c>
      <c r="H403" s="1348">
        <v>161.48717614611158</v>
      </c>
      <c r="I403" s="1347">
        <v>154.35316090081875</v>
      </c>
      <c r="J403" s="1347">
        <v>31.587291245900929</v>
      </c>
      <c r="K403" s="1348">
        <v>347.42762829283129</v>
      </c>
      <c r="L403" s="1349">
        <f t="shared" ref="L403:L433" si="78">H403+I403+J403</f>
        <v>347.42762829283129</v>
      </c>
      <c r="M403" s="1350"/>
      <c r="N403" s="398"/>
      <c r="O403" s="398"/>
      <c r="P403" s="591" t="s">
        <v>429</v>
      </c>
      <c r="Q403" s="591" t="s">
        <v>429</v>
      </c>
      <c r="R403" s="398"/>
      <c r="S403" s="398"/>
      <c r="T403" s="397"/>
    </row>
    <row r="404" spans="1:20" ht="15.75" x14ac:dyDescent="0.25">
      <c r="A404" s="1351"/>
      <c r="B404" s="1424"/>
      <c r="C404" s="1380" t="s">
        <v>153</v>
      </c>
      <c r="D404" s="1369"/>
      <c r="E404" s="1347">
        <v>66.486416053163069</v>
      </c>
      <c r="F404" s="1347">
        <v>113.72076356765913</v>
      </c>
      <c r="G404" s="1347">
        <v>0</v>
      </c>
      <c r="H404" s="1348">
        <v>180.20717962082222</v>
      </c>
      <c r="I404" s="1347">
        <v>121.81032423393489</v>
      </c>
      <c r="J404" s="1347">
        <v>30.197406997198513</v>
      </c>
      <c r="K404" s="1348">
        <v>332.21491085195566</v>
      </c>
      <c r="L404" s="1349">
        <f t="shared" si="78"/>
        <v>332.21491085195566</v>
      </c>
      <c r="M404" s="1350"/>
      <c r="N404" s="398"/>
      <c r="O404" s="398"/>
      <c r="P404" s="591" t="s">
        <v>429</v>
      </c>
      <c r="Q404" s="591" t="s">
        <v>429</v>
      </c>
      <c r="R404" s="398"/>
      <c r="S404" s="398"/>
      <c r="T404" s="397"/>
    </row>
    <row r="405" spans="1:20" ht="15.75" x14ac:dyDescent="0.25">
      <c r="A405" s="1351"/>
      <c r="B405" s="1424"/>
      <c r="C405" s="1380" t="s">
        <v>214</v>
      </c>
      <c r="D405" s="1369"/>
      <c r="E405" s="1347">
        <v>50.339870132690514</v>
      </c>
      <c r="F405" s="1347">
        <v>123.66712272243578</v>
      </c>
      <c r="G405" s="1347">
        <v>0</v>
      </c>
      <c r="H405" s="1348">
        <v>174.0069928551263</v>
      </c>
      <c r="I405" s="1347">
        <v>260.09294850913199</v>
      </c>
      <c r="J405" s="1347">
        <v>43.412165830564419</v>
      </c>
      <c r="K405" s="1348">
        <v>477.51210719482276</v>
      </c>
      <c r="L405" s="1349">
        <f t="shared" si="78"/>
        <v>477.51210719482265</v>
      </c>
      <c r="M405" s="1350"/>
      <c r="N405" s="398"/>
      <c r="O405" s="398"/>
      <c r="P405" s="591" t="s">
        <v>429</v>
      </c>
      <c r="Q405" s="591" t="s">
        <v>429</v>
      </c>
      <c r="R405" s="398"/>
      <c r="S405" s="398"/>
      <c r="T405" s="397"/>
    </row>
    <row r="406" spans="1:20" ht="16.5" thickBot="1" x14ac:dyDescent="0.3">
      <c r="A406" s="1374"/>
      <c r="B406" s="1424"/>
      <c r="C406" s="1381" t="s">
        <v>154</v>
      </c>
      <c r="D406" s="1356"/>
      <c r="E406" s="1347">
        <v>77.008274154668058</v>
      </c>
      <c r="F406" s="1347">
        <v>121.41941928898733</v>
      </c>
      <c r="G406" s="1347">
        <v>0</v>
      </c>
      <c r="H406" s="1348">
        <v>198.42769344365539</v>
      </c>
      <c r="I406" s="1347">
        <v>210.23085108693294</v>
      </c>
      <c r="J406" s="1347">
        <v>40.871283688405327</v>
      </c>
      <c r="K406" s="1348">
        <v>449.52982821899366</v>
      </c>
      <c r="L406" s="1349">
        <f t="shared" si="78"/>
        <v>449.52982821899366</v>
      </c>
      <c r="M406" s="1350"/>
      <c r="N406" s="396"/>
      <c r="O406" s="396"/>
      <c r="P406" s="591" t="s">
        <v>429</v>
      </c>
      <c r="Q406" s="591" t="s">
        <v>429</v>
      </c>
      <c r="R406" s="398"/>
      <c r="S406" s="398"/>
      <c r="T406" s="397"/>
    </row>
    <row r="407" spans="1:20" ht="15.75" x14ac:dyDescent="0.25">
      <c r="A407" s="1357" t="s">
        <v>28</v>
      </c>
      <c r="B407" s="1622"/>
      <c r="C407" s="1382" t="s">
        <v>160</v>
      </c>
      <c r="D407" s="1406">
        <v>59300</v>
      </c>
      <c r="E407" s="1347">
        <v>197.70344483275088</v>
      </c>
      <c r="F407" s="1347">
        <v>257.61357963055417</v>
      </c>
      <c r="G407" s="1347">
        <v>0</v>
      </c>
      <c r="H407" s="1348">
        <v>455.31702446330507</v>
      </c>
      <c r="I407" s="1347">
        <v>331.00349475786317</v>
      </c>
      <c r="J407" s="1347">
        <v>37.86320519221168</v>
      </c>
      <c r="K407" s="1348">
        <v>824.18372441337999</v>
      </c>
      <c r="L407" s="1349">
        <f t="shared" si="78"/>
        <v>824.18372441337999</v>
      </c>
      <c r="M407" s="1350"/>
      <c r="N407" s="591" t="s">
        <v>429</v>
      </c>
      <c r="O407" s="614"/>
      <c r="P407" s="614"/>
      <c r="Q407" s="591" t="s">
        <v>429</v>
      </c>
      <c r="R407" s="398"/>
      <c r="S407" s="398"/>
      <c r="T407" s="397"/>
    </row>
    <row r="408" spans="1:20" ht="15.75" x14ac:dyDescent="0.25">
      <c r="A408" s="1360"/>
      <c r="B408" s="1622"/>
      <c r="C408" s="1382" t="s">
        <v>603</v>
      </c>
      <c r="D408" s="1369"/>
      <c r="E408" s="1347">
        <v>107.83824263604592</v>
      </c>
      <c r="F408" s="1347">
        <v>239.64053919121318</v>
      </c>
      <c r="G408" s="1347">
        <v>0</v>
      </c>
      <c r="H408" s="1348">
        <v>347.47878182725913</v>
      </c>
      <c r="I408" s="1347">
        <v>461.55766350474283</v>
      </c>
      <c r="J408" s="1347">
        <v>45.611582626060908</v>
      </c>
      <c r="K408" s="1348">
        <v>854.64802795806281</v>
      </c>
      <c r="L408" s="1349">
        <f t="shared" si="78"/>
        <v>854.64802795806281</v>
      </c>
      <c r="M408" s="1350"/>
      <c r="N408" s="591" t="s">
        <v>429</v>
      </c>
      <c r="O408" s="614"/>
      <c r="P408" s="614"/>
      <c r="Q408" s="591" t="s">
        <v>429</v>
      </c>
      <c r="R408" s="398"/>
      <c r="S408" s="398"/>
      <c r="T408" s="397"/>
    </row>
    <row r="409" spans="1:20" ht="15.75" x14ac:dyDescent="0.25">
      <c r="A409" s="1360"/>
      <c r="B409" s="1622"/>
      <c r="C409" s="1382" t="s">
        <v>162</v>
      </c>
      <c r="D409" s="1369"/>
      <c r="E409" s="1347">
        <v>135.79630554168747</v>
      </c>
      <c r="F409" s="1347">
        <v>383.42486270594105</v>
      </c>
      <c r="G409" s="1347">
        <v>0</v>
      </c>
      <c r="H409" s="1348">
        <v>519.2211682476285</v>
      </c>
      <c r="I409" s="1347">
        <v>239.64053919121318</v>
      </c>
      <c r="J409" s="1347">
        <v>32.151772341487771</v>
      </c>
      <c r="K409" s="1348">
        <v>791.01347978032948</v>
      </c>
      <c r="L409" s="1349">
        <f t="shared" si="78"/>
        <v>791.01347978032948</v>
      </c>
      <c r="M409" s="1350"/>
      <c r="N409" s="591" t="s">
        <v>429</v>
      </c>
      <c r="O409" s="614"/>
      <c r="P409" s="614"/>
      <c r="Q409" s="591" t="s">
        <v>429</v>
      </c>
      <c r="R409" s="398"/>
      <c r="S409" s="398"/>
      <c r="T409" s="397"/>
    </row>
    <row r="410" spans="1:20" ht="15.75" x14ac:dyDescent="0.25">
      <c r="A410" s="1360"/>
      <c r="B410" s="1622"/>
      <c r="C410" s="1382" t="s">
        <v>161</v>
      </c>
      <c r="D410" s="1369"/>
      <c r="E410" s="1347">
        <v>69.895157264103844</v>
      </c>
      <c r="F410" s="1347">
        <v>291.56265601597602</v>
      </c>
      <c r="G410" s="1347">
        <v>0</v>
      </c>
      <c r="H410" s="1348">
        <v>361.45781328007985</v>
      </c>
      <c r="I410" s="1347">
        <v>434.34847728407385</v>
      </c>
      <c r="J410" s="1347">
        <v>43.784323514727909</v>
      </c>
      <c r="K410" s="1348">
        <v>839.59061407888157</v>
      </c>
      <c r="L410" s="1349">
        <f t="shared" si="78"/>
        <v>839.59061407888157</v>
      </c>
      <c r="M410" s="1350"/>
      <c r="N410" s="591" t="s">
        <v>429</v>
      </c>
      <c r="O410" s="614"/>
      <c r="P410" s="614"/>
      <c r="Q410" s="591" t="s">
        <v>429</v>
      </c>
      <c r="R410" s="398"/>
      <c r="S410" s="398"/>
      <c r="T410" s="397"/>
    </row>
    <row r="411" spans="1:20" ht="16.5" thickBot="1" x14ac:dyDescent="0.3">
      <c r="A411" s="1362"/>
      <c r="B411" s="1622"/>
      <c r="C411" s="1383" t="s">
        <v>163</v>
      </c>
      <c r="D411" s="1356"/>
      <c r="E411" s="1347">
        <v>4.8227658512231653</v>
      </c>
      <c r="F411" s="1347">
        <v>519.2211682476285</v>
      </c>
      <c r="G411" s="1347">
        <v>0</v>
      </c>
      <c r="H411" s="1348">
        <v>524.04393409885165</v>
      </c>
      <c r="I411" s="1347">
        <v>557.49375936095862</v>
      </c>
      <c r="J411" s="1347">
        <v>57.703444832750868</v>
      </c>
      <c r="K411" s="1348">
        <v>1139.2411382925611</v>
      </c>
      <c r="L411" s="1349">
        <f t="shared" si="78"/>
        <v>1139.2411382925611</v>
      </c>
      <c r="M411" s="1350"/>
      <c r="N411" s="591" t="s">
        <v>429</v>
      </c>
      <c r="O411" s="614"/>
      <c r="P411" s="614"/>
      <c r="Q411" s="591" t="s">
        <v>429</v>
      </c>
      <c r="R411" s="398"/>
      <c r="S411" s="398"/>
      <c r="T411" s="397"/>
    </row>
    <row r="412" spans="1:20" ht="16.5" thickBot="1" x14ac:dyDescent="0.3">
      <c r="A412" s="1420" t="s">
        <v>737</v>
      </c>
      <c r="B412" s="1622"/>
      <c r="C412" s="1418" t="s">
        <v>738</v>
      </c>
      <c r="D412" s="1421">
        <v>16100</v>
      </c>
      <c r="E412" s="1347" t="s">
        <v>5</v>
      </c>
      <c r="F412" s="1347" t="s">
        <v>5</v>
      </c>
      <c r="G412" s="1347" t="s">
        <v>5</v>
      </c>
      <c r="H412" s="1348">
        <v>66.274095207430534</v>
      </c>
      <c r="I412" s="1347">
        <v>18.577437431157538</v>
      </c>
      <c r="J412" s="1347">
        <v>0</v>
      </c>
      <c r="K412" s="1348">
        <v>84.851532638588068</v>
      </c>
      <c r="L412" s="1349">
        <f t="shared" si="78"/>
        <v>84.851532638588068</v>
      </c>
      <c r="M412" s="1350"/>
      <c r="N412" s="591"/>
      <c r="O412" s="591" t="s">
        <v>429</v>
      </c>
      <c r="P412" s="614"/>
      <c r="Q412" s="591" t="s">
        <v>429</v>
      </c>
      <c r="R412" s="398"/>
      <c r="S412" s="398"/>
      <c r="T412" s="397"/>
    </row>
    <row r="413" spans="1:20" ht="15.75" x14ac:dyDescent="0.25">
      <c r="A413" s="1422" t="s">
        <v>505</v>
      </c>
      <c r="B413" s="1424"/>
      <c r="C413" s="1414" t="s">
        <v>746</v>
      </c>
      <c r="D413" s="1406">
        <v>2100</v>
      </c>
      <c r="E413" s="1347">
        <v>6.2107469240751092</v>
      </c>
      <c r="F413" s="1347">
        <v>134.41830842819701</v>
      </c>
      <c r="G413" s="1347">
        <v>0</v>
      </c>
      <c r="H413" s="1348">
        <v>140.6290553522721</v>
      </c>
      <c r="I413" s="1347">
        <v>29.415057002521024</v>
      </c>
      <c r="J413" s="1347">
        <v>0</v>
      </c>
      <c r="K413" s="1348">
        <v>170.04411235479313</v>
      </c>
      <c r="L413" s="1349">
        <f t="shared" si="78"/>
        <v>170.04411235479313</v>
      </c>
      <c r="M413" s="1350"/>
      <c r="N413" s="591" t="s">
        <v>429</v>
      </c>
      <c r="O413" s="398"/>
      <c r="P413" s="398"/>
      <c r="Q413" s="591" t="s">
        <v>429</v>
      </c>
      <c r="R413" s="591" t="s">
        <v>429</v>
      </c>
      <c r="S413" s="398"/>
      <c r="T413" s="397"/>
    </row>
    <row r="414" spans="1:20" ht="15.75" x14ac:dyDescent="0.25">
      <c r="A414" s="1407"/>
      <c r="B414" s="1424"/>
      <c r="C414" s="1380" t="s">
        <v>747</v>
      </c>
      <c r="D414" s="1369"/>
      <c r="E414" s="1347">
        <v>5.6983294343154336</v>
      </c>
      <c r="F414" s="1347">
        <v>138.68110452774681</v>
      </c>
      <c r="G414" s="1347">
        <v>0</v>
      </c>
      <c r="H414" s="1348">
        <v>144.37943396206225</v>
      </c>
      <c r="I414" s="1347">
        <v>48.637327552111621</v>
      </c>
      <c r="J414" s="1347">
        <v>0</v>
      </c>
      <c r="K414" s="1348">
        <v>193.01676151417388</v>
      </c>
      <c r="L414" s="1349">
        <f t="shared" si="78"/>
        <v>193.01676151417388</v>
      </c>
      <c r="M414" s="1350"/>
      <c r="N414" s="591" t="s">
        <v>429</v>
      </c>
      <c r="O414" s="398"/>
      <c r="P414" s="398"/>
      <c r="Q414" s="591" t="s">
        <v>429</v>
      </c>
      <c r="R414" s="591" t="s">
        <v>429</v>
      </c>
      <c r="S414" s="398"/>
      <c r="T414" s="397"/>
    </row>
    <row r="415" spans="1:20" ht="15.75" x14ac:dyDescent="0.25">
      <c r="A415" s="1407"/>
      <c r="B415" s="1424"/>
      <c r="C415" s="1380" t="s">
        <v>748</v>
      </c>
      <c r="D415" s="1369"/>
      <c r="E415" s="1347">
        <v>6.8004827155024818</v>
      </c>
      <c r="F415" s="1347">
        <v>136.9877455254429</v>
      </c>
      <c r="G415" s="1347">
        <v>0</v>
      </c>
      <c r="H415" s="1348">
        <v>143.78822824094539</v>
      </c>
      <c r="I415" s="1347">
        <v>17.160841153035896</v>
      </c>
      <c r="J415" s="1347">
        <v>0</v>
      </c>
      <c r="K415" s="1348">
        <v>160.94906939398129</v>
      </c>
      <c r="L415" s="1349">
        <f t="shared" si="78"/>
        <v>160.94906939398129</v>
      </c>
      <c r="M415" s="1350"/>
      <c r="N415" s="591" t="s">
        <v>429</v>
      </c>
      <c r="O415" s="398"/>
      <c r="P415" s="398"/>
      <c r="Q415" s="591" t="s">
        <v>429</v>
      </c>
      <c r="R415" s="591" t="s">
        <v>429</v>
      </c>
      <c r="S415" s="398"/>
      <c r="T415" s="397"/>
    </row>
    <row r="416" spans="1:20" ht="16.5" thickBot="1" x14ac:dyDescent="0.3">
      <c r="A416" s="1409"/>
      <c r="B416" s="1424"/>
      <c r="C416" s="1381" t="s">
        <v>749</v>
      </c>
      <c r="D416" s="1356"/>
      <c r="E416" s="1347">
        <v>6.0869788442192148</v>
      </c>
      <c r="F416" s="1347">
        <v>141.14617661703821</v>
      </c>
      <c r="G416" s="1347">
        <v>0</v>
      </c>
      <c r="H416" s="1348">
        <v>147.23315546125741</v>
      </c>
      <c r="I416" s="1347">
        <v>19.834055286360471</v>
      </c>
      <c r="J416" s="1347">
        <v>0</v>
      </c>
      <c r="K416" s="1348">
        <v>167.06721074761788</v>
      </c>
      <c r="L416" s="1349">
        <f t="shared" si="78"/>
        <v>167.06721074761788</v>
      </c>
      <c r="M416" s="1350"/>
      <c r="N416" s="591" t="s">
        <v>429</v>
      </c>
      <c r="O416" s="398"/>
      <c r="P416" s="398"/>
      <c r="Q416" s="591" t="s">
        <v>429</v>
      </c>
      <c r="R416" s="591" t="s">
        <v>429</v>
      </c>
      <c r="S416" s="398"/>
      <c r="T416" s="397"/>
    </row>
    <row r="417" spans="1:20" ht="15.75" x14ac:dyDescent="0.25">
      <c r="A417" s="1357" t="s">
        <v>456</v>
      </c>
      <c r="B417" s="1622"/>
      <c r="C417" s="1382" t="s">
        <v>165</v>
      </c>
      <c r="D417" s="1406">
        <v>41200</v>
      </c>
      <c r="E417" s="1347">
        <v>43.504531722054381</v>
      </c>
      <c r="F417" s="1347">
        <v>437.37381180458328</v>
      </c>
      <c r="G417" s="1347">
        <v>0</v>
      </c>
      <c r="H417" s="1348">
        <v>480.87834352663765</v>
      </c>
      <c r="I417" s="1347">
        <v>377.14243607692873</v>
      </c>
      <c r="J417" s="1347">
        <v>0</v>
      </c>
      <c r="K417" s="1348">
        <v>858.02077960356633</v>
      </c>
      <c r="L417" s="1349">
        <f t="shared" si="78"/>
        <v>858.02077960356633</v>
      </c>
      <c r="M417" s="1350"/>
      <c r="N417" s="398"/>
      <c r="O417" s="398"/>
      <c r="P417" s="398"/>
      <c r="Q417" s="398"/>
      <c r="R417" s="398"/>
      <c r="S417" s="398"/>
      <c r="T417" s="2191"/>
    </row>
    <row r="418" spans="1:20" ht="15.75" x14ac:dyDescent="0.25">
      <c r="A418" s="1360"/>
      <c r="B418" s="1622"/>
      <c r="C418" s="1382" t="s">
        <v>166</v>
      </c>
      <c r="D418" s="1369"/>
      <c r="E418" s="1347">
        <v>50.696337779087763</v>
      </c>
      <c r="F418" s="1347">
        <v>385.49848942598186</v>
      </c>
      <c r="G418" s="1347">
        <v>0</v>
      </c>
      <c r="H418" s="1348">
        <v>436.1948272050696</v>
      </c>
      <c r="I418" s="1347">
        <v>611.83405791761845</v>
      </c>
      <c r="J418" s="1347">
        <v>0</v>
      </c>
      <c r="K418" s="1348">
        <v>1048.0288851226881</v>
      </c>
      <c r="L418" s="1349">
        <f t="shared" si="78"/>
        <v>1048.0288851226881</v>
      </c>
      <c r="M418" s="1350"/>
      <c r="N418" s="398"/>
      <c r="O418" s="398"/>
      <c r="P418" s="398"/>
      <c r="Q418" s="398"/>
      <c r="R418" s="398"/>
      <c r="S418" s="398"/>
      <c r="T418" s="2191"/>
    </row>
    <row r="419" spans="1:20" ht="15.75" x14ac:dyDescent="0.25">
      <c r="A419" s="1360"/>
      <c r="B419" s="1622"/>
      <c r="C419" s="1382" t="s">
        <v>167</v>
      </c>
      <c r="D419" s="1369"/>
      <c r="E419" s="1347">
        <v>31.31677842458183</v>
      </c>
      <c r="F419" s="1347">
        <v>372.23491268145312</v>
      </c>
      <c r="G419" s="1347">
        <v>0</v>
      </c>
      <c r="H419" s="1348">
        <v>403.55169110603498</v>
      </c>
      <c r="I419" s="1347">
        <v>334.55161741949746</v>
      </c>
      <c r="J419" s="1347">
        <v>0</v>
      </c>
      <c r="K419" s="1348">
        <v>738.10330852553238</v>
      </c>
      <c r="L419" s="1349">
        <f t="shared" si="78"/>
        <v>738.10330852553238</v>
      </c>
      <c r="M419" s="1350"/>
      <c r="N419" s="398"/>
      <c r="O419" s="398"/>
      <c r="P419" s="398"/>
      <c r="Q419" s="398"/>
      <c r="R419" s="398"/>
      <c r="S419" s="398"/>
      <c r="T419" s="2191"/>
    </row>
    <row r="420" spans="1:20" ht="15.75" x14ac:dyDescent="0.25">
      <c r="A420" s="1360"/>
      <c r="B420" s="1622"/>
      <c r="C420" s="1382" t="s">
        <v>168</v>
      </c>
      <c r="D420" s="1369"/>
      <c r="E420" s="1347">
        <v>51.271092771350673</v>
      </c>
      <c r="F420" s="1347">
        <v>515.8057622872301</v>
      </c>
      <c r="G420" s="1347">
        <v>0</v>
      </c>
      <c r="H420" s="1348">
        <v>567.0768550585808</v>
      </c>
      <c r="I420" s="1347">
        <v>493.16925797656768</v>
      </c>
      <c r="J420" s="1347">
        <v>0</v>
      </c>
      <c r="K420" s="1348">
        <v>1060.2461130351485</v>
      </c>
      <c r="L420" s="1349">
        <f t="shared" si="78"/>
        <v>1060.2461130351485</v>
      </c>
      <c r="M420" s="1350"/>
      <c r="N420" s="398"/>
      <c r="O420" s="398"/>
      <c r="P420" s="398"/>
      <c r="Q420" s="398"/>
      <c r="R420" s="398"/>
      <c r="S420" s="398"/>
      <c r="T420" s="2191"/>
    </row>
    <row r="421" spans="1:20" ht="16.5" thickBot="1" x14ac:dyDescent="0.3">
      <c r="A421" s="1362"/>
      <c r="B421" s="1622"/>
      <c r="C421" s="1382" t="s">
        <v>169</v>
      </c>
      <c r="D421" s="1356"/>
      <c r="E421" s="1347">
        <v>32.996831478888808</v>
      </c>
      <c r="F421" s="1347">
        <v>373.14862574607616</v>
      </c>
      <c r="G421" s="1347">
        <v>0</v>
      </c>
      <c r="H421" s="1348">
        <v>406.14545722496496</v>
      </c>
      <c r="I421" s="1347">
        <v>528.42089750202638</v>
      </c>
      <c r="J421" s="1347">
        <v>0</v>
      </c>
      <c r="K421" s="1348">
        <v>934.56635472699134</v>
      </c>
      <c r="L421" s="1349">
        <f t="shared" si="78"/>
        <v>934.56635472699134</v>
      </c>
      <c r="M421" s="1350"/>
      <c r="N421" s="398"/>
      <c r="O421" s="398"/>
      <c r="P421" s="398"/>
      <c r="Q421" s="398"/>
      <c r="R421" s="398"/>
      <c r="S421" s="398"/>
      <c r="T421" s="2191"/>
    </row>
    <row r="422" spans="1:20" ht="15.75" x14ac:dyDescent="0.25">
      <c r="A422" s="1423" t="s">
        <v>31</v>
      </c>
      <c r="B422" s="1424"/>
      <c r="C422" s="1414" t="s">
        <v>170</v>
      </c>
      <c r="D422" s="1406">
        <v>56300</v>
      </c>
      <c r="E422" s="1347">
        <v>178.85</v>
      </c>
      <c r="F422" s="1347">
        <v>269.10000000000002</v>
      </c>
      <c r="G422" s="1347">
        <v>0</v>
      </c>
      <c r="H422" s="1348">
        <v>447.95000000000005</v>
      </c>
      <c r="I422" s="1347">
        <v>427.87</v>
      </c>
      <c r="J422" s="1347">
        <v>0</v>
      </c>
      <c r="K422" s="1348">
        <v>875.82</v>
      </c>
      <c r="L422" s="1349">
        <f t="shared" si="78"/>
        <v>875.82</v>
      </c>
      <c r="M422" s="1367"/>
      <c r="N422" s="591" t="s">
        <v>429</v>
      </c>
      <c r="O422" s="591"/>
      <c r="P422" s="591"/>
      <c r="Q422" s="591" t="s">
        <v>429</v>
      </c>
      <c r="R422" s="591" t="s">
        <v>429</v>
      </c>
      <c r="S422" s="591"/>
      <c r="T422" s="397"/>
    </row>
    <row r="423" spans="1:20" ht="15.75" x14ac:dyDescent="0.25">
      <c r="A423" s="1424"/>
      <c r="B423" s="1424"/>
      <c r="C423" s="1380" t="s">
        <v>171</v>
      </c>
      <c r="D423" s="1369"/>
      <c r="E423" s="1347">
        <v>46.32</v>
      </c>
      <c r="F423" s="1347">
        <v>236.58</v>
      </c>
      <c r="G423" s="1347">
        <v>75.599999999999994</v>
      </c>
      <c r="H423" s="1348">
        <v>358.5</v>
      </c>
      <c r="I423" s="1347">
        <v>629.46</v>
      </c>
      <c r="J423" s="1347">
        <v>0</v>
      </c>
      <c r="K423" s="1348">
        <v>987.96</v>
      </c>
      <c r="L423" s="1349">
        <f t="shared" si="78"/>
        <v>987.96</v>
      </c>
      <c r="M423" s="1367"/>
      <c r="N423" s="591" t="s">
        <v>429</v>
      </c>
      <c r="O423" s="591"/>
      <c r="P423" s="591"/>
      <c r="Q423" s="591" t="s">
        <v>429</v>
      </c>
      <c r="R423" s="591" t="s">
        <v>429</v>
      </c>
      <c r="S423" s="591"/>
      <c r="T423" s="397"/>
    </row>
    <row r="424" spans="1:20" ht="15.75" x14ac:dyDescent="0.25">
      <c r="A424" s="1424"/>
      <c r="B424" s="1424"/>
      <c r="C424" s="1380" t="s">
        <v>172</v>
      </c>
      <c r="D424" s="1369"/>
      <c r="E424" s="1347">
        <v>0</v>
      </c>
      <c r="F424" s="1347">
        <v>330.11</v>
      </c>
      <c r="G424" s="1347">
        <v>0</v>
      </c>
      <c r="H424" s="1348">
        <v>330.11</v>
      </c>
      <c r="I424" s="1347">
        <v>300.02999999999997</v>
      </c>
      <c r="J424" s="1347">
        <v>0</v>
      </c>
      <c r="K424" s="1348">
        <v>630.14</v>
      </c>
      <c r="L424" s="1349">
        <f t="shared" si="78"/>
        <v>630.14</v>
      </c>
      <c r="M424" s="1367"/>
      <c r="N424" s="591" t="s">
        <v>429</v>
      </c>
      <c r="O424" s="591"/>
      <c r="P424" s="591"/>
      <c r="Q424" s="591"/>
      <c r="R424" s="591" t="s">
        <v>429</v>
      </c>
      <c r="S424" s="591"/>
      <c r="T424" s="397"/>
    </row>
    <row r="425" spans="1:20" ht="15.75" x14ac:dyDescent="0.25">
      <c r="A425" s="1424"/>
      <c r="B425" s="1424"/>
      <c r="C425" s="1380" t="s">
        <v>173</v>
      </c>
      <c r="D425" s="1369"/>
      <c r="E425" s="1347">
        <v>0</v>
      </c>
      <c r="F425" s="1347">
        <v>201.31</v>
      </c>
      <c r="G425" s="1347">
        <v>0</v>
      </c>
      <c r="H425" s="1348">
        <v>201.31</v>
      </c>
      <c r="I425" s="1347">
        <v>201.31</v>
      </c>
      <c r="J425" s="1347">
        <v>0</v>
      </c>
      <c r="K425" s="1348">
        <v>402.62</v>
      </c>
      <c r="L425" s="1349">
        <f t="shared" si="78"/>
        <v>402.62</v>
      </c>
      <c r="M425" s="1367"/>
      <c r="N425" s="591" t="s">
        <v>429</v>
      </c>
      <c r="O425" s="591"/>
      <c r="P425" s="591"/>
      <c r="Q425" s="591"/>
      <c r="R425" s="591" t="s">
        <v>429</v>
      </c>
      <c r="S425" s="591"/>
      <c r="T425" s="397"/>
    </row>
    <row r="426" spans="1:20" ht="15.75" x14ac:dyDescent="0.25">
      <c r="A426" s="1424"/>
      <c r="B426" s="1424"/>
      <c r="C426" s="1380" t="s">
        <v>174</v>
      </c>
      <c r="D426" s="1369"/>
      <c r="E426" s="1347">
        <v>105.48</v>
      </c>
      <c r="F426" s="1347">
        <v>137.37</v>
      </c>
      <c r="G426" s="1347">
        <v>0</v>
      </c>
      <c r="H426" s="1348">
        <v>242.85000000000002</v>
      </c>
      <c r="I426" s="1347">
        <v>323.68</v>
      </c>
      <c r="J426" s="1347">
        <v>0</v>
      </c>
      <c r="K426" s="1348">
        <v>566.53</v>
      </c>
      <c r="L426" s="1349">
        <f t="shared" si="78"/>
        <v>566.53</v>
      </c>
      <c r="M426" s="1367"/>
      <c r="N426" s="591"/>
      <c r="O426" s="591"/>
      <c r="P426" s="591" t="s">
        <v>429</v>
      </c>
      <c r="Q426" s="591" t="s">
        <v>429</v>
      </c>
      <c r="R426" s="591" t="s">
        <v>429</v>
      </c>
      <c r="S426" s="591"/>
      <c r="T426" s="397"/>
    </row>
    <row r="427" spans="1:20" ht="15.75" x14ac:dyDescent="0.25">
      <c r="A427" s="1424"/>
      <c r="B427" s="1424"/>
      <c r="C427" s="1380" t="s">
        <v>175</v>
      </c>
      <c r="D427" s="1369"/>
      <c r="E427" s="1347">
        <v>38.4</v>
      </c>
      <c r="F427" s="1347">
        <v>26.24</v>
      </c>
      <c r="G427" s="1347">
        <v>0</v>
      </c>
      <c r="H427" s="1348">
        <v>64.64</v>
      </c>
      <c r="I427" s="1347">
        <v>136.88</v>
      </c>
      <c r="J427" s="1347">
        <v>0</v>
      </c>
      <c r="K427" s="1348">
        <v>201.51999999999998</v>
      </c>
      <c r="L427" s="1349">
        <f t="shared" si="78"/>
        <v>201.51999999999998</v>
      </c>
      <c r="M427" s="1367"/>
      <c r="N427" s="591"/>
      <c r="O427" s="591"/>
      <c r="P427" s="591" t="s">
        <v>429</v>
      </c>
      <c r="Q427" s="591" t="s">
        <v>429</v>
      </c>
      <c r="R427" s="591" t="s">
        <v>429</v>
      </c>
      <c r="S427" s="591"/>
      <c r="T427" s="397"/>
    </row>
    <row r="428" spans="1:20" ht="16.5" thickBot="1" x14ac:dyDescent="0.3">
      <c r="A428" s="1425"/>
      <c r="B428" s="1424"/>
      <c r="C428" s="1426" t="s">
        <v>212</v>
      </c>
      <c r="D428" s="1356"/>
      <c r="E428" s="1347">
        <v>42</v>
      </c>
      <c r="F428" s="1347">
        <v>244.71</v>
      </c>
      <c r="G428" s="1347">
        <v>0</v>
      </c>
      <c r="H428" s="1348">
        <v>286.71000000000004</v>
      </c>
      <c r="I428" s="1347">
        <v>292.05</v>
      </c>
      <c r="J428" s="1347">
        <v>22.22</v>
      </c>
      <c r="K428" s="1348">
        <v>600.98</v>
      </c>
      <c r="L428" s="1349">
        <f t="shared" si="78"/>
        <v>600.98</v>
      </c>
      <c r="M428" s="1367"/>
      <c r="N428" s="591" t="s">
        <v>429</v>
      </c>
      <c r="O428" s="591"/>
      <c r="P428" s="591"/>
      <c r="Q428" s="591" t="s">
        <v>429</v>
      </c>
      <c r="R428" s="591" t="s">
        <v>429</v>
      </c>
      <c r="S428" s="591"/>
      <c r="T428" s="397"/>
    </row>
    <row r="429" spans="1:20" ht="15.75" x14ac:dyDescent="0.25">
      <c r="A429" s="1357" t="s">
        <v>718</v>
      </c>
      <c r="B429" s="1622"/>
      <c r="C429" s="1382" t="s">
        <v>761</v>
      </c>
      <c r="D429" s="1406">
        <v>4300</v>
      </c>
      <c r="E429" s="1347">
        <v>0.90411580638540834</v>
      </c>
      <c r="F429" s="1347">
        <v>82.182318568820847</v>
      </c>
      <c r="G429" s="1347">
        <v>0</v>
      </c>
      <c r="H429" s="1348">
        <v>83.086434375206252</v>
      </c>
      <c r="I429" s="1347">
        <v>26.706676804818574</v>
      </c>
      <c r="J429" s="1347">
        <v>0</v>
      </c>
      <c r="K429" s="1348">
        <v>109.79311118002482</v>
      </c>
      <c r="L429" s="1349">
        <f t="shared" si="78"/>
        <v>109.79311118002482</v>
      </c>
      <c r="M429" s="1367" t="s">
        <v>429</v>
      </c>
      <c r="N429" s="591"/>
      <c r="O429" s="614"/>
      <c r="P429" s="591" t="s">
        <v>429</v>
      </c>
      <c r="Q429" s="591" t="s">
        <v>429</v>
      </c>
      <c r="R429" s="591" t="s">
        <v>429</v>
      </c>
      <c r="S429" s="398"/>
      <c r="T429" s="397"/>
    </row>
    <row r="430" spans="1:20" ht="15.75" x14ac:dyDescent="0.25">
      <c r="A430" s="1360"/>
      <c r="B430" s="1622"/>
      <c r="C430" s="1382" t="s">
        <v>746</v>
      </c>
      <c r="D430" s="1369"/>
      <c r="E430" s="1347">
        <v>0.45205790319270417</v>
      </c>
      <c r="F430" s="1347">
        <v>80.876775344400315</v>
      </c>
      <c r="G430" s="1347">
        <v>0</v>
      </c>
      <c r="H430" s="1348">
        <v>81.328833247593025</v>
      </c>
      <c r="I430" s="1347">
        <v>18.191714140280798</v>
      </c>
      <c r="J430" s="1347">
        <v>0</v>
      </c>
      <c r="K430" s="1348">
        <v>99.520547387873819</v>
      </c>
      <c r="L430" s="1349">
        <f t="shared" si="78"/>
        <v>99.520547387873819</v>
      </c>
      <c r="M430" s="1367" t="s">
        <v>429</v>
      </c>
      <c r="N430" s="591"/>
      <c r="O430" s="614"/>
      <c r="P430" s="591" t="s">
        <v>429</v>
      </c>
      <c r="Q430" s="591" t="s">
        <v>429</v>
      </c>
      <c r="R430" s="591" t="s">
        <v>429</v>
      </c>
      <c r="S430" s="398"/>
      <c r="T430" s="397"/>
    </row>
    <row r="431" spans="1:20" ht="15.75" x14ac:dyDescent="0.25">
      <c r="A431" s="1360"/>
      <c r="B431" s="1622"/>
      <c r="C431" s="1382" t="s">
        <v>762</v>
      </c>
      <c r="D431" s="1369"/>
      <c r="E431" s="1347">
        <v>0.45205790319270417</v>
      </c>
      <c r="F431" s="1347">
        <v>60.485347447183813</v>
      </c>
      <c r="G431" s="1347">
        <v>0</v>
      </c>
      <c r="H431" s="1348">
        <v>60.937405350376515</v>
      </c>
      <c r="I431" s="1347">
        <v>25.651573658766804</v>
      </c>
      <c r="J431" s="1347">
        <v>0</v>
      </c>
      <c r="K431" s="1348">
        <v>86.58897900914333</v>
      </c>
      <c r="L431" s="1349">
        <f t="shared" si="78"/>
        <v>86.588979009143316</v>
      </c>
      <c r="M431" s="1367" t="s">
        <v>429</v>
      </c>
      <c r="N431" s="591"/>
      <c r="O431" s="614"/>
      <c r="P431" s="591" t="s">
        <v>429</v>
      </c>
      <c r="Q431" s="591" t="s">
        <v>429</v>
      </c>
      <c r="R431" s="591" t="s">
        <v>429</v>
      </c>
      <c r="S431" s="398"/>
      <c r="T431" s="397"/>
    </row>
    <row r="432" spans="1:20" ht="15.75" x14ac:dyDescent="0.25">
      <c r="A432" s="1360"/>
      <c r="B432" s="1622"/>
      <c r="C432" s="1382" t="s">
        <v>763</v>
      </c>
      <c r="D432" s="1369"/>
      <c r="E432" s="1347">
        <v>0.45205790319270417</v>
      </c>
      <c r="F432" s="1347">
        <v>67.933453460186811</v>
      </c>
      <c r="G432" s="1347">
        <v>0</v>
      </c>
      <c r="H432" s="1348">
        <v>68.385511363379521</v>
      </c>
      <c r="I432" s="1347">
        <v>15.270515969849544</v>
      </c>
      <c r="J432" s="1347">
        <v>0</v>
      </c>
      <c r="K432" s="1348">
        <v>83.656027333229062</v>
      </c>
      <c r="L432" s="1349">
        <f t="shared" si="78"/>
        <v>83.656027333229062</v>
      </c>
      <c r="M432" s="1367" t="s">
        <v>429</v>
      </c>
      <c r="N432" s="591"/>
      <c r="O432" s="614"/>
      <c r="P432" s="591" t="s">
        <v>429</v>
      </c>
      <c r="Q432" s="591" t="s">
        <v>429</v>
      </c>
      <c r="R432" s="591" t="s">
        <v>429</v>
      </c>
      <c r="S432" s="398"/>
      <c r="T432" s="397"/>
    </row>
    <row r="433" spans="1:20" ht="16.5" thickBot="1" x14ac:dyDescent="0.3">
      <c r="A433" s="1362"/>
      <c r="B433" s="1622"/>
      <c r="C433" s="1383" t="s">
        <v>764</v>
      </c>
      <c r="D433" s="1356"/>
      <c r="E433" s="1347">
        <v>0.45205790319270417</v>
      </c>
      <c r="F433" s="1347">
        <v>119.28723126287801</v>
      </c>
      <c r="G433" s="1347">
        <v>0</v>
      </c>
      <c r="H433" s="1348">
        <v>119.73928916607072</v>
      </c>
      <c r="I433" s="1347">
        <v>47.714711681989925</v>
      </c>
      <c r="J433" s="1347">
        <v>0</v>
      </c>
      <c r="K433" s="1348">
        <v>167.45400084806064</v>
      </c>
      <c r="L433" s="1349">
        <f t="shared" si="78"/>
        <v>167.45400084806064</v>
      </c>
      <c r="M433" s="1350"/>
      <c r="N433" s="591"/>
      <c r="O433" s="614"/>
      <c r="P433" s="591" t="s">
        <v>429</v>
      </c>
      <c r="Q433" s="591" t="s">
        <v>429</v>
      </c>
      <c r="R433" s="398"/>
      <c r="S433" s="398"/>
      <c r="T433" s="397"/>
    </row>
    <row r="436" spans="1:20" ht="48" thickBot="1" x14ac:dyDescent="0.3">
      <c r="A436" s="1339"/>
      <c r="B436" s="1341" t="s">
        <v>1022</v>
      </c>
      <c r="C436" s="1341" t="s">
        <v>1358</v>
      </c>
      <c r="D436" s="1341" t="s">
        <v>1359</v>
      </c>
      <c r="E436" s="1341" t="s">
        <v>1360</v>
      </c>
      <c r="F436" s="1341" t="s">
        <v>1361</v>
      </c>
      <c r="G436" s="1341" t="s">
        <v>1362</v>
      </c>
      <c r="H436" s="1341" t="s">
        <v>1363</v>
      </c>
      <c r="I436" s="1341" t="s">
        <v>1365</v>
      </c>
      <c r="J436" s="1427" t="s">
        <v>1203</v>
      </c>
    </row>
    <row r="437" spans="1:20" ht="15.75" x14ac:dyDescent="0.25">
      <c r="A437" s="1585" t="s">
        <v>621</v>
      </c>
      <c r="B437" s="1626" t="s">
        <v>1092</v>
      </c>
      <c r="C437" s="1347">
        <v>0</v>
      </c>
      <c r="D437" s="1347">
        <v>0.99576049181305393</v>
      </c>
      <c r="E437" s="1347">
        <v>0</v>
      </c>
      <c r="F437" s="1348"/>
      <c r="G437" s="1347">
        <v>4.6314441479676935E-2</v>
      </c>
      <c r="H437" s="1347">
        <v>6.7155940145531542E-2</v>
      </c>
      <c r="I437" s="1348"/>
      <c r="J437" s="1096">
        <f t="shared" ref="J437:J443" si="79">C437+D437+E437+G437+H437</f>
        <v>1.1092308734382623</v>
      </c>
    </row>
    <row r="438" spans="1:20" ht="15.75" x14ac:dyDescent="0.25">
      <c r="A438" s="1408" t="s">
        <v>620</v>
      </c>
      <c r="B438" s="1627" t="s">
        <v>1092</v>
      </c>
      <c r="C438" s="1347">
        <v>0.12736471406911157</v>
      </c>
      <c r="D438" s="1347">
        <v>0.97260327107321554</v>
      </c>
      <c r="E438" s="1347">
        <v>0</v>
      </c>
      <c r="F438" s="1348"/>
      <c r="G438" s="1347">
        <v>0.34735831109757698</v>
      </c>
      <c r="H438" s="1347">
        <v>6.7155940145531542E-2</v>
      </c>
      <c r="I438" s="1348"/>
      <c r="J438" s="1096">
        <f t="shared" si="79"/>
        <v>1.5144822363854356</v>
      </c>
    </row>
    <row r="439" spans="1:20" ht="15.75" x14ac:dyDescent="0.25">
      <c r="A439" s="1408" t="s">
        <v>623</v>
      </c>
      <c r="B439" s="1627" t="s">
        <v>1092</v>
      </c>
      <c r="C439" s="1347">
        <v>0.21999359702846541</v>
      </c>
      <c r="D439" s="1347">
        <v>1.0304963229228117</v>
      </c>
      <c r="E439" s="1347">
        <v>0</v>
      </c>
      <c r="F439" s="1348"/>
      <c r="G439" s="1347">
        <v>0.26630803850814233</v>
      </c>
      <c r="H439" s="1347">
        <v>6.7155940145531542E-2</v>
      </c>
      <c r="I439" s="1348"/>
      <c r="J439" s="1096">
        <f t="shared" si="79"/>
        <v>1.5839538986049508</v>
      </c>
    </row>
    <row r="440" spans="1:20" ht="15.75" x14ac:dyDescent="0.25">
      <c r="A440" s="1408" t="s">
        <v>624</v>
      </c>
      <c r="B440" s="1627" t="s">
        <v>1092</v>
      </c>
      <c r="C440" s="1347">
        <v>0.27788664887806158</v>
      </c>
      <c r="D440" s="1347">
        <v>1.2620685303211963</v>
      </c>
      <c r="E440" s="1347">
        <v>0</v>
      </c>
      <c r="F440" s="1348"/>
      <c r="G440" s="1347">
        <v>0.39367275257725387</v>
      </c>
      <c r="H440" s="1347">
        <v>6.7155940145531542E-2</v>
      </c>
      <c r="I440" s="1348"/>
      <c r="J440" s="1096">
        <f t="shared" si="79"/>
        <v>2.0007838719220432</v>
      </c>
    </row>
    <row r="441" spans="1:20" ht="15.75" x14ac:dyDescent="0.25">
      <c r="A441" s="1408" t="s">
        <v>622</v>
      </c>
      <c r="B441" s="1627" t="s">
        <v>1092</v>
      </c>
      <c r="C441" s="1347">
        <v>0.37051553183741548</v>
      </c>
      <c r="D441" s="1347">
        <v>2.1188856976952195</v>
      </c>
      <c r="E441" s="1347">
        <v>0</v>
      </c>
      <c r="F441" s="1348"/>
      <c r="G441" s="1347">
        <v>0.27788664887806158</v>
      </c>
      <c r="H441" s="1347">
        <v>6.7155940145531542E-2</v>
      </c>
      <c r="I441" s="1348"/>
      <c r="J441" s="1096">
        <f t="shared" si="79"/>
        <v>2.8344438185562284</v>
      </c>
    </row>
    <row r="442" spans="1:20" ht="15.75" x14ac:dyDescent="0.25">
      <c r="A442" s="1380" t="s">
        <v>763</v>
      </c>
      <c r="B442" s="1628" t="s">
        <v>1153</v>
      </c>
      <c r="C442" s="1347">
        <v>0.45205790319270417</v>
      </c>
      <c r="D442" s="1347">
        <v>67.933453460186811</v>
      </c>
      <c r="E442" s="1347">
        <v>0</v>
      </c>
      <c r="F442" s="1348"/>
      <c r="G442" s="1347">
        <v>15.270515969849544</v>
      </c>
      <c r="H442" s="1347">
        <v>0</v>
      </c>
      <c r="I442" s="1348"/>
      <c r="J442" s="1096">
        <f t="shared" si="79"/>
        <v>83.656027333229062</v>
      </c>
    </row>
    <row r="443" spans="1:20" ht="15.75" x14ac:dyDescent="0.25">
      <c r="A443" s="1408" t="s">
        <v>743</v>
      </c>
      <c r="B443" s="1627" t="s">
        <v>1078</v>
      </c>
      <c r="C443" s="1347">
        <v>5.8330000421920332</v>
      </c>
      <c r="D443" s="1347">
        <v>44.749609723688842</v>
      </c>
      <c r="E443" s="1347">
        <v>0</v>
      </c>
      <c r="F443" s="1348"/>
      <c r="G443" s="1347">
        <v>33.56220729276663</v>
      </c>
      <c r="H443" s="1347">
        <v>0</v>
      </c>
      <c r="I443" s="1348"/>
      <c r="J443" s="1096">
        <f t="shared" si="79"/>
        <v>84.144817058647504</v>
      </c>
    </row>
    <row r="444" spans="1:20" ht="15.75" x14ac:dyDescent="0.25">
      <c r="A444" s="1380" t="s">
        <v>738</v>
      </c>
      <c r="B444" s="1628" t="s">
        <v>1141</v>
      </c>
      <c r="C444" s="1347" t="s">
        <v>5</v>
      </c>
      <c r="D444" s="1347" t="s">
        <v>5</v>
      </c>
      <c r="E444" s="1347" t="s">
        <v>5</v>
      </c>
      <c r="F444" s="1348">
        <v>66.274095207430534</v>
      </c>
      <c r="G444" s="1347">
        <v>18.577437431157538</v>
      </c>
      <c r="H444" s="1347">
        <v>0</v>
      </c>
      <c r="I444" s="1348"/>
      <c r="J444" s="1096">
        <f>F444+G444+H444</f>
        <v>84.851532638588068</v>
      </c>
    </row>
    <row r="445" spans="1:20" ht="15.75" x14ac:dyDescent="0.25">
      <c r="A445" s="1411" t="s">
        <v>37</v>
      </c>
      <c r="B445" s="1629" t="s">
        <v>1090</v>
      </c>
      <c r="C445" s="1347">
        <v>18.410098329450939</v>
      </c>
      <c r="D445" s="1347">
        <v>20.418472692663769</v>
      </c>
      <c r="E445" s="1347">
        <v>0</v>
      </c>
      <c r="F445" s="1348"/>
      <c r="G445" s="1347">
        <v>46.234869897787689</v>
      </c>
      <c r="H445" s="1347">
        <v>0</v>
      </c>
      <c r="I445" s="1348"/>
      <c r="J445" s="1096">
        <f>C445+D445+E445+G445+H445</f>
        <v>85.063440919902405</v>
      </c>
    </row>
    <row r="446" spans="1:20" ht="15.75" x14ac:dyDescent="0.25">
      <c r="A446" s="1373" t="s">
        <v>82</v>
      </c>
      <c r="B446" s="1630" t="s">
        <v>1048</v>
      </c>
      <c r="C446" s="1347">
        <v>23.588728700587662</v>
      </c>
      <c r="D446" s="1347">
        <v>28.911313638156159</v>
      </c>
      <c r="E446" s="1347">
        <v>0</v>
      </c>
      <c r="F446" s="1348"/>
      <c r="G446" s="1347">
        <v>31.451638267450218</v>
      </c>
      <c r="H446" s="1347">
        <v>2.6310505089117009</v>
      </c>
      <c r="I446" s="1348"/>
      <c r="J446" s="1096">
        <f>C446+D446+E446+G446+H446</f>
        <v>86.582731115105744</v>
      </c>
    </row>
    <row r="447" spans="1:20" ht="15.75" x14ac:dyDescent="0.25">
      <c r="A447" s="1380" t="s">
        <v>762</v>
      </c>
      <c r="B447" s="1628" t="s">
        <v>1153</v>
      </c>
      <c r="C447" s="1347">
        <v>0.45205790319270417</v>
      </c>
      <c r="D447" s="1347">
        <v>60.485347447183813</v>
      </c>
      <c r="E447" s="1347">
        <v>0</v>
      </c>
      <c r="F447" s="1348"/>
      <c r="G447" s="1347">
        <v>25.651573658766804</v>
      </c>
      <c r="H447" s="1347">
        <v>0</v>
      </c>
      <c r="I447" s="1348"/>
      <c r="J447" s="1096">
        <f>C447+D447+E447+G447+H447</f>
        <v>86.588979009143316</v>
      </c>
    </row>
    <row r="448" spans="1:20" ht="15.75" x14ac:dyDescent="0.25">
      <c r="A448" s="1380" t="s">
        <v>761</v>
      </c>
      <c r="B448" s="1628" t="s">
        <v>1153</v>
      </c>
      <c r="C448" s="1347">
        <v>0.90411580638540834</v>
      </c>
      <c r="D448" s="1347">
        <v>82.182318568820847</v>
      </c>
      <c r="E448" s="1347">
        <v>0</v>
      </c>
      <c r="F448" s="1348"/>
      <c r="G448" s="1347">
        <v>26.706676804818574</v>
      </c>
      <c r="H448" s="1347">
        <v>0</v>
      </c>
      <c r="I448" s="1348"/>
      <c r="J448" s="1096">
        <f>C448+D448+E448+G448+H448</f>
        <v>109.79311118002482</v>
      </c>
    </row>
    <row r="449" spans="1:10" ht="15.75" x14ac:dyDescent="0.25">
      <c r="A449" s="1411" t="s">
        <v>462</v>
      </c>
      <c r="B449" s="1629" t="s">
        <v>1034</v>
      </c>
      <c r="C449" s="1347" t="s">
        <v>5</v>
      </c>
      <c r="D449" s="1347" t="s">
        <v>5</v>
      </c>
      <c r="E449" s="1347" t="s">
        <v>5</v>
      </c>
      <c r="F449" s="1348"/>
      <c r="G449" s="1347" t="s">
        <v>5</v>
      </c>
      <c r="H449" s="1347" t="s">
        <v>5</v>
      </c>
      <c r="I449" s="1348">
        <v>110.07710446721167</v>
      </c>
      <c r="J449" s="1096">
        <f>I449</f>
        <v>110.07710446721167</v>
      </c>
    </row>
    <row r="450" spans="1:10" ht="15.75" x14ac:dyDescent="0.25">
      <c r="A450" s="1411" t="s">
        <v>459</v>
      </c>
      <c r="B450" s="1629" t="s">
        <v>1034</v>
      </c>
      <c r="C450" s="1347" t="s">
        <v>5</v>
      </c>
      <c r="D450" s="1347" t="s">
        <v>5</v>
      </c>
      <c r="E450" s="1347" t="s">
        <v>5</v>
      </c>
      <c r="F450" s="1348"/>
      <c r="G450" s="1347" t="s">
        <v>5</v>
      </c>
      <c r="H450" s="1347" t="s">
        <v>5</v>
      </c>
      <c r="I450" s="1348">
        <v>135.32414677620517</v>
      </c>
      <c r="J450" s="1096">
        <f>I450</f>
        <v>135.32414677620517</v>
      </c>
    </row>
    <row r="451" spans="1:10" ht="15.75" x14ac:dyDescent="0.25">
      <c r="A451" s="1373" t="s">
        <v>83</v>
      </c>
      <c r="B451" s="1630" t="s">
        <v>1048</v>
      </c>
      <c r="C451" s="1347">
        <v>28.548410119685581</v>
      </c>
      <c r="D451" s="1347">
        <v>47.177457401175324</v>
      </c>
      <c r="E451" s="1347">
        <v>2.3588728700587662</v>
      </c>
      <c r="F451" s="1348"/>
      <c r="G451" s="1347">
        <v>54.435527770586916</v>
      </c>
      <c r="H451" s="1347">
        <v>3.3266155859803113</v>
      </c>
      <c r="I451" s="1348"/>
      <c r="J451" s="1096">
        <f t="shared" ref="J451:J466" si="80">C451+D451+E451+G451+H451</f>
        <v>135.84688374748688</v>
      </c>
    </row>
    <row r="452" spans="1:10" ht="15.75" x14ac:dyDescent="0.25">
      <c r="A452" s="1380" t="s">
        <v>694</v>
      </c>
      <c r="B452" s="1628" t="s">
        <v>1120</v>
      </c>
      <c r="C452" s="1347">
        <v>0</v>
      </c>
      <c r="D452" s="1347">
        <v>69.373075082106553</v>
      </c>
      <c r="E452" s="1347">
        <v>6.2194660519898051</v>
      </c>
      <c r="F452" s="1348"/>
      <c r="G452" s="1347">
        <v>70.441617707778803</v>
      </c>
      <c r="H452" s="1347">
        <v>0</v>
      </c>
      <c r="I452" s="1348"/>
      <c r="J452" s="1096">
        <f t="shared" si="80"/>
        <v>146.03415884187518</v>
      </c>
    </row>
    <row r="453" spans="1:10" ht="15.75" x14ac:dyDescent="0.25">
      <c r="A453" s="1380" t="s">
        <v>147</v>
      </c>
      <c r="B453" s="1628" t="s">
        <v>1131</v>
      </c>
      <c r="C453" s="1347">
        <v>0</v>
      </c>
      <c r="D453" s="1347">
        <v>90.043657489822451</v>
      </c>
      <c r="E453" s="1347">
        <v>0</v>
      </c>
      <c r="F453" s="1348"/>
      <c r="G453" s="1347">
        <v>59.538794810340121</v>
      </c>
      <c r="H453" s="1347">
        <v>0</v>
      </c>
      <c r="I453" s="1348"/>
      <c r="J453" s="1096">
        <f t="shared" si="80"/>
        <v>149.58245230016257</v>
      </c>
    </row>
    <row r="454" spans="1:10" ht="15.75" x14ac:dyDescent="0.25">
      <c r="A454" s="1380" t="s">
        <v>148</v>
      </c>
      <c r="B454" s="1628" t="s">
        <v>1131</v>
      </c>
      <c r="C454" s="1347">
        <v>0</v>
      </c>
      <c r="D454" s="1347">
        <v>86.322270986620239</v>
      </c>
      <c r="E454" s="1347">
        <v>0</v>
      </c>
      <c r="F454" s="1348"/>
      <c r="G454" s="1347">
        <v>65.227635653350077</v>
      </c>
      <c r="H454" s="1347">
        <v>0</v>
      </c>
      <c r="I454" s="1348"/>
      <c r="J454" s="1096">
        <f t="shared" si="80"/>
        <v>151.54990663997032</v>
      </c>
    </row>
    <row r="455" spans="1:10" ht="15.75" x14ac:dyDescent="0.25">
      <c r="A455" s="1380" t="s">
        <v>150</v>
      </c>
      <c r="B455" s="1628" t="s">
        <v>1131</v>
      </c>
      <c r="C455" s="1347">
        <v>0</v>
      </c>
      <c r="D455" s="1347">
        <v>107.49994272182887</v>
      </c>
      <c r="E455" s="1347">
        <v>0</v>
      </c>
      <c r="F455" s="1348"/>
      <c r="G455" s="1347">
        <v>52.450197477510017</v>
      </c>
      <c r="H455" s="1347">
        <v>0</v>
      </c>
      <c r="I455" s="1348"/>
      <c r="J455" s="1096">
        <f t="shared" si="80"/>
        <v>159.95014019933888</v>
      </c>
    </row>
    <row r="456" spans="1:10" ht="15.75" x14ac:dyDescent="0.25">
      <c r="A456" s="1380" t="s">
        <v>748</v>
      </c>
      <c r="B456" s="1628" t="s">
        <v>1147</v>
      </c>
      <c r="C456" s="1347">
        <v>6.8004827155024818</v>
      </c>
      <c r="D456" s="1347">
        <v>136.9877455254429</v>
      </c>
      <c r="E456" s="1347">
        <v>0</v>
      </c>
      <c r="F456" s="1348"/>
      <c r="G456" s="1347">
        <v>17.160841153035896</v>
      </c>
      <c r="H456" s="1347">
        <v>0</v>
      </c>
      <c r="I456" s="1348"/>
      <c r="J456" s="1096">
        <f t="shared" si="80"/>
        <v>160.94906939398129</v>
      </c>
    </row>
    <row r="457" spans="1:10" ht="15.75" x14ac:dyDescent="0.25">
      <c r="A457" s="1380" t="s">
        <v>145</v>
      </c>
      <c r="B457" s="1628" t="s">
        <v>1131</v>
      </c>
      <c r="C457" s="1347">
        <v>0</v>
      </c>
      <c r="D457" s="1347">
        <v>98.111745441437108</v>
      </c>
      <c r="E457" s="1347">
        <v>0</v>
      </c>
      <c r="F457" s="1348"/>
      <c r="G457" s="1347">
        <v>65.393708457227035</v>
      </c>
      <c r="H457" s="1347">
        <v>0</v>
      </c>
      <c r="I457" s="1348"/>
      <c r="J457" s="1096">
        <f t="shared" si="80"/>
        <v>163.50545389866414</v>
      </c>
    </row>
    <row r="458" spans="1:10" ht="15.75" x14ac:dyDescent="0.25">
      <c r="A458" s="1380" t="s">
        <v>749</v>
      </c>
      <c r="B458" s="1628" t="s">
        <v>1147</v>
      </c>
      <c r="C458" s="1347">
        <v>6.0869788442192148</v>
      </c>
      <c r="D458" s="1347">
        <v>141.14617661703821</v>
      </c>
      <c r="E458" s="1347">
        <v>0</v>
      </c>
      <c r="F458" s="1348"/>
      <c r="G458" s="1347">
        <v>19.834055286360471</v>
      </c>
      <c r="H458" s="1347">
        <v>0</v>
      </c>
      <c r="I458" s="1348"/>
      <c r="J458" s="1096">
        <f t="shared" si="80"/>
        <v>167.06721074761788</v>
      </c>
    </row>
    <row r="459" spans="1:10" ht="15.75" x14ac:dyDescent="0.25">
      <c r="A459" s="1380" t="s">
        <v>764</v>
      </c>
      <c r="B459" s="1628" t="s">
        <v>1153</v>
      </c>
      <c r="C459" s="1347">
        <v>0.45205790319270417</v>
      </c>
      <c r="D459" s="1347">
        <v>119.28723126287801</v>
      </c>
      <c r="E459" s="1347">
        <v>0</v>
      </c>
      <c r="F459" s="1348"/>
      <c r="G459" s="1347">
        <v>47.714711681989925</v>
      </c>
      <c r="H459" s="1347">
        <v>0</v>
      </c>
      <c r="I459" s="1348"/>
      <c r="J459" s="1096">
        <f t="shared" si="80"/>
        <v>167.45400084806064</v>
      </c>
    </row>
    <row r="460" spans="1:10" ht="15.75" x14ac:dyDescent="0.25">
      <c r="A460" s="1380" t="s">
        <v>746</v>
      </c>
      <c r="B460" s="1628" t="s">
        <v>1147</v>
      </c>
      <c r="C460" s="1347">
        <v>6.2107469240751092</v>
      </c>
      <c r="D460" s="1347">
        <v>134.41830842819701</v>
      </c>
      <c r="E460" s="1347">
        <v>0</v>
      </c>
      <c r="F460" s="1348"/>
      <c r="G460" s="1347">
        <v>29.415057002521024</v>
      </c>
      <c r="H460" s="1347">
        <v>0</v>
      </c>
      <c r="I460" s="1348"/>
      <c r="J460" s="1096">
        <f t="shared" si="80"/>
        <v>170.04411235479313</v>
      </c>
    </row>
    <row r="461" spans="1:10" ht="15.75" x14ac:dyDescent="0.25">
      <c r="A461" s="1373" t="s">
        <v>84</v>
      </c>
      <c r="B461" s="1630" t="s">
        <v>1046</v>
      </c>
      <c r="C461" s="1347">
        <v>0</v>
      </c>
      <c r="D461" s="1347">
        <v>114.49633598349713</v>
      </c>
      <c r="E461" s="1347">
        <v>0</v>
      </c>
      <c r="F461" s="1348"/>
      <c r="G461" s="1347">
        <v>55.815484810214492</v>
      </c>
      <c r="H461" s="1347">
        <v>0</v>
      </c>
      <c r="I461" s="1348"/>
      <c r="J461" s="1096">
        <f t="shared" si="80"/>
        <v>170.31182079371163</v>
      </c>
    </row>
    <row r="462" spans="1:10" ht="15.75" x14ac:dyDescent="0.25">
      <c r="A462" s="1380" t="s">
        <v>143</v>
      </c>
      <c r="B462" s="1628" t="s">
        <v>1131</v>
      </c>
      <c r="C462" s="1347">
        <v>0</v>
      </c>
      <c r="D462" s="1347">
        <v>97.313579210559041</v>
      </c>
      <c r="E462" s="1347">
        <v>0</v>
      </c>
      <c r="F462" s="1348"/>
      <c r="G462" s="1347">
        <v>75.544484939094673</v>
      </c>
      <c r="H462" s="1347">
        <v>0</v>
      </c>
      <c r="I462" s="1348"/>
      <c r="J462" s="1096">
        <f t="shared" si="80"/>
        <v>172.85806414965373</v>
      </c>
    </row>
    <row r="463" spans="1:10" ht="15.75" x14ac:dyDescent="0.25">
      <c r="A463" s="1380" t="s">
        <v>146</v>
      </c>
      <c r="B463" s="1628" t="s">
        <v>1131</v>
      </c>
      <c r="C463" s="1347">
        <v>0</v>
      </c>
      <c r="D463" s="1347">
        <v>112.47195911545151</v>
      </c>
      <c r="E463" s="1347">
        <v>0</v>
      </c>
      <c r="F463" s="1348"/>
      <c r="G463" s="1347">
        <v>70.65042108606734</v>
      </c>
      <c r="H463" s="1347">
        <v>0</v>
      </c>
      <c r="I463" s="1348"/>
      <c r="J463" s="1096">
        <f t="shared" si="80"/>
        <v>183.12238020151887</v>
      </c>
    </row>
    <row r="464" spans="1:10" ht="15.75" x14ac:dyDescent="0.25">
      <c r="A464" s="1380" t="s">
        <v>747</v>
      </c>
      <c r="B464" s="1628" t="s">
        <v>1147</v>
      </c>
      <c r="C464" s="1347">
        <v>5.6983294343154336</v>
      </c>
      <c r="D464" s="1347">
        <v>138.68110452774681</v>
      </c>
      <c r="E464" s="1347">
        <v>0</v>
      </c>
      <c r="F464" s="1348"/>
      <c r="G464" s="1347">
        <v>48.637327552111621</v>
      </c>
      <c r="H464" s="1347">
        <v>0</v>
      </c>
      <c r="I464" s="1348"/>
      <c r="J464" s="1096">
        <f t="shared" si="80"/>
        <v>193.01676151417388</v>
      </c>
    </row>
    <row r="465" spans="1:10" ht="15.75" x14ac:dyDescent="0.25">
      <c r="A465" s="1380" t="s">
        <v>175</v>
      </c>
      <c r="B465" s="1628" t="s">
        <v>1151</v>
      </c>
      <c r="C465" s="1347">
        <v>38.4</v>
      </c>
      <c r="D465" s="1347">
        <v>26.24</v>
      </c>
      <c r="E465" s="1347">
        <v>0</v>
      </c>
      <c r="F465" s="1348"/>
      <c r="G465" s="1347">
        <v>136.88</v>
      </c>
      <c r="H465" s="1347">
        <v>0</v>
      </c>
      <c r="I465" s="1348"/>
      <c r="J465" s="1096">
        <f t="shared" si="80"/>
        <v>201.51999999999998</v>
      </c>
    </row>
    <row r="466" spans="1:10" ht="15.75" x14ac:dyDescent="0.25">
      <c r="A466" s="1380" t="s">
        <v>144</v>
      </c>
      <c r="B466" s="1628" t="s">
        <v>1131</v>
      </c>
      <c r="C466" s="1347">
        <v>0</v>
      </c>
      <c r="D466" s="1347">
        <v>121.17891897585818</v>
      </c>
      <c r="E466" s="1347">
        <v>0</v>
      </c>
      <c r="F466" s="1348"/>
      <c r="G466" s="1347">
        <v>83.173666194748776</v>
      </c>
      <c r="H466" s="1347">
        <v>0</v>
      </c>
      <c r="I466" s="1348"/>
      <c r="J466" s="1096">
        <f t="shared" si="80"/>
        <v>204.35258517060697</v>
      </c>
    </row>
    <row r="467" spans="1:10" ht="15.75" x14ac:dyDescent="0.25">
      <c r="A467" s="1411" t="s">
        <v>1346</v>
      </c>
      <c r="B467" s="1629" t="s">
        <v>1034</v>
      </c>
      <c r="C467" s="1347" t="s">
        <v>5</v>
      </c>
      <c r="D467" s="1347" t="s">
        <v>5</v>
      </c>
      <c r="E467" s="1347" t="s">
        <v>5</v>
      </c>
      <c r="F467" s="1348"/>
      <c r="G467" s="1347" t="s">
        <v>5</v>
      </c>
      <c r="H467" s="1347" t="s">
        <v>5</v>
      </c>
      <c r="I467" s="1348">
        <v>212.5800962417253</v>
      </c>
      <c r="J467" s="1096">
        <f>I467</f>
        <v>212.5800962417253</v>
      </c>
    </row>
    <row r="468" spans="1:10" ht="15.75" x14ac:dyDescent="0.25">
      <c r="A468" s="1380" t="s">
        <v>149</v>
      </c>
      <c r="B468" s="1628" t="s">
        <v>1131</v>
      </c>
      <c r="C468" s="1347">
        <v>0</v>
      </c>
      <c r="D468" s="1347">
        <v>147.76412455975458</v>
      </c>
      <c r="E468" s="1347">
        <v>0</v>
      </c>
      <c r="F468" s="1348"/>
      <c r="G468" s="1347">
        <v>67.793291011204431</v>
      </c>
      <c r="H468" s="1347">
        <v>0</v>
      </c>
      <c r="I468" s="1348"/>
      <c r="J468" s="1096">
        <f t="shared" ref="J468:J531" si="81">C468+D468+E468+G468+H468</f>
        <v>215.55741557095899</v>
      </c>
    </row>
    <row r="469" spans="1:10" ht="15.75" x14ac:dyDescent="0.25">
      <c r="A469" s="1373" t="s">
        <v>731</v>
      </c>
      <c r="B469" s="1630" t="s">
        <v>1042</v>
      </c>
      <c r="C469" s="1347">
        <v>10.266807607901336</v>
      </c>
      <c r="D469" s="1347">
        <v>94.520731356743156</v>
      </c>
      <c r="E469" s="1347">
        <v>0</v>
      </c>
      <c r="F469" s="1348"/>
      <c r="G469" s="1347">
        <v>127.27466044995059</v>
      </c>
      <c r="H469" s="1347">
        <v>0</v>
      </c>
      <c r="I469" s="1348"/>
      <c r="J469" s="1096">
        <f t="shared" si="81"/>
        <v>232.06219941459509</v>
      </c>
    </row>
    <row r="470" spans="1:10" ht="15.75" x14ac:dyDescent="0.25">
      <c r="A470" s="1411" t="s">
        <v>1353</v>
      </c>
      <c r="B470" s="1629" t="s">
        <v>1118</v>
      </c>
      <c r="C470" s="1347">
        <v>0</v>
      </c>
      <c r="D470" s="1347">
        <v>148.98382016551096</v>
      </c>
      <c r="E470" s="1347">
        <v>0</v>
      </c>
      <c r="F470" s="1348"/>
      <c r="G470" s="1347">
        <v>59.401909004898265</v>
      </c>
      <c r="H470" s="1347">
        <v>50.012575000898217</v>
      </c>
      <c r="I470" s="1348"/>
      <c r="J470" s="1096">
        <f t="shared" si="81"/>
        <v>258.39830417130747</v>
      </c>
    </row>
    <row r="471" spans="1:10" ht="15.75" x14ac:dyDescent="0.25">
      <c r="A471" s="1411" t="s">
        <v>770</v>
      </c>
      <c r="B471" s="1629" t="s">
        <v>1118</v>
      </c>
      <c r="C471" s="1347">
        <v>0</v>
      </c>
      <c r="D471" s="1347">
        <v>142.75620067306195</v>
      </c>
      <c r="E471" s="1347">
        <v>0</v>
      </c>
      <c r="F471" s="1348"/>
      <c r="G471" s="1347">
        <v>66.108576150612578</v>
      </c>
      <c r="H471" s="1347">
        <v>50.127546437681886</v>
      </c>
      <c r="I471" s="1348"/>
      <c r="J471" s="1096">
        <f t="shared" si="81"/>
        <v>258.99232326135643</v>
      </c>
    </row>
    <row r="472" spans="1:10" ht="15.75" x14ac:dyDescent="0.25">
      <c r="A472" s="1411" t="s">
        <v>768</v>
      </c>
      <c r="B472" s="1629" t="s">
        <v>1118</v>
      </c>
      <c r="C472" s="1347">
        <v>0</v>
      </c>
      <c r="D472" s="1347">
        <v>146.10953424591912</v>
      </c>
      <c r="E472" s="1347">
        <v>0</v>
      </c>
      <c r="F472" s="1348"/>
      <c r="G472" s="1347">
        <v>70.420005030000354</v>
      </c>
      <c r="H472" s="1347">
        <v>51.967089426220674</v>
      </c>
      <c r="I472" s="1348"/>
      <c r="J472" s="1096">
        <f t="shared" si="81"/>
        <v>268.49662870214019</v>
      </c>
    </row>
    <row r="473" spans="1:10" ht="15.75" x14ac:dyDescent="0.25">
      <c r="A473" s="1373" t="s">
        <v>493</v>
      </c>
      <c r="B473" s="1630" t="s">
        <v>1042</v>
      </c>
      <c r="C473" s="1347">
        <v>10.80827622831805</v>
      </c>
      <c r="D473" s="1347">
        <v>115.19076853665082</v>
      </c>
      <c r="E473" s="1347">
        <v>0</v>
      </c>
      <c r="F473" s="1348"/>
      <c r="G473" s="1347">
        <v>146.31607253260486</v>
      </c>
      <c r="H473" s="1347">
        <v>0</v>
      </c>
      <c r="I473" s="1348"/>
      <c r="J473" s="1096">
        <f t="shared" si="81"/>
        <v>272.31511729757375</v>
      </c>
    </row>
    <row r="474" spans="1:10" ht="15.75" x14ac:dyDescent="0.25">
      <c r="A474" s="1411" t="s">
        <v>219</v>
      </c>
      <c r="B474" s="1629" t="s">
        <v>1118</v>
      </c>
      <c r="C474" s="1347">
        <v>0</v>
      </c>
      <c r="D474" s="1347">
        <v>133.17524760775578</v>
      </c>
      <c r="E474" s="1347">
        <v>0</v>
      </c>
      <c r="F474" s="1348"/>
      <c r="G474" s="1347">
        <v>88.144768200816785</v>
      </c>
      <c r="H474" s="1347">
        <v>53.116803794057411</v>
      </c>
      <c r="I474" s="1348"/>
      <c r="J474" s="1096">
        <f t="shared" si="81"/>
        <v>274.43681960263001</v>
      </c>
    </row>
    <row r="475" spans="1:10" ht="15.75" x14ac:dyDescent="0.25">
      <c r="A475" s="1380" t="s">
        <v>113</v>
      </c>
      <c r="B475" s="1628" t="s">
        <v>1076</v>
      </c>
      <c r="C475" s="1347">
        <v>84.783843590765343</v>
      </c>
      <c r="D475" s="1347">
        <v>74.47678809541739</v>
      </c>
      <c r="E475" s="1347">
        <v>0</v>
      </c>
      <c r="F475" s="1348"/>
      <c r="G475" s="1347">
        <v>95.423384747253536</v>
      </c>
      <c r="H475" s="1347">
        <v>20.314873895669656</v>
      </c>
      <c r="I475" s="1348"/>
      <c r="J475" s="1096">
        <f t="shared" si="81"/>
        <v>274.99889032910596</v>
      </c>
    </row>
    <row r="476" spans="1:10" ht="15.75" x14ac:dyDescent="0.25">
      <c r="A476" s="1411" t="s">
        <v>769</v>
      </c>
      <c r="B476" s="1629" t="s">
        <v>1118</v>
      </c>
      <c r="C476" s="1347">
        <v>0</v>
      </c>
      <c r="D476" s="1347">
        <v>145.1514389393885</v>
      </c>
      <c r="E476" s="1347">
        <v>0</v>
      </c>
      <c r="F476" s="1348"/>
      <c r="G476" s="1347">
        <v>92.935244733469858</v>
      </c>
      <c r="H476" s="1347">
        <v>57.14080408148601</v>
      </c>
      <c r="I476" s="1348"/>
      <c r="J476" s="1096">
        <f t="shared" si="81"/>
        <v>295.22748775434434</v>
      </c>
    </row>
    <row r="477" spans="1:10" ht="15.75" x14ac:dyDescent="0.25">
      <c r="A477" s="1380" t="s">
        <v>133</v>
      </c>
      <c r="B477" s="1628" t="s">
        <v>1116</v>
      </c>
      <c r="C477" s="1347">
        <v>55.899407127500162</v>
      </c>
      <c r="D477" s="1347">
        <v>134.22155623601972</v>
      </c>
      <c r="E477" s="1347">
        <v>24.14923882120442</v>
      </c>
      <c r="F477" s="1348"/>
      <c r="G477" s="1347">
        <v>71.01439833213891</v>
      </c>
      <c r="H477" s="1347">
        <v>11.792299172584533</v>
      </c>
      <c r="I477" s="1348"/>
      <c r="J477" s="1096">
        <f t="shared" si="81"/>
        <v>297.07689968944771</v>
      </c>
    </row>
    <row r="478" spans="1:10" ht="15.75" x14ac:dyDescent="0.25">
      <c r="A478" s="1380" t="s">
        <v>112</v>
      </c>
      <c r="B478" s="1628" t="s">
        <v>1076</v>
      </c>
      <c r="C478" s="1347">
        <v>62.341061463798042</v>
      </c>
      <c r="D478" s="1347">
        <v>96.154853201762108</v>
      </c>
      <c r="E478" s="1347">
        <v>0</v>
      </c>
      <c r="F478" s="1348"/>
      <c r="G478" s="1347">
        <v>120.49280359722886</v>
      </c>
      <c r="H478" s="1347">
        <v>22.243290730283142</v>
      </c>
      <c r="I478" s="1348"/>
      <c r="J478" s="1096">
        <f t="shared" si="81"/>
        <v>301.23200899307216</v>
      </c>
    </row>
    <row r="479" spans="1:10" ht="15.75" x14ac:dyDescent="0.25">
      <c r="A479" s="1411" t="s">
        <v>771</v>
      </c>
      <c r="B479" s="1629" t="s">
        <v>1118</v>
      </c>
      <c r="C479" s="1347">
        <v>0</v>
      </c>
      <c r="D479" s="1347">
        <v>146.58858189918442</v>
      </c>
      <c r="E479" s="1347">
        <v>0</v>
      </c>
      <c r="F479" s="1348"/>
      <c r="G479" s="1347">
        <v>98.683816572653569</v>
      </c>
      <c r="H479" s="1347">
        <v>58.865375633241115</v>
      </c>
      <c r="I479" s="1348"/>
      <c r="J479" s="1096">
        <f t="shared" si="81"/>
        <v>304.13777410507907</v>
      </c>
    </row>
    <row r="480" spans="1:10" ht="15.75" x14ac:dyDescent="0.25">
      <c r="A480" s="1411" t="s">
        <v>767</v>
      </c>
      <c r="B480" s="1629" t="s">
        <v>1118</v>
      </c>
      <c r="C480" s="1347">
        <v>0</v>
      </c>
      <c r="D480" s="1347">
        <v>129.34286638163331</v>
      </c>
      <c r="E480" s="1347">
        <v>0</v>
      </c>
      <c r="F480" s="1348"/>
      <c r="G480" s="1347">
        <v>121.67810392938837</v>
      </c>
      <c r="H480" s="1347">
        <v>60.245032874645212</v>
      </c>
      <c r="I480" s="1348"/>
      <c r="J480" s="1096">
        <f t="shared" si="81"/>
        <v>311.26600318566693</v>
      </c>
    </row>
    <row r="481" spans="1:10" ht="15.75" x14ac:dyDescent="0.25">
      <c r="A481" s="1380" t="s">
        <v>613</v>
      </c>
      <c r="B481" s="1628" t="s">
        <v>1066</v>
      </c>
      <c r="C481" s="1347">
        <v>0</v>
      </c>
      <c r="D481" s="1347">
        <v>149.97264445255973</v>
      </c>
      <c r="E481" s="1347">
        <v>0</v>
      </c>
      <c r="F481" s="1348"/>
      <c r="G481" s="1347">
        <v>95.437137378901653</v>
      </c>
      <c r="H481" s="1347">
        <v>66.262018253764111</v>
      </c>
      <c r="I481" s="1348"/>
      <c r="J481" s="1096">
        <f t="shared" si="81"/>
        <v>311.67180008522547</v>
      </c>
    </row>
    <row r="482" spans="1:10" ht="15.75" x14ac:dyDescent="0.25">
      <c r="A482" s="1411" t="s">
        <v>766</v>
      </c>
      <c r="B482" s="1629" t="s">
        <v>1118</v>
      </c>
      <c r="C482" s="1347">
        <v>0</v>
      </c>
      <c r="D482" s="1347">
        <v>144.6723912861232</v>
      </c>
      <c r="E482" s="1347">
        <v>0</v>
      </c>
      <c r="F482" s="1348"/>
      <c r="G482" s="1347">
        <v>109.70191259775567</v>
      </c>
      <c r="H482" s="1347">
        <v>61.049832932130926</v>
      </c>
      <c r="I482" s="1348"/>
      <c r="J482" s="1096">
        <f t="shared" si="81"/>
        <v>315.42413681600976</v>
      </c>
    </row>
    <row r="483" spans="1:10" ht="15.75" x14ac:dyDescent="0.25">
      <c r="A483" s="1411" t="s">
        <v>188</v>
      </c>
      <c r="B483" s="1629" t="s">
        <v>1118</v>
      </c>
      <c r="C483" s="1347">
        <v>0</v>
      </c>
      <c r="D483" s="1347">
        <v>153.29524904489875</v>
      </c>
      <c r="E483" s="1347">
        <v>0</v>
      </c>
      <c r="F483" s="1348"/>
      <c r="G483" s="1347">
        <v>111.6181032108169</v>
      </c>
      <c r="H483" s="1347">
        <v>63.579204541371752</v>
      </c>
      <c r="I483" s="1348"/>
      <c r="J483" s="1096">
        <f t="shared" si="81"/>
        <v>328.49255679708745</v>
      </c>
    </row>
    <row r="484" spans="1:10" ht="15.75" x14ac:dyDescent="0.25">
      <c r="A484" s="1411" t="s">
        <v>772</v>
      </c>
      <c r="B484" s="1629" t="s">
        <v>1118</v>
      </c>
      <c r="C484" s="1347">
        <v>0</v>
      </c>
      <c r="D484" s="1347">
        <v>184.4333465071438</v>
      </c>
      <c r="E484" s="1347">
        <v>0</v>
      </c>
      <c r="F484" s="1348"/>
      <c r="G484" s="1347">
        <v>82.875244014898385</v>
      </c>
      <c r="H484" s="1347">
        <v>64.15406172529012</v>
      </c>
      <c r="I484" s="1348"/>
      <c r="J484" s="1096">
        <f t="shared" si="81"/>
        <v>331.46265224733236</v>
      </c>
    </row>
    <row r="485" spans="1:10" ht="15.75" x14ac:dyDescent="0.25">
      <c r="A485" s="1380" t="s">
        <v>153</v>
      </c>
      <c r="B485" s="1628" t="s">
        <v>1133</v>
      </c>
      <c r="C485" s="1347">
        <v>66.486416053163069</v>
      </c>
      <c r="D485" s="1347">
        <v>113.72076356765913</v>
      </c>
      <c r="E485" s="1347">
        <v>0</v>
      </c>
      <c r="F485" s="1348"/>
      <c r="G485" s="1347">
        <v>121.81032423393489</v>
      </c>
      <c r="H485" s="1347">
        <v>30.197406997198513</v>
      </c>
      <c r="I485" s="1348"/>
      <c r="J485" s="1096">
        <f t="shared" si="81"/>
        <v>332.21491085195566</v>
      </c>
    </row>
    <row r="486" spans="1:10" ht="15.75" x14ac:dyDescent="0.25">
      <c r="A486" s="1411" t="s">
        <v>860</v>
      </c>
      <c r="B486" s="1629" t="s">
        <v>1118</v>
      </c>
      <c r="C486" s="1347">
        <v>0</v>
      </c>
      <c r="D486" s="1347">
        <v>219.88287284877663</v>
      </c>
      <c r="E486" s="1347">
        <v>0</v>
      </c>
      <c r="F486" s="1348"/>
      <c r="G486" s="1347">
        <v>48.862860633061473</v>
      </c>
      <c r="H486" s="1347">
        <v>64.498976035641135</v>
      </c>
      <c r="I486" s="1348"/>
      <c r="J486" s="1096">
        <f t="shared" si="81"/>
        <v>333.24470951747924</v>
      </c>
    </row>
    <row r="487" spans="1:10" ht="15.75" x14ac:dyDescent="0.25">
      <c r="A487" s="1373" t="s">
        <v>730</v>
      </c>
      <c r="B487" s="1630" t="s">
        <v>1042</v>
      </c>
      <c r="C487" s="1347">
        <v>18.17506228998753</v>
      </c>
      <c r="D487" s="1347">
        <v>120.2116593805149</v>
      </c>
      <c r="E487" s="1347">
        <v>0</v>
      </c>
      <c r="F487" s="1348"/>
      <c r="G487" s="1347">
        <v>196.81470184346861</v>
      </c>
      <c r="H487" s="1347">
        <v>0</v>
      </c>
      <c r="I487" s="1348"/>
      <c r="J487" s="1096">
        <f t="shared" si="81"/>
        <v>335.20142351397101</v>
      </c>
    </row>
    <row r="488" spans="1:10" ht="15.75" x14ac:dyDescent="0.25">
      <c r="A488" s="1411" t="s">
        <v>765</v>
      </c>
      <c r="B488" s="1629" t="s">
        <v>1118</v>
      </c>
      <c r="C488" s="1347">
        <v>0</v>
      </c>
      <c r="D488" s="1347">
        <v>148.02572485898034</v>
      </c>
      <c r="E488" s="1347">
        <v>0</v>
      </c>
      <c r="F488" s="1348"/>
      <c r="G488" s="1347">
        <v>123.11524688918431</v>
      </c>
      <c r="H488" s="1347">
        <v>65.073833219559518</v>
      </c>
      <c r="I488" s="1348"/>
      <c r="J488" s="1096">
        <f t="shared" si="81"/>
        <v>336.21480496772415</v>
      </c>
    </row>
    <row r="489" spans="1:10" ht="15.75" x14ac:dyDescent="0.25">
      <c r="A489" s="1380" t="s">
        <v>114</v>
      </c>
      <c r="B489" s="1628" t="s">
        <v>1076</v>
      </c>
      <c r="C489" s="1347">
        <v>80.794015657082269</v>
      </c>
      <c r="D489" s="1347">
        <v>85.781300574186105</v>
      </c>
      <c r="E489" s="1347">
        <v>0</v>
      </c>
      <c r="F489" s="1348"/>
      <c r="G489" s="1347">
        <v>151.11473298824646</v>
      </c>
      <c r="H489" s="1347">
        <v>25.385280228058562</v>
      </c>
      <c r="I489" s="1348"/>
      <c r="J489" s="1096">
        <f t="shared" si="81"/>
        <v>343.07532944757338</v>
      </c>
    </row>
    <row r="490" spans="1:10" ht="15.75" x14ac:dyDescent="0.25">
      <c r="A490" s="1380" t="s">
        <v>131</v>
      </c>
      <c r="B490" s="1628" t="s">
        <v>1114</v>
      </c>
      <c r="C490" s="1347">
        <v>0</v>
      </c>
      <c r="D490" s="1347">
        <v>173.0773610257111</v>
      </c>
      <c r="E490" s="1347">
        <v>0</v>
      </c>
      <c r="F490" s="1348"/>
      <c r="G490" s="1347">
        <v>170.5469902504814</v>
      </c>
      <c r="H490" s="1347">
        <v>0</v>
      </c>
      <c r="I490" s="1348"/>
      <c r="J490" s="1096">
        <f t="shared" si="81"/>
        <v>343.6243512761925</v>
      </c>
    </row>
    <row r="491" spans="1:10" ht="15.75" x14ac:dyDescent="0.25">
      <c r="A491" s="1380" t="s">
        <v>152</v>
      </c>
      <c r="B491" s="1628" t="s">
        <v>1133</v>
      </c>
      <c r="C491" s="1347">
        <v>35.756943992008168</v>
      </c>
      <c r="D491" s="1347">
        <v>125.73023215410342</v>
      </c>
      <c r="E491" s="1347">
        <v>0</v>
      </c>
      <c r="F491" s="1348"/>
      <c r="G491" s="1347">
        <v>154.35316090081875</v>
      </c>
      <c r="H491" s="1347">
        <v>31.587291245900929</v>
      </c>
      <c r="I491" s="1348"/>
      <c r="J491" s="1096">
        <f t="shared" si="81"/>
        <v>347.42762829283129</v>
      </c>
    </row>
    <row r="492" spans="1:10" ht="15.75" x14ac:dyDescent="0.25">
      <c r="A492" s="1373" t="s">
        <v>492</v>
      </c>
      <c r="B492" s="1630" t="s">
        <v>1042</v>
      </c>
      <c r="C492" s="1347">
        <v>17.885341417764561</v>
      </c>
      <c r="D492" s="1347">
        <v>190.04704729426021</v>
      </c>
      <c r="E492" s="1347">
        <v>0</v>
      </c>
      <c r="F492" s="1348"/>
      <c r="G492" s="1347">
        <v>139.88314403965407</v>
      </c>
      <c r="H492" s="1347">
        <v>0</v>
      </c>
      <c r="I492" s="1348"/>
      <c r="J492" s="1096">
        <f t="shared" si="81"/>
        <v>347.8155327516788</v>
      </c>
    </row>
    <row r="493" spans="1:10" ht="15.75" x14ac:dyDescent="0.25">
      <c r="A493" s="1373" t="s">
        <v>729</v>
      </c>
      <c r="B493" s="1630" t="s">
        <v>1042</v>
      </c>
      <c r="C493" s="1347">
        <v>17.885341417764561</v>
      </c>
      <c r="D493" s="1347">
        <v>190.04704729426021</v>
      </c>
      <c r="E493" s="1347">
        <v>0</v>
      </c>
      <c r="F493" s="1348"/>
      <c r="G493" s="1347">
        <v>139.88314403965407</v>
      </c>
      <c r="H493" s="1347">
        <v>0</v>
      </c>
      <c r="I493" s="1348"/>
      <c r="J493" s="1096">
        <f t="shared" si="81"/>
        <v>347.8155327516788</v>
      </c>
    </row>
    <row r="494" spans="1:10" ht="15.75" x14ac:dyDescent="0.25">
      <c r="A494" s="1411" t="s">
        <v>190</v>
      </c>
      <c r="B494" s="1629" t="s">
        <v>1118</v>
      </c>
      <c r="C494" s="1347">
        <v>0</v>
      </c>
      <c r="D494" s="1347">
        <v>168.62477394938861</v>
      </c>
      <c r="E494" s="1347">
        <v>0</v>
      </c>
      <c r="F494" s="1348"/>
      <c r="G494" s="1347">
        <v>116.40857974346999</v>
      </c>
      <c r="H494" s="1347">
        <v>68.408004886286065</v>
      </c>
      <c r="I494" s="1348"/>
      <c r="J494" s="1096">
        <f t="shared" si="81"/>
        <v>353.44135857914466</v>
      </c>
    </row>
    <row r="495" spans="1:10" ht="15.75" x14ac:dyDescent="0.25">
      <c r="A495" s="1411" t="s">
        <v>716</v>
      </c>
      <c r="B495" s="1629" t="s">
        <v>1064</v>
      </c>
      <c r="C495" s="1347">
        <v>26.06032966317024</v>
      </c>
      <c r="D495" s="1347">
        <v>143.98332138901557</v>
      </c>
      <c r="E495" s="1347">
        <v>0</v>
      </c>
      <c r="F495" s="1348"/>
      <c r="G495" s="1347">
        <v>130.3885160813951</v>
      </c>
      <c r="H495" s="1347">
        <v>53.184789454253263</v>
      </c>
      <c r="I495" s="1348"/>
      <c r="J495" s="1096">
        <f t="shared" si="81"/>
        <v>353.61695658783424</v>
      </c>
    </row>
    <row r="496" spans="1:10" ht="15.75" x14ac:dyDescent="0.25">
      <c r="A496" s="1411" t="s">
        <v>597</v>
      </c>
      <c r="B496" s="1629" t="s">
        <v>1118</v>
      </c>
      <c r="C496" s="1347">
        <v>0</v>
      </c>
      <c r="D496" s="1347">
        <v>168.14572629612331</v>
      </c>
      <c r="E496" s="1347">
        <v>0</v>
      </c>
      <c r="F496" s="1348"/>
      <c r="G496" s="1347">
        <v>121.19905627612307</v>
      </c>
      <c r="H496" s="1347">
        <v>69.442747817339139</v>
      </c>
      <c r="I496" s="1348"/>
      <c r="J496" s="1096">
        <f t="shared" si="81"/>
        <v>358.78753038958553</v>
      </c>
    </row>
    <row r="497" spans="1:10" ht="15.75" x14ac:dyDescent="0.25">
      <c r="A497" s="1380" t="s">
        <v>119</v>
      </c>
      <c r="B497" s="1628" t="s">
        <v>1076</v>
      </c>
      <c r="C497" s="1347">
        <v>78.799101690240732</v>
      </c>
      <c r="D497" s="1347">
        <v>113.64359897773959</v>
      </c>
      <c r="E497" s="1347">
        <v>0</v>
      </c>
      <c r="F497" s="1348"/>
      <c r="G497" s="1347">
        <v>145.29623391829196</v>
      </c>
      <c r="H497" s="1347">
        <v>26.964587118474782</v>
      </c>
      <c r="I497" s="1348"/>
      <c r="J497" s="1096">
        <f t="shared" si="81"/>
        <v>364.70352170474712</v>
      </c>
    </row>
    <row r="498" spans="1:10" ht="15.75" x14ac:dyDescent="0.25">
      <c r="A498" s="1411" t="s">
        <v>520</v>
      </c>
      <c r="B498" s="1629" t="s">
        <v>1118</v>
      </c>
      <c r="C498" s="1347">
        <v>0</v>
      </c>
      <c r="D498" s="1347">
        <v>152.81620139163343</v>
      </c>
      <c r="E498" s="1347">
        <v>0</v>
      </c>
      <c r="F498" s="1348"/>
      <c r="G498" s="1347">
        <v>147.06762955244974</v>
      </c>
      <c r="H498" s="1347">
        <v>71.972119426579965</v>
      </c>
      <c r="I498" s="1348"/>
      <c r="J498" s="1096">
        <f t="shared" si="81"/>
        <v>371.85595037066315</v>
      </c>
    </row>
    <row r="499" spans="1:10" ht="15.75" x14ac:dyDescent="0.25">
      <c r="A499" s="1380" t="s">
        <v>139</v>
      </c>
      <c r="B499" s="1628" t="s">
        <v>1116</v>
      </c>
      <c r="C499" s="1347">
        <v>35.561491519534393</v>
      </c>
      <c r="D499" s="1347">
        <v>135.11195083284471</v>
      </c>
      <c r="E499" s="1347">
        <v>0</v>
      </c>
      <c r="F499" s="1348"/>
      <c r="G499" s="1347">
        <v>181.62963928160357</v>
      </c>
      <c r="H499" s="1347">
        <v>21.141442439246855</v>
      </c>
      <c r="I499" s="1348"/>
      <c r="J499" s="1096">
        <f t="shared" si="81"/>
        <v>373.44452407322956</v>
      </c>
    </row>
    <row r="500" spans="1:10" ht="15.75" x14ac:dyDescent="0.25">
      <c r="A500" s="1380" t="s">
        <v>135</v>
      </c>
      <c r="B500" s="1628" t="s">
        <v>1116</v>
      </c>
      <c r="C500" s="1347">
        <v>44.639173018872022</v>
      </c>
      <c r="D500" s="1347">
        <v>206.57154646339612</v>
      </c>
      <c r="E500" s="1347">
        <v>0</v>
      </c>
      <c r="F500" s="1348"/>
      <c r="G500" s="1347">
        <v>104.97969465980412</v>
      </c>
      <c r="H500" s="1347">
        <v>21.369470323799597</v>
      </c>
      <c r="I500" s="1348"/>
      <c r="J500" s="1096">
        <f t="shared" si="81"/>
        <v>377.55988446587185</v>
      </c>
    </row>
    <row r="501" spans="1:10" ht="15.75" x14ac:dyDescent="0.25">
      <c r="A501" s="1380" t="s">
        <v>104</v>
      </c>
      <c r="B501" s="1628" t="s">
        <v>1066</v>
      </c>
      <c r="C501" s="1347">
        <v>0</v>
      </c>
      <c r="D501" s="1347">
        <v>171.53895861350634</v>
      </c>
      <c r="E501" s="1347">
        <v>0</v>
      </c>
      <c r="F501" s="1348"/>
      <c r="G501" s="1347">
        <v>131.93874381797508</v>
      </c>
      <c r="H501" s="1347">
        <v>81.937533639266974</v>
      </c>
      <c r="I501" s="1348"/>
      <c r="J501" s="1096">
        <f t="shared" si="81"/>
        <v>385.41523607074839</v>
      </c>
    </row>
    <row r="502" spans="1:10" ht="15.75" x14ac:dyDescent="0.25">
      <c r="A502" s="1411" t="s">
        <v>712</v>
      </c>
      <c r="B502" s="1629" t="s">
        <v>1064</v>
      </c>
      <c r="C502" s="1347">
        <v>86.324842009251412</v>
      </c>
      <c r="D502" s="1347">
        <v>81.351662431863105</v>
      </c>
      <c r="E502" s="1347">
        <v>65.074814863074693</v>
      </c>
      <c r="F502" s="1348"/>
      <c r="G502" s="1347">
        <v>87.595283080330972</v>
      </c>
      <c r="H502" s="1347">
        <v>65.541729102873148</v>
      </c>
      <c r="I502" s="1348"/>
      <c r="J502" s="1096">
        <f t="shared" si="81"/>
        <v>385.88833148739332</v>
      </c>
    </row>
    <row r="503" spans="1:10" ht="15.75" x14ac:dyDescent="0.25">
      <c r="A503" s="1380" t="s">
        <v>118</v>
      </c>
      <c r="B503" s="1628" t="s">
        <v>1076</v>
      </c>
      <c r="C503" s="1347">
        <v>116.70246706022994</v>
      </c>
      <c r="D503" s="1347">
        <v>96.088356069534058</v>
      </c>
      <c r="E503" s="1347">
        <v>0</v>
      </c>
      <c r="F503" s="1348"/>
      <c r="G503" s="1347">
        <v>150.94849015767633</v>
      </c>
      <c r="H503" s="1347">
        <v>29.059246783658395</v>
      </c>
      <c r="I503" s="1348"/>
      <c r="J503" s="1096">
        <f t="shared" si="81"/>
        <v>392.79856007109873</v>
      </c>
    </row>
    <row r="504" spans="1:10" ht="15.75" x14ac:dyDescent="0.25">
      <c r="A504" s="1380" t="s">
        <v>103</v>
      </c>
      <c r="B504" s="1628" t="s">
        <v>1066</v>
      </c>
      <c r="C504" s="1347">
        <v>4.2382076519995646</v>
      </c>
      <c r="D504" s="1347">
        <v>168.63315255478366</v>
      </c>
      <c r="E504" s="1347">
        <v>0</v>
      </c>
      <c r="F504" s="1348"/>
      <c r="G504" s="1347">
        <v>141.24489758187016</v>
      </c>
      <c r="H504" s="1347">
        <v>84.812353614425078</v>
      </c>
      <c r="I504" s="1348"/>
      <c r="J504" s="1096">
        <f t="shared" si="81"/>
        <v>398.92861140307849</v>
      </c>
    </row>
    <row r="505" spans="1:10" ht="15.75" x14ac:dyDescent="0.25">
      <c r="A505" s="1380" t="s">
        <v>173</v>
      </c>
      <c r="B505" s="1628" t="s">
        <v>1151</v>
      </c>
      <c r="C505" s="1347">
        <v>0</v>
      </c>
      <c r="D505" s="1347">
        <v>201.31</v>
      </c>
      <c r="E505" s="1347">
        <v>0</v>
      </c>
      <c r="F505" s="1348"/>
      <c r="G505" s="1347">
        <v>201.31</v>
      </c>
      <c r="H505" s="1347">
        <v>0</v>
      </c>
      <c r="I505" s="1348"/>
      <c r="J505" s="1096">
        <f t="shared" si="81"/>
        <v>402.62</v>
      </c>
    </row>
    <row r="506" spans="1:10" ht="15.75" x14ac:dyDescent="0.25">
      <c r="A506" s="1380" t="s">
        <v>115</v>
      </c>
      <c r="B506" s="1628" t="s">
        <v>1076</v>
      </c>
      <c r="C506" s="1347">
        <v>84.783843590765343</v>
      </c>
      <c r="D506" s="1347">
        <v>109.72026817628456</v>
      </c>
      <c r="E506" s="1347">
        <v>0</v>
      </c>
      <c r="F506" s="1348"/>
      <c r="G506" s="1347">
        <v>179.74174841242251</v>
      </c>
      <c r="H506" s="1347">
        <v>29.923709502623062</v>
      </c>
      <c r="I506" s="1348"/>
      <c r="J506" s="1096">
        <f t="shared" si="81"/>
        <v>404.16956968209547</v>
      </c>
    </row>
    <row r="507" spans="1:10" ht="15.75" x14ac:dyDescent="0.25">
      <c r="A507" s="1380" t="s">
        <v>137</v>
      </c>
      <c r="B507" s="1628" t="s">
        <v>1116</v>
      </c>
      <c r="C507" s="1347">
        <v>61.111473060134216</v>
      </c>
      <c r="D507" s="1347">
        <v>167.00327925814929</v>
      </c>
      <c r="E507" s="1347">
        <v>0</v>
      </c>
      <c r="F507" s="1348"/>
      <c r="G507" s="1347">
        <v>156.8397506895129</v>
      </c>
      <c r="H507" s="1347">
        <v>23.095967163984625</v>
      </c>
      <c r="I507" s="1348"/>
      <c r="J507" s="1096">
        <f t="shared" si="81"/>
        <v>408.05047017178106</v>
      </c>
    </row>
    <row r="508" spans="1:10" ht="15.75" x14ac:dyDescent="0.25">
      <c r="A508" s="1380" t="s">
        <v>116</v>
      </c>
      <c r="B508" s="1628" t="s">
        <v>1076</v>
      </c>
      <c r="C508" s="1347">
        <v>131.66432181154147</v>
      </c>
      <c r="D508" s="1347">
        <v>139.64397767890762</v>
      </c>
      <c r="E508" s="1347">
        <v>0</v>
      </c>
      <c r="F508" s="1348"/>
      <c r="G508" s="1347">
        <v>106.62815152768017</v>
      </c>
      <c r="H508" s="1347">
        <v>30.123200899307214</v>
      </c>
      <c r="I508" s="1348"/>
      <c r="J508" s="1096">
        <f t="shared" si="81"/>
        <v>408.0596519174365</v>
      </c>
    </row>
    <row r="509" spans="1:10" ht="15.75" x14ac:dyDescent="0.25">
      <c r="A509" s="1411" t="s">
        <v>516</v>
      </c>
      <c r="B509" s="1629" t="s">
        <v>1118</v>
      </c>
      <c r="C509" s="1347">
        <v>0</v>
      </c>
      <c r="D509" s="1347">
        <v>210.78096743673578</v>
      </c>
      <c r="E509" s="1347">
        <v>0</v>
      </c>
      <c r="F509" s="1348"/>
      <c r="G509" s="1347">
        <v>120.24096096959245</v>
      </c>
      <c r="H509" s="1347">
        <v>79.445262817518781</v>
      </c>
      <c r="I509" s="1348"/>
      <c r="J509" s="1096">
        <f t="shared" si="81"/>
        <v>410.46719122384701</v>
      </c>
    </row>
    <row r="510" spans="1:10" ht="15.75" x14ac:dyDescent="0.25">
      <c r="A510" s="1411" t="s">
        <v>513</v>
      </c>
      <c r="B510" s="1629" t="s">
        <v>1118</v>
      </c>
      <c r="C510" s="1347">
        <v>0</v>
      </c>
      <c r="D510" s="1347">
        <v>176.76858405489887</v>
      </c>
      <c r="E510" s="1347">
        <v>0</v>
      </c>
      <c r="F510" s="1348"/>
      <c r="G510" s="1347">
        <v>159.04382088408244</v>
      </c>
      <c r="H510" s="1347">
        <v>80.594977185355518</v>
      </c>
      <c r="I510" s="1348"/>
      <c r="J510" s="1096">
        <f t="shared" si="81"/>
        <v>416.40738212433683</v>
      </c>
    </row>
    <row r="511" spans="1:10" ht="15.75" x14ac:dyDescent="0.25">
      <c r="A511" s="1411" t="s">
        <v>713</v>
      </c>
      <c r="B511" s="1629" t="s">
        <v>1064</v>
      </c>
      <c r="C511" s="1347">
        <v>55.378200534236761</v>
      </c>
      <c r="D511" s="1347">
        <v>184.5940017807892</v>
      </c>
      <c r="E511" s="1347">
        <v>0</v>
      </c>
      <c r="F511" s="1348"/>
      <c r="G511" s="1347">
        <v>114.55686581101918</v>
      </c>
      <c r="H511" s="1347">
        <v>63.087714726257957</v>
      </c>
      <c r="I511" s="1348"/>
      <c r="J511" s="1096">
        <f t="shared" si="81"/>
        <v>417.61678285230306</v>
      </c>
    </row>
    <row r="512" spans="1:10" ht="15.75" x14ac:dyDescent="0.25">
      <c r="A512" s="1380" t="s">
        <v>102</v>
      </c>
      <c r="B512" s="1628" t="s">
        <v>1066</v>
      </c>
      <c r="C512" s="1347">
        <v>5.8529268955314864</v>
      </c>
      <c r="D512" s="1347">
        <v>118.71112903407392</v>
      </c>
      <c r="E512" s="1347">
        <v>0</v>
      </c>
      <c r="F512" s="1348"/>
      <c r="G512" s="1347">
        <v>206.73226374651981</v>
      </c>
      <c r="H512" s="1347">
        <v>91.030227716383834</v>
      </c>
      <c r="I512" s="1348"/>
      <c r="J512" s="1096">
        <f t="shared" si="81"/>
        <v>422.32654739250904</v>
      </c>
    </row>
    <row r="513" spans="1:10" ht="15.75" x14ac:dyDescent="0.25">
      <c r="A513" s="1380" t="s">
        <v>138</v>
      </c>
      <c r="B513" s="1628" t="s">
        <v>1116</v>
      </c>
      <c r="C513" s="1347">
        <v>50.752492019024046</v>
      </c>
      <c r="D513" s="1347">
        <v>176.29813017134668</v>
      </c>
      <c r="E513" s="1347">
        <v>0</v>
      </c>
      <c r="F513" s="1348"/>
      <c r="G513" s="1347">
        <v>174.31103003452998</v>
      </c>
      <c r="H513" s="1347">
        <v>24.084087997046495</v>
      </c>
      <c r="I513" s="1348"/>
      <c r="J513" s="1096">
        <f t="shared" si="81"/>
        <v>425.44574022194718</v>
      </c>
    </row>
    <row r="514" spans="1:10" ht="15.75" x14ac:dyDescent="0.25">
      <c r="A514" s="1380" t="s">
        <v>154</v>
      </c>
      <c r="B514" s="1628" t="s">
        <v>1133</v>
      </c>
      <c r="C514" s="1347">
        <v>77.008274154668058</v>
      </c>
      <c r="D514" s="1347">
        <v>121.41941928898733</v>
      </c>
      <c r="E514" s="1347">
        <v>0</v>
      </c>
      <c r="F514" s="1348"/>
      <c r="G514" s="1347">
        <v>210.23085108693294</v>
      </c>
      <c r="H514" s="1347">
        <v>40.871283688405327</v>
      </c>
      <c r="I514" s="1348"/>
      <c r="J514" s="1096">
        <f t="shared" si="81"/>
        <v>449.52982821899366</v>
      </c>
    </row>
    <row r="515" spans="1:10" ht="15.75" x14ac:dyDescent="0.25">
      <c r="A515" s="1411" t="s">
        <v>714</v>
      </c>
      <c r="B515" s="1629" t="s">
        <v>1064</v>
      </c>
      <c r="C515" s="1347">
        <v>52.989336981779488</v>
      </c>
      <c r="D515" s="1347">
        <v>108.58470692987599</v>
      </c>
      <c r="E515" s="1347">
        <v>86.867765543900802</v>
      </c>
      <c r="F515" s="1348"/>
      <c r="G515" s="1347">
        <v>128.12995417725367</v>
      </c>
      <c r="H515" s="1347">
        <v>75.748691554281507</v>
      </c>
      <c r="I515" s="1348"/>
      <c r="J515" s="1096">
        <f t="shared" si="81"/>
        <v>452.32045518709145</v>
      </c>
    </row>
    <row r="516" spans="1:10" ht="15.75" x14ac:dyDescent="0.25">
      <c r="A516" s="1380" t="s">
        <v>129</v>
      </c>
      <c r="B516" s="1628" t="s">
        <v>1114</v>
      </c>
      <c r="C516" s="1347">
        <v>0</v>
      </c>
      <c r="D516" s="1347">
        <v>217.10581251470779</v>
      </c>
      <c r="E516" s="1347">
        <v>0</v>
      </c>
      <c r="F516" s="1348"/>
      <c r="G516" s="1347">
        <v>253.54315167801539</v>
      </c>
      <c r="H516" s="1347">
        <v>0</v>
      </c>
      <c r="I516" s="1348"/>
      <c r="J516" s="1096">
        <f t="shared" si="81"/>
        <v>470.64896419272316</v>
      </c>
    </row>
    <row r="517" spans="1:10" ht="15.75" x14ac:dyDescent="0.25">
      <c r="A517" s="1380" t="s">
        <v>214</v>
      </c>
      <c r="B517" s="1628" t="s">
        <v>1133</v>
      </c>
      <c r="C517" s="1347">
        <v>50.339870132690514</v>
      </c>
      <c r="D517" s="1347">
        <v>123.66712272243578</v>
      </c>
      <c r="E517" s="1347">
        <v>0</v>
      </c>
      <c r="F517" s="1348"/>
      <c r="G517" s="1347">
        <v>260.09294850913199</v>
      </c>
      <c r="H517" s="1347">
        <v>43.412165830564419</v>
      </c>
      <c r="I517" s="1348"/>
      <c r="J517" s="1096">
        <f t="shared" si="81"/>
        <v>477.51210719482265</v>
      </c>
    </row>
    <row r="518" spans="1:10" ht="15.75" x14ac:dyDescent="0.25">
      <c r="A518" s="1373" t="s">
        <v>722</v>
      </c>
      <c r="B518" s="1630" t="s">
        <v>1040</v>
      </c>
      <c r="C518" s="1347">
        <v>75.965211386149292</v>
      </c>
      <c r="D518" s="1347">
        <v>208.61658429908425</v>
      </c>
      <c r="E518" s="1347">
        <v>0</v>
      </c>
      <c r="F518" s="1348"/>
      <c r="G518" s="1347">
        <v>205.45136715799472</v>
      </c>
      <c r="H518" s="1347">
        <v>0</v>
      </c>
      <c r="I518" s="1348"/>
      <c r="J518" s="1096">
        <f t="shared" si="81"/>
        <v>490.0331628432283</v>
      </c>
    </row>
    <row r="519" spans="1:10" ht="15.75" x14ac:dyDescent="0.25">
      <c r="A519" s="1380" t="s">
        <v>117</v>
      </c>
      <c r="B519" s="1628" t="s">
        <v>1076</v>
      </c>
      <c r="C519" s="1347">
        <v>124.68212292759608</v>
      </c>
      <c r="D519" s="1347">
        <v>201.58605634933735</v>
      </c>
      <c r="E519" s="1347">
        <v>0</v>
      </c>
      <c r="F519" s="1348"/>
      <c r="G519" s="1347">
        <v>138.54677499714478</v>
      </c>
      <c r="H519" s="1347">
        <v>37.105399783252594</v>
      </c>
      <c r="I519" s="1348"/>
      <c r="J519" s="1096">
        <f t="shared" si="81"/>
        <v>501.92035405733083</v>
      </c>
    </row>
    <row r="520" spans="1:10" ht="15.75" x14ac:dyDescent="0.25">
      <c r="A520" s="1373" t="s">
        <v>728</v>
      </c>
      <c r="B520" s="1630" t="s">
        <v>1042</v>
      </c>
      <c r="C520" s="1347">
        <v>15.456467891895299</v>
      </c>
      <c r="D520" s="1347">
        <v>399.89215632775705</v>
      </c>
      <c r="E520" s="1347">
        <v>0</v>
      </c>
      <c r="F520" s="1348"/>
      <c r="G520" s="1347">
        <v>91.080647602095667</v>
      </c>
      <c r="H520" s="1347">
        <v>0</v>
      </c>
      <c r="I520" s="1348"/>
      <c r="J520" s="1096">
        <f t="shared" si="81"/>
        <v>506.42927182174799</v>
      </c>
    </row>
    <row r="521" spans="1:10" ht="15.75" x14ac:dyDescent="0.25">
      <c r="A521" s="1380" t="s">
        <v>105</v>
      </c>
      <c r="B521" s="1628" t="s">
        <v>1066</v>
      </c>
      <c r="C521" s="1347">
        <v>0</v>
      </c>
      <c r="D521" s="1347">
        <v>234.11707582125948</v>
      </c>
      <c r="E521" s="1347">
        <v>0</v>
      </c>
      <c r="F521" s="1348"/>
      <c r="G521" s="1347">
        <v>170.76774942256574</v>
      </c>
      <c r="H521" s="1347">
        <v>109.3189028158328</v>
      </c>
      <c r="I521" s="1348"/>
      <c r="J521" s="1096">
        <f t="shared" si="81"/>
        <v>514.20372805965803</v>
      </c>
    </row>
    <row r="522" spans="1:10" ht="15.75" x14ac:dyDescent="0.25">
      <c r="A522" s="1380" t="s">
        <v>132</v>
      </c>
      <c r="B522" s="1628" t="s">
        <v>1114</v>
      </c>
      <c r="C522" s="1347">
        <v>0</v>
      </c>
      <c r="D522" s="1347">
        <v>159.41335883947076</v>
      </c>
      <c r="E522" s="1347">
        <v>14.028375577873426</v>
      </c>
      <c r="F522" s="1348"/>
      <c r="G522" s="1347">
        <v>341.33689609538487</v>
      </c>
      <c r="H522" s="1347">
        <v>0</v>
      </c>
      <c r="I522" s="1348"/>
      <c r="J522" s="1096">
        <f t="shared" si="81"/>
        <v>514.77863051272902</v>
      </c>
    </row>
    <row r="523" spans="1:10" ht="15.75" x14ac:dyDescent="0.25">
      <c r="A523" s="1380" t="s">
        <v>134</v>
      </c>
      <c r="B523" s="1628" t="s">
        <v>1116</v>
      </c>
      <c r="C523" s="1347">
        <v>53.032770864551445</v>
      </c>
      <c r="D523" s="1347">
        <v>199.22036180424348</v>
      </c>
      <c r="E523" s="1347">
        <v>0</v>
      </c>
      <c r="F523" s="1348"/>
      <c r="G523" s="1347">
        <v>247.16050991378376</v>
      </c>
      <c r="H523" s="1347">
        <v>16.472300041262187</v>
      </c>
      <c r="I523" s="1348"/>
      <c r="J523" s="1096">
        <f t="shared" si="81"/>
        <v>515.88594262384083</v>
      </c>
    </row>
    <row r="524" spans="1:10" ht="15.75" x14ac:dyDescent="0.25">
      <c r="A524" s="1380" t="s">
        <v>136</v>
      </c>
      <c r="B524" s="1628" t="s">
        <v>1116</v>
      </c>
      <c r="C524" s="1347">
        <v>40.328360153755945</v>
      </c>
      <c r="D524" s="1347">
        <v>226.44254783156339</v>
      </c>
      <c r="E524" s="1347">
        <v>0</v>
      </c>
      <c r="F524" s="1348"/>
      <c r="G524" s="1347">
        <v>238.82120442156926</v>
      </c>
      <c r="H524" s="1347">
        <v>16.624318630964016</v>
      </c>
      <c r="I524" s="1348"/>
      <c r="J524" s="1096">
        <f t="shared" si="81"/>
        <v>522.21643103785266</v>
      </c>
    </row>
    <row r="525" spans="1:10" ht="15.75" x14ac:dyDescent="0.25">
      <c r="A525" s="1380" t="s">
        <v>128</v>
      </c>
      <c r="B525" s="1628" t="s">
        <v>1114</v>
      </c>
      <c r="C525" s="1347">
        <v>0</v>
      </c>
      <c r="D525" s="1347">
        <v>278.84685943031235</v>
      </c>
      <c r="E525" s="1347">
        <v>0</v>
      </c>
      <c r="F525" s="1348"/>
      <c r="G525" s="1347">
        <v>277.83471112022045</v>
      </c>
      <c r="H525" s="1347">
        <v>0</v>
      </c>
      <c r="I525" s="1348"/>
      <c r="J525" s="1096">
        <f t="shared" si="81"/>
        <v>556.6815705505328</v>
      </c>
    </row>
    <row r="526" spans="1:10" ht="15.75" x14ac:dyDescent="0.25">
      <c r="A526" s="1373" t="s">
        <v>552</v>
      </c>
      <c r="B526" s="1630" t="s">
        <v>1040</v>
      </c>
      <c r="C526" s="1347">
        <v>136.91002870276452</v>
      </c>
      <c r="D526" s="1347">
        <v>135.81659005402452</v>
      </c>
      <c r="E526" s="1347">
        <v>0</v>
      </c>
      <c r="F526" s="1348"/>
      <c r="G526" s="1347">
        <v>284.64653876311945</v>
      </c>
      <c r="H526" s="1347">
        <v>0</v>
      </c>
      <c r="I526" s="1348"/>
      <c r="J526" s="1096">
        <f t="shared" si="81"/>
        <v>557.37315751990855</v>
      </c>
    </row>
    <row r="527" spans="1:10" ht="15.75" x14ac:dyDescent="0.25">
      <c r="A527" s="1380" t="s">
        <v>86</v>
      </c>
      <c r="B527" s="1628" t="s">
        <v>1050</v>
      </c>
      <c r="C527" s="1347">
        <v>52.12065932634048</v>
      </c>
      <c r="D527" s="1347">
        <v>226.50769865572133</v>
      </c>
      <c r="E527" s="1347">
        <v>0</v>
      </c>
      <c r="F527" s="1348"/>
      <c r="G527" s="1347">
        <v>272.54761439398879</v>
      </c>
      <c r="H527" s="1347">
        <v>13.93141789910309</v>
      </c>
      <c r="I527" s="1348"/>
      <c r="J527" s="1096">
        <f t="shared" si="81"/>
        <v>565.10739027515365</v>
      </c>
    </row>
    <row r="528" spans="1:10" ht="15.75" x14ac:dyDescent="0.25">
      <c r="A528" s="1380" t="s">
        <v>174</v>
      </c>
      <c r="B528" s="1628" t="s">
        <v>1151</v>
      </c>
      <c r="C528" s="1347">
        <v>105.48</v>
      </c>
      <c r="D528" s="1347">
        <v>137.37</v>
      </c>
      <c r="E528" s="1347">
        <v>0</v>
      </c>
      <c r="F528" s="1348"/>
      <c r="G528" s="1347">
        <v>323.68</v>
      </c>
      <c r="H528" s="1347">
        <v>0</v>
      </c>
      <c r="I528" s="1348"/>
      <c r="J528" s="1096">
        <f t="shared" si="81"/>
        <v>566.53</v>
      </c>
    </row>
    <row r="529" spans="1:10" ht="15.75" x14ac:dyDescent="0.25">
      <c r="A529" s="1411" t="s">
        <v>186</v>
      </c>
      <c r="B529" s="1629" t="s">
        <v>1106</v>
      </c>
      <c r="C529" s="1347">
        <v>76.487067561404658</v>
      </c>
      <c r="D529" s="1347">
        <v>100.22368449627554</v>
      </c>
      <c r="E529" s="1347">
        <v>0</v>
      </c>
      <c r="F529" s="1348"/>
      <c r="G529" s="1347">
        <v>375.26874714965146</v>
      </c>
      <c r="H529" s="1347">
        <v>14.941255673550938</v>
      </c>
      <c r="I529" s="1348"/>
      <c r="J529" s="1096">
        <f t="shared" si="81"/>
        <v>566.92075488088255</v>
      </c>
    </row>
    <row r="530" spans="1:10" ht="15.75" x14ac:dyDescent="0.25">
      <c r="A530" s="1614" t="s">
        <v>212</v>
      </c>
      <c r="B530" s="1631" t="s">
        <v>1151</v>
      </c>
      <c r="C530" s="1347">
        <v>42</v>
      </c>
      <c r="D530" s="1347">
        <v>244.71</v>
      </c>
      <c r="E530" s="1347">
        <v>0</v>
      </c>
      <c r="F530" s="1348"/>
      <c r="G530" s="1347">
        <v>292.05</v>
      </c>
      <c r="H530" s="1347">
        <v>22.22</v>
      </c>
      <c r="I530" s="1348"/>
      <c r="J530" s="1096">
        <f t="shared" si="81"/>
        <v>600.98</v>
      </c>
    </row>
    <row r="531" spans="1:10" ht="15.75" x14ac:dyDescent="0.25">
      <c r="A531" s="1380" t="s">
        <v>172</v>
      </c>
      <c r="B531" s="1628" t="s">
        <v>1151</v>
      </c>
      <c r="C531" s="1347">
        <v>0</v>
      </c>
      <c r="D531" s="1347">
        <v>330.11</v>
      </c>
      <c r="E531" s="1347">
        <v>0</v>
      </c>
      <c r="F531" s="1348"/>
      <c r="G531" s="1347">
        <v>300.02999999999997</v>
      </c>
      <c r="H531" s="1347">
        <v>0</v>
      </c>
      <c r="I531" s="1348"/>
      <c r="J531" s="1096">
        <f t="shared" si="81"/>
        <v>630.14</v>
      </c>
    </row>
    <row r="532" spans="1:10" ht="15.75" x14ac:dyDescent="0.25">
      <c r="A532" s="1373" t="s">
        <v>549</v>
      </c>
      <c r="B532" s="1630" t="s">
        <v>1040</v>
      </c>
      <c r="C532" s="1347">
        <v>93.661652674968167</v>
      </c>
      <c r="D532" s="1347">
        <v>208.61658429908425</v>
      </c>
      <c r="E532" s="1347">
        <v>0</v>
      </c>
      <c r="F532" s="1348"/>
      <c r="G532" s="1347">
        <v>328.03159462200836</v>
      </c>
      <c r="H532" s="1347">
        <v>0</v>
      </c>
      <c r="I532" s="1348"/>
      <c r="J532" s="1096">
        <f t="shared" ref="J532:J595" si="82">C532+D532+E532+G532+H532</f>
        <v>630.3098315960608</v>
      </c>
    </row>
    <row r="533" spans="1:10" ht="15.75" x14ac:dyDescent="0.25">
      <c r="A533" s="1373" t="s">
        <v>723</v>
      </c>
      <c r="B533" s="1630" t="s">
        <v>1040</v>
      </c>
      <c r="C533" s="1347">
        <v>408.60075821337881</v>
      </c>
      <c r="D533" s="1347">
        <v>0</v>
      </c>
      <c r="E533" s="1347">
        <v>0</v>
      </c>
      <c r="F533" s="1348"/>
      <c r="G533" s="1347">
        <v>225.88140506866364</v>
      </c>
      <c r="H533" s="1347">
        <v>0</v>
      </c>
      <c r="I533" s="1348"/>
      <c r="J533" s="1096">
        <f t="shared" si="82"/>
        <v>634.48216328204239</v>
      </c>
    </row>
    <row r="534" spans="1:10" ht="15.75" x14ac:dyDescent="0.25">
      <c r="A534" s="1380" t="s">
        <v>85</v>
      </c>
      <c r="B534" s="1628" t="s">
        <v>1050</v>
      </c>
      <c r="C534" s="1347">
        <v>71.665906573718161</v>
      </c>
      <c r="D534" s="1347">
        <v>247.57313180011727</v>
      </c>
      <c r="E534" s="1347">
        <v>0</v>
      </c>
      <c r="F534" s="1348"/>
      <c r="G534" s="1347">
        <v>325.75412078962796</v>
      </c>
      <c r="H534" s="1347">
        <v>15.961951918691771</v>
      </c>
      <c r="I534" s="1348"/>
      <c r="J534" s="1096">
        <f t="shared" si="82"/>
        <v>660.9551110821551</v>
      </c>
    </row>
    <row r="535" spans="1:10" ht="15.75" x14ac:dyDescent="0.25">
      <c r="A535" s="1380" t="s">
        <v>1347</v>
      </c>
      <c r="B535" s="1628" t="s">
        <v>1050</v>
      </c>
      <c r="C535" s="1347">
        <v>45.605576910547917</v>
      </c>
      <c r="D535" s="1347">
        <v>238.8863552457272</v>
      </c>
      <c r="E535" s="1347">
        <v>0</v>
      </c>
      <c r="F535" s="1348"/>
      <c r="G535" s="1347">
        <v>363.88906986340044</v>
      </c>
      <c r="H535" s="1347">
        <v>14.224596607813755</v>
      </c>
      <c r="I535" s="1348"/>
      <c r="J535" s="1096">
        <f t="shared" si="82"/>
        <v>662.60559862748937</v>
      </c>
    </row>
    <row r="536" spans="1:10" ht="15.75" x14ac:dyDescent="0.25">
      <c r="A536" s="1380" t="s">
        <v>1348</v>
      </c>
      <c r="B536" s="1628" t="s">
        <v>1050</v>
      </c>
      <c r="C536" s="1347">
        <v>71.665906573718161</v>
      </c>
      <c r="D536" s="1347">
        <v>238.8863552457272</v>
      </c>
      <c r="E536" s="1347">
        <v>0</v>
      </c>
      <c r="F536" s="1348"/>
      <c r="G536" s="1347">
        <v>339.92442504397684</v>
      </c>
      <c r="H536" s="1347">
        <v>15.527613090972268</v>
      </c>
      <c r="I536" s="1348"/>
      <c r="J536" s="1096">
        <f t="shared" si="82"/>
        <v>666.00429995439447</v>
      </c>
    </row>
    <row r="537" spans="1:10" ht="15.75" x14ac:dyDescent="0.25">
      <c r="A537" s="1380" t="s">
        <v>631</v>
      </c>
      <c r="B537" s="1628" t="s">
        <v>1058</v>
      </c>
      <c r="C537" s="1347">
        <v>11.890025408821421</v>
      </c>
      <c r="D537" s="1347">
        <v>201.96755488956936</v>
      </c>
      <c r="E537" s="1347">
        <v>95.554542098290881</v>
      </c>
      <c r="F537" s="1348"/>
      <c r="G537" s="1347">
        <v>317.0673442352379</v>
      </c>
      <c r="H537" s="1347">
        <v>48.711099528742373</v>
      </c>
      <c r="I537" s="1348"/>
      <c r="J537" s="1096">
        <f t="shared" si="82"/>
        <v>675.19056616066189</v>
      </c>
    </row>
    <row r="538" spans="1:10" ht="15.75" x14ac:dyDescent="0.25">
      <c r="A538" s="1380" t="s">
        <v>151</v>
      </c>
      <c r="B538" s="1628" t="s">
        <v>1133</v>
      </c>
      <c r="C538" s="1347">
        <v>90.429343931200734</v>
      </c>
      <c r="D538" s="1347">
        <v>302.95133233435405</v>
      </c>
      <c r="E538" s="1347">
        <v>0</v>
      </c>
      <c r="F538" s="1348"/>
      <c r="G538" s="1347">
        <v>221.38250048863119</v>
      </c>
      <c r="H538" s="1347">
        <v>61.480661063695784</v>
      </c>
      <c r="I538" s="1348"/>
      <c r="J538" s="1096">
        <f t="shared" si="82"/>
        <v>676.24383781788174</v>
      </c>
    </row>
    <row r="539" spans="1:10" ht="15.75" x14ac:dyDescent="0.25">
      <c r="A539" s="1380" t="s">
        <v>630</v>
      </c>
      <c r="B539" s="1628" t="s">
        <v>1058</v>
      </c>
      <c r="C539" s="1347">
        <v>30.794622885312833</v>
      </c>
      <c r="D539" s="1347">
        <v>217.16941385975198</v>
      </c>
      <c r="E539" s="1347">
        <v>86.867765543900802</v>
      </c>
      <c r="F539" s="1348"/>
      <c r="G539" s="1347">
        <v>295.35040284926271</v>
      </c>
      <c r="H539" s="1347">
        <v>47.864138814689341</v>
      </c>
      <c r="I539" s="1348"/>
      <c r="J539" s="1096">
        <f t="shared" si="82"/>
        <v>678.0463439529176</v>
      </c>
    </row>
    <row r="540" spans="1:10" ht="15.75" x14ac:dyDescent="0.25">
      <c r="A540" s="1380" t="s">
        <v>127</v>
      </c>
      <c r="B540" s="1628" t="s">
        <v>1112</v>
      </c>
      <c r="C540" s="1347">
        <v>33.858898682888842</v>
      </c>
      <c r="D540" s="1347">
        <v>186.44966874710786</v>
      </c>
      <c r="E540" s="1347">
        <v>20.8345089895376</v>
      </c>
      <c r="F540" s="1348"/>
      <c r="G540" s="1347">
        <v>302.15681184609997</v>
      </c>
      <c r="H540" s="1347">
        <v>135.83061521618907</v>
      </c>
      <c r="I540" s="1348"/>
      <c r="J540" s="1096">
        <f t="shared" si="82"/>
        <v>679.13050348182333</v>
      </c>
    </row>
    <row r="541" spans="1:10" ht="15.75" x14ac:dyDescent="0.25">
      <c r="A541" s="1380" t="s">
        <v>100</v>
      </c>
      <c r="B541" s="1628" t="s">
        <v>1058</v>
      </c>
      <c r="C541" s="1347">
        <v>66.193237344452413</v>
      </c>
      <c r="D541" s="1347">
        <v>256.25990835450733</v>
      </c>
      <c r="E541" s="1347">
        <v>76.009294850913193</v>
      </c>
      <c r="F541" s="1348"/>
      <c r="G541" s="1347">
        <v>246.79132191022217</v>
      </c>
      <c r="H541" s="1347">
        <v>46.647990097074732</v>
      </c>
      <c r="I541" s="1348"/>
      <c r="J541" s="1096">
        <f t="shared" si="82"/>
        <v>691.90175255716986</v>
      </c>
    </row>
    <row r="542" spans="1:10" ht="15.75" x14ac:dyDescent="0.25">
      <c r="A542" s="1380" t="s">
        <v>130</v>
      </c>
      <c r="B542" s="1628" t="s">
        <v>1114</v>
      </c>
      <c r="C542" s="1347">
        <v>21.680216802168019</v>
      </c>
      <c r="D542" s="1347">
        <v>326.92390415967651</v>
      </c>
      <c r="E542" s="1347">
        <v>0</v>
      </c>
      <c r="F542" s="1348"/>
      <c r="G542" s="1347">
        <v>348.6041209618445</v>
      </c>
      <c r="H542" s="1347">
        <v>0</v>
      </c>
      <c r="I542" s="1348"/>
      <c r="J542" s="1096">
        <f t="shared" si="82"/>
        <v>697.208241923689</v>
      </c>
    </row>
    <row r="543" spans="1:10" ht="15.75" x14ac:dyDescent="0.25">
      <c r="A543" s="1411" t="s">
        <v>185</v>
      </c>
      <c r="B543" s="1629" t="s">
        <v>1106</v>
      </c>
      <c r="C543" s="1347">
        <v>48.863118118444199</v>
      </c>
      <c r="D543" s="1347">
        <v>147.67520142463135</v>
      </c>
      <c r="E543" s="1347">
        <v>0</v>
      </c>
      <c r="F543" s="1348"/>
      <c r="G543" s="1347">
        <v>502.31285425760632</v>
      </c>
      <c r="H543" s="1347">
        <v>16.135687449779574</v>
      </c>
      <c r="I543" s="1348"/>
      <c r="J543" s="1096">
        <f t="shared" si="82"/>
        <v>714.9868612504614</v>
      </c>
    </row>
    <row r="544" spans="1:10" ht="15.75" x14ac:dyDescent="0.25">
      <c r="A544" s="1380" t="s">
        <v>97</v>
      </c>
      <c r="B544" s="1628" t="s">
        <v>1058</v>
      </c>
      <c r="C544" s="1347">
        <v>59.623862575194906</v>
      </c>
      <c r="D544" s="1347">
        <v>232.37127282993464</v>
      </c>
      <c r="E544" s="1347">
        <v>86.867765543900802</v>
      </c>
      <c r="F544" s="1348"/>
      <c r="G544" s="1347">
        <v>289.92116750276898</v>
      </c>
      <c r="H544" s="1347">
        <v>49.677503420418269</v>
      </c>
      <c r="I544" s="1348"/>
      <c r="J544" s="1096">
        <f t="shared" si="82"/>
        <v>718.46157187221763</v>
      </c>
    </row>
    <row r="545" spans="1:10" ht="15.75" x14ac:dyDescent="0.25">
      <c r="A545" s="1373" t="s">
        <v>548</v>
      </c>
      <c r="B545" s="1630" t="s">
        <v>1040</v>
      </c>
      <c r="C545" s="1347">
        <v>136.39208407967715</v>
      </c>
      <c r="D545" s="1347">
        <v>254.6273316500133</v>
      </c>
      <c r="E545" s="1347">
        <v>0</v>
      </c>
      <c r="F545" s="1348"/>
      <c r="G545" s="1347">
        <v>336.52013150038488</v>
      </c>
      <c r="H545" s="1347">
        <v>0</v>
      </c>
      <c r="I545" s="1348"/>
      <c r="J545" s="1096">
        <f t="shared" si="82"/>
        <v>727.5395472300753</v>
      </c>
    </row>
    <row r="546" spans="1:10" ht="15.75" x14ac:dyDescent="0.25">
      <c r="A546" s="1380" t="s">
        <v>101</v>
      </c>
      <c r="B546" s="1628" t="s">
        <v>1058</v>
      </c>
      <c r="C546" s="1347">
        <v>22.824505396659934</v>
      </c>
      <c r="D546" s="1347">
        <v>214.99771972115448</v>
      </c>
      <c r="E546" s="1347">
        <v>106.41301279127848</v>
      </c>
      <c r="F546" s="1348"/>
      <c r="G546" s="1347">
        <v>338.78428562121314</v>
      </c>
      <c r="H546" s="1347">
        <v>52.64186591960388</v>
      </c>
      <c r="I546" s="1348"/>
      <c r="J546" s="1096">
        <f t="shared" si="82"/>
        <v>735.66138944990996</v>
      </c>
    </row>
    <row r="547" spans="1:10" ht="15.75" x14ac:dyDescent="0.25">
      <c r="A547" s="1380" t="s">
        <v>167</v>
      </c>
      <c r="B547" s="1628" t="s">
        <v>1149</v>
      </c>
      <c r="C547" s="1347">
        <v>31.31677842458183</v>
      </c>
      <c r="D547" s="1347">
        <v>372.23491268145312</v>
      </c>
      <c r="E547" s="1347">
        <v>0</v>
      </c>
      <c r="F547" s="1348"/>
      <c r="G547" s="1347">
        <v>334.55161741949746</v>
      </c>
      <c r="H547" s="1347">
        <v>0</v>
      </c>
      <c r="I547" s="1348"/>
      <c r="J547" s="1096">
        <f t="shared" si="82"/>
        <v>738.10330852553238</v>
      </c>
    </row>
    <row r="548" spans="1:10" ht="15.75" x14ac:dyDescent="0.25">
      <c r="A548" s="1380" t="s">
        <v>126</v>
      </c>
      <c r="B548" s="1628" t="s">
        <v>1112</v>
      </c>
      <c r="C548" s="1347">
        <v>35.438980621423653</v>
      </c>
      <c r="D548" s="1347">
        <v>225.04881324560114</v>
      </c>
      <c r="E548" s="1347">
        <v>0</v>
      </c>
      <c r="F548" s="1348"/>
      <c r="G548" s="1347">
        <v>337.68608286401138</v>
      </c>
      <c r="H548" s="1347">
        <v>149.54346918275905</v>
      </c>
      <c r="I548" s="1348"/>
      <c r="J548" s="1096">
        <f t="shared" si="82"/>
        <v>747.71734591379527</v>
      </c>
    </row>
    <row r="549" spans="1:10" ht="15.75" x14ac:dyDescent="0.25">
      <c r="A549" s="1411" t="s">
        <v>182</v>
      </c>
      <c r="B549" s="1629" t="s">
        <v>1106</v>
      </c>
      <c r="C549" s="1347">
        <v>45.76845397094273</v>
      </c>
      <c r="D549" s="1347">
        <v>269.29007318609246</v>
      </c>
      <c r="E549" s="1347">
        <v>0</v>
      </c>
      <c r="F549" s="1348"/>
      <c r="G549" s="1347">
        <v>413.273394575108</v>
      </c>
      <c r="H549" s="1347">
        <v>23.24798575368645</v>
      </c>
      <c r="I549" s="1348"/>
      <c r="J549" s="1096">
        <f t="shared" si="82"/>
        <v>751.57990748582961</v>
      </c>
    </row>
    <row r="550" spans="1:10" ht="15.75" x14ac:dyDescent="0.25">
      <c r="A550" s="1380" t="s">
        <v>634</v>
      </c>
      <c r="B550" s="1628" t="s">
        <v>1058</v>
      </c>
      <c r="C550" s="1347">
        <v>20.631094316676439</v>
      </c>
      <c r="D550" s="1347">
        <v>308.38056768084783</v>
      </c>
      <c r="E550" s="1347">
        <v>73.837600712315677</v>
      </c>
      <c r="F550" s="1348"/>
      <c r="G550" s="1347">
        <v>305.12302647295155</v>
      </c>
      <c r="H550" s="1347">
        <v>52.652724390296868</v>
      </c>
      <c r="I550" s="1348"/>
      <c r="J550" s="1096">
        <f t="shared" si="82"/>
        <v>760.62501357308827</v>
      </c>
    </row>
    <row r="551" spans="1:10" ht="15.75" x14ac:dyDescent="0.25">
      <c r="A551" s="1408" t="s">
        <v>775</v>
      </c>
      <c r="B551" s="1627" t="s">
        <v>1088</v>
      </c>
      <c r="C551" s="1347">
        <v>64.064977088626833</v>
      </c>
      <c r="D551" s="1347">
        <v>713.77071253284691</v>
      </c>
      <c r="E551" s="1347">
        <v>0</v>
      </c>
      <c r="F551" s="1348"/>
      <c r="G551" s="1347">
        <v>0</v>
      </c>
      <c r="H551" s="1347">
        <v>0</v>
      </c>
      <c r="I551" s="1348"/>
      <c r="J551" s="1096">
        <f t="shared" si="82"/>
        <v>777.83568962147376</v>
      </c>
    </row>
    <row r="552" spans="1:10" ht="15.75" x14ac:dyDescent="0.25">
      <c r="A552" s="1380" t="s">
        <v>91</v>
      </c>
      <c r="B552" s="1628" t="s">
        <v>1056</v>
      </c>
      <c r="C552" s="1347">
        <v>41.902838404239155</v>
      </c>
      <c r="D552" s="1347">
        <v>234.54296696853217</v>
      </c>
      <c r="E552" s="1347">
        <v>0</v>
      </c>
      <c r="F552" s="1348"/>
      <c r="G552" s="1347">
        <v>353.86670141377294</v>
      </c>
      <c r="H552" s="1347">
        <v>151.28021369470324</v>
      </c>
      <c r="I552" s="1348"/>
      <c r="J552" s="1096">
        <f t="shared" si="82"/>
        <v>781.5927204812474</v>
      </c>
    </row>
    <row r="553" spans="1:10" ht="15.75" x14ac:dyDescent="0.25">
      <c r="A553" s="1380" t="s">
        <v>92</v>
      </c>
      <c r="B553" s="1628" t="s">
        <v>1056</v>
      </c>
      <c r="C553" s="1347">
        <v>41.902838404239155</v>
      </c>
      <c r="D553" s="1347">
        <v>234.54296696853217</v>
      </c>
      <c r="E553" s="1347">
        <v>0</v>
      </c>
      <c r="F553" s="1348"/>
      <c r="G553" s="1347">
        <v>353.86670141377294</v>
      </c>
      <c r="H553" s="1347">
        <v>151.28021369470324</v>
      </c>
      <c r="I553" s="1348"/>
      <c r="J553" s="1096">
        <f t="shared" si="82"/>
        <v>781.5927204812474</v>
      </c>
    </row>
    <row r="554" spans="1:10" ht="15.75" x14ac:dyDescent="0.25">
      <c r="A554" s="1380" t="s">
        <v>195</v>
      </c>
      <c r="B554" s="1628" t="s">
        <v>1056</v>
      </c>
      <c r="C554" s="1347">
        <v>41.902838404239155</v>
      </c>
      <c r="D554" s="1347">
        <v>234.54296696853217</v>
      </c>
      <c r="E554" s="1347">
        <v>0</v>
      </c>
      <c r="F554" s="1348"/>
      <c r="G554" s="1347">
        <v>353.86670141377294</v>
      </c>
      <c r="H554" s="1347">
        <v>151.28021369470324</v>
      </c>
      <c r="I554" s="1348"/>
      <c r="J554" s="1096">
        <f t="shared" si="82"/>
        <v>781.5927204812474</v>
      </c>
    </row>
    <row r="555" spans="1:10" ht="15.75" x14ac:dyDescent="0.25">
      <c r="A555" s="1380" t="s">
        <v>162</v>
      </c>
      <c r="B555" s="1628" t="s">
        <v>1137</v>
      </c>
      <c r="C555" s="1347">
        <v>135.79630554168747</v>
      </c>
      <c r="D555" s="1347">
        <v>383.42486270594105</v>
      </c>
      <c r="E555" s="1347">
        <v>0</v>
      </c>
      <c r="F555" s="1348"/>
      <c r="G555" s="1347">
        <v>239.64053919121318</v>
      </c>
      <c r="H555" s="1347">
        <v>32.151772341487771</v>
      </c>
      <c r="I555" s="1348"/>
      <c r="J555" s="1096">
        <f t="shared" si="82"/>
        <v>791.01347978032948</v>
      </c>
    </row>
    <row r="556" spans="1:10" ht="15.75" x14ac:dyDescent="0.25">
      <c r="A556" s="1373" t="s">
        <v>68</v>
      </c>
      <c r="B556" s="1630" t="s">
        <v>1032</v>
      </c>
      <c r="C556" s="1347">
        <v>25.84316024931049</v>
      </c>
      <c r="D556" s="1347">
        <v>406.19367168328012</v>
      </c>
      <c r="E556" s="1347">
        <v>0</v>
      </c>
      <c r="F556" s="1348"/>
      <c r="G556" s="1347">
        <v>315.16711186396509</v>
      </c>
      <c r="H556" s="1347">
        <v>44.834625491345797</v>
      </c>
      <c r="I556" s="1348"/>
      <c r="J556" s="1096">
        <f t="shared" si="82"/>
        <v>792.03856928790151</v>
      </c>
    </row>
    <row r="557" spans="1:10" ht="15.75" x14ac:dyDescent="0.25">
      <c r="A557" s="1380" t="s">
        <v>99</v>
      </c>
      <c r="B557" s="1628" t="s">
        <v>1058</v>
      </c>
      <c r="C557" s="1347">
        <v>19.990444545790172</v>
      </c>
      <c r="D557" s="1347">
        <v>243.22974352292226</v>
      </c>
      <c r="E557" s="1347">
        <v>97.726236236888397</v>
      </c>
      <c r="F557" s="1348"/>
      <c r="G557" s="1347">
        <v>373.878862900949</v>
      </c>
      <c r="H557" s="1347">
        <v>57.321866788281547</v>
      </c>
      <c r="I557" s="1348"/>
      <c r="J557" s="1096">
        <f t="shared" si="82"/>
        <v>792.14715399483134</v>
      </c>
    </row>
    <row r="558" spans="1:10" ht="15.75" x14ac:dyDescent="0.25">
      <c r="A558" s="1380" t="s">
        <v>125</v>
      </c>
      <c r="B558" s="1628" t="s">
        <v>1112</v>
      </c>
      <c r="C558" s="1347">
        <v>277.53010620407883</v>
      </c>
      <c r="D558" s="1347">
        <v>0</v>
      </c>
      <c r="E558" s="1347">
        <v>0</v>
      </c>
      <c r="F558" s="1348"/>
      <c r="G558" s="1347">
        <v>360.93585995959501</v>
      </c>
      <c r="H558" s="1347">
        <v>159.58827579201605</v>
      </c>
      <c r="I558" s="1348"/>
      <c r="J558" s="1096">
        <f t="shared" si="82"/>
        <v>798.0542419556898</v>
      </c>
    </row>
    <row r="559" spans="1:10" ht="15.75" x14ac:dyDescent="0.25">
      <c r="A559" s="1380" t="s">
        <v>632</v>
      </c>
      <c r="B559" s="1628" t="s">
        <v>1058</v>
      </c>
      <c r="C559" s="1347">
        <v>45.76845397094273</v>
      </c>
      <c r="D559" s="1347">
        <v>321.41073251243296</v>
      </c>
      <c r="E559" s="1347">
        <v>99.897930375485913</v>
      </c>
      <c r="F559" s="1348"/>
      <c r="G559" s="1347">
        <v>281.5818620105544</v>
      </c>
      <c r="H559" s="1347">
        <v>53.684279106130688</v>
      </c>
      <c r="I559" s="1348"/>
      <c r="J559" s="1096">
        <f t="shared" si="82"/>
        <v>802.34325797554663</v>
      </c>
    </row>
    <row r="560" spans="1:10" ht="15.75" x14ac:dyDescent="0.25">
      <c r="A560" s="1373" t="s">
        <v>71</v>
      </c>
      <c r="B560" s="1630" t="s">
        <v>1032</v>
      </c>
      <c r="C560" s="1347">
        <v>73.663865181227877</v>
      </c>
      <c r="D560" s="1347">
        <v>195.30045388407498</v>
      </c>
      <c r="E560" s="1347">
        <v>0</v>
      </c>
      <c r="F560" s="1348"/>
      <c r="G560" s="1347">
        <v>498.01289986318329</v>
      </c>
      <c r="H560" s="1347">
        <v>46.01819879688145</v>
      </c>
      <c r="I560" s="1348"/>
      <c r="J560" s="1096">
        <f t="shared" si="82"/>
        <v>812.99541772536759</v>
      </c>
    </row>
    <row r="561" spans="1:10" ht="15.75" x14ac:dyDescent="0.25">
      <c r="A561" s="1380" t="s">
        <v>160</v>
      </c>
      <c r="B561" s="1628" t="s">
        <v>1137</v>
      </c>
      <c r="C561" s="1347">
        <v>197.70344483275088</v>
      </c>
      <c r="D561" s="1347">
        <v>257.61357963055417</v>
      </c>
      <c r="E561" s="1347">
        <v>0</v>
      </c>
      <c r="F561" s="1348"/>
      <c r="G561" s="1347">
        <v>331.00349475786317</v>
      </c>
      <c r="H561" s="1347">
        <v>37.86320519221168</v>
      </c>
      <c r="I561" s="1348"/>
      <c r="J561" s="1096">
        <f t="shared" si="82"/>
        <v>824.18372441337999</v>
      </c>
    </row>
    <row r="562" spans="1:10" ht="15.75" x14ac:dyDescent="0.25">
      <c r="A562" s="1411" t="s">
        <v>544</v>
      </c>
      <c r="B562" s="1629" t="s">
        <v>1028</v>
      </c>
      <c r="C562" s="1347">
        <v>75.276439935978487</v>
      </c>
      <c r="D562" s="1347">
        <v>385.88310957472464</v>
      </c>
      <c r="E562" s="1347">
        <v>0</v>
      </c>
      <c r="F562" s="1348"/>
      <c r="G562" s="1347">
        <v>369.07380745309837</v>
      </c>
      <c r="H562" s="1347">
        <v>0</v>
      </c>
      <c r="I562" s="1348"/>
      <c r="J562" s="1096">
        <f t="shared" si="82"/>
        <v>830.2333569638015</v>
      </c>
    </row>
    <row r="563" spans="1:10" ht="15.75" x14ac:dyDescent="0.25">
      <c r="A563" s="1411" t="s">
        <v>184</v>
      </c>
      <c r="B563" s="1629" t="s">
        <v>1106</v>
      </c>
      <c r="C563" s="1347">
        <v>66.432123699698138</v>
      </c>
      <c r="D563" s="1347">
        <v>230.19957869133711</v>
      </c>
      <c r="E563" s="1347">
        <v>20.30534019588681</v>
      </c>
      <c r="F563" s="1348"/>
      <c r="G563" s="1347">
        <v>493.62607770321631</v>
      </c>
      <c r="H563" s="1347">
        <v>22.140421743001717</v>
      </c>
      <c r="I563" s="1348"/>
      <c r="J563" s="1096">
        <f t="shared" si="82"/>
        <v>832.70354203314014</v>
      </c>
    </row>
    <row r="564" spans="1:10" ht="15.75" x14ac:dyDescent="0.25">
      <c r="A564" s="1380" t="s">
        <v>161</v>
      </c>
      <c r="B564" s="1628" t="s">
        <v>1137</v>
      </c>
      <c r="C564" s="1347">
        <v>69.895157264103844</v>
      </c>
      <c r="D564" s="1347">
        <v>291.56265601597602</v>
      </c>
      <c r="E564" s="1347">
        <v>0</v>
      </c>
      <c r="F564" s="1348"/>
      <c r="G564" s="1347">
        <v>434.34847728407385</v>
      </c>
      <c r="H564" s="1347">
        <v>43.784323514727909</v>
      </c>
      <c r="I564" s="1348"/>
      <c r="J564" s="1096">
        <f t="shared" si="82"/>
        <v>839.59061407888157</v>
      </c>
    </row>
    <row r="565" spans="1:10" ht="15.75" x14ac:dyDescent="0.25">
      <c r="A565" s="1411" t="s">
        <v>180</v>
      </c>
      <c r="B565" s="1629" t="s">
        <v>1028</v>
      </c>
      <c r="C565" s="1347">
        <v>83.315671385451921</v>
      </c>
      <c r="D565" s="1347">
        <v>325.95429331501362</v>
      </c>
      <c r="E565" s="1347">
        <v>0</v>
      </c>
      <c r="F565" s="1348"/>
      <c r="G565" s="1347">
        <v>432.65681982620646</v>
      </c>
      <c r="H565" s="1347">
        <v>0</v>
      </c>
      <c r="I565" s="1348"/>
      <c r="J565" s="1096">
        <f t="shared" si="82"/>
        <v>841.92678452667201</v>
      </c>
    </row>
    <row r="566" spans="1:10" ht="15.75" x14ac:dyDescent="0.25">
      <c r="A566" s="1380" t="s">
        <v>603</v>
      </c>
      <c r="B566" s="1628" t="s">
        <v>1137</v>
      </c>
      <c r="C566" s="1347">
        <v>107.83824263604592</v>
      </c>
      <c r="D566" s="1347">
        <v>239.64053919121318</v>
      </c>
      <c r="E566" s="1347">
        <v>0</v>
      </c>
      <c r="F566" s="1348"/>
      <c r="G566" s="1347">
        <v>461.55766350474283</v>
      </c>
      <c r="H566" s="1347">
        <v>45.611582626060908</v>
      </c>
      <c r="I566" s="1348"/>
      <c r="J566" s="1096">
        <f t="shared" si="82"/>
        <v>854.64802795806281</v>
      </c>
    </row>
    <row r="567" spans="1:10" ht="15.75" x14ac:dyDescent="0.25">
      <c r="A567" s="1380" t="s">
        <v>165</v>
      </c>
      <c r="B567" s="1628" t="s">
        <v>1149</v>
      </c>
      <c r="C567" s="1347">
        <v>43.504531722054381</v>
      </c>
      <c r="D567" s="1347">
        <v>437.37381180458328</v>
      </c>
      <c r="E567" s="1347">
        <v>0</v>
      </c>
      <c r="F567" s="1348"/>
      <c r="G567" s="1347">
        <v>377.14243607692873</v>
      </c>
      <c r="H567" s="1347">
        <v>0</v>
      </c>
      <c r="I567" s="1348"/>
      <c r="J567" s="1096">
        <f t="shared" si="82"/>
        <v>858.02077960356633</v>
      </c>
    </row>
    <row r="568" spans="1:10" ht="15.75" x14ac:dyDescent="0.25">
      <c r="A568" s="1411" t="s">
        <v>178</v>
      </c>
      <c r="B568" s="1629" t="s">
        <v>1028</v>
      </c>
      <c r="C568" s="1347">
        <v>114.01091873798683</v>
      </c>
      <c r="D568" s="1347">
        <v>317.91506186554022</v>
      </c>
      <c r="E568" s="1347">
        <v>0</v>
      </c>
      <c r="F568" s="1348"/>
      <c r="G568" s="1347">
        <v>440.69605127567985</v>
      </c>
      <c r="H568" s="1347">
        <v>0</v>
      </c>
      <c r="I568" s="1348"/>
      <c r="J568" s="1096">
        <f t="shared" si="82"/>
        <v>872.62203187920682</v>
      </c>
    </row>
    <row r="569" spans="1:10" ht="15.75" x14ac:dyDescent="0.25">
      <c r="A569" s="1380" t="s">
        <v>170</v>
      </c>
      <c r="B569" s="1628" t="s">
        <v>1151</v>
      </c>
      <c r="C569" s="1347">
        <v>178.85</v>
      </c>
      <c r="D569" s="1347">
        <v>269.10000000000002</v>
      </c>
      <c r="E569" s="1347">
        <v>0</v>
      </c>
      <c r="F569" s="1348"/>
      <c r="G569" s="1347">
        <v>427.87</v>
      </c>
      <c r="H569" s="1347">
        <v>0</v>
      </c>
      <c r="I569" s="1348"/>
      <c r="J569" s="1096">
        <f t="shared" si="82"/>
        <v>875.82</v>
      </c>
    </row>
    <row r="570" spans="1:10" ht="15.75" x14ac:dyDescent="0.25">
      <c r="A570" s="1380" t="s">
        <v>93</v>
      </c>
      <c r="B570" s="1628" t="s">
        <v>1056</v>
      </c>
      <c r="C570" s="1347">
        <v>45.540426086389992</v>
      </c>
      <c r="D570" s="1347">
        <v>267.11837904749495</v>
      </c>
      <c r="E570" s="1347">
        <v>0</v>
      </c>
      <c r="F570" s="1348"/>
      <c r="G570" s="1347">
        <v>410.38504137077331</v>
      </c>
      <c r="H570" s="1347">
        <v>173.52922014463485</v>
      </c>
      <c r="I570" s="1348"/>
      <c r="J570" s="1096">
        <f t="shared" si="82"/>
        <v>896.57306664929297</v>
      </c>
    </row>
    <row r="571" spans="1:10" ht="15.75" x14ac:dyDescent="0.25">
      <c r="A571" s="1411" t="s">
        <v>179</v>
      </c>
      <c r="B571" s="1629" t="s">
        <v>1028</v>
      </c>
      <c r="C571" s="1347">
        <v>157.86127209875099</v>
      </c>
      <c r="D571" s="1347">
        <v>230.21435514401188</v>
      </c>
      <c r="E571" s="1347">
        <v>0</v>
      </c>
      <c r="F571" s="1348"/>
      <c r="G571" s="1347">
        <v>526.20424032917003</v>
      </c>
      <c r="H571" s="1347">
        <v>0</v>
      </c>
      <c r="I571" s="1348"/>
      <c r="J571" s="1096">
        <f t="shared" si="82"/>
        <v>914.27986757193287</v>
      </c>
    </row>
    <row r="572" spans="1:10" ht="15.75" x14ac:dyDescent="0.25">
      <c r="A572" s="1380" t="s">
        <v>94</v>
      </c>
      <c r="B572" s="1628" t="s">
        <v>1056</v>
      </c>
      <c r="C572" s="1347">
        <v>83.523356570460621</v>
      </c>
      <c r="D572" s="1347">
        <v>236.71466110712967</v>
      </c>
      <c r="E572" s="1347">
        <v>0</v>
      </c>
      <c r="F572" s="1348"/>
      <c r="G572" s="1347">
        <v>430.99441874606384</v>
      </c>
      <c r="H572" s="1347">
        <v>180.29404738636609</v>
      </c>
      <c r="I572" s="1348"/>
      <c r="J572" s="1096">
        <f t="shared" si="82"/>
        <v>931.52648381002018</v>
      </c>
    </row>
    <row r="573" spans="1:10" ht="15.75" x14ac:dyDescent="0.25">
      <c r="A573" s="1380" t="s">
        <v>635</v>
      </c>
      <c r="B573" s="1628" t="s">
        <v>1058</v>
      </c>
      <c r="C573" s="1347">
        <v>6.667101005494386</v>
      </c>
      <c r="D573" s="1347">
        <v>286.66362629487264</v>
      </c>
      <c r="E573" s="1347">
        <v>82.524377266705756</v>
      </c>
      <c r="F573" s="1348"/>
      <c r="G573" s="1347">
        <v>488.41401177058225</v>
      </c>
      <c r="H573" s="1347">
        <v>69.407344669576744</v>
      </c>
      <c r="I573" s="1348"/>
      <c r="J573" s="1096">
        <f t="shared" si="82"/>
        <v>933.67646100723186</v>
      </c>
    </row>
    <row r="574" spans="1:10" ht="15.75" x14ac:dyDescent="0.25">
      <c r="A574" s="1380" t="s">
        <v>169</v>
      </c>
      <c r="B574" s="1628" t="s">
        <v>1149</v>
      </c>
      <c r="C574" s="1347">
        <v>32.996831478888808</v>
      </c>
      <c r="D574" s="1347">
        <v>373.14862574607616</v>
      </c>
      <c r="E574" s="1347">
        <v>0</v>
      </c>
      <c r="F574" s="1348"/>
      <c r="G574" s="1347">
        <v>528.42089750202638</v>
      </c>
      <c r="H574" s="1347">
        <v>0</v>
      </c>
      <c r="I574" s="1348"/>
      <c r="J574" s="1096">
        <f t="shared" si="82"/>
        <v>934.56635472699134</v>
      </c>
    </row>
    <row r="575" spans="1:10" ht="15.75" x14ac:dyDescent="0.25">
      <c r="A575" s="1380" t="s">
        <v>98</v>
      </c>
      <c r="B575" s="1628" t="s">
        <v>1058</v>
      </c>
      <c r="C575" s="1347">
        <v>0</v>
      </c>
      <c r="D575" s="1347">
        <v>321.41073251243296</v>
      </c>
      <c r="E575" s="1347">
        <v>104.24131865268096</v>
      </c>
      <c r="F575" s="1348"/>
      <c r="G575" s="1347">
        <v>451.69066388689816</v>
      </c>
      <c r="H575" s="1347">
        <v>68.549525484830724</v>
      </c>
      <c r="I575" s="1348"/>
      <c r="J575" s="1096">
        <f t="shared" si="82"/>
        <v>945.89224053684279</v>
      </c>
    </row>
    <row r="576" spans="1:10" ht="15.75" x14ac:dyDescent="0.25">
      <c r="A576" s="1411" t="s">
        <v>183</v>
      </c>
      <c r="B576" s="1629" t="s">
        <v>1106</v>
      </c>
      <c r="C576" s="1347">
        <v>64.890220861293898</v>
      </c>
      <c r="D576" s="1347">
        <v>198.49284426781333</v>
      </c>
      <c r="E576" s="1347">
        <v>9.1754077355745203</v>
      </c>
      <c r="F576" s="1348"/>
      <c r="G576" s="1347">
        <v>659.7606793059266</v>
      </c>
      <c r="H576" s="1347">
        <v>20.142463135491997</v>
      </c>
      <c r="I576" s="1348"/>
      <c r="J576" s="1096">
        <f t="shared" si="82"/>
        <v>952.46161530610027</v>
      </c>
    </row>
    <row r="577" spans="1:10" ht="15.75" x14ac:dyDescent="0.25">
      <c r="A577" s="1373" t="s">
        <v>70</v>
      </c>
      <c r="B577" s="1630" t="s">
        <v>1032</v>
      </c>
      <c r="C577" s="1347">
        <v>57.75620561600104</v>
      </c>
      <c r="D577" s="1347">
        <v>214.45479618650509</v>
      </c>
      <c r="E577" s="1347">
        <v>0</v>
      </c>
      <c r="F577" s="1348"/>
      <c r="G577" s="1347">
        <v>630.03018654852644</v>
      </c>
      <c r="H577" s="1347">
        <v>54.129476404543183</v>
      </c>
      <c r="I577" s="1348"/>
      <c r="J577" s="1096">
        <f t="shared" si="82"/>
        <v>956.37066475557583</v>
      </c>
    </row>
    <row r="578" spans="1:10" ht="15.75" x14ac:dyDescent="0.25">
      <c r="A578" s="1380" t="s">
        <v>171</v>
      </c>
      <c r="B578" s="1628" t="s">
        <v>1151</v>
      </c>
      <c r="C578" s="1347">
        <v>46.32</v>
      </c>
      <c r="D578" s="1347">
        <v>236.58</v>
      </c>
      <c r="E578" s="1347">
        <v>75.599999999999994</v>
      </c>
      <c r="F578" s="1348"/>
      <c r="G578" s="1347">
        <v>629.46</v>
      </c>
      <c r="H578" s="1347">
        <v>0</v>
      </c>
      <c r="I578" s="1348"/>
      <c r="J578" s="1096">
        <f t="shared" si="82"/>
        <v>987.96</v>
      </c>
    </row>
    <row r="579" spans="1:10" ht="15.75" x14ac:dyDescent="0.25">
      <c r="A579" s="1411" t="s">
        <v>715</v>
      </c>
      <c r="B579" s="1629" t="s">
        <v>1064</v>
      </c>
      <c r="C579" s="1347">
        <v>13.03016483158512</v>
      </c>
      <c r="D579" s="1347">
        <v>475.514148587313</v>
      </c>
      <c r="E579" s="1347">
        <v>0</v>
      </c>
      <c r="F579" s="1348"/>
      <c r="G579" s="1347">
        <v>356.63561144048475</v>
      </c>
      <c r="H579" s="1347">
        <v>146.83909918127131</v>
      </c>
      <c r="I579" s="1348"/>
      <c r="J579" s="1096">
        <f t="shared" si="82"/>
        <v>992.01902404065424</v>
      </c>
    </row>
    <row r="580" spans="1:10" ht="15.75" x14ac:dyDescent="0.25">
      <c r="A580" s="1380" t="s">
        <v>95</v>
      </c>
      <c r="B580" s="1628" t="s">
        <v>1056</v>
      </c>
      <c r="C580" s="1347">
        <v>117.27148348426608</v>
      </c>
      <c r="D580" s="1347">
        <v>275.80515560188502</v>
      </c>
      <c r="E580" s="1347">
        <v>0</v>
      </c>
      <c r="F580" s="1348"/>
      <c r="G580" s="1347">
        <v>408.27849805633377</v>
      </c>
      <c r="H580" s="1347">
        <v>192.32523291419636</v>
      </c>
      <c r="I580" s="1348"/>
      <c r="J580" s="1096">
        <f t="shared" si="82"/>
        <v>993.68037005668123</v>
      </c>
    </row>
    <row r="581" spans="1:10" ht="15.75" x14ac:dyDescent="0.25">
      <c r="A581" s="1373" t="s">
        <v>67</v>
      </c>
      <c r="B581" s="1630" t="s">
        <v>1032</v>
      </c>
      <c r="C581" s="1347">
        <v>57.75620561600104</v>
      </c>
      <c r="D581" s="1347">
        <v>276.8910026711838</v>
      </c>
      <c r="E581" s="1347">
        <v>0</v>
      </c>
      <c r="F581" s="1348"/>
      <c r="G581" s="1347">
        <v>630.03018654852644</v>
      </c>
      <c r="H581" s="1347">
        <v>57.875648793623903</v>
      </c>
      <c r="I581" s="1348"/>
      <c r="J581" s="1096">
        <f t="shared" si="82"/>
        <v>1022.5530436293352</v>
      </c>
    </row>
    <row r="582" spans="1:10" ht="15.75" x14ac:dyDescent="0.25">
      <c r="A582" s="1373" t="s">
        <v>69</v>
      </c>
      <c r="B582" s="1630" t="s">
        <v>1032</v>
      </c>
      <c r="C582" s="1347">
        <v>57.75620561600104</v>
      </c>
      <c r="D582" s="1347">
        <v>291.82139987404173</v>
      </c>
      <c r="E582" s="1347">
        <v>0</v>
      </c>
      <c r="F582" s="1348"/>
      <c r="G582" s="1347">
        <v>630.03018654852644</v>
      </c>
      <c r="H582" s="1347">
        <v>58.77690186114188</v>
      </c>
      <c r="I582" s="1348"/>
      <c r="J582" s="1096">
        <f t="shared" si="82"/>
        <v>1038.384693899711</v>
      </c>
    </row>
    <row r="583" spans="1:10" ht="15.75" x14ac:dyDescent="0.25">
      <c r="A583" s="1380" t="s">
        <v>166</v>
      </c>
      <c r="B583" s="1628" t="s">
        <v>1149</v>
      </c>
      <c r="C583" s="1347">
        <v>50.696337779087763</v>
      </c>
      <c r="D583" s="1347">
        <v>385.49848942598186</v>
      </c>
      <c r="E583" s="1347">
        <v>0</v>
      </c>
      <c r="F583" s="1348"/>
      <c r="G583" s="1347">
        <v>611.83405791761845</v>
      </c>
      <c r="H583" s="1347">
        <v>0</v>
      </c>
      <c r="I583" s="1348"/>
      <c r="J583" s="1096">
        <f t="shared" si="82"/>
        <v>1048.0288851226881</v>
      </c>
    </row>
    <row r="584" spans="1:10" ht="15.75" x14ac:dyDescent="0.25">
      <c r="A584" s="1380" t="s">
        <v>633</v>
      </c>
      <c r="B584" s="1628" t="s">
        <v>1058</v>
      </c>
      <c r="C584" s="1347">
        <v>32.977175494603344</v>
      </c>
      <c r="D584" s="1347">
        <v>327.92581492822552</v>
      </c>
      <c r="E584" s="1347">
        <v>112.92809520707104</v>
      </c>
      <c r="F584" s="1348"/>
      <c r="G584" s="1347">
        <v>501.6613460160271</v>
      </c>
      <c r="H584" s="1347">
        <v>76.269898147544893</v>
      </c>
      <c r="I584" s="1348"/>
      <c r="J584" s="1096">
        <f t="shared" si="82"/>
        <v>1051.762329793472</v>
      </c>
    </row>
    <row r="585" spans="1:10" ht="15.75" x14ac:dyDescent="0.25">
      <c r="A585" s="1380" t="s">
        <v>168</v>
      </c>
      <c r="B585" s="1628" t="s">
        <v>1149</v>
      </c>
      <c r="C585" s="1347">
        <v>51.271092771350673</v>
      </c>
      <c r="D585" s="1347">
        <v>515.8057622872301</v>
      </c>
      <c r="E585" s="1347">
        <v>0</v>
      </c>
      <c r="F585" s="1348"/>
      <c r="G585" s="1347">
        <v>493.16925797656768</v>
      </c>
      <c r="H585" s="1347">
        <v>0</v>
      </c>
      <c r="I585" s="1348"/>
      <c r="J585" s="1096">
        <f t="shared" si="82"/>
        <v>1060.2461130351485</v>
      </c>
    </row>
    <row r="586" spans="1:10" ht="15.75" x14ac:dyDescent="0.25">
      <c r="A586" s="1373" t="s">
        <v>629</v>
      </c>
      <c r="B586" s="1630" t="s">
        <v>1032</v>
      </c>
      <c r="C586" s="1347">
        <v>113.74248050904511</v>
      </c>
      <c r="D586" s="1347">
        <v>526.31007448910896</v>
      </c>
      <c r="E586" s="1347">
        <v>0</v>
      </c>
      <c r="F586" s="1348"/>
      <c r="G586" s="1347">
        <v>381.67524485851413</v>
      </c>
      <c r="H586" s="1347">
        <v>61.144048472213179</v>
      </c>
      <c r="I586" s="1348"/>
      <c r="J586" s="1096">
        <f t="shared" si="82"/>
        <v>1082.8718483288815</v>
      </c>
    </row>
    <row r="587" spans="1:10" ht="15.75" x14ac:dyDescent="0.25">
      <c r="A587" s="1373" t="s">
        <v>72</v>
      </c>
      <c r="B587" s="1630" t="s">
        <v>1032</v>
      </c>
      <c r="C587" s="1347">
        <v>114.1008100419137</v>
      </c>
      <c r="D587" s="1347">
        <v>529.64362499185609</v>
      </c>
      <c r="E587" s="1347">
        <v>0</v>
      </c>
      <c r="F587" s="1348"/>
      <c r="G587" s="1347">
        <v>381.67524485851413</v>
      </c>
      <c r="H587" s="1347">
        <v>61.361217886072922</v>
      </c>
      <c r="I587" s="1348"/>
      <c r="J587" s="1096">
        <f t="shared" si="82"/>
        <v>1086.7808977783568</v>
      </c>
    </row>
    <row r="588" spans="1:10" ht="15.75" x14ac:dyDescent="0.25">
      <c r="A588" s="1411" t="s">
        <v>779</v>
      </c>
      <c r="B588" s="1629" t="s">
        <v>1028</v>
      </c>
      <c r="C588" s="1347">
        <v>162.2463074348274</v>
      </c>
      <c r="D588" s="1347">
        <v>486.73892230448223</v>
      </c>
      <c r="E588" s="1347">
        <v>0</v>
      </c>
      <c r="F588" s="1348"/>
      <c r="G588" s="1347">
        <v>460.42871028802375</v>
      </c>
      <c r="H588" s="1347">
        <v>0</v>
      </c>
      <c r="I588" s="1348"/>
      <c r="J588" s="1096">
        <f t="shared" si="82"/>
        <v>1109.4139400273334</v>
      </c>
    </row>
    <row r="589" spans="1:10" ht="15.75" x14ac:dyDescent="0.25">
      <c r="A589" s="1380" t="s">
        <v>163</v>
      </c>
      <c r="B589" s="1628" t="s">
        <v>1137</v>
      </c>
      <c r="C589" s="1347">
        <v>4.8227658512231653</v>
      </c>
      <c r="D589" s="1347">
        <v>519.2211682476285</v>
      </c>
      <c r="E589" s="1347">
        <v>0</v>
      </c>
      <c r="F589" s="1348"/>
      <c r="G589" s="1347">
        <v>557.49375936095862</v>
      </c>
      <c r="H589" s="1347">
        <v>57.703444832750868</v>
      </c>
      <c r="I589" s="1348"/>
      <c r="J589" s="1096">
        <f t="shared" si="82"/>
        <v>1139.2411382925611</v>
      </c>
    </row>
    <row r="590" spans="1:10" ht="15.75" x14ac:dyDescent="0.25">
      <c r="A590" s="1380" t="s">
        <v>88</v>
      </c>
      <c r="B590" s="1628" t="s">
        <v>1054</v>
      </c>
      <c r="C590" s="1347">
        <v>55.872831108362739</v>
      </c>
      <c r="D590" s="1347">
        <v>252.3007529737005</v>
      </c>
      <c r="E590" s="1347">
        <v>190.02582663417118</v>
      </c>
      <c r="F590" s="1348"/>
      <c r="G590" s="1347">
        <v>430.4536029973446</v>
      </c>
      <c r="H590" s="1347">
        <v>232.16325342839474</v>
      </c>
      <c r="I590" s="1348"/>
      <c r="J590" s="1096">
        <f t="shared" si="82"/>
        <v>1160.8162671419736</v>
      </c>
    </row>
    <row r="591" spans="1:10" ht="15.75" x14ac:dyDescent="0.25">
      <c r="A591" s="1380" t="s">
        <v>587</v>
      </c>
      <c r="B591" s="1628" t="s">
        <v>1084</v>
      </c>
      <c r="C591" s="1347">
        <v>0</v>
      </c>
      <c r="D591" s="1347">
        <v>1403.2182520011579</v>
      </c>
      <c r="E591" s="1347">
        <v>0</v>
      </c>
      <c r="F591" s="1348"/>
      <c r="G591" s="1347">
        <v>0</v>
      </c>
      <c r="H591" s="1347">
        <v>0</v>
      </c>
      <c r="I591" s="1348"/>
      <c r="J591" s="1096">
        <f t="shared" si="82"/>
        <v>1403.2182520011579</v>
      </c>
    </row>
    <row r="592" spans="1:10" ht="15.75" x14ac:dyDescent="0.25">
      <c r="A592" s="1380" t="s">
        <v>87</v>
      </c>
      <c r="B592" s="1628" t="s">
        <v>1054</v>
      </c>
      <c r="C592" s="1347">
        <v>141.87043032265103</v>
      </c>
      <c r="D592" s="1347">
        <v>127.9837037575934</v>
      </c>
      <c r="E592" s="1347">
        <v>190.02582663417118</v>
      </c>
      <c r="F592" s="1348"/>
      <c r="G592" s="1347">
        <v>676.87606853151942</v>
      </c>
      <c r="H592" s="1347">
        <v>284.18900731148375</v>
      </c>
      <c r="I592" s="1348"/>
      <c r="J592" s="1096">
        <f t="shared" si="82"/>
        <v>1420.9450365574187</v>
      </c>
    </row>
    <row r="593" spans="1:10" ht="15.75" x14ac:dyDescent="0.25">
      <c r="A593" s="1380" t="s">
        <v>89</v>
      </c>
      <c r="B593" s="1628" t="s">
        <v>1054</v>
      </c>
      <c r="C593" s="1347">
        <v>96.32243279618784</v>
      </c>
      <c r="D593" s="1347">
        <v>141.25350114582955</v>
      </c>
      <c r="E593" s="1347">
        <v>190.02582663417118</v>
      </c>
      <c r="F593" s="1348"/>
      <c r="G593" s="1347">
        <v>765.49270670401222</v>
      </c>
      <c r="H593" s="1347">
        <v>298.27361682005022</v>
      </c>
      <c r="I593" s="1348"/>
      <c r="J593" s="1096">
        <f t="shared" si="82"/>
        <v>1491.3680841002508</v>
      </c>
    </row>
    <row r="594" spans="1:10" ht="15.75" x14ac:dyDescent="0.25">
      <c r="A594" s="1380" t="s">
        <v>213</v>
      </c>
      <c r="B594" s="1628" t="s">
        <v>1054</v>
      </c>
      <c r="C594" s="1347">
        <v>80.026190389582041</v>
      </c>
      <c r="D594" s="1347">
        <v>311.6656360263359</v>
      </c>
      <c r="E594" s="1347">
        <v>190.02582663417118</v>
      </c>
      <c r="F594" s="1348"/>
      <c r="G594" s="1347">
        <v>796.53704848859627</v>
      </c>
      <c r="H594" s="1347">
        <v>344.56367538467134</v>
      </c>
      <c r="I594" s="1348"/>
      <c r="J594" s="1096">
        <f t="shared" si="82"/>
        <v>1722.8183769233567</v>
      </c>
    </row>
    <row r="595" spans="1:10" ht="16.5" thickBot="1" x14ac:dyDescent="0.3">
      <c r="A595" s="1625" t="s">
        <v>90</v>
      </c>
      <c r="B595" s="1628" t="s">
        <v>1054</v>
      </c>
      <c r="C595" s="1347">
        <v>69.841038885453429</v>
      </c>
      <c r="D595" s="1347">
        <v>254.62878760321561</v>
      </c>
      <c r="E595" s="1347">
        <v>190.02582663417118</v>
      </c>
      <c r="F595" s="1348"/>
      <c r="G595" s="1347">
        <v>921.14510203339273</v>
      </c>
      <c r="H595" s="1347">
        <v>358.91018878905822</v>
      </c>
      <c r="I595" s="1348"/>
      <c r="J595" s="1096">
        <f t="shared" si="82"/>
        <v>1794.5509439452912</v>
      </c>
    </row>
  </sheetData>
  <mergeCells count="427">
    <mergeCell ref="Y251:Y255"/>
    <mergeCell ref="M272:S272"/>
    <mergeCell ref="T417:T421"/>
    <mergeCell ref="U263:U267"/>
    <mergeCell ref="V263:V267"/>
    <mergeCell ref="W263:W267"/>
    <mergeCell ref="X263:X267"/>
    <mergeCell ref="Y263:Y267"/>
    <mergeCell ref="Z263:Z267"/>
    <mergeCell ref="V256:V262"/>
    <mergeCell ref="W256:W262"/>
    <mergeCell ref="X256:X262"/>
    <mergeCell ref="Y256:Y262"/>
    <mergeCell ref="Z256:Z262"/>
    <mergeCell ref="U256:U262"/>
    <mergeCell ref="Z251:Z255"/>
    <mergeCell ref="R247:R250"/>
    <mergeCell ref="S247:S250"/>
    <mergeCell ref="T247:T250"/>
    <mergeCell ref="U247:U250"/>
    <mergeCell ref="V247:V250"/>
    <mergeCell ref="W247:W250"/>
    <mergeCell ref="X247:X250"/>
    <mergeCell ref="V251:V255"/>
    <mergeCell ref="W251:W255"/>
    <mergeCell ref="X251:X255"/>
    <mergeCell ref="A263:A267"/>
    <mergeCell ref="D263:D267"/>
    <mergeCell ref="R263:R267"/>
    <mergeCell ref="S263:S267"/>
    <mergeCell ref="T263:T267"/>
    <mergeCell ref="A256:A262"/>
    <mergeCell ref="D256:D262"/>
    <mergeCell ref="R256:R262"/>
    <mergeCell ref="S256:S262"/>
    <mergeCell ref="T256:T262"/>
    <mergeCell ref="AI251:AI255"/>
    <mergeCell ref="A251:A255"/>
    <mergeCell ref="D251:D255"/>
    <mergeCell ref="R251:R255"/>
    <mergeCell ref="S251:S255"/>
    <mergeCell ref="T251:T255"/>
    <mergeCell ref="U251:U255"/>
    <mergeCell ref="Y234:Y238"/>
    <mergeCell ref="Z234:Z238"/>
    <mergeCell ref="A239:A243"/>
    <mergeCell ref="D239:D243"/>
    <mergeCell ref="R239:R243"/>
    <mergeCell ref="S239:S243"/>
    <mergeCell ref="T239:T243"/>
    <mergeCell ref="U239:U243"/>
    <mergeCell ref="Y239:Y243"/>
    <mergeCell ref="Z239:Z243"/>
    <mergeCell ref="Z247:Z250"/>
    <mergeCell ref="V239:V243"/>
    <mergeCell ref="W239:W243"/>
    <mergeCell ref="X239:X243"/>
    <mergeCell ref="Y247:Y250"/>
    <mergeCell ref="A247:A250"/>
    <mergeCell ref="D247:D250"/>
    <mergeCell ref="Y229:Y233"/>
    <mergeCell ref="Z229:Z233"/>
    <mergeCell ref="A234:A238"/>
    <mergeCell ref="D234:D238"/>
    <mergeCell ref="R234:R238"/>
    <mergeCell ref="S234:S238"/>
    <mergeCell ref="T234:T238"/>
    <mergeCell ref="U234:U238"/>
    <mergeCell ref="V234:V238"/>
    <mergeCell ref="A229:A233"/>
    <mergeCell ref="D229:D233"/>
    <mergeCell ref="R229:R233"/>
    <mergeCell ref="S229:S233"/>
    <mergeCell ref="T229:T233"/>
    <mergeCell ref="U229:U233"/>
    <mergeCell ref="V229:V233"/>
    <mergeCell ref="W229:W233"/>
    <mergeCell ref="X229:X233"/>
    <mergeCell ref="W234:W238"/>
    <mergeCell ref="X234:X238"/>
    <mergeCell ref="Z216:Z218"/>
    <mergeCell ref="A221:A228"/>
    <mergeCell ref="D221:D228"/>
    <mergeCell ref="R221:R228"/>
    <mergeCell ref="S221:S228"/>
    <mergeCell ref="T221:T228"/>
    <mergeCell ref="U221:U228"/>
    <mergeCell ref="V221:V228"/>
    <mergeCell ref="W221:W228"/>
    <mergeCell ref="X221:X228"/>
    <mergeCell ref="T216:T218"/>
    <mergeCell ref="U216:U218"/>
    <mergeCell ref="V216:V218"/>
    <mergeCell ref="W216:W218"/>
    <mergeCell ref="X216:X218"/>
    <mergeCell ref="Y216:Y218"/>
    <mergeCell ref="Y221:Y228"/>
    <mergeCell ref="Z221:Z228"/>
    <mergeCell ref="A212:A214"/>
    <mergeCell ref="D212:D214"/>
    <mergeCell ref="A216:A218"/>
    <mergeCell ref="D216:D218"/>
    <mergeCell ref="R216:R218"/>
    <mergeCell ref="S216:S218"/>
    <mergeCell ref="V174:V202"/>
    <mergeCell ref="W174:W202"/>
    <mergeCell ref="X174:X202"/>
    <mergeCell ref="Y174:Y202"/>
    <mergeCell ref="Z174:Z202"/>
    <mergeCell ref="A204:A211"/>
    <mergeCell ref="D204:D211"/>
    <mergeCell ref="A174:A202"/>
    <mergeCell ref="D174:D202"/>
    <mergeCell ref="R174:R202"/>
    <mergeCell ref="S174:S202"/>
    <mergeCell ref="T174:T202"/>
    <mergeCell ref="U174:U202"/>
    <mergeCell ref="U167:U173"/>
    <mergeCell ref="V167:V173"/>
    <mergeCell ref="W167:W173"/>
    <mergeCell ref="X167:X173"/>
    <mergeCell ref="Y167:Y173"/>
    <mergeCell ref="Z167:Z173"/>
    <mergeCell ref="V162:V166"/>
    <mergeCell ref="W162:W166"/>
    <mergeCell ref="X162:X166"/>
    <mergeCell ref="Y162:Y166"/>
    <mergeCell ref="Z162:Z166"/>
    <mergeCell ref="U162:U166"/>
    <mergeCell ref="A167:A173"/>
    <mergeCell ref="D167:D173"/>
    <mergeCell ref="R167:R173"/>
    <mergeCell ref="S167:S173"/>
    <mergeCell ref="T167:T173"/>
    <mergeCell ref="A162:A166"/>
    <mergeCell ref="D162:D166"/>
    <mergeCell ref="R162:R166"/>
    <mergeCell ref="S162:S166"/>
    <mergeCell ref="T162:T166"/>
    <mergeCell ref="U159:U161"/>
    <mergeCell ref="V159:V161"/>
    <mergeCell ref="W159:W161"/>
    <mergeCell ref="X159:X161"/>
    <mergeCell ref="Y159:Y161"/>
    <mergeCell ref="Z159:Z161"/>
    <mergeCell ref="V153:V157"/>
    <mergeCell ref="W153:W157"/>
    <mergeCell ref="X153:X157"/>
    <mergeCell ref="Y153:Y157"/>
    <mergeCell ref="Z153:Z157"/>
    <mergeCell ref="U153:U157"/>
    <mergeCell ref="A159:A161"/>
    <mergeCell ref="D159:D161"/>
    <mergeCell ref="R159:R161"/>
    <mergeCell ref="S159:S161"/>
    <mergeCell ref="T159:T161"/>
    <mergeCell ref="A153:A157"/>
    <mergeCell ref="D153:D157"/>
    <mergeCell ref="R153:R157"/>
    <mergeCell ref="S153:S157"/>
    <mergeCell ref="T153:T157"/>
    <mergeCell ref="U147:U152"/>
    <mergeCell ref="V147:V152"/>
    <mergeCell ref="W147:W152"/>
    <mergeCell ref="X147:X152"/>
    <mergeCell ref="Y147:Y152"/>
    <mergeCell ref="Z147:Z152"/>
    <mergeCell ref="V141:V145"/>
    <mergeCell ref="W141:W145"/>
    <mergeCell ref="X141:X145"/>
    <mergeCell ref="Y141:Y145"/>
    <mergeCell ref="Z141:Z145"/>
    <mergeCell ref="U141:U145"/>
    <mergeCell ref="A147:A152"/>
    <mergeCell ref="D147:D152"/>
    <mergeCell ref="R147:R152"/>
    <mergeCell ref="S147:S152"/>
    <mergeCell ref="T147:T152"/>
    <mergeCell ref="A141:A145"/>
    <mergeCell ref="D141:D145"/>
    <mergeCell ref="R141:R145"/>
    <mergeCell ref="S141:S145"/>
    <mergeCell ref="T141:T145"/>
    <mergeCell ref="U136:U140"/>
    <mergeCell ref="V136:V140"/>
    <mergeCell ref="W136:W140"/>
    <mergeCell ref="X136:X140"/>
    <mergeCell ref="Y136:Y140"/>
    <mergeCell ref="Z136:Z140"/>
    <mergeCell ref="V126:V130"/>
    <mergeCell ref="W126:W130"/>
    <mergeCell ref="X126:X130"/>
    <mergeCell ref="Y126:Y130"/>
    <mergeCell ref="Z126:Z130"/>
    <mergeCell ref="U126:U130"/>
    <mergeCell ref="A136:A140"/>
    <mergeCell ref="D136:D140"/>
    <mergeCell ref="R136:R140"/>
    <mergeCell ref="S136:S140"/>
    <mergeCell ref="T136:T140"/>
    <mergeCell ref="A126:A130"/>
    <mergeCell ref="D126:D130"/>
    <mergeCell ref="R126:R130"/>
    <mergeCell ref="S126:S130"/>
    <mergeCell ref="T126:T130"/>
    <mergeCell ref="U117:U124"/>
    <mergeCell ref="V117:V124"/>
    <mergeCell ref="W117:W124"/>
    <mergeCell ref="X117:X124"/>
    <mergeCell ref="Y117:Y124"/>
    <mergeCell ref="Z117:Z124"/>
    <mergeCell ref="V112:V116"/>
    <mergeCell ref="W112:W116"/>
    <mergeCell ref="X112:X116"/>
    <mergeCell ref="Y112:Y116"/>
    <mergeCell ref="Z112:Z116"/>
    <mergeCell ref="U112:U116"/>
    <mergeCell ref="A117:A124"/>
    <mergeCell ref="D117:D124"/>
    <mergeCell ref="R117:R124"/>
    <mergeCell ref="S117:S124"/>
    <mergeCell ref="T117:T124"/>
    <mergeCell ref="A112:A116"/>
    <mergeCell ref="D112:D116"/>
    <mergeCell ref="R112:R116"/>
    <mergeCell ref="S112:S116"/>
    <mergeCell ref="T112:T116"/>
    <mergeCell ref="U106:U110"/>
    <mergeCell ref="V106:V110"/>
    <mergeCell ref="W106:W110"/>
    <mergeCell ref="X106:X110"/>
    <mergeCell ref="Y106:Y110"/>
    <mergeCell ref="Z106:Z110"/>
    <mergeCell ref="V100:V104"/>
    <mergeCell ref="W100:W104"/>
    <mergeCell ref="X100:X104"/>
    <mergeCell ref="Y100:Y104"/>
    <mergeCell ref="Z100:Z104"/>
    <mergeCell ref="U100:U104"/>
    <mergeCell ref="A106:A110"/>
    <mergeCell ref="D106:D110"/>
    <mergeCell ref="R106:R110"/>
    <mergeCell ref="S106:S110"/>
    <mergeCell ref="T106:T110"/>
    <mergeCell ref="A100:A104"/>
    <mergeCell ref="D100:D104"/>
    <mergeCell ref="R100:R104"/>
    <mergeCell ref="S100:S104"/>
    <mergeCell ref="T100:T104"/>
    <mergeCell ref="U95:U99"/>
    <mergeCell ref="V95:V99"/>
    <mergeCell ref="W95:W99"/>
    <mergeCell ref="X95:X99"/>
    <mergeCell ref="Y95:Y99"/>
    <mergeCell ref="Z95:Z99"/>
    <mergeCell ref="V82:V92"/>
    <mergeCell ref="W82:W92"/>
    <mergeCell ref="X82:X92"/>
    <mergeCell ref="Y82:Y92"/>
    <mergeCell ref="Z82:Z92"/>
    <mergeCell ref="U82:U92"/>
    <mergeCell ref="A95:A99"/>
    <mergeCell ref="D95:D99"/>
    <mergeCell ref="R95:R99"/>
    <mergeCell ref="S95:S99"/>
    <mergeCell ref="T95:T99"/>
    <mergeCell ref="A82:A92"/>
    <mergeCell ref="D82:D92"/>
    <mergeCell ref="R82:R92"/>
    <mergeCell ref="S82:S92"/>
    <mergeCell ref="T82:T92"/>
    <mergeCell ref="U76:U81"/>
    <mergeCell ref="V76:V81"/>
    <mergeCell ref="W76:W81"/>
    <mergeCell ref="X76:X81"/>
    <mergeCell ref="Y76:Y81"/>
    <mergeCell ref="Z76:Z81"/>
    <mergeCell ref="V71:V75"/>
    <mergeCell ref="W71:W75"/>
    <mergeCell ref="X71:X75"/>
    <mergeCell ref="Y71:Y75"/>
    <mergeCell ref="Z71:Z75"/>
    <mergeCell ref="U71:U75"/>
    <mergeCell ref="A76:A81"/>
    <mergeCell ref="D76:D81"/>
    <mergeCell ref="R76:R81"/>
    <mergeCell ref="S76:S81"/>
    <mergeCell ref="T76:T81"/>
    <mergeCell ref="A71:A75"/>
    <mergeCell ref="D71:D75"/>
    <mergeCell ref="R71:R75"/>
    <mergeCell ref="S71:S75"/>
    <mergeCell ref="T71:T75"/>
    <mergeCell ref="U67:U70"/>
    <mergeCell ref="V67:V70"/>
    <mergeCell ref="W67:W70"/>
    <mergeCell ref="X67:X70"/>
    <mergeCell ref="Y67:Y70"/>
    <mergeCell ref="Z67:Z70"/>
    <mergeCell ref="V65:V66"/>
    <mergeCell ref="W65:W66"/>
    <mergeCell ref="X65:X66"/>
    <mergeCell ref="Y65:Y66"/>
    <mergeCell ref="Z65:Z66"/>
    <mergeCell ref="U65:U66"/>
    <mergeCell ref="A67:A70"/>
    <mergeCell ref="D67:D70"/>
    <mergeCell ref="R67:R70"/>
    <mergeCell ref="S67:S70"/>
    <mergeCell ref="T67:T70"/>
    <mergeCell ref="A65:A66"/>
    <mergeCell ref="D65:D66"/>
    <mergeCell ref="R65:R66"/>
    <mergeCell ref="S65:S66"/>
    <mergeCell ref="T65:T66"/>
    <mergeCell ref="U59:U63"/>
    <mergeCell ref="V59:V63"/>
    <mergeCell ref="W59:W63"/>
    <mergeCell ref="X59:X63"/>
    <mergeCell ref="Y59:Y63"/>
    <mergeCell ref="Z59:Z63"/>
    <mergeCell ref="V53:V58"/>
    <mergeCell ref="W53:W58"/>
    <mergeCell ref="X53:X58"/>
    <mergeCell ref="Y53:Y58"/>
    <mergeCell ref="Z53:Z58"/>
    <mergeCell ref="U53:U58"/>
    <mergeCell ref="A59:A63"/>
    <mergeCell ref="D59:D63"/>
    <mergeCell ref="R59:R63"/>
    <mergeCell ref="S59:S63"/>
    <mergeCell ref="T59:T63"/>
    <mergeCell ref="A53:A58"/>
    <mergeCell ref="D53:D58"/>
    <mergeCell ref="R53:R58"/>
    <mergeCell ref="S53:S58"/>
    <mergeCell ref="T53:T58"/>
    <mergeCell ref="U48:U52"/>
    <mergeCell ref="V48:V52"/>
    <mergeCell ref="W48:W52"/>
    <mergeCell ref="X48:X52"/>
    <mergeCell ref="Y48:Y52"/>
    <mergeCell ref="Z48:Z52"/>
    <mergeCell ref="V42:V46"/>
    <mergeCell ref="W42:W46"/>
    <mergeCell ref="X42:X46"/>
    <mergeCell ref="Y42:Y46"/>
    <mergeCell ref="Z42:Z46"/>
    <mergeCell ref="U42:U46"/>
    <mergeCell ref="A48:A52"/>
    <mergeCell ref="D48:D52"/>
    <mergeCell ref="R48:R52"/>
    <mergeCell ref="S48:S52"/>
    <mergeCell ref="T48:T52"/>
    <mergeCell ref="A42:A46"/>
    <mergeCell ref="D42:D46"/>
    <mergeCell ref="R42:R46"/>
    <mergeCell ref="S42:S46"/>
    <mergeCell ref="T42:T46"/>
    <mergeCell ref="U37:U41"/>
    <mergeCell ref="V37:V41"/>
    <mergeCell ref="W37:W41"/>
    <mergeCell ref="X37:X41"/>
    <mergeCell ref="Y37:Y41"/>
    <mergeCell ref="Z37:Z41"/>
    <mergeCell ref="V34:V36"/>
    <mergeCell ref="W34:W36"/>
    <mergeCell ref="X34:X36"/>
    <mergeCell ref="Y34:Y36"/>
    <mergeCell ref="Z34:Z36"/>
    <mergeCell ref="U34:U36"/>
    <mergeCell ref="A37:A41"/>
    <mergeCell ref="D37:D41"/>
    <mergeCell ref="R37:R41"/>
    <mergeCell ref="S37:S41"/>
    <mergeCell ref="T37:T41"/>
    <mergeCell ref="A34:A36"/>
    <mergeCell ref="D34:D36"/>
    <mergeCell ref="R34:R36"/>
    <mergeCell ref="S34:S36"/>
    <mergeCell ref="T34:T36"/>
    <mergeCell ref="V12:V20"/>
    <mergeCell ref="W26:W33"/>
    <mergeCell ref="X26:X33"/>
    <mergeCell ref="Y26:Y33"/>
    <mergeCell ref="Z26:Z33"/>
    <mergeCell ref="V21:V25"/>
    <mergeCell ref="W21:W25"/>
    <mergeCell ref="X21:X25"/>
    <mergeCell ref="Y21:Y25"/>
    <mergeCell ref="Z21:Z25"/>
    <mergeCell ref="A21:A25"/>
    <mergeCell ref="D21:D25"/>
    <mergeCell ref="R21:R25"/>
    <mergeCell ref="S21:S25"/>
    <mergeCell ref="T21:T25"/>
    <mergeCell ref="U21:U25"/>
    <mergeCell ref="A12:A20"/>
    <mergeCell ref="D12:D20"/>
    <mergeCell ref="R12:R20"/>
    <mergeCell ref="S12:S20"/>
    <mergeCell ref="T12:T20"/>
    <mergeCell ref="U12:U20"/>
    <mergeCell ref="A26:A33"/>
    <mergeCell ref="D26:D33"/>
    <mergeCell ref="R26:R33"/>
    <mergeCell ref="S26:S33"/>
    <mergeCell ref="T26:T33"/>
    <mergeCell ref="U26:U33"/>
    <mergeCell ref="V26:V33"/>
    <mergeCell ref="R4:Z4"/>
    <mergeCell ref="AB4:AH4"/>
    <mergeCell ref="A8:A11"/>
    <mergeCell ref="D8:D11"/>
    <mergeCell ref="R8:R11"/>
    <mergeCell ref="S8:S11"/>
    <mergeCell ref="T8:T11"/>
    <mergeCell ref="U8:U11"/>
    <mergeCell ref="V8:V11"/>
    <mergeCell ref="W8:W11"/>
    <mergeCell ref="X8:X11"/>
    <mergeCell ref="Y8:Y11"/>
    <mergeCell ref="Z8:Z11"/>
    <mergeCell ref="W12:W20"/>
    <mergeCell ref="X12:X20"/>
    <mergeCell ref="Y12:Y20"/>
    <mergeCell ref="Z12:Z20"/>
  </mergeCells>
  <pageMargins left="0.7" right="0.7" top="0.75" bottom="0.75" header="0.3" footer="0.3"/>
  <drawing r:id="rId1"/>
  <legacyDrawing r:id="rId2"/>
  <tableParts count="1">
    <tablePart r:id="rId3"/>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AP697"/>
  <sheetViews>
    <sheetView topLeftCell="A492" zoomScale="90" zoomScaleNormal="90" workbookViewId="0">
      <selection activeCell="A500" sqref="A500:XFD500"/>
    </sheetView>
  </sheetViews>
  <sheetFormatPr defaultRowHeight="15" x14ac:dyDescent="0.25"/>
  <cols>
    <col min="1" max="1" width="35.5703125" customWidth="1"/>
    <col min="2" max="2" width="10.28515625" customWidth="1"/>
    <col min="3" max="3" width="11.5703125" customWidth="1"/>
    <col min="4" max="4" width="16.7109375" customWidth="1"/>
    <col min="5" max="5" width="22.7109375" customWidth="1"/>
    <col min="6" max="6" width="23" customWidth="1"/>
    <col min="7" max="7" width="16.28515625" customWidth="1"/>
    <col min="8" max="8" width="19.140625" bestFit="1" customWidth="1"/>
    <col min="9" max="10" width="22.28515625" customWidth="1"/>
    <col min="11" max="11" width="19.7109375" customWidth="1"/>
    <col min="12" max="12" width="17.7109375" customWidth="1"/>
    <col min="13" max="13" width="17.140625" customWidth="1"/>
    <col min="14" max="14" width="17.5703125" customWidth="1"/>
    <col min="15" max="15" width="15.7109375" customWidth="1"/>
    <col min="16" max="17" width="19.85546875" customWidth="1"/>
    <col min="18" max="18" width="19.7109375" customWidth="1"/>
    <col min="19" max="19" width="25.140625" customWidth="1"/>
    <col min="20" max="20" width="11.28515625" bestFit="1" customWidth="1"/>
    <col min="21" max="21" width="20.140625" bestFit="1" customWidth="1"/>
    <col min="22" max="22" width="16.42578125" customWidth="1"/>
    <col min="23" max="23" width="22" bestFit="1" customWidth="1"/>
    <col min="24" max="24" width="22" customWidth="1"/>
    <col min="25" max="25" width="23.28515625" bestFit="1" customWidth="1"/>
    <col min="26" max="26" width="14.140625" customWidth="1"/>
    <col min="27" max="27" width="18.140625" bestFit="1" customWidth="1"/>
    <col min="28" max="29" width="19.85546875" customWidth="1"/>
    <col min="30" max="31" width="14.42578125" customWidth="1"/>
    <col min="32" max="32" width="15.28515625" customWidth="1"/>
    <col min="33" max="33" width="25.42578125" customWidth="1"/>
    <col min="34" max="34" width="3.7109375" customWidth="1"/>
    <col min="35" max="35" width="13.5703125" customWidth="1"/>
    <col min="37" max="37" width="11.140625" customWidth="1"/>
    <col min="38" max="38" width="10.7109375" customWidth="1"/>
    <col min="42" max="43" width="75.28515625" customWidth="1"/>
  </cols>
  <sheetData>
    <row r="1" spans="1:42" ht="18.75" x14ac:dyDescent="0.3">
      <c r="A1" s="1055" t="s">
        <v>1211</v>
      </c>
      <c r="B1" s="851"/>
      <c r="C1" s="1056"/>
      <c r="D1" s="24"/>
      <c r="E1" s="1079"/>
    </row>
    <row r="2" spans="1:42" ht="16.5" thickBot="1" x14ac:dyDescent="0.3">
      <c r="A2" s="530" t="s">
        <v>1191</v>
      </c>
      <c r="B2" s="854"/>
      <c r="C2" s="531"/>
      <c r="D2" s="25"/>
      <c r="E2" s="1080"/>
    </row>
    <row r="3" spans="1:42" ht="18.75" x14ac:dyDescent="0.3">
      <c r="A3" t="s">
        <v>1213</v>
      </c>
      <c r="AI3" s="395" t="s">
        <v>826</v>
      </c>
      <c r="AJ3" s="395"/>
      <c r="AK3" s="395"/>
      <c r="AL3" s="395"/>
      <c r="AM3" s="395"/>
      <c r="AN3" s="395"/>
      <c r="AO3" s="394"/>
      <c r="AP3" s="394"/>
    </row>
    <row r="4" spans="1:42" ht="23.25" x14ac:dyDescent="0.35">
      <c r="I4" t="s">
        <v>1210</v>
      </c>
      <c r="U4" s="1754" t="s">
        <v>679</v>
      </c>
      <c r="V4" s="1754"/>
      <c r="W4" s="1754"/>
      <c r="X4" s="1754"/>
      <c r="Y4" s="1754"/>
      <c r="Z4" s="1754"/>
      <c r="AA4" s="1754"/>
      <c r="AB4" s="1754"/>
      <c r="AC4" s="1754"/>
      <c r="AD4" s="1754"/>
      <c r="AE4" s="1754"/>
      <c r="AF4" s="1754"/>
      <c r="AG4" s="1754"/>
      <c r="AI4" s="1755" t="s">
        <v>248</v>
      </c>
      <c r="AJ4" s="1755"/>
      <c r="AK4" s="1755"/>
      <c r="AL4" s="1755"/>
      <c r="AM4" s="1755"/>
      <c r="AN4" s="1755"/>
      <c r="AO4" s="1755"/>
    </row>
    <row r="5" spans="1:42" ht="64.5" customHeight="1" x14ac:dyDescent="0.3">
      <c r="E5" s="89" t="s">
        <v>215</v>
      </c>
      <c r="F5" s="90" t="s">
        <v>827</v>
      </c>
      <c r="G5" s="111" t="s">
        <v>196</v>
      </c>
      <c r="H5" s="82" t="s">
        <v>197</v>
      </c>
      <c r="I5" s="552" t="s">
        <v>198</v>
      </c>
      <c r="J5" s="556" t="s">
        <v>833</v>
      </c>
      <c r="K5" s="555" t="s">
        <v>200</v>
      </c>
      <c r="L5" s="553" t="s">
        <v>834</v>
      </c>
      <c r="M5" s="556" t="s">
        <v>835</v>
      </c>
      <c r="N5" s="554" t="s">
        <v>201</v>
      </c>
      <c r="O5" s="556" t="s">
        <v>836</v>
      </c>
      <c r="P5" s="84" t="s">
        <v>199</v>
      </c>
      <c r="Q5" s="556" t="s">
        <v>840</v>
      </c>
      <c r="R5" s="564" t="s">
        <v>841</v>
      </c>
      <c r="S5" s="85" t="s">
        <v>202</v>
      </c>
      <c r="U5" s="110" t="s">
        <v>240</v>
      </c>
      <c r="V5" s="109" t="s">
        <v>241</v>
      </c>
      <c r="W5" s="108" t="s">
        <v>242</v>
      </c>
      <c r="X5" s="572" t="s">
        <v>843</v>
      </c>
      <c r="Y5" s="107" t="s">
        <v>243</v>
      </c>
      <c r="Z5" s="106" t="s">
        <v>244</v>
      </c>
      <c r="AA5" s="572" t="s">
        <v>845</v>
      </c>
      <c r="AB5" s="105" t="s">
        <v>245</v>
      </c>
      <c r="AC5" s="572" t="s">
        <v>847</v>
      </c>
      <c r="AD5" s="104" t="s">
        <v>246</v>
      </c>
      <c r="AE5" s="572" t="s">
        <v>850</v>
      </c>
      <c r="AF5" s="103" t="s">
        <v>852</v>
      </c>
      <c r="AG5" s="102" t="s">
        <v>247</v>
      </c>
      <c r="AI5" s="112" t="s">
        <v>249</v>
      </c>
      <c r="AJ5" s="112" t="s">
        <v>250</v>
      </c>
      <c r="AK5" s="112" t="s">
        <v>251</v>
      </c>
      <c r="AL5" s="112" t="s">
        <v>252</v>
      </c>
      <c r="AM5" s="112" t="s">
        <v>438</v>
      </c>
      <c r="AN5" s="112" t="s">
        <v>253</v>
      </c>
      <c r="AO5" s="112" t="s">
        <v>254</v>
      </c>
    </row>
    <row r="6" spans="1:42" ht="16.5" thickBot="1" x14ac:dyDescent="0.3">
      <c r="A6" s="42" t="s">
        <v>3</v>
      </c>
      <c r="B6" s="250" t="s">
        <v>58</v>
      </c>
      <c r="C6" s="799" t="s">
        <v>1190</v>
      </c>
      <c r="D6" s="799" t="s">
        <v>1022</v>
      </c>
      <c r="E6" s="91" t="s">
        <v>809</v>
      </c>
      <c r="F6" s="92" t="s">
        <v>810</v>
      </c>
      <c r="G6" s="7" t="s">
        <v>811</v>
      </c>
      <c r="H6" s="3" t="s">
        <v>812</v>
      </c>
      <c r="I6" s="33" t="s">
        <v>813</v>
      </c>
      <c r="J6" s="557" t="s">
        <v>832</v>
      </c>
      <c r="K6" s="68" t="s">
        <v>814</v>
      </c>
      <c r="L6" s="34" t="s">
        <v>815</v>
      </c>
      <c r="M6" s="557" t="s">
        <v>838</v>
      </c>
      <c r="N6" s="69" t="s">
        <v>816</v>
      </c>
      <c r="O6" s="557" t="s">
        <v>837</v>
      </c>
      <c r="P6" s="66" t="s">
        <v>817</v>
      </c>
      <c r="Q6" s="557" t="s">
        <v>839</v>
      </c>
      <c r="R6" s="67" t="s">
        <v>842</v>
      </c>
      <c r="S6" s="70" t="s">
        <v>818</v>
      </c>
      <c r="U6" s="93" t="s">
        <v>819</v>
      </c>
      <c r="V6" s="94" t="s">
        <v>820</v>
      </c>
      <c r="W6" s="95" t="s">
        <v>821</v>
      </c>
      <c r="X6" s="573" t="s">
        <v>844</v>
      </c>
      <c r="Y6" s="96" t="s">
        <v>822</v>
      </c>
      <c r="Z6" s="97" t="s">
        <v>823</v>
      </c>
      <c r="AA6" s="573" t="s">
        <v>846</v>
      </c>
      <c r="AB6" s="98" t="s">
        <v>849</v>
      </c>
      <c r="AC6" s="573" t="s">
        <v>848</v>
      </c>
      <c r="AD6" s="99" t="s">
        <v>824</v>
      </c>
      <c r="AE6" s="573" t="s">
        <v>851</v>
      </c>
      <c r="AF6" s="100" t="s">
        <v>853</v>
      </c>
      <c r="AG6" s="101" t="s">
        <v>825</v>
      </c>
      <c r="AI6" s="113"/>
      <c r="AJ6" s="113"/>
      <c r="AK6" s="113"/>
      <c r="AL6" s="113"/>
      <c r="AM6" s="113"/>
      <c r="AN6" s="113"/>
      <c r="AO6" s="113"/>
    </row>
    <row r="7" spans="1:42" ht="18.600000000000001" customHeight="1" x14ac:dyDescent="0.25">
      <c r="A7" s="1756" t="s">
        <v>33</v>
      </c>
      <c r="B7" s="746" t="s">
        <v>217</v>
      </c>
      <c r="C7" s="747" t="s">
        <v>429</v>
      </c>
      <c r="D7" s="815" t="s">
        <v>1024</v>
      </c>
      <c r="E7" s="1759">
        <v>20700</v>
      </c>
      <c r="F7" s="647">
        <f>'exchange rates'!$O$3</f>
        <v>18.600290000000001</v>
      </c>
      <c r="G7" s="625" t="s">
        <v>5</v>
      </c>
      <c r="H7" s="593" t="s">
        <v>5</v>
      </c>
      <c r="I7" s="594" t="s">
        <v>5</v>
      </c>
      <c r="J7" s="595" t="s">
        <v>5</v>
      </c>
      <c r="K7" s="566" t="s">
        <v>5</v>
      </c>
      <c r="L7" s="596" t="s">
        <v>5</v>
      </c>
      <c r="M7" s="595" t="s">
        <v>5</v>
      </c>
      <c r="N7" s="626" t="s">
        <v>5</v>
      </c>
      <c r="O7" s="595" t="s">
        <v>5</v>
      </c>
      <c r="P7" s="597" t="s">
        <v>5</v>
      </c>
      <c r="Q7" s="595" t="s">
        <v>5</v>
      </c>
      <c r="R7" s="570" t="s">
        <v>5</v>
      </c>
      <c r="S7" s="571">
        <f>1483.5/F7</f>
        <v>79.756820995801675</v>
      </c>
      <c r="T7" s="397"/>
      <c r="U7" s="1762" t="str">
        <f>Tabel66892628[[#This Row],[Fix.ch. 2017]]</f>
        <v>n/a</v>
      </c>
      <c r="V7" s="1765" t="s">
        <v>5</v>
      </c>
      <c r="W7" s="1768" t="s">
        <v>5</v>
      </c>
      <c r="X7" s="1771" t="s">
        <v>5</v>
      </c>
      <c r="Y7" s="1774" t="str">
        <f>Tabel66892628[[#This Row],[Total. ch. DW 2017]]</f>
        <v>n/a</v>
      </c>
      <c r="Z7" s="1777" t="s">
        <v>5</v>
      </c>
      <c r="AA7" s="1771" t="s">
        <v>5</v>
      </c>
      <c r="AB7" s="1810" t="s">
        <v>5</v>
      </c>
      <c r="AC7" s="1771" t="s">
        <v>5</v>
      </c>
      <c r="AD7" s="1812" t="s">
        <v>5</v>
      </c>
      <c r="AE7" s="1771" t="s">
        <v>5</v>
      </c>
      <c r="AF7" s="1814" t="s">
        <v>5</v>
      </c>
      <c r="AG7" s="1793">
        <f>MEDIAN(S7:S13)</f>
        <v>79.756820995801675</v>
      </c>
      <c r="AH7" s="397"/>
      <c r="AI7" s="591" t="s">
        <v>429</v>
      </c>
      <c r="AJ7" s="591"/>
      <c r="AK7" s="591"/>
      <c r="AL7" s="591"/>
      <c r="AM7" s="591" t="s">
        <v>429</v>
      </c>
      <c r="AN7" s="591" t="s">
        <v>429</v>
      </c>
      <c r="AO7" s="396"/>
      <c r="AP7" s="397"/>
    </row>
    <row r="8" spans="1:42" ht="15.75" x14ac:dyDescent="0.25">
      <c r="A8" s="1757"/>
      <c r="B8" s="747" t="s">
        <v>942</v>
      </c>
      <c r="C8" s="747"/>
      <c r="D8" s="815" t="s">
        <v>1024</v>
      </c>
      <c r="E8" s="1760"/>
      <c r="F8" s="647">
        <f>'exchange rates'!$O$3</f>
        <v>18.600290000000001</v>
      </c>
      <c r="G8" s="625" t="s">
        <v>5</v>
      </c>
      <c r="H8" s="593" t="s">
        <v>5</v>
      </c>
      <c r="I8" s="594" t="s">
        <v>5</v>
      </c>
      <c r="J8" s="595" t="s">
        <v>5</v>
      </c>
      <c r="K8" s="566" t="s">
        <v>5</v>
      </c>
      <c r="L8" s="596" t="s">
        <v>5</v>
      </c>
      <c r="M8" s="595" t="s">
        <v>5</v>
      </c>
      <c r="N8" s="626" t="s">
        <v>5</v>
      </c>
      <c r="O8" s="595" t="s">
        <v>5</v>
      </c>
      <c r="P8" s="597" t="s">
        <v>5</v>
      </c>
      <c r="Q8" s="595" t="s">
        <v>5</v>
      </c>
      <c r="R8" s="570" t="s">
        <v>5</v>
      </c>
      <c r="S8" s="571">
        <f>1972.29/F8</f>
        <v>106.03544353340726</v>
      </c>
      <c r="T8" s="397"/>
      <c r="U8" s="1763"/>
      <c r="V8" s="1766"/>
      <c r="W8" s="1769"/>
      <c r="X8" s="1772"/>
      <c r="Y8" s="1775"/>
      <c r="Z8" s="1778"/>
      <c r="AA8" s="1772"/>
      <c r="AB8" s="1781"/>
      <c r="AC8" s="1772"/>
      <c r="AD8" s="1785"/>
      <c r="AE8" s="1772"/>
      <c r="AF8" s="1788"/>
      <c r="AG8" s="1791"/>
      <c r="AH8" s="397"/>
      <c r="AI8" s="396"/>
      <c r="AJ8" s="396"/>
      <c r="AK8" s="396"/>
      <c r="AL8" s="396"/>
      <c r="AM8" s="396"/>
      <c r="AN8" s="396"/>
      <c r="AO8" s="396"/>
      <c r="AP8" s="397"/>
    </row>
    <row r="9" spans="1:42" ht="15.75" x14ac:dyDescent="0.25">
      <c r="A9" s="1757"/>
      <c r="B9" s="747" t="s">
        <v>943</v>
      </c>
      <c r="C9" s="747"/>
      <c r="D9" s="815" t="s">
        <v>1024</v>
      </c>
      <c r="E9" s="1760"/>
      <c r="F9" s="647">
        <f>'exchange rates'!$O$3</f>
        <v>18.600290000000001</v>
      </c>
      <c r="G9" s="625" t="s">
        <v>5</v>
      </c>
      <c r="H9" s="593" t="s">
        <v>5</v>
      </c>
      <c r="I9" s="594" t="s">
        <v>5</v>
      </c>
      <c r="J9" s="595" t="s">
        <v>5</v>
      </c>
      <c r="K9" s="566" t="s">
        <v>5</v>
      </c>
      <c r="L9" s="596" t="s">
        <v>5</v>
      </c>
      <c r="M9" s="595" t="s">
        <v>5</v>
      </c>
      <c r="N9" s="626" t="s">
        <v>5</v>
      </c>
      <c r="O9" s="595" t="s">
        <v>5</v>
      </c>
      <c r="P9" s="597" t="s">
        <v>5</v>
      </c>
      <c r="Q9" s="595" t="s">
        <v>5</v>
      </c>
      <c r="R9" s="570" t="s">
        <v>5</v>
      </c>
      <c r="S9" s="571">
        <f>1941.35/F9</f>
        <v>104.3720286081561</v>
      </c>
      <c r="T9" s="397"/>
      <c r="U9" s="1763"/>
      <c r="V9" s="1766"/>
      <c r="W9" s="1769"/>
      <c r="X9" s="1772"/>
      <c r="Y9" s="1775"/>
      <c r="Z9" s="1778"/>
      <c r="AA9" s="1772"/>
      <c r="AB9" s="1781"/>
      <c r="AC9" s="1772"/>
      <c r="AD9" s="1785"/>
      <c r="AE9" s="1772"/>
      <c r="AF9" s="1788"/>
      <c r="AG9" s="1791"/>
      <c r="AH9" s="397"/>
      <c r="AI9" s="396"/>
      <c r="AJ9" s="396"/>
      <c r="AK9" s="396"/>
      <c r="AL9" s="396"/>
      <c r="AM9" s="396"/>
      <c r="AN9" s="396"/>
      <c r="AO9" s="396"/>
      <c r="AP9" s="397"/>
    </row>
    <row r="10" spans="1:42" ht="15.75" x14ac:dyDescent="0.25">
      <c r="A10" s="1757"/>
      <c r="B10" s="747" t="s">
        <v>944</v>
      </c>
      <c r="C10" s="747"/>
      <c r="D10" s="815" t="s">
        <v>1024</v>
      </c>
      <c r="E10" s="1760"/>
      <c r="F10" s="647">
        <f>'exchange rates'!$O$3</f>
        <v>18.600290000000001</v>
      </c>
      <c r="G10" s="625" t="s">
        <v>5</v>
      </c>
      <c r="H10" s="593" t="s">
        <v>5</v>
      </c>
      <c r="I10" s="594" t="s">
        <v>5</v>
      </c>
      <c r="J10" s="595" t="s">
        <v>5</v>
      </c>
      <c r="K10" s="566" t="s">
        <v>5</v>
      </c>
      <c r="L10" s="596" t="s">
        <v>5</v>
      </c>
      <c r="M10" s="595" t="s">
        <v>5</v>
      </c>
      <c r="N10" s="626" t="s">
        <v>5</v>
      </c>
      <c r="O10" s="595" t="s">
        <v>5</v>
      </c>
      <c r="P10" s="597" t="s">
        <v>5</v>
      </c>
      <c r="Q10" s="595" t="s">
        <v>5</v>
      </c>
      <c r="R10" s="570" t="s">
        <v>5</v>
      </c>
      <c r="S10" s="571">
        <f>783/F10</f>
        <v>42.096117856226968</v>
      </c>
      <c r="T10" s="397"/>
      <c r="U10" s="1763"/>
      <c r="V10" s="1766"/>
      <c r="W10" s="1769"/>
      <c r="X10" s="1772"/>
      <c r="Y10" s="1775"/>
      <c r="Z10" s="1778"/>
      <c r="AA10" s="1772"/>
      <c r="AB10" s="1781"/>
      <c r="AC10" s="1772"/>
      <c r="AD10" s="1785"/>
      <c r="AE10" s="1772"/>
      <c r="AF10" s="1788"/>
      <c r="AG10" s="1791"/>
      <c r="AH10" s="397"/>
      <c r="AI10" s="396"/>
      <c r="AJ10" s="396"/>
      <c r="AK10" s="396"/>
      <c r="AL10" s="396"/>
      <c r="AM10" s="396"/>
      <c r="AN10" s="396"/>
      <c r="AO10" s="396"/>
      <c r="AP10" s="397"/>
    </row>
    <row r="11" spans="1:42" ht="15.75" x14ac:dyDescent="0.25">
      <c r="A11" s="1757"/>
      <c r="B11" s="747" t="s">
        <v>945</v>
      </c>
      <c r="C11" s="747"/>
      <c r="D11" s="815" t="s">
        <v>1024</v>
      </c>
      <c r="E11" s="1760"/>
      <c r="F11" s="647">
        <f>'exchange rates'!$O$3</f>
        <v>18.600290000000001</v>
      </c>
      <c r="G11" s="625" t="s">
        <v>5</v>
      </c>
      <c r="H11" s="593" t="s">
        <v>5</v>
      </c>
      <c r="I11" s="594" t="s">
        <v>5</v>
      </c>
      <c r="J11" s="595" t="s">
        <v>5</v>
      </c>
      <c r="K11" s="566" t="s">
        <v>5</v>
      </c>
      <c r="L11" s="596" t="s">
        <v>5</v>
      </c>
      <c r="M11" s="595" t="s">
        <v>5</v>
      </c>
      <c r="N11" s="626" t="s">
        <v>5</v>
      </c>
      <c r="O11" s="595" t="s">
        <v>5</v>
      </c>
      <c r="P11" s="597" t="s">
        <v>5</v>
      </c>
      <c r="Q11" s="595" t="s">
        <v>5</v>
      </c>
      <c r="R11" s="570" t="s">
        <v>5</v>
      </c>
      <c r="S11" s="571">
        <f>1155.25/F11</f>
        <v>62.109246683788257</v>
      </c>
      <c r="T11" s="397"/>
      <c r="U11" s="1763"/>
      <c r="V11" s="1766"/>
      <c r="W11" s="1769"/>
      <c r="X11" s="1772"/>
      <c r="Y11" s="1775"/>
      <c r="Z11" s="1778"/>
      <c r="AA11" s="1772"/>
      <c r="AB11" s="1781"/>
      <c r="AC11" s="1772"/>
      <c r="AD11" s="1785"/>
      <c r="AE11" s="1772"/>
      <c r="AF11" s="1788"/>
      <c r="AG11" s="1791"/>
      <c r="AH11" s="397"/>
      <c r="AI11" s="396"/>
      <c r="AJ11" s="396"/>
      <c r="AK11" s="396"/>
      <c r="AL11" s="396"/>
      <c r="AM11" s="396"/>
      <c r="AN11" s="396"/>
      <c r="AO11" s="396"/>
      <c r="AP11" s="397"/>
    </row>
    <row r="12" spans="1:42" ht="15.75" x14ac:dyDescent="0.25">
      <c r="A12" s="1757"/>
      <c r="B12" s="747" t="s">
        <v>946</v>
      </c>
      <c r="C12" s="747"/>
      <c r="D12" s="815" t="s">
        <v>1024</v>
      </c>
      <c r="E12" s="1760"/>
      <c r="F12" s="647">
        <f>'exchange rates'!$O$3</f>
        <v>18.600290000000001</v>
      </c>
      <c r="G12" s="625" t="s">
        <v>5</v>
      </c>
      <c r="H12" s="593" t="s">
        <v>5</v>
      </c>
      <c r="I12" s="594" t="s">
        <v>5</v>
      </c>
      <c r="J12" s="595" t="s">
        <v>5</v>
      </c>
      <c r="K12" s="566" t="s">
        <v>5</v>
      </c>
      <c r="L12" s="596" t="s">
        <v>5</v>
      </c>
      <c r="M12" s="595" t="s">
        <v>5</v>
      </c>
      <c r="N12" s="626" t="s">
        <v>5</v>
      </c>
      <c r="O12" s="595" t="s">
        <v>5</v>
      </c>
      <c r="P12" s="597" t="s">
        <v>5</v>
      </c>
      <c r="Q12" s="595" t="s">
        <v>5</v>
      </c>
      <c r="R12" s="570" t="s">
        <v>5</v>
      </c>
      <c r="S12" s="571">
        <f>619.48/F12</f>
        <v>33.30485707480905</v>
      </c>
      <c r="T12" s="397"/>
      <c r="U12" s="1763"/>
      <c r="V12" s="1766"/>
      <c r="W12" s="1769"/>
      <c r="X12" s="1772"/>
      <c r="Y12" s="1775"/>
      <c r="Z12" s="1778"/>
      <c r="AA12" s="1772"/>
      <c r="AB12" s="1781"/>
      <c r="AC12" s="1772"/>
      <c r="AD12" s="1785"/>
      <c r="AE12" s="1772"/>
      <c r="AF12" s="1788"/>
      <c r="AG12" s="1791"/>
      <c r="AH12" s="397"/>
      <c r="AI12" s="396"/>
      <c r="AJ12" s="396"/>
      <c r="AK12" s="396"/>
      <c r="AL12" s="396"/>
      <c r="AM12" s="396"/>
      <c r="AN12" s="396"/>
      <c r="AO12" s="396"/>
      <c r="AP12" s="397"/>
    </row>
    <row r="13" spans="1:42" ht="16.5" thickBot="1" x14ac:dyDescent="0.3">
      <c r="A13" s="1758"/>
      <c r="B13" s="747" t="s">
        <v>947</v>
      </c>
      <c r="C13" s="747"/>
      <c r="D13" s="815" t="s">
        <v>1024</v>
      </c>
      <c r="E13" s="1761"/>
      <c r="F13" s="647">
        <f>'exchange rates'!$O$3</f>
        <v>18.600290000000001</v>
      </c>
      <c r="G13" s="625" t="s">
        <v>5</v>
      </c>
      <c r="H13" s="593" t="s">
        <v>5</v>
      </c>
      <c r="I13" s="594" t="s">
        <v>5</v>
      </c>
      <c r="J13" s="595" t="s">
        <v>5</v>
      </c>
      <c r="K13" s="566" t="s">
        <v>5</v>
      </c>
      <c r="L13" s="596" t="s">
        <v>5</v>
      </c>
      <c r="M13" s="595" t="s">
        <v>5</v>
      </c>
      <c r="N13" s="626" t="s">
        <v>5</v>
      </c>
      <c r="O13" s="595" t="s">
        <v>5</v>
      </c>
      <c r="P13" s="597" t="s">
        <v>5</v>
      </c>
      <c r="Q13" s="595" t="s">
        <v>5</v>
      </c>
      <c r="R13" s="570" t="s">
        <v>5</v>
      </c>
      <c r="S13" s="571">
        <f>1941.86/F13</f>
        <v>104.3994475354954</v>
      </c>
      <c r="T13" s="397"/>
      <c r="U13" s="1764"/>
      <c r="V13" s="1767"/>
      <c r="W13" s="1770"/>
      <c r="X13" s="1773"/>
      <c r="Y13" s="1776"/>
      <c r="Z13" s="1779"/>
      <c r="AA13" s="1773"/>
      <c r="AB13" s="1811"/>
      <c r="AC13" s="1773"/>
      <c r="AD13" s="1813"/>
      <c r="AE13" s="1773"/>
      <c r="AF13" s="1815"/>
      <c r="AG13" s="1794"/>
      <c r="AH13" s="397"/>
      <c r="AI13" s="396"/>
      <c r="AJ13" s="396"/>
      <c r="AK13" s="396"/>
      <c r="AL13" s="396"/>
      <c r="AM13" s="396"/>
      <c r="AN13" s="396"/>
      <c r="AO13" s="396"/>
      <c r="AP13" s="397"/>
    </row>
    <row r="14" spans="1:42" ht="15.6" customHeight="1" thickBot="1" x14ac:dyDescent="0.3">
      <c r="A14" s="868" t="s">
        <v>524</v>
      </c>
      <c r="B14" s="751" t="s">
        <v>526</v>
      </c>
      <c r="C14" s="752" t="s">
        <v>429</v>
      </c>
      <c r="D14" s="816" t="s">
        <v>1026</v>
      </c>
      <c r="E14" s="885">
        <v>9100</v>
      </c>
      <c r="F14" s="647">
        <f>'exchange rates'!O4</f>
        <v>483.08548000000002</v>
      </c>
      <c r="G14" s="625">
        <f>(127.5*200)/F14</f>
        <v>52.78568919107235</v>
      </c>
      <c r="H14" s="593">
        <f>0</f>
        <v>0</v>
      </c>
      <c r="I14" s="594">
        <f>0</f>
        <v>0</v>
      </c>
      <c r="J14" s="595">
        <f>(25.5*200)/F14</f>
        <v>10.557137838214471</v>
      </c>
      <c r="K14" s="566">
        <f>Tabel66892628[[#This Row],[Fix.ch. 2017]]+Tabel66892628[[#This Row],[Var. ch. 2017]]+Tabel66892628[[#This Row],[Oth. ch. DW 2017]]+Tabel66892628[[#This Row],[VAT DW 2017]]</f>
        <v>63.342827029286823</v>
      </c>
      <c r="L14" s="596">
        <f>(22.5*200)/F14</f>
        <v>9.3151216219539439</v>
      </c>
      <c r="M14" s="595">
        <f>(4.5*200)/F14</f>
        <v>1.8630243243907889</v>
      </c>
      <c r="N14" s="626">
        <v>0</v>
      </c>
      <c r="O14" s="595">
        <v>0</v>
      </c>
      <c r="P14" s="597">
        <v>0</v>
      </c>
      <c r="Q14" s="595">
        <v>0</v>
      </c>
      <c r="R14" s="570">
        <f>Tabel66892628[[#This Row],[VAT DW 2017]]+Tabel66892628[[#This Row],[VAT Sew. 2017]]+Tabel66892628[[#This Row],[VAT WW 2017]]+Tabel66892628[[#This Row],[VAT Other ch. 2017]]</f>
        <v>12.42016216260526</v>
      </c>
      <c r="S14" s="571">
        <f>Tabel66892628[[#This Row],[Total. ch. DW 2017]]+Tabel66892628[[#This Row],[Sew. 2017]]+Tabel66892628[[#This Row],[VAT Sew. 2017]]+Tabel66892628[[#This Row],[WW 2017]]+Tabel66892628[[#This Row],[VAT WW 2017]]+Tabel66892628[[#This Row],[Other ch. 2017]]+Tabel66892628[[#This Row],[VAT Other ch. 2017]]</f>
        <v>74.520972975631565</v>
      </c>
      <c r="T14" s="397"/>
      <c r="U14" s="882">
        <f t="shared" ref="U14:AG14" si="0">MEDIAN(G14:G14)</f>
        <v>52.78568919107235</v>
      </c>
      <c r="V14" s="879">
        <f t="shared" si="0"/>
        <v>0</v>
      </c>
      <c r="W14" s="883">
        <f t="shared" si="0"/>
        <v>0</v>
      </c>
      <c r="X14" s="878">
        <f t="shared" si="0"/>
        <v>10.557137838214471</v>
      </c>
      <c r="Y14" s="884">
        <f t="shared" si="0"/>
        <v>63.342827029286823</v>
      </c>
      <c r="Z14" s="896">
        <f t="shared" si="0"/>
        <v>9.3151216219539439</v>
      </c>
      <c r="AA14" s="878">
        <f t="shared" si="0"/>
        <v>1.8630243243907889</v>
      </c>
      <c r="AB14" s="876">
        <f t="shared" si="0"/>
        <v>0</v>
      </c>
      <c r="AC14" s="878">
        <f t="shared" si="0"/>
        <v>0</v>
      </c>
      <c r="AD14" s="895">
        <f t="shared" si="0"/>
        <v>0</v>
      </c>
      <c r="AE14" s="878">
        <f t="shared" si="0"/>
        <v>0</v>
      </c>
      <c r="AF14" s="893">
        <f t="shared" si="0"/>
        <v>12.42016216260526</v>
      </c>
      <c r="AG14" s="877">
        <f t="shared" si="0"/>
        <v>74.520972975631565</v>
      </c>
      <c r="AH14" s="397"/>
      <c r="AI14" s="398"/>
      <c r="AJ14" s="591" t="s">
        <v>429</v>
      </c>
      <c r="AK14" s="398"/>
      <c r="AL14" s="398"/>
      <c r="AM14" s="398"/>
      <c r="AN14" s="591" t="s">
        <v>429</v>
      </c>
      <c r="AO14" s="398"/>
      <c r="AP14" s="397"/>
    </row>
    <row r="15" spans="1:42" ht="18" customHeight="1" x14ac:dyDescent="0.25">
      <c r="A15" s="1795" t="s">
        <v>34</v>
      </c>
      <c r="B15" s="664" t="s">
        <v>176</v>
      </c>
      <c r="C15" s="653"/>
      <c r="D15" s="653" t="s">
        <v>1028</v>
      </c>
      <c r="E15" s="1798">
        <v>49900</v>
      </c>
      <c r="F15" s="616">
        <f>'exchange rates'!$O$5</f>
        <v>1.2820499999999999</v>
      </c>
      <c r="G15" s="625">
        <f>192.28/F15</f>
        <v>149.97854997854998</v>
      </c>
      <c r="H15" s="593">
        <f>703.52/F15</f>
        <v>548.74614874614872</v>
      </c>
      <c r="I15" s="594">
        <v>0</v>
      </c>
      <c r="J15" s="595">
        <v>0</v>
      </c>
      <c r="K15" s="566">
        <f>Tabel66892628[[#This Row],[Fix.ch. 2017]]+Tabel66892628[[#This Row],[Var. ch. 2017]]+Tabel66892628[[#This Row],[Oth. ch. DW 2017]]+Tabel66892628[[#This Row],[VAT DW 2017]]</f>
        <v>698.72469872469867</v>
      </c>
      <c r="L15" s="596">
        <f>522/F15</f>
        <v>407.1604071604072</v>
      </c>
      <c r="M15" s="595">
        <v>0</v>
      </c>
      <c r="N15" s="626">
        <v>0</v>
      </c>
      <c r="O15" s="595">
        <v>0</v>
      </c>
      <c r="P15" s="597">
        <v>0</v>
      </c>
      <c r="Q15" s="595">
        <v>0</v>
      </c>
      <c r="R15" s="570">
        <f>Tabel66892628[[#This Row],[VAT DW 2017]]+Tabel66892628[[#This Row],[VAT Sew. 2017]]+Tabel66892628[[#This Row],[VAT WW 2017]]+Tabel66892628[[#This Row],[VAT Other ch. 2017]]</f>
        <v>0</v>
      </c>
      <c r="S15" s="571">
        <f>Tabel66892628[[#This Row],[Total. ch. DW 2017]]+Tabel66892628[[#This Row],[Sew. 2017]]+Tabel66892628[[#This Row],[VAT Sew. 2017]]+Tabel66892628[[#This Row],[WW 2017]]+Tabel66892628[[#This Row],[VAT WW 2017]]+Tabel66892628[[#This Row],[Other ch. 2017]]+Tabel66892628[[#This Row],[VAT Other ch. 2017]]</f>
        <v>1105.885105885106</v>
      </c>
      <c r="T15" s="397"/>
      <c r="U15" s="1800">
        <f>MEDIAN(G15:G23)</f>
        <v>129.72192972192974</v>
      </c>
      <c r="V15" s="1802">
        <f>MEDIAN(H15:H23)</f>
        <v>336.16473616473621</v>
      </c>
      <c r="W15" s="1804">
        <f>MEDIAN(I15:I23)</f>
        <v>0</v>
      </c>
      <c r="X15" s="1771">
        <f>MEDIAN(J15:J23)</f>
        <v>0</v>
      </c>
      <c r="Y15" s="1806">
        <f>SUM(U15:X23)</f>
        <v>465.88666588666592</v>
      </c>
      <c r="Z15" s="1808">
        <f t="shared" ref="Z15:AF15" si="1">MEDIAN(L15:L23)</f>
        <v>455.52045552045553</v>
      </c>
      <c r="AA15" s="1771">
        <f t="shared" si="1"/>
        <v>0</v>
      </c>
      <c r="AB15" s="1780">
        <f t="shared" si="1"/>
        <v>0</v>
      </c>
      <c r="AC15" s="1771">
        <f t="shared" si="1"/>
        <v>0</v>
      </c>
      <c r="AD15" s="1784">
        <f t="shared" si="1"/>
        <v>0</v>
      </c>
      <c r="AE15" s="1771">
        <f t="shared" si="1"/>
        <v>0</v>
      </c>
      <c r="AF15" s="1787">
        <f t="shared" si="1"/>
        <v>0</v>
      </c>
      <c r="AG15" s="1790">
        <f>Y15+Z15+AA15+AB15+AC15+AD15+AE15</f>
        <v>921.40712140712139</v>
      </c>
      <c r="AH15" s="397"/>
      <c r="AI15" s="398"/>
      <c r="AJ15" s="591" t="s">
        <v>429</v>
      </c>
      <c r="AK15" s="398"/>
      <c r="AL15" s="396"/>
      <c r="AM15" s="591" t="s">
        <v>429</v>
      </c>
      <c r="AN15" s="396"/>
      <c r="AO15" s="398"/>
      <c r="AP15" s="397"/>
    </row>
    <row r="16" spans="1:42" ht="15.75" x14ac:dyDescent="0.25">
      <c r="A16" s="1796"/>
      <c r="B16" s="261" t="s">
        <v>177</v>
      </c>
      <c r="C16" s="261"/>
      <c r="D16" s="261" t="s">
        <v>1028</v>
      </c>
      <c r="E16" s="1760"/>
      <c r="F16" s="616">
        <f>'exchange rates'!$O$5</f>
        <v>1.2820499999999999</v>
      </c>
      <c r="G16" s="310"/>
      <c r="H16" s="311"/>
      <c r="I16" s="312"/>
      <c r="J16" s="558"/>
      <c r="K16" s="313">
        <f>Tabel66892628[[#This Row],[Fix.ch. 2017]]+Tabel66892628[[#This Row],[Var. ch. 2017]]+Tabel66892628[[#This Row],[Oth. ch. DW 2017]]+Tabel66892628[[#This Row],[VAT DW 2017]]</f>
        <v>0</v>
      </c>
      <c r="L16" s="314"/>
      <c r="M16" s="558"/>
      <c r="N16" s="315"/>
      <c r="O16" s="558"/>
      <c r="P16" s="316"/>
      <c r="Q16" s="558"/>
      <c r="R16" s="317">
        <f>Tabel66892628[[#This Row],[VAT DW 2017]]+Tabel66892628[[#This Row],[VAT Sew. 2017]]+Tabel66892628[[#This Row],[VAT WW 2017]]+Tabel66892628[[#This Row],[VAT Other ch. 2017]]</f>
        <v>0</v>
      </c>
      <c r="S16" s="318">
        <f>Tabel66892628[[#This Row],[Total. ch. DW 2017]]+Tabel66892628[[#This Row],[Sew. 2017]]+Tabel66892628[[#This Row],[VAT Sew. 2017]]+Tabel66892628[[#This Row],[WW 2017]]+Tabel66892628[[#This Row],[VAT WW 2017]]+Tabel66892628[[#This Row],[Other ch. 2017]]+Tabel66892628[[#This Row],[VAT Other ch. 2017]]</f>
        <v>0</v>
      </c>
      <c r="T16" s="397"/>
      <c r="U16" s="1763"/>
      <c r="V16" s="1766"/>
      <c r="W16" s="1769"/>
      <c r="X16" s="1783"/>
      <c r="Y16" s="1775"/>
      <c r="Z16" s="1778"/>
      <c r="AA16" s="1783"/>
      <c r="AB16" s="1781"/>
      <c r="AC16" s="1783"/>
      <c r="AD16" s="1785"/>
      <c r="AE16" s="1783"/>
      <c r="AF16" s="1788"/>
      <c r="AG16" s="1791"/>
      <c r="AH16" s="397"/>
      <c r="AI16" s="398"/>
      <c r="AJ16" s="398"/>
      <c r="AK16" s="398"/>
      <c r="AL16" s="396"/>
      <c r="AM16" s="396"/>
      <c r="AN16" s="396"/>
      <c r="AO16" s="398"/>
      <c r="AP16" s="397"/>
    </row>
    <row r="17" spans="1:42" ht="15.75" x14ac:dyDescent="0.25">
      <c r="A17" s="1796"/>
      <c r="B17" s="631" t="s">
        <v>178</v>
      </c>
      <c r="C17" s="631"/>
      <c r="D17" s="631" t="s">
        <v>1028</v>
      </c>
      <c r="E17" s="1760"/>
      <c r="F17" s="616">
        <f>'exchange rates'!$O$5</f>
        <v>1.2820499999999999</v>
      </c>
      <c r="G17" s="625">
        <f>166.31/F17</f>
        <v>129.72192972192974</v>
      </c>
      <c r="H17" s="593">
        <f>430.98/F17</f>
        <v>336.16473616473621</v>
      </c>
      <c r="I17" s="594">
        <v>0</v>
      </c>
      <c r="J17" s="595">
        <v>0</v>
      </c>
      <c r="K17" s="566">
        <f>Tabel66892628[[#This Row],[Fix.ch. 2017]]+Tabel66892628[[#This Row],[Var. ch. 2017]]+Tabel66892628[[#This Row],[Oth. ch. DW 2017]]+Tabel66892628[[#This Row],[VAT DW 2017]]</f>
        <v>465.88666588666592</v>
      </c>
      <c r="L17" s="596">
        <f>622.16/F17</f>
        <v>485.28528528528528</v>
      </c>
      <c r="M17" s="595">
        <v>0</v>
      </c>
      <c r="N17" s="626">
        <v>0</v>
      </c>
      <c r="O17" s="595">
        <v>0</v>
      </c>
      <c r="P17" s="597">
        <v>0</v>
      </c>
      <c r="Q17" s="595">
        <v>0</v>
      </c>
      <c r="R17" s="570">
        <f>Tabel66892628[[#This Row],[VAT DW 2017]]+Tabel66892628[[#This Row],[VAT Sew. 2017]]+Tabel66892628[[#This Row],[VAT WW 2017]]+Tabel66892628[[#This Row],[VAT Other ch. 2017]]</f>
        <v>0</v>
      </c>
      <c r="S17" s="571">
        <f>Tabel66892628[[#This Row],[Total. ch. DW 2017]]+Tabel66892628[[#This Row],[Sew. 2017]]+Tabel66892628[[#This Row],[VAT Sew. 2017]]+Tabel66892628[[#This Row],[WW 2017]]+Tabel66892628[[#This Row],[VAT WW 2017]]+Tabel66892628[[#This Row],[Other ch. 2017]]+Tabel66892628[[#This Row],[VAT Other ch. 2017]]</f>
        <v>951.17195117195115</v>
      </c>
      <c r="T17" s="397"/>
      <c r="U17" s="1763"/>
      <c r="V17" s="1766"/>
      <c r="W17" s="1769"/>
      <c r="X17" s="1783"/>
      <c r="Y17" s="1775"/>
      <c r="Z17" s="1778"/>
      <c r="AA17" s="1783"/>
      <c r="AB17" s="1781"/>
      <c r="AC17" s="1783"/>
      <c r="AD17" s="1785"/>
      <c r="AE17" s="1783"/>
      <c r="AF17" s="1788"/>
      <c r="AG17" s="1791"/>
      <c r="AH17" s="397"/>
      <c r="AI17" s="398"/>
      <c r="AJ17" s="591" t="s">
        <v>429</v>
      </c>
      <c r="AK17" s="398"/>
      <c r="AL17" s="396"/>
      <c r="AM17" s="591" t="s">
        <v>429</v>
      </c>
      <c r="AN17" s="396"/>
      <c r="AO17" s="398"/>
      <c r="AP17" s="397"/>
    </row>
    <row r="18" spans="1:42" ht="15.75" x14ac:dyDescent="0.25">
      <c r="A18" s="1796"/>
      <c r="B18" s="631" t="s">
        <v>179</v>
      </c>
      <c r="C18" s="631"/>
      <c r="D18" s="631" t="s">
        <v>1028</v>
      </c>
      <c r="E18" s="1760"/>
      <c r="F18" s="616">
        <f>'exchange rates'!$O$5</f>
        <v>1.2820499999999999</v>
      </c>
      <c r="G18" s="625">
        <f>236.32/F18</f>
        <v>184.32978432978433</v>
      </c>
      <c r="H18" s="593">
        <f>342.6/F18</f>
        <v>267.22826722826727</v>
      </c>
      <c r="I18" s="594">
        <v>0</v>
      </c>
      <c r="J18" s="595">
        <v>0</v>
      </c>
      <c r="K18" s="566">
        <f>Tabel66892628[[#This Row],[Fix.ch. 2017]]+Tabel66892628[[#This Row],[Var. ch. 2017]]+Tabel66892628[[#This Row],[Oth. ch. DW 2017]]+Tabel66892628[[#This Row],[VAT DW 2017]]</f>
        <v>451.5580515580516</v>
      </c>
      <c r="L18" s="596">
        <f>758/F18</f>
        <v>591.24059124059124</v>
      </c>
      <c r="M18" s="595">
        <v>0</v>
      </c>
      <c r="N18" s="626">
        <v>0</v>
      </c>
      <c r="O18" s="595">
        <v>0</v>
      </c>
      <c r="P18" s="597">
        <v>0</v>
      </c>
      <c r="Q18" s="595">
        <v>0</v>
      </c>
      <c r="R18" s="570">
        <f>Tabel66892628[[#This Row],[VAT DW 2017]]+Tabel66892628[[#This Row],[VAT Sew. 2017]]+Tabel66892628[[#This Row],[VAT WW 2017]]+Tabel66892628[[#This Row],[VAT Other ch. 2017]]</f>
        <v>0</v>
      </c>
      <c r="S18" s="571">
        <f>Tabel66892628[[#This Row],[Total. ch. DW 2017]]+Tabel66892628[[#This Row],[Sew. 2017]]+Tabel66892628[[#This Row],[VAT Sew. 2017]]+Tabel66892628[[#This Row],[WW 2017]]+Tabel66892628[[#This Row],[VAT WW 2017]]+Tabel66892628[[#This Row],[Other ch. 2017]]+Tabel66892628[[#This Row],[VAT Other ch. 2017]]</f>
        <v>1042.798642798643</v>
      </c>
      <c r="T18" s="397"/>
      <c r="U18" s="1763"/>
      <c r="V18" s="1766"/>
      <c r="W18" s="1769"/>
      <c r="X18" s="1783"/>
      <c r="Y18" s="1775"/>
      <c r="Z18" s="1778"/>
      <c r="AA18" s="1783"/>
      <c r="AB18" s="1781"/>
      <c r="AC18" s="1783"/>
      <c r="AD18" s="1785"/>
      <c r="AE18" s="1783"/>
      <c r="AF18" s="1788"/>
      <c r="AG18" s="1791"/>
      <c r="AH18" s="397"/>
      <c r="AI18" s="398"/>
      <c r="AJ18" s="591" t="s">
        <v>429</v>
      </c>
      <c r="AK18" s="398"/>
      <c r="AL18" s="396"/>
      <c r="AM18" s="591" t="s">
        <v>429</v>
      </c>
      <c r="AN18" s="396"/>
      <c r="AO18" s="398"/>
      <c r="AP18" s="397"/>
    </row>
    <row r="19" spans="1:42" ht="15.75" x14ac:dyDescent="0.25">
      <c r="A19" s="1796"/>
      <c r="B19" s="631" t="s">
        <v>180</v>
      </c>
      <c r="C19" s="631"/>
      <c r="D19" s="631" t="s">
        <v>1028</v>
      </c>
      <c r="E19" s="1760"/>
      <c r="F19" s="616">
        <f>'exchange rates'!$O$5</f>
        <v>1.2820499999999999</v>
      </c>
      <c r="G19" s="625">
        <f>90/F19</f>
        <v>70.200070200070201</v>
      </c>
      <c r="H19" s="593">
        <f>400/F19</f>
        <v>312.00031200031202</v>
      </c>
      <c r="I19" s="594">
        <v>0</v>
      </c>
      <c r="J19" s="595">
        <v>0</v>
      </c>
      <c r="K19" s="566">
        <f>Tabel66892628[[#This Row],[Fix.ch. 2017]]+Tabel66892628[[#This Row],[Var. ch. 2017]]+Tabel66892628[[#This Row],[Oth. ch. DW 2017]]+Tabel66892628[[#This Row],[VAT DW 2017]]</f>
        <v>382.20038220038225</v>
      </c>
      <c r="L19" s="596">
        <f>584/F19</f>
        <v>455.52045552045553</v>
      </c>
      <c r="M19" s="595">
        <v>0</v>
      </c>
      <c r="N19" s="626">
        <v>0</v>
      </c>
      <c r="O19" s="595">
        <v>0</v>
      </c>
      <c r="P19" s="597">
        <v>0</v>
      </c>
      <c r="Q19" s="595">
        <v>0</v>
      </c>
      <c r="R19" s="570">
        <f>Tabel66892628[[#This Row],[VAT DW 2017]]+Tabel66892628[[#This Row],[VAT Sew. 2017]]+Tabel66892628[[#This Row],[VAT WW 2017]]+Tabel66892628[[#This Row],[VAT Other ch. 2017]]</f>
        <v>0</v>
      </c>
      <c r="S19" s="571">
        <f>Tabel66892628[[#This Row],[Total. ch. DW 2017]]+Tabel66892628[[#This Row],[Sew. 2017]]+Tabel66892628[[#This Row],[VAT Sew. 2017]]+Tabel66892628[[#This Row],[WW 2017]]+Tabel66892628[[#This Row],[VAT WW 2017]]+Tabel66892628[[#This Row],[Other ch. 2017]]+Tabel66892628[[#This Row],[VAT Other ch. 2017]]</f>
        <v>837.72083772083784</v>
      </c>
      <c r="T19" s="397"/>
      <c r="U19" s="1763"/>
      <c r="V19" s="1766"/>
      <c r="W19" s="1769"/>
      <c r="X19" s="1783"/>
      <c r="Y19" s="1775"/>
      <c r="Z19" s="1778"/>
      <c r="AA19" s="1783"/>
      <c r="AB19" s="1781"/>
      <c r="AC19" s="1783"/>
      <c r="AD19" s="1785"/>
      <c r="AE19" s="1783"/>
      <c r="AF19" s="1788"/>
      <c r="AG19" s="1791"/>
      <c r="AH19" s="397"/>
      <c r="AI19" s="398"/>
      <c r="AJ19" s="591" t="s">
        <v>429</v>
      </c>
      <c r="AK19" s="396"/>
      <c r="AL19" s="396"/>
      <c r="AM19" s="591" t="s">
        <v>429</v>
      </c>
      <c r="AN19" s="396"/>
      <c r="AO19" s="398"/>
      <c r="AP19" s="397"/>
    </row>
    <row r="20" spans="1:42" ht="15.75" x14ac:dyDescent="0.25">
      <c r="A20" s="1796"/>
      <c r="B20" s="631" t="s">
        <v>544</v>
      </c>
      <c r="C20" s="631" t="s">
        <v>429</v>
      </c>
      <c r="D20" s="631" t="s">
        <v>1028</v>
      </c>
      <c r="E20" s="1760"/>
      <c r="F20" s="616">
        <f>'exchange rates'!$O$5</f>
        <v>1.2820499999999999</v>
      </c>
      <c r="G20" s="625">
        <f>101.48/F20</f>
        <v>79.154479154479162</v>
      </c>
      <c r="H20" s="593">
        <f>522/F20</f>
        <v>407.1604071604072</v>
      </c>
      <c r="I20" s="594">
        <v>0</v>
      </c>
      <c r="J20" s="595">
        <v>0</v>
      </c>
      <c r="K20" s="566">
        <f>Tabel66892628[[#This Row],[Fix.ch. 2017]]+Tabel66892628[[#This Row],[Var. ch. 2017]]+Tabel66892628[[#This Row],[Oth. ch. DW 2017]]+Tabel66892628[[#This Row],[VAT DW 2017]]</f>
        <v>486.31488631488639</v>
      </c>
      <c r="L20" s="596">
        <f>529/F20</f>
        <v>412.62041262041265</v>
      </c>
      <c r="M20" s="595">
        <v>0</v>
      </c>
      <c r="N20" s="626">
        <v>0</v>
      </c>
      <c r="O20" s="595">
        <v>0</v>
      </c>
      <c r="P20" s="597">
        <v>0</v>
      </c>
      <c r="Q20" s="595">
        <v>0</v>
      </c>
      <c r="R20" s="570">
        <f>Tabel66892628[[#This Row],[VAT DW 2017]]+Tabel66892628[[#This Row],[VAT Sew. 2017]]+Tabel66892628[[#This Row],[VAT WW 2017]]+Tabel66892628[[#This Row],[VAT Other ch. 2017]]</f>
        <v>0</v>
      </c>
      <c r="S20" s="571">
        <f>Tabel66892628[[#This Row],[Total. ch. DW 2017]]+Tabel66892628[[#This Row],[Sew. 2017]]+Tabel66892628[[#This Row],[VAT Sew. 2017]]+Tabel66892628[[#This Row],[WW 2017]]+Tabel66892628[[#This Row],[VAT WW 2017]]+Tabel66892628[[#This Row],[Other ch. 2017]]+Tabel66892628[[#This Row],[VAT Other ch. 2017]]</f>
        <v>898.93529893529899</v>
      </c>
      <c r="T20" s="397"/>
      <c r="U20" s="1763"/>
      <c r="V20" s="1766"/>
      <c r="W20" s="1769"/>
      <c r="X20" s="1783"/>
      <c r="Y20" s="1775"/>
      <c r="Z20" s="1778"/>
      <c r="AA20" s="1783"/>
      <c r="AB20" s="1781"/>
      <c r="AC20" s="1783"/>
      <c r="AD20" s="1785"/>
      <c r="AE20" s="1783"/>
      <c r="AF20" s="1788"/>
      <c r="AG20" s="1791"/>
      <c r="AH20" s="397"/>
      <c r="AI20" s="396"/>
      <c r="AJ20" s="591" t="s">
        <v>429</v>
      </c>
      <c r="AK20" s="396"/>
      <c r="AL20" s="396"/>
      <c r="AM20" s="591" t="s">
        <v>429</v>
      </c>
      <c r="AN20" s="396"/>
      <c r="AO20" s="396"/>
      <c r="AP20" s="399"/>
    </row>
    <row r="21" spans="1:42" ht="15.75" x14ac:dyDescent="0.25">
      <c r="A21" s="1796"/>
      <c r="B21" s="261" t="s">
        <v>545</v>
      </c>
      <c r="C21" s="261"/>
      <c r="D21" s="261" t="s">
        <v>1028</v>
      </c>
      <c r="E21" s="1760"/>
      <c r="F21" s="616">
        <f>'exchange rates'!$O$5</f>
        <v>1.2820499999999999</v>
      </c>
      <c r="G21" s="310"/>
      <c r="H21" s="311"/>
      <c r="I21" s="312"/>
      <c r="J21" s="558"/>
      <c r="K21" s="313">
        <f>Tabel66892628[[#This Row],[Fix.ch. 2017]]+Tabel66892628[[#This Row],[Var. ch. 2017]]+Tabel66892628[[#This Row],[Oth. ch. DW 2017]]+Tabel66892628[[#This Row],[VAT DW 2017]]</f>
        <v>0</v>
      </c>
      <c r="L21" s="314"/>
      <c r="M21" s="558"/>
      <c r="N21" s="315"/>
      <c r="O21" s="558"/>
      <c r="P21" s="316"/>
      <c r="Q21" s="558"/>
      <c r="R21" s="317">
        <f>Tabel66892628[[#This Row],[VAT DW 2017]]+Tabel66892628[[#This Row],[VAT Sew. 2017]]+Tabel66892628[[#This Row],[VAT WW 2017]]+Tabel66892628[[#This Row],[VAT Other ch. 2017]]</f>
        <v>0</v>
      </c>
      <c r="S21" s="318">
        <f>Tabel66892628[[#This Row],[Total. ch. DW 2017]]+Tabel66892628[[#This Row],[Sew. 2017]]+Tabel66892628[[#This Row],[VAT Sew. 2017]]+Tabel66892628[[#This Row],[WW 2017]]+Tabel66892628[[#This Row],[VAT WW 2017]]+Tabel66892628[[#This Row],[Other ch. 2017]]+Tabel66892628[[#This Row],[VAT Other ch. 2017]]</f>
        <v>0</v>
      </c>
      <c r="T21" s="397"/>
      <c r="U21" s="1763"/>
      <c r="V21" s="1766"/>
      <c r="W21" s="1769"/>
      <c r="X21" s="1783"/>
      <c r="Y21" s="1775"/>
      <c r="Z21" s="1778"/>
      <c r="AA21" s="1783"/>
      <c r="AB21" s="1781"/>
      <c r="AC21" s="1783"/>
      <c r="AD21" s="1785"/>
      <c r="AE21" s="1783"/>
      <c r="AF21" s="1788"/>
      <c r="AG21" s="1791"/>
      <c r="AH21" s="397"/>
      <c r="AI21" s="396"/>
      <c r="AJ21" s="396"/>
      <c r="AK21" s="396"/>
      <c r="AL21" s="396"/>
      <c r="AM21" s="396"/>
      <c r="AN21" s="396"/>
      <c r="AO21" s="396"/>
      <c r="AP21" s="399"/>
    </row>
    <row r="22" spans="1:42" ht="15.75" x14ac:dyDescent="0.25">
      <c r="A22" s="1796"/>
      <c r="B22" s="261" t="s">
        <v>779</v>
      </c>
      <c r="C22" s="261"/>
      <c r="D22" s="261" t="s">
        <v>1028</v>
      </c>
      <c r="E22" s="1760"/>
      <c r="F22" s="616">
        <f>'exchange rates'!$O$5</f>
        <v>1.2820499999999999</v>
      </c>
      <c r="G22" s="310"/>
      <c r="H22" s="311"/>
      <c r="I22" s="312"/>
      <c r="J22" s="558"/>
      <c r="K22" s="313">
        <f>Tabel66892628[[#This Row],[Fix.ch. 2017]]+Tabel66892628[[#This Row],[Var. ch. 2017]]+Tabel66892628[[#This Row],[Oth. ch. DW 2017]]+Tabel66892628[[#This Row],[VAT DW 2017]]</f>
        <v>0</v>
      </c>
      <c r="L22" s="314"/>
      <c r="M22" s="558"/>
      <c r="N22" s="315"/>
      <c r="O22" s="558"/>
      <c r="P22" s="316"/>
      <c r="Q22" s="558"/>
      <c r="R22" s="317">
        <f>Tabel66892628[[#This Row],[VAT DW 2017]]+Tabel66892628[[#This Row],[VAT Sew. 2017]]+Tabel66892628[[#This Row],[VAT WW 2017]]+Tabel66892628[[#This Row],[VAT Other ch. 2017]]</f>
        <v>0</v>
      </c>
      <c r="S22" s="318">
        <f>Tabel66892628[[#This Row],[Total. ch. DW 2017]]+Tabel66892628[[#This Row],[Sew. 2017]]+Tabel66892628[[#This Row],[VAT Sew. 2017]]+Tabel66892628[[#This Row],[WW 2017]]+Tabel66892628[[#This Row],[VAT WW 2017]]+Tabel66892628[[#This Row],[Other ch. 2017]]+Tabel66892628[[#This Row],[VAT Other ch. 2017]]</f>
        <v>0</v>
      </c>
      <c r="T22" s="397"/>
      <c r="U22" s="1763"/>
      <c r="V22" s="1766"/>
      <c r="W22" s="1769"/>
      <c r="X22" s="1783"/>
      <c r="Y22" s="1775"/>
      <c r="Z22" s="1778"/>
      <c r="AA22" s="1783"/>
      <c r="AB22" s="1781"/>
      <c r="AC22" s="1783"/>
      <c r="AD22" s="1785"/>
      <c r="AE22" s="1783"/>
      <c r="AF22" s="1788"/>
      <c r="AG22" s="1791"/>
      <c r="AH22" s="397"/>
      <c r="AI22" s="396"/>
      <c r="AJ22" s="396"/>
      <c r="AK22" s="396"/>
      <c r="AL22" s="396"/>
      <c r="AM22" s="396"/>
      <c r="AN22" s="396"/>
      <c r="AO22" s="396"/>
      <c r="AP22" s="399"/>
    </row>
    <row r="23" spans="1:42" ht="16.5" thickBot="1" x14ac:dyDescent="0.3">
      <c r="A23" s="1797"/>
      <c r="B23" s="262" t="s">
        <v>546</v>
      </c>
      <c r="C23" s="261"/>
      <c r="D23" s="261" t="s">
        <v>1028</v>
      </c>
      <c r="E23" s="1799"/>
      <c r="F23" s="616">
        <f>'exchange rates'!$O$5</f>
        <v>1.2820499999999999</v>
      </c>
      <c r="G23" s="310"/>
      <c r="H23" s="311"/>
      <c r="I23" s="312"/>
      <c r="J23" s="558"/>
      <c r="K23" s="313">
        <f>Tabel66892628[[#This Row],[Fix.ch. 2017]]+Tabel66892628[[#This Row],[Var. ch. 2017]]+Tabel66892628[[#This Row],[Oth. ch. DW 2017]]+Tabel66892628[[#This Row],[VAT DW 2017]]</f>
        <v>0</v>
      </c>
      <c r="L23" s="314"/>
      <c r="M23" s="558"/>
      <c r="N23" s="315"/>
      <c r="O23" s="558"/>
      <c r="P23" s="316"/>
      <c r="Q23" s="558"/>
      <c r="R23" s="317">
        <f>Tabel66892628[[#This Row],[VAT DW 2017]]+Tabel66892628[[#This Row],[VAT Sew. 2017]]+Tabel66892628[[#This Row],[VAT WW 2017]]+Tabel66892628[[#This Row],[VAT Other ch. 2017]]</f>
        <v>0</v>
      </c>
      <c r="S23" s="318">
        <f>Tabel66892628[[#This Row],[Total. ch. DW 2017]]+Tabel66892628[[#This Row],[Sew. 2017]]+Tabel66892628[[#This Row],[VAT Sew. 2017]]+Tabel66892628[[#This Row],[WW 2017]]+Tabel66892628[[#This Row],[VAT WW 2017]]+Tabel66892628[[#This Row],[Other ch. 2017]]+Tabel66892628[[#This Row],[VAT Other ch. 2017]]</f>
        <v>0</v>
      </c>
      <c r="T23" s="397"/>
      <c r="U23" s="1801"/>
      <c r="V23" s="1803"/>
      <c r="W23" s="1805"/>
      <c r="X23" s="1773"/>
      <c r="Y23" s="1807"/>
      <c r="Z23" s="1809"/>
      <c r="AA23" s="1773"/>
      <c r="AB23" s="1782"/>
      <c r="AC23" s="1773"/>
      <c r="AD23" s="1786"/>
      <c r="AE23" s="1773"/>
      <c r="AF23" s="1789"/>
      <c r="AG23" s="1792"/>
      <c r="AH23" s="397"/>
      <c r="AI23" s="396"/>
      <c r="AJ23" s="396"/>
      <c r="AK23" s="396"/>
      <c r="AL23" s="396"/>
      <c r="AM23" s="396"/>
      <c r="AN23" s="396"/>
      <c r="AO23" s="396"/>
      <c r="AP23" s="399"/>
    </row>
    <row r="24" spans="1:42" ht="15.75" customHeight="1" x14ac:dyDescent="0.25">
      <c r="A24" s="1795" t="s">
        <v>4</v>
      </c>
      <c r="B24" s="724" t="s">
        <v>932</v>
      </c>
      <c r="C24" s="724"/>
      <c r="D24" s="806" t="s">
        <v>1030</v>
      </c>
      <c r="E24" s="1760">
        <v>49200</v>
      </c>
      <c r="F24" s="616">
        <f>'exchange rates'!O6</f>
        <v>0.83301000000000003</v>
      </c>
      <c r="G24" s="625">
        <f>36.66/F24</f>
        <v>44.009075521302258</v>
      </c>
      <c r="H24" s="593">
        <f>297.2/F24</f>
        <v>356.77843003085195</v>
      </c>
      <c r="I24" s="594">
        <v>0</v>
      </c>
      <c r="J24" s="595">
        <f>33.39/F24</f>
        <v>40.083552418338314</v>
      </c>
      <c r="K24" s="566">
        <f>Tabel66892628[[#This Row],[Fix.ch. 2017]]+Tabel66892628[[#This Row],[Var. ch. 2017]]+Tabel66892628[[#This Row],[Oth. ch. DW 2017]]+Tabel66892628[[#This Row],[VAT DW 2017]]</f>
        <v>440.87105797049253</v>
      </c>
      <c r="L24" s="596">
        <v>0</v>
      </c>
      <c r="M24" s="595">
        <v>0</v>
      </c>
      <c r="N24" s="626">
        <f>386.4/F24</f>
        <v>463.85997767133642</v>
      </c>
      <c r="O24" s="595">
        <f>38.64/F24</f>
        <v>46.385997767133645</v>
      </c>
      <c r="P24" s="597">
        <v>0</v>
      </c>
      <c r="Q24" s="595">
        <v>0</v>
      </c>
      <c r="R24" s="570">
        <f>Tabel66892628[[#This Row],[VAT DW 2017]]+Tabel66892628[[#This Row],[VAT Sew. 2017]]+Tabel66892628[[#This Row],[VAT WW 2017]]+Tabel66892628[[#This Row],[VAT Other ch. 2017]]</f>
        <v>86.469550185471959</v>
      </c>
      <c r="S24" s="571">
        <f>Tabel66892628[[#This Row],[Total. ch. DW 2017]]+Tabel66892628[[#This Row],[Sew. 2017]]+Tabel66892628[[#This Row],[VAT Sew. 2017]]+Tabel66892628[[#This Row],[WW 2017]]+Tabel66892628[[#This Row],[VAT WW 2017]]+Tabel66892628[[#This Row],[Other ch. 2017]]+Tabel66892628[[#This Row],[VAT Other ch. 2017]]</f>
        <v>951.11703340896258</v>
      </c>
      <c r="T24" s="397"/>
      <c r="U24" s="1824">
        <f>Tabel66892628[[#This Row],[Fix.ch. 2017]]</f>
        <v>44.009075521302258</v>
      </c>
      <c r="V24" s="1825">
        <f>Tabel66892628[[#This Row],[Var. ch. 2017]]</f>
        <v>356.77843003085195</v>
      </c>
      <c r="W24" s="1826">
        <f>Tabel66892628[[#This Row],[Oth. ch. DW 2017]]</f>
        <v>0</v>
      </c>
      <c r="X24" s="1771">
        <f>Tabel66892628[[#This Row],[VAT DW 2017]]</f>
        <v>40.083552418338314</v>
      </c>
      <c r="Y24" s="1827">
        <f>Tabel66892628[[#This Row],[Total. ch. DW 2017]]</f>
        <v>440.87105797049253</v>
      </c>
      <c r="Z24" s="1828">
        <f>L24</f>
        <v>0</v>
      </c>
      <c r="AA24" s="1771">
        <f>Tabel66892628[[#This Row],[VAT Sew. 2017]]</f>
        <v>0</v>
      </c>
      <c r="AB24" s="1829">
        <f>Tabel66892628[[#This Row],[WW 2017]]</f>
        <v>463.85997767133642</v>
      </c>
      <c r="AC24" s="1771">
        <f>Tabel66892628[[#This Row],[VAT WW 2017]]</f>
        <v>46.385997767133645</v>
      </c>
      <c r="AD24" s="1830">
        <f>Tabel66892628[[#This Row],[Other ch. 2017]]</f>
        <v>0</v>
      </c>
      <c r="AE24" s="1771">
        <f>Tabel66892628[[#This Row],[VAT Other ch. 2017]]</f>
        <v>0</v>
      </c>
      <c r="AF24" s="1816">
        <f>Tabel66892628[[#This Row],[Total VAT 2017]]</f>
        <v>86.469550185471959</v>
      </c>
      <c r="AG24" s="1817">
        <f>Y24+Z24+AA24+AB24+AC24+AD24+AE24</f>
        <v>951.11703340896258</v>
      </c>
      <c r="AH24" s="397"/>
      <c r="AI24" s="398"/>
      <c r="AJ24" s="591" t="s">
        <v>429</v>
      </c>
      <c r="AK24" s="614"/>
      <c r="AL24" s="614"/>
      <c r="AM24" s="591" t="s">
        <v>429</v>
      </c>
      <c r="AN24" s="591" t="s">
        <v>429</v>
      </c>
      <c r="AO24" s="398"/>
      <c r="AP24" s="397"/>
    </row>
    <row r="25" spans="1:42" ht="15.75" customHeight="1" x14ac:dyDescent="0.25">
      <c r="A25" s="1796"/>
      <c r="B25" s="452" t="s">
        <v>60</v>
      </c>
      <c r="C25" s="452"/>
      <c r="D25" s="452" t="s">
        <v>1030</v>
      </c>
      <c r="E25" s="1760"/>
      <c r="F25" s="306">
        <f>'exchange rates'!K6</f>
        <v>0.72762000000000004</v>
      </c>
      <c r="G25" s="310">
        <f>17.52/F25</f>
        <v>24.078502515049063</v>
      </c>
      <c r="H25" s="311">
        <f>262/F25</f>
        <v>360.07806272504877</v>
      </c>
      <c r="I25" s="312">
        <v>0</v>
      </c>
      <c r="J25" s="558"/>
      <c r="K25" s="313">
        <f>Tabel66892628[[#This Row],[Fix.ch. 2017]]+Tabel66892628[[#This Row],[Var. ch. 2017]]+Tabel66892628[[#This Row],[Oth. ch. DW 2017]]+Tabel66892628[[#This Row],[VAT DW 2017]]</f>
        <v>384.15656524009785</v>
      </c>
      <c r="L25" s="314">
        <v>0</v>
      </c>
      <c r="M25" s="558"/>
      <c r="N25" s="315">
        <f>382.6/F25</f>
        <v>525.82391907863996</v>
      </c>
      <c r="O25" s="558"/>
      <c r="P25" s="316">
        <v>0</v>
      </c>
      <c r="Q25" s="558"/>
      <c r="R25" s="317">
        <f>Tabel66892628[[#This Row],[VAT DW 2017]]+Tabel66892628[[#This Row],[VAT Sew. 2017]]+Tabel66892628[[#This Row],[VAT WW 2017]]+Tabel66892628[[#This Row],[VAT Other ch. 2017]]</f>
        <v>0</v>
      </c>
      <c r="S25" s="318">
        <f>Tabel66892628[[#This Row],[Total. ch. DW 2017]]+Tabel66892628[[#This Row],[Sew. 2017]]+Tabel66892628[[#This Row],[VAT Sew. 2017]]+Tabel66892628[[#This Row],[WW 2017]]+Tabel66892628[[#This Row],[VAT WW 2017]]+Tabel66892628[[#This Row],[Other ch. 2017]]+Tabel66892628[[#This Row],[VAT Other ch. 2017]]</f>
        <v>909.98048431873781</v>
      </c>
      <c r="T25" s="397"/>
      <c r="U25" s="1763"/>
      <c r="V25" s="1766"/>
      <c r="W25" s="1769"/>
      <c r="X25" s="1772"/>
      <c r="Y25" s="1775"/>
      <c r="Z25" s="1778"/>
      <c r="AA25" s="1772"/>
      <c r="AB25" s="1781"/>
      <c r="AC25" s="1772"/>
      <c r="AD25" s="1785"/>
      <c r="AE25" s="1772"/>
      <c r="AF25" s="1788"/>
      <c r="AG25" s="1791"/>
      <c r="AH25" s="397"/>
      <c r="AI25" s="398"/>
      <c r="AJ25" s="396" t="s">
        <v>429</v>
      </c>
      <c r="AK25" s="398"/>
      <c r="AL25" s="398"/>
      <c r="AM25" s="396" t="s">
        <v>429</v>
      </c>
      <c r="AN25" s="396"/>
      <c r="AO25" s="398"/>
      <c r="AP25" s="397"/>
    </row>
    <row r="26" spans="1:42" ht="15.75" customHeight="1" x14ac:dyDescent="0.25">
      <c r="A26" s="1796"/>
      <c r="B26" s="452" t="s">
        <v>61</v>
      </c>
      <c r="C26" s="452"/>
      <c r="D26" s="452" t="s">
        <v>1030</v>
      </c>
      <c r="E26" s="1760"/>
      <c r="F26" s="306">
        <f>'exchange rates'!K6</f>
        <v>0.72762000000000004</v>
      </c>
      <c r="G26" s="310">
        <f>62.59/F26</f>
        <v>86.020175366262606</v>
      </c>
      <c r="H26" s="311">
        <f>165.58/F26</f>
        <v>227.5638382672274</v>
      </c>
      <c r="I26" s="312">
        <v>0</v>
      </c>
      <c r="J26" s="558"/>
      <c r="K26" s="313">
        <f>Tabel66892628[[#This Row],[Fix.ch. 2017]]+Tabel66892628[[#This Row],[Var. ch. 2017]]+Tabel66892628[[#This Row],[Oth. ch. DW 2017]]+Tabel66892628[[#This Row],[VAT DW 2017]]</f>
        <v>313.58401363349003</v>
      </c>
      <c r="L26" s="314">
        <f>0</f>
        <v>0</v>
      </c>
      <c r="M26" s="558"/>
      <c r="N26" s="315">
        <f>192.04/F26</f>
        <v>263.92897391495558</v>
      </c>
      <c r="O26" s="558"/>
      <c r="P26" s="316">
        <v>0</v>
      </c>
      <c r="Q26" s="558"/>
      <c r="R26" s="317">
        <f>Tabel66892628[[#This Row],[VAT DW 2017]]+Tabel66892628[[#This Row],[VAT Sew. 2017]]+Tabel66892628[[#This Row],[VAT WW 2017]]+Tabel66892628[[#This Row],[VAT Other ch. 2017]]</f>
        <v>0</v>
      </c>
      <c r="S26" s="318">
        <f>Tabel66892628[[#This Row],[Total. ch. DW 2017]]+Tabel66892628[[#This Row],[Sew. 2017]]+Tabel66892628[[#This Row],[VAT Sew. 2017]]+Tabel66892628[[#This Row],[WW 2017]]+Tabel66892628[[#This Row],[VAT WW 2017]]+Tabel66892628[[#This Row],[Other ch. 2017]]+Tabel66892628[[#This Row],[VAT Other ch. 2017]]</f>
        <v>577.51298754844561</v>
      </c>
      <c r="T26" s="397"/>
      <c r="U26" s="1763"/>
      <c r="V26" s="1766"/>
      <c r="W26" s="1769"/>
      <c r="X26" s="1772"/>
      <c r="Y26" s="1775"/>
      <c r="Z26" s="1778"/>
      <c r="AA26" s="1772"/>
      <c r="AB26" s="1781"/>
      <c r="AC26" s="1772"/>
      <c r="AD26" s="1785"/>
      <c r="AE26" s="1772"/>
      <c r="AF26" s="1788"/>
      <c r="AG26" s="1791"/>
      <c r="AH26" s="397"/>
      <c r="AI26" s="398"/>
      <c r="AJ26" s="396" t="s">
        <v>429</v>
      </c>
      <c r="AK26" s="398"/>
      <c r="AL26" s="398"/>
      <c r="AM26" s="396" t="s">
        <v>429</v>
      </c>
      <c r="AN26" s="396"/>
      <c r="AO26" s="398"/>
      <c r="AP26" s="397"/>
    </row>
    <row r="27" spans="1:42" ht="16.5" customHeight="1" x14ac:dyDescent="0.25">
      <c r="A27" s="1796"/>
      <c r="B27" s="452" t="s">
        <v>62</v>
      </c>
      <c r="C27" s="452"/>
      <c r="D27" s="452" t="s">
        <v>1030</v>
      </c>
      <c r="E27" s="1760"/>
      <c r="F27" s="306">
        <f>'exchange rates'!K6</f>
        <v>0.72762000000000004</v>
      </c>
      <c r="G27" s="310">
        <f>23.4/F27</f>
        <v>32.159643770099777</v>
      </c>
      <c r="H27" s="311">
        <f>293.62/F27</f>
        <v>403.53481212720925</v>
      </c>
      <c r="I27" s="312">
        <v>0</v>
      </c>
      <c r="J27" s="558"/>
      <c r="K27" s="313">
        <f>Tabel66892628[[#This Row],[Fix.ch. 2017]]+Tabel66892628[[#This Row],[Var. ch. 2017]]+Tabel66892628[[#This Row],[Oth. ch. DW 2017]]+Tabel66892628[[#This Row],[VAT DW 2017]]</f>
        <v>435.69445589730901</v>
      </c>
      <c r="L27" s="314">
        <v>0</v>
      </c>
      <c r="M27" s="558"/>
      <c r="N27" s="315">
        <f>496/F27</f>
        <v>681.67450042604651</v>
      </c>
      <c r="O27" s="558"/>
      <c r="P27" s="316">
        <v>0</v>
      </c>
      <c r="Q27" s="558"/>
      <c r="R27" s="317">
        <f>Tabel66892628[[#This Row],[VAT DW 2017]]+Tabel66892628[[#This Row],[VAT Sew. 2017]]+Tabel66892628[[#This Row],[VAT WW 2017]]+Tabel66892628[[#This Row],[VAT Other ch. 2017]]</f>
        <v>0</v>
      </c>
      <c r="S27" s="318">
        <f>Tabel66892628[[#This Row],[Total. ch. DW 2017]]+Tabel66892628[[#This Row],[Sew. 2017]]+Tabel66892628[[#This Row],[VAT Sew. 2017]]+Tabel66892628[[#This Row],[WW 2017]]+Tabel66892628[[#This Row],[VAT WW 2017]]+Tabel66892628[[#This Row],[Other ch. 2017]]+Tabel66892628[[#This Row],[VAT Other ch. 2017]]</f>
        <v>1117.3689563233556</v>
      </c>
      <c r="T27" s="397"/>
      <c r="U27" s="1763"/>
      <c r="V27" s="1766"/>
      <c r="W27" s="1769"/>
      <c r="X27" s="1772"/>
      <c r="Y27" s="1775"/>
      <c r="Z27" s="1778"/>
      <c r="AA27" s="1772"/>
      <c r="AB27" s="1781"/>
      <c r="AC27" s="1772"/>
      <c r="AD27" s="1785"/>
      <c r="AE27" s="1772"/>
      <c r="AF27" s="1788"/>
      <c r="AG27" s="1791"/>
      <c r="AH27" s="397"/>
      <c r="AI27" s="398"/>
      <c r="AJ27" s="396" t="s">
        <v>429</v>
      </c>
      <c r="AK27" s="398"/>
      <c r="AL27" s="398"/>
      <c r="AM27" s="396" t="s">
        <v>429</v>
      </c>
      <c r="AN27" s="396"/>
      <c r="AO27" s="398"/>
      <c r="AP27" s="397"/>
    </row>
    <row r="28" spans="1:42" ht="16.5" customHeight="1" thickBot="1" x14ac:dyDescent="0.3">
      <c r="A28" s="1797"/>
      <c r="B28" s="453" t="s">
        <v>63</v>
      </c>
      <c r="C28" s="801" t="s">
        <v>429</v>
      </c>
      <c r="D28" s="801" t="s">
        <v>1030</v>
      </c>
      <c r="E28" s="1799"/>
      <c r="F28" s="306">
        <f>'exchange rates'!K6</f>
        <v>0.72762000000000004</v>
      </c>
      <c r="G28" s="310">
        <f>21.72/F28</f>
        <v>29.850746268656714</v>
      </c>
      <c r="H28" s="311">
        <f>311.4/F28</f>
        <v>427.97064401748162</v>
      </c>
      <c r="I28" s="312">
        <v>0</v>
      </c>
      <c r="J28" s="558"/>
      <c r="K28" s="313">
        <f>Tabel66892628[[#This Row],[Fix.ch. 2017]]+Tabel66892628[[#This Row],[Var. ch. 2017]]+Tabel66892628[[#This Row],[Oth. ch. DW 2017]]+Tabel66892628[[#This Row],[VAT DW 2017]]</f>
        <v>457.82139028613835</v>
      </c>
      <c r="L28" s="314">
        <v>0</v>
      </c>
      <c r="M28" s="558"/>
      <c r="N28" s="315">
        <f>354.6/F28</f>
        <v>487.34229405458893</v>
      </c>
      <c r="O28" s="558"/>
      <c r="P28" s="316">
        <v>0</v>
      </c>
      <c r="Q28" s="558"/>
      <c r="R28" s="317">
        <f>Tabel66892628[[#This Row],[VAT DW 2017]]+Tabel66892628[[#This Row],[VAT Sew. 2017]]+Tabel66892628[[#This Row],[VAT WW 2017]]+Tabel66892628[[#This Row],[VAT Other ch. 2017]]</f>
        <v>0</v>
      </c>
      <c r="S28" s="318">
        <f>Tabel66892628[[#This Row],[Total. ch. DW 2017]]+Tabel66892628[[#This Row],[Sew. 2017]]+Tabel66892628[[#This Row],[VAT Sew. 2017]]+Tabel66892628[[#This Row],[WW 2017]]+Tabel66892628[[#This Row],[VAT WW 2017]]+Tabel66892628[[#This Row],[Other ch. 2017]]+Tabel66892628[[#This Row],[VAT Other ch. 2017]]</f>
        <v>945.16368434072729</v>
      </c>
      <c r="T28" s="397"/>
      <c r="U28" s="1801"/>
      <c r="V28" s="1803"/>
      <c r="W28" s="1805"/>
      <c r="X28" s="1773"/>
      <c r="Y28" s="1807"/>
      <c r="Z28" s="1809"/>
      <c r="AA28" s="1773"/>
      <c r="AB28" s="1782"/>
      <c r="AC28" s="1773"/>
      <c r="AD28" s="1786"/>
      <c r="AE28" s="1773"/>
      <c r="AF28" s="1789"/>
      <c r="AG28" s="1792"/>
      <c r="AH28" s="397"/>
      <c r="AI28" s="398"/>
      <c r="AJ28" s="396" t="s">
        <v>429</v>
      </c>
      <c r="AK28" s="398"/>
      <c r="AL28" s="398"/>
      <c r="AM28" s="396" t="s">
        <v>429</v>
      </c>
      <c r="AN28" s="396"/>
      <c r="AO28" s="398"/>
      <c r="AP28" s="397"/>
    </row>
    <row r="29" spans="1:42" ht="15.75" customHeight="1" x14ac:dyDescent="0.25">
      <c r="A29" s="1818" t="s">
        <v>6</v>
      </c>
      <c r="B29" s="735" t="s">
        <v>67</v>
      </c>
      <c r="C29" s="802"/>
      <c r="D29" s="802" t="s">
        <v>1032</v>
      </c>
      <c r="E29" s="1821">
        <v>46300</v>
      </c>
      <c r="F29" s="616">
        <f>'exchange rates'!$O$7</f>
        <v>0.83301000000000003</v>
      </c>
      <c r="G29" s="625">
        <v>0</v>
      </c>
      <c r="H29" s="593">
        <f>345.08/F29</f>
        <v>414.25673161186535</v>
      </c>
      <c r="I29" s="594">
        <v>0</v>
      </c>
      <c r="J29" s="595">
        <f>20.7/F29</f>
        <v>24.849641660964451</v>
      </c>
      <c r="K29" s="566">
        <f>Tabel66892628[[#This Row],[Fix.ch. 2017]]+Tabel66892628[[#This Row],[Var. ch. 2017]]+Tabel66892628[[#This Row],[Oth. ch. DW 2017]]+Tabel66892628[[#This Row],[VAT DW 2017]]</f>
        <v>439.10637327282979</v>
      </c>
      <c r="L29" s="596">
        <f>265.28/F29</f>
        <v>318.4595623101763</v>
      </c>
      <c r="M29" s="595">
        <f>15.92/F29</f>
        <v>19.111415229108893</v>
      </c>
      <c r="N29" s="626">
        <f>189.48/F29</f>
        <v>227.46425613137896</v>
      </c>
      <c r="O29" s="595">
        <f>11.37/F29</f>
        <v>13.649295926819605</v>
      </c>
      <c r="P29" s="597">
        <v>0</v>
      </c>
      <c r="Q29" s="595">
        <v>0</v>
      </c>
      <c r="R29" s="570">
        <f>Tabel66892628[[#This Row],[VAT DW 2017]]+Tabel66892628[[#This Row],[VAT Sew. 2017]]+Tabel66892628[[#This Row],[VAT WW 2017]]+Tabel66892628[[#This Row],[VAT Other ch. 2017]]</f>
        <v>57.610352816892949</v>
      </c>
      <c r="S29" s="571">
        <f>Tabel66892628[[#This Row],[Total. ch. DW 2017]]+Tabel66892628[[#This Row],[Sew. 2017]]+Tabel66892628[[#This Row],[VAT Sew. 2017]]+Tabel66892628[[#This Row],[WW 2017]]+Tabel66892628[[#This Row],[VAT WW 2017]]+Tabel66892628[[#This Row],[Other ch. 2017]]+Tabel66892628[[#This Row],[VAT Other ch. 2017]]</f>
        <v>1017.7909028703135</v>
      </c>
      <c r="T29" s="397"/>
      <c r="U29" s="1824">
        <f>MEDIAN(G29:G36)</f>
        <v>0</v>
      </c>
      <c r="V29" s="1825">
        <f>MEDIAN(H29:H36)</f>
        <v>466.14686498361357</v>
      </c>
      <c r="W29" s="1826">
        <f>MEDIAN(I29:I36)</f>
        <v>0</v>
      </c>
      <c r="X29" s="1771">
        <f>MEDIAN(J29:J36)</f>
        <v>27.964850361940432</v>
      </c>
      <c r="Y29" s="1827">
        <f>SUM(U29:X36)</f>
        <v>494.11171534555399</v>
      </c>
      <c r="Z29" s="1828">
        <f t="shared" ref="Z29:AF29" si="2">MEDIAN(L29:L36)</f>
        <v>293.4598624266215</v>
      </c>
      <c r="AA29" s="1771">
        <f t="shared" si="2"/>
        <v>17.610833003205244</v>
      </c>
      <c r="AB29" s="1829">
        <f t="shared" si="2"/>
        <v>238.83866940372866</v>
      </c>
      <c r="AC29" s="1771">
        <f t="shared" si="2"/>
        <v>14.33356142183167</v>
      </c>
      <c r="AD29" s="1830">
        <f t="shared" si="2"/>
        <v>0</v>
      </c>
      <c r="AE29" s="1771">
        <f t="shared" si="2"/>
        <v>0</v>
      </c>
      <c r="AF29" s="1816">
        <f t="shared" si="2"/>
        <v>58.06052748466405</v>
      </c>
      <c r="AG29" s="1817">
        <f>Y29+Z29+AA29+AB29+AC29+AD29+AE29</f>
        <v>1058.3546416009412</v>
      </c>
      <c r="AH29" s="397"/>
      <c r="AI29" s="398"/>
      <c r="AJ29" s="398"/>
      <c r="AK29" s="398"/>
      <c r="AL29" s="591" t="s">
        <v>429</v>
      </c>
      <c r="AM29" s="591" t="s">
        <v>429</v>
      </c>
      <c r="AN29" s="614"/>
      <c r="AO29" s="398"/>
      <c r="AP29" s="397"/>
    </row>
    <row r="30" spans="1:42" ht="15.75" customHeight="1" x14ac:dyDescent="0.25">
      <c r="A30" s="1819"/>
      <c r="B30" s="685" t="s">
        <v>71</v>
      </c>
      <c r="C30" s="802"/>
      <c r="D30" s="802" t="s">
        <v>1032</v>
      </c>
      <c r="E30" s="1822"/>
      <c r="F30" s="616">
        <f>'exchange rates'!$O$7</f>
        <v>0.83301000000000003</v>
      </c>
      <c r="G30" s="625">
        <f>0/F30</f>
        <v>0</v>
      </c>
      <c r="H30" s="593">
        <f>295.61/F30</f>
        <v>354.86968943950251</v>
      </c>
      <c r="I30" s="594">
        <v>0</v>
      </c>
      <c r="J30" s="595">
        <f>17.74/F30</f>
        <v>21.296262950024605</v>
      </c>
      <c r="K30" s="566">
        <f>Tabel66892628[[#This Row],[Fix.ch. 2017]]+Tabel66892628[[#This Row],[Var. ch. 2017]]+Tabel66892628[[#This Row],[Oth. ch. DW 2017]]+Tabel66892628[[#This Row],[VAT DW 2017]]</f>
        <v>376.16595238952709</v>
      </c>
      <c r="L30" s="596">
        <f>223.63/F30</f>
        <v>268.4601625430667</v>
      </c>
      <c r="M30" s="595">
        <f>13.42/F30</f>
        <v>16.110250777301591</v>
      </c>
      <c r="N30" s="626">
        <f>208.43/F30</f>
        <v>250.21308267607833</v>
      </c>
      <c r="O30" s="595">
        <f>12.51/F30</f>
        <v>15.017826916843735</v>
      </c>
      <c r="P30" s="597">
        <v>0</v>
      </c>
      <c r="Q30" s="595">
        <v>0</v>
      </c>
      <c r="R30" s="570">
        <f>Tabel66892628[[#This Row],[VAT DW 2017]]+Tabel66892628[[#This Row],[VAT Sew. 2017]]+Tabel66892628[[#This Row],[VAT WW 2017]]+Tabel66892628[[#This Row],[VAT Other ch. 2017]]</f>
        <v>52.424340644169931</v>
      </c>
      <c r="S30" s="571">
        <f>Tabel66892628[[#This Row],[Total. ch. DW 2017]]+Tabel66892628[[#This Row],[Sew. 2017]]+Tabel66892628[[#This Row],[VAT Sew. 2017]]+Tabel66892628[[#This Row],[WW 2017]]+Tabel66892628[[#This Row],[VAT WW 2017]]+Tabel66892628[[#This Row],[Other ch. 2017]]+Tabel66892628[[#This Row],[VAT Other ch. 2017]]</f>
        <v>925.96727530281748</v>
      </c>
      <c r="T30" s="397"/>
      <c r="U30" s="1763"/>
      <c r="V30" s="1766"/>
      <c r="W30" s="1769"/>
      <c r="X30" s="1772"/>
      <c r="Y30" s="1775"/>
      <c r="Z30" s="1778"/>
      <c r="AA30" s="1772"/>
      <c r="AB30" s="1781"/>
      <c r="AC30" s="1772"/>
      <c r="AD30" s="1785"/>
      <c r="AE30" s="1772"/>
      <c r="AF30" s="1788"/>
      <c r="AG30" s="1791"/>
      <c r="AH30" s="397"/>
      <c r="AI30" s="398"/>
      <c r="AJ30" s="398"/>
      <c r="AK30" s="398"/>
      <c r="AL30" s="591" t="s">
        <v>429</v>
      </c>
      <c r="AM30" s="591" t="s">
        <v>429</v>
      </c>
      <c r="AN30" s="614"/>
      <c r="AO30" s="398"/>
      <c r="AP30" s="397"/>
    </row>
    <row r="31" spans="1:42" ht="15.75" customHeight="1" x14ac:dyDescent="0.25">
      <c r="A31" s="1819"/>
      <c r="B31" s="685" t="s">
        <v>68</v>
      </c>
      <c r="C31" s="802" t="s">
        <v>429</v>
      </c>
      <c r="D31" s="802" t="s">
        <v>1032</v>
      </c>
      <c r="E31" s="1822"/>
      <c r="F31" s="616">
        <f>'exchange rates'!$O$7</f>
        <v>0.83301000000000003</v>
      </c>
      <c r="G31" s="625">
        <f>24/F31</f>
        <v>28.81117873735009</v>
      </c>
      <c r="H31" s="593">
        <f>456.92/F31</f>
        <v>548.51682452791681</v>
      </c>
      <c r="I31" s="594">
        <v>0</v>
      </c>
      <c r="J31" s="595">
        <f>28.86/F31</f>
        <v>34.645442431663483</v>
      </c>
      <c r="K31" s="566">
        <f>Tabel66892628[[#This Row],[Fix.ch. 2017]]+Tabel66892628[[#This Row],[Var. ch. 2017]]+Tabel66892628[[#This Row],[Oth. ch. DW 2017]]+Tabel66892628[[#This Row],[VAT DW 2017]]</f>
        <v>611.97344569693041</v>
      </c>
      <c r="L31" s="596">
        <f>213.7/F31</f>
        <v>256.5395373404881</v>
      </c>
      <c r="M31" s="595">
        <f>12.82/F31</f>
        <v>15.389971308867841</v>
      </c>
      <c r="N31" s="626">
        <f>117.7/F31</f>
        <v>141.29482239108773</v>
      </c>
      <c r="O31" s="595">
        <f>7.06/F31</f>
        <v>8.4752884119038185</v>
      </c>
      <c r="P31" s="597">
        <v>0</v>
      </c>
      <c r="Q31" s="595">
        <v>0</v>
      </c>
      <c r="R31" s="570">
        <f>Tabel66892628[[#This Row],[VAT DW 2017]]+Tabel66892628[[#This Row],[VAT Sew. 2017]]+Tabel66892628[[#This Row],[VAT WW 2017]]+Tabel66892628[[#This Row],[VAT Other ch. 2017]]</f>
        <v>58.510702152435144</v>
      </c>
      <c r="S31" s="571">
        <f>Tabel66892628[[#This Row],[Total. ch. DW 2017]]+Tabel66892628[[#This Row],[Sew. 2017]]+Tabel66892628[[#This Row],[VAT Sew. 2017]]+Tabel66892628[[#This Row],[WW 2017]]+Tabel66892628[[#This Row],[VAT WW 2017]]+Tabel66892628[[#This Row],[Other ch. 2017]]+Tabel66892628[[#This Row],[VAT Other ch. 2017]]</f>
        <v>1033.673065149278</v>
      </c>
      <c r="T31" s="397"/>
      <c r="U31" s="1763"/>
      <c r="V31" s="1766"/>
      <c r="W31" s="1769"/>
      <c r="X31" s="1772"/>
      <c r="Y31" s="1775"/>
      <c r="Z31" s="1778"/>
      <c r="AA31" s="1772"/>
      <c r="AB31" s="1781"/>
      <c r="AC31" s="1772"/>
      <c r="AD31" s="1785"/>
      <c r="AE31" s="1772"/>
      <c r="AF31" s="1788"/>
      <c r="AG31" s="1791"/>
      <c r="AH31" s="397"/>
      <c r="AI31" s="398"/>
      <c r="AJ31" s="398"/>
      <c r="AK31" s="398"/>
      <c r="AL31" s="591" t="s">
        <v>429</v>
      </c>
      <c r="AM31" s="591" t="s">
        <v>429</v>
      </c>
      <c r="AN31" s="614"/>
      <c r="AO31" s="398"/>
      <c r="AP31" s="397"/>
    </row>
    <row r="32" spans="1:42" ht="15.75" customHeight="1" x14ac:dyDescent="0.25">
      <c r="A32" s="1819"/>
      <c r="B32" s="685" t="s">
        <v>72</v>
      </c>
      <c r="C32" s="802"/>
      <c r="D32" s="802" t="s">
        <v>1032</v>
      </c>
      <c r="E32" s="1822"/>
      <c r="F32" s="616">
        <f>'exchange rates'!$O$7</f>
        <v>0.83301000000000003</v>
      </c>
      <c r="G32" s="625">
        <f>56.17/F32</f>
        <v>67.430162903206437</v>
      </c>
      <c r="H32" s="593">
        <f>519.59/F32</f>
        <v>623.75001500582232</v>
      </c>
      <c r="I32" s="594">
        <f>5.18/F32</f>
        <v>6.2184127441447279</v>
      </c>
      <c r="J32" s="595">
        <f>34.86/F32</f>
        <v>41.848237116001009</v>
      </c>
      <c r="K32" s="566">
        <f>Tabel66892628[[#This Row],[Fix.ch. 2017]]+Tabel66892628[[#This Row],[Var. ch. 2017]]+Tabel66892628[[#This Row],[Oth. ch. DW 2017]]+Tabel66892628[[#This Row],[VAT DW 2017]]</f>
        <v>739.2468277691745</v>
      </c>
      <c r="L32" s="596">
        <v>0</v>
      </c>
      <c r="M32" s="595">
        <v>0</v>
      </c>
      <c r="N32" s="626">
        <f>448/F32</f>
        <v>537.80866976386835</v>
      </c>
      <c r="O32" s="595">
        <f>26.86/F32</f>
        <v>32.244510870217646</v>
      </c>
      <c r="P32" s="597">
        <v>0</v>
      </c>
      <c r="Q32" s="595">
        <v>0</v>
      </c>
      <c r="R32" s="570">
        <f>Tabel66892628[[#This Row],[VAT DW 2017]]+Tabel66892628[[#This Row],[VAT Sew. 2017]]+Tabel66892628[[#This Row],[VAT WW 2017]]+Tabel66892628[[#This Row],[VAT Other ch. 2017]]</f>
        <v>74.092747986218654</v>
      </c>
      <c r="S32" s="571">
        <f>Tabel66892628[[#This Row],[Total. ch. DW 2017]]+Tabel66892628[[#This Row],[Sew. 2017]]+Tabel66892628[[#This Row],[VAT Sew. 2017]]+Tabel66892628[[#This Row],[WW 2017]]+Tabel66892628[[#This Row],[VAT WW 2017]]+Tabel66892628[[#This Row],[Other ch. 2017]]+Tabel66892628[[#This Row],[VAT Other ch. 2017]]</f>
        <v>1309.3000084032606</v>
      </c>
      <c r="T32" s="397"/>
      <c r="U32" s="1763"/>
      <c r="V32" s="1766"/>
      <c r="W32" s="1769"/>
      <c r="X32" s="1772"/>
      <c r="Y32" s="1775"/>
      <c r="Z32" s="1778"/>
      <c r="AA32" s="1772"/>
      <c r="AB32" s="1781"/>
      <c r="AC32" s="1772"/>
      <c r="AD32" s="1785"/>
      <c r="AE32" s="1772"/>
      <c r="AF32" s="1788"/>
      <c r="AG32" s="1791"/>
      <c r="AH32" s="397"/>
      <c r="AI32" s="398"/>
      <c r="AJ32" s="398"/>
      <c r="AK32" s="398"/>
      <c r="AL32" s="591" t="s">
        <v>429</v>
      </c>
      <c r="AM32" s="591" t="s">
        <v>429</v>
      </c>
      <c r="AN32" s="591" t="s">
        <v>429</v>
      </c>
      <c r="AO32" s="398"/>
      <c r="AP32" s="397"/>
    </row>
    <row r="33" spans="1:42" ht="15.75" customHeight="1" x14ac:dyDescent="0.25">
      <c r="A33" s="1819"/>
      <c r="B33" s="685" t="s">
        <v>69</v>
      </c>
      <c r="C33" s="802"/>
      <c r="D33" s="802" t="s">
        <v>1032</v>
      </c>
      <c r="E33" s="1822"/>
      <c r="F33" s="616">
        <f>'exchange rates'!$O$7</f>
        <v>0.83301000000000003</v>
      </c>
      <c r="G33" s="625">
        <v>0</v>
      </c>
      <c r="H33" s="593">
        <f>345.08/F33</f>
        <v>414.25673161186535</v>
      </c>
      <c r="I33" s="594">
        <v>0</v>
      </c>
      <c r="J33" s="595">
        <f>20.7/F33</f>
        <v>24.849641660964451</v>
      </c>
      <c r="K33" s="566">
        <f>Tabel66892628[[#This Row],[Fix.ch. 2017]]+Tabel66892628[[#This Row],[Var. ch. 2017]]+Tabel66892628[[#This Row],[Oth. ch. DW 2017]]+Tabel66892628[[#This Row],[VAT DW 2017]]</f>
        <v>439.10637327282979</v>
      </c>
      <c r="L33" s="596">
        <f>265.28/F33</f>
        <v>318.4595623101763</v>
      </c>
      <c r="M33" s="595">
        <f>15.92/F33</f>
        <v>19.111415229108893</v>
      </c>
      <c r="N33" s="626">
        <f>189.48/F33</f>
        <v>227.46425613137896</v>
      </c>
      <c r="O33" s="595">
        <f>11.37/F33</f>
        <v>13.649295926819605</v>
      </c>
      <c r="P33" s="597">
        <v>0</v>
      </c>
      <c r="Q33" s="595">
        <v>0</v>
      </c>
      <c r="R33" s="570">
        <f>Tabel66892628[[#This Row],[VAT DW 2017]]+Tabel66892628[[#This Row],[VAT Sew. 2017]]+Tabel66892628[[#This Row],[VAT WW 2017]]+Tabel66892628[[#This Row],[VAT Other ch. 2017]]</f>
        <v>57.610352816892949</v>
      </c>
      <c r="S33" s="571">
        <f>Tabel66892628[[#This Row],[Total. ch. DW 2017]]+Tabel66892628[[#This Row],[Sew. 2017]]+Tabel66892628[[#This Row],[VAT Sew. 2017]]+Tabel66892628[[#This Row],[WW 2017]]+Tabel66892628[[#This Row],[VAT WW 2017]]+Tabel66892628[[#This Row],[Other ch. 2017]]+Tabel66892628[[#This Row],[VAT Other ch. 2017]]</f>
        <v>1017.7909028703135</v>
      </c>
      <c r="T33" s="397"/>
      <c r="U33" s="1763"/>
      <c r="V33" s="1766"/>
      <c r="W33" s="1769"/>
      <c r="X33" s="1772"/>
      <c r="Y33" s="1775"/>
      <c r="Z33" s="1778"/>
      <c r="AA33" s="1772"/>
      <c r="AB33" s="1781"/>
      <c r="AC33" s="1772"/>
      <c r="AD33" s="1785"/>
      <c r="AE33" s="1772"/>
      <c r="AF33" s="1788"/>
      <c r="AG33" s="1791"/>
      <c r="AH33" s="397"/>
      <c r="AI33" s="398"/>
      <c r="AJ33" s="398"/>
      <c r="AK33" s="398"/>
      <c r="AL33" s="591" t="s">
        <v>429</v>
      </c>
      <c r="AM33" s="591" t="s">
        <v>429</v>
      </c>
      <c r="AN33" s="614"/>
      <c r="AO33" s="398"/>
      <c r="AP33" s="397"/>
    </row>
    <row r="34" spans="1:42" ht="15.75" customHeight="1" x14ac:dyDescent="0.25">
      <c r="A34" s="1819"/>
      <c r="B34" s="685" t="s">
        <v>70</v>
      </c>
      <c r="C34" s="802"/>
      <c r="D34" s="802" t="s">
        <v>1032</v>
      </c>
      <c r="E34" s="1822"/>
      <c r="F34" s="616">
        <f>'exchange rates'!$O$7</f>
        <v>0.83301000000000003</v>
      </c>
      <c r="G34" s="625">
        <v>0</v>
      </c>
      <c r="H34" s="593">
        <f>345.08/F34</f>
        <v>414.25673161186535</v>
      </c>
      <c r="I34" s="594">
        <v>0</v>
      </c>
      <c r="J34" s="595">
        <f>20.7/F34</f>
        <v>24.849641660964451</v>
      </c>
      <c r="K34" s="566">
        <f>Tabel66892628[[#This Row],[Fix.ch. 2017]]+Tabel66892628[[#This Row],[Var. ch. 2017]]+Tabel66892628[[#This Row],[Oth. ch. DW 2017]]+Tabel66892628[[#This Row],[VAT DW 2017]]</f>
        <v>439.10637327282979</v>
      </c>
      <c r="L34" s="596">
        <f>265.28/F34</f>
        <v>318.4595623101763</v>
      </c>
      <c r="M34" s="595">
        <f>15.92/F34</f>
        <v>19.111415229108893</v>
      </c>
      <c r="N34" s="626">
        <f>189.48/F34</f>
        <v>227.46425613137896</v>
      </c>
      <c r="O34" s="595">
        <f>11.37/F34</f>
        <v>13.649295926819605</v>
      </c>
      <c r="P34" s="597">
        <v>0</v>
      </c>
      <c r="Q34" s="595">
        <v>0</v>
      </c>
      <c r="R34" s="570">
        <f>Tabel66892628[[#This Row],[VAT DW 2017]]+Tabel66892628[[#This Row],[VAT Sew. 2017]]+Tabel66892628[[#This Row],[VAT WW 2017]]+Tabel66892628[[#This Row],[VAT Other ch. 2017]]</f>
        <v>57.610352816892949</v>
      </c>
      <c r="S34" s="571">
        <f>Tabel66892628[[#This Row],[Total. ch. DW 2017]]+Tabel66892628[[#This Row],[Sew. 2017]]+Tabel66892628[[#This Row],[VAT Sew. 2017]]+Tabel66892628[[#This Row],[WW 2017]]+Tabel66892628[[#This Row],[VAT WW 2017]]+Tabel66892628[[#This Row],[Other ch. 2017]]+Tabel66892628[[#This Row],[VAT Other ch. 2017]]</f>
        <v>1017.7909028703135</v>
      </c>
      <c r="T34" s="397"/>
      <c r="U34" s="1763"/>
      <c r="V34" s="1766"/>
      <c r="W34" s="1769"/>
      <c r="X34" s="1772"/>
      <c r="Y34" s="1775"/>
      <c r="Z34" s="1778"/>
      <c r="AA34" s="1772"/>
      <c r="AB34" s="1781"/>
      <c r="AC34" s="1772"/>
      <c r="AD34" s="1785"/>
      <c r="AE34" s="1772"/>
      <c r="AF34" s="1788"/>
      <c r="AG34" s="1791"/>
      <c r="AH34" s="397"/>
      <c r="AI34" s="398"/>
      <c r="AJ34" s="398"/>
      <c r="AK34" s="398"/>
      <c r="AL34" s="591" t="s">
        <v>429</v>
      </c>
      <c r="AM34" s="591" t="s">
        <v>429</v>
      </c>
      <c r="AN34" s="614"/>
      <c r="AO34" s="398"/>
      <c r="AP34" s="397"/>
    </row>
    <row r="35" spans="1:42" ht="16.5" customHeight="1" x14ac:dyDescent="0.25">
      <c r="A35" s="1819"/>
      <c r="B35" s="735" t="s">
        <v>216</v>
      </c>
      <c r="C35" s="802"/>
      <c r="D35" s="802" t="s">
        <v>1032</v>
      </c>
      <c r="E35" s="1822"/>
      <c r="F35" s="616">
        <f>'exchange rates'!$O$7</f>
        <v>0.83301000000000003</v>
      </c>
      <c r="G35" s="625">
        <f>0</f>
        <v>0</v>
      </c>
      <c r="H35" s="593">
        <f>431.53/F35</f>
        <v>518.03699835536179</v>
      </c>
      <c r="I35" s="594">
        <v>0</v>
      </c>
      <c r="J35" s="595">
        <f>25.89/F35</f>
        <v>31.080059062916412</v>
      </c>
      <c r="K35" s="566">
        <f>Tabel66892628[[#This Row],[Fix.ch. 2017]]+Tabel66892628[[#This Row],[Var. ch. 2017]]+Tabel66892628[[#This Row],[Oth. ch. DW 2017]]+Tabel66892628[[#This Row],[VAT DW 2017]]</f>
        <v>549.11705741827825</v>
      </c>
      <c r="L35" s="596">
        <f>291.81/F35</f>
        <v>350.30791947275543</v>
      </c>
      <c r="M35" s="595">
        <f>17.51/F35</f>
        <v>21.020155820458339</v>
      </c>
      <c r="N35" s="626">
        <f>208.43/F35</f>
        <v>250.21308267607833</v>
      </c>
      <c r="O35" s="595">
        <f>12.51/F35</f>
        <v>15.017826916843735</v>
      </c>
      <c r="P35" s="597">
        <v>0</v>
      </c>
      <c r="Q35" s="595">
        <v>0</v>
      </c>
      <c r="R35" s="570">
        <f>Tabel66892628[[#This Row],[VAT DW 2017]]+Tabel66892628[[#This Row],[VAT Sew. 2017]]+Tabel66892628[[#This Row],[VAT WW 2017]]+Tabel66892628[[#This Row],[VAT Other ch. 2017]]</f>
        <v>67.118041800218478</v>
      </c>
      <c r="S35" s="571">
        <f>Tabel66892628[[#This Row],[Total. ch. DW 2017]]+Tabel66892628[[#This Row],[Sew. 2017]]+Tabel66892628[[#This Row],[VAT Sew. 2017]]+Tabel66892628[[#This Row],[WW 2017]]+Tabel66892628[[#This Row],[VAT WW 2017]]+Tabel66892628[[#This Row],[Other ch. 2017]]+Tabel66892628[[#This Row],[VAT Other ch. 2017]]</f>
        <v>1185.6760423044138</v>
      </c>
      <c r="T35" s="397"/>
      <c r="U35" s="1763"/>
      <c r="V35" s="1766"/>
      <c r="W35" s="1769"/>
      <c r="X35" s="1772"/>
      <c r="Y35" s="1775"/>
      <c r="Z35" s="1778"/>
      <c r="AA35" s="1772"/>
      <c r="AB35" s="1781"/>
      <c r="AC35" s="1772"/>
      <c r="AD35" s="1785"/>
      <c r="AE35" s="1772"/>
      <c r="AF35" s="1788"/>
      <c r="AG35" s="1791"/>
      <c r="AH35" s="397"/>
      <c r="AI35" s="398"/>
      <c r="AJ35" s="398"/>
      <c r="AK35" s="398"/>
      <c r="AL35" s="591" t="s">
        <v>429</v>
      </c>
      <c r="AM35" s="591" t="s">
        <v>429</v>
      </c>
      <c r="AN35" s="614"/>
      <c r="AO35" s="398"/>
      <c r="AP35" s="397"/>
    </row>
    <row r="36" spans="1:42" ht="17.25" customHeight="1" thickBot="1" x14ac:dyDescent="0.3">
      <c r="A36" s="1820"/>
      <c r="B36" s="736" t="s">
        <v>629</v>
      </c>
      <c r="C36" s="802"/>
      <c r="D36" s="807" t="s">
        <v>1032</v>
      </c>
      <c r="E36" s="1823"/>
      <c r="F36" s="616">
        <f>'exchange rates'!$O$7</f>
        <v>0.83301000000000003</v>
      </c>
      <c r="G36" s="625">
        <f>52.4/F36</f>
        <v>62.904406909881033</v>
      </c>
      <c r="H36" s="593">
        <f>484.7/F36</f>
        <v>581.86576391639949</v>
      </c>
      <c r="I36" s="594">
        <f>5.18/F36</f>
        <v>6.2184127441447279</v>
      </c>
      <c r="J36" s="595">
        <f>32.54/F36</f>
        <v>39.063156504723828</v>
      </c>
      <c r="K36" s="566">
        <f>Tabel66892628[[#This Row],[Fix.ch. 2017]]+Tabel66892628[[#This Row],[Var. ch. 2017]]+Tabel66892628[[#This Row],[Oth. ch. DW 2017]]+Tabel66892628[[#This Row],[VAT DW 2017]]</f>
        <v>690.05174007514904</v>
      </c>
      <c r="L36" s="596">
        <f>0/F36</f>
        <v>0</v>
      </c>
      <c r="M36" s="595">
        <v>0</v>
      </c>
      <c r="N36" s="626">
        <f>448/F36</f>
        <v>537.80866976386835</v>
      </c>
      <c r="O36" s="595">
        <f>26.88/F36</f>
        <v>32.268520185832102</v>
      </c>
      <c r="P36" s="597">
        <v>0</v>
      </c>
      <c r="Q36" s="595">
        <v>0</v>
      </c>
      <c r="R36" s="570">
        <f>Tabel66892628[[#This Row],[VAT DW 2017]]+Tabel66892628[[#This Row],[VAT Sew. 2017]]+Tabel66892628[[#This Row],[VAT WW 2017]]+Tabel66892628[[#This Row],[VAT Other ch. 2017]]</f>
        <v>71.331676690555923</v>
      </c>
      <c r="S36" s="571">
        <f>Tabel66892628[[#This Row],[Total. ch. DW 2017]]+Tabel66892628[[#This Row],[Sew. 2017]]+Tabel66892628[[#This Row],[VAT Sew. 2017]]+Tabel66892628[[#This Row],[WW 2017]]+Tabel66892628[[#This Row],[VAT WW 2017]]+Tabel66892628[[#This Row],[Other ch. 2017]]+Tabel66892628[[#This Row],[VAT Other ch. 2017]]</f>
        <v>1260.1289300248495</v>
      </c>
      <c r="T36" s="397"/>
      <c r="U36" s="1764"/>
      <c r="V36" s="1767"/>
      <c r="W36" s="1770"/>
      <c r="X36" s="1773"/>
      <c r="Y36" s="1776"/>
      <c r="Z36" s="1779"/>
      <c r="AA36" s="1773"/>
      <c r="AB36" s="1811"/>
      <c r="AC36" s="1773"/>
      <c r="AD36" s="1813"/>
      <c r="AE36" s="1773"/>
      <c r="AF36" s="1815"/>
      <c r="AG36" s="1794"/>
      <c r="AH36" s="397"/>
      <c r="AI36" s="398"/>
      <c r="AJ36" s="398"/>
      <c r="AK36" s="398"/>
      <c r="AL36" s="591" t="s">
        <v>429</v>
      </c>
      <c r="AM36" s="591" t="s">
        <v>429</v>
      </c>
      <c r="AN36" s="591" t="s">
        <v>429</v>
      </c>
      <c r="AO36" s="398"/>
      <c r="AP36" s="397"/>
    </row>
    <row r="37" spans="1:42" ht="18" customHeight="1" x14ac:dyDescent="0.25">
      <c r="A37" s="1878" t="s">
        <v>49</v>
      </c>
      <c r="B37" s="729" t="s">
        <v>935</v>
      </c>
      <c r="C37" s="803"/>
      <c r="D37" s="803" t="s">
        <v>1034</v>
      </c>
      <c r="E37" s="1879">
        <v>15500</v>
      </c>
      <c r="F37" s="616">
        <f>'exchange rates'!$O$8</f>
        <v>3.3117299999999998</v>
      </c>
      <c r="G37" s="625" t="s">
        <v>5</v>
      </c>
      <c r="H37" s="593" t="s">
        <v>5</v>
      </c>
      <c r="I37" s="594" t="s">
        <v>5</v>
      </c>
      <c r="J37" s="595" t="s">
        <v>5</v>
      </c>
      <c r="K37" s="566" t="s">
        <v>5</v>
      </c>
      <c r="L37" s="596" t="s">
        <v>5</v>
      </c>
      <c r="M37" s="595" t="s">
        <v>5</v>
      </c>
      <c r="N37" s="626" t="s">
        <v>5</v>
      </c>
      <c r="O37" s="595" t="s">
        <v>5</v>
      </c>
      <c r="P37" s="597" t="s">
        <v>5</v>
      </c>
      <c r="Q37" s="595" t="s">
        <v>5</v>
      </c>
      <c r="R37" s="570" t="s">
        <v>5</v>
      </c>
      <c r="S37" s="571">
        <f>592/F37</f>
        <v>178.75853405923792</v>
      </c>
      <c r="T37" s="397"/>
      <c r="U37" s="1881" t="s">
        <v>5</v>
      </c>
      <c r="V37" s="1895" t="s">
        <v>5</v>
      </c>
      <c r="W37" s="1898" t="s">
        <v>5</v>
      </c>
      <c r="X37" s="1860" t="s">
        <v>5</v>
      </c>
      <c r="Y37" s="1901" t="s">
        <v>5</v>
      </c>
      <c r="Z37" s="1904" t="s">
        <v>5</v>
      </c>
      <c r="AA37" s="1860" t="s">
        <v>5</v>
      </c>
      <c r="AB37" s="1863" t="s">
        <v>5</v>
      </c>
      <c r="AC37" s="1860" t="s">
        <v>5</v>
      </c>
      <c r="AD37" s="1866" t="s">
        <v>5</v>
      </c>
      <c r="AE37" s="1860" t="s">
        <v>5</v>
      </c>
      <c r="AF37" s="1869" t="s">
        <v>5</v>
      </c>
      <c r="AG37" s="1831">
        <f>Tabel66892628[[#This Row],[total charge 2017]]</f>
        <v>178.75853405923792</v>
      </c>
      <c r="AH37" s="397"/>
      <c r="AI37" s="396"/>
      <c r="AJ37" s="398"/>
      <c r="AK37" s="398"/>
      <c r="AL37" s="591" t="s">
        <v>429</v>
      </c>
      <c r="AM37" s="398"/>
      <c r="AN37" s="398"/>
      <c r="AO37" s="398"/>
      <c r="AP37" s="397"/>
    </row>
    <row r="38" spans="1:42" ht="15.75" x14ac:dyDescent="0.25">
      <c r="A38" s="1757"/>
      <c r="B38" s="632" t="s">
        <v>462</v>
      </c>
      <c r="C38" s="803"/>
      <c r="D38" s="803" t="s">
        <v>1034</v>
      </c>
      <c r="E38" s="1880"/>
      <c r="F38" s="616">
        <f>'exchange rates'!$O$8</f>
        <v>3.3117299999999998</v>
      </c>
      <c r="G38" s="625" t="s">
        <v>5</v>
      </c>
      <c r="H38" s="593" t="s">
        <v>5</v>
      </c>
      <c r="I38" s="594" t="s">
        <v>5</v>
      </c>
      <c r="J38" s="595" t="s">
        <v>5</v>
      </c>
      <c r="K38" s="566" t="s">
        <v>5</v>
      </c>
      <c r="L38" s="596" t="s">
        <v>5</v>
      </c>
      <c r="M38" s="595" t="s">
        <v>5</v>
      </c>
      <c r="N38" s="626" t="s">
        <v>5</v>
      </c>
      <c r="O38" s="595" t="s">
        <v>5</v>
      </c>
      <c r="P38" s="597" t="s">
        <v>5</v>
      </c>
      <c r="Q38" s="595" t="s">
        <v>5</v>
      </c>
      <c r="R38" s="570" t="s">
        <v>5</v>
      </c>
      <c r="S38" s="571">
        <f>486/F38</f>
        <v>146.75109383917169</v>
      </c>
      <c r="T38" s="397"/>
      <c r="U38" s="1882"/>
      <c r="V38" s="1896"/>
      <c r="W38" s="1899"/>
      <c r="X38" s="1861"/>
      <c r="Y38" s="1902"/>
      <c r="Z38" s="1905"/>
      <c r="AA38" s="1861"/>
      <c r="AB38" s="1864"/>
      <c r="AC38" s="1861"/>
      <c r="AD38" s="1867"/>
      <c r="AE38" s="1861"/>
      <c r="AF38" s="1870"/>
      <c r="AG38" s="1832"/>
      <c r="AH38" s="397"/>
      <c r="AI38" s="396"/>
      <c r="AJ38" s="398"/>
      <c r="AK38" s="398"/>
      <c r="AL38" s="591" t="s">
        <v>429</v>
      </c>
      <c r="AM38" s="398"/>
      <c r="AN38" s="398"/>
      <c r="AO38" s="398"/>
      <c r="AP38" s="397"/>
    </row>
    <row r="39" spans="1:42" ht="16.5" thickBot="1" x14ac:dyDescent="0.3">
      <c r="A39" s="1758"/>
      <c r="B39" s="730" t="s">
        <v>933</v>
      </c>
      <c r="C39" s="803" t="s">
        <v>429</v>
      </c>
      <c r="D39" s="810" t="s">
        <v>1034</v>
      </c>
      <c r="E39" s="1799"/>
      <c r="F39" s="616">
        <f>'exchange rates'!$O$8</f>
        <v>3.3117299999999998</v>
      </c>
      <c r="G39" s="625" t="s">
        <v>5</v>
      </c>
      <c r="H39" s="593" t="s">
        <v>5</v>
      </c>
      <c r="I39" s="594" t="s">
        <v>5</v>
      </c>
      <c r="J39" s="595" t="s">
        <v>5</v>
      </c>
      <c r="K39" s="566" t="s">
        <v>5</v>
      </c>
      <c r="L39" s="596" t="s">
        <v>5</v>
      </c>
      <c r="M39" s="595" t="s">
        <v>5</v>
      </c>
      <c r="N39" s="626" t="s">
        <v>5</v>
      </c>
      <c r="O39" s="595" t="s">
        <v>5</v>
      </c>
      <c r="P39" s="597" t="s">
        <v>5</v>
      </c>
      <c r="Q39" s="595" t="s">
        <v>5</v>
      </c>
      <c r="R39" s="570" t="s">
        <v>5</v>
      </c>
      <c r="S39" s="571">
        <f>874/F39</f>
        <v>263.91040332394249</v>
      </c>
      <c r="T39" s="397"/>
      <c r="U39" s="1883"/>
      <c r="V39" s="1897"/>
      <c r="W39" s="1900"/>
      <c r="X39" s="1862"/>
      <c r="Y39" s="1903"/>
      <c r="Z39" s="1906"/>
      <c r="AA39" s="1862"/>
      <c r="AB39" s="1865"/>
      <c r="AC39" s="1862"/>
      <c r="AD39" s="1868"/>
      <c r="AE39" s="1862"/>
      <c r="AF39" s="1871"/>
      <c r="AG39" s="1792"/>
      <c r="AH39" s="397"/>
      <c r="AI39" s="396"/>
      <c r="AJ39" s="398"/>
      <c r="AK39" s="398"/>
      <c r="AL39" s="591" t="s">
        <v>429</v>
      </c>
      <c r="AM39" s="398"/>
      <c r="AN39" s="398"/>
      <c r="AO39" s="398"/>
      <c r="AP39" s="397"/>
    </row>
    <row r="40" spans="1:42" ht="18.75" customHeight="1" x14ac:dyDescent="0.25">
      <c r="A40" s="1833" t="s">
        <v>487</v>
      </c>
      <c r="B40" s="277" t="s">
        <v>481</v>
      </c>
      <c r="C40" s="804"/>
      <c r="D40" s="804" t="s">
        <v>1034</v>
      </c>
      <c r="E40" s="1836">
        <v>11600</v>
      </c>
      <c r="F40" s="306">
        <v>1.86534</v>
      </c>
      <c r="G40" s="310">
        <f>132.88/F40</f>
        <v>71.236342972326753</v>
      </c>
      <c r="H40" s="311">
        <v>0</v>
      </c>
      <c r="I40" s="312">
        <v>0</v>
      </c>
      <c r="J40" s="558"/>
      <c r="K40" s="313">
        <f>Tabel66892628[[#This Row],[Fix.ch. 2017]]+Tabel66892628[[#This Row],[Var. ch. 2017]]+Tabel66892628[[#This Row],[Oth. ch. DW 2017]]+Tabel66892628[[#This Row],[VAT DW 2017]]</f>
        <v>71.236342972326753</v>
      </c>
      <c r="L40" s="314">
        <f>132.88/F40</f>
        <v>71.236342972326753</v>
      </c>
      <c r="M40" s="558"/>
      <c r="N40" s="315">
        <v>0</v>
      </c>
      <c r="O40" s="558"/>
      <c r="P40" s="316">
        <v>0</v>
      </c>
      <c r="Q40" s="558"/>
      <c r="R40" s="317">
        <f>Tabel66892628[[#This Row],[VAT DW 2017]]+Tabel66892628[[#This Row],[VAT Sew. 2017]]+Tabel66892628[[#This Row],[VAT WW 2017]]+Tabel66892628[[#This Row],[VAT Other ch. 2017]]</f>
        <v>0</v>
      </c>
      <c r="S40" s="318">
        <f>Tabel66892628[[#This Row],[Total. ch. DW 2017]]+Tabel66892628[[#This Row],[Sew. 2017]]+Tabel66892628[[#This Row],[VAT Sew. 2017]]+Tabel66892628[[#This Row],[WW 2017]]+Tabel66892628[[#This Row],[VAT WW 2017]]+Tabel66892628[[#This Row],[Other ch. 2017]]+Tabel66892628[[#This Row],[VAT Other ch. 2017]]</f>
        <v>142.47268594465351</v>
      </c>
      <c r="T40" s="397"/>
      <c r="U40" s="1839">
        <f>SUM(G40:G44)/5</f>
        <v>197.96069349287529</v>
      </c>
      <c r="V40" s="1842">
        <f>SUM(H40:H44)/5</f>
        <v>0</v>
      </c>
      <c r="W40" s="1845">
        <f>SUM(I40:I44)/5</f>
        <v>0</v>
      </c>
      <c r="X40" s="575"/>
      <c r="Y40" s="1848">
        <f>SUM(K40:K44)/5</f>
        <v>197.96069349287529</v>
      </c>
      <c r="Z40" s="1851">
        <f>SUM(L40:L44)/5</f>
        <v>197.96069349287529</v>
      </c>
      <c r="AA40" s="575"/>
      <c r="AB40" s="1854">
        <f>SUM(N40:N44)/5</f>
        <v>0</v>
      </c>
      <c r="AC40" s="575"/>
      <c r="AD40" s="1857">
        <f>SUM(P40:P44)/5</f>
        <v>0</v>
      </c>
      <c r="AE40" s="575"/>
      <c r="AF40" s="1872">
        <f t="shared" ref="AF40:AG40" si="3">SUM(R40:R44)/5</f>
        <v>0</v>
      </c>
      <c r="AG40" s="1875">
        <f t="shared" si="3"/>
        <v>395.92138698575059</v>
      </c>
      <c r="AH40" s="397"/>
      <c r="AI40" s="396"/>
      <c r="AJ40" s="398"/>
      <c r="AK40" s="398"/>
      <c r="AL40" s="398"/>
      <c r="AM40" s="398"/>
      <c r="AN40" s="398"/>
      <c r="AO40" s="398"/>
      <c r="AP40" s="397"/>
    </row>
    <row r="41" spans="1:42" ht="18.75" customHeight="1" x14ac:dyDescent="0.25">
      <c r="A41" s="1834"/>
      <c r="B41" s="277" t="s">
        <v>482</v>
      </c>
      <c r="C41" s="804"/>
      <c r="D41" s="804" t="s">
        <v>1034</v>
      </c>
      <c r="E41" s="1837"/>
      <c r="F41" s="306">
        <v>1.86534</v>
      </c>
      <c r="G41" s="310">
        <f>83.04/F41</f>
        <v>44.517353404741229</v>
      </c>
      <c r="H41" s="311">
        <v>0</v>
      </c>
      <c r="I41" s="312">
        <v>0</v>
      </c>
      <c r="J41" s="558"/>
      <c r="K41" s="313">
        <f>Tabel66892628[[#This Row],[Fix.ch. 2017]]+Tabel66892628[[#This Row],[Var. ch. 2017]]+Tabel66892628[[#This Row],[Oth. ch. DW 2017]]+Tabel66892628[[#This Row],[VAT DW 2017]]</f>
        <v>44.517353404741229</v>
      </c>
      <c r="L41" s="314">
        <f>83.04/F41</f>
        <v>44.517353404741229</v>
      </c>
      <c r="M41" s="558"/>
      <c r="N41" s="315">
        <v>0</v>
      </c>
      <c r="O41" s="558"/>
      <c r="P41" s="316">
        <v>0</v>
      </c>
      <c r="Q41" s="558"/>
      <c r="R41" s="317">
        <f>Tabel66892628[[#This Row],[VAT DW 2017]]+Tabel66892628[[#This Row],[VAT Sew. 2017]]+Tabel66892628[[#This Row],[VAT WW 2017]]+Tabel66892628[[#This Row],[VAT Other ch. 2017]]</f>
        <v>0</v>
      </c>
      <c r="S41" s="318">
        <f>Tabel66892628[[#This Row],[Total. ch. DW 2017]]+Tabel66892628[[#This Row],[Sew. 2017]]+Tabel66892628[[#This Row],[VAT Sew. 2017]]+Tabel66892628[[#This Row],[WW 2017]]+Tabel66892628[[#This Row],[VAT WW 2017]]+Tabel66892628[[#This Row],[Other ch. 2017]]+Tabel66892628[[#This Row],[VAT Other ch. 2017]]</f>
        <v>89.034706809482458</v>
      </c>
      <c r="T41" s="397"/>
      <c r="U41" s="1840"/>
      <c r="V41" s="1843"/>
      <c r="W41" s="1846"/>
      <c r="X41" s="576"/>
      <c r="Y41" s="1849"/>
      <c r="Z41" s="1852"/>
      <c r="AA41" s="576"/>
      <c r="AB41" s="1855"/>
      <c r="AC41" s="576"/>
      <c r="AD41" s="1858"/>
      <c r="AE41" s="576"/>
      <c r="AF41" s="1873"/>
      <c r="AG41" s="1876"/>
      <c r="AH41" s="397"/>
      <c r="AI41" s="396"/>
      <c r="AJ41" s="398"/>
      <c r="AK41" s="398"/>
      <c r="AL41" s="398"/>
      <c r="AM41" s="398"/>
      <c r="AN41" s="398"/>
      <c r="AO41" s="398"/>
      <c r="AP41" s="397"/>
    </row>
    <row r="42" spans="1:42" ht="18.75" customHeight="1" x14ac:dyDescent="0.25">
      <c r="A42" s="1834"/>
      <c r="B42" s="277" t="s">
        <v>483</v>
      </c>
      <c r="C42" s="804"/>
      <c r="D42" s="804" t="s">
        <v>1034</v>
      </c>
      <c r="E42" s="1837"/>
      <c r="F42" s="306">
        <v>1.86534</v>
      </c>
      <c r="G42" s="310">
        <f>371.52/F42</f>
        <v>199.1701244813278</v>
      </c>
      <c r="H42" s="311">
        <v>0</v>
      </c>
      <c r="I42" s="312">
        <v>0</v>
      </c>
      <c r="J42" s="558"/>
      <c r="K42" s="313">
        <f>Tabel66892628[[#This Row],[Fix.ch. 2017]]+Tabel66892628[[#This Row],[Var. ch. 2017]]+Tabel66892628[[#This Row],[Oth. ch. DW 2017]]+Tabel66892628[[#This Row],[VAT DW 2017]]</f>
        <v>199.1701244813278</v>
      </c>
      <c r="L42" s="314">
        <f>371.52/F42</f>
        <v>199.1701244813278</v>
      </c>
      <c r="M42" s="558"/>
      <c r="N42" s="315">
        <v>0</v>
      </c>
      <c r="O42" s="558"/>
      <c r="P42" s="316">
        <v>0</v>
      </c>
      <c r="Q42" s="558"/>
      <c r="R42" s="317">
        <f>Tabel66892628[[#This Row],[VAT DW 2017]]+Tabel66892628[[#This Row],[VAT Sew. 2017]]+Tabel66892628[[#This Row],[VAT WW 2017]]+Tabel66892628[[#This Row],[VAT Other ch. 2017]]</f>
        <v>0</v>
      </c>
      <c r="S42" s="318">
        <f>Tabel66892628[[#This Row],[Total. ch. DW 2017]]+Tabel66892628[[#This Row],[Sew. 2017]]+Tabel66892628[[#This Row],[VAT Sew. 2017]]+Tabel66892628[[#This Row],[WW 2017]]+Tabel66892628[[#This Row],[VAT WW 2017]]+Tabel66892628[[#This Row],[Other ch. 2017]]+Tabel66892628[[#This Row],[VAT Other ch. 2017]]</f>
        <v>398.34024896265561</v>
      </c>
      <c r="T42" s="397"/>
      <c r="U42" s="1840"/>
      <c r="V42" s="1843"/>
      <c r="W42" s="1846"/>
      <c r="X42" s="576"/>
      <c r="Y42" s="1849"/>
      <c r="Z42" s="1852"/>
      <c r="AA42" s="576"/>
      <c r="AB42" s="1855"/>
      <c r="AC42" s="576"/>
      <c r="AD42" s="1858"/>
      <c r="AE42" s="576"/>
      <c r="AF42" s="1873"/>
      <c r="AG42" s="1876"/>
      <c r="AH42" s="397"/>
      <c r="AI42" s="396"/>
      <c r="AJ42" s="398"/>
      <c r="AK42" s="398"/>
      <c r="AL42" s="396" t="s">
        <v>429</v>
      </c>
      <c r="AM42" s="398"/>
      <c r="AN42" s="398"/>
      <c r="AO42" s="398" t="s">
        <v>486</v>
      </c>
      <c r="AP42" s="397"/>
    </row>
    <row r="43" spans="1:42" ht="18.75" customHeight="1" x14ac:dyDescent="0.25">
      <c r="A43" s="1834"/>
      <c r="B43" s="277" t="s">
        <v>484</v>
      </c>
      <c r="C43" s="804"/>
      <c r="D43" s="804" t="s">
        <v>1034</v>
      </c>
      <c r="E43" s="1837"/>
      <c r="F43" s="306">
        <v>1.86534</v>
      </c>
      <c r="G43" s="310">
        <f>420.12/F43</f>
        <v>225.22435588150151</v>
      </c>
      <c r="H43" s="311">
        <v>0</v>
      </c>
      <c r="I43" s="312">
        <v>0</v>
      </c>
      <c r="J43" s="558"/>
      <c r="K43" s="313">
        <f>Tabel66892628[[#This Row],[Fix.ch. 2017]]+Tabel66892628[[#This Row],[Var. ch. 2017]]+Tabel66892628[[#This Row],[Oth. ch. DW 2017]]+Tabel66892628[[#This Row],[VAT DW 2017]]</f>
        <v>225.22435588150151</v>
      </c>
      <c r="L43" s="314">
        <f>420.12/F43</f>
        <v>225.22435588150151</v>
      </c>
      <c r="M43" s="558"/>
      <c r="N43" s="315">
        <v>0</v>
      </c>
      <c r="O43" s="558"/>
      <c r="P43" s="316">
        <v>0</v>
      </c>
      <c r="Q43" s="558"/>
      <c r="R43" s="317">
        <f>Tabel66892628[[#This Row],[VAT DW 2017]]+Tabel66892628[[#This Row],[VAT Sew. 2017]]+Tabel66892628[[#This Row],[VAT WW 2017]]+Tabel66892628[[#This Row],[VAT Other ch. 2017]]</f>
        <v>0</v>
      </c>
      <c r="S43" s="318">
        <f>Tabel66892628[[#This Row],[Total. ch. DW 2017]]+Tabel66892628[[#This Row],[Sew. 2017]]+Tabel66892628[[#This Row],[VAT Sew. 2017]]+Tabel66892628[[#This Row],[WW 2017]]+Tabel66892628[[#This Row],[VAT WW 2017]]+Tabel66892628[[#This Row],[Other ch. 2017]]+Tabel66892628[[#This Row],[VAT Other ch. 2017]]</f>
        <v>450.44871176300302</v>
      </c>
      <c r="T43" s="397"/>
      <c r="U43" s="1840"/>
      <c r="V43" s="1843"/>
      <c r="W43" s="1846"/>
      <c r="X43" s="576"/>
      <c r="Y43" s="1849"/>
      <c r="Z43" s="1852"/>
      <c r="AA43" s="576"/>
      <c r="AB43" s="1855"/>
      <c r="AC43" s="576"/>
      <c r="AD43" s="1858"/>
      <c r="AE43" s="576"/>
      <c r="AF43" s="1873"/>
      <c r="AG43" s="1876"/>
      <c r="AH43" s="397"/>
      <c r="AI43" s="396"/>
      <c r="AJ43" s="398"/>
      <c r="AK43" s="398"/>
      <c r="AL43" s="398"/>
      <c r="AM43" s="398"/>
      <c r="AN43" s="398"/>
      <c r="AO43" s="398"/>
      <c r="AP43" s="397"/>
    </row>
    <row r="44" spans="1:42" ht="19.5" customHeight="1" thickBot="1" x14ac:dyDescent="0.3">
      <c r="A44" s="1835"/>
      <c r="B44" s="277" t="s">
        <v>485</v>
      </c>
      <c r="C44" s="804"/>
      <c r="D44" s="800" t="s">
        <v>1034</v>
      </c>
      <c r="E44" s="1838"/>
      <c r="F44" s="306">
        <v>1.86534</v>
      </c>
      <c r="G44" s="310">
        <f>838.76/F44</f>
        <v>449.65529072447919</v>
      </c>
      <c r="H44" s="311">
        <v>0</v>
      </c>
      <c r="I44" s="312">
        <v>0</v>
      </c>
      <c r="J44" s="558"/>
      <c r="K44" s="313">
        <f>Tabel66892628[[#This Row],[Fix.ch. 2017]]+Tabel66892628[[#This Row],[Var. ch. 2017]]+Tabel66892628[[#This Row],[Oth. ch. DW 2017]]+Tabel66892628[[#This Row],[VAT DW 2017]]</f>
        <v>449.65529072447919</v>
      </c>
      <c r="L44" s="314">
        <f>838.76/F44</f>
        <v>449.65529072447919</v>
      </c>
      <c r="M44" s="558"/>
      <c r="N44" s="315">
        <v>0</v>
      </c>
      <c r="O44" s="558"/>
      <c r="P44" s="316">
        <v>0</v>
      </c>
      <c r="Q44" s="558"/>
      <c r="R44" s="317">
        <f>Tabel66892628[[#This Row],[VAT DW 2017]]+Tabel66892628[[#This Row],[VAT Sew. 2017]]+Tabel66892628[[#This Row],[VAT WW 2017]]+Tabel66892628[[#This Row],[VAT Other ch. 2017]]</f>
        <v>0</v>
      </c>
      <c r="S44" s="318">
        <f>Tabel66892628[[#This Row],[Total. ch. DW 2017]]+Tabel66892628[[#This Row],[Sew. 2017]]+Tabel66892628[[#This Row],[VAT Sew. 2017]]+Tabel66892628[[#This Row],[WW 2017]]+Tabel66892628[[#This Row],[VAT WW 2017]]+Tabel66892628[[#This Row],[Other ch. 2017]]+Tabel66892628[[#This Row],[VAT Other ch. 2017]]</f>
        <v>899.31058144895837</v>
      </c>
      <c r="T44" s="397"/>
      <c r="U44" s="1841"/>
      <c r="V44" s="1844"/>
      <c r="W44" s="1847"/>
      <c r="X44" s="577"/>
      <c r="Y44" s="1850"/>
      <c r="Z44" s="1853"/>
      <c r="AA44" s="577"/>
      <c r="AB44" s="1856"/>
      <c r="AC44" s="577"/>
      <c r="AD44" s="1859"/>
      <c r="AE44" s="577"/>
      <c r="AF44" s="1874"/>
      <c r="AG44" s="1877"/>
      <c r="AH44" s="397"/>
      <c r="AI44" s="396"/>
      <c r="AJ44" s="398"/>
      <c r="AK44" s="398"/>
      <c r="AL44" s="398"/>
      <c r="AM44" s="398"/>
      <c r="AN44" s="398"/>
      <c r="AO44" s="398"/>
      <c r="AP44" s="397"/>
    </row>
    <row r="45" spans="1:42" ht="15.75" customHeight="1" x14ac:dyDescent="0.25">
      <c r="A45" s="1818" t="s">
        <v>7</v>
      </c>
      <c r="B45" s="623" t="s">
        <v>73</v>
      </c>
      <c r="C45" s="802" t="s">
        <v>429</v>
      </c>
      <c r="D45" s="802" t="s">
        <v>1036</v>
      </c>
      <c r="E45" s="1884">
        <v>21600</v>
      </c>
      <c r="F45" s="647">
        <f>'exchange rates'!$O$9</f>
        <v>1.6293800000000001</v>
      </c>
      <c r="G45" s="625">
        <f>233.6/F45</f>
        <v>143.36741582687893</v>
      </c>
      <c r="H45" s="593">
        <f>0/F45</f>
        <v>0</v>
      </c>
      <c r="I45" s="594">
        <v>0</v>
      </c>
      <c r="J45" s="595">
        <f>46.72/F45</f>
        <v>28.673483165375785</v>
      </c>
      <c r="K45" s="566">
        <f>Tabel66892628[[#This Row],[Fix.ch. 2017]]+Tabel66892628[[#This Row],[Var. ch. 2017]]+Tabel66892628[[#This Row],[Oth. ch. DW 2017]]+Tabel66892628[[#This Row],[VAT DW 2017]]</f>
        <v>172.04089899225471</v>
      </c>
      <c r="L45" s="596">
        <f>68.4/F45</f>
        <v>41.97915771643202</v>
      </c>
      <c r="M45" s="595">
        <f>13.68/F45</f>
        <v>8.3958315432864037</v>
      </c>
      <c r="N45" s="626">
        <f>57.8/F45</f>
        <v>35.473615731136995</v>
      </c>
      <c r="O45" s="595">
        <f>11.56/F45</f>
        <v>7.0947231462273992</v>
      </c>
      <c r="P45" s="597">
        <v>0</v>
      </c>
      <c r="Q45" s="595">
        <v>0</v>
      </c>
      <c r="R45" s="570">
        <f>Tabel66892628[[#This Row],[VAT DW 2017]]+Tabel66892628[[#This Row],[VAT Sew. 2017]]+Tabel66892628[[#This Row],[VAT WW 2017]]+Tabel66892628[[#This Row],[VAT Other ch. 2017]]</f>
        <v>44.164037854889592</v>
      </c>
      <c r="S45" s="571">
        <f>Tabel66892628[[#This Row],[Total. ch. DW 2017]]+Tabel66892628[[#This Row],[Sew. 2017]]+Tabel66892628[[#This Row],[VAT Sew. 2017]]+Tabel66892628[[#This Row],[WW 2017]]+Tabel66892628[[#This Row],[VAT WW 2017]]+Tabel66892628[[#This Row],[Other ch. 2017]]+Tabel66892628[[#This Row],[VAT Other ch. 2017]]</f>
        <v>264.98422712933751</v>
      </c>
      <c r="T45" s="397"/>
      <c r="U45" s="1885">
        <f>MEDIAN(G45:G49)</f>
        <v>181.66419128748359</v>
      </c>
      <c r="V45" s="1887">
        <f>MEDIAN(H45:H49)</f>
        <v>0</v>
      </c>
      <c r="W45" s="1889">
        <f>MEDIAN(I45:I49)</f>
        <v>0</v>
      </c>
      <c r="X45" s="1771">
        <f>MEDIAN(J45:J49)</f>
        <v>36.332838257496718</v>
      </c>
      <c r="Y45" s="1891">
        <f>SUM(U45:X49)</f>
        <v>217.99702954498031</v>
      </c>
      <c r="Z45" s="1893">
        <f t="shared" ref="Z45:AF45" si="4">MEDIAN(L45:L49)</f>
        <v>14.72952902330948</v>
      </c>
      <c r="AA45" s="1771">
        <f t="shared" si="4"/>
        <v>2.9459058046618956</v>
      </c>
      <c r="AB45" s="1910">
        <f t="shared" si="4"/>
        <v>38.051283310216157</v>
      </c>
      <c r="AC45" s="1771">
        <f t="shared" si="4"/>
        <v>7.6102566620432315</v>
      </c>
      <c r="AD45" s="1912">
        <f t="shared" si="4"/>
        <v>0</v>
      </c>
      <c r="AE45" s="1771">
        <f t="shared" si="4"/>
        <v>0</v>
      </c>
      <c r="AF45" s="1914">
        <f t="shared" si="4"/>
        <v>52.289828032748645</v>
      </c>
      <c r="AG45" s="1909">
        <f>Y45+Z45+AA45+AB45+AC45+AD45+AE45</f>
        <v>281.3340043452111</v>
      </c>
      <c r="AH45" s="397"/>
      <c r="AI45" s="396"/>
      <c r="AJ45" s="396"/>
      <c r="AK45" s="396"/>
      <c r="AL45" s="396"/>
      <c r="AM45" s="396"/>
      <c r="AN45" s="396"/>
      <c r="AO45" s="398"/>
      <c r="AP45" s="397"/>
    </row>
    <row r="46" spans="1:42" ht="15.75" customHeight="1" x14ac:dyDescent="0.25">
      <c r="A46" s="1819"/>
      <c r="B46" s="685" t="s">
        <v>74</v>
      </c>
      <c r="C46" s="802"/>
      <c r="D46" s="802" t="s">
        <v>1036</v>
      </c>
      <c r="E46" s="1880"/>
      <c r="F46" s="647">
        <f>'exchange rates'!$O$9</f>
        <v>1.6293800000000001</v>
      </c>
      <c r="G46" s="625">
        <f>257.4/F46</f>
        <v>157.97419877499416</v>
      </c>
      <c r="H46" s="593">
        <v>0</v>
      </c>
      <c r="I46" s="594">
        <v>0</v>
      </c>
      <c r="J46" s="595">
        <f>51.48/F46</f>
        <v>31.59483975499883</v>
      </c>
      <c r="K46" s="566">
        <f>Tabel66892628[[#This Row],[Fix.ch. 2017]]+Tabel66892628[[#This Row],[Var. ch. 2017]]+Tabel66892628[[#This Row],[Oth. ch. DW 2017]]+Tabel66892628[[#This Row],[VAT DW 2017]]</f>
        <v>189.56903852999301</v>
      </c>
      <c r="L46" s="596">
        <f>57.2/F46</f>
        <v>35.105377505554259</v>
      </c>
      <c r="M46" s="595">
        <f>11.44/F46</f>
        <v>7.0210755011108512</v>
      </c>
      <c r="N46" s="626">
        <f>111.4/F46</f>
        <v>68.369563883194843</v>
      </c>
      <c r="O46" s="595">
        <f>22.28/F46</f>
        <v>13.673912776638968</v>
      </c>
      <c r="P46" s="597">
        <v>0</v>
      </c>
      <c r="Q46" s="595">
        <v>0</v>
      </c>
      <c r="R46" s="570">
        <f>Tabel66892628[[#This Row],[VAT DW 2017]]+Tabel66892628[[#This Row],[VAT Sew. 2017]]+Tabel66892628[[#This Row],[VAT WW 2017]]+Tabel66892628[[#This Row],[VAT Other ch. 2017]]</f>
        <v>52.289828032748645</v>
      </c>
      <c r="S46" s="571">
        <f>Tabel66892628[[#This Row],[Total. ch. DW 2017]]+Tabel66892628[[#This Row],[Sew. 2017]]+Tabel66892628[[#This Row],[VAT Sew. 2017]]+Tabel66892628[[#This Row],[WW 2017]]+Tabel66892628[[#This Row],[VAT WW 2017]]+Tabel66892628[[#This Row],[Other ch. 2017]]+Tabel66892628[[#This Row],[VAT Other ch. 2017]]</f>
        <v>313.73896819649195</v>
      </c>
      <c r="T46" s="397"/>
      <c r="U46" s="1886"/>
      <c r="V46" s="1888"/>
      <c r="W46" s="1890"/>
      <c r="X46" s="1772"/>
      <c r="Y46" s="1892"/>
      <c r="Z46" s="1894"/>
      <c r="AA46" s="1772"/>
      <c r="AB46" s="1911"/>
      <c r="AC46" s="1772"/>
      <c r="AD46" s="1913"/>
      <c r="AE46" s="1772"/>
      <c r="AF46" s="1915"/>
      <c r="AG46" s="1832"/>
      <c r="AH46" s="397"/>
      <c r="AI46" s="396"/>
      <c r="AJ46" s="396"/>
      <c r="AK46" s="396"/>
      <c r="AL46" s="396"/>
      <c r="AM46" s="396"/>
      <c r="AN46" s="396"/>
      <c r="AO46" s="398"/>
      <c r="AP46" s="397"/>
    </row>
    <row r="47" spans="1:42" ht="15.75" customHeight="1" x14ac:dyDescent="0.25">
      <c r="A47" s="1819"/>
      <c r="B47" s="685" t="s">
        <v>75</v>
      </c>
      <c r="C47" s="802"/>
      <c r="D47" s="802" t="s">
        <v>1036</v>
      </c>
      <c r="E47" s="1880"/>
      <c r="F47" s="647">
        <f>'exchange rates'!$O$9</f>
        <v>1.6293800000000001</v>
      </c>
      <c r="G47" s="625">
        <f>296/F47</f>
        <v>181.66419128748359</v>
      </c>
      <c r="H47" s="593">
        <v>0</v>
      </c>
      <c r="I47" s="594">
        <v>0</v>
      </c>
      <c r="J47" s="595">
        <f>59.2/F47</f>
        <v>36.332838257496718</v>
      </c>
      <c r="K47" s="566">
        <f>Tabel66892628[[#This Row],[Fix.ch. 2017]]+Tabel66892628[[#This Row],[Var. ch. 2017]]+Tabel66892628[[#This Row],[Oth. ch. DW 2017]]+Tabel66892628[[#This Row],[VAT DW 2017]]</f>
        <v>217.99702954498031</v>
      </c>
      <c r="L47" s="596">
        <f>24/F47</f>
        <v>14.72952902330948</v>
      </c>
      <c r="M47" s="595">
        <f>4.8/F47</f>
        <v>2.9459058046618956</v>
      </c>
      <c r="N47" s="626">
        <f>62/F47</f>
        <v>38.051283310216157</v>
      </c>
      <c r="O47" s="595">
        <f>12.4/F47</f>
        <v>7.6102566620432315</v>
      </c>
      <c r="P47" s="597">
        <v>0</v>
      </c>
      <c r="Q47" s="595">
        <v>0</v>
      </c>
      <c r="R47" s="570">
        <f>Tabel66892628[[#This Row],[VAT DW 2017]]+Tabel66892628[[#This Row],[VAT Sew. 2017]]+Tabel66892628[[#This Row],[VAT WW 2017]]+Tabel66892628[[#This Row],[VAT Other ch. 2017]]</f>
        <v>46.88900072420185</v>
      </c>
      <c r="S47" s="571">
        <f>Tabel66892628[[#This Row],[Total. ch. DW 2017]]+Tabel66892628[[#This Row],[Sew. 2017]]+Tabel66892628[[#This Row],[VAT Sew. 2017]]+Tabel66892628[[#This Row],[WW 2017]]+Tabel66892628[[#This Row],[VAT WW 2017]]+Tabel66892628[[#This Row],[Other ch. 2017]]+Tabel66892628[[#This Row],[VAT Other ch. 2017]]</f>
        <v>281.3340043452111</v>
      </c>
      <c r="T47" s="397"/>
      <c r="U47" s="1886"/>
      <c r="V47" s="1888"/>
      <c r="W47" s="1890"/>
      <c r="X47" s="1772"/>
      <c r="Y47" s="1892"/>
      <c r="Z47" s="1894"/>
      <c r="AA47" s="1772"/>
      <c r="AB47" s="1911"/>
      <c r="AC47" s="1772"/>
      <c r="AD47" s="1913"/>
      <c r="AE47" s="1772"/>
      <c r="AF47" s="1915"/>
      <c r="AG47" s="1832"/>
      <c r="AH47" s="397"/>
      <c r="AI47" s="396"/>
      <c r="AJ47" s="396"/>
      <c r="AK47" s="396"/>
      <c r="AL47" s="396"/>
      <c r="AM47" s="396"/>
      <c r="AN47" s="396"/>
      <c r="AO47" s="398"/>
      <c r="AP47" s="397"/>
    </row>
    <row r="48" spans="1:42" ht="15.75" customHeight="1" x14ac:dyDescent="0.25">
      <c r="A48" s="1819"/>
      <c r="B48" s="685" t="s">
        <v>76</v>
      </c>
      <c r="C48" s="802"/>
      <c r="D48" s="802" t="s">
        <v>1036</v>
      </c>
      <c r="E48" s="1880"/>
      <c r="F48" s="647">
        <f>'exchange rates'!$O$9</f>
        <v>1.6293800000000001</v>
      </c>
      <c r="G48" s="625">
        <f>420/F48</f>
        <v>257.76675790791586</v>
      </c>
      <c r="H48" s="593">
        <v>0</v>
      </c>
      <c r="I48" s="594">
        <v>0</v>
      </c>
      <c r="J48" s="595">
        <f>84/F48</f>
        <v>51.553351581583179</v>
      </c>
      <c r="K48" s="566">
        <f>Tabel66892628[[#This Row],[Fix.ch. 2017]]+Tabel66892628[[#This Row],[Var. ch. 2017]]+Tabel66892628[[#This Row],[Oth. ch. DW 2017]]+Tabel66892628[[#This Row],[VAT DW 2017]]</f>
        <v>309.32010948949903</v>
      </c>
      <c r="L48" s="596">
        <f>16/F48</f>
        <v>9.8196860155396521</v>
      </c>
      <c r="M48" s="595">
        <f>3.2/F48</f>
        <v>1.9639372031079307</v>
      </c>
      <c r="N48" s="626">
        <f>34/F48</f>
        <v>20.866832783021763</v>
      </c>
      <c r="O48" s="595">
        <f>6.8/F48</f>
        <v>4.1733665566043525</v>
      </c>
      <c r="P48" s="597">
        <v>0</v>
      </c>
      <c r="Q48" s="595">
        <v>0</v>
      </c>
      <c r="R48" s="570">
        <f>Tabel66892628[[#This Row],[VAT DW 2017]]+Tabel66892628[[#This Row],[VAT Sew. 2017]]+Tabel66892628[[#This Row],[VAT WW 2017]]+Tabel66892628[[#This Row],[VAT Other ch. 2017]]</f>
        <v>57.690655341295461</v>
      </c>
      <c r="S48" s="571">
        <f>Tabel66892628[[#This Row],[Total. ch. DW 2017]]+Tabel66892628[[#This Row],[Sew. 2017]]+Tabel66892628[[#This Row],[VAT Sew. 2017]]+Tabel66892628[[#This Row],[WW 2017]]+Tabel66892628[[#This Row],[VAT WW 2017]]+Tabel66892628[[#This Row],[Other ch. 2017]]+Tabel66892628[[#This Row],[VAT Other ch. 2017]]</f>
        <v>346.14393204777281</v>
      </c>
      <c r="T48" s="397"/>
      <c r="U48" s="1886"/>
      <c r="V48" s="1888"/>
      <c r="W48" s="1890"/>
      <c r="X48" s="1772"/>
      <c r="Y48" s="1892"/>
      <c r="Z48" s="1894"/>
      <c r="AA48" s="1772"/>
      <c r="AB48" s="1911"/>
      <c r="AC48" s="1772"/>
      <c r="AD48" s="1913"/>
      <c r="AE48" s="1772"/>
      <c r="AF48" s="1915"/>
      <c r="AG48" s="1832"/>
      <c r="AH48" s="397"/>
      <c r="AI48" s="396"/>
      <c r="AJ48" s="396"/>
      <c r="AK48" s="396"/>
      <c r="AL48" s="396"/>
      <c r="AM48" s="396"/>
      <c r="AN48" s="396"/>
      <c r="AO48" s="398"/>
      <c r="AP48" s="397"/>
    </row>
    <row r="49" spans="1:42" ht="16.5" customHeight="1" thickBot="1" x14ac:dyDescent="0.3">
      <c r="A49" s="1820"/>
      <c r="B49" s="624" t="s">
        <v>77</v>
      </c>
      <c r="C49" s="802"/>
      <c r="D49" s="802" t="s">
        <v>1036</v>
      </c>
      <c r="E49" s="1799"/>
      <c r="F49" s="647">
        <f>'exchange rates'!$O$9</f>
        <v>1.6293800000000001</v>
      </c>
      <c r="G49" s="625">
        <f>362/F49</f>
        <v>222.17039610158466</v>
      </c>
      <c r="H49" s="593">
        <v>0</v>
      </c>
      <c r="I49" s="594">
        <v>0</v>
      </c>
      <c r="J49" s="595">
        <f>72.4/F49</f>
        <v>44.434079220316931</v>
      </c>
      <c r="K49" s="566">
        <f>Tabel66892628[[#This Row],[Fix.ch. 2017]]+Tabel66892628[[#This Row],[Var. ch. 2017]]+Tabel66892628[[#This Row],[Oth. ch. DW 2017]]+Tabel66892628[[#This Row],[VAT DW 2017]]</f>
        <v>266.60447532190159</v>
      </c>
      <c r="L49" s="596">
        <f>20/F49</f>
        <v>12.274607519424565</v>
      </c>
      <c r="M49" s="595">
        <f>4/F49</f>
        <v>2.454921503884913</v>
      </c>
      <c r="N49" s="626">
        <f>72/F49</f>
        <v>44.188587069928438</v>
      </c>
      <c r="O49" s="595">
        <f>14.4/F49</f>
        <v>8.837717413985688</v>
      </c>
      <c r="P49" s="597">
        <v>0</v>
      </c>
      <c r="Q49" s="595">
        <v>0</v>
      </c>
      <c r="R49" s="570">
        <f>Tabel66892628[[#This Row],[VAT DW 2017]]+Tabel66892628[[#This Row],[VAT Sew. 2017]]+Tabel66892628[[#This Row],[VAT WW 2017]]+Tabel66892628[[#This Row],[VAT Other ch. 2017]]</f>
        <v>55.726718138187529</v>
      </c>
      <c r="S49" s="571">
        <f>Tabel66892628[[#This Row],[Total. ch. DW 2017]]+Tabel66892628[[#This Row],[Sew. 2017]]+Tabel66892628[[#This Row],[VAT Sew. 2017]]+Tabel66892628[[#This Row],[WW 2017]]+Tabel66892628[[#This Row],[VAT WW 2017]]+Tabel66892628[[#This Row],[Other ch. 2017]]+Tabel66892628[[#This Row],[VAT Other ch. 2017]]</f>
        <v>334.36030882912519</v>
      </c>
      <c r="T49" s="397"/>
      <c r="U49" s="1801"/>
      <c r="V49" s="1803"/>
      <c r="W49" s="1805"/>
      <c r="X49" s="1773"/>
      <c r="Y49" s="1807"/>
      <c r="Z49" s="1809"/>
      <c r="AA49" s="1773"/>
      <c r="AB49" s="1782"/>
      <c r="AC49" s="1773"/>
      <c r="AD49" s="1786"/>
      <c r="AE49" s="1773"/>
      <c r="AF49" s="1789"/>
      <c r="AG49" s="1792"/>
      <c r="AH49" s="397"/>
      <c r="AI49" s="396"/>
      <c r="AJ49" s="396"/>
      <c r="AK49" s="396"/>
      <c r="AL49" s="396"/>
      <c r="AM49" s="396"/>
      <c r="AN49" s="396"/>
      <c r="AO49" s="398"/>
      <c r="AP49" s="397"/>
    </row>
    <row r="50" spans="1:42" ht="16.5" customHeight="1" thickBot="1" x14ac:dyDescent="0.3">
      <c r="A50" s="869" t="s">
        <v>501</v>
      </c>
      <c r="B50" s="265" t="s">
        <v>504</v>
      </c>
      <c r="C50" s="1045"/>
      <c r="D50" s="811" t="s">
        <v>1038</v>
      </c>
      <c r="E50" s="300">
        <v>1500</v>
      </c>
      <c r="F50" s="305">
        <v>506.17869999999999</v>
      </c>
      <c r="G50" s="310">
        <f>12000/F50</f>
        <v>23.707042591875162</v>
      </c>
      <c r="H50" s="311">
        <f>64348/F50</f>
        <v>127.12506472516525</v>
      </c>
      <c r="I50" s="312">
        <v>0</v>
      </c>
      <c r="J50" s="558"/>
      <c r="K50" s="313">
        <f>Tabel66892628[[#This Row],[Fix.ch. 2017]]+Tabel66892628[[#This Row],[Var. ch. 2017]]+Tabel66892628[[#This Row],[Oth. ch. DW 2017]]+Tabel66892628[[#This Row],[VAT DW 2017]]</f>
        <v>150.8321073170404</v>
      </c>
      <c r="L50" s="314">
        <f>12000/F50</f>
        <v>23.707042591875162</v>
      </c>
      <c r="M50" s="558"/>
      <c r="N50" s="315">
        <v>0</v>
      </c>
      <c r="O50" s="558"/>
      <c r="P50" s="316">
        <v>0</v>
      </c>
      <c r="Q50" s="558"/>
      <c r="R50" s="317">
        <f>Tabel66892628[[#This Row],[VAT DW 2017]]+Tabel66892628[[#This Row],[VAT Sew. 2017]]+Tabel66892628[[#This Row],[VAT WW 2017]]+Tabel66892628[[#This Row],[VAT Other ch. 2017]]</f>
        <v>0</v>
      </c>
      <c r="S50" s="318">
        <f>Tabel66892628[[#This Row],[Total. ch. DW 2017]]+Tabel66892628[[#This Row],[Sew. 2017]]+Tabel66892628[[#This Row],[VAT Sew. 2017]]+Tabel66892628[[#This Row],[WW 2017]]+Tabel66892628[[#This Row],[VAT WW 2017]]+Tabel66892628[[#This Row],[Other ch. 2017]]+Tabel66892628[[#This Row],[VAT Other ch. 2017]]</f>
        <v>174.53914990891556</v>
      </c>
      <c r="T50" s="397"/>
      <c r="U50" s="892">
        <f>Tabel66892628[[#This Row],[Fix.ch. 2017]]</f>
        <v>23.707042591875162</v>
      </c>
      <c r="V50" s="891">
        <f>Tabel66892628[[#This Row],[Var. ch. 2017]]</f>
        <v>127.12506472516525</v>
      </c>
      <c r="W50" s="889">
        <v>0</v>
      </c>
      <c r="X50" s="576"/>
      <c r="Y50" s="880">
        <f>Tabel66892628[[#This Row],[Total. ch. DW 2017]]</f>
        <v>150.8321073170404</v>
      </c>
      <c r="Z50" s="881">
        <f>Tabel66892628[[#This Row],[Sew. 2017]]</f>
        <v>23.707042591875162</v>
      </c>
      <c r="AA50" s="576"/>
      <c r="AB50" s="872">
        <v>0</v>
      </c>
      <c r="AC50" s="576"/>
      <c r="AD50" s="897">
        <v>0</v>
      </c>
      <c r="AE50" s="576"/>
      <c r="AF50" s="874">
        <f>Tabel66892628[[#This Row],[Total VAT 2017]]</f>
        <v>0</v>
      </c>
      <c r="AG50" s="873">
        <f>Tabel66892628[[#This Row],[total charge 2017]]</f>
        <v>174.53914990891556</v>
      </c>
      <c r="AH50" s="397"/>
      <c r="AI50" s="396"/>
      <c r="AJ50" s="396"/>
      <c r="AK50" s="396"/>
      <c r="AL50" s="396" t="s">
        <v>429</v>
      </c>
      <c r="AM50" s="396" t="s">
        <v>429</v>
      </c>
      <c r="AN50" s="396"/>
      <c r="AO50" s="398"/>
      <c r="AP50" s="397"/>
    </row>
    <row r="51" spans="1:42" ht="16.5" customHeight="1" x14ac:dyDescent="0.25">
      <c r="A51" s="1878" t="s">
        <v>343</v>
      </c>
      <c r="B51" s="740" t="s">
        <v>548</v>
      </c>
      <c r="C51" s="806"/>
      <c r="D51" s="806" t="s">
        <v>1040</v>
      </c>
      <c r="E51" s="1798">
        <v>48100</v>
      </c>
      <c r="F51" s="647">
        <f>'exchange rates'!$O$11</f>
        <v>1.25759</v>
      </c>
      <c r="G51" s="625">
        <f>187.08/F51</f>
        <v>148.76072487853753</v>
      </c>
      <c r="H51" s="593">
        <f>349.92/F51</f>
        <v>278.24648732893871</v>
      </c>
      <c r="I51" s="594">
        <v>0</v>
      </c>
      <c r="J51" s="595">
        <v>0</v>
      </c>
      <c r="K51" s="566">
        <f>Tabel66892628[[#This Row],[Fix.ch. 2017]]+Tabel66892628[[#This Row],[Var. ch. 2017]]+Tabel66892628[[#This Row],[Oth. ch. DW 2017]]+Tabel66892628[[#This Row],[VAT DW 2017]]</f>
        <v>427.00721220747624</v>
      </c>
      <c r="L51" s="596">
        <v>0</v>
      </c>
      <c r="M51" s="595">
        <v>0</v>
      </c>
      <c r="N51" s="626">
        <f>576/F51</f>
        <v>458.01890918343815</v>
      </c>
      <c r="O51" s="595">
        <v>0</v>
      </c>
      <c r="P51" s="597">
        <v>0</v>
      </c>
      <c r="Q51" s="595">
        <v>0</v>
      </c>
      <c r="R51" s="570">
        <f>Tabel66892628[[#This Row],[VAT DW 2017]]+Tabel66892628[[#This Row],[VAT Sew. 2017]]+Tabel66892628[[#This Row],[VAT WW 2017]]+Tabel66892628[[#This Row],[VAT Other ch. 2017]]</f>
        <v>0</v>
      </c>
      <c r="S51" s="571">
        <f>Tabel66892628[[#This Row],[Total. ch. DW 2017]]+Tabel66892628[[#This Row],[Sew. 2017]]+Tabel66892628[[#This Row],[VAT Sew. 2017]]+Tabel66892628[[#This Row],[WW 2017]]+Tabel66892628[[#This Row],[VAT WW 2017]]+Tabel66892628[[#This Row],[Other ch. 2017]]+Tabel66892628[[#This Row],[VAT Other ch. 2017]]</f>
        <v>885.02612139091434</v>
      </c>
      <c r="T51" s="397"/>
      <c r="U51" s="1800">
        <f>MEDIAN(G51:G56)</f>
        <v>158.20736488044594</v>
      </c>
      <c r="V51" s="1802">
        <f>MEDIAN(H51:H56)</f>
        <v>280.92621601634875</v>
      </c>
      <c r="W51" s="1804">
        <f>MEDIAN(I51:I56)</f>
        <v>0</v>
      </c>
      <c r="X51" s="1771">
        <f>MEDIAN(J51:J56)</f>
        <v>0</v>
      </c>
      <c r="Y51" s="1806">
        <f>SUM(U51:X56)</f>
        <v>439.13358089679468</v>
      </c>
      <c r="Z51" s="1808">
        <f t="shared" ref="Z51:AE51" si="5">MEDIAN(L51:L56)</f>
        <v>0</v>
      </c>
      <c r="AA51" s="1771">
        <f t="shared" si="5"/>
        <v>0</v>
      </c>
      <c r="AB51" s="1780">
        <f>MEDIAN(N51:N56)</f>
        <v>400.36895967684222</v>
      </c>
      <c r="AC51" s="1771">
        <f t="shared" si="5"/>
        <v>0</v>
      </c>
      <c r="AD51" s="1784">
        <f>MEDIAN(P51:P56)</f>
        <v>0</v>
      </c>
      <c r="AE51" s="1771">
        <f t="shared" si="5"/>
        <v>0</v>
      </c>
      <c r="AF51" s="1787">
        <f>MEDIAN(R51:R56)</f>
        <v>0</v>
      </c>
      <c r="AG51" s="1790">
        <f>Y51+Z51+AA51+AB51+AC51+AD51+AE51</f>
        <v>839.50254057363691</v>
      </c>
      <c r="AH51" s="397"/>
      <c r="AI51" s="396"/>
      <c r="AJ51" s="591" t="s">
        <v>429</v>
      </c>
      <c r="AK51" s="591"/>
      <c r="AL51" s="591"/>
      <c r="AM51" s="591" t="s">
        <v>429</v>
      </c>
      <c r="AN51" s="591" t="s">
        <v>429</v>
      </c>
      <c r="AO51" s="398"/>
      <c r="AP51" s="397"/>
    </row>
    <row r="52" spans="1:42" ht="16.5" customHeight="1" x14ac:dyDescent="0.25">
      <c r="A52" s="1757"/>
      <c r="B52" s="724" t="s">
        <v>940</v>
      </c>
      <c r="C52" s="724" t="s">
        <v>429</v>
      </c>
      <c r="D52" s="724" t="s">
        <v>1040</v>
      </c>
      <c r="E52" s="1760"/>
      <c r="F52" s="647">
        <f>'exchange rates'!$O$11</f>
        <v>1.25759</v>
      </c>
      <c r="G52" s="625">
        <f>109.68/F52</f>
        <v>87.214433957013028</v>
      </c>
      <c r="H52" s="593">
        <f>379.32/F52</f>
        <v>301.62453581851003</v>
      </c>
      <c r="I52" s="594">
        <v>0</v>
      </c>
      <c r="J52" s="595">
        <v>0</v>
      </c>
      <c r="K52" s="566">
        <f>Tabel66892628[[#This Row],[Fix.ch. 2017]]+Tabel66892628[[#This Row],[Var. ch. 2017]]+Tabel66892628[[#This Row],[Oth. ch. DW 2017]]+Tabel66892628[[#This Row],[VAT DW 2017]]</f>
        <v>388.83896977552308</v>
      </c>
      <c r="L52" s="596">
        <v>0</v>
      </c>
      <c r="M52" s="595">
        <v>0</v>
      </c>
      <c r="N52" s="626">
        <f>540/F52</f>
        <v>429.39272735947327</v>
      </c>
      <c r="O52" s="595">
        <v>0</v>
      </c>
      <c r="P52" s="597">
        <v>0</v>
      </c>
      <c r="Q52" s="595">
        <v>0</v>
      </c>
      <c r="R52" s="570">
        <f>Tabel66892628[[#This Row],[VAT DW 2017]]+Tabel66892628[[#This Row],[VAT Sew. 2017]]+Tabel66892628[[#This Row],[VAT WW 2017]]+Tabel66892628[[#This Row],[VAT Other ch. 2017]]</f>
        <v>0</v>
      </c>
      <c r="S52" s="571">
        <f>Tabel66892628[[#This Row],[Total. ch. DW 2017]]+Tabel66892628[[#This Row],[Sew. 2017]]+Tabel66892628[[#This Row],[WW 2017]]+Tabel66892628[[#This Row],[Other ch. 2017]]+Tabel66892628[[#This Row],[Total VAT 2017]]</f>
        <v>818.23169713499635</v>
      </c>
      <c r="T52" s="397"/>
      <c r="U52" s="1763"/>
      <c r="V52" s="1766"/>
      <c r="W52" s="1769"/>
      <c r="X52" s="1772"/>
      <c r="Y52" s="1775"/>
      <c r="Z52" s="1778"/>
      <c r="AA52" s="1772"/>
      <c r="AB52" s="1781"/>
      <c r="AC52" s="1772"/>
      <c r="AD52" s="1785"/>
      <c r="AE52" s="1772"/>
      <c r="AF52" s="1788"/>
      <c r="AG52" s="1791"/>
      <c r="AH52" s="397"/>
      <c r="AI52" s="396"/>
      <c r="AJ52" s="591" t="s">
        <v>429</v>
      </c>
      <c r="AK52" s="591"/>
      <c r="AL52" s="591"/>
      <c r="AM52" s="591" t="s">
        <v>429</v>
      </c>
      <c r="AN52" s="591" t="s">
        <v>429</v>
      </c>
      <c r="AO52" s="398"/>
      <c r="AP52" s="397"/>
    </row>
    <row r="53" spans="1:42" ht="16.5" customHeight="1" x14ac:dyDescent="0.25">
      <c r="A53" s="1757"/>
      <c r="B53" s="724" t="s">
        <v>549</v>
      </c>
      <c r="C53" s="724"/>
      <c r="D53" s="724" t="s">
        <v>1040</v>
      </c>
      <c r="E53" s="1760"/>
      <c r="F53" s="647">
        <f>'exchange rates'!$O$11</f>
        <v>1.25759</v>
      </c>
      <c r="G53" s="625">
        <f>179.34/F53</f>
        <v>142.60609578638508</v>
      </c>
      <c r="H53" s="593">
        <f>356.66/F53</f>
        <v>283.60594470375878</v>
      </c>
      <c r="I53" s="594">
        <v>0</v>
      </c>
      <c r="J53" s="595">
        <v>0</v>
      </c>
      <c r="K53" s="566">
        <f>Tabel66892628[[#This Row],[Fix.ch. 2017]]+Tabel66892628[[#This Row],[Var. ch. 2017]]+Tabel66892628[[#This Row],[Oth. ch. DW 2017]]+Tabel66892628[[#This Row],[VAT DW 2017]]</f>
        <v>426.21204049014386</v>
      </c>
      <c r="L53" s="596">
        <v>0</v>
      </c>
      <c r="M53" s="595">
        <v>0</v>
      </c>
      <c r="N53" s="626">
        <f>511/F53</f>
        <v>406.33274755683493</v>
      </c>
      <c r="O53" s="595">
        <v>0</v>
      </c>
      <c r="P53" s="597">
        <v>0</v>
      </c>
      <c r="Q53" s="595">
        <v>0</v>
      </c>
      <c r="R53" s="570">
        <f>Tabel66892628[[#This Row],[VAT DW 2017]]+Tabel66892628[[#This Row],[VAT Sew. 2017]]+Tabel66892628[[#This Row],[VAT WW 2017]]+Tabel66892628[[#This Row],[VAT Other ch. 2017]]</f>
        <v>0</v>
      </c>
      <c r="S53" s="571">
        <f>Tabel66892628[[#This Row],[Total. ch. DW 2017]]+Tabel66892628[[#This Row],[Sew. 2017]]+Tabel66892628[[#This Row],[VAT Sew. 2017]]+Tabel66892628[[#This Row],[WW 2017]]+Tabel66892628[[#This Row],[VAT WW 2017]]+Tabel66892628[[#This Row],[Other ch. 2017]]+Tabel66892628[[#This Row],[VAT Other ch. 2017]]</f>
        <v>832.54478804697874</v>
      </c>
      <c r="T53" s="397"/>
      <c r="U53" s="1763"/>
      <c r="V53" s="1766"/>
      <c r="W53" s="1769"/>
      <c r="X53" s="1772"/>
      <c r="Y53" s="1775"/>
      <c r="Z53" s="1778"/>
      <c r="AA53" s="1772"/>
      <c r="AB53" s="1781"/>
      <c r="AC53" s="1772"/>
      <c r="AD53" s="1785"/>
      <c r="AE53" s="1772"/>
      <c r="AF53" s="1788"/>
      <c r="AG53" s="1791"/>
      <c r="AH53" s="397"/>
      <c r="AI53" s="396"/>
      <c r="AJ53" s="591" t="s">
        <v>429</v>
      </c>
      <c r="AK53" s="591"/>
      <c r="AL53" s="591"/>
      <c r="AM53" s="591" t="s">
        <v>429</v>
      </c>
      <c r="AN53" s="591" t="s">
        <v>429</v>
      </c>
      <c r="AO53" s="398"/>
      <c r="AP53" s="397"/>
    </row>
    <row r="54" spans="1:42" ht="16.5" customHeight="1" x14ac:dyDescent="0.25">
      <c r="A54" s="1757"/>
      <c r="B54" s="724" t="s">
        <v>722</v>
      </c>
      <c r="C54" s="724"/>
      <c r="D54" s="724" t="s">
        <v>1040</v>
      </c>
      <c r="E54" s="1760"/>
      <c r="F54" s="647">
        <f>'exchange rates'!$O$11</f>
        <v>1.25759</v>
      </c>
      <c r="G54" s="625">
        <f>240/F54</f>
        <v>190.84121215976592</v>
      </c>
      <c r="H54" s="593">
        <f>721/F54</f>
        <v>573.31880819663002</v>
      </c>
      <c r="I54" s="594">
        <v>0</v>
      </c>
      <c r="J54" s="595">
        <v>0</v>
      </c>
      <c r="K54" s="566">
        <f>Tabel66892628[[#This Row],[Fix.ch. 2017]]+Tabel66892628[[#This Row],[Var. ch. 2017]]+Tabel66892628[[#This Row],[Oth. ch. DW 2017]]+Tabel66892628[[#This Row],[VAT DW 2017]]</f>
        <v>764.16002035639599</v>
      </c>
      <c r="L54" s="596">
        <v>0</v>
      </c>
      <c r="M54" s="595">
        <v>0</v>
      </c>
      <c r="N54" s="626">
        <f>496/F54</f>
        <v>394.40517179684952</v>
      </c>
      <c r="O54" s="595">
        <v>0</v>
      </c>
      <c r="P54" s="597">
        <v>0</v>
      </c>
      <c r="Q54" s="595">
        <v>0</v>
      </c>
      <c r="R54" s="570">
        <f>Tabel66892628[[#This Row],[VAT DW 2017]]+Tabel66892628[[#This Row],[VAT Sew. 2017]]+Tabel66892628[[#This Row],[VAT WW 2017]]+Tabel66892628[[#This Row],[VAT Other ch. 2017]]</f>
        <v>0</v>
      </c>
      <c r="S54" s="571">
        <f>Tabel66892628[[#This Row],[Total. ch. DW 2017]]+Tabel66892628[[#This Row],[Sew. 2017]]+Tabel66892628[[#This Row],[VAT Sew. 2017]]+Tabel66892628[[#This Row],[WW 2017]]+Tabel66892628[[#This Row],[VAT WW 2017]]+Tabel66892628[[#This Row],[Other ch. 2017]]+Tabel66892628[[#This Row],[VAT Other ch. 2017]]</f>
        <v>1158.5651921532456</v>
      </c>
      <c r="T54" s="397"/>
      <c r="U54" s="1763"/>
      <c r="V54" s="1766"/>
      <c r="W54" s="1769"/>
      <c r="X54" s="1772"/>
      <c r="Y54" s="1775"/>
      <c r="Z54" s="1778"/>
      <c r="AA54" s="1772"/>
      <c r="AB54" s="1781"/>
      <c r="AC54" s="1772"/>
      <c r="AD54" s="1785"/>
      <c r="AE54" s="1772"/>
      <c r="AF54" s="1788"/>
      <c r="AG54" s="1791"/>
      <c r="AH54" s="397"/>
      <c r="AI54" s="396"/>
      <c r="AJ54" s="396"/>
      <c r="AK54" s="396"/>
      <c r="AL54" s="591" t="s">
        <v>429</v>
      </c>
      <c r="AM54" s="591" t="s">
        <v>429</v>
      </c>
      <c r="AN54" s="591" t="s">
        <v>429</v>
      </c>
      <c r="AO54" s="398"/>
      <c r="AP54" s="397"/>
    </row>
    <row r="55" spans="1:42" ht="16.5" customHeight="1" x14ac:dyDescent="0.25">
      <c r="A55" s="1757"/>
      <c r="B55" s="724" t="s">
        <v>723</v>
      </c>
      <c r="C55" s="724"/>
      <c r="D55" s="724" t="s">
        <v>1040</v>
      </c>
      <c r="E55" s="1760"/>
      <c r="F55" s="647">
        <f>'exchange rates'!$O$11</f>
        <v>1.25759</v>
      </c>
      <c r="G55" s="625">
        <f>616/F55</f>
        <v>489.8257778767325</v>
      </c>
      <c r="H55" s="593">
        <f>0</f>
        <v>0</v>
      </c>
      <c r="I55" s="594">
        <v>0</v>
      </c>
      <c r="J55" s="595">
        <v>0</v>
      </c>
      <c r="K55" s="566">
        <f>Tabel66892628[[#This Row],[Fix.ch. 2017]]+Tabel66892628[[#This Row],[Var. ch. 2017]]+Tabel66892628[[#This Row],[Oth. ch. DW 2017]]+Tabel66892628[[#This Row],[VAT DW 2017]]</f>
        <v>489.8257778767325</v>
      </c>
      <c r="L55" s="596">
        <v>0</v>
      </c>
      <c r="M55" s="595">
        <v>0</v>
      </c>
      <c r="N55" s="626">
        <f>384/F55</f>
        <v>305.34593945562546</v>
      </c>
      <c r="O55" s="595">
        <v>0</v>
      </c>
      <c r="P55" s="597">
        <v>0</v>
      </c>
      <c r="Q55" s="595">
        <v>0</v>
      </c>
      <c r="R55" s="570">
        <f>Tabel66892628[[#This Row],[VAT DW 2017]]+Tabel66892628[[#This Row],[VAT Sew. 2017]]+Tabel66892628[[#This Row],[VAT WW 2017]]+Tabel66892628[[#This Row],[VAT Other ch. 2017]]</f>
        <v>0</v>
      </c>
      <c r="S55" s="571">
        <f>Tabel66892628[[#This Row],[Total. ch. DW 2017]]+Tabel66892628[[#This Row],[Sew. 2017]]+Tabel66892628[[#This Row],[VAT Sew. 2017]]+Tabel66892628[[#This Row],[WW 2017]]+Tabel66892628[[#This Row],[VAT WW 2017]]+Tabel66892628[[#This Row],[Other ch. 2017]]+Tabel66892628[[#This Row],[VAT Other ch. 2017]]</f>
        <v>795.17171733235796</v>
      </c>
      <c r="T55" s="397"/>
      <c r="U55" s="1763"/>
      <c r="V55" s="1766"/>
      <c r="W55" s="1769"/>
      <c r="X55" s="1772"/>
      <c r="Y55" s="1775"/>
      <c r="Z55" s="1778"/>
      <c r="AA55" s="1772"/>
      <c r="AB55" s="1781"/>
      <c r="AC55" s="1772"/>
      <c r="AD55" s="1785"/>
      <c r="AE55" s="1772"/>
      <c r="AF55" s="1788"/>
      <c r="AG55" s="1791"/>
      <c r="AH55" s="397"/>
      <c r="AI55" s="591" t="s">
        <v>429</v>
      </c>
      <c r="AJ55" s="591"/>
      <c r="AK55" s="591"/>
      <c r="AL55" s="591"/>
      <c r="AM55" s="591" t="s">
        <v>429</v>
      </c>
      <c r="AN55" s="591" t="s">
        <v>429</v>
      </c>
      <c r="AO55" s="398"/>
      <c r="AP55" s="397"/>
    </row>
    <row r="56" spans="1:42" ht="16.5" customHeight="1" thickBot="1" x14ac:dyDescent="0.3">
      <c r="A56" s="1758"/>
      <c r="B56" s="743" t="s">
        <v>552</v>
      </c>
      <c r="C56" s="807"/>
      <c r="D56" s="807" t="s">
        <v>1040</v>
      </c>
      <c r="E56" s="1799"/>
      <c r="F56" s="647">
        <f>'exchange rates'!$O$11</f>
        <v>1.25759</v>
      </c>
      <c r="G56" s="625">
        <f>210.84/F56</f>
        <v>167.65400488235434</v>
      </c>
      <c r="H56" s="593">
        <f>209.16/F56</f>
        <v>166.31811639723597</v>
      </c>
      <c r="I56" s="594">
        <v>0</v>
      </c>
      <c r="J56" s="595">
        <v>0</v>
      </c>
      <c r="K56" s="566">
        <f>Tabel66892628[[#This Row],[Fix.ch. 2017]]+Tabel66892628[[#This Row],[Var. ch. 2017]]+Tabel66892628[[#This Row],[Oth. ch. DW 2017]]+Tabel66892628[[#This Row],[VAT DW 2017]]</f>
        <v>333.97212127959028</v>
      </c>
      <c r="L56" s="596">
        <v>0</v>
      </c>
      <c r="M56" s="595">
        <v>0</v>
      </c>
      <c r="N56" s="626">
        <f>424/F56</f>
        <v>337.15280814891975</v>
      </c>
      <c r="O56" s="595">
        <v>0</v>
      </c>
      <c r="P56" s="597">
        <v>0</v>
      </c>
      <c r="Q56" s="595">
        <v>0</v>
      </c>
      <c r="R56" s="570">
        <f>Tabel66892628[[#This Row],[VAT DW 2017]]+Tabel66892628[[#This Row],[VAT Sew. 2017]]+Tabel66892628[[#This Row],[VAT WW 2017]]+Tabel66892628[[#This Row],[VAT Other ch. 2017]]</f>
        <v>0</v>
      </c>
      <c r="S56" s="571">
        <f>Tabel66892628[[#This Row],[Total. ch. DW 2017]]+Tabel66892628[[#This Row],[Sew. 2017]]+Tabel66892628[[#This Row],[VAT Sew. 2017]]+Tabel66892628[[#This Row],[WW 2017]]+Tabel66892628[[#This Row],[VAT WW 2017]]+Tabel66892628[[#This Row],[Other ch. 2017]]+Tabel66892628[[#This Row],[VAT Other ch. 2017]]</f>
        <v>671.12492942851009</v>
      </c>
      <c r="T56" s="397"/>
      <c r="U56" s="1801"/>
      <c r="V56" s="1803"/>
      <c r="W56" s="1805"/>
      <c r="X56" s="1773"/>
      <c r="Y56" s="1807"/>
      <c r="Z56" s="1809"/>
      <c r="AA56" s="1773"/>
      <c r="AB56" s="1782"/>
      <c r="AC56" s="1773"/>
      <c r="AD56" s="1786"/>
      <c r="AE56" s="1773"/>
      <c r="AF56" s="1789"/>
      <c r="AG56" s="1792"/>
      <c r="AH56" s="397"/>
      <c r="AI56" s="396"/>
      <c r="AJ56" s="396"/>
      <c r="AK56" s="591" t="s">
        <v>429</v>
      </c>
      <c r="AL56" s="591"/>
      <c r="AM56" s="591" t="s">
        <v>429</v>
      </c>
      <c r="AN56" s="591" t="s">
        <v>429</v>
      </c>
      <c r="AO56" s="398"/>
      <c r="AP56" s="397"/>
    </row>
    <row r="57" spans="1:42" ht="16.5" customHeight="1" x14ac:dyDescent="0.25">
      <c r="A57" s="1833" t="s">
        <v>489</v>
      </c>
      <c r="B57" s="288" t="s">
        <v>728</v>
      </c>
      <c r="C57" s="805"/>
      <c r="D57" s="805" t="s">
        <v>1042</v>
      </c>
      <c r="E57" s="1837">
        <v>23800</v>
      </c>
      <c r="F57" s="306">
        <f>'exchange rates'!$M$12</f>
        <v>711.02919999999995</v>
      </c>
      <c r="G57" s="310">
        <f>10990/F57</f>
        <v>15.456467891895299</v>
      </c>
      <c r="H57" s="311">
        <f>284335/F57</f>
        <v>399.89215632775705</v>
      </c>
      <c r="I57" s="312">
        <v>0</v>
      </c>
      <c r="J57" s="558"/>
      <c r="K57" s="313">
        <f>Tabel66892628[[#This Row],[Fix.ch. 2017]]+Tabel66892628[[#This Row],[Var. ch. 2017]]+Tabel66892628[[#This Row],[Oth. ch. DW 2017]]+Tabel66892628[[#This Row],[VAT DW 2017]]</f>
        <v>415.34862421965232</v>
      </c>
      <c r="L57" s="314">
        <f>64761/F57</f>
        <v>91.080647602095667</v>
      </c>
      <c r="M57" s="558"/>
      <c r="N57" s="315">
        <v>0</v>
      </c>
      <c r="O57" s="558"/>
      <c r="P57" s="316">
        <v>0</v>
      </c>
      <c r="Q57" s="558"/>
      <c r="R57" s="317">
        <f>Tabel66892628[[#This Row],[VAT DW 2017]]+Tabel66892628[[#This Row],[VAT Sew. 2017]]+Tabel66892628[[#This Row],[VAT WW 2017]]+Tabel66892628[[#This Row],[VAT Other ch. 2017]]</f>
        <v>0</v>
      </c>
      <c r="S57" s="318">
        <f>Tabel66892628[[#This Row],[Total. ch. DW 2017]]+Tabel66892628[[#This Row],[Sew. 2017]]+Tabel66892628[[#This Row],[VAT Sew. 2017]]+Tabel66892628[[#This Row],[WW 2017]]+Tabel66892628[[#This Row],[VAT WW 2017]]+Tabel66892628[[#This Row],[Other ch. 2017]]+Tabel66892628[[#This Row],[VAT Other ch. 2017]]</f>
        <v>506.42927182174799</v>
      </c>
      <c r="T57" s="397"/>
      <c r="U57" s="1927">
        <f>MEDIAN(G57:G62)</f>
        <v>16.670904654829929</v>
      </c>
      <c r="V57" s="1928">
        <f>MEDIAN(H57:H62)</f>
        <v>155.12935333738756</v>
      </c>
      <c r="W57" s="1929">
        <f>MEDIAN(I57:I62)</f>
        <v>0</v>
      </c>
      <c r="X57" s="575"/>
      <c r="Y57" s="1930">
        <f>SUM(U57:W62)</f>
        <v>171.8002579922175</v>
      </c>
      <c r="Z57" s="1918">
        <f>MEDIAN(L57:L62)</f>
        <v>139.88314403965407</v>
      </c>
      <c r="AA57" s="575"/>
      <c r="AB57" s="1919">
        <f>MEDIAN(N57:N62)</f>
        <v>0</v>
      </c>
      <c r="AC57" s="575"/>
      <c r="AD57" s="1920">
        <f>MEDIAN(P57:P62)</f>
        <v>0</v>
      </c>
      <c r="AE57" s="575"/>
      <c r="AF57" s="1921">
        <f>MEDIAN(R57:R62)</f>
        <v>0</v>
      </c>
      <c r="AG57" s="1922">
        <f>SUM(Y57:AF62)</f>
        <v>311.68340203187154</v>
      </c>
      <c r="AH57" s="397"/>
      <c r="AI57" s="396"/>
      <c r="AJ57" s="396"/>
      <c r="AK57" s="396"/>
      <c r="AL57" s="396"/>
      <c r="AM57" s="396"/>
      <c r="AN57" s="396"/>
      <c r="AO57" s="398"/>
      <c r="AP57" s="397"/>
    </row>
    <row r="58" spans="1:42" ht="16.5" customHeight="1" x14ac:dyDescent="0.25">
      <c r="A58" s="1834"/>
      <c r="B58" s="525" t="s">
        <v>492</v>
      </c>
      <c r="C58" s="805"/>
      <c r="D58" s="805" t="s">
        <v>1042</v>
      </c>
      <c r="E58" s="1837"/>
      <c r="F58" s="306">
        <f>'exchange rates'!$M$12</f>
        <v>711.02919999999995</v>
      </c>
      <c r="G58" s="310">
        <f>12717/F58</f>
        <v>17.885341417764561</v>
      </c>
      <c r="H58" s="311">
        <f>135129/F58</f>
        <v>190.04704729426021</v>
      </c>
      <c r="I58" s="312">
        <v>0</v>
      </c>
      <c r="J58" s="558"/>
      <c r="K58" s="313">
        <f>Tabel66892628[[#This Row],[Fix.ch. 2017]]+Tabel66892628[[#This Row],[Var. ch. 2017]]+Tabel66892628[[#This Row],[Oth. ch. DW 2017]]+Tabel66892628[[#This Row],[VAT DW 2017]]</f>
        <v>207.93238871202476</v>
      </c>
      <c r="L58" s="314">
        <f>99461/F58</f>
        <v>139.88314403965407</v>
      </c>
      <c r="M58" s="558"/>
      <c r="N58" s="315">
        <v>0</v>
      </c>
      <c r="O58" s="558"/>
      <c r="P58" s="316">
        <v>0</v>
      </c>
      <c r="Q58" s="558"/>
      <c r="R58" s="317">
        <f>Tabel66892628[[#This Row],[VAT DW 2017]]+Tabel66892628[[#This Row],[VAT Sew. 2017]]+Tabel66892628[[#This Row],[VAT WW 2017]]+Tabel66892628[[#This Row],[VAT Other ch. 2017]]</f>
        <v>0</v>
      </c>
      <c r="S58" s="318">
        <f>Tabel66892628[[#This Row],[Total. ch. DW 2017]]+Tabel66892628[[#This Row],[Sew. 2017]]+Tabel66892628[[#This Row],[VAT Sew. 2017]]+Tabel66892628[[#This Row],[WW 2017]]+Tabel66892628[[#This Row],[VAT WW 2017]]+Tabel66892628[[#This Row],[Other ch. 2017]]+Tabel66892628[[#This Row],[VAT Other ch. 2017]]</f>
        <v>347.8155327516788</v>
      </c>
      <c r="T58" s="397"/>
      <c r="U58" s="1840"/>
      <c r="V58" s="1843"/>
      <c r="W58" s="1846"/>
      <c r="X58" s="576"/>
      <c r="Y58" s="1849"/>
      <c r="Z58" s="1852"/>
      <c r="AA58" s="576"/>
      <c r="AB58" s="1855"/>
      <c r="AC58" s="576"/>
      <c r="AD58" s="1858"/>
      <c r="AE58" s="576"/>
      <c r="AF58" s="1873"/>
      <c r="AG58" s="1876"/>
      <c r="AH58" s="397"/>
      <c r="AI58" s="396"/>
      <c r="AJ58" s="396"/>
      <c r="AK58" s="396"/>
      <c r="AL58" s="396"/>
      <c r="AM58" s="396"/>
      <c r="AN58" s="396"/>
      <c r="AO58" s="398"/>
      <c r="AP58" s="397"/>
    </row>
    <row r="59" spans="1:42" ht="16.5" customHeight="1" x14ac:dyDescent="0.25">
      <c r="A59" s="1834"/>
      <c r="B59" s="525" t="s">
        <v>729</v>
      </c>
      <c r="C59" s="805"/>
      <c r="D59" s="805" t="s">
        <v>1042</v>
      </c>
      <c r="E59" s="1837"/>
      <c r="F59" s="306">
        <f>'exchange rates'!$M$12</f>
        <v>711.02919999999995</v>
      </c>
      <c r="G59" s="310">
        <f>12717/F59</f>
        <v>17.885341417764561</v>
      </c>
      <c r="H59" s="311">
        <f>135129/F59</f>
        <v>190.04704729426021</v>
      </c>
      <c r="I59" s="312">
        <v>0</v>
      </c>
      <c r="J59" s="558"/>
      <c r="K59" s="313">
        <f>Tabel66892628[[#This Row],[Fix.ch. 2017]]+Tabel66892628[[#This Row],[Var. ch. 2017]]+Tabel66892628[[#This Row],[Oth. ch. DW 2017]]+Tabel66892628[[#This Row],[VAT DW 2017]]</f>
        <v>207.93238871202476</v>
      </c>
      <c r="L59" s="314">
        <f>99461/F59</f>
        <v>139.88314403965407</v>
      </c>
      <c r="M59" s="558"/>
      <c r="N59" s="315">
        <v>0</v>
      </c>
      <c r="O59" s="558"/>
      <c r="P59" s="316">
        <v>0</v>
      </c>
      <c r="Q59" s="558"/>
      <c r="R59" s="317">
        <f>Tabel66892628[[#This Row],[VAT DW 2017]]+Tabel66892628[[#This Row],[VAT Sew. 2017]]+Tabel66892628[[#This Row],[VAT WW 2017]]+Tabel66892628[[#This Row],[VAT Other ch. 2017]]</f>
        <v>0</v>
      </c>
      <c r="S59" s="318">
        <f>Tabel66892628[[#This Row],[Total. ch. DW 2017]]+Tabel66892628[[#This Row],[Sew. 2017]]+Tabel66892628[[#This Row],[VAT Sew. 2017]]+Tabel66892628[[#This Row],[WW 2017]]+Tabel66892628[[#This Row],[VAT WW 2017]]+Tabel66892628[[#This Row],[Other ch. 2017]]+Tabel66892628[[#This Row],[VAT Other ch. 2017]]</f>
        <v>347.8155327516788</v>
      </c>
      <c r="T59" s="397"/>
      <c r="U59" s="1840"/>
      <c r="V59" s="1843"/>
      <c r="W59" s="1846"/>
      <c r="X59" s="576"/>
      <c r="Y59" s="1849"/>
      <c r="Z59" s="1852"/>
      <c r="AA59" s="576"/>
      <c r="AB59" s="1855"/>
      <c r="AC59" s="576"/>
      <c r="AD59" s="1858"/>
      <c r="AE59" s="576"/>
      <c r="AF59" s="1873"/>
      <c r="AG59" s="1876"/>
      <c r="AH59" s="397"/>
      <c r="AI59" s="396"/>
      <c r="AJ59" s="396"/>
      <c r="AK59" s="396"/>
      <c r="AL59" s="396"/>
      <c r="AM59" s="396"/>
      <c r="AN59" s="396"/>
      <c r="AO59" s="398"/>
      <c r="AP59" s="397"/>
    </row>
    <row r="60" spans="1:42" ht="16.5" customHeight="1" x14ac:dyDescent="0.25">
      <c r="A60" s="1834"/>
      <c r="B60" s="525" t="s">
        <v>493</v>
      </c>
      <c r="C60" s="805"/>
      <c r="D60" s="805" t="s">
        <v>1042</v>
      </c>
      <c r="E60" s="1837"/>
      <c r="F60" s="306">
        <f>'exchange rates'!$M$12</f>
        <v>711.02919999999995</v>
      </c>
      <c r="G60" s="310">
        <f>7685/F60</f>
        <v>10.80827622831805</v>
      </c>
      <c r="H60" s="311">
        <f>81904/F60</f>
        <v>115.19076853665082</v>
      </c>
      <c r="I60" s="312">
        <v>0</v>
      </c>
      <c r="J60" s="558"/>
      <c r="K60" s="313">
        <f>Tabel66892628[[#This Row],[Fix.ch. 2017]]+Tabel66892628[[#This Row],[Var. ch. 2017]]+Tabel66892628[[#This Row],[Oth. ch. DW 2017]]+Tabel66892628[[#This Row],[VAT DW 2017]]</f>
        <v>125.99904476496887</v>
      </c>
      <c r="L60" s="314">
        <f>104035/F60</f>
        <v>146.31607253260486</v>
      </c>
      <c r="M60" s="558"/>
      <c r="N60" s="315">
        <v>0</v>
      </c>
      <c r="O60" s="558"/>
      <c r="P60" s="316">
        <v>0</v>
      </c>
      <c r="Q60" s="558"/>
      <c r="R60" s="317">
        <f>Tabel66892628[[#This Row],[VAT DW 2017]]+Tabel66892628[[#This Row],[VAT Sew. 2017]]+Tabel66892628[[#This Row],[VAT WW 2017]]+Tabel66892628[[#This Row],[VAT Other ch. 2017]]</f>
        <v>0</v>
      </c>
      <c r="S60" s="318">
        <f>Tabel66892628[[#This Row],[Total. ch. DW 2017]]+Tabel66892628[[#This Row],[Sew. 2017]]+Tabel66892628[[#This Row],[VAT Sew. 2017]]+Tabel66892628[[#This Row],[WW 2017]]+Tabel66892628[[#This Row],[VAT WW 2017]]+Tabel66892628[[#This Row],[Other ch. 2017]]+Tabel66892628[[#This Row],[VAT Other ch. 2017]]</f>
        <v>272.31511729757375</v>
      </c>
      <c r="T60" s="397"/>
      <c r="U60" s="1840"/>
      <c r="V60" s="1843"/>
      <c r="W60" s="1846"/>
      <c r="X60" s="576"/>
      <c r="Y60" s="1849"/>
      <c r="Z60" s="1852"/>
      <c r="AA60" s="576"/>
      <c r="AB60" s="1855"/>
      <c r="AC60" s="576"/>
      <c r="AD60" s="1858"/>
      <c r="AE60" s="576"/>
      <c r="AF60" s="1873"/>
      <c r="AG60" s="1876"/>
      <c r="AH60" s="397"/>
      <c r="AI60" s="396"/>
      <c r="AJ60" s="396"/>
      <c r="AK60" s="396"/>
      <c r="AL60" s="396"/>
      <c r="AM60" s="396"/>
      <c r="AN60" s="396"/>
      <c r="AO60" s="398"/>
      <c r="AP60" s="397"/>
    </row>
    <row r="61" spans="1:42" ht="16.5" customHeight="1" x14ac:dyDescent="0.25">
      <c r="A61" s="1834"/>
      <c r="B61" s="288" t="s">
        <v>730</v>
      </c>
      <c r="C61" s="805"/>
      <c r="D61" s="805" t="s">
        <v>1042</v>
      </c>
      <c r="E61" s="1837"/>
      <c r="F61" s="306">
        <f>'exchange rates'!$M$12</f>
        <v>711.02919999999995</v>
      </c>
      <c r="G61" s="310">
        <f>12923/F61</f>
        <v>18.17506228998753</v>
      </c>
      <c r="H61" s="311">
        <f>85474/F61</f>
        <v>120.2116593805149</v>
      </c>
      <c r="I61" s="312">
        <v>0</v>
      </c>
      <c r="J61" s="558"/>
      <c r="K61" s="313">
        <f>Tabel66892628[[#This Row],[Fix.ch. 2017]]+Tabel66892628[[#This Row],[Var. ch. 2017]]+Tabel66892628[[#This Row],[Oth. ch. DW 2017]]+Tabel66892628[[#This Row],[VAT DW 2017]]</f>
        <v>138.38672167050242</v>
      </c>
      <c r="L61" s="314">
        <f>139941/F61</f>
        <v>196.81470184346861</v>
      </c>
      <c r="M61" s="558"/>
      <c r="N61" s="315">
        <v>0</v>
      </c>
      <c r="O61" s="558"/>
      <c r="P61" s="316">
        <v>0</v>
      </c>
      <c r="Q61" s="558"/>
      <c r="R61" s="317">
        <f>Tabel66892628[[#This Row],[VAT DW 2017]]+Tabel66892628[[#This Row],[VAT Sew. 2017]]+Tabel66892628[[#This Row],[VAT WW 2017]]+Tabel66892628[[#This Row],[VAT Other ch. 2017]]</f>
        <v>0</v>
      </c>
      <c r="S61" s="318">
        <f>Tabel66892628[[#This Row],[Total. ch. DW 2017]]+Tabel66892628[[#This Row],[Sew. 2017]]+Tabel66892628[[#This Row],[VAT Sew. 2017]]+Tabel66892628[[#This Row],[WW 2017]]+Tabel66892628[[#This Row],[VAT WW 2017]]+Tabel66892628[[#This Row],[Other ch. 2017]]+Tabel66892628[[#This Row],[VAT Other ch. 2017]]</f>
        <v>335.20142351397101</v>
      </c>
      <c r="T61" s="397"/>
      <c r="U61" s="1840"/>
      <c r="V61" s="1843"/>
      <c r="W61" s="1846"/>
      <c r="X61" s="576"/>
      <c r="Y61" s="1849"/>
      <c r="Z61" s="1852"/>
      <c r="AA61" s="576"/>
      <c r="AB61" s="1855"/>
      <c r="AC61" s="576"/>
      <c r="AD61" s="1858"/>
      <c r="AE61" s="576"/>
      <c r="AF61" s="1873"/>
      <c r="AG61" s="1876"/>
      <c r="AH61" s="397"/>
      <c r="AI61" s="396"/>
      <c r="AJ61" s="396"/>
      <c r="AK61" s="396"/>
      <c r="AL61" s="396"/>
      <c r="AM61" s="396"/>
      <c r="AN61" s="396"/>
      <c r="AO61" s="398"/>
      <c r="AP61" s="397"/>
    </row>
    <row r="62" spans="1:42" ht="16.5" customHeight="1" thickBot="1" x14ac:dyDescent="0.3">
      <c r="A62" s="1835"/>
      <c r="B62" s="288" t="s">
        <v>731</v>
      </c>
      <c r="C62" s="805" t="s">
        <v>429</v>
      </c>
      <c r="D62" s="801" t="s">
        <v>1042</v>
      </c>
      <c r="E62" s="1838"/>
      <c r="F62" s="306">
        <f>'exchange rates'!$M$12</f>
        <v>711.02919999999995</v>
      </c>
      <c r="G62" s="310">
        <f>7300/F62</f>
        <v>10.266807607901336</v>
      </c>
      <c r="H62" s="311">
        <f>67207/F62</f>
        <v>94.520731356743156</v>
      </c>
      <c r="I62" s="312">
        <v>0</v>
      </c>
      <c r="J62" s="558"/>
      <c r="K62" s="313">
        <f>Tabel66892628[[#This Row],[Fix.ch. 2017]]+Tabel66892628[[#This Row],[Var. ch. 2017]]+Tabel66892628[[#This Row],[Oth. ch. DW 2017]]+Tabel66892628[[#This Row],[VAT DW 2017]]</f>
        <v>104.7875389646445</v>
      </c>
      <c r="L62" s="314">
        <f>90496/F62</f>
        <v>127.27466044995059</v>
      </c>
      <c r="M62" s="558"/>
      <c r="N62" s="315">
        <v>0</v>
      </c>
      <c r="O62" s="558"/>
      <c r="P62" s="316">
        <v>0</v>
      </c>
      <c r="Q62" s="558"/>
      <c r="R62" s="317">
        <f>Tabel66892628[[#This Row],[VAT DW 2017]]+Tabel66892628[[#This Row],[VAT Sew. 2017]]+Tabel66892628[[#This Row],[VAT WW 2017]]+Tabel66892628[[#This Row],[VAT Other ch. 2017]]</f>
        <v>0</v>
      </c>
      <c r="S62" s="318">
        <f>Tabel66892628[[#This Row],[Total. ch. DW 2017]]+Tabel66892628[[#This Row],[Sew. 2017]]+Tabel66892628[[#This Row],[VAT Sew. 2017]]+Tabel66892628[[#This Row],[WW 2017]]+Tabel66892628[[#This Row],[VAT WW 2017]]+Tabel66892628[[#This Row],[Other ch. 2017]]+Tabel66892628[[#This Row],[VAT Other ch. 2017]]</f>
        <v>232.06219941459509</v>
      </c>
      <c r="T62" s="397"/>
      <c r="U62" s="1841"/>
      <c r="V62" s="1844"/>
      <c r="W62" s="1847"/>
      <c r="X62" s="577"/>
      <c r="Y62" s="1850"/>
      <c r="Z62" s="1853"/>
      <c r="AA62" s="577"/>
      <c r="AB62" s="1856"/>
      <c r="AC62" s="577"/>
      <c r="AD62" s="1859"/>
      <c r="AE62" s="577"/>
      <c r="AF62" s="1874"/>
      <c r="AG62" s="1877"/>
      <c r="AH62" s="397"/>
      <c r="AI62" s="396"/>
      <c r="AJ62" s="396"/>
      <c r="AK62" s="396"/>
      <c r="AL62" s="396"/>
      <c r="AM62" s="396"/>
      <c r="AN62" s="396"/>
      <c r="AO62" s="398"/>
      <c r="AP62" s="397"/>
    </row>
    <row r="63" spans="1:42" ht="18" customHeight="1" x14ac:dyDescent="0.25">
      <c r="A63" s="1818" t="s">
        <v>8</v>
      </c>
      <c r="B63" s="623" t="s">
        <v>78</v>
      </c>
      <c r="C63" s="802" t="s">
        <v>429</v>
      </c>
      <c r="D63" s="802" t="s">
        <v>1044</v>
      </c>
      <c r="E63" s="1879">
        <v>16600</v>
      </c>
      <c r="F63" s="647">
        <f>'exchange rates'!$O$13</f>
        <v>6.50176</v>
      </c>
      <c r="G63" s="686">
        <f>(4.07*200)/F63</f>
        <v>125.19686977064671</v>
      </c>
      <c r="H63" s="593">
        <v>0</v>
      </c>
      <c r="I63" s="594">
        <v>0</v>
      </c>
      <c r="J63" s="595">
        <v>0</v>
      </c>
      <c r="K63" s="566">
        <f>Tabel66892628[[#This Row],[Fix.ch. 2017]]+Tabel66892628[[#This Row],[Var. ch. 2017]]+Tabel66892628[[#This Row],[Oth. ch. DW 2017]]+Tabel66892628[[#This Row],[VAT DW 2017]]</f>
        <v>125.19686977064671</v>
      </c>
      <c r="L63" s="596">
        <v>0</v>
      </c>
      <c r="M63" s="595">
        <v>0</v>
      </c>
      <c r="N63" s="626">
        <f>(1.36*200)/F63</f>
        <v>41.834826262427406</v>
      </c>
      <c r="O63" s="595">
        <v>0</v>
      </c>
      <c r="P63" s="597">
        <f>(1.57*200)/F63</f>
        <v>48.294615611772812</v>
      </c>
      <c r="Q63" s="595">
        <v>0</v>
      </c>
      <c r="R63" s="570">
        <f>Tabel66892628[[#This Row],[VAT DW 2017]]+Tabel66892628[[#This Row],[VAT Sew. 2017]]+Tabel66892628[[#This Row],[VAT WW 2017]]+Tabel66892628[[#This Row],[VAT Other ch. 2017]]</f>
        <v>0</v>
      </c>
      <c r="S63" s="571">
        <f>Tabel66892628[[#This Row],[Total. ch. DW 2017]]+Tabel66892628[[#This Row],[Sew. 2017]]+Tabel66892628[[#This Row],[VAT Sew. 2017]]+Tabel66892628[[#This Row],[WW 2017]]+Tabel66892628[[#This Row],[VAT WW 2017]]+Tabel66892628[[#This Row],[Other ch. 2017]]+Tabel66892628[[#This Row],[VAT Other ch. 2017]]</f>
        <v>215.32631164484695</v>
      </c>
      <c r="T63" s="397"/>
      <c r="U63" s="1924">
        <f>MEDIAN(G63:G67)</f>
        <v>120.27512550447879</v>
      </c>
      <c r="V63" s="1925">
        <f>MEDIAN(H63:H67)</f>
        <v>0</v>
      </c>
      <c r="W63" s="1926">
        <f>MEDIAN(I63:I67)</f>
        <v>0</v>
      </c>
      <c r="X63" s="1908">
        <f>MEDIAN(J63:J67)</f>
        <v>0</v>
      </c>
      <c r="Y63" s="1916">
        <f>SUM(U63:X67)</f>
        <v>120.27512550447879</v>
      </c>
      <c r="Z63" s="1917">
        <f t="shared" ref="Z63:AF63" si="6">MEDIAN(L63:L67)</f>
        <v>0</v>
      </c>
      <c r="AA63" s="1908">
        <f t="shared" si="6"/>
        <v>0</v>
      </c>
      <c r="AB63" s="1907">
        <f t="shared" si="6"/>
        <v>36.913081996259471</v>
      </c>
      <c r="AC63" s="1908">
        <f t="shared" si="6"/>
        <v>0</v>
      </c>
      <c r="AD63" s="1931">
        <f t="shared" si="6"/>
        <v>0</v>
      </c>
      <c r="AE63" s="1908">
        <f t="shared" si="6"/>
        <v>0</v>
      </c>
      <c r="AF63" s="1932">
        <f t="shared" si="6"/>
        <v>0</v>
      </c>
      <c r="AG63" s="1831">
        <f>Y63+Z63+AA63+AB63+AC63+AD63+AE63</f>
        <v>157.18820750073826</v>
      </c>
      <c r="AH63" s="397"/>
      <c r="AI63" s="398"/>
      <c r="AJ63" s="398"/>
      <c r="AK63" s="398"/>
      <c r="AL63" s="591" t="s">
        <v>429</v>
      </c>
      <c r="AM63" s="591"/>
      <c r="AN63" s="591" t="s">
        <v>429</v>
      </c>
      <c r="AO63" s="398"/>
      <c r="AP63" s="397"/>
    </row>
    <row r="64" spans="1:42" ht="15.75" x14ac:dyDescent="0.25">
      <c r="A64" s="1819"/>
      <c r="B64" s="685" t="s">
        <v>79</v>
      </c>
      <c r="C64" s="802"/>
      <c r="D64" s="802" t="s">
        <v>1044</v>
      </c>
      <c r="E64" s="1880"/>
      <c r="F64" s="647">
        <f>'exchange rates'!$O$13</f>
        <v>6.50176</v>
      </c>
      <c r="G64" s="686">
        <f>(3.3*200)/F64</f>
        <v>101.51097548971356</v>
      </c>
      <c r="H64" s="593">
        <v>0</v>
      </c>
      <c r="I64" s="594">
        <v>0</v>
      </c>
      <c r="J64" s="595">
        <v>0</v>
      </c>
      <c r="K64" s="566">
        <f>Tabel66892628[[#This Row],[Fix.ch. 2017]]+Tabel66892628[[#This Row],[Var. ch. 2017]]+Tabel66892628[[#This Row],[Oth. ch. DW 2017]]+Tabel66892628[[#This Row],[VAT DW 2017]]</f>
        <v>101.51097548971356</v>
      </c>
      <c r="L64" s="596">
        <v>0</v>
      </c>
      <c r="M64" s="595">
        <v>0</v>
      </c>
      <c r="N64" s="626">
        <f>(1.7*200)/F64</f>
        <v>52.293532828034259</v>
      </c>
      <c r="O64" s="595">
        <v>0</v>
      </c>
      <c r="P64" s="597">
        <v>0</v>
      </c>
      <c r="Q64" s="595">
        <v>0</v>
      </c>
      <c r="R64" s="570">
        <f>Tabel66892628[[#This Row],[VAT DW 2017]]+Tabel66892628[[#This Row],[VAT Sew. 2017]]+Tabel66892628[[#This Row],[VAT WW 2017]]+Tabel66892628[[#This Row],[VAT Other ch. 2017]]</f>
        <v>0</v>
      </c>
      <c r="S64" s="571">
        <f>Tabel66892628[[#This Row],[Total. ch. DW 2017]]+Tabel66892628[[#This Row],[Sew. 2017]]+Tabel66892628[[#This Row],[VAT Sew. 2017]]+Tabel66892628[[#This Row],[WW 2017]]+Tabel66892628[[#This Row],[VAT WW 2017]]+Tabel66892628[[#This Row],[Other ch. 2017]]+Tabel66892628[[#This Row],[VAT Other ch. 2017]]</f>
        <v>153.80450831774783</v>
      </c>
      <c r="T64" s="397"/>
      <c r="U64" s="1763"/>
      <c r="V64" s="1766"/>
      <c r="W64" s="1769"/>
      <c r="X64" s="1783"/>
      <c r="Y64" s="1775"/>
      <c r="Z64" s="1778"/>
      <c r="AA64" s="1783"/>
      <c r="AB64" s="1781"/>
      <c r="AC64" s="1783"/>
      <c r="AD64" s="1785"/>
      <c r="AE64" s="1783"/>
      <c r="AF64" s="1788"/>
      <c r="AG64" s="1791"/>
      <c r="AH64" s="397"/>
      <c r="AI64" s="398"/>
      <c r="AJ64" s="398"/>
      <c r="AK64" s="398"/>
      <c r="AL64" s="591" t="s">
        <v>429</v>
      </c>
      <c r="AM64" s="591"/>
      <c r="AN64" s="591" t="s">
        <v>429</v>
      </c>
      <c r="AO64" s="398"/>
      <c r="AP64" s="397"/>
    </row>
    <row r="65" spans="1:42" ht="15.75" x14ac:dyDescent="0.25">
      <c r="A65" s="1819"/>
      <c r="B65" s="685" t="s">
        <v>80</v>
      </c>
      <c r="C65" s="802"/>
      <c r="D65" s="802" t="s">
        <v>1044</v>
      </c>
      <c r="E65" s="1880"/>
      <c r="F65" s="647">
        <f>'exchange rates'!$O$13</f>
        <v>6.50176</v>
      </c>
      <c r="G65" s="686">
        <f>(3.91*200)/F65</f>
        <v>120.27512550447879</v>
      </c>
      <c r="H65" s="593">
        <v>0</v>
      </c>
      <c r="I65" s="594">
        <f>(1.39*200)/F65</f>
        <v>42.757653312333893</v>
      </c>
      <c r="J65" s="595">
        <v>0</v>
      </c>
      <c r="K65" s="566">
        <f>Tabel66892628[[#This Row],[Fix.ch. 2017]]+Tabel66892628[[#This Row],[Var. ch. 2017]]+Tabel66892628[[#This Row],[Oth. ch. DW 2017]]+Tabel66892628[[#This Row],[VAT DW 2017]]</f>
        <v>163.03277881681268</v>
      </c>
      <c r="L65" s="596">
        <v>0</v>
      </c>
      <c r="M65" s="595">
        <v>0</v>
      </c>
      <c r="N65" s="626">
        <f>(0.9*200)/F65</f>
        <v>27.684811497194605</v>
      </c>
      <c r="O65" s="595">
        <v>0</v>
      </c>
      <c r="P65" s="597">
        <v>0</v>
      </c>
      <c r="Q65" s="595">
        <v>0</v>
      </c>
      <c r="R65" s="570">
        <f>Tabel66892628[[#This Row],[VAT DW 2017]]+Tabel66892628[[#This Row],[VAT Sew. 2017]]+Tabel66892628[[#This Row],[VAT WW 2017]]+Tabel66892628[[#This Row],[VAT Other ch. 2017]]</f>
        <v>0</v>
      </c>
      <c r="S65" s="571">
        <f>Tabel66892628[[#This Row],[Total. ch. DW 2017]]+Tabel66892628[[#This Row],[Sew. 2017]]+Tabel66892628[[#This Row],[VAT Sew. 2017]]+Tabel66892628[[#This Row],[WW 2017]]+Tabel66892628[[#This Row],[VAT WW 2017]]+Tabel66892628[[#This Row],[Other ch. 2017]]+Tabel66892628[[#This Row],[VAT Other ch. 2017]]</f>
        <v>190.71759031400728</v>
      </c>
      <c r="T65" s="397"/>
      <c r="U65" s="1763"/>
      <c r="V65" s="1766"/>
      <c r="W65" s="1769"/>
      <c r="X65" s="1783"/>
      <c r="Y65" s="1775"/>
      <c r="Z65" s="1778"/>
      <c r="AA65" s="1783"/>
      <c r="AB65" s="1781"/>
      <c r="AC65" s="1783"/>
      <c r="AD65" s="1785"/>
      <c r="AE65" s="1783"/>
      <c r="AF65" s="1788"/>
      <c r="AG65" s="1791"/>
      <c r="AH65" s="397"/>
      <c r="AI65" s="398"/>
      <c r="AJ65" s="398"/>
      <c r="AK65" s="398"/>
      <c r="AL65" s="591" t="s">
        <v>429</v>
      </c>
      <c r="AM65" s="591"/>
      <c r="AN65" s="591" t="s">
        <v>429</v>
      </c>
      <c r="AO65" s="398"/>
      <c r="AP65" s="397"/>
    </row>
    <row r="66" spans="1:42" ht="15.75" x14ac:dyDescent="0.25">
      <c r="A66" s="1819"/>
      <c r="B66" s="624" t="s">
        <v>81</v>
      </c>
      <c r="C66" s="802"/>
      <c r="D66" s="802" t="s">
        <v>1044</v>
      </c>
      <c r="E66" s="1880"/>
      <c r="F66" s="647">
        <f>'exchange rates'!$O$13</f>
        <v>6.50176</v>
      </c>
      <c r="G66" s="686">
        <f>(4.01*200)/F66</f>
        <v>123.35121567083374</v>
      </c>
      <c r="H66" s="593">
        <v>0</v>
      </c>
      <c r="I66" s="594">
        <v>0</v>
      </c>
      <c r="J66" s="595">
        <v>0</v>
      </c>
      <c r="K66" s="566">
        <f>Tabel66892628[[#This Row],[Fix.ch. 2017]]+Tabel66892628[[#This Row],[Var. ch. 2017]]+Tabel66892628[[#This Row],[Oth. ch. DW 2017]]+Tabel66892628[[#This Row],[VAT DW 2017]]</f>
        <v>123.35121567083374</v>
      </c>
      <c r="L66" s="596">
        <v>0</v>
      </c>
      <c r="M66" s="595">
        <v>0</v>
      </c>
      <c r="N66" s="626">
        <f>(0.9*200)/F66</f>
        <v>27.684811497194605</v>
      </c>
      <c r="O66" s="595">
        <v>0</v>
      </c>
      <c r="P66" s="597">
        <v>0</v>
      </c>
      <c r="Q66" s="595">
        <v>0</v>
      </c>
      <c r="R66" s="570">
        <f>Tabel66892628[[#This Row],[VAT DW 2017]]+Tabel66892628[[#This Row],[VAT Sew. 2017]]+Tabel66892628[[#This Row],[VAT WW 2017]]+Tabel66892628[[#This Row],[VAT Other ch. 2017]]</f>
        <v>0</v>
      </c>
      <c r="S66" s="571">
        <f>Tabel66892628[[#This Row],[Total. ch. DW 2017]]+Tabel66892628[[#This Row],[Sew. 2017]]+Tabel66892628[[#This Row],[VAT Sew. 2017]]+Tabel66892628[[#This Row],[WW 2017]]+Tabel66892628[[#This Row],[VAT WW 2017]]+Tabel66892628[[#This Row],[Other ch. 2017]]+Tabel66892628[[#This Row],[VAT Other ch. 2017]]</f>
        <v>151.03602716802834</v>
      </c>
      <c r="T66" s="397"/>
      <c r="U66" s="1763"/>
      <c r="V66" s="1766"/>
      <c r="W66" s="1769"/>
      <c r="X66" s="1783"/>
      <c r="Y66" s="1775"/>
      <c r="Z66" s="1778"/>
      <c r="AA66" s="1783"/>
      <c r="AB66" s="1781"/>
      <c r="AC66" s="1783"/>
      <c r="AD66" s="1785"/>
      <c r="AE66" s="1783"/>
      <c r="AF66" s="1788"/>
      <c r="AG66" s="1791"/>
      <c r="AH66" s="397"/>
      <c r="AI66" s="398"/>
      <c r="AJ66" s="398"/>
      <c r="AK66" s="398"/>
      <c r="AL66" s="591" t="s">
        <v>429</v>
      </c>
      <c r="AM66" s="591"/>
      <c r="AN66" s="591" t="s">
        <v>429</v>
      </c>
      <c r="AO66" s="398"/>
      <c r="AP66" s="397"/>
    </row>
    <row r="67" spans="1:42" ht="16.5" thickBot="1" x14ac:dyDescent="0.3">
      <c r="A67" s="1820"/>
      <c r="B67" s="684" t="s">
        <v>468</v>
      </c>
      <c r="C67" s="802"/>
      <c r="D67" s="802" t="s">
        <v>1044</v>
      </c>
      <c r="E67" s="1923"/>
      <c r="F67" s="647">
        <f>'exchange rates'!$O$13</f>
        <v>6.50176</v>
      </c>
      <c r="G67" s="686">
        <f>(2.97*200)/F67</f>
        <v>91.359877940742194</v>
      </c>
      <c r="H67" s="593">
        <v>0</v>
      </c>
      <c r="I67" s="594">
        <v>0</v>
      </c>
      <c r="J67" s="595">
        <v>0</v>
      </c>
      <c r="K67" s="566">
        <f>Tabel66892628[[#This Row],[Fix.ch. 2017]]+Tabel66892628[[#This Row],[Var. ch. 2017]]+Tabel66892628[[#This Row],[Oth. ch. DW 2017]]+Tabel66892628[[#This Row],[VAT DW 2017]]</f>
        <v>91.359877940742194</v>
      </c>
      <c r="L67" s="596">
        <v>0</v>
      </c>
      <c r="M67" s="595">
        <v>0</v>
      </c>
      <c r="N67" s="626">
        <f>(1.2*200)/F67</f>
        <v>36.913081996259471</v>
      </c>
      <c r="O67" s="595">
        <v>0</v>
      </c>
      <c r="P67" s="597">
        <v>0</v>
      </c>
      <c r="Q67" s="595">
        <v>0</v>
      </c>
      <c r="R67" s="570">
        <f>Tabel66892628[[#This Row],[VAT DW 2017]]+Tabel66892628[[#This Row],[VAT Sew. 2017]]+Tabel66892628[[#This Row],[VAT WW 2017]]+Tabel66892628[[#This Row],[VAT Other ch. 2017]]</f>
        <v>0</v>
      </c>
      <c r="S67" s="571">
        <f>Tabel66892628[[#This Row],[Total. ch. DW 2017]]+Tabel66892628[[#This Row],[Sew. 2017]]+Tabel66892628[[#This Row],[VAT Sew. 2017]]+Tabel66892628[[#This Row],[WW 2017]]+Tabel66892628[[#This Row],[VAT WW 2017]]+Tabel66892628[[#This Row],[Other ch. 2017]]+Tabel66892628[[#This Row],[VAT Other ch. 2017]]</f>
        <v>128.27295993700167</v>
      </c>
      <c r="T67" s="397"/>
      <c r="U67" s="1801"/>
      <c r="V67" s="1803"/>
      <c r="W67" s="1805"/>
      <c r="X67" s="1773"/>
      <c r="Y67" s="1807"/>
      <c r="Z67" s="1809"/>
      <c r="AA67" s="1773"/>
      <c r="AB67" s="1782"/>
      <c r="AC67" s="1773"/>
      <c r="AD67" s="1786"/>
      <c r="AE67" s="1773"/>
      <c r="AF67" s="1789"/>
      <c r="AG67" s="1792"/>
      <c r="AH67" s="397"/>
      <c r="AI67" s="398"/>
      <c r="AJ67" s="398"/>
      <c r="AK67" s="398"/>
      <c r="AL67" s="591" t="s">
        <v>429</v>
      </c>
      <c r="AM67" s="591"/>
      <c r="AN67" s="591" t="s">
        <v>429</v>
      </c>
      <c r="AO67" s="398"/>
      <c r="AP67" s="397"/>
    </row>
    <row r="68" spans="1:42" ht="19.5" thickBot="1" x14ac:dyDescent="0.3">
      <c r="A68" s="694" t="s">
        <v>585</v>
      </c>
      <c r="B68" s="685" t="s">
        <v>84</v>
      </c>
      <c r="C68" s="802" t="s">
        <v>429</v>
      </c>
      <c r="D68" s="812" t="s">
        <v>1046</v>
      </c>
      <c r="E68" s="700">
        <v>61000</v>
      </c>
      <c r="F68" s="616">
        <f>'exchange rates'!O14</f>
        <v>7.8123899999999997</v>
      </c>
      <c r="G68" s="625">
        <f>0</f>
        <v>0</v>
      </c>
      <c r="H68" s="593">
        <f>890.28/F68</f>
        <v>113.95744452081885</v>
      </c>
      <c r="I68" s="594">
        <v>0</v>
      </c>
      <c r="J68" s="595">
        <v>0</v>
      </c>
      <c r="K68" s="566">
        <f>Tabel66892628[[#This Row],[Fix.ch. 2017]]+Tabel66892628[[#This Row],[Var. ch. 2017]]+Tabel66892628[[#This Row],[Oth. ch. DW 2017]]+Tabel66892628[[#This Row],[VAT DW 2017]]</f>
        <v>113.95744452081885</v>
      </c>
      <c r="L68" s="596">
        <v>0</v>
      </c>
      <c r="M68" s="595">
        <v>0</v>
      </c>
      <c r="N68" s="626">
        <f>584/F68</f>
        <v>74.75305252297953</v>
      </c>
      <c r="O68" s="595">
        <v>0</v>
      </c>
      <c r="P68" s="597">
        <v>0</v>
      </c>
      <c r="Q68" s="595">
        <v>0</v>
      </c>
      <c r="R68" s="570">
        <f>Tabel66892628[[#This Row],[VAT DW 2017]]+Tabel66892628[[#This Row],[VAT Sew. 2017]]+Tabel66892628[[#This Row],[VAT WW 2017]]+Tabel66892628[[#This Row],[VAT Other ch. 2017]]</f>
        <v>0</v>
      </c>
      <c r="S68" s="571">
        <f>Tabel66892628[[#This Row],[Total. ch. DW 2017]]+Tabel66892628[[#This Row],[Sew. 2017]]+Tabel66892628[[#This Row],[VAT Sew. 2017]]+Tabel66892628[[#This Row],[WW 2017]]+Tabel66892628[[#This Row],[VAT WW 2017]]+Tabel66892628[[#This Row],[Other ch. 2017]]+Tabel66892628[[#This Row],[VAT Other ch. 2017]]</f>
        <v>188.7104970437984</v>
      </c>
      <c r="T68" s="397"/>
      <c r="U68" s="701">
        <f>Tabel66892628[[#This Row],[Fix.ch. 2017]]</f>
        <v>0</v>
      </c>
      <c r="V68" s="702">
        <f>Tabel66892628[[#This Row],[Var. ch. 2017]]</f>
        <v>113.95744452081885</v>
      </c>
      <c r="W68" s="703">
        <f>Tabel66892628[[#This Row],[Oth. ch. DW 2017]]</f>
        <v>0</v>
      </c>
      <c r="X68" s="704">
        <f>Tabel66892628[[#This Row],[VAT DW 2017]]</f>
        <v>0</v>
      </c>
      <c r="Y68" s="705">
        <f>SUM(U68:W68)</f>
        <v>113.95744452081885</v>
      </c>
      <c r="Z68" s="706">
        <f>Tabel66892628[[#This Row],[Sew. 2017]]</f>
        <v>0</v>
      </c>
      <c r="AA68" s="704">
        <f>Tabel66892628[[#This Row],[VAT Sew. 2017]]</f>
        <v>0</v>
      </c>
      <c r="AB68" s="707">
        <f>Tabel66892628[[#This Row],[WW 2017]]</f>
        <v>74.75305252297953</v>
      </c>
      <c r="AC68" s="704">
        <f>Tabel66892628[[#This Row],[VAT WW 2017]]</f>
        <v>0</v>
      </c>
      <c r="AD68" s="708">
        <f>Tabel66892628[[#This Row],[Other ch. 2017]]</f>
        <v>0</v>
      </c>
      <c r="AE68" s="704">
        <f>Tabel66892628[[#This Row],[VAT Other ch. 2017]]</f>
        <v>0</v>
      </c>
      <c r="AF68" s="709">
        <f>Tabel66892628[[#This Row],[Total VAT 2017]]</f>
        <v>0</v>
      </c>
      <c r="AG68" s="710">
        <f>SUM(Y68:AF68)</f>
        <v>188.7104970437984</v>
      </c>
      <c r="AH68" s="397"/>
      <c r="AI68" s="398"/>
      <c r="AJ68" s="396"/>
      <c r="AK68" s="398"/>
      <c r="AL68" s="591" t="s">
        <v>429</v>
      </c>
      <c r="AM68" s="398"/>
      <c r="AN68" s="398"/>
      <c r="AO68" s="398"/>
      <c r="AP68" s="397"/>
    </row>
    <row r="69" spans="1:42" ht="18" customHeight="1" x14ac:dyDescent="0.25">
      <c r="A69" s="1818" t="s">
        <v>9</v>
      </c>
      <c r="B69" s="623" t="s">
        <v>82</v>
      </c>
      <c r="C69" s="802" t="s">
        <v>429</v>
      </c>
      <c r="D69" s="802" t="s">
        <v>1048</v>
      </c>
      <c r="E69" s="1948">
        <v>49800</v>
      </c>
      <c r="F69" s="616">
        <f>'exchange rates'!$O$15</f>
        <v>29.661809999999999</v>
      </c>
      <c r="G69" s="625">
        <f>816/F69</f>
        <v>27.510121600805885</v>
      </c>
      <c r="H69" s="593">
        <f>1558/F69</f>
        <v>52.525452762322999</v>
      </c>
      <c r="I69" s="594">
        <f>100/F69</f>
        <v>3.3713384314713095</v>
      </c>
      <c r="J69" s="595">
        <v>0</v>
      </c>
      <c r="K69" s="566" t="e">
        <f>#REF!+#REF!+#REF!+#REF!</f>
        <v>#REF!</v>
      </c>
      <c r="L69" s="596">
        <v>0</v>
      </c>
      <c r="M69" s="595">
        <v>0</v>
      </c>
      <c r="N69" s="626">
        <f>1000/F69</f>
        <v>33.713384314713096</v>
      </c>
      <c r="O69" s="595">
        <v>0</v>
      </c>
      <c r="P69" s="597">
        <v>0</v>
      </c>
      <c r="Q69" s="595">
        <f>118.5/F69</f>
        <v>3.9950360412935018</v>
      </c>
      <c r="R69" s="570" t="e">
        <f>#REF!+#REF!+#REF!+#REF!</f>
        <v>#REF!</v>
      </c>
      <c r="S69" s="571" t="e">
        <f>#REF!+#REF!+#REF!+#REF!+#REF!+#REF!+#REF!</f>
        <v>#REF!</v>
      </c>
      <c r="T69" s="397"/>
      <c r="U69" s="1949">
        <f>MEDIAN(G69:G70)</f>
        <v>20.976467720614487</v>
      </c>
      <c r="V69" s="1952">
        <f>MEDIAN(H69:H70)</f>
        <v>65.100545111710986</v>
      </c>
      <c r="W69" s="1953">
        <f>MEDIAN(I69:I70)</f>
        <v>3.3713384314713095</v>
      </c>
      <c r="X69" s="1938">
        <f>MEDIAN(J69:J70)</f>
        <v>0</v>
      </c>
      <c r="Y69" s="1940">
        <f>SUM(U69:X70)</f>
        <v>89.448351263796781</v>
      </c>
      <c r="Z69" s="1941">
        <f t="shared" ref="Z69:AF69" si="7">MEDIAN(L69:L70)</f>
        <v>0</v>
      </c>
      <c r="AA69" s="1938">
        <f t="shared" si="7"/>
        <v>0</v>
      </c>
      <c r="AB69" s="1942">
        <f t="shared" si="7"/>
        <v>33.713384314713096</v>
      </c>
      <c r="AC69" s="1938">
        <f t="shared" si="7"/>
        <v>0</v>
      </c>
      <c r="AD69" s="1943">
        <f t="shared" si="7"/>
        <v>0</v>
      </c>
      <c r="AE69" s="1938">
        <f t="shared" si="7"/>
        <v>4.2984565001259192</v>
      </c>
      <c r="AF69" s="1951" t="e">
        <f t="shared" si="7"/>
        <v>#REF!</v>
      </c>
      <c r="AG69" s="1933">
        <f>Y69+Z69+AA69+AB69+AC69+AD69+AE69</f>
        <v>127.4601920786358</v>
      </c>
      <c r="AH69" s="397"/>
      <c r="AI69" s="398"/>
      <c r="AJ69" s="398"/>
      <c r="AK69" s="398"/>
      <c r="AL69" s="591" t="s">
        <v>429</v>
      </c>
      <c r="AM69" s="591"/>
      <c r="AN69" s="591" t="s">
        <v>429</v>
      </c>
      <c r="AO69" s="398"/>
      <c r="AP69" s="397"/>
    </row>
    <row r="70" spans="1:42" ht="16.5" thickBot="1" x14ac:dyDescent="0.3">
      <c r="A70" s="1820"/>
      <c r="B70" s="624" t="s">
        <v>83</v>
      </c>
      <c r="C70" s="802"/>
      <c r="D70" s="802" t="s">
        <v>1048</v>
      </c>
      <c r="E70" s="1799"/>
      <c r="F70" s="616">
        <f>'exchange rates'!$O$15</f>
        <v>29.661809999999999</v>
      </c>
      <c r="G70" s="625">
        <f>428.4/F70</f>
        <v>14.442813840423089</v>
      </c>
      <c r="H70" s="593">
        <f>2304/F70</f>
        <v>77.675637461098972</v>
      </c>
      <c r="I70" s="594">
        <f>100/F70</f>
        <v>3.3713384314713095</v>
      </c>
      <c r="J70" s="595">
        <v>0</v>
      </c>
      <c r="K70" s="566" t="e">
        <f>#REF!+#REF!+#REF!+#REF!</f>
        <v>#REF!</v>
      </c>
      <c r="L70" s="596">
        <v>0</v>
      </c>
      <c r="M70" s="595">
        <v>0</v>
      </c>
      <c r="N70" s="626">
        <f>1000/F70</f>
        <v>33.713384314713096</v>
      </c>
      <c r="O70" s="595">
        <v>0</v>
      </c>
      <c r="P70" s="597">
        <v>0</v>
      </c>
      <c r="Q70" s="595">
        <f>136.5/F70</f>
        <v>4.6018769589583375</v>
      </c>
      <c r="R70" s="570" t="e">
        <f>#REF!+#REF!+#REF!+#REF!</f>
        <v>#REF!</v>
      </c>
      <c r="S70" s="571" t="e">
        <f>#REF!+#REF!+#REF!+#REF!+#REF!+#REF!+#REF!</f>
        <v>#REF!</v>
      </c>
      <c r="T70" s="397"/>
      <c r="U70" s="1801"/>
      <c r="V70" s="1803"/>
      <c r="W70" s="1805"/>
      <c r="X70" s="1773"/>
      <c r="Y70" s="1807"/>
      <c r="Z70" s="1809"/>
      <c r="AA70" s="1773"/>
      <c r="AB70" s="1782"/>
      <c r="AC70" s="1773"/>
      <c r="AD70" s="1786"/>
      <c r="AE70" s="1773"/>
      <c r="AF70" s="1789"/>
      <c r="AG70" s="1792"/>
      <c r="AH70" s="397"/>
      <c r="AI70" s="398"/>
      <c r="AJ70" s="398"/>
      <c r="AK70" s="398"/>
      <c r="AL70" s="591" t="s">
        <v>429</v>
      </c>
      <c r="AM70" s="591"/>
      <c r="AN70" s="591" t="s">
        <v>429</v>
      </c>
      <c r="AO70" s="398"/>
      <c r="AP70" s="397"/>
    </row>
    <row r="71" spans="1:42" ht="18" customHeight="1" x14ac:dyDescent="0.25">
      <c r="A71" s="1878" t="s">
        <v>10</v>
      </c>
      <c r="B71" s="638" t="s">
        <v>85</v>
      </c>
      <c r="C71" s="693"/>
      <c r="D71" s="806" t="s">
        <v>1050</v>
      </c>
      <c r="E71" s="1934">
        <v>36600</v>
      </c>
      <c r="F71" s="617">
        <f>'exchange rates'!$O$16</f>
        <v>0.83301000000000003</v>
      </c>
      <c r="G71" s="625">
        <f>66/F71</f>
        <v>79.230741527712752</v>
      </c>
      <c r="H71" s="593">
        <f>228/F71</f>
        <v>273.70619800482586</v>
      </c>
      <c r="I71" s="594">
        <v>0</v>
      </c>
      <c r="J71" s="595">
        <f>14.7/F71</f>
        <v>17.646846976626929</v>
      </c>
      <c r="K71" s="566">
        <f>Tabel66892628[[#This Row],[Fix.ch. 2017]]+Tabel66892628[[#This Row],[Var. ch. 2017]]+Tabel66892628[[#This Row],[Oth. ch. DW 2017]]+Tabel66892628[[#This Row],[VAT DW 2017]]</f>
        <v>370.58378650916558</v>
      </c>
      <c r="L71" s="596">
        <f>100/F71</f>
        <v>120.04657807229205</v>
      </c>
      <c r="M71" s="595">
        <v>0</v>
      </c>
      <c r="N71" s="626">
        <f>89.6/F71</f>
        <v>107.56173395277366</v>
      </c>
      <c r="O71" s="595">
        <v>0</v>
      </c>
      <c r="P71" s="597">
        <f>25.6/F71</f>
        <v>30.731923986506764</v>
      </c>
      <c r="Q71" s="595">
        <v>0</v>
      </c>
      <c r="R71" s="570">
        <f>Tabel66892628[[#This Row],[VAT DW 2017]]+Tabel66892628[[#This Row],[VAT Sew. 2017]]+Tabel66892628[[#This Row],[VAT WW 2017]]+Tabel66892628[[#This Row],[VAT Other ch. 2017]]</f>
        <v>17.646846976626929</v>
      </c>
      <c r="S71" s="571">
        <f>Tabel66892628[[#This Row],[Total. ch. DW 2017]]+Tabel66892628[[#This Row],[Sew. 2017]]+Tabel66892628[[#This Row],[VAT Sew. 2017]]+Tabel66892628[[#This Row],[WW 2017]]+Tabel66892628[[#This Row],[VAT WW 2017]]+Tabel66892628[[#This Row],[Other ch. 2017]]+Tabel66892628[[#This Row],[VAT Other ch. 2017]]</f>
        <v>628.92402252073805</v>
      </c>
      <c r="T71" s="397"/>
      <c r="U71" s="1935">
        <f>MEDIAN(G71:G74)</f>
        <v>68.426549501206466</v>
      </c>
      <c r="V71" s="1936">
        <f>MEDIAN(H71:H74)</f>
        <v>264.10247175904249</v>
      </c>
      <c r="W71" s="1937">
        <f>MEDIAN(I71:I74)</f>
        <v>0</v>
      </c>
      <c r="X71" s="1938">
        <f>MEDIAN(J71:J74)</f>
        <v>16.44638119590401</v>
      </c>
      <c r="Y71" s="1939">
        <f>SUM(U71:X74)</f>
        <v>348.97540245615295</v>
      </c>
      <c r="Z71" s="1950">
        <f t="shared" ref="Z71:AF71" si="8">MEDIAN(L71:L74)</f>
        <v>126.04890697590665</v>
      </c>
      <c r="AA71" s="1938">
        <f t="shared" si="8"/>
        <v>0</v>
      </c>
      <c r="AB71" s="1946">
        <f t="shared" si="8"/>
        <v>159.99207692584724</v>
      </c>
      <c r="AC71" s="1938">
        <f t="shared" si="8"/>
        <v>0</v>
      </c>
      <c r="AD71" s="1947">
        <f t="shared" si="8"/>
        <v>36.374113155904489</v>
      </c>
      <c r="AE71" s="1938">
        <f t="shared" si="8"/>
        <v>0</v>
      </c>
      <c r="AF71" s="1944">
        <f t="shared" si="8"/>
        <v>16.44638119590401</v>
      </c>
      <c r="AG71" s="1945">
        <f>Y71+Z71+AA71+AB71+AC71+AD71+AE71</f>
        <v>671.39049951381139</v>
      </c>
      <c r="AH71" s="397"/>
      <c r="AI71" s="398"/>
      <c r="AJ71" s="398"/>
      <c r="AK71" s="398"/>
      <c r="AL71" s="591" t="s">
        <v>429</v>
      </c>
      <c r="AM71" s="591" t="s">
        <v>429</v>
      </c>
      <c r="AN71" s="591" t="s">
        <v>429</v>
      </c>
      <c r="AO71" s="398"/>
      <c r="AP71" s="397"/>
    </row>
    <row r="72" spans="1:42" ht="15.75" x14ac:dyDescent="0.25">
      <c r="A72" s="1757"/>
      <c r="B72" s="639" t="s">
        <v>878</v>
      </c>
      <c r="C72" s="639" t="s">
        <v>429</v>
      </c>
      <c r="D72" s="724" t="s">
        <v>1050</v>
      </c>
      <c r="E72" s="1760"/>
      <c r="F72" s="617">
        <f>'exchange rates'!$O$16</f>
        <v>0.83301000000000003</v>
      </c>
      <c r="G72" s="625">
        <f>42/F72</f>
        <v>50.419562790362662</v>
      </c>
      <c r="H72" s="593">
        <f>220/F72</f>
        <v>264.10247175904249</v>
      </c>
      <c r="I72" s="594">
        <f>0</f>
        <v>0</v>
      </c>
      <c r="J72" s="595">
        <f>13.1/F72</f>
        <v>15.726101727470258</v>
      </c>
      <c r="K72" s="566">
        <f>Tabel66892628[[#This Row],[Fix.ch. 2017]]+Tabel66892628[[#This Row],[Var. ch. 2017]]+Tabel66892628[[#This Row],[Oth. ch. DW 2017]]+Tabel66892628[[#This Row],[VAT DW 2017]]</f>
        <v>330.24813627687541</v>
      </c>
      <c r="L72" s="596">
        <f>110/F72</f>
        <v>132.05123587952124</v>
      </c>
      <c r="M72" s="595">
        <v>0</v>
      </c>
      <c r="N72" s="626">
        <f>109.5/F72</f>
        <v>131.4510029891598</v>
      </c>
      <c r="O72" s="595">
        <v>0</v>
      </c>
      <c r="P72" s="597">
        <f>0</f>
        <v>0</v>
      </c>
      <c r="Q72" s="595">
        <v>0</v>
      </c>
      <c r="R72" s="570">
        <f>Tabel66892628[[#This Row],[VAT DW 2017]]+Tabel66892628[[#This Row],[VAT Sew. 2017]]+Tabel66892628[[#This Row],[VAT WW 2017]]+Tabel66892628[[#This Row],[VAT Other ch. 2017]]</f>
        <v>15.726101727470258</v>
      </c>
      <c r="S72" s="571">
        <f>Tabel66892628[[#This Row],[Total. ch. DW 2017]]+Tabel66892628[[#This Row],[Sew. 2017]]+Tabel66892628[[#This Row],[VAT Sew. 2017]]+Tabel66892628[[#This Row],[WW 2017]]+Tabel66892628[[#This Row],[VAT WW 2017]]+Tabel66892628[[#This Row],[Other ch. 2017]]+Tabel66892628[[#This Row],[VAT Other ch. 2017]]</f>
        <v>593.75037514555652</v>
      </c>
      <c r="T72" s="397"/>
      <c r="U72" s="1763"/>
      <c r="V72" s="1766"/>
      <c r="W72" s="1769"/>
      <c r="X72" s="1772"/>
      <c r="Y72" s="1775"/>
      <c r="Z72" s="1778"/>
      <c r="AA72" s="1772"/>
      <c r="AB72" s="1781"/>
      <c r="AC72" s="1772"/>
      <c r="AD72" s="1785"/>
      <c r="AE72" s="1772"/>
      <c r="AF72" s="1788"/>
      <c r="AG72" s="1791"/>
      <c r="AH72" s="397"/>
      <c r="AI72" s="398"/>
      <c r="AJ72" s="398"/>
      <c r="AK72" s="398"/>
      <c r="AL72" s="591" t="s">
        <v>429</v>
      </c>
      <c r="AM72" s="591" t="s">
        <v>429</v>
      </c>
      <c r="AN72" s="591" t="s">
        <v>429</v>
      </c>
      <c r="AO72" s="398"/>
      <c r="AP72" s="397"/>
    </row>
    <row r="73" spans="1:42" ht="15.75" x14ac:dyDescent="0.25">
      <c r="A73" s="1757"/>
      <c r="B73" s="639" t="s">
        <v>879</v>
      </c>
      <c r="C73" s="639"/>
      <c r="D73" s="724" t="s">
        <v>1050</v>
      </c>
      <c r="E73" s="1760"/>
      <c r="F73" s="617">
        <f>'exchange rates'!$O$16</f>
        <v>0.83301000000000003</v>
      </c>
      <c r="G73" s="625">
        <f>66/F73</f>
        <v>79.230741527712752</v>
      </c>
      <c r="H73" s="593">
        <f>220/F73</f>
        <v>264.10247175904249</v>
      </c>
      <c r="I73" s="594">
        <v>0</v>
      </c>
      <c r="J73" s="595">
        <f>14.3/F73</f>
        <v>17.166660664337762</v>
      </c>
      <c r="K73" s="566">
        <f>Tabel66892628[[#This Row],[Fix.ch. 2017]]+Tabel66892628[[#This Row],[Var. ch. 2017]]+Tabel66892628[[#This Row],[Oth. ch. DW 2017]]+Tabel66892628[[#This Row],[VAT DW 2017]]</f>
        <v>360.49987395109304</v>
      </c>
      <c r="L73" s="596">
        <f>128/F73</f>
        <v>153.65961993253381</v>
      </c>
      <c r="M73" s="595">
        <v>0</v>
      </c>
      <c r="N73" s="626">
        <f>157.05/F73</f>
        <v>188.53315086253468</v>
      </c>
      <c r="O73" s="595">
        <v>0</v>
      </c>
      <c r="P73" s="597">
        <f>36/F73</f>
        <v>43.216768106025135</v>
      </c>
      <c r="Q73" s="595">
        <v>0</v>
      </c>
      <c r="R73" s="570">
        <f>Tabel66892628[[#This Row],[VAT DW 2017]]+Tabel66892628[[#This Row],[VAT Sew. 2017]]+Tabel66892628[[#This Row],[VAT WW 2017]]+Tabel66892628[[#This Row],[VAT Other ch. 2017]]</f>
        <v>17.166660664337762</v>
      </c>
      <c r="S73" s="571">
        <f>Tabel66892628[[#This Row],[Total. ch. DW 2017]]+Tabel66892628[[#This Row],[Sew. 2017]]+Tabel66892628[[#This Row],[VAT Sew. 2017]]+Tabel66892628[[#This Row],[WW 2017]]+Tabel66892628[[#This Row],[VAT WW 2017]]+Tabel66892628[[#This Row],[Other ch. 2017]]+Tabel66892628[[#This Row],[VAT Other ch. 2017]]</f>
        <v>745.90941285218662</v>
      </c>
      <c r="T73" s="397"/>
      <c r="U73" s="1763"/>
      <c r="V73" s="1766"/>
      <c r="W73" s="1769"/>
      <c r="X73" s="1772"/>
      <c r="Y73" s="1775"/>
      <c r="Z73" s="1778"/>
      <c r="AA73" s="1772"/>
      <c r="AB73" s="1781"/>
      <c r="AC73" s="1772"/>
      <c r="AD73" s="1785"/>
      <c r="AE73" s="1772"/>
      <c r="AF73" s="1788"/>
      <c r="AG73" s="1791"/>
      <c r="AH73" s="397"/>
      <c r="AI73" s="398"/>
      <c r="AJ73" s="398"/>
      <c r="AK73" s="398"/>
      <c r="AL73" s="591" t="s">
        <v>429</v>
      </c>
      <c r="AM73" s="591" t="s">
        <v>429</v>
      </c>
      <c r="AN73" s="591" t="s">
        <v>429</v>
      </c>
      <c r="AO73" s="398"/>
      <c r="AP73" s="397"/>
    </row>
    <row r="74" spans="1:42" ht="16.5" thickBot="1" x14ac:dyDescent="0.3">
      <c r="A74" s="1758"/>
      <c r="B74" s="640" t="s">
        <v>86</v>
      </c>
      <c r="C74" s="652"/>
      <c r="D74" s="807" t="s">
        <v>1050</v>
      </c>
      <c r="E74" s="1799"/>
      <c r="F74" s="617">
        <f>'exchange rates'!$O$16</f>
        <v>0.83301000000000003</v>
      </c>
      <c r="G74" s="625">
        <f>48/F74</f>
        <v>57.622357474700181</v>
      </c>
      <c r="H74" s="593">
        <f>208.6/F74</f>
        <v>250.41716185880119</v>
      </c>
      <c r="I74" s="594">
        <v>0</v>
      </c>
      <c r="J74" s="595">
        <f>12.83/F74</f>
        <v>15.401975966675069</v>
      </c>
      <c r="K74" s="566">
        <f>Tabel66892628[[#This Row],[Fix.ch. 2017]]+Tabel66892628[[#This Row],[Var. ch. 2017]]+Tabel66892628[[#This Row],[Oth. ch. DW 2017]]+Tabel66892628[[#This Row],[VAT DW 2017]]</f>
        <v>323.44149530017648</v>
      </c>
      <c r="L74" s="596">
        <f>85.44/F74</f>
        <v>102.56779630496632</v>
      </c>
      <c r="M74" s="595">
        <v>0</v>
      </c>
      <c r="N74" s="626">
        <f>157.5/F74</f>
        <v>189.07336046385998</v>
      </c>
      <c r="O74" s="595">
        <v>0</v>
      </c>
      <c r="P74" s="597">
        <f>35/F74</f>
        <v>42.016302325302213</v>
      </c>
      <c r="Q74" s="595">
        <v>0</v>
      </c>
      <c r="R74" s="570">
        <f>Tabel66892628[[#This Row],[VAT DW 2017]]+Tabel66892628[[#This Row],[VAT Sew. 2017]]+Tabel66892628[[#This Row],[VAT WW 2017]]+Tabel66892628[[#This Row],[VAT Other ch. 2017]]</f>
        <v>15.401975966675069</v>
      </c>
      <c r="S74" s="571">
        <f>Tabel66892628[[#This Row],[Total. ch. DW 2017]]+Tabel66892628[[#This Row],[Sew. 2017]]+Tabel66892628[[#This Row],[VAT Sew. 2017]]+Tabel66892628[[#This Row],[WW 2017]]+Tabel66892628[[#This Row],[VAT WW 2017]]+Tabel66892628[[#This Row],[Other ch. 2017]]+Tabel66892628[[#This Row],[VAT Other ch. 2017]]</f>
        <v>657.09895439430511</v>
      </c>
      <c r="T74" s="397"/>
      <c r="U74" s="1801"/>
      <c r="V74" s="1803"/>
      <c r="W74" s="1805"/>
      <c r="X74" s="1773"/>
      <c r="Y74" s="1807"/>
      <c r="Z74" s="1809"/>
      <c r="AA74" s="1773"/>
      <c r="AB74" s="1782"/>
      <c r="AC74" s="1773"/>
      <c r="AD74" s="1786"/>
      <c r="AE74" s="1773"/>
      <c r="AF74" s="1789"/>
      <c r="AG74" s="1792"/>
      <c r="AH74" s="397"/>
      <c r="AI74" s="398"/>
      <c r="AJ74" s="398"/>
      <c r="AK74" s="398"/>
      <c r="AL74" s="591" t="s">
        <v>429</v>
      </c>
      <c r="AM74" s="591" t="s">
        <v>429</v>
      </c>
      <c r="AN74" s="591" t="s">
        <v>429</v>
      </c>
      <c r="AO74" s="398"/>
      <c r="AP74" s="397"/>
    </row>
    <row r="75" spans="1:42" ht="18" customHeight="1" x14ac:dyDescent="0.25">
      <c r="A75" s="1795" t="s">
        <v>910</v>
      </c>
      <c r="B75" s="693" t="s">
        <v>911</v>
      </c>
      <c r="C75" s="693" t="s">
        <v>429</v>
      </c>
      <c r="D75" s="806" t="s">
        <v>1052</v>
      </c>
      <c r="E75" s="1759">
        <v>35200</v>
      </c>
      <c r="F75" s="617">
        <f>'exchange rates'!$O$17</f>
        <v>21.275480000000002</v>
      </c>
      <c r="G75" s="625">
        <v>0</v>
      </c>
      <c r="H75" s="593">
        <f>8074/F75</f>
        <v>379.49790086992158</v>
      </c>
      <c r="I75" s="594">
        <v>0</v>
      </c>
      <c r="J75" s="595">
        <f>1212/F75</f>
        <v>56.966987348816566</v>
      </c>
      <c r="K75" s="566">
        <f>Tabel66892628[[#This Row],[Fix.ch. 2017]]+Tabel66892628[[#This Row],[Var. ch. 2017]]+Tabel66892628[[#This Row],[Oth. ch. DW 2017]]+Tabel66892628[[#This Row],[VAT DW 2017]]</f>
        <v>436.46488821873817</v>
      </c>
      <c r="L75" s="596">
        <v>0</v>
      </c>
      <c r="M75" s="595">
        <v>0</v>
      </c>
      <c r="N75" s="626">
        <f>6782/F75</f>
        <v>318.77071633636467</v>
      </c>
      <c r="O75" s="595">
        <f>1016/F75</f>
        <v>47.754504246202664</v>
      </c>
      <c r="P75" s="597">
        <v>0</v>
      </c>
      <c r="Q75" s="595">
        <v>0</v>
      </c>
      <c r="R75" s="570">
        <f>Tabel66892628[[#This Row],[VAT DW 2017]]+Tabel66892628[[#This Row],[VAT Sew. 2017]]+Tabel66892628[[#This Row],[VAT WW 2017]]+Tabel66892628[[#This Row],[VAT Other ch. 2017]]</f>
        <v>104.72149159501923</v>
      </c>
      <c r="S75" s="571">
        <f>Tabel66892628[[#This Row],[Total. ch. DW 2017]]+Tabel66892628[[#This Row],[Sew. 2017]]+Tabel66892628[[#This Row],[VAT Sew. 2017]]+Tabel66892628[[#This Row],[WW 2017]]+Tabel66892628[[#This Row],[VAT WW 2017]]+Tabel66892628[[#This Row],[Other ch. 2017]]+Tabel66892628[[#This Row],[VAT Other ch. 2017]]</f>
        <v>802.9901088013055</v>
      </c>
      <c r="T75" s="397"/>
      <c r="U75" s="1762">
        <f>MEDIAN(G75:G79)</f>
        <v>0</v>
      </c>
      <c r="V75" s="1765">
        <f>MEDIAN(H75:H79)</f>
        <v>379.49790086992158</v>
      </c>
      <c r="W75" s="1768">
        <f>MEDIAN(I75:I79)</f>
        <v>0</v>
      </c>
      <c r="X75" s="1771">
        <f>MEDIAN(J75:J79)</f>
        <v>56.966987348816566</v>
      </c>
      <c r="Y75" s="1774">
        <f>SUM(U75:X79)</f>
        <v>436.46488821873817</v>
      </c>
      <c r="Z75" s="1777">
        <f t="shared" ref="Z75:AF75" si="9">MEDIAN(L75:L79)</f>
        <v>0</v>
      </c>
      <c r="AA75" s="1771">
        <f t="shared" si="9"/>
        <v>0</v>
      </c>
      <c r="AB75" s="1810">
        <f t="shared" si="9"/>
        <v>318.77071633636467</v>
      </c>
      <c r="AC75" s="1771">
        <f t="shared" si="9"/>
        <v>47.754504246202664</v>
      </c>
      <c r="AD75" s="1812">
        <f t="shared" si="9"/>
        <v>0</v>
      </c>
      <c r="AE75" s="1771">
        <f t="shared" si="9"/>
        <v>0</v>
      </c>
      <c r="AF75" s="1814">
        <f t="shared" si="9"/>
        <v>104.72149159501923</v>
      </c>
      <c r="AG75" s="1793">
        <f>Y75+Z75+AA75+AB75+AC75+AD75+AE75</f>
        <v>802.9901088013055</v>
      </c>
      <c r="AH75" s="397"/>
      <c r="AI75" s="398"/>
      <c r="AJ75" s="591" t="s">
        <v>429</v>
      </c>
      <c r="AK75" s="398"/>
      <c r="AL75" s="591"/>
      <c r="AM75" s="591"/>
      <c r="AN75" s="591" t="s">
        <v>429</v>
      </c>
      <c r="AO75" s="398"/>
      <c r="AP75" s="397"/>
    </row>
    <row r="76" spans="1:42" ht="18" customHeight="1" x14ac:dyDescent="0.25">
      <c r="A76" s="1796"/>
      <c r="B76" s="639" t="s">
        <v>912</v>
      </c>
      <c r="C76" s="639"/>
      <c r="D76" s="724" t="s">
        <v>1052</v>
      </c>
      <c r="E76" s="1760"/>
      <c r="F76" s="617">
        <f>'exchange rates'!$O$17</f>
        <v>21.275480000000002</v>
      </c>
      <c r="G76" s="625">
        <v>0</v>
      </c>
      <c r="H76" s="593">
        <f>6448/F76</f>
        <v>303.07189309007362</v>
      </c>
      <c r="I76" s="594">
        <v>0</v>
      </c>
      <c r="J76" s="595">
        <f>968/F76</f>
        <v>45.498385935358449</v>
      </c>
      <c r="K76" s="566">
        <f>Tabel66892628[[#This Row],[Fix.ch. 2017]]+Tabel66892628[[#This Row],[Var. ch. 2017]]+Tabel66892628[[#This Row],[Oth. ch. DW 2017]]+Tabel66892628[[#This Row],[VAT DW 2017]]</f>
        <v>348.57027902543206</v>
      </c>
      <c r="L76" s="596">
        <v>0</v>
      </c>
      <c r="M76" s="595">
        <v>0</v>
      </c>
      <c r="N76" s="626">
        <f>6724/F76</f>
        <v>316.04457337742787</v>
      </c>
      <c r="O76" s="595">
        <f>1008/F76</f>
        <v>47.378484527728631</v>
      </c>
      <c r="P76" s="597">
        <v>0</v>
      </c>
      <c r="Q76" s="595">
        <v>0</v>
      </c>
      <c r="R76" s="570">
        <f>Tabel66892628[[#This Row],[VAT DW 2017]]+Tabel66892628[[#This Row],[VAT Sew. 2017]]+Tabel66892628[[#This Row],[VAT WW 2017]]+Tabel66892628[[#This Row],[VAT Other ch. 2017]]</f>
        <v>92.876870463087073</v>
      </c>
      <c r="S76" s="571">
        <f>Tabel66892628[[#This Row],[Total. ch. DW 2017]]+Tabel66892628[[#This Row],[Sew. 2017]]+Tabel66892628[[#This Row],[VAT Sew. 2017]]+Tabel66892628[[#This Row],[WW 2017]]+Tabel66892628[[#This Row],[VAT WW 2017]]+Tabel66892628[[#This Row],[Other ch. 2017]]+Tabel66892628[[#This Row],[VAT Other ch. 2017]]</f>
        <v>711.99333693058861</v>
      </c>
      <c r="T76" s="397"/>
      <c r="U76" s="1763"/>
      <c r="V76" s="1766"/>
      <c r="W76" s="1769"/>
      <c r="X76" s="1772"/>
      <c r="Y76" s="1775"/>
      <c r="Z76" s="1778"/>
      <c r="AA76" s="1772"/>
      <c r="AB76" s="1781"/>
      <c r="AC76" s="1772"/>
      <c r="AD76" s="1785"/>
      <c r="AE76" s="1772"/>
      <c r="AF76" s="1788"/>
      <c r="AG76" s="1791"/>
      <c r="AH76" s="397"/>
      <c r="AI76" s="398"/>
      <c r="AJ76" s="591" t="s">
        <v>429</v>
      </c>
      <c r="AK76" s="398"/>
      <c r="AL76" s="591"/>
      <c r="AM76" s="591"/>
      <c r="AN76" s="591" t="s">
        <v>429</v>
      </c>
      <c r="AO76" s="398"/>
      <c r="AP76" s="397"/>
    </row>
    <row r="77" spans="1:42" ht="18" customHeight="1" x14ac:dyDescent="0.25">
      <c r="A77" s="1796"/>
      <c r="B77" s="639" t="s">
        <v>913</v>
      </c>
      <c r="C77" s="639"/>
      <c r="D77" s="724" t="s">
        <v>1052</v>
      </c>
      <c r="E77" s="1760"/>
      <c r="F77" s="617">
        <f>'exchange rates'!$O$17</f>
        <v>21.275480000000002</v>
      </c>
      <c r="G77" s="625">
        <v>0</v>
      </c>
      <c r="H77" s="593">
        <f>6490/F77</f>
        <v>305.04599661206231</v>
      </c>
      <c r="I77" s="594">
        <v>0</v>
      </c>
      <c r="J77" s="595">
        <f>974/F77</f>
        <v>45.780400724213976</v>
      </c>
      <c r="K77" s="566">
        <f>Tabel66892628[[#This Row],[Fix.ch. 2017]]+Tabel66892628[[#This Row],[Var. ch. 2017]]+Tabel66892628[[#This Row],[Oth. ch. DW 2017]]+Tabel66892628[[#This Row],[VAT DW 2017]]</f>
        <v>350.82639733627627</v>
      </c>
      <c r="L77" s="596">
        <v>0</v>
      </c>
      <c r="M77" s="595">
        <v>0</v>
      </c>
      <c r="N77" s="626">
        <f>6834/F77</f>
        <v>321.2148445064459</v>
      </c>
      <c r="O77" s="595">
        <f>1026/F77</f>
        <v>48.224528894295212</v>
      </c>
      <c r="P77" s="597">
        <v>0</v>
      </c>
      <c r="Q77" s="595">
        <v>0</v>
      </c>
      <c r="R77" s="570">
        <f>Tabel66892628[[#This Row],[VAT DW 2017]]+Tabel66892628[[#This Row],[VAT Sew. 2017]]+Tabel66892628[[#This Row],[VAT WW 2017]]+Tabel66892628[[#This Row],[VAT Other ch. 2017]]</f>
        <v>94.004929618509181</v>
      </c>
      <c r="S77" s="571">
        <f>Tabel66892628[[#This Row],[Total. ch. DW 2017]]+Tabel66892628[[#This Row],[Sew. 2017]]+Tabel66892628[[#This Row],[VAT Sew. 2017]]+Tabel66892628[[#This Row],[WW 2017]]+Tabel66892628[[#This Row],[VAT WW 2017]]+Tabel66892628[[#This Row],[Other ch. 2017]]+Tabel66892628[[#This Row],[VAT Other ch. 2017]]</f>
        <v>720.26577073701742</v>
      </c>
      <c r="T77" s="397"/>
      <c r="U77" s="1763"/>
      <c r="V77" s="1766"/>
      <c r="W77" s="1769"/>
      <c r="X77" s="1772"/>
      <c r="Y77" s="1775"/>
      <c r="Z77" s="1778"/>
      <c r="AA77" s="1772"/>
      <c r="AB77" s="1781"/>
      <c r="AC77" s="1772"/>
      <c r="AD77" s="1785"/>
      <c r="AE77" s="1772"/>
      <c r="AF77" s="1788"/>
      <c r="AG77" s="1791"/>
      <c r="AH77" s="397"/>
      <c r="AI77" s="398"/>
      <c r="AJ77" s="591" t="s">
        <v>429</v>
      </c>
      <c r="AK77" s="398"/>
      <c r="AL77" s="591"/>
      <c r="AM77" s="591"/>
      <c r="AN77" s="591" t="s">
        <v>429</v>
      </c>
      <c r="AO77" s="398"/>
      <c r="AP77" s="397"/>
    </row>
    <row r="78" spans="1:42" ht="18" customHeight="1" x14ac:dyDescent="0.25">
      <c r="A78" s="1796"/>
      <c r="B78" s="639" t="s">
        <v>914</v>
      </c>
      <c r="C78" s="639"/>
      <c r="D78" s="724" t="s">
        <v>1052</v>
      </c>
      <c r="E78" s="1760"/>
      <c r="F78" s="617">
        <f>'exchange rates'!$O$17</f>
        <v>21.275480000000002</v>
      </c>
      <c r="G78" s="625">
        <v>0</v>
      </c>
      <c r="H78" s="593">
        <f>9012/F78</f>
        <v>423.58621286100242</v>
      </c>
      <c r="I78" s="594">
        <v>0</v>
      </c>
      <c r="J78" s="595">
        <f>1352/F78</f>
        <v>63.547332422112213</v>
      </c>
      <c r="K78" s="566">
        <f>Tabel66892628[[#This Row],[Fix.ch. 2017]]+Tabel66892628[[#This Row],[Var. ch. 2017]]+Tabel66892628[[#This Row],[Oth. ch. DW 2017]]+Tabel66892628[[#This Row],[VAT DW 2017]]</f>
        <v>487.13354528311464</v>
      </c>
      <c r="L78" s="596">
        <v>0</v>
      </c>
      <c r="M78" s="595">
        <v>0</v>
      </c>
      <c r="N78" s="626">
        <f>5968/F78</f>
        <v>280.51070998163141</v>
      </c>
      <c r="O78" s="595">
        <f>896/F78</f>
        <v>42.114208469092112</v>
      </c>
      <c r="P78" s="597">
        <v>0</v>
      </c>
      <c r="Q78" s="595">
        <v>0</v>
      </c>
      <c r="R78" s="570">
        <f>Tabel66892628[[#This Row],[VAT DW 2017]]+Tabel66892628[[#This Row],[VAT Sew. 2017]]+Tabel66892628[[#This Row],[VAT WW 2017]]+Tabel66892628[[#This Row],[VAT Other ch. 2017]]</f>
        <v>105.66154089120433</v>
      </c>
      <c r="S78" s="571">
        <f>Tabel66892628[[#This Row],[Total. ch. DW 2017]]+Tabel66892628[[#This Row],[Sew. 2017]]+Tabel66892628[[#This Row],[VAT Sew. 2017]]+Tabel66892628[[#This Row],[WW 2017]]+Tabel66892628[[#This Row],[VAT WW 2017]]+Tabel66892628[[#This Row],[Other ch. 2017]]+Tabel66892628[[#This Row],[VAT Other ch. 2017]]</f>
        <v>809.7584637338382</v>
      </c>
      <c r="T78" s="397"/>
      <c r="U78" s="1763"/>
      <c r="V78" s="1766"/>
      <c r="W78" s="1769"/>
      <c r="X78" s="1772"/>
      <c r="Y78" s="1775"/>
      <c r="Z78" s="1778"/>
      <c r="AA78" s="1772"/>
      <c r="AB78" s="1781"/>
      <c r="AC78" s="1772"/>
      <c r="AD78" s="1785"/>
      <c r="AE78" s="1772"/>
      <c r="AF78" s="1788"/>
      <c r="AG78" s="1791"/>
      <c r="AH78" s="397"/>
      <c r="AI78" s="398"/>
      <c r="AJ78" s="591" t="s">
        <v>429</v>
      </c>
      <c r="AK78" s="398"/>
      <c r="AL78" s="591"/>
      <c r="AM78" s="591"/>
      <c r="AN78" s="591" t="s">
        <v>429</v>
      </c>
      <c r="AO78" s="398"/>
      <c r="AP78" s="397"/>
    </row>
    <row r="79" spans="1:42" ht="18.600000000000001" customHeight="1" thickBot="1" x14ac:dyDescent="0.3">
      <c r="A79" s="1797"/>
      <c r="B79" s="652" t="s">
        <v>915</v>
      </c>
      <c r="C79" s="652"/>
      <c r="D79" s="807" t="s">
        <v>1052</v>
      </c>
      <c r="E79" s="1761"/>
      <c r="F79" s="617">
        <f>'exchange rates'!$O$17</f>
        <v>21.275480000000002</v>
      </c>
      <c r="G79" s="625">
        <v>0</v>
      </c>
      <c r="H79" s="593">
        <f>8692/F79</f>
        <v>408.54542412204091</v>
      </c>
      <c r="I79" s="594">
        <v>0</v>
      </c>
      <c r="J79" s="595">
        <f>1304/F79</f>
        <v>61.29121411126799</v>
      </c>
      <c r="K79" s="566">
        <f>Tabel66892628[[#This Row],[Fix.ch. 2017]]+Tabel66892628[[#This Row],[Var. ch. 2017]]+Tabel66892628[[#This Row],[Oth. ch. DW 2017]]+Tabel66892628[[#This Row],[VAT DW 2017]]</f>
        <v>469.83663823330892</v>
      </c>
      <c r="L79" s="596">
        <v>0</v>
      </c>
      <c r="M79" s="595">
        <v>0</v>
      </c>
      <c r="N79" s="626">
        <f>8404/F79</f>
        <v>395.00871425697562</v>
      </c>
      <c r="O79" s="595">
        <f>1260/F79</f>
        <v>59.223105659660789</v>
      </c>
      <c r="P79" s="597">
        <v>0</v>
      </c>
      <c r="Q79" s="595">
        <v>0</v>
      </c>
      <c r="R79" s="570">
        <f>Tabel66892628[[#This Row],[VAT DW 2017]]+Tabel66892628[[#This Row],[VAT Sew. 2017]]+Tabel66892628[[#This Row],[VAT WW 2017]]+Tabel66892628[[#This Row],[VAT Other ch. 2017]]</f>
        <v>120.51431977092878</v>
      </c>
      <c r="S79" s="571">
        <f>Tabel66892628[[#This Row],[Total. ch. DW 2017]]+Tabel66892628[[#This Row],[Sew. 2017]]+Tabel66892628[[#This Row],[VAT Sew. 2017]]+Tabel66892628[[#This Row],[WW 2017]]+Tabel66892628[[#This Row],[VAT WW 2017]]+Tabel66892628[[#This Row],[Other ch. 2017]]+Tabel66892628[[#This Row],[VAT Other ch. 2017]]</f>
        <v>924.06845814994529</v>
      </c>
      <c r="T79" s="397"/>
      <c r="U79" s="1764"/>
      <c r="V79" s="1767"/>
      <c r="W79" s="1770"/>
      <c r="X79" s="1773"/>
      <c r="Y79" s="1776"/>
      <c r="Z79" s="1779"/>
      <c r="AA79" s="1773"/>
      <c r="AB79" s="1811"/>
      <c r="AC79" s="1773"/>
      <c r="AD79" s="1813"/>
      <c r="AE79" s="1773"/>
      <c r="AF79" s="1815"/>
      <c r="AG79" s="1794"/>
      <c r="AH79" s="397"/>
      <c r="AI79" s="398"/>
      <c r="AJ79" s="591" t="s">
        <v>429</v>
      </c>
      <c r="AK79" s="398"/>
      <c r="AL79" s="591"/>
      <c r="AM79" s="591"/>
      <c r="AN79" s="591" t="s">
        <v>429</v>
      </c>
      <c r="AO79" s="398"/>
      <c r="AP79" s="397"/>
    </row>
    <row r="80" spans="1:42" ht="18" customHeight="1" x14ac:dyDescent="0.25">
      <c r="A80" s="1818" t="s">
        <v>11</v>
      </c>
      <c r="B80" s="641" t="s">
        <v>87</v>
      </c>
      <c r="C80" s="1046"/>
      <c r="D80" s="802" t="s">
        <v>1054</v>
      </c>
      <c r="E80" s="1966">
        <v>49600</v>
      </c>
      <c r="F80" s="661">
        <f>'exchange rates'!$O$18</f>
        <v>6.2037399999999998</v>
      </c>
      <c r="G80" s="625">
        <f>1000/F80</f>
        <v>161.19308675089545</v>
      </c>
      <c r="H80" s="593">
        <f>1020.4/F80</f>
        <v>164.48142572061369</v>
      </c>
      <c r="I80" s="594">
        <f>1250/F80</f>
        <v>201.4913584386193</v>
      </c>
      <c r="J80" s="595">
        <f>817.6/F80</f>
        <v>131.79146772753211</v>
      </c>
      <c r="K80" s="566">
        <f>Tabel66892628[[#This Row],[Fix.ch. 2017]]+Tabel66892628[[#This Row],[Var. ch. 2017]]+Tabel66892628[[#This Row],[Oth. ch. DW 2017]]+Tabel66892628[[#This Row],[VAT DW 2017]]</f>
        <v>658.95733863766054</v>
      </c>
      <c r="L80" s="596">
        <v>0</v>
      </c>
      <c r="M80" s="595">
        <v>0</v>
      </c>
      <c r="N80" s="626">
        <f>4752.65/F80</f>
        <v>766.09432374664311</v>
      </c>
      <c r="O80" s="595">
        <f>1188.16/F80</f>
        <v>191.52317795394393</v>
      </c>
      <c r="P80" s="597">
        <f>152.95/F80</f>
        <v>24.654482618549455</v>
      </c>
      <c r="Q80" s="595">
        <f>38.24/F80</f>
        <v>6.1640236373542416</v>
      </c>
      <c r="R80" s="570">
        <f>Tabel66892628[[#This Row],[VAT DW 2017]]+Tabel66892628[[#This Row],[VAT Sew. 2017]]+Tabel66892628[[#This Row],[VAT WW 2017]]+Tabel66892628[[#This Row],[VAT Other ch. 2017]]</f>
        <v>329.47866931883027</v>
      </c>
      <c r="S80" s="571">
        <f>Tabel66892628[[#This Row],[Total. ch. DW 2017]]+Tabel66892628[[#This Row],[Sew. 2017]]+Tabel66892628[[#This Row],[VAT Sew. 2017]]+Tabel66892628[[#This Row],[WW 2017]]+Tabel66892628[[#This Row],[VAT WW 2017]]+Tabel66892628[[#This Row],[Other ch. 2017]]+Tabel66892628[[#This Row],[VAT Other ch. 2017]]</f>
        <v>1647.3933465941514</v>
      </c>
      <c r="T80" s="397"/>
      <c r="U80" s="1968">
        <f>MEDIAN(G80:G84)</f>
        <v>88.720674947692842</v>
      </c>
      <c r="V80" s="1971">
        <f>MEDIAN(H80:H84)</f>
        <v>268.67663699639252</v>
      </c>
      <c r="W80" s="1974">
        <f>MEDIAN(I80:I84)</f>
        <v>201.4913584386193</v>
      </c>
      <c r="X80" s="1771">
        <f>MEDIAN(J80:J84)</f>
        <v>133.01653518683892</v>
      </c>
      <c r="Y80" s="1977">
        <f>SUM(U80:X84)</f>
        <v>691.90520556954357</v>
      </c>
      <c r="Z80" s="1980">
        <f t="shared" ref="Z80:AF80" si="10">MEDIAN(L80:L84)</f>
        <v>0</v>
      </c>
      <c r="AA80" s="1771">
        <f t="shared" si="10"/>
        <v>0</v>
      </c>
      <c r="AB80" s="1954">
        <f t="shared" si="10"/>
        <v>800.09155767327456</v>
      </c>
      <c r="AC80" s="1771">
        <f t="shared" si="10"/>
        <v>200.02288941831864</v>
      </c>
      <c r="AD80" s="1957">
        <f t="shared" si="10"/>
        <v>18.382459613072115</v>
      </c>
      <c r="AE80" s="1771">
        <f t="shared" si="10"/>
        <v>4.5956149032680287</v>
      </c>
      <c r="AF80" s="1960">
        <f t="shared" si="10"/>
        <v>329.47866931883027</v>
      </c>
      <c r="AG80" s="1963">
        <f>Y80+Z80+AA80+AB80+AC80+AD80+AE80</f>
        <v>1714.9977271774769</v>
      </c>
      <c r="AH80" s="397"/>
      <c r="AI80" s="396"/>
      <c r="AJ80" s="591" t="s">
        <v>429</v>
      </c>
      <c r="AK80" s="591"/>
      <c r="AL80" s="591"/>
      <c r="AM80" s="591" t="s">
        <v>429</v>
      </c>
      <c r="AN80" s="591" t="s">
        <v>429</v>
      </c>
      <c r="AO80" s="396"/>
      <c r="AP80" s="397"/>
    </row>
    <row r="81" spans="1:42" ht="15.75" x14ac:dyDescent="0.25">
      <c r="A81" s="1819"/>
      <c r="B81" s="641" t="s">
        <v>213</v>
      </c>
      <c r="C81" s="1046"/>
      <c r="D81" s="802" t="s">
        <v>1054</v>
      </c>
      <c r="E81" s="1967"/>
      <c r="F81" s="661">
        <f>'exchange rates'!$O$18</f>
        <v>6.2037399999999998</v>
      </c>
      <c r="G81" s="625">
        <f>550.4/F81</f>
        <v>88.720674947692842</v>
      </c>
      <c r="H81" s="593">
        <f>1694/F81</f>
        <v>273.06108895601687</v>
      </c>
      <c r="I81" s="594">
        <f>1250/F81</f>
        <v>201.4913584386193</v>
      </c>
      <c r="J81" s="595">
        <f>873.6/F81</f>
        <v>140.81828058558224</v>
      </c>
      <c r="K81" s="566">
        <f>Tabel66892628[[#This Row],[Fix.ch. 2017]]+Tabel66892628[[#This Row],[Var. ch. 2017]]+Tabel66892628[[#This Row],[Oth. ch. DW 2017]]+Tabel66892628[[#This Row],[VAT DW 2017]]</f>
        <v>704.09140292791119</v>
      </c>
      <c r="L81" s="596">
        <v>0</v>
      </c>
      <c r="M81" s="595">
        <v>0</v>
      </c>
      <c r="N81" s="626">
        <f>4963.56/F81</f>
        <v>800.09155767327456</v>
      </c>
      <c r="O81" s="595">
        <f>1240.89/F81</f>
        <v>200.02288941831864</v>
      </c>
      <c r="P81" s="597">
        <f>114.04/F81</f>
        <v>18.382459613072115</v>
      </c>
      <c r="Q81" s="595">
        <f>28.51/F81</f>
        <v>4.5956149032680287</v>
      </c>
      <c r="R81" s="570">
        <f>Tabel66892628[[#This Row],[VAT DW 2017]]+Tabel66892628[[#This Row],[VAT Sew. 2017]]+Tabel66892628[[#This Row],[VAT WW 2017]]+Tabel66892628[[#This Row],[VAT Other ch. 2017]]</f>
        <v>345.43678490716889</v>
      </c>
      <c r="S81" s="571">
        <f>Tabel66892628[[#This Row],[Total. ch. DW 2017]]+Tabel66892628[[#This Row],[Sew. 2017]]+Tabel66892628[[#This Row],[VAT Sew. 2017]]+Tabel66892628[[#This Row],[WW 2017]]+Tabel66892628[[#This Row],[VAT WW 2017]]+Tabel66892628[[#This Row],[Other ch. 2017]]+Tabel66892628[[#This Row],[VAT Other ch. 2017]]</f>
        <v>1727.1839245358447</v>
      </c>
      <c r="T81" s="397"/>
      <c r="U81" s="1969"/>
      <c r="V81" s="1972"/>
      <c r="W81" s="1975"/>
      <c r="X81" s="1772"/>
      <c r="Y81" s="1978"/>
      <c r="Z81" s="1981"/>
      <c r="AA81" s="1772"/>
      <c r="AB81" s="1955"/>
      <c r="AC81" s="1772"/>
      <c r="AD81" s="1958"/>
      <c r="AE81" s="1772"/>
      <c r="AF81" s="1961"/>
      <c r="AG81" s="1964"/>
      <c r="AH81" s="397"/>
      <c r="AI81" s="396"/>
      <c r="AJ81" s="591" t="s">
        <v>429</v>
      </c>
      <c r="AK81" s="591"/>
      <c r="AL81" s="591"/>
      <c r="AM81" s="591" t="s">
        <v>429</v>
      </c>
      <c r="AN81" s="591" t="s">
        <v>429</v>
      </c>
      <c r="AO81" s="396"/>
      <c r="AP81" s="397"/>
    </row>
    <row r="82" spans="1:42" ht="15.75" x14ac:dyDescent="0.25">
      <c r="A82" s="1819"/>
      <c r="B82" s="641" t="s">
        <v>88</v>
      </c>
      <c r="C82" s="1046" t="s">
        <v>429</v>
      </c>
      <c r="D82" s="802" t="s">
        <v>1054</v>
      </c>
      <c r="E82" s="1967"/>
      <c r="F82" s="661">
        <f>'exchange rates'!$O$18</f>
        <v>6.2037399999999998</v>
      </c>
      <c r="G82" s="625">
        <f>384/F82</f>
        <v>61.898145312343843</v>
      </c>
      <c r="H82" s="593">
        <f>1666.8/F82</f>
        <v>268.67663699639252</v>
      </c>
      <c r="I82" s="594">
        <f>1250/F82</f>
        <v>201.4913584386193</v>
      </c>
      <c r="J82" s="595">
        <f>825.2/F82</f>
        <v>133.01653518683892</v>
      </c>
      <c r="K82" s="566">
        <f>Tabel66892628[[#This Row],[Fix.ch. 2017]]+Tabel66892628[[#This Row],[Var. ch. 2017]]+Tabel66892628[[#This Row],[Oth. ch. DW 2017]]+Tabel66892628[[#This Row],[VAT DW 2017]]</f>
        <v>665.08267593419464</v>
      </c>
      <c r="L82" s="596">
        <v>0</v>
      </c>
      <c r="M82" s="595">
        <v>0</v>
      </c>
      <c r="N82" s="626">
        <f>3108.83/F82</f>
        <v>501.12190388378622</v>
      </c>
      <c r="O82" s="595">
        <f>777.21/F82</f>
        <v>125.28087895366345</v>
      </c>
      <c r="P82" s="597">
        <f>139.17/F82</f>
        <v>22.433241883122115</v>
      </c>
      <c r="Q82" s="595">
        <f>34.79/F82</f>
        <v>5.6079074880636517</v>
      </c>
      <c r="R82" s="570">
        <f>Tabel66892628[[#This Row],[VAT DW 2017]]+Tabel66892628[[#This Row],[VAT Sew. 2017]]+Tabel66892628[[#This Row],[VAT WW 2017]]+Tabel66892628[[#This Row],[VAT Other ch. 2017]]</f>
        <v>263.90532162856601</v>
      </c>
      <c r="S82" s="571">
        <f>Tabel66892628[[#This Row],[Total. ch. DW 2017]]+Tabel66892628[[#This Row],[Sew. 2017]]+Tabel66892628[[#This Row],[VAT Sew. 2017]]+Tabel66892628[[#This Row],[WW 2017]]+Tabel66892628[[#This Row],[VAT WW 2017]]+Tabel66892628[[#This Row],[Other ch. 2017]]+Tabel66892628[[#This Row],[VAT Other ch. 2017]]</f>
        <v>1319.5266081428299</v>
      </c>
      <c r="T82" s="397"/>
      <c r="U82" s="1969"/>
      <c r="V82" s="1972"/>
      <c r="W82" s="1975"/>
      <c r="X82" s="1772"/>
      <c r="Y82" s="1978"/>
      <c r="Z82" s="1981"/>
      <c r="AA82" s="1772"/>
      <c r="AB82" s="1955"/>
      <c r="AC82" s="1772"/>
      <c r="AD82" s="1958"/>
      <c r="AE82" s="1772"/>
      <c r="AF82" s="1961"/>
      <c r="AG82" s="1964"/>
      <c r="AH82" s="397"/>
      <c r="AI82" s="396"/>
      <c r="AJ82" s="591" t="s">
        <v>429</v>
      </c>
      <c r="AK82" s="591"/>
      <c r="AL82" s="591"/>
      <c r="AM82" s="591" t="s">
        <v>429</v>
      </c>
      <c r="AN82" s="591" t="s">
        <v>429</v>
      </c>
      <c r="AO82" s="396"/>
      <c r="AP82" s="397"/>
    </row>
    <row r="83" spans="1:42" ht="15.75" x14ac:dyDescent="0.25">
      <c r="A83" s="1819"/>
      <c r="B83" s="641" t="s">
        <v>89</v>
      </c>
      <c r="C83" s="1046"/>
      <c r="D83" s="802" t="s">
        <v>1054</v>
      </c>
      <c r="E83" s="1967"/>
      <c r="F83" s="661">
        <f>'exchange rates'!$O$18</f>
        <v>6.2037399999999998</v>
      </c>
      <c r="G83" s="625">
        <f>662.4/F83</f>
        <v>106.77430066379313</v>
      </c>
      <c r="H83" s="593">
        <f>970.8/F83</f>
        <v>156.48624861776929</v>
      </c>
      <c r="I83" s="594">
        <f>1250/F83</f>
        <v>201.4913584386193</v>
      </c>
      <c r="J83" s="595">
        <f>720.8/F83</f>
        <v>116.18797693004542</v>
      </c>
      <c r="K83" s="566">
        <f>Tabel66892628[[#This Row],[Fix.ch. 2017]]+Tabel66892628[[#This Row],[Var. ch. 2017]]+Tabel66892628[[#This Row],[Oth. ch. DW 2017]]+Tabel66892628[[#This Row],[VAT DW 2017]]</f>
        <v>580.93988465022721</v>
      </c>
      <c r="L83" s="596">
        <v>0</v>
      </c>
      <c r="M83" s="595">
        <v>0</v>
      </c>
      <c r="N83" s="626">
        <f>5184.01/F83</f>
        <v>835.62657364750942</v>
      </c>
      <c r="O83" s="595">
        <f>1296/F83</f>
        <v>208.90624042916048</v>
      </c>
      <c r="P83" s="597">
        <f>100.79/F83</f>
        <v>16.246651213622751</v>
      </c>
      <c r="Q83" s="595">
        <f>25.2/F83</f>
        <v>4.0620657861225649</v>
      </c>
      <c r="R83" s="570">
        <f>Tabel66892628[[#This Row],[VAT DW 2017]]+Tabel66892628[[#This Row],[VAT Sew. 2017]]+Tabel66892628[[#This Row],[VAT WW 2017]]+Tabel66892628[[#This Row],[VAT Other ch. 2017]]</f>
        <v>329.15628314532847</v>
      </c>
      <c r="S83" s="571">
        <f>Tabel66892628[[#This Row],[Total. ch. DW 2017]]+Tabel66892628[[#This Row],[Sew. 2017]]+Tabel66892628[[#This Row],[VAT Sew. 2017]]+Tabel66892628[[#This Row],[WW 2017]]+Tabel66892628[[#This Row],[VAT WW 2017]]+Tabel66892628[[#This Row],[Other ch. 2017]]+Tabel66892628[[#This Row],[VAT Other ch. 2017]]</f>
        <v>1645.7814157266423</v>
      </c>
      <c r="T83" s="397"/>
      <c r="U83" s="1969"/>
      <c r="V83" s="1972"/>
      <c r="W83" s="1975"/>
      <c r="X83" s="1772"/>
      <c r="Y83" s="1978"/>
      <c r="Z83" s="1981"/>
      <c r="AA83" s="1772"/>
      <c r="AB83" s="1955"/>
      <c r="AC83" s="1772"/>
      <c r="AD83" s="1958"/>
      <c r="AE83" s="1772"/>
      <c r="AF83" s="1961"/>
      <c r="AG83" s="1964"/>
      <c r="AH83" s="397"/>
      <c r="AI83" s="396"/>
      <c r="AJ83" s="591" t="s">
        <v>429</v>
      </c>
      <c r="AK83" s="591"/>
      <c r="AL83" s="591"/>
      <c r="AM83" s="591" t="s">
        <v>429</v>
      </c>
      <c r="AN83" s="591" t="s">
        <v>429</v>
      </c>
      <c r="AO83" s="396"/>
      <c r="AP83" s="397"/>
    </row>
    <row r="84" spans="1:42" ht="16.5" thickBot="1" x14ac:dyDescent="0.3">
      <c r="A84" s="1820"/>
      <c r="B84" s="544" t="s">
        <v>90</v>
      </c>
      <c r="C84" s="1046"/>
      <c r="D84" s="807" t="s">
        <v>1054</v>
      </c>
      <c r="E84" s="1923"/>
      <c r="F84" s="661">
        <f>'exchange rates'!$O$18</f>
        <v>6.2037399999999998</v>
      </c>
      <c r="G84" s="625">
        <f>480/F84</f>
        <v>77.372681640429803</v>
      </c>
      <c r="H84" s="593">
        <f>1900.4/F84</f>
        <v>306.3313420614017</v>
      </c>
      <c r="I84" s="594">
        <f>1250/F84</f>
        <v>201.4913584386193</v>
      </c>
      <c r="J84" s="595">
        <f>907.6/F84</f>
        <v>146.29884553511269</v>
      </c>
      <c r="K84" s="566">
        <f>Tabel66892628[[#This Row],[Fix.ch. 2017]]+Tabel66892628[[#This Row],[Var. ch. 2017]]+Tabel66892628[[#This Row],[Oth. ch. DW 2017]]+Tabel66892628[[#This Row],[VAT DW 2017]]</f>
        <v>731.49422767556348</v>
      </c>
      <c r="L84" s="596">
        <v>0</v>
      </c>
      <c r="M84" s="595">
        <v>0</v>
      </c>
      <c r="N84" s="626">
        <f>6762.84/F84</f>
        <v>1090.1230548024257</v>
      </c>
      <c r="O84" s="595">
        <f>1690.71/F84</f>
        <v>272.53076370060643</v>
      </c>
      <c r="P84" s="597">
        <f>107.56/F84</f>
        <v>17.337928410926313</v>
      </c>
      <c r="Q84" s="595">
        <f>26.89/F84</f>
        <v>4.3344821027315783</v>
      </c>
      <c r="R84" s="570">
        <f>Tabel66892628[[#This Row],[VAT DW 2017]]+Tabel66892628[[#This Row],[VAT Sew. 2017]]+Tabel66892628[[#This Row],[VAT WW 2017]]+Tabel66892628[[#This Row],[VAT Other ch. 2017]]</f>
        <v>423.16409133845065</v>
      </c>
      <c r="S84" s="571">
        <f>Tabel66892628[[#This Row],[Total. ch. DW 2017]]+Tabel66892628[[#This Row],[Sew. 2017]]+Tabel66892628[[#This Row],[VAT Sew. 2017]]+Tabel66892628[[#This Row],[WW 2017]]+Tabel66892628[[#This Row],[VAT WW 2017]]+Tabel66892628[[#This Row],[Other ch. 2017]]+Tabel66892628[[#This Row],[VAT Other ch. 2017]]</f>
        <v>2115.8204566922536</v>
      </c>
      <c r="T84" s="397"/>
      <c r="U84" s="1970"/>
      <c r="V84" s="1973"/>
      <c r="W84" s="1976"/>
      <c r="X84" s="1773"/>
      <c r="Y84" s="1979"/>
      <c r="Z84" s="1982"/>
      <c r="AA84" s="1773"/>
      <c r="AB84" s="1956"/>
      <c r="AC84" s="1773"/>
      <c r="AD84" s="1959"/>
      <c r="AE84" s="1773"/>
      <c r="AF84" s="1962"/>
      <c r="AG84" s="1965"/>
      <c r="AH84" s="397"/>
      <c r="AI84" s="396"/>
      <c r="AJ84" s="591" t="s">
        <v>429</v>
      </c>
      <c r="AK84" s="591"/>
      <c r="AL84" s="591"/>
      <c r="AM84" s="591" t="s">
        <v>429</v>
      </c>
      <c r="AN84" s="591" t="s">
        <v>429</v>
      </c>
      <c r="AO84" s="396"/>
      <c r="AP84" s="397"/>
    </row>
    <row r="85" spans="1:42" ht="18" customHeight="1" x14ac:dyDescent="0.25">
      <c r="A85" s="1818" t="s">
        <v>12</v>
      </c>
      <c r="B85" s="546" t="s">
        <v>91</v>
      </c>
      <c r="C85" s="1046"/>
      <c r="D85" s="802" t="s">
        <v>1056</v>
      </c>
      <c r="E85" s="1966">
        <v>44000</v>
      </c>
      <c r="F85" s="616">
        <f>'exchange rates'!$O$19</f>
        <v>0.83301000000000003</v>
      </c>
      <c r="G85" s="625">
        <f>39.52/F85</f>
        <v>47.44240765416982</v>
      </c>
      <c r="H85" s="593">
        <f>226/F85</f>
        <v>271.30526644338005</v>
      </c>
      <c r="I85" s="594">
        <v>0</v>
      </c>
      <c r="J85" s="595">
        <f>63.72/F85</f>
        <v>76.493679547664485</v>
      </c>
      <c r="K85" s="566">
        <f>Tabel66892628[[#This Row],[Fix.ch. 2017]]+Tabel66892628[[#This Row],[Var. ch. 2017]]+Tabel66892628[[#This Row],[Oth. ch. DW 2017]]+Tabel66892628[[#This Row],[VAT DW 2017]]</f>
        <v>395.24135364521436</v>
      </c>
      <c r="L85" s="596">
        <f>278/F85</f>
        <v>333.72948704097189</v>
      </c>
      <c r="M85" s="595">
        <f>66.72/F85</f>
        <v>80.095076889833251</v>
      </c>
      <c r="N85" s="626">
        <v>0</v>
      </c>
      <c r="O85" s="595">
        <v>0</v>
      </c>
      <c r="P85" s="597">
        <f>39.52/F85</f>
        <v>47.44240765416982</v>
      </c>
      <c r="Q85" s="595">
        <f>9.48/F85</f>
        <v>11.380415601253286</v>
      </c>
      <c r="R85" s="570">
        <f>Tabel66892628[[#This Row],[VAT DW 2017]]+Tabel66892628[[#This Row],[VAT Sew. 2017]]+Tabel66892628[[#This Row],[VAT WW 2017]]+Tabel66892628[[#This Row],[VAT Other ch. 2017]]</f>
        <v>167.96917203875103</v>
      </c>
      <c r="S85" s="571">
        <f>Tabel66892628[[#This Row],[Total. ch. DW 2017]]+Tabel66892628[[#This Row],[Sew. 2017]]+Tabel66892628[[#This Row],[VAT Sew. 2017]]+Tabel66892628[[#This Row],[WW 2017]]+Tabel66892628[[#This Row],[VAT WW 2017]]+Tabel66892628[[#This Row],[Other ch. 2017]]+Tabel66892628[[#This Row],[VAT Other ch. 2017]]</f>
        <v>867.88874083144265</v>
      </c>
      <c r="T85" s="397"/>
      <c r="U85" s="1968">
        <f>MEDIAN(G85:G90)</f>
        <v>48.894971248844556</v>
      </c>
      <c r="V85" s="1971">
        <f>MEDIAN(H85:H90)</f>
        <v>273.70619800482586</v>
      </c>
      <c r="W85" s="1974">
        <f>MEDIAN(I85:I90)</f>
        <v>0</v>
      </c>
      <c r="X85" s="1771">
        <f>MEDIAN(J85:J90)</f>
        <v>79.728934826712759</v>
      </c>
      <c r="Y85" s="1977">
        <f>SUM(U85:X90)</f>
        <v>402.33010408038319</v>
      </c>
      <c r="Z85" s="1980">
        <f t="shared" ref="Z85:AF85" si="11">MEDIAN(L85:L90)</f>
        <v>347.34276899436981</v>
      </c>
      <c r="AA85" s="1771">
        <f t="shared" si="11"/>
        <v>84.656846856580344</v>
      </c>
      <c r="AB85" s="1954">
        <f t="shared" si="11"/>
        <v>0</v>
      </c>
      <c r="AC85" s="1771">
        <f t="shared" si="11"/>
        <v>0</v>
      </c>
      <c r="AD85" s="1957">
        <f t="shared" si="11"/>
        <v>47.44240765416982</v>
      </c>
      <c r="AE85" s="1771">
        <f t="shared" si="11"/>
        <v>11.380415601253286</v>
      </c>
      <c r="AF85" s="1960">
        <f t="shared" si="11"/>
        <v>176.56450702872715</v>
      </c>
      <c r="AG85" s="1963">
        <f>Y85+Z85+AA85+AB85+AC85+AD85+AE85</f>
        <v>893.15254318675647</v>
      </c>
      <c r="AH85" s="397"/>
      <c r="AI85" s="400"/>
      <c r="AJ85" s="662" t="s">
        <v>429</v>
      </c>
      <c r="AK85" s="662"/>
      <c r="AL85" s="662"/>
      <c r="AM85" s="662" t="s">
        <v>429</v>
      </c>
      <c r="AN85" s="662" t="s">
        <v>429</v>
      </c>
      <c r="AO85" s="400"/>
      <c r="AP85" s="397"/>
    </row>
    <row r="86" spans="1:42" ht="15.75" x14ac:dyDescent="0.25">
      <c r="A86" s="1819"/>
      <c r="B86" s="547" t="s">
        <v>92</v>
      </c>
      <c r="C86" s="1046" t="s">
        <v>429</v>
      </c>
      <c r="D86" s="802" t="s">
        <v>1056</v>
      </c>
      <c r="E86" s="1967"/>
      <c r="F86" s="616">
        <f>'exchange rates'!$O$19</f>
        <v>0.83301000000000003</v>
      </c>
      <c r="G86" s="625">
        <f>39.52/F86</f>
        <v>47.44240765416982</v>
      </c>
      <c r="H86" s="593">
        <f>226/F86</f>
        <v>271.30526644338005</v>
      </c>
      <c r="I86" s="594">
        <v>0</v>
      </c>
      <c r="J86" s="595">
        <f>63.72/F86</f>
        <v>76.493679547664485</v>
      </c>
      <c r="K86" s="566">
        <f>Tabel66892628[[#This Row],[Fix.ch. 2017]]+Tabel66892628[[#This Row],[Var. ch. 2017]]+Tabel66892628[[#This Row],[Oth. ch. DW 2017]]+Tabel66892628[[#This Row],[VAT DW 2017]]</f>
        <v>395.24135364521436</v>
      </c>
      <c r="L86" s="596">
        <f>278/F86</f>
        <v>333.72948704097189</v>
      </c>
      <c r="M86" s="595">
        <f>66.72/F86</f>
        <v>80.095076889833251</v>
      </c>
      <c r="N86" s="626">
        <v>0</v>
      </c>
      <c r="O86" s="595">
        <v>0</v>
      </c>
      <c r="P86" s="597">
        <f>39.52/F86</f>
        <v>47.44240765416982</v>
      </c>
      <c r="Q86" s="595">
        <f>9.48/F86</f>
        <v>11.380415601253286</v>
      </c>
      <c r="R86" s="570">
        <f>Tabel66892628[[#This Row],[VAT DW 2017]]+Tabel66892628[[#This Row],[VAT Sew. 2017]]+Tabel66892628[[#This Row],[VAT WW 2017]]+Tabel66892628[[#This Row],[VAT Other ch. 2017]]</f>
        <v>167.96917203875103</v>
      </c>
      <c r="S86" s="571">
        <f>Tabel66892628[[#This Row],[Total. ch. DW 2017]]+Tabel66892628[[#This Row],[Sew. 2017]]+Tabel66892628[[#This Row],[VAT Sew. 2017]]+Tabel66892628[[#This Row],[WW 2017]]+Tabel66892628[[#This Row],[VAT WW 2017]]+Tabel66892628[[#This Row],[Other ch. 2017]]+Tabel66892628[[#This Row],[VAT Other ch. 2017]]</f>
        <v>867.88874083144265</v>
      </c>
      <c r="T86" s="397"/>
      <c r="U86" s="1969"/>
      <c r="V86" s="1972"/>
      <c r="W86" s="1975"/>
      <c r="X86" s="1772"/>
      <c r="Y86" s="1978"/>
      <c r="Z86" s="1981"/>
      <c r="AA86" s="1772"/>
      <c r="AB86" s="1955"/>
      <c r="AC86" s="1772"/>
      <c r="AD86" s="1958"/>
      <c r="AE86" s="1772"/>
      <c r="AF86" s="1961"/>
      <c r="AG86" s="1964"/>
      <c r="AH86" s="397"/>
      <c r="AI86" s="400"/>
      <c r="AJ86" s="662" t="s">
        <v>429</v>
      </c>
      <c r="AK86" s="662"/>
      <c r="AL86" s="662"/>
      <c r="AM86" s="662" t="s">
        <v>429</v>
      </c>
      <c r="AN86" s="662" t="s">
        <v>429</v>
      </c>
      <c r="AO86" s="400"/>
      <c r="AP86" s="397"/>
    </row>
    <row r="87" spans="1:42" ht="15.75" x14ac:dyDescent="0.25">
      <c r="A87" s="1819"/>
      <c r="B87" s="547" t="s">
        <v>93</v>
      </c>
      <c r="C87" s="1046"/>
      <c r="D87" s="802" t="s">
        <v>1056</v>
      </c>
      <c r="E87" s="1967"/>
      <c r="F87" s="616">
        <f>'exchange rates'!$O$19</f>
        <v>0.83301000000000003</v>
      </c>
      <c r="G87" s="625">
        <f>41.94/F87</f>
        <v>50.347534843519284</v>
      </c>
      <c r="H87" s="593">
        <f>246/F87</f>
        <v>295.31458205783844</v>
      </c>
      <c r="I87" s="594">
        <v>0</v>
      </c>
      <c r="J87" s="595">
        <f>69.11/F87</f>
        <v>82.964190105761034</v>
      </c>
      <c r="K87" s="566">
        <f>Tabel66892628[[#This Row],[Fix.ch. 2017]]+Tabel66892628[[#This Row],[Var. ch. 2017]]+Tabel66892628[[#This Row],[Oth. ch. DW 2017]]+Tabel66892628[[#This Row],[VAT DW 2017]]</f>
        <v>428.62630700711873</v>
      </c>
      <c r="L87" s="596">
        <f>320/F87</f>
        <v>384.14904983133454</v>
      </c>
      <c r="M87" s="595">
        <f>76.8/F87</f>
        <v>92.195771959520286</v>
      </c>
      <c r="N87" s="626">
        <v>0</v>
      </c>
      <c r="O87" s="595">
        <v>0</v>
      </c>
      <c r="P87" s="597">
        <f>41.94/F87</f>
        <v>50.347534843519284</v>
      </c>
      <c r="Q87" s="595">
        <f>10.07/F87</f>
        <v>12.08869041187981</v>
      </c>
      <c r="R87" s="570">
        <f>Tabel66892628[[#This Row],[VAT DW 2017]]+Tabel66892628[[#This Row],[VAT Sew. 2017]]+Tabel66892628[[#This Row],[VAT WW 2017]]+Tabel66892628[[#This Row],[VAT Other ch. 2017]]</f>
        <v>187.24865247716113</v>
      </c>
      <c r="S87" s="571">
        <f>Tabel66892628[[#This Row],[Total. ch. DW 2017]]+Tabel66892628[[#This Row],[Sew. 2017]]+Tabel66892628[[#This Row],[VAT Sew. 2017]]+Tabel66892628[[#This Row],[WW 2017]]+Tabel66892628[[#This Row],[VAT WW 2017]]+Tabel66892628[[#This Row],[Other ch. 2017]]+Tabel66892628[[#This Row],[VAT Other ch. 2017]]</f>
        <v>967.40735405337261</v>
      </c>
      <c r="T87" s="397"/>
      <c r="U87" s="1969"/>
      <c r="V87" s="1972"/>
      <c r="W87" s="1975"/>
      <c r="X87" s="1772"/>
      <c r="Y87" s="1978"/>
      <c r="Z87" s="1981"/>
      <c r="AA87" s="1772"/>
      <c r="AB87" s="1955"/>
      <c r="AC87" s="1772"/>
      <c r="AD87" s="1958"/>
      <c r="AE87" s="1772"/>
      <c r="AF87" s="1961"/>
      <c r="AG87" s="1964"/>
      <c r="AH87" s="397"/>
      <c r="AI87" s="400"/>
      <c r="AJ87" s="662" t="s">
        <v>429</v>
      </c>
      <c r="AK87" s="662"/>
      <c r="AL87" s="662"/>
      <c r="AM87" s="662" t="s">
        <v>429</v>
      </c>
      <c r="AN87" s="662" t="s">
        <v>429</v>
      </c>
      <c r="AO87" s="400"/>
      <c r="AP87" s="397"/>
    </row>
    <row r="88" spans="1:42" ht="15.75" x14ac:dyDescent="0.25">
      <c r="A88" s="1819"/>
      <c r="B88" s="547" t="s">
        <v>94</v>
      </c>
      <c r="C88" s="1046"/>
      <c r="D88" s="802" t="s">
        <v>1056</v>
      </c>
      <c r="E88" s="1967"/>
      <c r="F88" s="616">
        <f>'exchange rates'!$O$19</f>
        <v>0.83301000000000003</v>
      </c>
      <c r="G88" s="625">
        <f>80.65/F88</f>
        <v>96.817565215303546</v>
      </c>
      <c r="H88" s="593">
        <f>230/F88</f>
        <v>276.10712956627168</v>
      </c>
      <c r="I88" s="594">
        <v>0</v>
      </c>
      <c r="J88" s="595">
        <f>74.56/F88</f>
        <v>89.506728610700947</v>
      </c>
      <c r="K88" s="566">
        <f>Tabel66892628[[#This Row],[Fix.ch. 2017]]+Tabel66892628[[#This Row],[Var. ch. 2017]]+Tabel66892628[[#This Row],[Oth. ch. DW 2017]]+Tabel66892628[[#This Row],[VAT DW 2017]]</f>
        <v>462.4314233922762</v>
      </c>
      <c r="L88" s="596">
        <f>332/F88</f>
        <v>398.5546392000096</v>
      </c>
      <c r="M88" s="595">
        <f>79.68/F88</f>
        <v>95.653113408002312</v>
      </c>
      <c r="N88" s="626">
        <v>0</v>
      </c>
      <c r="O88" s="595">
        <v>0</v>
      </c>
      <c r="P88" s="597">
        <v>0</v>
      </c>
      <c r="Q88" s="595">
        <v>0</v>
      </c>
      <c r="R88" s="570">
        <f>Tabel66892628[[#This Row],[VAT DW 2017]]+Tabel66892628[[#This Row],[VAT Sew. 2017]]+Tabel66892628[[#This Row],[VAT WW 2017]]+Tabel66892628[[#This Row],[VAT Other ch. 2017]]</f>
        <v>185.15984201870327</v>
      </c>
      <c r="S88" s="571">
        <f>Tabel66892628[[#This Row],[Total. ch. DW 2017]]+Tabel66892628[[#This Row],[Sew. 2017]]+Tabel66892628[[#This Row],[VAT Sew. 2017]]+Tabel66892628[[#This Row],[WW 2017]]+Tabel66892628[[#This Row],[VAT WW 2017]]+Tabel66892628[[#This Row],[Other ch. 2017]]+Tabel66892628[[#This Row],[VAT Other ch. 2017]]</f>
        <v>956.63917600028822</v>
      </c>
      <c r="T88" s="397"/>
      <c r="U88" s="1969"/>
      <c r="V88" s="1972"/>
      <c r="W88" s="1975"/>
      <c r="X88" s="1772"/>
      <c r="Y88" s="1978"/>
      <c r="Z88" s="1981"/>
      <c r="AA88" s="1772"/>
      <c r="AB88" s="1955"/>
      <c r="AC88" s="1772"/>
      <c r="AD88" s="1958"/>
      <c r="AE88" s="1772"/>
      <c r="AF88" s="1961"/>
      <c r="AG88" s="1964"/>
      <c r="AH88" s="397"/>
      <c r="AI88" s="400"/>
      <c r="AJ88" s="662" t="s">
        <v>429</v>
      </c>
      <c r="AK88" s="662"/>
      <c r="AL88" s="662"/>
      <c r="AM88" s="662" t="s">
        <v>429</v>
      </c>
      <c r="AN88" s="662" t="s">
        <v>429</v>
      </c>
      <c r="AO88" s="400"/>
      <c r="AP88" s="397"/>
    </row>
    <row r="89" spans="1:42" ht="15.75" x14ac:dyDescent="0.25">
      <c r="A89" s="1819"/>
      <c r="B89" s="547" t="s">
        <v>95</v>
      </c>
      <c r="C89" s="1046"/>
      <c r="D89" s="802" t="s">
        <v>1056</v>
      </c>
      <c r="E89" s="1967"/>
      <c r="F89" s="616">
        <f>'exchange rates'!$O$19</f>
        <v>0.83301000000000003</v>
      </c>
      <c r="G89" s="625">
        <f>108.06/F89</f>
        <v>129.72233226491878</v>
      </c>
      <c r="H89" s="593">
        <f>282.26/F89</f>
        <v>338.84347126685151</v>
      </c>
      <c r="I89" s="594">
        <v>0</v>
      </c>
      <c r="J89" s="595">
        <f>93.68/F89</f>
        <v>112.45963433812319</v>
      </c>
      <c r="K89" s="566">
        <f>Tabel66892628[[#This Row],[Fix.ch. 2017]]+Tabel66892628[[#This Row],[Var. ch. 2017]]+Tabel66892628[[#This Row],[Oth. ch. DW 2017]]+Tabel66892628[[#This Row],[VAT DW 2017]]</f>
        <v>581.02543786989349</v>
      </c>
      <c r="L89" s="596">
        <f>300.68/F89</f>
        <v>360.95605094776772</v>
      </c>
      <c r="M89" s="595">
        <f>74.32/F89</f>
        <v>89.218616823327437</v>
      </c>
      <c r="N89" s="626">
        <v>0</v>
      </c>
      <c r="O89" s="595">
        <v>0</v>
      </c>
      <c r="P89" s="597">
        <v>0</v>
      </c>
      <c r="Q89" s="595">
        <v>0</v>
      </c>
      <c r="R89" s="570">
        <f>Tabel66892628[[#This Row],[VAT DW 2017]]+Tabel66892628[[#This Row],[VAT Sew. 2017]]+Tabel66892628[[#This Row],[VAT WW 2017]]+Tabel66892628[[#This Row],[VAT Other ch. 2017]]</f>
        <v>201.67825116145065</v>
      </c>
      <c r="S89" s="571">
        <f>Tabel66892628[[#This Row],[Total. ch. DW 2017]]+Tabel66892628[[#This Row],[Sew. 2017]]+Tabel66892628[[#This Row],[VAT Sew. 2017]]+Tabel66892628[[#This Row],[WW 2017]]+Tabel66892628[[#This Row],[VAT WW 2017]]+Tabel66892628[[#This Row],[Other ch. 2017]]+Tabel66892628[[#This Row],[VAT Other ch. 2017]]</f>
        <v>1031.2001056409886</v>
      </c>
      <c r="T89" s="397"/>
      <c r="U89" s="1969"/>
      <c r="V89" s="1972"/>
      <c r="W89" s="1975"/>
      <c r="X89" s="1772"/>
      <c r="Y89" s="1978"/>
      <c r="Z89" s="1981"/>
      <c r="AA89" s="1772"/>
      <c r="AB89" s="1955"/>
      <c r="AC89" s="1772"/>
      <c r="AD89" s="1958"/>
      <c r="AE89" s="1772"/>
      <c r="AF89" s="1961"/>
      <c r="AG89" s="1964"/>
      <c r="AH89" s="397"/>
      <c r="AI89" s="400"/>
      <c r="AJ89" s="662" t="s">
        <v>429</v>
      </c>
      <c r="AK89" s="662"/>
      <c r="AL89" s="662"/>
      <c r="AM89" s="662" t="s">
        <v>429</v>
      </c>
      <c r="AN89" s="662" t="s">
        <v>429</v>
      </c>
      <c r="AO89" s="400"/>
      <c r="AP89" s="397"/>
    </row>
    <row r="90" spans="1:42" ht="16.5" thickBot="1" x14ac:dyDescent="0.3">
      <c r="A90" s="1820"/>
      <c r="B90" s="613" t="s">
        <v>195</v>
      </c>
      <c r="C90" s="1046"/>
      <c r="D90" s="807" t="s">
        <v>1056</v>
      </c>
      <c r="E90" s="1923"/>
      <c r="F90" s="616">
        <f>'exchange rates'!$O$19</f>
        <v>0.83301000000000003</v>
      </c>
      <c r="G90" s="625">
        <f>39.52/F90</f>
        <v>47.44240765416982</v>
      </c>
      <c r="H90" s="593">
        <f>226/F90</f>
        <v>271.30526644338005</v>
      </c>
      <c r="I90" s="594">
        <v>0</v>
      </c>
      <c r="J90" s="595">
        <f>63.72/F90</f>
        <v>76.493679547664485</v>
      </c>
      <c r="K90" s="566">
        <f>Tabel66892628[[#This Row],[Fix.ch. 2017]]+Tabel66892628[[#This Row],[Var. ch. 2017]]+Tabel66892628[[#This Row],[Oth. ch. DW 2017]]+Tabel66892628[[#This Row],[VAT DW 2017]]</f>
        <v>395.24135364521436</v>
      </c>
      <c r="L90" s="596">
        <f>278/F90</f>
        <v>333.72948704097189</v>
      </c>
      <c r="M90" s="595">
        <f>66.72/F90</f>
        <v>80.095076889833251</v>
      </c>
      <c r="N90" s="626">
        <v>0</v>
      </c>
      <c r="O90" s="595">
        <v>0</v>
      </c>
      <c r="P90" s="597">
        <f>39.52/F90</f>
        <v>47.44240765416982</v>
      </c>
      <c r="Q90" s="595">
        <f>9.48/F90</f>
        <v>11.380415601253286</v>
      </c>
      <c r="R90" s="570">
        <f>Tabel66892628[[#This Row],[VAT DW 2017]]+Tabel66892628[[#This Row],[VAT Sew. 2017]]+Tabel66892628[[#This Row],[VAT WW 2017]]+Tabel66892628[[#This Row],[VAT Other ch. 2017]]</f>
        <v>167.96917203875103</v>
      </c>
      <c r="S90" s="571">
        <f>Tabel66892628[[#This Row],[Total. ch. DW 2017]]+Tabel66892628[[#This Row],[Sew. 2017]]+Tabel66892628[[#This Row],[VAT Sew. 2017]]+Tabel66892628[[#This Row],[WW 2017]]+Tabel66892628[[#This Row],[VAT WW 2017]]+Tabel66892628[[#This Row],[Other ch. 2017]]+Tabel66892628[[#This Row],[VAT Other ch. 2017]]</f>
        <v>867.88874083144265</v>
      </c>
      <c r="T90" s="397"/>
      <c r="U90" s="1970"/>
      <c r="V90" s="1973"/>
      <c r="W90" s="1976"/>
      <c r="X90" s="1773"/>
      <c r="Y90" s="1979"/>
      <c r="Z90" s="1982"/>
      <c r="AA90" s="1773"/>
      <c r="AB90" s="1956"/>
      <c r="AC90" s="1773"/>
      <c r="AD90" s="1959"/>
      <c r="AE90" s="1773"/>
      <c r="AF90" s="1962"/>
      <c r="AG90" s="1965"/>
      <c r="AH90" s="397"/>
      <c r="AI90" s="400"/>
      <c r="AJ90" s="662" t="s">
        <v>429</v>
      </c>
      <c r="AK90" s="662"/>
      <c r="AL90" s="662"/>
      <c r="AM90" s="662" t="s">
        <v>429</v>
      </c>
      <c r="AN90" s="662" t="s">
        <v>429</v>
      </c>
      <c r="AO90" s="400"/>
      <c r="AP90" s="397"/>
    </row>
    <row r="91" spans="1:42" ht="15.75" customHeight="1" x14ac:dyDescent="0.25">
      <c r="A91" s="1878" t="s">
        <v>13</v>
      </c>
      <c r="B91" s="546" t="s">
        <v>97</v>
      </c>
      <c r="C91" s="1046"/>
      <c r="D91" s="802" t="s">
        <v>1058</v>
      </c>
      <c r="E91" s="1983">
        <v>43600</v>
      </c>
      <c r="F91" s="616">
        <f>'exchange rates'!$O$20</f>
        <v>0.83301000000000003</v>
      </c>
      <c r="G91" s="625">
        <f>55.32/F91</f>
        <v>66.409766989591958</v>
      </c>
      <c r="H91" s="593">
        <f>(1.08*200)/F91</f>
        <v>259.3006086361508</v>
      </c>
      <c r="I91" s="594">
        <f>(0.39*200)/F91</f>
        <v>93.63633089638779</v>
      </c>
      <c r="J91" s="595">
        <f>19.14/F91</f>
        <v>22.976915043036698</v>
      </c>
      <c r="K91" s="566">
        <f>Tabel66892628[[#This Row],[Fix.ch. 2017]]+Tabel66892628[[#This Row],[Var. ch. 2017]]+Tabel66892628[[#This Row],[Oth. ch. DW 2017]]+Tabel66892628[[#This Row],[VAT DW 2017]]</f>
        <v>442.32362156516723</v>
      </c>
      <c r="L91" s="596">
        <f>(1.1*200)/F91</f>
        <v>264.10247175904254</v>
      </c>
      <c r="M91" s="595">
        <f>26.72/F91</f>
        <v>32.076445660916434</v>
      </c>
      <c r="N91" s="626">
        <f>(0*200)/F91</f>
        <v>0</v>
      </c>
      <c r="O91" s="595">
        <v>0</v>
      </c>
      <c r="P91" s="597">
        <f>(0.24*200)/F91</f>
        <v>57.622357474700181</v>
      </c>
      <c r="Q91" s="595">
        <v>0</v>
      </c>
      <c r="R91" s="570">
        <f>Tabel66892628[[#This Row],[VAT DW 2017]]+Tabel66892628[[#This Row],[VAT Sew. 2017]]+Tabel66892628[[#This Row],[VAT WW 2017]]+Tabel66892628[[#This Row],[VAT Other ch. 2017]]</f>
        <v>55.053360703953132</v>
      </c>
      <c r="S91" s="571">
        <f>Tabel66892628[[#This Row],[Total. ch. DW 2017]]+Tabel66892628[[#This Row],[Sew. 2017]]+Tabel66892628[[#This Row],[VAT Sew. 2017]]+Tabel66892628[[#This Row],[WW 2017]]+Tabel66892628[[#This Row],[VAT WW 2017]]+Tabel66892628[[#This Row],[Other ch. 2017]]+Tabel66892628[[#This Row],[VAT Other ch. 2017]]</f>
        <v>796.12489645982635</v>
      </c>
      <c r="T91" s="397"/>
      <c r="U91" s="1984">
        <f>MEDIAN(G91:G101)</f>
        <v>32.040431687494745</v>
      </c>
      <c r="V91" s="1985">
        <f>MEDIAN(H91:H101)</f>
        <v>273.70619800482581</v>
      </c>
      <c r="W91" s="1986">
        <f>MEDIAN(I91:I101)</f>
        <v>98.438194019279479</v>
      </c>
      <c r="X91" s="1938">
        <f>MEDIAN(J91:J101)</f>
        <v>23.553138617783702</v>
      </c>
      <c r="Y91" s="1987">
        <f>SUM(U91:X101)</f>
        <v>427.73796232938372</v>
      </c>
      <c r="Z91" s="2031">
        <f t="shared" ref="Z91:AF91" si="12">MEDIAN(L91:L101)</f>
        <v>278.5080611277175</v>
      </c>
      <c r="AA91" s="1938">
        <f t="shared" si="12"/>
        <v>34.861526272193608</v>
      </c>
      <c r="AB91" s="2032">
        <f t="shared" si="12"/>
        <v>0</v>
      </c>
      <c r="AC91" s="1938">
        <f t="shared" si="12"/>
        <v>0</v>
      </c>
      <c r="AD91" s="2028">
        <f t="shared" si="12"/>
        <v>63.864779534459373</v>
      </c>
      <c r="AE91" s="1938">
        <f t="shared" si="12"/>
        <v>0</v>
      </c>
      <c r="AF91" s="1988">
        <f t="shared" si="12"/>
        <v>59.603126012893</v>
      </c>
      <c r="AG91" s="1989">
        <f>Y91+Z91+AA91+AB91+AC91+AD91+AE91</f>
        <v>804.9723292637542</v>
      </c>
      <c r="AH91" s="397"/>
      <c r="AI91" s="614"/>
      <c r="AJ91" s="591"/>
      <c r="AK91" s="591"/>
      <c r="AL91" s="591" t="s">
        <v>429</v>
      </c>
      <c r="AM91" s="591" t="s">
        <v>429</v>
      </c>
      <c r="AN91" s="591"/>
      <c r="AO91" s="614"/>
    </row>
    <row r="92" spans="1:42" ht="15.75" customHeight="1" x14ac:dyDescent="0.25">
      <c r="A92" s="1757"/>
      <c r="B92" s="547" t="s">
        <v>98</v>
      </c>
      <c r="C92" s="1046"/>
      <c r="D92" s="802" t="s">
        <v>1058</v>
      </c>
      <c r="E92" s="1880"/>
      <c r="F92" s="616">
        <f>'exchange rates'!$O$20</f>
        <v>0.83301000000000003</v>
      </c>
      <c r="G92" s="625">
        <f>22.64/F92</f>
        <v>27.178545275566918</v>
      </c>
      <c r="H92" s="593">
        <f>(1.18*200)/F92</f>
        <v>283.30992425060924</v>
      </c>
      <c r="I92" s="594">
        <f>(0.5*200)/F92</f>
        <v>120.04657807229205</v>
      </c>
      <c r="J92" s="595">
        <f>19.75/F92</f>
        <v>23.709199169277678</v>
      </c>
      <c r="K92" s="566">
        <f>Tabel66892628[[#This Row],[Fix.ch. 2017]]+Tabel66892628[[#This Row],[Var. ch. 2017]]+Tabel66892628[[#This Row],[Oth. ch. DW 2017]]+Tabel66892628[[#This Row],[VAT DW 2017]]</f>
        <v>454.24424676774589</v>
      </c>
      <c r="L92" s="596">
        <f>(1.6*200)/F92</f>
        <v>384.14904983133454</v>
      </c>
      <c r="M92" s="595">
        <f>37.91/F92</f>
        <v>45.509657747205907</v>
      </c>
      <c r="N92" s="626">
        <f>(0*200)/F92</f>
        <v>0</v>
      </c>
      <c r="O92" s="595">
        <v>0</v>
      </c>
      <c r="P92" s="597">
        <f>(0.3*200)/F92</f>
        <v>72.027946843375233</v>
      </c>
      <c r="Q92" s="595">
        <v>0</v>
      </c>
      <c r="R92" s="570">
        <f>Tabel66892628[[#This Row],[VAT DW 2017]]+Tabel66892628[[#This Row],[VAT Sew. 2017]]+Tabel66892628[[#This Row],[VAT WW 2017]]+Tabel66892628[[#This Row],[VAT Other ch. 2017]]</f>
        <v>69.218856916483588</v>
      </c>
      <c r="S92" s="571">
        <f>Tabel66892628[[#This Row],[Total. ch. DW 2017]]+Tabel66892628[[#This Row],[Sew. 2017]]+Tabel66892628[[#This Row],[VAT Sew. 2017]]+Tabel66892628[[#This Row],[WW 2017]]+Tabel66892628[[#This Row],[VAT WW 2017]]+Tabel66892628[[#This Row],[Other ch. 2017]]+Tabel66892628[[#This Row],[VAT Other ch. 2017]]</f>
        <v>955.93090118966165</v>
      </c>
      <c r="T92" s="397"/>
      <c r="U92" s="1763"/>
      <c r="V92" s="1766"/>
      <c r="W92" s="1769"/>
      <c r="X92" s="1772"/>
      <c r="Y92" s="1775"/>
      <c r="Z92" s="1778"/>
      <c r="AA92" s="1772"/>
      <c r="AB92" s="1781"/>
      <c r="AC92" s="1772"/>
      <c r="AD92" s="1785"/>
      <c r="AE92" s="1772"/>
      <c r="AF92" s="1788"/>
      <c r="AG92" s="1990"/>
      <c r="AH92" s="397"/>
      <c r="AI92" s="614"/>
      <c r="AJ92" s="591" t="s">
        <v>429</v>
      </c>
      <c r="AK92" s="591" t="s">
        <v>429</v>
      </c>
      <c r="AL92" s="591"/>
      <c r="AM92" s="591" t="s">
        <v>429</v>
      </c>
      <c r="AN92" s="591"/>
      <c r="AO92" s="614"/>
    </row>
    <row r="93" spans="1:42" ht="15.75" customHeight="1" x14ac:dyDescent="0.25">
      <c r="A93" s="1757"/>
      <c r="B93" s="547" t="s">
        <v>99</v>
      </c>
      <c r="C93" s="1046"/>
      <c r="D93" s="802" t="s">
        <v>1058</v>
      </c>
      <c r="E93" s="1880"/>
      <c r="F93" s="616">
        <f>'exchange rates'!$O$20</f>
        <v>0.83301000000000003</v>
      </c>
      <c r="G93" s="625">
        <f>37.32/F93</f>
        <v>44.801382936579394</v>
      </c>
      <c r="H93" s="593">
        <f>(1.14*200)/F93</f>
        <v>273.70619800482581</v>
      </c>
      <c r="I93" s="594">
        <f>(0.46*200)/F93</f>
        <v>110.44285182650869</v>
      </c>
      <c r="J93" s="595">
        <f>19.62/F93</f>
        <v>23.553138617783702</v>
      </c>
      <c r="K93" s="566">
        <f>Tabel66892628[[#This Row],[Fix.ch. 2017]]+Tabel66892628[[#This Row],[Var. ch. 2017]]+Tabel66892628[[#This Row],[Oth. ch. DW 2017]]+Tabel66892628[[#This Row],[VAT DW 2017]]</f>
        <v>452.50357138569757</v>
      </c>
      <c r="L93" s="596">
        <f>(1.46*200)/F93</f>
        <v>350.53600797109277</v>
      </c>
      <c r="M93" s="595">
        <f>34.58/F93</f>
        <v>41.512106697398586</v>
      </c>
      <c r="N93" s="626">
        <f>(0*200)/F93</f>
        <v>0</v>
      </c>
      <c r="O93" s="595">
        <v>0</v>
      </c>
      <c r="P93" s="597">
        <f>(0.266*200)/F93</f>
        <v>63.864779534459373</v>
      </c>
      <c r="Q93" s="595">
        <v>0</v>
      </c>
      <c r="R93" s="570">
        <f>Tabel66892628[[#This Row],[VAT DW 2017]]+Tabel66892628[[#This Row],[VAT Sew. 2017]]+Tabel66892628[[#This Row],[VAT WW 2017]]+Tabel66892628[[#This Row],[VAT Other ch. 2017]]</f>
        <v>65.065245315182295</v>
      </c>
      <c r="S93" s="571">
        <f>Tabel66892628[[#This Row],[Total. ch. DW 2017]]+Tabel66892628[[#This Row],[Sew. 2017]]+Tabel66892628[[#This Row],[VAT Sew. 2017]]+Tabel66892628[[#This Row],[WW 2017]]+Tabel66892628[[#This Row],[VAT WW 2017]]+Tabel66892628[[#This Row],[Other ch. 2017]]+Tabel66892628[[#This Row],[VAT Other ch. 2017]]</f>
        <v>908.41646558864829</v>
      </c>
      <c r="T93" s="397"/>
      <c r="U93" s="1763"/>
      <c r="V93" s="1766"/>
      <c r="W93" s="1769"/>
      <c r="X93" s="1772"/>
      <c r="Y93" s="1775"/>
      <c r="Z93" s="1778"/>
      <c r="AA93" s="1772"/>
      <c r="AB93" s="1781"/>
      <c r="AC93" s="1772"/>
      <c r="AD93" s="1785"/>
      <c r="AE93" s="1772"/>
      <c r="AF93" s="1788"/>
      <c r="AG93" s="1990"/>
      <c r="AH93" s="397"/>
      <c r="AI93" s="614"/>
      <c r="AJ93" s="591" t="s">
        <v>429</v>
      </c>
      <c r="AK93" s="591" t="s">
        <v>429</v>
      </c>
      <c r="AL93" s="591"/>
      <c r="AM93" s="591" t="s">
        <v>429</v>
      </c>
      <c r="AN93" s="591"/>
      <c r="AO93" s="614"/>
    </row>
    <row r="94" spans="1:42" ht="15.75" customHeight="1" x14ac:dyDescent="0.25">
      <c r="A94" s="1757"/>
      <c r="B94" s="547" t="s">
        <v>100</v>
      </c>
      <c r="C94" s="1046"/>
      <c r="D94" s="802" t="s">
        <v>1058</v>
      </c>
      <c r="E94" s="1880"/>
      <c r="F94" s="616">
        <f>'exchange rates'!$O$20</f>
        <v>0.83301000000000003</v>
      </c>
      <c r="G94" s="625">
        <f>41.19/F94</f>
        <v>49.447185507977089</v>
      </c>
      <c r="H94" s="593">
        <f>(1.03*200)/F94</f>
        <v>247.2959508289216</v>
      </c>
      <c r="I94" s="594">
        <f>(0.35*200)/F94</f>
        <v>84.032604650604426</v>
      </c>
      <c r="J94" s="595">
        <f>17.39/F94</f>
        <v>20.876099926771587</v>
      </c>
      <c r="K94" s="566">
        <f>Tabel66892628[[#This Row],[Fix.ch. 2017]]+Tabel66892628[[#This Row],[Var. ch. 2017]]+Tabel66892628[[#This Row],[Oth. ch. DW 2017]]+Tabel66892628[[#This Row],[VAT DW 2017]]</f>
        <v>401.65184091427471</v>
      </c>
      <c r="L94" s="596">
        <f>(0.98*200)/F94</f>
        <v>235.29129302169241</v>
      </c>
      <c r="M94" s="595">
        <f>24.41/F94</f>
        <v>29.303369707446489</v>
      </c>
      <c r="N94" s="626">
        <v>0</v>
      </c>
      <c r="O94" s="595">
        <v>0</v>
      </c>
      <c r="P94" s="597">
        <f>(0.24131*200)/F94</f>
        <v>57.936879509249586</v>
      </c>
      <c r="Q94" s="595">
        <v>0</v>
      </c>
      <c r="R94" s="570">
        <f>Tabel66892628[[#This Row],[VAT DW 2017]]+Tabel66892628[[#This Row],[VAT Sew. 2017]]+Tabel66892628[[#This Row],[VAT WW 2017]]+Tabel66892628[[#This Row],[VAT Other ch. 2017]]</f>
        <v>50.17946963421808</v>
      </c>
      <c r="S94" s="571">
        <f>Tabel66892628[[#This Row],[Total. ch. DW 2017]]+Tabel66892628[[#This Row],[Sew. 2017]]+Tabel66892628[[#This Row],[VAT Sew. 2017]]+Tabel66892628[[#This Row],[WW 2017]]+Tabel66892628[[#This Row],[VAT WW 2017]]+Tabel66892628[[#This Row],[Other ch. 2017]]+Tabel66892628[[#This Row],[VAT Other ch. 2017]]</f>
        <v>724.18338315266317</v>
      </c>
      <c r="T94" s="397"/>
      <c r="U94" s="1763"/>
      <c r="V94" s="1766"/>
      <c r="W94" s="1769"/>
      <c r="X94" s="1772"/>
      <c r="Y94" s="1775"/>
      <c r="Z94" s="1778"/>
      <c r="AA94" s="1772"/>
      <c r="AB94" s="1781"/>
      <c r="AC94" s="1772"/>
      <c r="AD94" s="1785"/>
      <c r="AE94" s="1772"/>
      <c r="AF94" s="1788"/>
      <c r="AG94" s="1990"/>
      <c r="AH94" s="397"/>
      <c r="AI94" s="614"/>
      <c r="AJ94" s="591" t="s">
        <v>429</v>
      </c>
      <c r="AK94" s="591"/>
      <c r="AL94" s="591"/>
      <c r="AM94" s="591" t="s">
        <v>429</v>
      </c>
      <c r="AN94" s="591"/>
      <c r="AO94" s="614"/>
    </row>
    <row r="95" spans="1:42" ht="15.75" customHeight="1" x14ac:dyDescent="0.25">
      <c r="A95" s="1757"/>
      <c r="B95" s="547" t="s">
        <v>101</v>
      </c>
      <c r="C95" s="1046" t="s">
        <v>429</v>
      </c>
      <c r="D95" s="802" t="s">
        <v>1058</v>
      </c>
      <c r="E95" s="1880"/>
      <c r="F95" s="616">
        <f>'exchange rates'!$O$20</f>
        <v>0.83301000000000003</v>
      </c>
      <c r="G95" s="625">
        <f>20.61/F95</f>
        <v>24.741599740699389</v>
      </c>
      <c r="H95" s="593">
        <f>(1.02*200)/F95</f>
        <v>244.89501926747576</v>
      </c>
      <c r="I95" s="594">
        <f>(0.48*200)/F95</f>
        <v>115.24471494940036</v>
      </c>
      <c r="J95" s="595">
        <f>17.7/F95</f>
        <v>21.248244318795692</v>
      </c>
      <c r="K95" s="566">
        <f>Tabel66892628[[#This Row],[Fix.ch. 2017]]+Tabel66892628[[#This Row],[Var. ch. 2017]]+Tabel66892628[[#This Row],[Oth. ch. DW 2017]]+Tabel66892628[[#This Row],[VAT DW 2017]]</f>
        <v>406.12957827637121</v>
      </c>
      <c r="L95" s="596">
        <f>(0.31*200)/F95</f>
        <v>74.428878404821063</v>
      </c>
      <c r="M95" s="595">
        <v>0</v>
      </c>
      <c r="N95" s="626">
        <f>(1.04*200)/F95</f>
        <v>249.69688239036745</v>
      </c>
      <c r="O95" s="595">
        <f>33.06/F95</f>
        <v>39.687398710699753</v>
      </c>
      <c r="P95" s="597">
        <f>(0.3*200)/F95</f>
        <v>72.027946843375233</v>
      </c>
      <c r="Q95" s="595">
        <v>0</v>
      </c>
      <c r="R95" s="570">
        <f>Tabel66892628[[#This Row],[VAT DW 2017]]+Tabel66892628[[#This Row],[VAT Sew. 2017]]+Tabel66892628[[#This Row],[VAT WW 2017]]+Tabel66892628[[#This Row],[VAT Other ch. 2017]]</f>
        <v>60.935643029495445</v>
      </c>
      <c r="S95" s="571">
        <f>Tabel66892628[[#This Row],[Total. ch. DW 2017]]+Tabel66892628[[#This Row],[Sew. 2017]]+Tabel66892628[[#This Row],[VAT Sew. 2017]]+Tabel66892628[[#This Row],[WW 2017]]+Tabel66892628[[#This Row],[VAT WW 2017]]+Tabel66892628[[#This Row],[Other ch. 2017]]+Tabel66892628[[#This Row],[VAT Other ch. 2017]]</f>
        <v>841.97068462563482</v>
      </c>
      <c r="T95" s="397"/>
      <c r="U95" s="1763"/>
      <c r="V95" s="1766"/>
      <c r="W95" s="1769"/>
      <c r="X95" s="1772"/>
      <c r="Y95" s="1775"/>
      <c r="Z95" s="1778"/>
      <c r="AA95" s="1772"/>
      <c r="AB95" s="1781"/>
      <c r="AC95" s="1772"/>
      <c r="AD95" s="1785"/>
      <c r="AE95" s="1772"/>
      <c r="AF95" s="1788"/>
      <c r="AG95" s="1990"/>
      <c r="AH95" s="397"/>
      <c r="AI95" s="614"/>
      <c r="AJ95" s="591" t="s">
        <v>429</v>
      </c>
      <c r="AK95" s="591"/>
      <c r="AL95" s="591"/>
      <c r="AM95" s="591" t="s">
        <v>429</v>
      </c>
      <c r="AN95" s="591"/>
      <c r="AO95" s="614"/>
    </row>
    <row r="96" spans="1:42" ht="15.75" customHeight="1" x14ac:dyDescent="0.25">
      <c r="A96" s="1757"/>
      <c r="B96" s="547" t="s">
        <v>630</v>
      </c>
      <c r="C96" s="1046"/>
      <c r="D96" s="802" t="s">
        <v>1058</v>
      </c>
      <c r="E96" s="1880"/>
      <c r="F96" s="616">
        <f>'exchange rates'!$O$20</f>
        <v>0.83301000000000003</v>
      </c>
      <c r="G96" s="625">
        <f>26.69/F96</f>
        <v>32.040431687494745</v>
      </c>
      <c r="H96" s="593">
        <f>(1*200)/F96</f>
        <v>240.0931561445841</v>
      </c>
      <c r="I96" s="594">
        <f>(0.35*200)/F96</f>
        <v>84.032604650604426</v>
      </c>
      <c r="J96" s="595">
        <f>16.32/F96</f>
        <v>19.591601541398063</v>
      </c>
      <c r="K96" s="566">
        <f>Tabel66892628[[#This Row],[Fix.ch. 2017]]+Tabel66892628[[#This Row],[Var. ch. 2017]]+Tabel66892628[[#This Row],[Oth. ch. DW 2017]]+Tabel66892628[[#This Row],[VAT DW 2017]]</f>
        <v>375.75779402408131</v>
      </c>
      <c r="L96" s="596">
        <f>(0.5*200)/F96</f>
        <v>120.04657807229205</v>
      </c>
      <c r="M96" s="595">
        <v>0</v>
      </c>
      <c r="N96" s="626">
        <f>(0.47*200)/F96</f>
        <v>112.84378338795452</v>
      </c>
      <c r="O96" s="595">
        <f>26.36/F96</f>
        <v>31.644277979856181</v>
      </c>
      <c r="P96" s="597">
        <f>(0.35*200)/F96</f>
        <v>84.032604650604426</v>
      </c>
      <c r="Q96" s="595">
        <v>0</v>
      </c>
      <c r="R96" s="570">
        <f>Tabel66892628[[#This Row],[VAT DW 2017]]+Tabel66892628[[#This Row],[VAT Sew. 2017]]+Tabel66892628[[#This Row],[VAT WW 2017]]+Tabel66892628[[#This Row],[VAT Other ch. 2017]]</f>
        <v>51.235879521254247</v>
      </c>
      <c r="S96" s="571">
        <f>Tabel66892628[[#This Row],[Total. ch. DW 2017]]+Tabel66892628[[#This Row],[Sew. 2017]]+Tabel66892628[[#This Row],[VAT Sew. 2017]]+Tabel66892628[[#This Row],[WW 2017]]+Tabel66892628[[#This Row],[VAT WW 2017]]+Tabel66892628[[#This Row],[Other ch. 2017]]+Tabel66892628[[#This Row],[VAT Other ch. 2017]]</f>
        <v>724.32503811478841</v>
      </c>
      <c r="T96" s="397"/>
      <c r="U96" s="1763"/>
      <c r="V96" s="1766"/>
      <c r="W96" s="1769"/>
      <c r="X96" s="1772"/>
      <c r="Y96" s="1775"/>
      <c r="Z96" s="1778"/>
      <c r="AA96" s="1772"/>
      <c r="AB96" s="1781"/>
      <c r="AC96" s="1772"/>
      <c r="AD96" s="1785"/>
      <c r="AE96" s="1772"/>
      <c r="AF96" s="1788"/>
      <c r="AG96" s="1990"/>
      <c r="AH96" s="397"/>
      <c r="AI96" s="614"/>
      <c r="AJ96" s="591" t="s">
        <v>429</v>
      </c>
      <c r="AK96" s="591"/>
      <c r="AL96" s="591"/>
      <c r="AM96" s="591" t="s">
        <v>429</v>
      </c>
      <c r="AN96" s="591"/>
      <c r="AO96" s="614"/>
    </row>
    <row r="97" spans="1:42" ht="15.75" customHeight="1" x14ac:dyDescent="0.25">
      <c r="A97" s="1757"/>
      <c r="B97" s="547" t="s">
        <v>631</v>
      </c>
      <c r="C97" s="1046"/>
      <c r="D97" s="802" t="s">
        <v>1058</v>
      </c>
      <c r="E97" s="1880"/>
      <c r="F97" s="616">
        <f>'exchange rates'!$O$20</f>
        <v>0.83301000000000003</v>
      </c>
      <c r="G97" s="625">
        <f>10.95/F97</f>
        <v>13.145100298915978</v>
      </c>
      <c r="H97" s="593">
        <f>(0.93*200)/F97</f>
        <v>223.28663521446322</v>
      </c>
      <c r="I97" s="594">
        <f>(0.44*200)/F97</f>
        <v>105.640988703617</v>
      </c>
      <c r="J97" s="595">
        <f>15.66/F97</f>
        <v>18.799294126120934</v>
      </c>
      <c r="K97" s="566">
        <f>Tabel66892628[[#This Row],[Fix.ch. 2017]]+Tabel66892628[[#This Row],[Var. ch. 2017]]+Tabel66892628[[#This Row],[Oth. ch. DW 2017]]+Tabel66892628[[#This Row],[VAT DW 2017]]</f>
        <v>360.87201834311708</v>
      </c>
      <c r="L97" s="596">
        <f>(1.16*200)/F97</f>
        <v>278.5080611277175</v>
      </c>
      <c r="M97" s="595">
        <f>29.2/F97</f>
        <v>35.053600797109276</v>
      </c>
      <c r="N97" s="626">
        <f>(0*200)/F97</f>
        <v>0</v>
      </c>
      <c r="O97" s="595">
        <v>0</v>
      </c>
      <c r="P97" s="597">
        <f>(0.3*200)/F97</f>
        <v>72.027946843375233</v>
      </c>
      <c r="Q97" s="595">
        <v>0</v>
      </c>
      <c r="R97" s="570">
        <f>Tabel66892628[[#This Row],[VAT DW 2017]]+Tabel66892628[[#This Row],[VAT Sew. 2017]]+Tabel66892628[[#This Row],[VAT WW 2017]]+Tabel66892628[[#This Row],[VAT Other ch. 2017]]</f>
        <v>53.85289492323021</v>
      </c>
      <c r="S97" s="571">
        <f>Tabel66892628[[#This Row],[Total. ch. DW 2017]]+Tabel66892628[[#This Row],[Sew. 2017]]+Tabel66892628[[#This Row],[VAT Sew. 2017]]+Tabel66892628[[#This Row],[WW 2017]]+Tabel66892628[[#This Row],[VAT WW 2017]]+Tabel66892628[[#This Row],[Other ch. 2017]]+Tabel66892628[[#This Row],[VAT Other ch. 2017]]</f>
        <v>746.4616271113191</v>
      </c>
      <c r="T97" s="397"/>
      <c r="U97" s="1763"/>
      <c r="V97" s="1766"/>
      <c r="W97" s="1769"/>
      <c r="X97" s="1772"/>
      <c r="Y97" s="1775"/>
      <c r="Z97" s="1778"/>
      <c r="AA97" s="1772"/>
      <c r="AB97" s="1781"/>
      <c r="AC97" s="1772"/>
      <c r="AD97" s="1785"/>
      <c r="AE97" s="1772"/>
      <c r="AF97" s="1788"/>
      <c r="AG97" s="1990"/>
      <c r="AH97" s="397"/>
      <c r="AI97" s="614"/>
      <c r="AJ97" s="591" t="s">
        <v>429</v>
      </c>
      <c r="AK97" s="591"/>
      <c r="AL97" s="591"/>
      <c r="AM97" s="591"/>
      <c r="AN97" s="591"/>
      <c r="AO97" s="614"/>
    </row>
    <row r="98" spans="1:42" ht="15.75" customHeight="1" x14ac:dyDescent="0.25">
      <c r="A98" s="1757"/>
      <c r="B98" s="547" t="s">
        <v>632</v>
      </c>
      <c r="C98" s="1046"/>
      <c r="D98" s="802" t="s">
        <v>1058</v>
      </c>
      <c r="E98" s="1880"/>
      <c r="F98" s="616">
        <f>'exchange rates'!$O$20</f>
        <v>0.83301000000000003</v>
      </c>
      <c r="G98" s="625">
        <f>40.94/F98</f>
        <v>49.147069062796362</v>
      </c>
      <c r="H98" s="593">
        <f>(1.43*200)/F98</f>
        <v>343.33321328675527</v>
      </c>
      <c r="I98" s="594">
        <f>(0.41*200)/F98</f>
        <v>98.438194019279479</v>
      </c>
      <c r="J98" s="595">
        <f>22.52/F98</f>
        <v>27.034489381880167</v>
      </c>
      <c r="K98" s="566">
        <f>Tabel66892628[[#This Row],[Fix.ch. 2017]]+Tabel66892628[[#This Row],[Var. ch. 2017]]+Tabel66892628[[#This Row],[Oth. ch. DW 2017]]+Tabel66892628[[#This Row],[VAT DW 2017]]</f>
        <v>517.95296575071131</v>
      </c>
      <c r="L98" s="596">
        <f>(0.91*200)/F98</f>
        <v>218.48477209157153</v>
      </c>
      <c r="M98" s="595">
        <f>22.47/F98</f>
        <v>26.974466092844022</v>
      </c>
      <c r="N98" s="626">
        <v>0</v>
      </c>
      <c r="O98" s="595">
        <v>0</v>
      </c>
      <c r="P98" s="597">
        <f>(0.2097*200)/F98</f>
        <v>50.347534843519284</v>
      </c>
      <c r="Q98" s="595">
        <v>0</v>
      </c>
      <c r="R98" s="570">
        <f>Tabel66892628[[#This Row],[VAT DW 2017]]+Tabel66892628[[#This Row],[VAT Sew. 2017]]+Tabel66892628[[#This Row],[VAT WW 2017]]+Tabel66892628[[#This Row],[VAT Other ch. 2017]]</f>
        <v>54.008955474724189</v>
      </c>
      <c r="S98" s="571">
        <f>Tabel66892628[[#This Row],[Total. ch. DW 2017]]+Tabel66892628[[#This Row],[Sew. 2017]]+Tabel66892628[[#This Row],[VAT Sew. 2017]]+Tabel66892628[[#This Row],[WW 2017]]+Tabel66892628[[#This Row],[VAT WW 2017]]+Tabel66892628[[#This Row],[Other ch. 2017]]+Tabel66892628[[#This Row],[VAT Other ch. 2017]]</f>
        <v>813.75973877864612</v>
      </c>
      <c r="T98" s="397"/>
      <c r="U98" s="1763"/>
      <c r="V98" s="1766"/>
      <c r="W98" s="1769"/>
      <c r="X98" s="1772"/>
      <c r="Y98" s="1775"/>
      <c r="Z98" s="1778"/>
      <c r="AA98" s="1772"/>
      <c r="AB98" s="1781"/>
      <c r="AC98" s="1772"/>
      <c r="AD98" s="1785"/>
      <c r="AE98" s="1772"/>
      <c r="AF98" s="1788"/>
      <c r="AG98" s="1990"/>
      <c r="AH98" s="397"/>
      <c r="AI98" s="614"/>
      <c r="AJ98" s="591" t="s">
        <v>429</v>
      </c>
      <c r="AK98" s="591"/>
      <c r="AL98" s="591"/>
      <c r="AM98" s="591" t="s">
        <v>429</v>
      </c>
      <c r="AN98" s="591"/>
      <c r="AO98" s="614"/>
    </row>
    <row r="99" spans="1:42" ht="15.75" customHeight="1" x14ac:dyDescent="0.25">
      <c r="A99" s="1757"/>
      <c r="B99" s="547" t="s">
        <v>633</v>
      </c>
      <c r="C99" s="1046"/>
      <c r="D99" s="802" t="s">
        <v>1058</v>
      </c>
      <c r="E99" s="1880"/>
      <c r="F99" s="616">
        <f>'exchange rates'!$O$20</f>
        <v>0.83301000000000003</v>
      </c>
      <c r="G99" s="625">
        <f>30.37/F99</f>
        <v>36.458145760555098</v>
      </c>
      <c r="H99" s="593">
        <f>(1.51*200)/F99</f>
        <v>362.54066577832197</v>
      </c>
      <c r="I99" s="594">
        <f>(0.52*200)/F99</f>
        <v>124.84844119518372</v>
      </c>
      <c r="J99" s="595">
        <f>23.96/F99</f>
        <v>28.763160106121177</v>
      </c>
      <c r="K99" s="566">
        <f>Tabel66892628[[#This Row],[Fix.ch. 2017]]+Tabel66892628[[#This Row],[Var. ch. 2017]]+Tabel66892628[[#This Row],[Oth. ch. DW 2017]]+Tabel66892628[[#This Row],[VAT DW 2017]]</f>
        <v>552.61041284018199</v>
      </c>
      <c r="L99" s="596">
        <f>(2.01*200)/F99</f>
        <v>482.58724385061396</v>
      </c>
      <c r="M99" s="595">
        <f>46.26/F99</f>
        <v>55.533547016242295</v>
      </c>
      <c r="N99" s="626">
        <f>(0*200)/F99</f>
        <v>0</v>
      </c>
      <c r="O99" s="595">
        <v>0</v>
      </c>
      <c r="P99" s="597">
        <f>(0.3*200)/F99</f>
        <v>72.027946843375233</v>
      </c>
      <c r="Q99" s="595">
        <v>0</v>
      </c>
      <c r="R99" s="570">
        <f>Tabel66892628[[#This Row],[VAT DW 2017]]+Tabel66892628[[#This Row],[VAT Sew. 2017]]+Tabel66892628[[#This Row],[VAT WW 2017]]+Tabel66892628[[#This Row],[VAT Other ch. 2017]]</f>
        <v>84.296707122363472</v>
      </c>
      <c r="S99" s="571">
        <f>Tabel66892628[[#This Row],[Total. ch. DW 2017]]+Tabel66892628[[#This Row],[Sew. 2017]]+Tabel66892628[[#This Row],[VAT Sew. 2017]]+Tabel66892628[[#This Row],[WW 2017]]+Tabel66892628[[#This Row],[VAT WW 2017]]+Tabel66892628[[#This Row],[Other ch. 2017]]+Tabel66892628[[#This Row],[VAT Other ch. 2017]]</f>
        <v>1162.7591505504136</v>
      </c>
      <c r="T99" s="397"/>
      <c r="U99" s="1763"/>
      <c r="V99" s="1766"/>
      <c r="W99" s="1769"/>
      <c r="X99" s="1772"/>
      <c r="Y99" s="1775"/>
      <c r="Z99" s="1778"/>
      <c r="AA99" s="1772"/>
      <c r="AB99" s="1781"/>
      <c r="AC99" s="1772"/>
      <c r="AD99" s="1785"/>
      <c r="AE99" s="1772"/>
      <c r="AF99" s="1788"/>
      <c r="AG99" s="1990"/>
      <c r="AH99" s="397"/>
      <c r="AI99" s="614"/>
      <c r="AJ99" s="591" t="s">
        <v>429</v>
      </c>
      <c r="AK99" s="591"/>
      <c r="AL99" s="591"/>
      <c r="AM99" s="591" t="s">
        <v>429</v>
      </c>
      <c r="AN99" s="591"/>
      <c r="AO99" s="614"/>
    </row>
    <row r="100" spans="1:42" ht="15.75" customHeight="1" x14ac:dyDescent="0.25">
      <c r="A100" s="1757"/>
      <c r="B100" s="547" t="s">
        <v>634</v>
      </c>
      <c r="C100" s="1046"/>
      <c r="D100" s="802" t="s">
        <v>1058</v>
      </c>
      <c r="E100" s="1880"/>
      <c r="F100" s="616">
        <f>'exchange rates'!$O$20</f>
        <v>0.83301000000000003</v>
      </c>
      <c r="G100" s="625">
        <f>18.92/F100</f>
        <v>22.712812571277656</v>
      </c>
      <c r="H100" s="593">
        <f>(1.41*200)/F100</f>
        <v>338.53135016386358</v>
      </c>
      <c r="I100" s="594">
        <f>(0.37*200)/F100</f>
        <v>88.834467773496115</v>
      </c>
      <c r="J100" s="595">
        <f>20.61/F100</f>
        <v>24.741599740699389</v>
      </c>
      <c r="K100" s="566">
        <f>Tabel66892628[[#This Row],[Fix.ch. 2017]]+Tabel66892628[[#This Row],[Var. ch. 2017]]+Tabel66892628[[#This Row],[Oth. ch. DW 2017]]+Tabel66892628[[#This Row],[VAT DW 2017]]</f>
        <v>474.8202302493367</v>
      </c>
      <c r="L100" s="596">
        <f>(1.29*200)/F100</f>
        <v>309.7201714265135</v>
      </c>
      <c r="M100" s="595">
        <f>29.04/F100</f>
        <v>34.861526272193608</v>
      </c>
      <c r="N100" s="626">
        <f>(0*200)/F100</f>
        <v>0</v>
      </c>
      <c r="O100" s="595">
        <v>0</v>
      </c>
      <c r="P100" s="597">
        <f>(0.16*200)/F100</f>
        <v>38.414904983133454</v>
      </c>
      <c r="Q100" s="595">
        <v>0</v>
      </c>
      <c r="R100" s="570">
        <f>Tabel66892628[[#This Row],[VAT DW 2017]]+Tabel66892628[[#This Row],[VAT Sew. 2017]]+Tabel66892628[[#This Row],[VAT WW 2017]]+Tabel66892628[[#This Row],[VAT Other ch. 2017]]</f>
        <v>59.603126012893</v>
      </c>
      <c r="S100" s="571">
        <f>Tabel66892628[[#This Row],[Total. ch. DW 2017]]+Tabel66892628[[#This Row],[Sew. 2017]]+Tabel66892628[[#This Row],[VAT Sew. 2017]]+Tabel66892628[[#This Row],[WW 2017]]+Tabel66892628[[#This Row],[VAT WW 2017]]+Tabel66892628[[#This Row],[Other ch. 2017]]+Tabel66892628[[#This Row],[VAT Other ch. 2017]]</f>
        <v>857.81683293117726</v>
      </c>
      <c r="T100" s="397"/>
      <c r="U100" s="1763"/>
      <c r="V100" s="1766"/>
      <c r="W100" s="1769"/>
      <c r="X100" s="1772"/>
      <c r="Y100" s="1775"/>
      <c r="Z100" s="1778"/>
      <c r="AA100" s="1772"/>
      <c r="AB100" s="1781"/>
      <c r="AC100" s="1772"/>
      <c r="AD100" s="1785"/>
      <c r="AE100" s="1772"/>
      <c r="AF100" s="1788"/>
      <c r="AG100" s="1990"/>
      <c r="AH100" s="397"/>
      <c r="AI100" s="614"/>
      <c r="AJ100" s="591" t="s">
        <v>429</v>
      </c>
      <c r="AK100" s="591"/>
      <c r="AL100" s="591"/>
      <c r="AM100" s="591"/>
      <c r="AN100" s="591"/>
      <c r="AO100" s="614"/>
    </row>
    <row r="101" spans="1:42" ht="16.5" customHeight="1" thickBot="1" x14ac:dyDescent="0.3">
      <c r="A101" s="1758"/>
      <c r="B101" s="547" t="s">
        <v>635</v>
      </c>
      <c r="C101" s="1046"/>
      <c r="D101" s="802" t="s">
        <v>1058</v>
      </c>
      <c r="E101" s="1761"/>
      <c r="F101" s="616">
        <f>'exchange rates'!$O$20</f>
        <v>0.83301000000000003</v>
      </c>
      <c r="G101" s="625">
        <f>12.36/F101</f>
        <v>14.837757049735297</v>
      </c>
      <c r="H101" s="593">
        <f>(1.62*200)/F101</f>
        <v>388.95091295422623</v>
      </c>
      <c r="I101" s="594">
        <f>(0.38*200)/F101</f>
        <v>91.23539933494196</v>
      </c>
      <c r="J101" s="595">
        <f>22.68/F101</f>
        <v>27.226563906795835</v>
      </c>
      <c r="K101" s="566">
        <f>Tabel66892628[[#This Row],[Fix.ch. 2017]]+Tabel66892628[[#This Row],[Var. ch. 2017]]+Tabel66892628[[#This Row],[Oth. ch. DW 2017]]+Tabel66892628[[#This Row],[VAT DW 2017]]</f>
        <v>522.25063324569931</v>
      </c>
      <c r="L101" s="596">
        <f>(2.04*200)/F101</f>
        <v>489.79003853495152</v>
      </c>
      <c r="M101" s="595">
        <f>44.96/F101</f>
        <v>53.972941501302508</v>
      </c>
      <c r="N101" s="626">
        <f>(0*200)/F101</f>
        <v>0</v>
      </c>
      <c r="O101" s="595">
        <v>0</v>
      </c>
      <c r="P101" s="597">
        <f>(0.209*200)/F101</f>
        <v>50.179469634218073</v>
      </c>
      <c r="Q101" s="595">
        <v>0</v>
      </c>
      <c r="R101" s="570">
        <f>Tabel66892628[[#This Row],[VAT DW 2017]]+Tabel66892628[[#This Row],[VAT Sew. 2017]]+Tabel66892628[[#This Row],[VAT WW 2017]]+Tabel66892628[[#This Row],[VAT Other ch. 2017]]</f>
        <v>81.199505408098346</v>
      </c>
      <c r="S101" s="571">
        <f>Tabel66892628[[#This Row],[Total. ch. DW 2017]]+Tabel66892628[[#This Row],[Sew. 2017]]+Tabel66892628[[#This Row],[VAT Sew. 2017]]+Tabel66892628[[#This Row],[WW 2017]]+Tabel66892628[[#This Row],[VAT WW 2017]]+Tabel66892628[[#This Row],[Other ch. 2017]]+Tabel66892628[[#This Row],[VAT Other ch. 2017]]</f>
        <v>1116.1930829161715</v>
      </c>
      <c r="T101" s="397"/>
      <c r="U101" s="1764"/>
      <c r="V101" s="1767"/>
      <c r="W101" s="1770"/>
      <c r="X101" s="1773"/>
      <c r="Y101" s="1776"/>
      <c r="Z101" s="1779"/>
      <c r="AA101" s="1773"/>
      <c r="AB101" s="1811"/>
      <c r="AC101" s="1773"/>
      <c r="AD101" s="1813"/>
      <c r="AE101" s="1773"/>
      <c r="AF101" s="1815"/>
      <c r="AG101" s="1991"/>
      <c r="AH101" s="397"/>
      <c r="AI101" s="614"/>
      <c r="AJ101" s="591" t="s">
        <v>429</v>
      </c>
      <c r="AK101" s="591" t="s">
        <v>429</v>
      </c>
      <c r="AL101" s="591"/>
      <c r="AM101" s="591" t="s">
        <v>429</v>
      </c>
      <c r="AN101" s="591"/>
      <c r="AO101" s="614"/>
    </row>
    <row r="102" spans="1:42" ht="19.5" thickBot="1" x14ac:dyDescent="0.3">
      <c r="A102" s="870" t="s">
        <v>521</v>
      </c>
      <c r="B102" s="292" t="s">
        <v>522</v>
      </c>
      <c r="C102" s="1047"/>
      <c r="D102" s="811" t="s">
        <v>1060</v>
      </c>
      <c r="E102" s="301">
        <v>16000</v>
      </c>
      <c r="F102" s="308">
        <v>506.17869999999999</v>
      </c>
      <c r="G102" s="319">
        <f>3396/F102</f>
        <v>6.7090930535006708</v>
      </c>
      <c r="H102" s="320">
        <f>74524/F102</f>
        <v>147.22863684307538</v>
      </c>
      <c r="I102" s="321">
        <v>0</v>
      </c>
      <c r="J102" s="559"/>
      <c r="K102" s="313">
        <f>Tabel66892628[[#This Row],[Fix.ch. 2017]]+Tabel66892628[[#This Row],[Var. ch. 2017]]+Tabel66892628[[#This Row],[Oth. ch. DW 2017]]+Tabel66892628[[#This Row],[VAT DW 2017]]</f>
        <v>153.93772989657606</v>
      </c>
      <c r="L102" s="322">
        <v>0</v>
      </c>
      <c r="M102" s="559"/>
      <c r="N102" s="323">
        <v>0</v>
      </c>
      <c r="O102" s="559"/>
      <c r="P102" s="324">
        <v>0</v>
      </c>
      <c r="Q102" s="559"/>
      <c r="R102" s="317">
        <f>Tabel66892628[[#This Row],[VAT DW 2017]]+Tabel66892628[[#This Row],[VAT Sew. 2017]]+Tabel66892628[[#This Row],[VAT WW 2017]]+Tabel66892628[[#This Row],[VAT Other ch. 2017]]</f>
        <v>0</v>
      </c>
      <c r="S102" s="318">
        <f>Tabel66892628[[#This Row],[Total. ch. DW 2017]]+Tabel66892628[[#This Row],[Sew. 2017]]+Tabel66892628[[#This Row],[VAT Sew. 2017]]+Tabel66892628[[#This Row],[WW 2017]]+Tabel66892628[[#This Row],[VAT WW 2017]]+Tabel66892628[[#This Row],[Other ch. 2017]]+Tabel66892628[[#This Row],[VAT Other ch. 2017]]</f>
        <v>153.93772989657606</v>
      </c>
      <c r="T102" s="397"/>
      <c r="U102" s="340">
        <f>Tabel66892628[[#This Row],[Fix.ch. 2017]]</f>
        <v>6.7090930535006708</v>
      </c>
      <c r="V102" s="341">
        <f>Tabel66892628[[#This Row],[Var. ch. 2017]]</f>
        <v>147.22863684307538</v>
      </c>
      <c r="W102" s="342">
        <v>0</v>
      </c>
      <c r="X102" s="581"/>
      <c r="Y102" s="343">
        <f>Tabel66892628[[#This Row],[Total. ch. DW 2017]]</f>
        <v>153.93772989657606</v>
      </c>
      <c r="Z102" s="344">
        <v>0</v>
      </c>
      <c r="AA102" s="581"/>
      <c r="AB102" s="345">
        <v>0</v>
      </c>
      <c r="AC102" s="581"/>
      <c r="AD102" s="346">
        <v>0</v>
      </c>
      <c r="AE102" s="581"/>
      <c r="AF102" s="347">
        <f>Tabel66892628[[#This Row],[Total VAT 2017]]</f>
        <v>0</v>
      </c>
      <c r="AG102" s="348">
        <f>Tabel66892628[[#This Row],[total charge 2017]]</f>
        <v>153.93772989657606</v>
      </c>
      <c r="AH102" s="397"/>
      <c r="AI102" s="398"/>
      <c r="AJ102" s="398"/>
      <c r="AK102" s="398"/>
      <c r="AL102" s="396" t="s">
        <v>429</v>
      </c>
      <c r="AM102" s="398"/>
      <c r="AN102" s="398"/>
      <c r="AO102" s="398"/>
      <c r="AP102" s="397"/>
    </row>
    <row r="103" spans="1:42" ht="19.5" thickBot="1" x14ac:dyDescent="0.35">
      <c r="A103" s="669" t="s">
        <v>14</v>
      </c>
      <c r="B103" s="544" t="s">
        <v>939</v>
      </c>
      <c r="C103" s="1046" t="s">
        <v>429</v>
      </c>
      <c r="D103" s="812" t="s">
        <v>1062</v>
      </c>
      <c r="E103" s="671">
        <v>50200</v>
      </c>
      <c r="F103" s="616">
        <f>'exchange rates'!O22</f>
        <v>0.83301000000000003</v>
      </c>
      <c r="G103" s="549">
        <f>21.9/F103</f>
        <v>26.290200597831955</v>
      </c>
      <c r="H103" s="550">
        <f>338.8/F103</f>
        <v>406.71780650892543</v>
      </c>
      <c r="I103" s="551">
        <v>0</v>
      </c>
      <c r="J103" s="560">
        <f>25.25/F103</f>
        <v>30.311760963253743</v>
      </c>
      <c r="K103" s="566">
        <f>Tabel66892628[[#This Row],[Fix.ch. 2017]]+Tabel66892628[[#This Row],[Var. ch. 2017]]+Tabel66892628[[#This Row],[Oth. ch. DW 2017]]+Tabel66892628[[#This Row],[VAT DW 2017]]</f>
        <v>463.31976807001115</v>
      </c>
      <c r="L103" s="567">
        <f>0</f>
        <v>0</v>
      </c>
      <c r="M103" s="560">
        <v>0</v>
      </c>
      <c r="N103" s="568">
        <f>442/F103</f>
        <v>530.60587507953085</v>
      </c>
      <c r="O103" s="560">
        <v>0</v>
      </c>
      <c r="P103" s="569">
        <v>0</v>
      </c>
      <c r="Q103" s="560">
        <v>0</v>
      </c>
      <c r="R103" s="570">
        <f>Tabel66892628[[#This Row],[VAT DW 2017]]+Tabel66892628[[#This Row],[VAT Sew. 2017]]+Tabel66892628[[#This Row],[VAT WW 2017]]+Tabel66892628[[#This Row],[VAT Other ch. 2017]]</f>
        <v>30.311760963253743</v>
      </c>
      <c r="S103" s="571">
        <f>Tabel66892628[[#This Row],[Total. ch. DW 2017]]+Tabel66892628[[#This Row],[Sew. 2017]]+Tabel66892628[[#This Row],[VAT Sew. 2017]]+Tabel66892628[[#This Row],[WW 2017]]+Tabel66892628[[#This Row],[VAT WW 2017]]+Tabel66892628[[#This Row],[Other ch. 2017]]+Tabel66892628[[#This Row],[VAT Other ch. 2017]]</f>
        <v>993.925643149542</v>
      </c>
      <c r="T103" s="397"/>
      <c r="U103" s="672">
        <f>Tabel66892628[[#This Row],[Fix.ch. 2017]]</f>
        <v>26.290200597831955</v>
      </c>
      <c r="V103" s="673">
        <f>Tabel66892628[[#This Row],[Var. ch. 2017]]</f>
        <v>406.71780650892543</v>
      </c>
      <c r="W103" s="674">
        <f>Tabel66892628[[#This Row],[Oth. ch. DW 2017]]</f>
        <v>0</v>
      </c>
      <c r="X103" s="675">
        <f>Tabel66892628[[#This Row],[VAT DW 2017]]</f>
        <v>30.311760963253743</v>
      </c>
      <c r="Y103" s="676">
        <f>Tabel66892628[[#This Row],[Total. ch. DW 2017]]</f>
        <v>463.31976807001115</v>
      </c>
      <c r="Z103" s="677">
        <f>Tabel66892628[[#This Row],[Sew. 2017]]</f>
        <v>0</v>
      </c>
      <c r="AA103" s="675">
        <f>Tabel66892628[[#This Row],[VAT Sew. 2017]]</f>
        <v>0</v>
      </c>
      <c r="AB103" s="678">
        <f>Tabel66892628[[#This Row],[WW 2017]]</f>
        <v>530.60587507953085</v>
      </c>
      <c r="AC103" s="675">
        <f>Tabel66892628[[#This Row],[VAT WW 2017]]</f>
        <v>0</v>
      </c>
      <c r="AD103" s="679">
        <f>Tabel66892628[[#This Row],[Other ch. 2017]]</f>
        <v>0</v>
      </c>
      <c r="AE103" s="675">
        <f>Tabel66892628[[#This Row],[VAT Other ch. 2017]]</f>
        <v>0</v>
      </c>
      <c r="AF103" s="680">
        <f>Tabel66892628[[#This Row],[Total VAT 2017]]</f>
        <v>30.311760963253743</v>
      </c>
      <c r="AG103" s="681">
        <f>Tabel66892628[[#This Row],[total charge 2017]]</f>
        <v>993.925643149542</v>
      </c>
      <c r="AH103" s="397"/>
      <c r="AI103" s="398"/>
      <c r="AJ103" s="398"/>
      <c r="AK103" s="591" t="s">
        <v>429</v>
      </c>
      <c r="AL103" s="591"/>
      <c r="AM103" s="591" t="s">
        <v>429</v>
      </c>
      <c r="AN103" s="398"/>
      <c r="AO103" s="398"/>
      <c r="AP103" s="397"/>
    </row>
    <row r="104" spans="1:42" ht="15.6" customHeight="1" x14ac:dyDescent="0.25">
      <c r="A104" s="2004" t="s">
        <v>35</v>
      </c>
      <c r="B104" s="501" t="s">
        <v>712</v>
      </c>
      <c r="C104" s="457"/>
      <c r="D104" s="457" t="s">
        <v>1064</v>
      </c>
      <c r="E104" s="2007">
        <v>25600</v>
      </c>
      <c r="F104" s="306">
        <f>'exchange rates'!$M$23</f>
        <v>0.92093999999999998</v>
      </c>
      <c r="G104" s="319">
        <f>79.5/F104</f>
        <v>86.324842009251412</v>
      </c>
      <c r="H104" s="320">
        <f>74.92/F104</f>
        <v>81.351662431863105</v>
      </c>
      <c r="I104" s="321">
        <f>59.93/F104</f>
        <v>65.074814863074693</v>
      </c>
      <c r="J104" s="559"/>
      <c r="K104" s="313">
        <f>Tabel66892628[[#This Row],[Fix.ch. 2017]]+Tabel66892628[[#This Row],[Var. ch. 2017]]+Tabel66892628[[#This Row],[Oth. ch. DW 2017]]+Tabel66892628[[#This Row],[VAT DW 2017]]</f>
        <v>232.7513193041892</v>
      </c>
      <c r="L104" s="322">
        <f>67.42/F104</f>
        <v>73.207809412122401</v>
      </c>
      <c r="M104" s="559"/>
      <c r="N104" s="323">
        <v>0</v>
      </c>
      <c r="O104" s="559"/>
      <c r="P104" s="324">
        <f>13.25/F104</f>
        <v>14.387473668208569</v>
      </c>
      <c r="Q104" s="559"/>
      <c r="R104" s="317">
        <f>Tabel66892628[[#This Row],[VAT DW 2017]]+Tabel66892628[[#This Row],[VAT Sew. 2017]]+Tabel66892628[[#This Row],[VAT WW 2017]]+Tabel66892628[[#This Row],[VAT Other ch. 2017]]</f>
        <v>0</v>
      </c>
      <c r="S104" s="318">
        <f>Tabel66892628[[#This Row],[Total. ch. DW 2017]]+Tabel66892628[[#This Row],[Sew. 2017]]+Tabel66892628[[#This Row],[VAT Sew. 2017]]+Tabel66892628[[#This Row],[WW 2017]]+Tabel66892628[[#This Row],[VAT WW 2017]]+Tabel66892628[[#This Row],[Other ch. 2017]]+Tabel66892628[[#This Row],[VAT Other ch. 2017]]</f>
        <v>320.34660238452017</v>
      </c>
      <c r="T104" s="397"/>
      <c r="U104" s="2009">
        <f>MEDIAN(G104:G108)</f>
        <v>52.989336981779488</v>
      </c>
      <c r="V104" s="2012">
        <f>MEDIAN(H104:H108)</f>
        <v>143.98332138901557</v>
      </c>
      <c r="W104" s="2014">
        <f>MEDIAN(I104:I108)</f>
        <v>0</v>
      </c>
      <c r="X104" s="575"/>
      <c r="Y104" s="2016">
        <f>SUM(U104:W108)</f>
        <v>196.97265837079505</v>
      </c>
      <c r="Z104" s="2018">
        <f>MEDIAN(L104:L108)</f>
        <v>115.18665711121245</v>
      </c>
      <c r="AA104" s="575"/>
      <c r="AB104" s="2020">
        <f>MEDIAN(N104:N108)</f>
        <v>0</v>
      </c>
      <c r="AC104" s="575"/>
      <c r="AD104" s="2029">
        <f>MEDIAN(P104:P108)</f>
        <v>13.03016483158512</v>
      </c>
      <c r="AE104" s="575"/>
      <c r="AF104" s="1992">
        <f>MEDIAN(R104:R108)</f>
        <v>0</v>
      </c>
      <c r="AG104" s="1994">
        <f>SUM(Y104:AF108)</f>
        <v>325.18948031359264</v>
      </c>
      <c r="AH104" s="397"/>
      <c r="AI104" s="398"/>
      <c r="AJ104" s="398"/>
      <c r="AK104" s="396" t="s">
        <v>429</v>
      </c>
      <c r="AL104" s="396" t="s">
        <v>429</v>
      </c>
      <c r="AM104" s="396" t="s">
        <v>429</v>
      </c>
      <c r="AN104" s="396" t="s">
        <v>429</v>
      </c>
      <c r="AO104" s="398"/>
      <c r="AP104" s="397"/>
    </row>
    <row r="105" spans="1:42" ht="15.6" customHeight="1" x14ac:dyDescent="0.25">
      <c r="A105" s="2005"/>
      <c r="B105" s="457" t="s">
        <v>713</v>
      </c>
      <c r="C105" s="457"/>
      <c r="D105" s="457" t="s">
        <v>1064</v>
      </c>
      <c r="E105" s="1837"/>
      <c r="F105" s="306">
        <f>'exchange rates'!$M$23</f>
        <v>0.92093999999999998</v>
      </c>
      <c r="G105" s="319">
        <f>51/F105</f>
        <v>55.378200534236761</v>
      </c>
      <c r="H105" s="320">
        <f>170/F105</f>
        <v>184.5940017807892</v>
      </c>
      <c r="I105" s="321">
        <f>0/F105</f>
        <v>0</v>
      </c>
      <c r="J105" s="559"/>
      <c r="K105" s="313">
        <f>Tabel66892628[[#This Row],[Fix.ch. 2017]]+Tabel66892628[[#This Row],[Var. ch. 2017]]+Tabel66892628[[#This Row],[Oth. ch. DW 2017]]+Tabel66892628[[#This Row],[VAT DW 2017]]</f>
        <v>239.97220231502595</v>
      </c>
      <c r="L105" s="322">
        <f>93.5/F105</f>
        <v>101.52670097943405</v>
      </c>
      <c r="M105" s="559"/>
      <c r="N105" s="323">
        <v>0</v>
      </c>
      <c r="O105" s="559"/>
      <c r="P105" s="324">
        <f>12/F105</f>
        <v>13.03016483158512</v>
      </c>
      <c r="Q105" s="559"/>
      <c r="R105" s="317">
        <f>Tabel66892628[[#This Row],[VAT DW 2017]]+Tabel66892628[[#This Row],[VAT Sew. 2017]]+Tabel66892628[[#This Row],[VAT WW 2017]]+Tabel66892628[[#This Row],[VAT Other ch. 2017]]</f>
        <v>0</v>
      </c>
      <c r="S105" s="318">
        <f>Tabel66892628[[#This Row],[Total. ch. DW 2017]]+Tabel66892628[[#This Row],[Sew. 2017]]+Tabel66892628[[#This Row],[VAT Sew. 2017]]+Tabel66892628[[#This Row],[WW 2017]]+Tabel66892628[[#This Row],[VAT WW 2017]]+Tabel66892628[[#This Row],[Other ch. 2017]]+Tabel66892628[[#This Row],[VAT Other ch. 2017]]</f>
        <v>354.5290681260451</v>
      </c>
      <c r="T105" s="397"/>
      <c r="U105" s="2010"/>
      <c r="V105" s="1843"/>
      <c r="W105" s="1846"/>
      <c r="X105" s="576"/>
      <c r="Y105" s="1849"/>
      <c r="Z105" s="1852"/>
      <c r="AA105" s="576"/>
      <c r="AB105" s="1855"/>
      <c r="AC105" s="576"/>
      <c r="AD105" s="1858"/>
      <c r="AE105" s="576"/>
      <c r="AF105" s="1873"/>
      <c r="AG105" s="1876"/>
      <c r="AH105" s="397"/>
      <c r="AI105" s="398"/>
      <c r="AJ105" s="398"/>
      <c r="AK105" s="396" t="s">
        <v>429</v>
      </c>
      <c r="AL105" s="396" t="s">
        <v>429</v>
      </c>
      <c r="AM105" s="396" t="s">
        <v>429</v>
      </c>
      <c r="AN105" s="396" t="s">
        <v>429</v>
      </c>
      <c r="AO105" s="398"/>
      <c r="AP105" s="397"/>
    </row>
    <row r="106" spans="1:42" ht="15.6" customHeight="1" x14ac:dyDescent="0.25">
      <c r="A106" s="2005"/>
      <c r="B106" s="457" t="s">
        <v>714</v>
      </c>
      <c r="C106" s="457"/>
      <c r="D106" s="457" t="s">
        <v>1064</v>
      </c>
      <c r="E106" s="1837"/>
      <c r="F106" s="306">
        <f>'exchange rates'!$M$23</f>
        <v>0.92093999999999998</v>
      </c>
      <c r="G106" s="319">
        <f>48.8/F106</f>
        <v>52.989336981779488</v>
      </c>
      <c r="H106" s="320">
        <f>100/F106</f>
        <v>108.58470692987599</v>
      </c>
      <c r="I106" s="321">
        <f>80/F106</f>
        <v>86.867765543900802</v>
      </c>
      <c r="J106" s="559"/>
      <c r="K106" s="313">
        <f>Tabel66892628[[#This Row],[Fix.ch. 2017]]+Tabel66892628[[#This Row],[Var. ch. 2017]]+Tabel66892628[[#This Row],[Oth. ch. DW 2017]]+Tabel66892628[[#This Row],[VAT DW 2017]]</f>
        <v>248.44180945555627</v>
      </c>
      <c r="L106" s="322">
        <f>118/F106</f>
        <v>128.12995417725367</v>
      </c>
      <c r="M106" s="559"/>
      <c r="N106" s="323">
        <v>0</v>
      </c>
      <c r="O106" s="559"/>
      <c r="P106" s="324">
        <f>0/F106</f>
        <v>0</v>
      </c>
      <c r="Q106" s="559"/>
      <c r="R106" s="317">
        <f>Tabel66892628[[#This Row],[VAT DW 2017]]+Tabel66892628[[#This Row],[VAT Sew. 2017]]+Tabel66892628[[#This Row],[VAT WW 2017]]+Tabel66892628[[#This Row],[VAT Other ch. 2017]]</f>
        <v>0</v>
      </c>
      <c r="S106" s="318">
        <f>Tabel66892628[[#This Row],[Total. ch. DW 2017]]+Tabel66892628[[#This Row],[Sew. 2017]]+Tabel66892628[[#This Row],[VAT Sew. 2017]]+Tabel66892628[[#This Row],[WW 2017]]+Tabel66892628[[#This Row],[VAT WW 2017]]+Tabel66892628[[#This Row],[Other ch. 2017]]+Tabel66892628[[#This Row],[VAT Other ch. 2017]]</f>
        <v>376.57176363280996</v>
      </c>
      <c r="T106" s="397"/>
      <c r="U106" s="2010"/>
      <c r="V106" s="1843"/>
      <c r="W106" s="1846"/>
      <c r="X106" s="576"/>
      <c r="Y106" s="1849"/>
      <c r="Z106" s="1852"/>
      <c r="AA106" s="576"/>
      <c r="AB106" s="1855"/>
      <c r="AC106" s="576"/>
      <c r="AD106" s="1858"/>
      <c r="AE106" s="576"/>
      <c r="AF106" s="1873"/>
      <c r="AG106" s="1876"/>
      <c r="AH106" s="397"/>
      <c r="AI106" s="398"/>
      <c r="AJ106" s="398"/>
      <c r="AK106" s="396" t="s">
        <v>429</v>
      </c>
      <c r="AL106" s="396" t="s">
        <v>429</v>
      </c>
      <c r="AM106" s="396" t="s">
        <v>429</v>
      </c>
      <c r="AN106" s="396" t="s">
        <v>429</v>
      </c>
      <c r="AO106" s="398"/>
      <c r="AP106" s="397"/>
    </row>
    <row r="107" spans="1:42" ht="15.6" customHeight="1" x14ac:dyDescent="0.25">
      <c r="A107" s="2005"/>
      <c r="B107" s="457" t="s">
        <v>715</v>
      </c>
      <c r="C107" s="457" t="s">
        <v>429</v>
      </c>
      <c r="D107" s="457" t="s">
        <v>1064</v>
      </c>
      <c r="E107" s="1837"/>
      <c r="F107" s="306">
        <f>'exchange rates'!$M$23</f>
        <v>0.92093999999999998</v>
      </c>
      <c r="G107" s="319">
        <f>12/F107</f>
        <v>13.03016483158512</v>
      </c>
      <c r="H107" s="320">
        <f>437.92/F107</f>
        <v>475.514148587313</v>
      </c>
      <c r="I107" s="321">
        <f>0/F107</f>
        <v>0</v>
      </c>
      <c r="J107" s="559"/>
      <c r="K107" s="313">
        <f>Tabel66892628[[#This Row],[Fix.ch. 2017]]+Tabel66892628[[#This Row],[Var. ch. 2017]]+Tabel66892628[[#This Row],[Oth. ch. DW 2017]]+Tabel66892628[[#This Row],[VAT DW 2017]]</f>
        <v>488.54431341889813</v>
      </c>
      <c r="L107" s="322">
        <f>328.44/F107</f>
        <v>356.63561144048475</v>
      </c>
      <c r="M107" s="559"/>
      <c r="N107" s="323">
        <v>0</v>
      </c>
      <c r="O107" s="559"/>
      <c r="P107" s="324">
        <f>0/F107</f>
        <v>0</v>
      </c>
      <c r="Q107" s="559"/>
      <c r="R107" s="317">
        <f>Tabel66892628[[#This Row],[VAT DW 2017]]+Tabel66892628[[#This Row],[VAT Sew. 2017]]+Tabel66892628[[#This Row],[VAT WW 2017]]+Tabel66892628[[#This Row],[VAT Other ch. 2017]]</f>
        <v>0</v>
      </c>
      <c r="S107" s="318">
        <f>Tabel66892628[[#This Row],[Total. ch. DW 2017]]+Tabel66892628[[#This Row],[Sew. 2017]]+Tabel66892628[[#This Row],[VAT Sew. 2017]]+Tabel66892628[[#This Row],[WW 2017]]+Tabel66892628[[#This Row],[VAT WW 2017]]+Tabel66892628[[#This Row],[Other ch. 2017]]+Tabel66892628[[#This Row],[VAT Other ch. 2017]]</f>
        <v>845.17992485938294</v>
      </c>
      <c r="T107" s="397"/>
      <c r="U107" s="2010"/>
      <c r="V107" s="1843"/>
      <c r="W107" s="1846"/>
      <c r="X107" s="576"/>
      <c r="Y107" s="1849"/>
      <c r="Z107" s="1852"/>
      <c r="AA107" s="576"/>
      <c r="AB107" s="1855"/>
      <c r="AC107" s="576"/>
      <c r="AD107" s="1858"/>
      <c r="AE107" s="576"/>
      <c r="AF107" s="1873"/>
      <c r="AG107" s="1876"/>
      <c r="AH107" s="397"/>
      <c r="AI107" s="398"/>
      <c r="AJ107" s="398"/>
      <c r="AK107" s="396" t="s">
        <v>429</v>
      </c>
      <c r="AL107" s="396" t="s">
        <v>429</v>
      </c>
      <c r="AM107" s="396" t="s">
        <v>429</v>
      </c>
      <c r="AN107" s="396" t="s">
        <v>429</v>
      </c>
      <c r="AO107" s="398"/>
      <c r="AP107" s="397"/>
    </row>
    <row r="108" spans="1:42" ht="16.149999999999999" customHeight="1" thickBot="1" x14ac:dyDescent="0.3">
      <c r="A108" s="2006"/>
      <c r="B108" s="268" t="s">
        <v>716</v>
      </c>
      <c r="C108" s="457"/>
      <c r="D108" s="800" t="s">
        <v>1064</v>
      </c>
      <c r="E108" s="2008"/>
      <c r="F108" s="306">
        <f>'exchange rates'!$M$23</f>
        <v>0.92093999999999998</v>
      </c>
      <c r="G108" s="319">
        <f>24/F108</f>
        <v>26.06032966317024</v>
      </c>
      <c r="H108" s="320">
        <f>132.6/F108</f>
        <v>143.98332138901557</v>
      </c>
      <c r="I108" s="321">
        <f>0/F108</f>
        <v>0</v>
      </c>
      <c r="J108" s="559"/>
      <c r="K108" s="313">
        <f>Tabel66892628[[#This Row],[Fix.ch. 2017]]+Tabel66892628[[#This Row],[Var. ch. 2017]]+Tabel66892628[[#This Row],[Oth. ch. DW 2017]]+Tabel66892628[[#This Row],[VAT DW 2017]]</f>
        <v>170.04365105218582</v>
      </c>
      <c r="L108" s="322">
        <f>106.08/F108</f>
        <v>115.18665711121245</v>
      </c>
      <c r="M108" s="559"/>
      <c r="N108" s="323">
        <v>0</v>
      </c>
      <c r="O108" s="559"/>
      <c r="P108" s="324">
        <f>14/F108</f>
        <v>15.20185897018264</v>
      </c>
      <c r="Q108" s="559"/>
      <c r="R108" s="317">
        <f>Tabel66892628[[#This Row],[VAT DW 2017]]+Tabel66892628[[#This Row],[VAT Sew. 2017]]+Tabel66892628[[#This Row],[VAT WW 2017]]+Tabel66892628[[#This Row],[VAT Other ch. 2017]]</f>
        <v>0</v>
      </c>
      <c r="S108" s="318">
        <f>Tabel66892628[[#This Row],[Total. ch. DW 2017]]+Tabel66892628[[#This Row],[Sew. 2017]]+Tabel66892628[[#This Row],[VAT Sew. 2017]]+Tabel66892628[[#This Row],[WW 2017]]+Tabel66892628[[#This Row],[VAT WW 2017]]+Tabel66892628[[#This Row],[Other ch. 2017]]+Tabel66892628[[#This Row],[VAT Other ch. 2017]]</f>
        <v>300.43216713358089</v>
      </c>
      <c r="T108" s="397"/>
      <c r="U108" s="2011"/>
      <c r="V108" s="2013"/>
      <c r="W108" s="2015"/>
      <c r="X108" s="577"/>
      <c r="Y108" s="2017"/>
      <c r="Z108" s="2019"/>
      <c r="AA108" s="577"/>
      <c r="AB108" s="2021"/>
      <c r="AC108" s="577"/>
      <c r="AD108" s="2030"/>
      <c r="AE108" s="577"/>
      <c r="AF108" s="1993"/>
      <c r="AG108" s="1995"/>
      <c r="AH108" s="397"/>
      <c r="AI108" s="398"/>
      <c r="AJ108" s="398"/>
      <c r="AK108" s="396" t="s">
        <v>429</v>
      </c>
      <c r="AL108" s="396" t="s">
        <v>429</v>
      </c>
      <c r="AM108" s="396" t="s">
        <v>429</v>
      </c>
      <c r="AN108" s="396" t="s">
        <v>429</v>
      </c>
      <c r="AO108" s="398"/>
      <c r="AP108" s="397"/>
    </row>
    <row r="109" spans="1:42" ht="15.75" customHeight="1" x14ac:dyDescent="0.25">
      <c r="A109" s="1818" t="s">
        <v>45</v>
      </c>
      <c r="B109" s="546" t="s">
        <v>102</v>
      </c>
      <c r="C109" s="1046" t="s">
        <v>429</v>
      </c>
      <c r="D109" s="802" t="s">
        <v>1066</v>
      </c>
      <c r="E109" s="1983">
        <v>28900</v>
      </c>
      <c r="F109" s="616">
        <f>'exchange rates'!$O$24</f>
        <v>258.86743000000001</v>
      </c>
      <c r="G109" s="549">
        <f>1700/F109</f>
        <v>6.5670679389832856</v>
      </c>
      <c r="H109" s="550">
        <f>34480/F109</f>
        <v>133.19558972714333</v>
      </c>
      <c r="I109" s="551">
        <v>0</v>
      </c>
      <c r="J109" s="560">
        <f>9768.6/F109</f>
        <v>37.735917569854188</v>
      </c>
      <c r="K109" s="566">
        <f>Tabel66892628[[#This Row],[Fix.ch. 2017]]+Tabel66892628[[#This Row],[Var. ch. 2017]]+Tabel66892628[[#This Row],[Oth. ch. DW 2017]]+Tabel66892628[[#This Row],[VAT DW 2017]]</f>
        <v>177.49857523598081</v>
      </c>
      <c r="L109" s="567">
        <f>914/F109</f>
        <v>3.5307647624886607</v>
      </c>
      <c r="M109" s="560">
        <f>246.78/F109</f>
        <v>0.95330648587193834</v>
      </c>
      <c r="N109" s="568">
        <f>59132/F109</f>
        <v>228.42580080468213</v>
      </c>
      <c r="O109" s="560">
        <f>15965.64/F109</f>
        <v>61.674966217264178</v>
      </c>
      <c r="P109" s="569">
        <v>0</v>
      </c>
      <c r="Q109" s="560">
        <f>0</f>
        <v>0</v>
      </c>
      <c r="R109" s="570">
        <f>Tabel66892628[[#This Row],[VAT DW 2017]]+Tabel66892628[[#This Row],[VAT Sew. 2017]]+Tabel66892628[[#This Row],[VAT WW 2017]]+Tabel66892628[[#This Row],[VAT Other ch. 2017]]</f>
        <v>100.3641902729903</v>
      </c>
      <c r="S109" s="571">
        <f>Tabel66892628[[#This Row],[Total. ch. DW 2017]]+Tabel66892628[[#This Row],[Sew. 2017]]+Tabel66892628[[#This Row],[VAT Sew. 2017]]+Tabel66892628[[#This Row],[WW 2017]]+Tabel66892628[[#This Row],[VAT WW 2017]]+Tabel66892628[[#This Row],[Other ch. 2017]]+Tabel66892628[[#This Row],[VAT Other ch. 2017]]</f>
        <v>472.08341350628774</v>
      </c>
      <c r="T109" s="397"/>
      <c r="U109" s="1824">
        <f>MEDIAN(G109:G113)</f>
        <v>0</v>
      </c>
      <c r="V109" s="1825">
        <f>MEDIAN(H109:H113)</f>
        <v>189.2088162655302</v>
      </c>
      <c r="W109" s="1826">
        <f>MEDIAN(I109:I113)</f>
        <v>0</v>
      </c>
      <c r="X109" s="1938">
        <f>MEDIAN(J109:J113)</f>
        <v>51.966676534008158</v>
      </c>
      <c r="Y109" s="1827">
        <f>SUM(U109:X113)</f>
        <v>241.17549279953835</v>
      </c>
      <c r="Z109" s="1828">
        <f t="shared" ref="Z109:AF109" si="13">MEDIAN(L109:L113)</f>
        <v>3.2989858940539563</v>
      </c>
      <c r="AA109" s="1938">
        <f t="shared" si="13"/>
        <v>0.89072619139456821</v>
      </c>
      <c r="AB109" s="1829">
        <f t="shared" si="13"/>
        <v>150.42448561412303</v>
      </c>
      <c r="AC109" s="1938">
        <f t="shared" si="13"/>
        <v>40.614611115813211</v>
      </c>
      <c r="AD109" s="1830">
        <f t="shared" si="13"/>
        <v>0</v>
      </c>
      <c r="AE109" s="1938">
        <f t="shared" si="13"/>
        <v>0</v>
      </c>
      <c r="AF109" s="1816">
        <f t="shared" si="13"/>
        <v>95.159595782289017</v>
      </c>
      <c r="AG109" s="1817">
        <f>Y109+Z109+AA109+AB109+AC109+AD109+AE109</f>
        <v>436.4043016149231</v>
      </c>
      <c r="AH109" s="397"/>
      <c r="AI109" s="398"/>
      <c r="AJ109" s="398"/>
      <c r="AK109" s="398"/>
      <c r="AL109" s="398"/>
      <c r="AM109" s="591" t="s">
        <v>429</v>
      </c>
      <c r="AN109" s="398"/>
      <c r="AO109" s="398"/>
      <c r="AP109" s="397"/>
    </row>
    <row r="110" spans="1:42" ht="15.75" customHeight="1" x14ac:dyDescent="0.25">
      <c r="A110" s="1819"/>
      <c r="B110" s="547" t="s">
        <v>103</v>
      </c>
      <c r="C110" s="1046"/>
      <c r="D110" s="802" t="s">
        <v>1066</v>
      </c>
      <c r="E110" s="1760"/>
      <c r="F110" s="616">
        <f>'exchange rates'!$O$24</f>
        <v>258.86743000000001</v>
      </c>
      <c r="G110" s="549">
        <f>1231/F110</f>
        <v>4.7553297840520141</v>
      </c>
      <c r="H110" s="550">
        <f>48980/F110</f>
        <v>189.2088162655302</v>
      </c>
      <c r="I110" s="551">
        <v>0</v>
      </c>
      <c r="J110" s="560">
        <f>13556.97/F110</f>
        <v>52.370319433387195</v>
      </c>
      <c r="K110" s="566">
        <f>Tabel66892628[[#This Row],[Fix.ch. 2017]]+Tabel66892628[[#This Row],[Var. ch. 2017]]+Tabel66892628[[#This Row],[Oth. ch. DW 2017]]+Tabel66892628[[#This Row],[VAT DW 2017]]</f>
        <v>246.33446548296939</v>
      </c>
      <c r="L110" s="567">
        <f>854/F110</f>
        <v>3.2989858940539563</v>
      </c>
      <c r="M110" s="560">
        <f>230.58/F110</f>
        <v>0.89072619139456821</v>
      </c>
      <c r="N110" s="568">
        <f>38940/F110</f>
        <v>150.42448561412303</v>
      </c>
      <c r="O110" s="560">
        <f>10513.8/F110</f>
        <v>40.614611115813211</v>
      </c>
      <c r="P110" s="569">
        <f>1231/F110</f>
        <v>4.7553297840520141</v>
      </c>
      <c r="Q110" s="560">
        <f>332.37/F110</f>
        <v>1.2839390416940439</v>
      </c>
      <c r="R110" s="570">
        <f>Tabel66892628[[#This Row],[VAT DW 2017]]+Tabel66892628[[#This Row],[VAT Sew. 2017]]+Tabel66892628[[#This Row],[VAT WW 2017]]+Tabel66892628[[#This Row],[VAT Other ch. 2017]]</f>
        <v>95.159595782289017</v>
      </c>
      <c r="S110" s="571">
        <f>Tabel66892628[[#This Row],[Total. ch. DW 2017]]+Tabel66892628[[#This Row],[Sew. 2017]]+Tabel66892628[[#This Row],[VAT Sew. 2017]]+Tabel66892628[[#This Row],[WW 2017]]+Tabel66892628[[#This Row],[VAT WW 2017]]+Tabel66892628[[#This Row],[Other ch. 2017]]+Tabel66892628[[#This Row],[VAT Other ch. 2017]]</f>
        <v>447.60254312410024</v>
      </c>
      <c r="T110" s="397"/>
      <c r="U110" s="1763"/>
      <c r="V110" s="1766"/>
      <c r="W110" s="1769"/>
      <c r="X110" s="1772"/>
      <c r="Y110" s="1775"/>
      <c r="Z110" s="1778"/>
      <c r="AA110" s="1772"/>
      <c r="AB110" s="1781"/>
      <c r="AC110" s="1772"/>
      <c r="AD110" s="1785"/>
      <c r="AE110" s="1772"/>
      <c r="AF110" s="1788"/>
      <c r="AG110" s="1791"/>
      <c r="AH110" s="397"/>
      <c r="AI110" s="398"/>
      <c r="AJ110" s="398"/>
      <c r="AK110" s="398"/>
      <c r="AL110" s="398"/>
      <c r="AM110" s="591" t="s">
        <v>429</v>
      </c>
      <c r="AN110" s="398"/>
      <c r="AO110" s="398"/>
      <c r="AP110" s="397"/>
    </row>
    <row r="111" spans="1:42" ht="15.75" customHeight="1" x14ac:dyDescent="0.25">
      <c r="A111" s="1819"/>
      <c r="B111" s="547" t="s">
        <v>104</v>
      </c>
      <c r="C111" s="1046"/>
      <c r="D111" s="802" t="s">
        <v>1066</v>
      </c>
      <c r="E111" s="1760"/>
      <c r="F111" s="616">
        <f>'exchange rates'!$O$24</f>
        <v>258.86743000000001</v>
      </c>
      <c r="G111" s="549">
        <v>0</v>
      </c>
      <c r="H111" s="550">
        <f>49824/F111</f>
        <v>192.46917234817835</v>
      </c>
      <c r="I111" s="551">
        <v>0</v>
      </c>
      <c r="J111" s="560">
        <f>13452.48/F111</f>
        <v>51.966676534008158</v>
      </c>
      <c r="K111" s="566">
        <f>Tabel66892628[[#This Row],[Fix.ch. 2017]]+Tabel66892628[[#This Row],[Var. ch. 2017]]+Tabel66892628[[#This Row],[Oth. ch. DW 2017]]+Tabel66892628[[#This Row],[VAT DW 2017]]</f>
        <v>244.43584888218652</v>
      </c>
      <c r="L111" s="567">
        <v>0</v>
      </c>
      <c r="M111" s="560">
        <v>0</v>
      </c>
      <c r="N111" s="568">
        <f>38322/F111</f>
        <v>148.03716326924555</v>
      </c>
      <c r="O111" s="560">
        <f>10346.94/F111</f>
        <v>39.970034082696309</v>
      </c>
      <c r="P111" s="569">
        <v>0</v>
      </c>
      <c r="Q111" s="560">
        <v>0</v>
      </c>
      <c r="R111" s="570">
        <f>Tabel66892628[[#This Row],[VAT DW 2017]]+Tabel66892628[[#This Row],[VAT Sew. 2017]]+Tabel66892628[[#This Row],[VAT WW 2017]]+Tabel66892628[[#This Row],[VAT Other ch. 2017]]</f>
        <v>91.93671061670446</v>
      </c>
      <c r="S111" s="571">
        <f>Tabel66892628[[#This Row],[Total. ch. DW 2017]]+Tabel66892628[[#This Row],[Sew. 2017]]+Tabel66892628[[#This Row],[VAT Sew. 2017]]+Tabel66892628[[#This Row],[WW 2017]]+Tabel66892628[[#This Row],[VAT WW 2017]]+Tabel66892628[[#This Row],[Other ch. 2017]]+Tabel66892628[[#This Row],[VAT Other ch. 2017]]</f>
        <v>432.44304623412836</v>
      </c>
      <c r="T111" s="397"/>
      <c r="U111" s="1763"/>
      <c r="V111" s="1766"/>
      <c r="W111" s="1769"/>
      <c r="X111" s="1772"/>
      <c r="Y111" s="1775"/>
      <c r="Z111" s="1778"/>
      <c r="AA111" s="1772"/>
      <c r="AB111" s="1781"/>
      <c r="AC111" s="1772"/>
      <c r="AD111" s="1785"/>
      <c r="AE111" s="1772"/>
      <c r="AF111" s="1788"/>
      <c r="AG111" s="1791"/>
      <c r="AH111" s="397"/>
      <c r="AI111" s="398"/>
      <c r="AJ111" s="398"/>
      <c r="AK111" s="398"/>
      <c r="AL111" s="398"/>
      <c r="AM111" s="398"/>
      <c r="AN111" s="398"/>
      <c r="AO111" s="398"/>
      <c r="AP111" s="397"/>
    </row>
    <row r="112" spans="1:42" ht="16.5" customHeight="1" x14ac:dyDescent="0.25">
      <c r="A112" s="1819"/>
      <c r="B112" s="543" t="s">
        <v>105</v>
      </c>
      <c r="C112" s="1046"/>
      <c r="D112" s="802" t="s">
        <v>1066</v>
      </c>
      <c r="E112" s="1760"/>
      <c r="F112" s="616">
        <f>'exchange rates'!$O$24</f>
        <v>258.86743000000001</v>
      </c>
      <c r="G112" s="549">
        <v>0</v>
      </c>
      <c r="H112" s="550">
        <f>68000/F112</f>
        <v>262.68271755933142</v>
      </c>
      <c r="I112" s="551">
        <v>0</v>
      </c>
      <c r="J112" s="560">
        <f>18360/F112</f>
        <v>70.924333741019481</v>
      </c>
      <c r="K112" s="566">
        <f>Tabel66892628[[#This Row],[Fix.ch. 2017]]+Tabel66892628[[#This Row],[Var. ch. 2017]]+Tabel66892628[[#This Row],[Oth. ch. DW 2017]]+Tabel66892628[[#This Row],[VAT DW 2017]]</f>
        <v>333.60705130035092</v>
      </c>
      <c r="L112" s="567">
        <f>800/F112</f>
        <v>3.0903849124627225</v>
      </c>
      <c r="M112" s="560">
        <f>216/F112</f>
        <v>0.8344039263649351</v>
      </c>
      <c r="N112" s="568">
        <f>49600/F112</f>
        <v>191.60386457268879</v>
      </c>
      <c r="O112" s="560">
        <f>13392/F112</f>
        <v>51.733043434625976</v>
      </c>
      <c r="P112" s="569">
        <v>0</v>
      </c>
      <c r="Q112" s="560">
        <v>0</v>
      </c>
      <c r="R112" s="570">
        <f>Tabel66892628[[#This Row],[VAT DW 2017]]+Tabel66892628[[#This Row],[VAT Sew. 2017]]+Tabel66892628[[#This Row],[VAT WW 2017]]+Tabel66892628[[#This Row],[VAT Other ch. 2017]]</f>
        <v>123.49178110201041</v>
      </c>
      <c r="S112" s="571">
        <f>Tabel66892628[[#This Row],[Total. ch. DW 2017]]+Tabel66892628[[#This Row],[Sew. 2017]]+Tabel66892628[[#This Row],[VAT Sew. 2017]]+Tabel66892628[[#This Row],[WW 2017]]+Tabel66892628[[#This Row],[VAT WW 2017]]+Tabel66892628[[#This Row],[Other ch. 2017]]+Tabel66892628[[#This Row],[VAT Other ch. 2017]]</f>
        <v>580.86874814649332</v>
      </c>
      <c r="T112" s="397"/>
      <c r="U112" s="1763"/>
      <c r="V112" s="1766"/>
      <c r="W112" s="1769"/>
      <c r="X112" s="1772"/>
      <c r="Y112" s="1775"/>
      <c r="Z112" s="1778"/>
      <c r="AA112" s="1772"/>
      <c r="AB112" s="1781"/>
      <c r="AC112" s="1772"/>
      <c r="AD112" s="1785"/>
      <c r="AE112" s="1772"/>
      <c r="AF112" s="1788"/>
      <c r="AG112" s="1791"/>
      <c r="AH112" s="397"/>
      <c r="AI112" s="398"/>
      <c r="AJ112" s="398"/>
      <c r="AK112" s="398"/>
      <c r="AL112" s="398"/>
      <c r="AM112" s="398"/>
      <c r="AN112" s="398"/>
      <c r="AO112" s="398"/>
      <c r="AP112" s="397"/>
    </row>
    <row r="113" spans="1:42" ht="17.25" customHeight="1" thickBot="1" x14ac:dyDescent="0.3">
      <c r="A113" s="1820"/>
      <c r="B113" s="548" t="s">
        <v>613</v>
      </c>
      <c r="C113" s="1046"/>
      <c r="D113" s="802" t="s">
        <v>1066</v>
      </c>
      <c r="E113" s="1996"/>
      <c r="F113" s="616">
        <f>'exchange rates'!$O$24</f>
        <v>258.86743000000001</v>
      </c>
      <c r="G113" s="549">
        <v>0</v>
      </c>
      <c r="H113" s="550">
        <f>43560/F113</f>
        <v>168.27145848359524</v>
      </c>
      <c r="I113" s="551">
        <v>0</v>
      </c>
      <c r="J113" s="560">
        <f>11761.2/F113</f>
        <v>45.433293790570715</v>
      </c>
      <c r="K113" s="566">
        <f>Tabel66892628[[#This Row],[Fix.ch. 2017]]+Tabel66892628[[#This Row],[Var. ch. 2017]]+Tabel66892628[[#This Row],[Oth. ch. DW 2017]]+Tabel66892628[[#This Row],[VAT DW 2017]]</f>
        <v>213.70475227416597</v>
      </c>
      <c r="L113" s="567">
        <f>1260/F113</f>
        <v>4.8673562371287877</v>
      </c>
      <c r="M113" s="560">
        <f>340.2/F113</f>
        <v>1.3141861840247728</v>
      </c>
      <c r="N113" s="568">
        <f>26460/F113</f>
        <v>102.21448097970455</v>
      </c>
      <c r="O113" s="560">
        <f>7144.2/F113</f>
        <v>27.597909864520229</v>
      </c>
      <c r="P113" s="569">
        <v>0</v>
      </c>
      <c r="Q113" s="560">
        <v>0</v>
      </c>
      <c r="R113" s="570">
        <f>Tabel66892628[[#This Row],[VAT DW 2017]]+Tabel66892628[[#This Row],[VAT Sew. 2017]]+Tabel66892628[[#This Row],[VAT WW 2017]]+Tabel66892628[[#This Row],[VAT Other ch. 2017]]</f>
        <v>74.345389839115711</v>
      </c>
      <c r="S113" s="571">
        <f>Tabel66892628[[#This Row],[Total. ch. DW 2017]]+Tabel66892628[[#This Row],[Sew. 2017]]+Tabel66892628[[#This Row],[VAT Sew. 2017]]+Tabel66892628[[#This Row],[WW 2017]]+Tabel66892628[[#This Row],[VAT WW 2017]]+Tabel66892628[[#This Row],[Other ch. 2017]]+Tabel66892628[[#This Row],[VAT Other ch. 2017]]</f>
        <v>349.69868553954427</v>
      </c>
      <c r="T113" s="397"/>
      <c r="U113" s="1997"/>
      <c r="V113" s="1998"/>
      <c r="W113" s="1999"/>
      <c r="X113" s="1773"/>
      <c r="Y113" s="2000"/>
      <c r="Z113" s="2026"/>
      <c r="AA113" s="1773"/>
      <c r="AB113" s="2027"/>
      <c r="AC113" s="1773"/>
      <c r="AD113" s="2003"/>
      <c r="AE113" s="1773"/>
      <c r="AF113" s="2001"/>
      <c r="AG113" s="2002"/>
      <c r="AH113" s="397"/>
      <c r="AI113" s="398"/>
      <c r="AJ113" s="398"/>
      <c r="AK113" s="398"/>
      <c r="AL113" s="398"/>
      <c r="AM113" s="398"/>
      <c r="AN113" s="398"/>
      <c r="AO113" s="398"/>
      <c r="AP113" s="397"/>
    </row>
    <row r="114" spans="1:42" ht="17.25" customHeight="1" thickBot="1" x14ac:dyDescent="0.3">
      <c r="A114" s="871" t="s">
        <v>754</v>
      </c>
      <c r="B114" s="455" t="s">
        <v>755</v>
      </c>
      <c r="C114" s="1048"/>
      <c r="D114" s="811" t="s">
        <v>1068</v>
      </c>
      <c r="E114" s="890">
        <v>46600</v>
      </c>
      <c r="F114" s="306">
        <f>'exchange rates'!M25</f>
        <v>130.32431</v>
      </c>
      <c r="G114" s="319"/>
      <c r="H114" s="320"/>
      <c r="I114" s="321"/>
      <c r="J114" s="559"/>
      <c r="K114" s="313">
        <f>Tabel66892628[[#This Row],[Fix.ch. 2017]]+Tabel66892628[[#This Row],[Var. ch. 2017]]+Tabel66892628[[#This Row],[Oth. ch. DW 2017]]+Tabel66892628[[#This Row],[VAT DW 2017]]</f>
        <v>0</v>
      </c>
      <c r="L114" s="322"/>
      <c r="M114" s="559"/>
      <c r="N114" s="323"/>
      <c r="O114" s="559"/>
      <c r="P114" s="324"/>
      <c r="Q114" s="559"/>
      <c r="R114" s="317">
        <f>Tabel66892628[[#This Row],[VAT DW 2017]]+Tabel66892628[[#This Row],[VAT Sew. 2017]]+Tabel66892628[[#This Row],[VAT WW 2017]]+Tabel66892628[[#This Row],[VAT Other ch. 2017]]</f>
        <v>0</v>
      </c>
      <c r="S114" s="318">
        <f>Tabel66892628[[#This Row],[Total. ch. DW 2017]]+Tabel66892628[[#This Row],[Sew. 2017]]+Tabel66892628[[#This Row],[VAT Sew. 2017]]+Tabel66892628[[#This Row],[WW 2017]]+Tabel66892628[[#This Row],[VAT WW 2017]]+Tabel66892628[[#This Row],[Other ch. 2017]]+Tabel66892628[[#This Row],[VAT Other ch. 2017]]</f>
        <v>0</v>
      </c>
      <c r="T114" s="397"/>
      <c r="U114" s="892"/>
      <c r="V114" s="891"/>
      <c r="W114" s="889"/>
      <c r="X114" s="576"/>
      <c r="Y114" s="880"/>
      <c r="Z114" s="881"/>
      <c r="AA114" s="576"/>
      <c r="AB114" s="872"/>
      <c r="AC114" s="576"/>
      <c r="AD114" s="897"/>
      <c r="AE114" s="576"/>
      <c r="AF114" s="874"/>
      <c r="AG114" s="873"/>
      <c r="AH114" s="397"/>
      <c r="AI114" s="398"/>
      <c r="AJ114" s="398"/>
      <c r="AK114" s="398"/>
      <c r="AL114" s="398"/>
      <c r="AM114" s="398"/>
      <c r="AN114" s="398"/>
      <c r="AO114" s="398"/>
      <c r="AP114" s="397"/>
    </row>
    <row r="115" spans="1:42" ht="18" customHeight="1" x14ac:dyDescent="0.25">
      <c r="A115" s="1833" t="s">
        <v>466</v>
      </c>
      <c r="B115" s="299" t="s">
        <v>606</v>
      </c>
      <c r="C115" s="1048" t="s">
        <v>429</v>
      </c>
      <c r="D115" s="805" t="s">
        <v>1070</v>
      </c>
      <c r="E115" s="2039">
        <v>12800</v>
      </c>
      <c r="F115" s="307">
        <f>'exchange rates'!K28</f>
        <v>11241.536700000001</v>
      </c>
      <c r="G115" s="319">
        <f>0</f>
        <v>0</v>
      </c>
      <c r="H115" s="320">
        <f>466512/F115</f>
        <v>41.498952718804006</v>
      </c>
      <c r="I115" s="321">
        <v>0</v>
      </c>
      <c r="J115" s="559"/>
      <c r="K115" s="313">
        <f>Tabel66892628[[#This Row],[Fix.ch. 2017]]+Tabel66892628[[#This Row],[Var. ch. 2017]]+Tabel66892628[[#This Row],[Oth. ch. DW 2017]]+Tabel66892628[[#This Row],[VAT DW 2017]]</f>
        <v>41.498952718804006</v>
      </c>
      <c r="L115" s="322">
        <f>71496/F115</f>
        <v>6.3599845739951189</v>
      </c>
      <c r="M115" s="559"/>
      <c r="N115" s="323">
        <v>0</v>
      </c>
      <c r="O115" s="559"/>
      <c r="P115" s="324">
        <v>0</v>
      </c>
      <c r="Q115" s="559"/>
      <c r="R115" s="317">
        <f>Tabel66892628[[#This Row],[VAT DW 2017]]+Tabel66892628[[#This Row],[VAT Sew. 2017]]+Tabel66892628[[#This Row],[VAT WW 2017]]+Tabel66892628[[#This Row],[VAT Other ch. 2017]]</f>
        <v>0</v>
      </c>
      <c r="S115" s="318">
        <f>Tabel66892628[[#This Row],[Total. ch. DW 2017]]+Tabel66892628[[#This Row],[Sew. 2017]]+Tabel66892628[[#This Row],[VAT Sew. 2017]]+Tabel66892628[[#This Row],[WW 2017]]+Tabel66892628[[#This Row],[VAT WW 2017]]+Tabel66892628[[#This Row],[Other ch. 2017]]+Tabel66892628[[#This Row],[VAT Other ch. 2017]]</f>
        <v>47.858937292799126</v>
      </c>
      <c r="T115" s="397"/>
      <c r="U115" s="2041">
        <f>SUM(G115:G119)/5</f>
        <v>0</v>
      </c>
      <c r="V115" s="2043">
        <f>SUM(H115:H119)/5</f>
        <v>37.034153880403203</v>
      </c>
      <c r="W115" s="2045">
        <f>SUM(I115:I119)/5</f>
        <v>0</v>
      </c>
      <c r="X115" s="575"/>
      <c r="Y115" s="2047">
        <f>SUM(K115:K119)/5</f>
        <v>37.034153880403203</v>
      </c>
      <c r="Z115" s="2022">
        <f>SUM(L115:L119)/5</f>
        <v>6.3599845739951189</v>
      </c>
      <c r="AA115" s="575"/>
      <c r="AB115" s="2024">
        <f>SUM(N115:N119)/5</f>
        <v>0</v>
      </c>
      <c r="AC115" s="575"/>
      <c r="AD115" s="2033">
        <f>SUM(P115:P119)/5</f>
        <v>0</v>
      </c>
      <c r="AE115" s="575"/>
      <c r="AF115" s="2035">
        <f t="shared" ref="AF115:AG115" si="14">SUM(R115:R119)/5</f>
        <v>0</v>
      </c>
      <c r="AG115" s="2037">
        <f t="shared" si="14"/>
        <v>43.394138454398316</v>
      </c>
      <c r="AH115" s="397"/>
      <c r="AI115" s="398"/>
      <c r="AJ115" s="398"/>
      <c r="AK115" s="398"/>
      <c r="AL115" s="396" t="s">
        <v>429</v>
      </c>
      <c r="AM115" s="398"/>
      <c r="AN115" s="398"/>
      <c r="AO115" s="398"/>
      <c r="AP115" s="397"/>
    </row>
    <row r="116" spans="1:42" ht="18.75" x14ac:dyDescent="0.25">
      <c r="A116" s="1834"/>
      <c r="B116" s="298" t="s">
        <v>607</v>
      </c>
      <c r="C116" s="1048"/>
      <c r="D116" s="805" t="s">
        <v>1070</v>
      </c>
      <c r="E116" s="1837"/>
      <c r="F116" s="307">
        <f>'exchange rates'!K28</f>
        <v>11241.536700000001</v>
      </c>
      <c r="G116" s="319">
        <f>0</f>
        <v>0</v>
      </c>
      <c r="H116" s="320">
        <f>408600/F116</f>
        <v>36.347343864473615</v>
      </c>
      <c r="I116" s="321">
        <v>0</v>
      </c>
      <c r="J116" s="559"/>
      <c r="K116" s="313">
        <f>Tabel66892628[[#This Row],[Fix.ch. 2017]]+Tabel66892628[[#This Row],[Var. ch. 2017]]+Tabel66892628[[#This Row],[Oth. ch. DW 2017]]+Tabel66892628[[#This Row],[VAT DW 2017]]</f>
        <v>36.347343864473615</v>
      </c>
      <c r="L116" s="322">
        <f>71496/F116</f>
        <v>6.3599845739951189</v>
      </c>
      <c r="M116" s="559"/>
      <c r="N116" s="323">
        <v>0</v>
      </c>
      <c r="O116" s="559"/>
      <c r="P116" s="324">
        <v>0</v>
      </c>
      <c r="Q116" s="559"/>
      <c r="R116" s="317">
        <f>Tabel66892628[[#This Row],[VAT DW 2017]]+Tabel66892628[[#This Row],[VAT Sew. 2017]]+Tabel66892628[[#This Row],[VAT WW 2017]]+Tabel66892628[[#This Row],[VAT Other ch. 2017]]</f>
        <v>0</v>
      </c>
      <c r="S116" s="318">
        <f>Tabel66892628[[#This Row],[Total. ch. DW 2017]]+Tabel66892628[[#This Row],[Sew. 2017]]+Tabel66892628[[#This Row],[VAT Sew. 2017]]+Tabel66892628[[#This Row],[WW 2017]]+Tabel66892628[[#This Row],[VAT WW 2017]]+Tabel66892628[[#This Row],[Other ch. 2017]]+Tabel66892628[[#This Row],[VAT Other ch. 2017]]</f>
        <v>42.707328438468735</v>
      </c>
      <c r="T116" s="397"/>
      <c r="U116" s="1840"/>
      <c r="V116" s="1843"/>
      <c r="W116" s="1846"/>
      <c r="X116" s="576"/>
      <c r="Y116" s="1849"/>
      <c r="Z116" s="1852"/>
      <c r="AA116" s="576"/>
      <c r="AB116" s="1855"/>
      <c r="AC116" s="576"/>
      <c r="AD116" s="1858"/>
      <c r="AE116" s="576"/>
      <c r="AF116" s="1873"/>
      <c r="AG116" s="1876"/>
      <c r="AH116" s="397"/>
      <c r="AI116" s="398"/>
      <c r="AJ116" s="398"/>
      <c r="AK116" s="398"/>
      <c r="AL116" s="396" t="s">
        <v>429</v>
      </c>
      <c r="AM116" s="398"/>
      <c r="AN116" s="398"/>
      <c r="AO116" s="398"/>
      <c r="AP116" s="397"/>
    </row>
    <row r="117" spans="1:42" ht="18.75" x14ac:dyDescent="0.25">
      <c r="A117" s="1834"/>
      <c r="B117" s="298" t="s">
        <v>608</v>
      </c>
      <c r="C117" s="1048"/>
      <c r="D117" s="805" t="s">
        <v>1070</v>
      </c>
      <c r="E117" s="1837"/>
      <c r="F117" s="307">
        <f>'exchange rates'!K28</f>
        <v>11241.536700000001</v>
      </c>
      <c r="G117" s="319">
        <f>0</f>
        <v>0</v>
      </c>
      <c r="H117" s="320">
        <f>366780/F117</f>
        <v>32.62721190066479</v>
      </c>
      <c r="I117" s="321">
        <v>0</v>
      </c>
      <c r="J117" s="559"/>
      <c r="K117" s="313">
        <f>Tabel66892628[[#This Row],[Fix.ch. 2017]]+Tabel66892628[[#This Row],[Var. ch. 2017]]+Tabel66892628[[#This Row],[Oth. ch. DW 2017]]+Tabel66892628[[#This Row],[VAT DW 2017]]</f>
        <v>32.62721190066479</v>
      </c>
      <c r="L117" s="322">
        <f t="shared" ref="L117:L119" si="15">71496/F117</f>
        <v>6.3599845739951189</v>
      </c>
      <c r="M117" s="559"/>
      <c r="N117" s="323">
        <v>0</v>
      </c>
      <c r="O117" s="559"/>
      <c r="P117" s="324">
        <v>0</v>
      </c>
      <c r="Q117" s="559"/>
      <c r="R117" s="317">
        <f>Tabel66892628[[#This Row],[VAT DW 2017]]+Tabel66892628[[#This Row],[VAT Sew. 2017]]+Tabel66892628[[#This Row],[VAT WW 2017]]+Tabel66892628[[#This Row],[VAT Other ch. 2017]]</f>
        <v>0</v>
      </c>
      <c r="S117" s="318">
        <f>Tabel66892628[[#This Row],[Total. ch. DW 2017]]+Tabel66892628[[#This Row],[Sew. 2017]]+Tabel66892628[[#This Row],[VAT Sew. 2017]]+Tabel66892628[[#This Row],[WW 2017]]+Tabel66892628[[#This Row],[VAT WW 2017]]+Tabel66892628[[#This Row],[Other ch. 2017]]+Tabel66892628[[#This Row],[VAT Other ch. 2017]]</f>
        <v>38.98719647465991</v>
      </c>
      <c r="T117" s="397"/>
      <c r="U117" s="1840"/>
      <c r="V117" s="1843"/>
      <c r="W117" s="1846"/>
      <c r="X117" s="576"/>
      <c r="Y117" s="1849"/>
      <c r="Z117" s="1852"/>
      <c r="AA117" s="576"/>
      <c r="AB117" s="1855"/>
      <c r="AC117" s="576"/>
      <c r="AD117" s="1858"/>
      <c r="AE117" s="576"/>
      <c r="AF117" s="1873"/>
      <c r="AG117" s="1876"/>
      <c r="AH117" s="397"/>
      <c r="AI117" s="398"/>
      <c r="AJ117" s="398"/>
      <c r="AK117" s="398"/>
      <c r="AL117" s="396" t="s">
        <v>429</v>
      </c>
      <c r="AM117" s="398"/>
      <c r="AN117" s="398"/>
      <c r="AO117" s="398"/>
      <c r="AP117" s="397"/>
    </row>
    <row r="118" spans="1:42" ht="18.75" x14ac:dyDescent="0.25">
      <c r="A118" s="1834"/>
      <c r="B118" s="298" t="s">
        <v>609</v>
      </c>
      <c r="C118" s="1048"/>
      <c r="D118" s="805" t="s">
        <v>1070</v>
      </c>
      <c r="E118" s="1837"/>
      <c r="F118" s="307">
        <f>'exchange rates'!K28</f>
        <v>11241.536700000001</v>
      </c>
      <c r="G118" s="319">
        <f>0</f>
        <v>0</v>
      </c>
      <c r="H118" s="320">
        <f>418248/F118</f>
        <v>37.205589516956344</v>
      </c>
      <c r="I118" s="321">
        <v>0</v>
      </c>
      <c r="J118" s="559"/>
      <c r="K118" s="313">
        <f>Tabel66892628[[#This Row],[Fix.ch. 2017]]+Tabel66892628[[#This Row],[Var. ch. 2017]]+Tabel66892628[[#This Row],[Oth. ch. DW 2017]]+Tabel66892628[[#This Row],[VAT DW 2017]]</f>
        <v>37.205589516956344</v>
      </c>
      <c r="L118" s="322">
        <f t="shared" si="15"/>
        <v>6.3599845739951189</v>
      </c>
      <c r="M118" s="559"/>
      <c r="N118" s="323">
        <v>0</v>
      </c>
      <c r="O118" s="559"/>
      <c r="P118" s="324">
        <v>0</v>
      </c>
      <c r="Q118" s="559"/>
      <c r="R118" s="317">
        <f>Tabel66892628[[#This Row],[VAT DW 2017]]+Tabel66892628[[#This Row],[VAT Sew. 2017]]+Tabel66892628[[#This Row],[VAT WW 2017]]+Tabel66892628[[#This Row],[VAT Other ch. 2017]]</f>
        <v>0</v>
      </c>
      <c r="S118" s="318">
        <f>Tabel66892628[[#This Row],[Total. ch. DW 2017]]+Tabel66892628[[#This Row],[Sew. 2017]]+Tabel66892628[[#This Row],[VAT Sew. 2017]]+Tabel66892628[[#This Row],[WW 2017]]+Tabel66892628[[#This Row],[VAT WW 2017]]+Tabel66892628[[#This Row],[Other ch. 2017]]+Tabel66892628[[#This Row],[VAT Other ch. 2017]]</f>
        <v>43.565574090951465</v>
      </c>
      <c r="T118" s="397"/>
      <c r="U118" s="1840"/>
      <c r="V118" s="1843"/>
      <c r="W118" s="1846"/>
      <c r="X118" s="576"/>
      <c r="Y118" s="1849"/>
      <c r="Z118" s="1852"/>
      <c r="AA118" s="576"/>
      <c r="AB118" s="1855"/>
      <c r="AC118" s="576"/>
      <c r="AD118" s="1858"/>
      <c r="AE118" s="576"/>
      <c r="AF118" s="1873"/>
      <c r="AG118" s="1876"/>
      <c r="AH118" s="397"/>
      <c r="AI118" s="398"/>
      <c r="AJ118" s="398"/>
      <c r="AK118" s="398"/>
      <c r="AL118" s="396" t="s">
        <v>429</v>
      </c>
      <c r="AM118" s="398"/>
      <c r="AN118" s="398"/>
      <c r="AO118" s="398"/>
      <c r="AP118" s="397"/>
    </row>
    <row r="119" spans="1:42" ht="19.5" thickBot="1" x14ac:dyDescent="0.3">
      <c r="A119" s="1835"/>
      <c r="B119" s="293" t="s">
        <v>610</v>
      </c>
      <c r="C119" s="1048"/>
      <c r="D119" s="805" t="s">
        <v>1070</v>
      </c>
      <c r="E119" s="2040"/>
      <c r="F119" s="307">
        <f>'exchange rates'!K28</f>
        <v>11241.536700000001</v>
      </c>
      <c r="G119" s="319">
        <f>0</f>
        <v>0</v>
      </c>
      <c r="H119" s="320">
        <f>421464/F119</f>
        <v>37.491671401117252</v>
      </c>
      <c r="I119" s="321">
        <v>0</v>
      </c>
      <c r="J119" s="559"/>
      <c r="K119" s="313">
        <f>Tabel66892628[[#This Row],[Fix.ch. 2017]]+Tabel66892628[[#This Row],[Var. ch. 2017]]+Tabel66892628[[#This Row],[Oth. ch. DW 2017]]+Tabel66892628[[#This Row],[VAT DW 2017]]</f>
        <v>37.491671401117252</v>
      </c>
      <c r="L119" s="322">
        <f t="shared" si="15"/>
        <v>6.3599845739951189</v>
      </c>
      <c r="M119" s="559"/>
      <c r="N119" s="323">
        <v>0</v>
      </c>
      <c r="O119" s="559"/>
      <c r="P119" s="324">
        <v>0</v>
      </c>
      <c r="Q119" s="559"/>
      <c r="R119" s="317">
        <f>Tabel66892628[[#This Row],[VAT DW 2017]]+Tabel66892628[[#This Row],[VAT Sew. 2017]]+Tabel66892628[[#This Row],[VAT WW 2017]]+Tabel66892628[[#This Row],[VAT Other ch. 2017]]</f>
        <v>0</v>
      </c>
      <c r="S119" s="318">
        <f>Tabel66892628[[#This Row],[Total. ch. DW 2017]]+Tabel66892628[[#This Row],[Sew. 2017]]+Tabel66892628[[#This Row],[VAT Sew. 2017]]+Tabel66892628[[#This Row],[WW 2017]]+Tabel66892628[[#This Row],[VAT WW 2017]]+Tabel66892628[[#This Row],[Other ch. 2017]]+Tabel66892628[[#This Row],[VAT Other ch. 2017]]</f>
        <v>43.851655975112372</v>
      </c>
      <c r="T119" s="397"/>
      <c r="U119" s="2042"/>
      <c r="V119" s="2044"/>
      <c r="W119" s="2046"/>
      <c r="X119" s="577"/>
      <c r="Y119" s="2048"/>
      <c r="Z119" s="2023"/>
      <c r="AA119" s="577"/>
      <c r="AB119" s="2025"/>
      <c r="AC119" s="577"/>
      <c r="AD119" s="2034"/>
      <c r="AE119" s="577"/>
      <c r="AF119" s="2036"/>
      <c r="AG119" s="2038"/>
      <c r="AH119" s="397"/>
      <c r="AI119" s="398"/>
      <c r="AJ119" s="398"/>
      <c r="AK119" s="398"/>
      <c r="AL119" s="396" t="s">
        <v>429</v>
      </c>
      <c r="AM119" s="398"/>
      <c r="AN119" s="398"/>
      <c r="AO119" s="398"/>
      <c r="AP119" s="397"/>
    </row>
    <row r="120" spans="1:42" ht="19.5" thickBot="1" x14ac:dyDescent="0.35">
      <c r="A120" s="267" t="s">
        <v>16</v>
      </c>
      <c r="B120" s="296" t="s">
        <v>106</v>
      </c>
      <c r="C120" s="1048" t="s">
        <v>429</v>
      </c>
      <c r="D120" s="811" t="s">
        <v>1072</v>
      </c>
      <c r="E120" s="301">
        <v>34900</v>
      </c>
      <c r="F120" s="308">
        <f>'exchange rates'!K29</f>
        <v>3.4691000000000001</v>
      </c>
      <c r="G120" s="319">
        <v>0</v>
      </c>
      <c r="H120" s="320">
        <f>1632.16/F120</f>
        <v>470.48514023810213</v>
      </c>
      <c r="I120" s="321">
        <v>0</v>
      </c>
      <c r="J120" s="559"/>
      <c r="K120" s="313">
        <f>Tabel66892628[[#This Row],[Fix.ch. 2017]]+Tabel66892628[[#This Row],[Var. ch. 2017]]+Tabel66892628[[#This Row],[Oth. ch. DW 2017]]+Tabel66892628[[#This Row],[VAT DW 2017]]</f>
        <v>470.48514023810213</v>
      </c>
      <c r="L120" s="322">
        <v>0</v>
      </c>
      <c r="M120" s="559"/>
      <c r="N120" s="323">
        <v>0</v>
      </c>
      <c r="O120" s="559"/>
      <c r="P120" s="324">
        <v>0</v>
      </c>
      <c r="Q120" s="559"/>
      <c r="R120" s="317">
        <f>Tabel66892628[[#This Row],[VAT DW 2017]]+Tabel66892628[[#This Row],[VAT Sew. 2017]]+Tabel66892628[[#This Row],[VAT WW 2017]]+Tabel66892628[[#This Row],[VAT Other ch. 2017]]</f>
        <v>0</v>
      </c>
      <c r="S120" s="318">
        <f>Tabel66892628[[#This Row],[Total. ch. DW 2017]]+Tabel66892628[[#This Row],[Sew. 2017]]+Tabel66892628[[#This Row],[VAT Sew. 2017]]+Tabel66892628[[#This Row],[WW 2017]]+Tabel66892628[[#This Row],[VAT WW 2017]]+Tabel66892628[[#This Row],[Other ch. 2017]]+Tabel66892628[[#This Row],[VAT Other ch. 2017]]</f>
        <v>470.48514023810213</v>
      </c>
      <c r="T120" s="397"/>
      <c r="U120" s="331">
        <v>0</v>
      </c>
      <c r="V120" s="332">
        <f>Tabel66892628[[#This Row],[Var. ch. 2017]]</f>
        <v>470.48514023810213</v>
      </c>
      <c r="W120" s="333">
        <v>0</v>
      </c>
      <c r="X120" s="574"/>
      <c r="Y120" s="334">
        <f>Tabel66892628[[#This Row],[Total. ch. DW 2017]]</f>
        <v>470.48514023810213</v>
      </c>
      <c r="Z120" s="335">
        <v>0</v>
      </c>
      <c r="AA120" s="574"/>
      <c r="AB120" s="336">
        <v>0</v>
      </c>
      <c r="AC120" s="574"/>
      <c r="AD120" s="337">
        <v>0</v>
      </c>
      <c r="AE120" s="574"/>
      <c r="AF120" s="338">
        <f>Tabel66892628[[#This Row],[Total VAT 2017]]</f>
        <v>0</v>
      </c>
      <c r="AG120" s="339">
        <f>Tabel66892628[[#This Row],[total charge 2017]]</f>
        <v>470.48514023810213</v>
      </c>
      <c r="AH120" s="397"/>
      <c r="AI120" s="398"/>
      <c r="AJ120" s="398"/>
      <c r="AK120" s="398"/>
      <c r="AL120" s="396" t="s">
        <v>429</v>
      </c>
      <c r="AM120" s="398"/>
      <c r="AN120" s="398"/>
      <c r="AO120" s="398" t="s">
        <v>590</v>
      </c>
      <c r="AP120" s="397"/>
    </row>
    <row r="121" spans="1:42" ht="18" customHeight="1" x14ac:dyDescent="0.25">
      <c r="A121" s="1818" t="s">
        <v>17</v>
      </c>
      <c r="B121" s="546" t="s">
        <v>107</v>
      </c>
      <c r="C121" s="1046"/>
      <c r="D121" s="802" t="s">
        <v>1074</v>
      </c>
      <c r="E121" s="1966">
        <v>38000</v>
      </c>
      <c r="F121" s="616">
        <f>'exchange rates'!$O$30</f>
        <v>0.83301000000000003</v>
      </c>
      <c r="G121" s="549">
        <f>25.34/F121</f>
        <v>30.419802883518805</v>
      </c>
      <c r="H121" s="550">
        <f>220.98/F121</f>
        <v>265.27892822415095</v>
      </c>
      <c r="I121" s="551">
        <f>0.8/F121</f>
        <v>0.96037262457833639</v>
      </c>
      <c r="J121" s="560">
        <f>24.71/F121</f>
        <v>29.663509441663365</v>
      </c>
      <c r="K121" s="566">
        <f>Tabel66892628[[#This Row],[Fix.ch. 2017]]+Tabel66892628[[#This Row],[Var. ch. 2017]]+Tabel66892628[[#This Row],[Oth. ch. DW 2017]]+Tabel66892628[[#This Row],[VAT DW 2017]]</f>
        <v>326.32261317391146</v>
      </c>
      <c r="L121" s="567">
        <f>43.86/F121</f>
        <v>52.652429142507287</v>
      </c>
      <c r="M121" s="560">
        <f>4.39/F121</f>
        <v>5.2700447773736201</v>
      </c>
      <c r="N121" s="568">
        <f>118.19/F121</f>
        <v>141.88305062364196</v>
      </c>
      <c r="O121" s="560">
        <f>11.82/F121</f>
        <v>14.18950552814492</v>
      </c>
      <c r="P121" s="569">
        <f>1.6/F121</f>
        <v>1.9207452491566728</v>
      </c>
      <c r="Q121" s="560">
        <f>0.16/F121</f>
        <v>0.19207452491566729</v>
      </c>
      <c r="R121" s="570">
        <f>Tabel66892628[[#This Row],[VAT DW 2017]]+Tabel66892628[[#This Row],[VAT Sew. 2017]]+Tabel66892628[[#This Row],[VAT WW 2017]]+Tabel66892628[[#This Row],[VAT Other ch. 2017]]</f>
        <v>49.315134272097573</v>
      </c>
      <c r="S121" s="571">
        <f>Tabel66892628[[#This Row],[Total. ch. DW 2017]]+Tabel66892628[[#This Row],[Sew. 2017]]+Tabel66892628[[#This Row],[VAT Sew. 2017]]+Tabel66892628[[#This Row],[WW 2017]]+Tabel66892628[[#This Row],[VAT WW 2017]]+Tabel66892628[[#This Row],[Other ch. 2017]]+Tabel66892628[[#This Row],[VAT Other ch. 2017]]</f>
        <v>542.4304630196516</v>
      </c>
      <c r="T121" s="397"/>
      <c r="U121" s="1924">
        <f>MEDIAN(G121:G125)</f>
        <v>13.013049063036458</v>
      </c>
      <c r="V121" s="1925">
        <f>MEDIAN(H121:H125)</f>
        <v>180.92219781275136</v>
      </c>
      <c r="W121" s="1926">
        <f>MEDIAN(I121:I125)</f>
        <v>0.96037262457833639</v>
      </c>
      <c r="X121" s="1938">
        <f>MEDIAN(J121:J125)</f>
        <v>19.231461807181184</v>
      </c>
      <c r="Y121" s="1916">
        <f>SUM(U121:X125)</f>
        <v>214.12708130754731</v>
      </c>
      <c r="Z121" s="1917">
        <f t="shared" ref="Z121:AF121" si="16">MEDIAN(L121:L125)</f>
        <v>52.652429142507287</v>
      </c>
      <c r="AA121" s="1938">
        <f t="shared" si="16"/>
        <v>5.2700447773736201</v>
      </c>
      <c r="AB121" s="1907">
        <f t="shared" si="16"/>
        <v>141.88305062364196</v>
      </c>
      <c r="AC121" s="1938">
        <f t="shared" si="16"/>
        <v>14.18950552814492</v>
      </c>
      <c r="AD121" s="1931">
        <f t="shared" si="16"/>
        <v>1.9207452491566728</v>
      </c>
      <c r="AE121" s="1938">
        <f t="shared" si="16"/>
        <v>0.19207452491566729</v>
      </c>
      <c r="AF121" s="1932">
        <f t="shared" si="16"/>
        <v>36.506164391784012</v>
      </c>
      <c r="AG121" s="1831">
        <f>Y121+Z121+AA121+AB121+AC121+AD121+AE121</f>
        <v>430.23493115328745</v>
      </c>
      <c r="AH121" s="397"/>
      <c r="AI121" s="398"/>
      <c r="AJ121" s="398"/>
      <c r="AK121" s="398"/>
      <c r="AL121" s="591" t="s">
        <v>429</v>
      </c>
      <c r="AM121" s="591" t="s">
        <v>429</v>
      </c>
      <c r="AN121" s="398"/>
      <c r="AO121" s="398"/>
      <c r="AP121" s="397"/>
    </row>
    <row r="122" spans="1:42" ht="15.75" x14ac:dyDescent="0.25">
      <c r="A122" s="1819"/>
      <c r="B122" s="547" t="s">
        <v>108</v>
      </c>
      <c r="C122" s="1046"/>
      <c r="D122" s="802" t="s">
        <v>1074</v>
      </c>
      <c r="E122" s="1760"/>
      <c r="F122" s="616">
        <f>'exchange rates'!$O$30</f>
        <v>0.83301000000000003</v>
      </c>
      <c r="G122" s="549">
        <f>0.5/F122</f>
        <v>0.60023289036146021</v>
      </c>
      <c r="H122" s="550">
        <f>39.17/F122</f>
        <v>47.022244630916795</v>
      </c>
      <c r="I122" s="551">
        <f>0.8/F122</f>
        <v>0.96037262457833639</v>
      </c>
      <c r="J122" s="560">
        <f>4.05/F122</f>
        <v>4.861886411927828</v>
      </c>
      <c r="K122" s="566">
        <f>Tabel66892628[[#This Row],[Fix.ch. 2017]]+Tabel66892628[[#This Row],[Var. ch. 2017]]+Tabel66892628[[#This Row],[Oth. ch. DW 2017]]+Tabel66892628[[#This Row],[VAT DW 2017]]</f>
        <v>53.444736557784417</v>
      </c>
      <c r="L122" s="567">
        <f>27.85/F122</f>
        <v>33.432971993133336</v>
      </c>
      <c r="M122" s="560">
        <f>2.79/F122</f>
        <v>3.3492995282169482</v>
      </c>
      <c r="N122" s="568">
        <f>71.43/F122</f>
        <v>85.749270717038215</v>
      </c>
      <c r="O122" s="560">
        <f>7.14/F122</f>
        <v>8.5713256743616508</v>
      </c>
      <c r="P122" s="569">
        <f>1.6/F122</f>
        <v>1.9207452491566728</v>
      </c>
      <c r="Q122" s="560">
        <f>0.16/F122</f>
        <v>0.19207452491566729</v>
      </c>
      <c r="R122" s="570">
        <f>Tabel66892628[[#This Row],[VAT DW 2017]]+Tabel66892628[[#This Row],[VAT Sew. 2017]]+Tabel66892628[[#This Row],[VAT WW 2017]]+Tabel66892628[[#This Row],[VAT Other ch. 2017]]</f>
        <v>16.974586139422094</v>
      </c>
      <c r="S122" s="571">
        <f>Tabel66892628[[#This Row],[Total. ch. DW 2017]]+Tabel66892628[[#This Row],[Sew. 2017]]+Tabel66892628[[#This Row],[VAT Sew. 2017]]+Tabel66892628[[#This Row],[WW 2017]]+Tabel66892628[[#This Row],[VAT WW 2017]]+Tabel66892628[[#This Row],[Other ch. 2017]]+Tabel66892628[[#This Row],[VAT Other ch. 2017]]</f>
        <v>186.6604242446069</v>
      </c>
      <c r="T122" s="397"/>
      <c r="U122" s="1886"/>
      <c r="V122" s="1888"/>
      <c r="W122" s="1890"/>
      <c r="X122" s="1772"/>
      <c r="Y122" s="1892"/>
      <c r="Z122" s="1894"/>
      <c r="AA122" s="1772"/>
      <c r="AB122" s="1911"/>
      <c r="AC122" s="1772"/>
      <c r="AD122" s="1913"/>
      <c r="AE122" s="1772"/>
      <c r="AF122" s="1915"/>
      <c r="AG122" s="1832"/>
      <c r="AH122" s="397"/>
      <c r="AI122" s="398"/>
      <c r="AJ122" s="398"/>
      <c r="AK122" s="398"/>
      <c r="AL122" s="591" t="s">
        <v>429</v>
      </c>
      <c r="AM122" s="591" t="s">
        <v>429</v>
      </c>
      <c r="AN122" s="398"/>
      <c r="AO122" s="398"/>
      <c r="AP122" s="397"/>
    </row>
    <row r="123" spans="1:42" ht="15.75" x14ac:dyDescent="0.25">
      <c r="A123" s="1819"/>
      <c r="B123" s="547" t="s">
        <v>109</v>
      </c>
      <c r="C123" s="1046"/>
      <c r="D123" s="802" t="s">
        <v>1074</v>
      </c>
      <c r="E123" s="1760"/>
      <c r="F123" s="616">
        <f>'exchange rates'!$O$30</f>
        <v>0.83301000000000003</v>
      </c>
      <c r="G123" s="549">
        <f>10.84/F123</f>
        <v>13.013049063036458</v>
      </c>
      <c r="H123" s="550">
        <f>164.48/F123</f>
        <v>197.45261161330595</v>
      </c>
      <c r="I123" s="551">
        <f>0.8/F123</f>
        <v>0.96037262457833639</v>
      </c>
      <c r="J123" s="560">
        <f>17.61/F123</f>
        <v>21.140202398530629</v>
      </c>
      <c r="K123" s="566">
        <f>Tabel66892628[[#This Row],[Fix.ch. 2017]]+Tabel66892628[[#This Row],[Var. ch. 2017]]+Tabel66892628[[#This Row],[Oth. ch. DW 2017]]+Tabel66892628[[#This Row],[VAT DW 2017]]</f>
        <v>232.56623569945134</v>
      </c>
      <c r="L123" s="567">
        <f>23.25/F123</f>
        <v>27.910829401807902</v>
      </c>
      <c r="M123" s="560">
        <f>2.32/F123</f>
        <v>2.7850806112771753</v>
      </c>
      <c r="N123" s="568">
        <f>62.08/F123</f>
        <v>74.524915667278904</v>
      </c>
      <c r="O123" s="560">
        <f>6.21/F123</f>
        <v>7.4548924982893361</v>
      </c>
      <c r="P123" s="569">
        <f>1.6/F123</f>
        <v>1.9207452491566728</v>
      </c>
      <c r="Q123" s="560">
        <f>0.16/F123</f>
        <v>0.19207452491566729</v>
      </c>
      <c r="R123" s="570">
        <f>Tabel66892628[[#This Row],[VAT DW 2017]]+Tabel66892628[[#This Row],[VAT Sew. 2017]]+Tabel66892628[[#This Row],[VAT WW 2017]]+Tabel66892628[[#This Row],[VAT Other ch. 2017]]</f>
        <v>31.572250033012811</v>
      </c>
      <c r="S123" s="571">
        <f>Tabel66892628[[#This Row],[Total. ch. DW 2017]]+Tabel66892628[[#This Row],[Sew. 2017]]+Tabel66892628[[#This Row],[VAT Sew. 2017]]+Tabel66892628[[#This Row],[WW 2017]]+Tabel66892628[[#This Row],[VAT WW 2017]]+Tabel66892628[[#This Row],[Other ch. 2017]]+Tabel66892628[[#This Row],[VAT Other ch. 2017]]</f>
        <v>347.35477365217696</v>
      </c>
      <c r="T123" s="397"/>
      <c r="U123" s="1886"/>
      <c r="V123" s="1888"/>
      <c r="W123" s="1890"/>
      <c r="X123" s="1772"/>
      <c r="Y123" s="1892"/>
      <c r="Z123" s="1894"/>
      <c r="AA123" s="1772"/>
      <c r="AB123" s="1911"/>
      <c r="AC123" s="1772"/>
      <c r="AD123" s="1913"/>
      <c r="AE123" s="1772"/>
      <c r="AF123" s="1915"/>
      <c r="AG123" s="1832"/>
      <c r="AH123" s="397"/>
      <c r="AI123" s="398"/>
      <c r="AJ123" s="398"/>
      <c r="AK123" s="398"/>
      <c r="AL123" s="591" t="s">
        <v>429</v>
      </c>
      <c r="AM123" s="591" t="s">
        <v>429</v>
      </c>
      <c r="AN123" s="398"/>
      <c r="AO123" s="398"/>
      <c r="AP123" s="397"/>
    </row>
    <row r="124" spans="1:42" ht="15.75" x14ac:dyDescent="0.25">
      <c r="A124" s="1819"/>
      <c r="B124" s="547" t="s">
        <v>110</v>
      </c>
      <c r="C124" s="1046" t="s">
        <v>429</v>
      </c>
      <c r="D124" s="802" t="s">
        <v>1074</v>
      </c>
      <c r="E124" s="1760"/>
      <c r="F124" s="616">
        <f>'exchange rates'!$O$30</f>
        <v>0.83301000000000003</v>
      </c>
      <c r="G124" s="549">
        <f>18.35/F124</f>
        <v>22.028547076265593</v>
      </c>
      <c r="H124" s="550">
        <f>105.09/F124</f>
        <v>126.15694889617171</v>
      </c>
      <c r="I124" s="551">
        <f>0.8/F124</f>
        <v>0.96037262457833639</v>
      </c>
      <c r="J124" s="560">
        <f>12.42/F124</f>
        <v>14.909784996578672</v>
      </c>
      <c r="K124" s="566">
        <f>Tabel66892628[[#This Row],[Fix.ch. 2017]]+Tabel66892628[[#This Row],[Var. ch. 2017]]+Tabel66892628[[#This Row],[Oth. ch. DW 2017]]+Tabel66892628[[#This Row],[VAT DW 2017]]</f>
        <v>164.05565359359431</v>
      </c>
      <c r="L124" s="567">
        <f>45.82/F124</f>
        <v>55.005342072724218</v>
      </c>
      <c r="M124" s="560">
        <f>4.58/F124</f>
        <v>5.498133275710976</v>
      </c>
      <c r="N124" s="568">
        <f>132.55/F124</f>
        <v>159.12173923482311</v>
      </c>
      <c r="O124" s="560">
        <f>13.25/F124</f>
        <v>15.906171594578696</v>
      </c>
      <c r="P124" s="569">
        <f>1.6/F124</f>
        <v>1.9207452491566728</v>
      </c>
      <c r="Q124" s="560">
        <f>0.16/F124</f>
        <v>0.19207452491566729</v>
      </c>
      <c r="R124" s="570">
        <f>Tabel66892628[[#This Row],[VAT DW 2017]]+Tabel66892628[[#This Row],[VAT Sew. 2017]]+Tabel66892628[[#This Row],[VAT WW 2017]]+Tabel66892628[[#This Row],[VAT Other ch. 2017]]</f>
        <v>36.506164391784012</v>
      </c>
      <c r="S124" s="571">
        <f>Tabel66892628[[#This Row],[Total. ch. DW 2017]]+Tabel66892628[[#This Row],[Sew. 2017]]+Tabel66892628[[#This Row],[VAT Sew. 2017]]+Tabel66892628[[#This Row],[WW 2017]]+Tabel66892628[[#This Row],[VAT WW 2017]]+Tabel66892628[[#This Row],[Other ch. 2017]]+Tabel66892628[[#This Row],[VAT Other ch. 2017]]</f>
        <v>401.69985954550367</v>
      </c>
      <c r="T124" s="397"/>
      <c r="U124" s="1886"/>
      <c r="V124" s="1888"/>
      <c r="W124" s="1890"/>
      <c r="X124" s="1772"/>
      <c r="Y124" s="1892"/>
      <c r="Z124" s="1894"/>
      <c r="AA124" s="1772"/>
      <c r="AB124" s="1911"/>
      <c r="AC124" s="1772"/>
      <c r="AD124" s="1913"/>
      <c r="AE124" s="1772"/>
      <c r="AF124" s="1915"/>
      <c r="AG124" s="1832"/>
      <c r="AH124" s="397"/>
      <c r="AI124" s="398"/>
      <c r="AJ124" s="398"/>
      <c r="AK124" s="398"/>
      <c r="AL124" s="591" t="s">
        <v>429</v>
      </c>
      <c r="AM124" s="591" t="s">
        <v>429</v>
      </c>
      <c r="AN124" s="398"/>
      <c r="AO124" s="398"/>
      <c r="AP124" s="397"/>
    </row>
    <row r="125" spans="1:42" ht="16.5" thickBot="1" x14ac:dyDescent="0.3">
      <c r="A125" s="1820"/>
      <c r="B125" s="613" t="s">
        <v>111</v>
      </c>
      <c r="C125" s="1046"/>
      <c r="D125" s="807" t="s">
        <v>1074</v>
      </c>
      <c r="E125" s="1799"/>
      <c r="F125" s="616">
        <f>'exchange rates'!$O$30</f>
        <v>0.83301000000000003</v>
      </c>
      <c r="G125" s="549">
        <f>8.64/F125</f>
        <v>10.372024345446034</v>
      </c>
      <c r="H125" s="550">
        <f>150.71/F125</f>
        <v>180.92219781275136</v>
      </c>
      <c r="I125" s="551">
        <f>0.8/F125</f>
        <v>0.96037262457833639</v>
      </c>
      <c r="J125" s="560">
        <f>16.02/F125</f>
        <v>19.231461807181184</v>
      </c>
      <c r="K125" s="566">
        <f>Tabel66892628[[#This Row],[Fix.ch. 2017]]+Tabel66892628[[#This Row],[Var. ch. 2017]]+Tabel66892628[[#This Row],[Oth. ch. DW 2017]]+Tabel66892628[[#This Row],[VAT DW 2017]]</f>
        <v>211.48605658995689</v>
      </c>
      <c r="L125" s="567">
        <f>53.07/F125</f>
        <v>63.708718982965387</v>
      </c>
      <c r="M125" s="560">
        <f>5.31/F125</f>
        <v>6.3744732956387073</v>
      </c>
      <c r="N125" s="568">
        <f>141.5/F125</f>
        <v>169.86590797229326</v>
      </c>
      <c r="O125" s="560">
        <f>14.15/F125</f>
        <v>16.986590797229326</v>
      </c>
      <c r="P125" s="569">
        <f>1.6/F125</f>
        <v>1.9207452491566728</v>
      </c>
      <c r="Q125" s="560">
        <f>0.16/F125</f>
        <v>0.19207452491566729</v>
      </c>
      <c r="R125" s="570">
        <f>Tabel66892628[[#This Row],[VAT DW 2017]]+Tabel66892628[[#This Row],[VAT Sew. 2017]]+Tabel66892628[[#This Row],[VAT WW 2017]]+Tabel66892628[[#This Row],[VAT Other ch. 2017]]</f>
        <v>42.784600424964886</v>
      </c>
      <c r="S125" s="571">
        <f>Tabel66892628[[#This Row],[Total. ch. DW 2017]]+Tabel66892628[[#This Row],[Sew. 2017]]+Tabel66892628[[#This Row],[VAT Sew. 2017]]+Tabel66892628[[#This Row],[WW 2017]]+Tabel66892628[[#This Row],[VAT WW 2017]]+Tabel66892628[[#This Row],[Other ch. 2017]]+Tabel66892628[[#This Row],[VAT Other ch. 2017]]</f>
        <v>470.53456741215587</v>
      </c>
      <c r="T125" s="397"/>
      <c r="U125" s="1801"/>
      <c r="V125" s="1803"/>
      <c r="W125" s="1805"/>
      <c r="X125" s="1773"/>
      <c r="Y125" s="1807"/>
      <c r="Z125" s="1809"/>
      <c r="AA125" s="1773"/>
      <c r="AB125" s="1782"/>
      <c r="AC125" s="1773"/>
      <c r="AD125" s="1786"/>
      <c r="AE125" s="1773"/>
      <c r="AF125" s="1789"/>
      <c r="AG125" s="1792"/>
      <c r="AH125" s="397"/>
      <c r="AI125" s="398"/>
      <c r="AJ125" s="398"/>
      <c r="AK125" s="398"/>
      <c r="AL125" s="591" t="s">
        <v>429</v>
      </c>
      <c r="AM125" s="591" t="s">
        <v>429</v>
      </c>
      <c r="AN125" s="398"/>
      <c r="AO125" s="398"/>
      <c r="AP125" s="397"/>
    </row>
    <row r="126" spans="1:42" ht="18" customHeight="1" x14ac:dyDescent="0.25">
      <c r="A126" s="1818" t="s">
        <v>18</v>
      </c>
      <c r="B126" s="546" t="s">
        <v>112</v>
      </c>
      <c r="C126" s="1046"/>
      <c r="D126" s="802" t="s">
        <v>1076</v>
      </c>
      <c r="E126" s="1966">
        <v>42700</v>
      </c>
      <c r="F126" s="617">
        <f>'exchange rates'!$O$31</f>
        <v>112.66098</v>
      </c>
      <c r="G126" s="549">
        <f>7500/F126</f>
        <v>66.571407420741423</v>
      </c>
      <c r="H126" s="550">
        <f>11568/F126</f>
        <v>102.67973880575155</v>
      </c>
      <c r="I126" s="551">
        <f>0</f>
        <v>0</v>
      </c>
      <c r="J126" s="560">
        <f>1520/F126</f>
        <v>13.49180523727026</v>
      </c>
      <c r="K126" s="566">
        <f>Tabel66892628[[#This Row],[Fix.ch. 2017]]+Tabel66892628[[#This Row],[Var. ch. 2017]]+Tabel66892628[[#This Row],[Oth. ch. DW 2017]]+Tabel66892628[[#This Row],[VAT DW 2017]]</f>
        <v>182.74295146376323</v>
      </c>
      <c r="L126" s="567">
        <f>14496/F126</f>
        <v>128.66921626280902</v>
      </c>
      <c r="M126" s="560">
        <f>1156/F126</f>
        <v>10.260872930450278</v>
      </c>
      <c r="N126" s="568">
        <v>0</v>
      </c>
      <c r="O126" s="560">
        <v>0</v>
      </c>
      <c r="P126" s="569">
        <v>0</v>
      </c>
      <c r="Q126" s="560">
        <v>0</v>
      </c>
      <c r="R126" s="570">
        <f>Tabel66892628[[#This Row],[VAT DW 2017]]+Tabel66892628[[#This Row],[VAT Sew. 2017]]+Tabel66892628[[#This Row],[VAT WW 2017]]+Tabel66892628[[#This Row],[VAT Other ch. 2017]]</f>
        <v>23.752678167720539</v>
      </c>
      <c r="S126" s="571">
        <f>Tabel66892628[[#This Row],[Total. ch. DW 2017]]+Tabel66892628[[#This Row],[Sew. 2017]]+Tabel66892628[[#This Row],[VAT Sew. 2017]]+Tabel66892628[[#This Row],[WW 2017]]+Tabel66892628[[#This Row],[VAT WW 2017]]+Tabel66892628[[#This Row],[Other ch. 2017]]+Tabel66892628[[#This Row],[VAT Other ch. 2017]]</f>
        <v>321.67304065702251</v>
      </c>
      <c r="T126" s="397"/>
      <c r="U126" s="1800">
        <f>MEDIAN(G126:G133)</f>
        <v>90.537114092208327</v>
      </c>
      <c r="V126" s="1802">
        <f>MEDIAN(H126:H133)</f>
        <v>109.92270793312822</v>
      </c>
      <c r="W126" s="1804">
        <f>MEDIAN(I126:I133)</f>
        <v>0</v>
      </c>
      <c r="X126" s="1771">
        <f>MEDIAN(J126:J133)</f>
        <v>16.505270946515822</v>
      </c>
      <c r="Y126" s="1806">
        <f>SUM(U126:X133)</f>
        <v>216.96509297185239</v>
      </c>
      <c r="Z126" s="1808">
        <f t="shared" ref="Z126:AF126" si="17">MEDIAN(L126:L133)</f>
        <v>151.55202804023185</v>
      </c>
      <c r="AA126" s="1771">
        <f t="shared" si="17"/>
        <v>12.102681869090791</v>
      </c>
      <c r="AB126" s="1780">
        <f t="shared" si="17"/>
        <v>0</v>
      </c>
      <c r="AC126" s="1771">
        <f t="shared" si="17"/>
        <v>0</v>
      </c>
      <c r="AD126" s="1784">
        <f t="shared" si="17"/>
        <v>0</v>
      </c>
      <c r="AE126" s="1771">
        <f t="shared" si="17"/>
        <v>0</v>
      </c>
      <c r="AF126" s="1787">
        <f t="shared" si="17"/>
        <v>29.912752401053144</v>
      </c>
      <c r="AG126" s="1790">
        <f>Y126+Z126+AA126+AB126+AC126+AD126+AE126</f>
        <v>380.61980288117502</v>
      </c>
      <c r="AH126" s="397"/>
      <c r="AI126" s="591" t="s">
        <v>429</v>
      </c>
      <c r="AJ126" s="396"/>
      <c r="AK126" s="398"/>
      <c r="AL126" s="591" t="s">
        <v>429</v>
      </c>
      <c r="AM126" s="398"/>
      <c r="AN126" s="398"/>
      <c r="AO126" s="398"/>
      <c r="AP126" s="397"/>
    </row>
    <row r="127" spans="1:42" ht="15.75" x14ac:dyDescent="0.25">
      <c r="A127" s="1819"/>
      <c r="B127" s="547" t="s">
        <v>113</v>
      </c>
      <c r="C127" s="1046"/>
      <c r="D127" s="802" t="s">
        <v>1076</v>
      </c>
      <c r="E127" s="1967"/>
      <c r="F127" s="617">
        <f>'exchange rates'!$O$31</f>
        <v>112.66098</v>
      </c>
      <c r="G127" s="549">
        <f>10200/F127</f>
        <v>90.537114092208327</v>
      </c>
      <c r="H127" s="550">
        <f>8960/F127</f>
        <v>79.530641398645741</v>
      </c>
      <c r="I127" s="551">
        <v>0</v>
      </c>
      <c r="J127" s="560">
        <f>1528/F127</f>
        <v>13.562814738519052</v>
      </c>
      <c r="K127" s="566">
        <f>Tabel66892628[[#This Row],[Fix.ch. 2017]]+Tabel66892628[[#This Row],[Var. ch. 2017]]+Tabel66892628[[#This Row],[Oth. ch. DW 2017]]+Tabel66892628[[#This Row],[VAT DW 2017]]</f>
        <v>183.63057022937312</v>
      </c>
      <c r="L127" s="567">
        <f>11480/F127</f>
        <v>101.89863429201486</v>
      </c>
      <c r="M127" s="560">
        <f>916/F127</f>
        <v>8.1305878929865525</v>
      </c>
      <c r="N127" s="568">
        <v>0</v>
      </c>
      <c r="O127" s="560">
        <v>0</v>
      </c>
      <c r="P127" s="569">
        <v>0</v>
      </c>
      <c r="Q127" s="560">
        <v>0</v>
      </c>
      <c r="R127" s="570">
        <f>Tabel66892628[[#This Row],[VAT DW 2017]]+Tabel66892628[[#This Row],[VAT Sew. 2017]]+Tabel66892628[[#This Row],[VAT WW 2017]]+Tabel66892628[[#This Row],[VAT Other ch. 2017]]</f>
        <v>21.693402631505606</v>
      </c>
      <c r="S127" s="571">
        <f>Tabel66892628[[#This Row],[Total. ch. DW 2017]]+Tabel66892628[[#This Row],[Sew. 2017]]+Tabel66892628[[#This Row],[VAT Sew. 2017]]+Tabel66892628[[#This Row],[WW 2017]]+Tabel66892628[[#This Row],[VAT WW 2017]]+Tabel66892628[[#This Row],[Other ch. 2017]]+Tabel66892628[[#This Row],[VAT Other ch. 2017]]</f>
        <v>293.65979241437458</v>
      </c>
      <c r="T127" s="397"/>
      <c r="U127" s="1763"/>
      <c r="V127" s="1766"/>
      <c r="W127" s="1769"/>
      <c r="X127" s="1772"/>
      <c r="Y127" s="1775"/>
      <c r="Z127" s="1778"/>
      <c r="AA127" s="1772"/>
      <c r="AB127" s="1781"/>
      <c r="AC127" s="1772"/>
      <c r="AD127" s="1785"/>
      <c r="AE127" s="1772"/>
      <c r="AF127" s="1788"/>
      <c r="AG127" s="1791"/>
      <c r="AH127" s="397"/>
      <c r="AI127" s="591" t="s">
        <v>429</v>
      </c>
      <c r="AJ127" s="396"/>
      <c r="AK127" s="398"/>
      <c r="AL127" s="591" t="s">
        <v>429</v>
      </c>
      <c r="AM127" s="398"/>
      <c r="AN127" s="398"/>
      <c r="AO127" s="398"/>
      <c r="AP127" s="397"/>
    </row>
    <row r="128" spans="1:42" ht="15.75" x14ac:dyDescent="0.25">
      <c r="A128" s="1819"/>
      <c r="B128" s="547" t="s">
        <v>114</v>
      </c>
      <c r="C128" s="1046"/>
      <c r="D128" s="802" t="s">
        <v>1076</v>
      </c>
      <c r="E128" s="1967"/>
      <c r="F128" s="617">
        <f>'exchange rates'!$O$31</f>
        <v>112.66098</v>
      </c>
      <c r="G128" s="549">
        <f>9720/F128</f>
        <v>86.27654401728087</v>
      </c>
      <c r="H128" s="550">
        <f>10320/F128</f>
        <v>91.602256610940188</v>
      </c>
      <c r="I128" s="551">
        <v>0</v>
      </c>
      <c r="J128" s="560">
        <f>1601/F128</f>
        <v>14.210776437414268</v>
      </c>
      <c r="K128" s="566">
        <f>Tabel66892628[[#This Row],[Fix.ch. 2017]]+Tabel66892628[[#This Row],[Var. ch. 2017]]+Tabel66892628[[#This Row],[Oth. ch. DW 2017]]+Tabel66892628[[#This Row],[VAT DW 2017]]</f>
        <v>192.08957706563532</v>
      </c>
      <c r="L128" s="567">
        <f>18180/F128</f>
        <v>161.36909158787719</v>
      </c>
      <c r="M128" s="560">
        <f>1453/F128</f>
        <v>12.897100664311637</v>
      </c>
      <c r="N128" s="568">
        <v>0</v>
      </c>
      <c r="O128" s="560">
        <v>0</v>
      </c>
      <c r="P128" s="569">
        <v>0</v>
      </c>
      <c r="Q128" s="560">
        <v>0</v>
      </c>
      <c r="R128" s="570">
        <f>Tabel66892628[[#This Row],[VAT DW 2017]]+Tabel66892628[[#This Row],[VAT Sew. 2017]]+Tabel66892628[[#This Row],[VAT WW 2017]]+Tabel66892628[[#This Row],[VAT Other ch. 2017]]</f>
        <v>27.107877101725904</v>
      </c>
      <c r="S128" s="571">
        <f>Tabel66892628[[#This Row],[Total. ch. DW 2017]]+Tabel66892628[[#This Row],[Sew. 2017]]+Tabel66892628[[#This Row],[VAT Sew. 2017]]+Tabel66892628[[#This Row],[WW 2017]]+Tabel66892628[[#This Row],[VAT WW 2017]]+Tabel66892628[[#This Row],[Other ch. 2017]]+Tabel66892628[[#This Row],[VAT Other ch. 2017]]</f>
        <v>366.35576931782418</v>
      </c>
      <c r="T128" s="397"/>
      <c r="U128" s="1763"/>
      <c r="V128" s="1766"/>
      <c r="W128" s="1769"/>
      <c r="X128" s="1772"/>
      <c r="Y128" s="1775"/>
      <c r="Z128" s="1778"/>
      <c r="AA128" s="1772"/>
      <c r="AB128" s="1781"/>
      <c r="AC128" s="1772"/>
      <c r="AD128" s="1785"/>
      <c r="AE128" s="1772"/>
      <c r="AF128" s="1788"/>
      <c r="AG128" s="1791"/>
      <c r="AH128" s="397"/>
      <c r="AI128" s="591" t="s">
        <v>429</v>
      </c>
      <c r="AJ128" s="396"/>
      <c r="AK128" s="398"/>
      <c r="AL128" s="591" t="s">
        <v>429</v>
      </c>
      <c r="AM128" s="398"/>
      <c r="AN128" s="398"/>
      <c r="AO128" s="398"/>
      <c r="AP128" s="397"/>
    </row>
    <row r="129" spans="1:42" ht="15.75" x14ac:dyDescent="0.25">
      <c r="A129" s="1819"/>
      <c r="B129" s="547" t="s">
        <v>115</v>
      </c>
      <c r="C129" s="1046"/>
      <c r="D129" s="802" t="s">
        <v>1076</v>
      </c>
      <c r="E129" s="1967"/>
      <c r="F129" s="617">
        <f>'exchange rates'!$O$31</f>
        <v>112.66098</v>
      </c>
      <c r="G129" s="549">
        <f>10200/F129</f>
        <v>90.537114092208327</v>
      </c>
      <c r="H129" s="550">
        <f>13200/F129</f>
        <v>117.16567706050489</v>
      </c>
      <c r="I129" s="551">
        <v>0</v>
      </c>
      <c r="J129" s="560">
        <f>1871/F129</f>
        <v>16.607347104560958</v>
      </c>
      <c r="K129" s="566">
        <f>Tabel66892628[[#This Row],[Fix.ch. 2017]]+Tabel66892628[[#This Row],[Var. ch. 2017]]+Tabel66892628[[#This Row],[Oth. ch. DW 2017]]+Tabel66892628[[#This Row],[VAT DW 2017]]</f>
        <v>224.31013825727416</v>
      </c>
      <c r="L129" s="567">
        <f>21624/F129</f>
        <v>191.93868187548165</v>
      </c>
      <c r="M129" s="560">
        <f>1729/F129</f>
        <v>15.346928457394922</v>
      </c>
      <c r="N129" s="568">
        <v>0</v>
      </c>
      <c r="O129" s="560">
        <v>0</v>
      </c>
      <c r="P129" s="569">
        <v>0</v>
      </c>
      <c r="Q129" s="560">
        <v>0</v>
      </c>
      <c r="R129" s="570">
        <f>Tabel66892628[[#This Row],[VAT DW 2017]]+Tabel66892628[[#This Row],[VAT Sew. 2017]]+Tabel66892628[[#This Row],[VAT WW 2017]]+Tabel66892628[[#This Row],[VAT Other ch. 2017]]</f>
        <v>31.954275561955882</v>
      </c>
      <c r="S129" s="571">
        <f>Tabel66892628[[#This Row],[Total. ch. DW 2017]]+Tabel66892628[[#This Row],[Sew. 2017]]+Tabel66892628[[#This Row],[VAT Sew. 2017]]+Tabel66892628[[#This Row],[WW 2017]]+Tabel66892628[[#This Row],[VAT WW 2017]]+Tabel66892628[[#This Row],[Other ch. 2017]]+Tabel66892628[[#This Row],[VAT Other ch. 2017]]</f>
        <v>431.59574859015072</v>
      </c>
      <c r="T129" s="397"/>
      <c r="U129" s="1763"/>
      <c r="V129" s="1766"/>
      <c r="W129" s="1769"/>
      <c r="X129" s="1772"/>
      <c r="Y129" s="1775"/>
      <c r="Z129" s="1778"/>
      <c r="AA129" s="1772"/>
      <c r="AB129" s="1781"/>
      <c r="AC129" s="1772"/>
      <c r="AD129" s="1785"/>
      <c r="AE129" s="1772"/>
      <c r="AF129" s="1788"/>
      <c r="AG129" s="1791"/>
      <c r="AH129" s="397"/>
      <c r="AI129" s="591" t="s">
        <v>429</v>
      </c>
      <c r="AJ129" s="396"/>
      <c r="AK129" s="398"/>
      <c r="AL129" s="591" t="s">
        <v>429</v>
      </c>
      <c r="AM129" s="398"/>
      <c r="AN129" s="398"/>
      <c r="AO129" s="398"/>
      <c r="AP129" s="397"/>
    </row>
    <row r="130" spans="1:42" ht="15.75" x14ac:dyDescent="0.25">
      <c r="A130" s="1819"/>
      <c r="B130" s="547" t="s">
        <v>116</v>
      </c>
      <c r="C130" s="1046"/>
      <c r="D130" s="802" t="s">
        <v>1076</v>
      </c>
      <c r="E130" s="1967"/>
      <c r="F130" s="617">
        <f>'exchange rates'!$O$31</f>
        <v>112.66098</v>
      </c>
      <c r="G130" s="549">
        <f>15840/F130</f>
        <v>140.59881247260589</v>
      </c>
      <c r="H130" s="550">
        <f>16800/F130</f>
        <v>149.11995262246077</v>
      </c>
      <c r="I130" s="551">
        <v>0</v>
      </c>
      <c r="J130" s="560">
        <f>2602/F130</f>
        <v>23.095840281169224</v>
      </c>
      <c r="K130" s="566">
        <f>Tabel66892628[[#This Row],[Fix.ch. 2017]]+Tabel66892628[[#This Row],[Var. ch. 2017]]+Tabel66892628[[#This Row],[Oth. ch. DW 2017]]+Tabel66892628[[#This Row],[VAT DW 2017]]</f>
        <v>312.81460537623587</v>
      </c>
      <c r="L130" s="567">
        <f>12828/F130</f>
        <v>113.86373525243611</v>
      </c>
      <c r="M130" s="560">
        <f>1022/F130</f>
        <v>9.0714637845330302</v>
      </c>
      <c r="N130" s="568">
        <v>0</v>
      </c>
      <c r="O130" s="560">
        <v>0</v>
      </c>
      <c r="P130" s="569">
        <v>0</v>
      </c>
      <c r="Q130" s="560">
        <v>0</v>
      </c>
      <c r="R130" s="570">
        <f>Tabel66892628[[#This Row],[VAT DW 2017]]+Tabel66892628[[#This Row],[VAT Sew. 2017]]+Tabel66892628[[#This Row],[VAT WW 2017]]+Tabel66892628[[#This Row],[VAT Other ch. 2017]]</f>
        <v>32.167304065702254</v>
      </c>
      <c r="S130" s="571">
        <f>Tabel66892628[[#This Row],[Total. ch. DW 2017]]+Tabel66892628[[#This Row],[Sew. 2017]]+Tabel66892628[[#This Row],[VAT Sew. 2017]]+Tabel66892628[[#This Row],[WW 2017]]+Tabel66892628[[#This Row],[VAT WW 2017]]+Tabel66892628[[#This Row],[Other ch. 2017]]+Tabel66892628[[#This Row],[VAT Other ch. 2017]]</f>
        <v>435.74980441320503</v>
      </c>
      <c r="T130" s="397"/>
      <c r="U130" s="1763"/>
      <c r="V130" s="1766"/>
      <c r="W130" s="1769"/>
      <c r="X130" s="1772"/>
      <c r="Y130" s="1775"/>
      <c r="Z130" s="1778"/>
      <c r="AA130" s="1772"/>
      <c r="AB130" s="1781"/>
      <c r="AC130" s="1772"/>
      <c r="AD130" s="1785"/>
      <c r="AE130" s="1772"/>
      <c r="AF130" s="1788"/>
      <c r="AG130" s="1791"/>
      <c r="AH130" s="397"/>
      <c r="AI130" s="591" t="s">
        <v>429</v>
      </c>
      <c r="AJ130" s="396"/>
      <c r="AK130" s="398"/>
      <c r="AL130" s="591" t="s">
        <v>429</v>
      </c>
      <c r="AM130" s="398"/>
      <c r="AN130" s="398"/>
      <c r="AO130" s="398"/>
      <c r="AP130" s="397"/>
    </row>
    <row r="131" spans="1:42" ht="15.75" x14ac:dyDescent="0.25">
      <c r="A131" s="1819"/>
      <c r="B131" s="547" t="s">
        <v>117</v>
      </c>
      <c r="C131" s="1046"/>
      <c r="D131" s="802" t="s">
        <v>1076</v>
      </c>
      <c r="E131" s="1967"/>
      <c r="F131" s="617">
        <f>'exchange rates'!$O$31</f>
        <v>112.66098</v>
      </c>
      <c r="G131" s="549">
        <f>15000/F131</f>
        <v>133.14281484148285</v>
      </c>
      <c r="H131" s="550">
        <f>24252/F131</f>
        <v>215.26530303570945</v>
      </c>
      <c r="I131" s="551">
        <v>0</v>
      </c>
      <c r="J131" s="560">
        <f>3133/F131</f>
        <v>27.809095926557713</v>
      </c>
      <c r="K131" s="566">
        <f>Tabel66892628[[#This Row],[Fix.ch. 2017]]+Tabel66892628[[#This Row],[Var. ch. 2017]]+Tabel66892628[[#This Row],[Oth. ch. DW 2017]]+Tabel66892628[[#This Row],[VAT DW 2017]]</f>
        <v>376.21721380374998</v>
      </c>
      <c r="L131" s="567">
        <f>16668/F131</f>
        <v>147.94829585185573</v>
      </c>
      <c r="M131" s="560">
        <f>1331/F131</f>
        <v>11.814205770267577</v>
      </c>
      <c r="N131" s="568">
        <v>0</v>
      </c>
      <c r="O131" s="560">
        <v>0</v>
      </c>
      <c r="P131" s="569">
        <v>0</v>
      </c>
      <c r="Q131" s="560">
        <v>0</v>
      </c>
      <c r="R131" s="570">
        <f>Tabel66892628[[#This Row],[VAT DW 2017]]+Tabel66892628[[#This Row],[VAT Sew. 2017]]+Tabel66892628[[#This Row],[VAT WW 2017]]+Tabel66892628[[#This Row],[VAT Other ch. 2017]]</f>
        <v>39.623301696825294</v>
      </c>
      <c r="S131" s="571">
        <f>Tabel66892628[[#This Row],[Total. ch. DW 2017]]+Tabel66892628[[#This Row],[Sew. 2017]]+Tabel66892628[[#This Row],[VAT Sew. 2017]]+Tabel66892628[[#This Row],[WW 2017]]+Tabel66892628[[#This Row],[VAT WW 2017]]+Tabel66892628[[#This Row],[Other ch. 2017]]+Tabel66892628[[#This Row],[VAT Other ch. 2017]]</f>
        <v>535.97971542587334</v>
      </c>
      <c r="T131" s="397"/>
      <c r="U131" s="1763"/>
      <c r="V131" s="1766"/>
      <c r="W131" s="1769"/>
      <c r="X131" s="1772"/>
      <c r="Y131" s="1775"/>
      <c r="Z131" s="1778"/>
      <c r="AA131" s="1772"/>
      <c r="AB131" s="1781"/>
      <c r="AC131" s="1772"/>
      <c r="AD131" s="1785"/>
      <c r="AE131" s="1772"/>
      <c r="AF131" s="1788"/>
      <c r="AG131" s="1791"/>
      <c r="AH131" s="397"/>
      <c r="AI131" s="591" t="s">
        <v>429</v>
      </c>
      <c r="AJ131" s="396"/>
      <c r="AK131" s="398"/>
      <c r="AL131" s="591" t="s">
        <v>429</v>
      </c>
      <c r="AM131" s="398"/>
      <c r="AN131" s="398"/>
      <c r="AO131" s="398"/>
      <c r="AP131" s="397"/>
    </row>
    <row r="132" spans="1:42" ht="15.75" x14ac:dyDescent="0.25">
      <c r="A132" s="1819"/>
      <c r="B132" s="547" t="s">
        <v>118</v>
      </c>
      <c r="C132" s="1046" t="s">
        <v>429</v>
      </c>
      <c r="D132" s="802" t="s">
        <v>1076</v>
      </c>
      <c r="E132" s="1967"/>
      <c r="F132" s="617">
        <f>'exchange rates'!$O$31</f>
        <v>112.66098</v>
      </c>
      <c r="G132" s="549">
        <f>14040/F132</f>
        <v>124.62167469162793</v>
      </c>
      <c r="H132" s="550">
        <f>11560/F132</f>
        <v>102.60872930450277</v>
      </c>
      <c r="I132" s="551">
        <v>0</v>
      </c>
      <c r="J132" s="560">
        <f>2045/F132</f>
        <v>18.15180375672216</v>
      </c>
      <c r="K132" s="566">
        <f>Tabel66892628[[#This Row],[Fix.ch. 2017]]+Tabel66892628[[#This Row],[Var. ch. 2017]]+Tabel66892628[[#This Row],[Oth. ch. DW 2017]]+Tabel66892628[[#This Row],[VAT DW 2017]]</f>
        <v>245.38220775285285</v>
      </c>
      <c r="L132" s="567">
        <f>18160/F132</f>
        <v>161.1915678347552</v>
      </c>
      <c r="M132" s="560">
        <f>1451/F132</f>
        <v>12.87934828899944</v>
      </c>
      <c r="N132" s="568">
        <v>0</v>
      </c>
      <c r="O132" s="560">
        <v>0</v>
      </c>
      <c r="P132" s="569">
        <v>0</v>
      </c>
      <c r="Q132" s="560">
        <v>0</v>
      </c>
      <c r="R132" s="570">
        <f>Tabel66892628[[#This Row],[VAT DW 2017]]+Tabel66892628[[#This Row],[VAT Sew. 2017]]+Tabel66892628[[#This Row],[VAT WW 2017]]+Tabel66892628[[#This Row],[VAT Other ch. 2017]]</f>
        <v>31.031152045721598</v>
      </c>
      <c r="S132" s="571">
        <f>Tabel66892628[[#This Row],[Total. ch. DW 2017]]+Tabel66892628[[#This Row],[Sew. 2017]]+Tabel66892628[[#This Row],[VAT Sew. 2017]]+Tabel66892628[[#This Row],[WW 2017]]+Tabel66892628[[#This Row],[VAT WW 2017]]+Tabel66892628[[#This Row],[Other ch. 2017]]+Tabel66892628[[#This Row],[VAT Other ch. 2017]]</f>
        <v>419.45312387660749</v>
      </c>
      <c r="T132" s="397"/>
      <c r="U132" s="1763"/>
      <c r="V132" s="1766"/>
      <c r="W132" s="1769"/>
      <c r="X132" s="1772"/>
      <c r="Y132" s="1775"/>
      <c r="Z132" s="1778"/>
      <c r="AA132" s="1772"/>
      <c r="AB132" s="1781"/>
      <c r="AC132" s="1772"/>
      <c r="AD132" s="1785"/>
      <c r="AE132" s="1772"/>
      <c r="AF132" s="1788"/>
      <c r="AG132" s="1791"/>
      <c r="AH132" s="397"/>
      <c r="AI132" s="591" t="s">
        <v>429</v>
      </c>
      <c r="AJ132" s="396"/>
      <c r="AK132" s="398"/>
      <c r="AL132" s="591" t="s">
        <v>429</v>
      </c>
      <c r="AM132" s="398"/>
      <c r="AN132" s="398"/>
      <c r="AO132" s="398"/>
      <c r="AP132" s="397"/>
    </row>
    <row r="133" spans="1:42" ht="16.5" thickBot="1" x14ac:dyDescent="0.3">
      <c r="A133" s="1820"/>
      <c r="B133" s="613" t="s">
        <v>119</v>
      </c>
      <c r="C133" s="1046"/>
      <c r="D133" s="802" t="s">
        <v>1076</v>
      </c>
      <c r="E133" s="1799"/>
      <c r="F133" s="617">
        <f>'exchange rates'!$O$31</f>
        <v>112.66098</v>
      </c>
      <c r="G133" s="549">
        <f>9480/F133</f>
        <v>84.146258979817148</v>
      </c>
      <c r="H133" s="550">
        <f>13672/F133</f>
        <v>121.35523763418355</v>
      </c>
      <c r="I133" s="551">
        <v>0</v>
      </c>
      <c r="J133" s="560">
        <f>1848/F133</f>
        <v>16.403194788470685</v>
      </c>
      <c r="K133" s="566">
        <f>Tabel66892628[[#This Row],[Fix.ch. 2017]]+Tabel66892628[[#This Row],[Var. ch. 2017]]+Tabel66892628[[#This Row],[Oth. ch. DW 2017]]+Tabel66892628[[#This Row],[VAT DW 2017]]</f>
        <v>221.90469140247137</v>
      </c>
      <c r="L133" s="567">
        <f>17480/F133</f>
        <v>155.15576022860799</v>
      </c>
      <c r="M133" s="560">
        <f>1396/F133</f>
        <v>12.391157967914003</v>
      </c>
      <c r="N133" s="568">
        <v>0</v>
      </c>
      <c r="O133" s="560">
        <v>0</v>
      </c>
      <c r="P133" s="569">
        <v>0</v>
      </c>
      <c r="Q133" s="560">
        <v>0</v>
      </c>
      <c r="R133" s="570">
        <f>Tabel66892628[[#This Row],[VAT DW 2017]]+Tabel66892628[[#This Row],[VAT Sew. 2017]]+Tabel66892628[[#This Row],[VAT WW 2017]]+Tabel66892628[[#This Row],[VAT Other ch. 2017]]</f>
        <v>28.79435275638469</v>
      </c>
      <c r="S133" s="571">
        <f>Tabel66892628[[#This Row],[Total. ch. DW 2017]]+Tabel66892628[[#This Row],[Sew. 2017]]+Tabel66892628[[#This Row],[VAT Sew. 2017]]+Tabel66892628[[#This Row],[WW 2017]]+Tabel66892628[[#This Row],[VAT WW 2017]]+Tabel66892628[[#This Row],[Other ch. 2017]]+Tabel66892628[[#This Row],[VAT Other ch. 2017]]</f>
        <v>389.45160959899334</v>
      </c>
      <c r="T133" s="397"/>
      <c r="U133" s="1801"/>
      <c r="V133" s="1803"/>
      <c r="W133" s="1805"/>
      <c r="X133" s="1773"/>
      <c r="Y133" s="1807"/>
      <c r="Z133" s="1809"/>
      <c r="AA133" s="1773"/>
      <c r="AB133" s="1782"/>
      <c r="AC133" s="1773"/>
      <c r="AD133" s="1786"/>
      <c r="AE133" s="1773"/>
      <c r="AF133" s="1789"/>
      <c r="AG133" s="1792"/>
      <c r="AH133" s="397"/>
      <c r="AI133" s="591" t="s">
        <v>429</v>
      </c>
      <c r="AJ133" s="396"/>
      <c r="AK133" s="398"/>
      <c r="AL133" s="591" t="s">
        <v>429</v>
      </c>
      <c r="AM133" s="398"/>
      <c r="AN133" s="398"/>
      <c r="AO133" s="398"/>
      <c r="AP133" s="397"/>
    </row>
    <row r="134" spans="1:42" ht="19.5" thickBot="1" x14ac:dyDescent="0.3">
      <c r="A134" s="871" t="s">
        <v>742</v>
      </c>
      <c r="B134" s="260" t="s">
        <v>743</v>
      </c>
      <c r="C134" s="1049"/>
      <c r="D134" s="817" t="s">
        <v>1078</v>
      </c>
      <c r="E134" s="890">
        <v>3300</v>
      </c>
      <c r="F134" s="307">
        <f>'exchange rates'!M32</f>
        <v>102.86302000000001</v>
      </c>
      <c r="G134" s="319">
        <f>600/F134</f>
        <v>5.8330000421920332</v>
      </c>
      <c r="H134" s="320">
        <f>4603.08/F134</f>
        <v>44.749609723688842</v>
      </c>
      <c r="I134" s="321">
        <f>0</f>
        <v>0</v>
      </c>
      <c r="J134" s="559"/>
      <c r="K134" s="313">
        <f>Tabel66892628[[#This Row],[Fix.ch. 2017]]+Tabel66892628[[#This Row],[Var. ch. 2017]]+Tabel66892628[[#This Row],[Oth. ch. DW 2017]]+Tabel66892628[[#This Row],[VAT DW 2017]]</f>
        <v>50.582609765880875</v>
      </c>
      <c r="L134" s="322">
        <f>0</f>
        <v>0</v>
      </c>
      <c r="M134" s="559"/>
      <c r="N134" s="323">
        <f>3452.31/F134</f>
        <v>33.56220729276663</v>
      </c>
      <c r="O134" s="559"/>
      <c r="P134" s="324">
        <f>0</f>
        <v>0</v>
      </c>
      <c r="Q134" s="559"/>
      <c r="R134" s="317">
        <f>Tabel66892628[[#This Row],[VAT DW 2017]]+Tabel66892628[[#This Row],[VAT Sew. 2017]]+Tabel66892628[[#This Row],[VAT WW 2017]]+Tabel66892628[[#This Row],[VAT Other ch. 2017]]</f>
        <v>0</v>
      </c>
      <c r="S134" s="318">
        <f>Tabel66892628[[#This Row],[Total. ch. DW 2017]]+Tabel66892628[[#This Row],[Sew. 2017]]+Tabel66892628[[#This Row],[VAT Sew. 2017]]+Tabel66892628[[#This Row],[WW 2017]]+Tabel66892628[[#This Row],[VAT WW 2017]]+Tabel66892628[[#This Row],[Other ch. 2017]]+Tabel66892628[[#This Row],[VAT Other ch. 2017]]</f>
        <v>84.144817058647504</v>
      </c>
      <c r="T134" s="397"/>
      <c r="U134" s="892">
        <f>Tabel66892628[[#This Row],[Fix.ch. 2017]]</f>
        <v>5.8330000421920332</v>
      </c>
      <c r="V134" s="891">
        <f>Tabel66892628[[#This Row],[Var. ch. 2017]]</f>
        <v>44.749609723688842</v>
      </c>
      <c r="W134" s="889">
        <f>Tabel66892628[[#This Row],[Oth. ch. DW 2017]]</f>
        <v>0</v>
      </c>
      <c r="X134" s="576"/>
      <c r="Y134" s="880">
        <f>SUM(U134:W134)</f>
        <v>50.582609765880875</v>
      </c>
      <c r="Z134" s="881">
        <f>Tabel66892628[[#This Row],[Sew. 2017]]</f>
        <v>0</v>
      </c>
      <c r="AA134" s="576"/>
      <c r="AB134" s="872">
        <f>Tabel66892628[[#This Row],[WW 2017]]</f>
        <v>33.56220729276663</v>
      </c>
      <c r="AC134" s="576"/>
      <c r="AD134" s="897">
        <f>Tabel66892628[[#This Row],[Other ch. 2017]]</f>
        <v>0</v>
      </c>
      <c r="AE134" s="576"/>
      <c r="AF134" s="874">
        <f>Tabel66892628[[#This Row],[Total VAT 2017]]</f>
        <v>0</v>
      </c>
      <c r="AG134" s="873">
        <f>SUM(Y134:AF134)</f>
        <v>84.144817058647504</v>
      </c>
      <c r="AH134" s="397"/>
      <c r="AI134" s="396"/>
      <c r="AJ134" s="396" t="s">
        <v>429</v>
      </c>
      <c r="AK134" s="398"/>
      <c r="AL134" s="396" t="s">
        <v>429</v>
      </c>
      <c r="AM134" s="396" t="s">
        <v>429</v>
      </c>
      <c r="AN134" s="398"/>
      <c r="AO134" s="398" t="s">
        <v>745</v>
      </c>
      <c r="AP134" s="397"/>
    </row>
    <row r="135" spans="1:42" ht="18.75" customHeight="1" x14ac:dyDescent="0.25">
      <c r="A135" s="1833" t="s">
        <v>19</v>
      </c>
      <c r="B135" s="291" t="s">
        <v>120</v>
      </c>
      <c r="C135" s="1048"/>
      <c r="D135" s="805" t="s">
        <v>1080</v>
      </c>
      <c r="E135" s="2054">
        <v>18700</v>
      </c>
      <c r="F135" s="307">
        <v>2.6644800000000002</v>
      </c>
      <c r="G135" s="319">
        <f>39/F135</f>
        <v>14.637002341920374</v>
      </c>
      <c r="H135" s="320">
        <f>364/F135</f>
        <v>136.61202185792348</v>
      </c>
      <c r="I135" s="321">
        <v>0</v>
      </c>
      <c r="J135" s="559"/>
      <c r="K135" s="313">
        <f>Tabel66892628[[#This Row],[Fix.ch. 2017]]+Tabel66892628[[#This Row],[Var. ch. 2017]]+Tabel66892628[[#This Row],[Oth. ch. DW 2017]]+Tabel66892628[[#This Row],[VAT DW 2017]]</f>
        <v>151.24902419984386</v>
      </c>
      <c r="L135" s="322">
        <f>398/F135</f>
        <v>149.37248543805919</v>
      </c>
      <c r="M135" s="559"/>
      <c r="N135" s="323">
        <v>0</v>
      </c>
      <c r="O135" s="559"/>
      <c r="P135" s="324">
        <v>0</v>
      </c>
      <c r="Q135" s="559"/>
      <c r="R135" s="317">
        <f>Tabel66892628[[#This Row],[VAT DW 2017]]+Tabel66892628[[#This Row],[VAT Sew. 2017]]+Tabel66892628[[#This Row],[VAT WW 2017]]+Tabel66892628[[#This Row],[VAT Other ch. 2017]]</f>
        <v>0</v>
      </c>
      <c r="S135" s="318">
        <f>Tabel66892628[[#This Row],[Total. ch. DW 2017]]+Tabel66892628[[#This Row],[Sew. 2017]]+Tabel66892628[[#This Row],[VAT Sew. 2017]]+Tabel66892628[[#This Row],[WW 2017]]+Tabel66892628[[#This Row],[VAT WW 2017]]+Tabel66892628[[#This Row],[Other ch. 2017]]+Tabel66892628[[#This Row],[VAT Other ch. 2017]]</f>
        <v>300.62150963790305</v>
      </c>
      <c r="T135" s="397"/>
      <c r="U135" s="2057">
        <f>SUM(G135:G139)/5</f>
        <v>14.29472167177085</v>
      </c>
      <c r="V135" s="2059">
        <f>SUM(H135:H139)/5</f>
        <v>145.16903861166153</v>
      </c>
      <c r="W135" s="2061">
        <f>SUM(I135:I139)/5</f>
        <v>0</v>
      </c>
      <c r="X135" s="575"/>
      <c r="Y135" s="2063">
        <f>SUM(K135:K139)/5</f>
        <v>159.46376028343238</v>
      </c>
      <c r="Z135" s="2065">
        <f>SUM(L135:L139)/5</f>
        <v>181.19858283792709</v>
      </c>
      <c r="AA135" s="575"/>
      <c r="AB135" s="2067">
        <f>SUM(N135:N139)/5</f>
        <v>0</v>
      </c>
      <c r="AC135" s="575"/>
      <c r="AD135" s="2069">
        <f>SUM(P135:P139)/5</f>
        <v>0</v>
      </c>
      <c r="AE135" s="575"/>
      <c r="AF135" s="2071">
        <f t="shared" ref="AF135:AG135" si="18">SUM(R135:R139)/5</f>
        <v>0</v>
      </c>
      <c r="AG135" s="2049">
        <f t="shared" si="18"/>
        <v>340.66234312135947</v>
      </c>
      <c r="AH135" s="397"/>
      <c r="AI135" s="398"/>
      <c r="AJ135" s="398"/>
      <c r="AK135" s="398"/>
      <c r="AL135" s="398"/>
      <c r="AM135" s="396" t="s">
        <v>429</v>
      </c>
      <c r="AN135" s="398"/>
      <c r="AO135" s="398" t="s">
        <v>444</v>
      </c>
      <c r="AP135" s="397"/>
    </row>
    <row r="136" spans="1:42" ht="18.75" customHeight="1" x14ac:dyDescent="0.25">
      <c r="A136" s="1834"/>
      <c r="B136" s="269" t="s">
        <v>121</v>
      </c>
      <c r="C136" s="1048"/>
      <c r="D136" s="805" t="s">
        <v>1080</v>
      </c>
      <c r="E136" s="2055"/>
      <c r="F136" s="307">
        <v>2.6644800000000002</v>
      </c>
      <c r="G136" s="319">
        <f>47.04/F136</f>
        <v>17.65447667087011</v>
      </c>
      <c r="H136" s="320">
        <f>330/F136</f>
        <v>123.85155827778777</v>
      </c>
      <c r="I136" s="321">
        <v>0</v>
      </c>
      <c r="J136" s="559"/>
      <c r="K136" s="313">
        <f>Tabel66892628[[#This Row],[Fix.ch. 2017]]+Tabel66892628[[#This Row],[Var. ch. 2017]]+Tabel66892628[[#This Row],[Oth. ch. DW 2017]]+Tabel66892628[[#This Row],[VAT DW 2017]]</f>
        <v>141.50603494865788</v>
      </c>
      <c r="L136" s="322">
        <f>468/F136</f>
        <v>175.64402810304449</v>
      </c>
      <c r="M136" s="559"/>
      <c r="N136" s="323">
        <v>0</v>
      </c>
      <c r="O136" s="559"/>
      <c r="P136" s="324">
        <v>0</v>
      </c>
      <c r="Q136" s="559"/>
      <c r="R136" s="317">
        <f>Tabel66892628[[#This Row],[VAT DW 2017]]+Tabel66892628[[#This Row],[VAT Sew. 2017]]+Tabel66892628[[#This Row],[VAT WW 2017]]+Tabel66892628[[#This Row],[VAT Other ch. 2017]]</f>
        <v>0</v>
      </c>
      <c r="S136" s="318">
        <f>Tabel66892628[[#This Row],[Total. ch. DW 2017]]+Tabel66892628[[#This Row],[Sew. 2017]]+Tabel66892628[[#This Row],[VAT Sew. 2017]]+Tabel66892628[[#This Row],[WW 2017]]+Tabel66892628[[#This Row],[VAT WW 2017]]+Tabel66892628[[#This Row],[Other ch. 2017]]+Tabel66892628[[#This Row],[VAT Other ch. 2017]]</f>
        <v>317.15006305170238</v>
      </c>
      <c r="T136" s="397"/>
      <c r="U136" s="2058"/>
      <c r="V136" s="2060"/>
      <c r="W136" s="2062"/>
      <c r="X136" s="576"/>
      <c r="Y136" s="2064"/>
      <c r="Z136" s="2066"/>
      <c r="AA136" s="576"/>
      <c r="AB136" s="2068"/>
      <c r="AC136" s="576"/>
      <c r="AD136" s="2070"/>
      <c r="AE136" s="576"/>
      <c r="AF136" s="2072"/>
      <c r="AG136" s="2050"/>
      <c r="AH136" s="397"/>
      <c r="AI136" s="398"/>
      <c r="AJ136" s="398"/>
      <c r="AK136" s="398"/>
      <c r="AL136" s="398"/>
      <c r="AM136" s="396" t="s">
        <v>429</v>
      </c>
      <c r="AN136" s="398"/>
      <c r="AO136" s="398" t="s">
        <v>444</v>
      </c>
      <c r="AP136" s="397"/>
    </row>
    <row r="137" spans="1:42" ht="18.75" customHeight="1" x14ac:dyDescent="0.25">
      <c r="A137" s="1834"/>
      <c r="B137" s="269" t="s">
        <v>122</v>
      </c>
      <c r="C137" s="1048"/>
      <c r="D137" s="805" t="s">
        <v>1080</v>
      </c>
      <c r="E137" s="2055"/>
      <c r="F137" s="307">
        <v>2.6644800000000002</v>
      </c>
      <c r="G137" s="319">
        <f>30.84/F137</f>
        <v>11.574491082687803</v>
      </c>
      <c r="H137" s="320">
        <f>334/F137</f>
        <v>125.35278928721551</v>
      </c>
      <c r="I137" s="321">
        <v>0</v>
      </c>
      <c r="J137" s="559"/>
      <c r="K137" s="313">
        <f>Tabel66892628[[#This Row],[Fix.ch. 2017]]+Tabel66892628[[#This Row],[Var. ch. 2017]]+Tabel66892628[[#This Row],[Oth. ch. DW 2017]]+Tabel66892628[[#This Row],[VAT DW 2017]]</f>
        <v>136.92728036990331</v>
      </c>
      <c r="L137" s="322">
        <f>636/F137</f>
        <v>238.69573049900916</v>
      </c>
      <c r="M137" s="559"/>
      <c r="N137" s="323">
        <v>0</v>
      </c>
      <c r="O137" s="559"/>
      <c r="P137" s="324">
        <v>0</v>
      </c>
      <c r="Q137" s="559"/>
      <c r="R137" s="317">
        <f>Tabel66892628[[#This Row],[VAT DW 2017]]+Tabel66892628[[#This Row],[VAT Sew. 2017]]+Tabel66892628[[#This Row],[VAT WW 2017]]+Tabel66892628[[#This Row],[VAT Other ch. 2017]]</f>
        <v>0</v>
      </c>
      <c r="S137" s="318">
        <f>Tabel66892628[[#This Row],[Total. ch. DW 2017]]+Tabel66892628[[#This Row],[Sew. 2017]]+Tabel66892628[[#This Row],[VAT Sew. 2017]]+Tabel66892628[[#This Row],[WW 2017]]+Tabel66892628[[#This Row],[VAT WW 2017]]+Tabel66892628[[#This Row],[Other ch. 2017]]+Tabel66892628[[#This Row],[VAT Other ch. 2017]]</f>
        <v>375.6230108689125</v>
      </c>
      <c r="T137" s="397"/>
      <c r="U137" s="2058"/>
      <c r="V137" s="2060"/>
      <c r="W137" s="2062"/>
      <c r="X137" s="576"/>
      <c r="Y137" s="2064"/>
      <c r="Z137" s="2066"/>
      <c r="AA137" s="576"/>
      <c r="AB137" s="2068"/>
      <c r="AC137" s="576"/>
      <c r="AD137" s="2070"/>
      <c r="AE137" s="576"/>
      <c r="AF137" s="2072"/>
      <c r="AG137" s="2050"/>
      <c r="AH137" s="397"/>
      <c r="AI137" s="398"/>
      <c r="AJ137" s="398"/>
      <c r="AK137" s="398"/>
      <c r="AL137" s="398"/>
      <c r="AM137" s="396" t="s">
        <v>429</v>
      </c>
      <c r="AN137" s="398"/>
      <c r="AO137" s="398" t="s">
        <v>444</v>
      </c>
      <c r="AP137" s="397"/>
    </row>
    <row r="138" spans="1:42" ht="18.75" customHeight="1" x14ac:dyDescent="0.25">
      <c r="A138" s="1834"/>
      <c r="B138" s="269" t="s">
        <v>123</v>
      </c>
      <c r="C138" s="1048"/>
      <c r="D138" s="805" t="s">
        <v>1080</v>
      </c>
      <c r="E138" s="2055"/>
      <c r="F138" s="307">
        <v>2.6644800000000002</v>
      </c>
      <c r="G138" s="319">
        <f>34.68/F138</f>
        <v>13.015672851738424</v>
      </c>
      <c r="H138" s="320">
        <f>570/F138</f>
        <v>213.92541884345161</v>
      </c>
      <c r="I138" s="321">
        <v>0</v>
      </c>
      <c r="J138" s="559"/>
      <c r="K138" s="313">
        <f>Tabel66892628[[#This Row],[Fix.ch. 2017]]+Tabel66892628[[#This Row],[Var. ch. 2017]]+Tabel66892628[[#This Row],[Oth. ch. DW 2017]]+Tabel66892628[[#This Row],[VAT DW 2017]]</f>
        <v>226.94109169519004</v>
      </c>
      <c r="L138" s="322">
        <f>526/F138</f>
        <v>197.41187773974659</v>
      </c>
      <c r="M138" s="559"/>
      <c r="N138" s="323">
        <v>0</v>
      </c>
      <c r="O138" s="559"/>
      <c r="P138" s="324">
        <v>0</v>
      </c>
      <c r="Q138" s="559"/>
      <c r="R138" s="317">
        <f>Tabel66892628[[#This Row],[VAT DW 2017]]+Tabel66892628[[#This Row],[VAT Sew. 2017]]+Tabel66892628[[#This Row],[VAT WW 2017]]+Tabel66892628[[#This Row],[VAT Other ch. 2017]]</f>
        <v>0</v>
      </c>
      <c r="S138" s="318">
        <f>Tabel66892628[[#This Row],[Total. ch. DW 2017]]+Tabel66892628[[#This Row],[Sew. 2017]]+Tabel66892628[[#This Row],[VAT Sew. 2017]]+Tabel66892628[[#This Row],[WW 2017]]+Tabel66892628[[#This Row],[VAT WW 2017]]+Tabel66892628[[#This Row],[Other ch. 2017]]+Tabel66892628[[#This Row],[VAT Other ch. 2017]]</f>
        <v>424.35296943493665</v>
      </c>
      <c r="T138" s="397"/>
      <c r="U138" s="2058"/>
      <c r="V138" s="2060"/>
      <c r="W138" s="2062"/>
      <c r="X138" s="576"/>
      <c r="Y138" s="2064"/>
      <c r="Z138" s="2066"/>
      <c r="AA138" s="576"/>
      <c r="AB138" s="2068"/>
      <c r="AC138" s="576"/>
      <c r="AD138" s="2070"/>
      <c r="AE138" s="576"/>
      <c r="AF138" s="2072"/>
      <c r="AG138" s="2050"/>
      <c r="AH138" s="397"/>
      <c r="AI138" s="398"/>
      <c r="AJ138" s="398"/>
      <c r="AK138" s="398"/>
      <c r="AL138" s="398"/>
      <c r="AM138" s="396" t="s">
        <v>429</v>
      </c>
      <c r="AN138" s="398"/>
      <c r="AO138" s="398" t="s">
        <v>444</v>
      </c>
      <c r="AP138" s="397"/>
    </row>
    <row r="139" spans="1:42" ht="19.5" customHeight="1" thickBot="1" x14ac:dyDescent="0.3">
      <c r="A139" s="1835"/>
      <c r="B139" s="290" t="s">
        <v>124</v>
      </c>
      <c r="C139" s="1048" t="s">
        <v>429</v>
      </c>
      <c r="D139" s="805" t="s">
        <v>1080</v>
      </c>
      <c r="E139" s="2056"/>
      <c r="F139" s="307">
        <v>2.6644800000000002</v>
      </c>
      <c r="G139" s="319">
        <f>38.88/F139</f>
        <v>14.591965411637542</v>
      </c>
      <c r="H139" s="320">
        <f>336/F139</f>
        <v>126.10340479192938</v>
      </c>
      <c r="I139" s="321">
        <v>0</v>
      </c>
      <c r="J139" s="559"/>
      <c r="K139" s="313">
        <f>Tabel66892628[[#This Row],[Fix.ch. 2017]]+Tabel66892628[[#This Row],[Var. ch. 2017]]+Tabel66892628[[#This Row],[Oth. ch. DW 2017]]+Tabel66892628[[#This Row],[VAT DW 2017]]</f>
        <v>140.69537020356691</v>
      </c>
      <c r="L139" s="322">
        <f>386/F139</f>
        <v>144.86879240977601</v>
      </c>
      <c r="M139" s="559"/>
      <c r="N139" s="323">
        <v>0</v>
      </c>
      <c r="O139" s="559"/>
      <c r="P139" s="324">
        <v>0</v>
      </c>
      <c r="Q139" s="559"/>
      <c r="R139" s="317">
        <f>Tabel66892628[[#This Row],[VAT DW 2017]]+Tabel66892628[[#This Row],[VAT Sew. 2017]]+Tabel66892628[[#This Row],[VAT WW 2017]]+Tabel66892628[[#This Row],[VAT Other ch. 2017]]</f>
        <v>0</v>
      </c>
      <c r="S139" s="318">
        <f>Tabel66892628[[#This Row],[Total. ch. DW 2017]]+Tabel66892628[[#This Row],[Sew. 2017]]+Tabel66892628[[#This Row],[VAT Sew. 2017]]+Tabel66892628[[#This Row],[WW 2017]]+Tabel66892628[[#This Row],[VAT WW 2017]]+Tabel66892628[[#This Row],[Other ch. 2017]]+Tabel66892628[[#This Row],[VAT Other ch. 2017]]</f>
        <v>285.56416261334289</v>
      </c>
      <c r="T139" s="397"/>
      <c r="U139" s="1841"/>
      <c r="V139" s="1844"/>
      <c r="W139" s="1847"/>
      <c r="X139" s="577"/>
      <c r="Y139" s="1850"/>
      <c r="Z139" s="1853"/>
      <c r="AA139" s="577"/>
      <c r="AB139" s="1856"/>
      <c r="AC139" s="577"/>
      <c r="AD139" s="1859"/>
      <c r="AE139" s="577"/>
      <c r="AF139" s="1874"/>
      <c r="AG139" s="2051"/>
      <c r="AH139" s="397"/>
      <c r="AI139" s="398"/>
      <c r="AJ139" s="398"/>
      <c r="AK139" s="398"/>
      <c r="AL139" s="398"/>
      <c r="AM139" s="396" t="s">
        <v>429</v>
      </c>
      <c r="AN139" s="398"/>
      <c r="AO139" s="398" t="s">
        <v>444</v>
      </c>
      <c r="AP139" s="397"/>
    </row>
    <row r="140" spans="1:42" ht="16.5" thickBot="1" x14ac:dyDescent="0.3">
      <c r="A140" s="270" t="s">
        <v>50</v>
      </c>
      <c r="B140" s="297"/>
      <c r="C140" s="1050"/>
      <c r="D140" s="817" t="s">
        <v>1082</v>
      </c>
      <c r="E140" s="303"/>
      <c r="F140" s="309"/>
      <c r="G140" s="325"/>
      <c r="H140" s="326"/>
      <c r="I140" s="327"/>
      <c r="J140" s="561"/>
      <c r="K140" s="313">
        <f>Tabel66892628[[#This Row],[Fix.ch. 2017]]+Tabel66892628[[#This Row],[Var. ch. 2017]]+Tabel66892628[[#This Row],[Oth. ch. DW 2017]]+Tabel66892628[[#This Row],[VAT DW 2017]]</f>
        <v>0</v>
      </c>
      <c r="L140" s="328"/>
      <c r="M140" s="561"/>
      <c r="N140" s="329"/>
      <c r="O140" s="561"/>
      <c r="P140" s="330"/>
      <c r="Q140" s="561"/>
      <c r="R140" s="317">
        <f>Tabel66892628[[#This Row],[VAT DW 2017]]+Tabel66892628[[#This Row],[VAT Sew. 2017]]+Tabel66892628[[#This Row],[VAT WW 2017]]+Tabel66892628[[#This Row],[VAT Other ch. 2017]]</f>
        <v>0</v>
      </c>
      <c r="S140" s="318">
        <f>Tabel66892628[[#This Row],[Total. ch. DW 2017]]+Tabel66892628[[#This Row],[Sew. 2017]]+Tabel66892628[[#This Row],[VAT Sew. 2017]]+Tabel66892628[[#This Row],[WW 2017]]+Tabel66892628[[#This Row],[VAT WW 2017]]+Tabel66892628[[#This Row],[Other ch. 2017]]+Tabel66892628[[#This Row],[VAT Other ch. 2017]]</f>
        <v>0</v>
      </c>
      <c r="T140" s="397"/>
      <c r="U140" s="349"/>
      <c r="V140" s="350"/>
      <c r="W140" s="351"/>
      <c r="X140" s="582"/>
      <c r="Y140" s="352"/>
      <c r="Z140" s="353"/>
      <c r="AA140" s="582"/>
      <c r="AB140" s="354"/>
      <c r="AC140" s="582"/>
      <c r="AD140" s="355"/>
      <c r="AE140" s="582"/>
      <c r="AF140" s="356"/>
      <c r="AG140" s="357"/>
      <c r="AH140" s="397"/>
      <c r="AI140" s="398"/>
      <c r="AJ140" s="398"/>
      <c r="AK140" s="398"/>
      <c r="AL140" s="398"/>
      <c r="AM140" s="398"/>
      <c r="AN140" s="398"/>
      <c r="AO140" s="398"/>
      <c r="AP140" s="397"/>
    </row>
    <row r="141" spans="1:42" ht="19.5" thickBot="1" x14ac:dyDescent="0.35">
      <c r="A141" s="695" t="s">
        <v>586</v>
      </c>
      <c r="B141" s="813" t="s">
        <v>587</v>
      </c>
      <c r="C141" s="760"/>
      <c r="D141" s="812" t="s">
        <v>1084</v>
      </c>
      <c r="E141" s="697">
        <v>114400</v>
      </c>
      <c r="F141" s="616">
        <f>'exchange rates'!O37</f>
        <v>8.0445100000000007</v>
      </c>
      <c r="G141" s="549">
        <f>0</f>
        <v>0</v>
      </c>
      <c r="H141" s="550">
        <f>5476.02/F141</f>
        <v>680.71517096752939</v>
      </c>
      <c r="I141" s="551">
        <v>0</v>
      </c>
      <c r="J141" s="560">
        <v>0</v>
      </c>
      <c r="K141" s="566">
        <f>Tabel66892628[[#This Row],[Fix.ch. 2017]]+Tabel66892628[[#This Row],[Var. ch. 2017]]+Tabel66892628[[#This Row],[Oth. ch. DW 2017]]+Tabel66892628[[#This Row],[VAT DW 2017]]</f>
        <v>680.71517096752939</v>
      </c>
      <c r="L141" s="567">
        <v>0</v>
      </c>
      <c r="M141" s="560">
        <v>0</v>
      </c>
      <c r="N141" s="568">
        <v>0</v>
      </c>
      <c r="O141" s="560">
        <v>0</v>
      </c>
      <c r="P141" s="569">
        <v>0</v>
      </c>
      <c r="Q141" s="560">
        <v>0</v>
      </c>
      <c r="R141" s="570">
        <f>Tabel66892628[[#This Row],[VAT DW 2017]]+Tabel66892628[[#This Row],[VAT Sew. 2017]]+Tabel66892628[[#This Row],[VAT WW 2017]]+Tabel66892628[[#This Row],[VAT Other ch. 2017]]</f>
        <v>0</v>
      </c>
      <c r="S141" s="571">
        <f>Tabel66892628[[#This Row],[Total. ch. DW 2017]]+Tabel66892628[[#This Row],[Sew. 2017]]+Tabel66892628[[#This Row],[VAT Sew. 2017]]+Tabel66892628[[#This Row],[WW 2017]]+Tabel66892628[[#This Row],[VAT WW 2017]]+Tabel66892628[[#This Row],[Other ch. 2017]]+Tabel66892628[[#This Row],[VAT Other ch. 2017]]</f>
        <v>680.71517096752939</v>
      </c>
      <c r="T141" s="397"/>
      <c r="U141" s="672">
        <v>0</v>
      </c>
      <c r="V141" s="673">
        <f>Tabel66892628[[#This Row],[Var. ch. 2017]]</f>
        <v>680.71517096752939</v>
      </c>
      <c r="W141" s="674">
        <v>0</v>
      </c>
      <c r="X141" s="675">
        <v>0</v>
      </c>
      <c r="Y141" s="676">
        <f>Tabel66892628[[#This Row],[Total. ch. DW 2017]]</f>
        <v>680.71517096752939</v>
      </c>
      <c r="Z141" s="677">
        <v>0</v>
      </c>
      <c r="AA141" s="675">
        <v>0</v>
      </c>
      <c r="AB141" s="678">
        <v>0</v>
      </c>
      <c r="AC141" s="675">
        <v>0</v>
      </c>
      <c r="AD141" s="679">
        <v>0</v>
      </c>
      <c r="AE141" s="675">
        <v>0</v>
      </c>
      <c r="AF141" s="680">
        <v>0</v>
      </c>
      <c r="AG141" s="681">
        <f>Tabel66892628[[#This Row],[total charge 2017]]</f>
        <v>680.71517096752939</v>
      </c>
      <c r="AH141" s="397"/>
      <c r="AI141" s="398"/>
      <c r="AJ141" s="396"/>
      <c r="AK141" s="398"/>
      <c r="AL141" s="591" t="s">
        <v>429</v>
      </c>
      <c r="AM141" s="398"/>
      <c r="AN141" s="398"/>
      <c r="AO141" s="398"/>
      <c r="AP141" s="397"/>
    </row>
    <row r="142" spans="1:42" ht="19.5" thickBot="1" x14ac:dyDescent="0.35">
      <c r="A142" s="267" t="s">
        <v>36</v>
      </c>
      <c r="B142" s="457" t="s">
        <v>181</v>
      </c>
      <c r="C142" s="457"/>
      <c r="D142" s="808" t="s">
        <v>1086</v>
      </c>
      <c r="E142" s="301">
        <v>900</v>
      </c>
      <c r="F142" s="306">
        <v>163.83132000000001</v>
      </c>
      <c r="G142" s="319">
        <f>363/F142</f>
        <v>2.2156935560306783</v>
      </c>
      <c r="H142" s="320">
        <f>(124*200)/F142</f>
        <v>151.37520713377637</v>
      </c>
      <c r="I142" s="321">
        <v>0</v>
      </c>
      <c r="J142" s="559"/>
      <c r="K142" s="313">
        <f>Tabel66892628[[#This Row],[Fix.ch. 2017]]+Tabel66892628[[#This Row],[Var. ch. 2017]]+Tabel66892628[[#This Row],[Oth. ch. DW 2017]]+Tabel66892628[[#This Row],[VAT DW 2017]]</f>
        <v>153.59090068980706</v>
      </c>
      <c r="L142" s="322">
        <v>0</v>
      </c>
      <c r="M142" s="559"/>
      <c r="N142" s="323">
        <v>0</v>
      </c>
      <c r="O142" s="559"/>
      <c r="P142" s="324">
        <v>0</v>
      </c>
      <c r="Q142" s="559"/>
      <c r="R142" s="317">
        <f>Tabel66892628[[#This Row],[VAT DW 2017]]+Tabel66892628[[#This Row],[VAT Sew. 2017]]+Tabel66892628[[#This Row],[VAT WW 2017]]+Tabel66892628[[#This Row],[VAT Other ch. 2017]]</f>
        <v>0</v>
      </c>
      <c r="S142" s="318">
        <f>Tabel66892628[[#This Row],[Total. ch. DW 2017]]+Tabel66892628[[#This Row],[Sew. 2017]]+Tabel66892628[[#This Row],[VAT Sew. 2017]]+Tabel66892628[[#This Row],[WW 2017]]+Tabel66892628[[#This Row],[VAT WW 2017]]+Tabel66892628[[#This Row],[Other ch. 2017]]+Tabel66892628[[#This Row],[VAT Other ch. 2017]]</f>
        <v>153.59090068980706</v>
      </c>
      <c r="T142" s="397"/>
      <c r="U142" s="331">
        <f>Tabel66892628[[#This Row],[Fix.ch. 2017]]</f>
        <v>2.2156935560306783</v>
      </c>
      <c r="V142" s="332">
        <f>Tabel66892628[[#This Row],[Var. ch. 2017]]</f>
        <v>151.37520713377637</v>
      </c>
      <c r="W142" s="333">
        <v>0</v>
      </c>
      <c r="X142" s="574"/>
      <c r="Y142" s="334">
        <v>0</v>
      </c>
      <c r="Z142" s="335">
        <v>0</v>
      </c>
      <c r="AA142" s="574"/>
      <c r="AB142" s="336">
        <v>0</v>
      </c>
      <c r="AC142" s="574"/>
      <c r="AD142" s="337">
        <v>0</v>
      </c>
      <c r="AE142" s="574"/>
      <c r="AF142" s="338">
        <v>0</v>
      </c>
      <c r="AG142" s="339">
        <f>Tabel66892628[[#This Row],[total charge 2017]]</f>
        <v>153.59090068980706</v>
      </c>
      <c r="AH142" s="397"/>
      <c r="AI142" s="398"/>
      <c r="AJ142" s="398"/>
      <c r="AK142" s="398"/>
      <c r="AL142" s="396" t="s">
        <v>429</v>
      </c>
      <c r="AM142" s="396" t="s">
        <v>429</v>
      </c>
      <c r="AN142" s="398"/>
      <c r="AO142" s="398"/>
      <c r="AP142" s="397"/>
    </row>
    <row r="143" spans="1:42" ht="19.5" thickBot="1" x14ac:dyDescent="0.35">
      <c r="A143" s="669" t="s">
        <v>774</v>
      </c>
      <c r="B143" s="776" t="s">
        <v>775</v>
      </c>
      <c r="C143" s="776"/>
      <c r="D143" s="818" t="s">
        <v>1088</v>
      </c>
      <c r="E143" s="671">
        <v>42500</v>
      </c>
      <c r="F143" s="616">
        <f>'exchange rates'!O39</f>
        <v>0.83301000000000003</v>
      </c>
      <c r="G143" s="549">
        <f>59/F143</f>
        <v>70.827481062652311</v>
      </c>
      <c r="H143" s="550">
        <f>657.34/F143</f>
        <v>789.11417630040455</v>
      </c>
      <c r="I143" s="551">
        <v>0</v>
      </c>
      <c r="J143" s="560">
        <v>0</v>
      </c>
      <c r="K143" s="566">
        <f>Tabel66892628[[#This Row],[Fix.ch. 2017]]+Tabel66892628[[#This Row],[Var. ch. 2017]]+Tabel66892628[[#This Row],[Oth. ch. DW 2017]]+Tabel66892628[[#This Row],[VAT DW 2017]]</f>
        <v>859.94165736305683</v>
      </c>
      <c r="L143" s="567">
        <v>0</v>
      </c>
      <c r="M143" s="560">
        <v>0</v>
      </c>
      <c r="N143" s="568">
        <v>0</v>
      </c>
      <c r="O143" s="560">
        <v>0</v>
      </c>
      <c r="P143" s="569">
        <v>0</v>
      </c>
      <c r="Q143" s="560">
        <v>0</v>
      </c>
      <c r="R143" s="570">
        <f>Tabel66892628[[#This Row],[VAT DW 2017]]+Tabel66892628[[#This Row],[VAT Sew. 2017]]+Tabel66892628[[#This Row],[VAT WW 2017]]+Tabel66892628[[#This Row],[VAT Other ch. 2017]]</f>
        <v>0</v>
      </c>
      <c r="S143" s="571">
        <f>Tabel66892628[[#This Row],[Total. ch. DW 2017]]+Tabel66892628[[#This Row],[Sew. 2017]]+Tabel66892628[[#This Row],[VAT Sew. 2017]]+Tabel66892628[[#This Row],[WW 2017]]+Tabel66892628[[#This Row],[VAT WW 2017]]+Tabel66892628[[#This Row],[Other ch. 2017]]+Tabel66892628[[#This Row],[VAT Other ch. 2017]]</f>
        <v>859.94165736305683</v>
      </c>
      <c r="T143" s="397"/>
      <c r="U143" s="672">
        <f>Tabel66892628[[#This Row],[Fix.ch. 2017]]</f>
        <v>70.827481062652311</v>
      </c>
      <c r="V143" s="673">
        <f>Tabel66892628[[#This Row],[Var. ch. 2017]]</f>
        <v>789.11417630040455</v>
      </c>
      <c r="W143" s="674">
        <f>Tabel66892628[[#This Row],[Oth. ch. DW 2017]]</f>
        <v>0</v>
      </c>
      <c r="X143" s="675">
        <f>Tabel66892628[[#This Row],[VAT DW 2017]]</f>
        <v>0</v>
      </c>
      <c r="Y143" s="676">
        <f>Tabel66892628[[#This Row],[Total. ch. DW 2017]]</f>
        <v>859.94165736305683</v>
      </c>
      <c r="Z143" s="677">
        <f>Tabel66892628[[#This Row],[Sew. 2017]]</f>
        <v>0</v>
      </c>
      <c r="AA143" s="675">
        <f>Tabel66892628[[#This Row],[VAT Sew. 2017]]</f>
        <v>0</v>
      </c>
      <c r="AB143" s="678">
        <f>Tabel66892628[[#This Row],[WW 2017]]</f>
        <v>0</v>
      </c>
      <c r="AC143" s="675">
        <f>Tabel66892628[[#This Row],[VAT WW 2017]]</f>
        <v>0</v>
      </c>
      <c r="AD143" s="679">
        <f>Tabel66892628[[#This Row],[Other ch. 2017]]</f>
        <v>0</v>
      </c>
      <c r="AE143" s="675">
        <f>Tabel66892628[[#This Row],[VAT Other ch. 2017]]</f>
        <v>0</v>
      </c>
      <c r="AF143" s="680">
        <f>Tabel66892628[[#This Row],[Total VAT 2017]]</f>
        <v>0</v>
      </c>
      <c r="AG143" s="681">
        <f>Tabel66892628[[#This Row],[total charge 2017]]</f>
        <v>859.94165736305683</v>
      </c>
      <c r="AH143" s="397"/>
      <c r="AI143" s="398"/>
      <c r="AJ143" s="398"/>
      <c r="AK143" s="398"/>
      <c r="AL143" s="591" t="s">
        <v>429</v>
      </c>
      <c r="AM143" s="591" t="s">
        <v>429</v>
      </c>
      <c r="AN143" s="398"/>
      <c r="AO143" s="398"/>
      <c r="AP143" s="397"/>
    </row>
    <row r="144" spans="1:42" ht="19.5" thickBot="1" x14ac:dyDescent="0.35">
      <c r="A144" s="267" t="s">
        <v>37</v>
      </c>
      <c r="B144" s="814" t="s">
        <v>37</v>
      </c>
      <c r="C144" s="814"/>
      <c r="D144" s="808" t="s">
        <v>1090</v>
      </c>
      <c r="E144" s="301">
        <v>19500</v>
      </c>
      <c r="F144" s="306">
        <f>'exchange rates'!M40</f>
        <v>35.849890000000002</v>
      </c>
      <c r="G144" s="319">
        <f>660/F144</f>
        <v>18.410098329450939</v>
      </c>
      <c r="H144" s="320">
        <f>732/F144</f>
        <v>20.418472692663769</v>
      </c>
      <c r="I144" s="321">
        <v>0</v>
      </c>
      <c r="J144" s="559"/>
      <c r="K144" s="313">
        <f>Tabel66892628[[#This Row],[Fix.ch. 2017]]+Tabel66892628[[#This Row],[Var. ch. 2017]]+Tabel66892628[[#This Row],[Oth. ch. DW 2017]]+Tabel66892628[[#This Row],[VAT DW 2017]]</f>
        <v>38.828571022114708</v>
      </c>
      <c r="L144" s="322">
        <f>7.515/F144</f>
        <v>0.2096240741603391</v>
      </c>
      <c r="M144" s="559"/>
      <c r="N144" s="323">
        <f>1650/F144</f>
        <v>46.025245823627351</v>
      </c>
      <c r="O144" s="559"/>
      <c r="P144" s="324">
        <v>0</v>
      </c>
      <c r="Q144" s="559"/>
      <c r="R144" s="317">
        <f>Tabel66892628[[#This Row],[VAT DW 2017]]+Tabel66892628[[#This Row],[VAT Sew. 2017]]+Tabel66892628[[#This Row],[VAT WW 2017]]+Tabel66892628[[#This Row],[VAT Other ch. 2017]]</f>
        <v>0</v>
      </c>
      <c r="S144" s="318">
        <f>Tabel66892628[[#This Row],[Total. ch. DW 2017]]+Tabel66892628[[#This Row],[Sew. 2017]]+Tabel66892628[[#This Row],[VAT Sew. 2017]]+Tabel66892628[[#This Row],[WW 2017]]+Tabel66892628[[#This Row],[VAT WW 2017]]+Tabel66892628[[#This Row],[Other ch. 2017]]+Tabel66892628[[#This Row],[VAT Other ch. 2017]]</f>
        <v>85.063440919902405</v>
      </c>
      <c r="T144" s="397"/>
      <c r="U144" s="331">
        <f>Tabel66892628[[#This Row],[Fix.ch. 2017]]</f>
        <v>18.410098329450939</v>
      </c>
      <c r="V144" s="332">
        <f>Tabel66892628[[#This Row],[Var. ch. 2017]]</f>
        <v>20.418472692663769</v>
      </c>
      <c r="W144" s="333">
        <v>0</v>
      </c>
      <c r="X144" s="574"/>
      <c r="Y144" s="334">
        <f>Tabel66892628[[#This Row],[Total. ch. DW 2017]]</f>
        <v>38.828571022114708</v>
      </c>
      <c r="Z144" s="335">
        <f>Tabel66892628[[#This Row],[Sew. 2017]]</f>
        <v>0.2096240741603391</v>
      </c>
      <c r="AA144" s="574"/>
      <c r="AB144" s="336">
        <f>Tabel66892628[[#This Row],[WW 2017]]</f>
        <v>46.025245823627351</v>
      </c>
      <c r="AC144" s="574"/>
      <c r="AD144" s="337">
        <v>0</v>
      </c>
      <c r="AE144" s="574"/>
      <c r="AF144" s="338">
        <v>0</v>
      </c>
      <c r="AG144" s="339">
        <f>Tabel66892628[[#This Row],[total charge 2017]]</f>
        <v>85.063440919902405</v>
      </c>
      <c r="AH144" s="397"/>
      <c r="AI144" s="398"/>
      <c r="AJ144" s="398"/>
      <c r="AK144" s="398"/>
      <c r="AL144" s="396" t="s">
        <v>429</v>
      </c>
      <c r="AM144" s="398"/>
      <c r="AN144" s="398"/>
      <c r="AO144" s="398"/>
      <c r="AP144" s="397"/>
    </row>
    <row r="145" spans="1:42" ht="18" customHeight="1" x14ac:dyDescent="0.25">
      <c r="A145" s="1795" t="s">
        <v>38</v>
      </c>
      <c r="B145" s="659" t="s">
        <v>620</v>
      </c>
      <c r="C145" s="752"/>
      <c r="D145" s="816" t="s">
        <v>1092</v>
      </c>
      <c r="E145" s="1983">
        <v>19500</v>
      </c>
      <c r="F145" s="616">
        <f>'exchange rates'!$O$41</f>
        <v>19.670400000000001</v>
      </c>
      <c r="G145" s="549">
        <f>2780/F145</f>
        <v>141.32910362778591</v>
      </c>
      <c r="H145" s="550">
        <v>0</v>
      </c>
      <c r="I145" s="551">
        <v>0</v>
      </c>
      <c r="J145" s="560">
        <v>0</v>
      </c>
      <c r="K145" s="566">
        <f>Tabel66892628[[#This Row],[Fix.ch. 2017]]+Tabel66892628[[#This Row],[Var. ch. 2017]]+Tabel66892628[[#This Row],[Oth. ch. DW 2017]]+Tabel66892628[[#This Row],[VAT DW 2017]]</f>
        <v>141.32910362778591</v>
      </c>
      <c r="L145" s="567">
        <v>0</v>
      </c>
      <c r="M145" s="560">
        <v>0</v>
      </c>
      <c r="N145" s="568">
        <f>920/F145</f>
        <v>46.770782495526269</v>
      </c>
      <c r="O145" s="560">
        <v>0</v>
      </c>
      <c r="P145" s="569">
        <v>0</v>
      </c>
      <c r="Q145" s="560">
        <v>0</v>
      </c>
      <c r="R145" s="570">
        <f>Tabel66892628[[#This Row],[VAT DW 2017]]+Tabel66892628[[#This Row],[VAT Sew. 2017]]+Tabel66892628[[#This Row],[VAT WW 2017]]+Tabel66892628[[#This Row],[VAT Other ch. 2017]]</f>
        <v>0</v>
      </c>
      <c r="S145" s="571">
        <f>Tabel66892628[[#This Row],[Total. ch. DW 2017]]+Tabel66892628[[#This Row],[Sew. 2017]]+Tabel66892628[[#This Row],[VAT Sew. 2017]]+Tabel66892628[[#This Row],[WW 2017]]+Tabel66892628[[#This Row],[VAT WW 2017]]+Tabel66892628[[#This Row],[Other ch. 2017]]+Tabel66892628[[#This Row],[VAT Other ch. 2017]]</f>
        <v>188.09988612331219</v>
      </c>
      <c r="T145" s="397"/>
      <c r="U145" s="1824">
        <f>MEDIAN(G145:G150)</f>
        <v>174.88205628761997</v>
      </c>
      <c r="V145" s="1825">
        <f>MEDIAN(H145:H150)</f>
        <v>0</v>
      </c>
      <c r="W145" s="1826">
        <f>MEDIAN(I145:I150)</f>
        <v>0</v>
      </c>
      <c r="X145" s="1908">
        <f>MEDIAN(J145:J150)</f>
        <v>0</v>
      </c>
      <c r="Y145" s="1827">
        <f>SUM(U145:X150)</f>
        <v>174.88205628761997</v>
      </c>
      <c r="Z145" s="1828">
        <f t="shared" ref="Z145:AF145" si="19">MEDIAN(L145:L150)</f>
        <v>0</v>
      </c>
      <c r="AA145" s="1908">
        <f t="shared" si="19"/>
        <v>0</v>
      </c>
      <c r="AB145" s="1829">
        <f t="shared" si="19"/>
        <v>17.28485440052058</v>
      </c>
      <c r="AC145" s="1908">
        <f t="shared" si="19"/>
        <v>0</v>
      </c>
      <c r="AD145" s="1830">
        <f t="shared" si="19"/>
        <v>0</v>
      </c>
      <c r="AE145" s="1908">
        <f t="shared" si="19"/>
        <v>0</v>
      </c>
      <c r="AF145" s="1816">
        <f t="shared" si="19"/>
        <v>0</v>
      </c>
      <c r="AG145" s="2052">
        <f>Y145+Z145+AA145+AB145+AC145+AD145+AE145</f>
        <v>192.16691068814055</v>
      </c>
      <c r="AH145" s="397"/>
      <c r="AI145" s="591" t="s">
        <v>429</v>
      </c>
      <c r="AJ145" s="591" t="s">
        <v>429</v>
      </c>
      <c r="AK145" s="591"/>
      <c r="AL145" s="591"/>
      <c r="AM145" s="591" t="s">
        <v>429</v>
      </c>
      <c r="AN145" s="591" t="s">
        <v>429</v>
      </c>
      <c r="AO145" s="398"/>
      <c r="AP145" s="397"/>
    </row>
    <row r="146" spans="1:42" ht="15.75" x14ac:dyDescent="0.25">
      <c r="A146" s="1796"/>
      <c r="B146" s="657" t="s">
        <v>889</v>
      </c>
      <c r="C146" s="747" t="s">
        <v>429</v>
      </c>
      <c r="D146" s="815" t="s">
        <v>1092</v>
      </c>
      <c r="E146" s="1880"/>
      <c r="F146" s="616">
        <f>'exchange rates'!$O$41</f>
        <v>19.670400000000001</v>
      </c>
      <c r="G146" s="549">
        <f>4160/F146</f>
        <v>211.48527737107531</v>
      </c>
      <c r="H146" s="550">
        <v>0</v>
      </c>
      <c r="I146" s="551">
        <v>0</v>
      </c>
      <c r="J146" s="560">
        <v>0</v>
      </c>
      <c r="K146" s="566">
        <f>Tabel66892628[[#This Row],[Fix.ch. 2017]]+Tabel66892628[[#This Row],[Var. ch. 2017]]+Tabel66892628[[#This Row],[Oth. ch. DW 2017]]</f>
        <v>211.48527737107531</v>
      </c>
      <c r="L146" s="567">
        <v>0</v>
      </c>
      <c r="M146" s="560">
        <v>0</v>
      </c>
      <c r="N146" s="568">
        <v>0</v>
      </c>
      <c r="O146" s="560">
        <v>0</v>
      </c>
      <c r="P146" s="569">
        <v>0</v>
      </c>
      <c r="Q146" s="560">
        <v>0</v>
      </c>
      <c r="R146" s="570">
        <f>Tabel66892628[[#This Row],[VAT DW 2017]]+Tabel66892628[[#This Row],[VAT Sew. 2017]]+Tabel66892628[[#This Row],[VAT WW 2017]]+Tabel66892628[[#This Row],[VAT Other ch. 2017]]</f>
        <v>0</v>
      </c>
      <c r="S146" s="571">
        <f>Tabel66892628[[#This Row],[Total. ch. DW 2017]]+Tabel66892628[[#This Row],[Sew. 2017]]+Tabel66892628[[#This Row],[VAT Sew. 2017]]+Tabel66892628[[#This Row],[WW 2017]]+Tabel66892628[[#This Row],[VAT WW 2017]]+Tabel66892628[[#This Row],[Other ch. 2017]]+Tabel66892628[[#This Row],[VAT Other ch. 2017]]</f>
        <v>211.48527737107531</v>
      </c>
      <c r="T146" s="397"/>
      <c r="U146" s="1886"/>
      <c r="V146" s="1888"/>
      <c r="W146" s="1890"/>
      <c r="X146" s="1783"/>
      <c r="Y146" s="1892"/>
      <c r="Z146" s="1894"/>
      <c r="AA146" s="1783"/>
      <c r="AB146" s="1911"/>
      <c r="AC146" s="1783"/>
      <c r="AD146" s="1913"/>
      <c r="AE146" s="1783"/>
      <c r="AF146" s="1915"/>
      <c r="AG146" s="2053"/>
      <c r="AH146" s="397"/>
      <c r="AI146" s="396"/>
      <c r="AJ146" s="398"/>
      <c r="AK146" s="398"/>
      <c r="AL146" s="396"/>
      <c r="AM146" s="591" t="s">
        <v>429</v>
      </c>
      <c r="AN146" s="591" t="s">
        <v>429</v>
      </c>
      <c r="AO146" s="398"/>
      <c r="AP146" s="397"/>
    </row>
    <row r="147" spans="1:42" ht="15.75" x14ac:dyDescent="0.25">
      <c r="A147" s="1796"/>
      <c r="B147" s="657" t="s">
        <v>621</v>
      </c>
      <c r="C147" s="747"/>
      <c r="D147" s="815" t="s">
        <v>1092</v>
      </c>
      <c r="E147" s="1760"/>
      <c r="F147" s="616">
        <f>'exchange rates'!$O$41</f>
        <v>19.670400000000001</v>
      </c>
      <c r="G147" s="549">
        <f>2260/F147</f>
        <v>114.8934439564015</v>
      </c>
      <c r="H147" s="550">
        <v>0</v>
      </c>
      <c r="I147" s="551">
        <v>0</v>
      </c>
      <c r="J147" s="560">
        <v>0</v>
      </c>
      <c r="K147" s="566">
        <f>Tabel66892628[[#This Row],[Fix.ch. 2017]]+Tabel66892628[[#This Row],[Var. ch. 2017]]+Tabel66892628[[#This Row],[Oth. ch. DW 2017]]+Tabel66892628[[#This Row],[VAT DW 2017]]</f>
        <v>114.8934439564015</v>
      </c>
      <c r="L147" s="567">
        <v>0</v>
      </c>
      <c r="M147" s="560">
        <v>0</v>
      </c>
      <c r="N147" s="568">
        <f>160/F147</f>
        <v>8.1340491296567432</v>
      </c>
      <c r="O147" s="560">
        <v>0</v>
      </c>
      <c r="P147" s="569">
        <v>0</v>
      </c>
      <c r="Q147" s="560">
        <v>0</v>
      </c>
      <c r="R147" s="570">
        <f>Tabel66892628[[#This Row],[VAT DW 2017]]+Tabel66892628[[#This Row],[VAT Sew. 2017]]+Tabel66892628[[#This Row],[VAT WW 2017]]+Tabel66892628[[#This Row],[VAT Other ch. 2017]]</f>
        <v>0</v>
      </c>
      <c r="S147" s="571">
        <f>Tabel66892628[[#This Row],[Total. ch. DW 2017]]+Tabel66892628[[#This Row],[Sew. 2017]]+Tabel66892628[[#This Row],[VAT Sew. 2017]]+Tabel66892628[[#This Row],[WW 2017]]+Tabel66892628[[#This Row],[VAT WW 2017]]+Tabel66892628[[#This Row],[Other ch. 2017]]+Tabel66892628[[#This Row],[VAT Other ch. 2017]]</f>
        <v>123.02749308605824</v>
      </c>
      <c r="T147" s="397"/>
      <c r="U147" s="1886"/>
      <c r="V147" s="1888"/>
      <c r="W147" s="1890"/>
      <c r="X147" s="1783"/>
      <c r="Y147" s="1892"/>
      <c r="Z147" s="1894"/>
      <c r="AA147" s="1783"/>
      <c r="AB147" s="1911"/>
      <c r="AC147" s="1783"/>
      <c r="AD147" s="1913"/>
      <c r="AE147" s="1783"/>
      <c r="AF147" s="1915"/>
      <c r="AG147" s="2053"/>
      <c r="AH147" s="397"/>
      <c r="AI147" s="591" t="s">
        <v>429</v>
      </c>
      <c r="AJ147" s="398"/>
      <c r="AK147" s="398"/>
      <c r="AL147" s="396"/>
      <c r="AM147" s="591" t="s">
        <v>429</v>
      </c>
      <c r="AN147" s="591" t="s">
        <v>429</v>
      </c>
      <c r="AO147" s="398"/>
      <c r="AP147" s="397"/>
    </row>
    <row r="148" spans="1:42" ht="15.75" x14ac:dyDescent="0.25">
      <c r="A148" s="1796"/>
      <c r="B148" s="657" t="s">
        <v>622</v>
      </c>
      <c r="C148" s="747"/>
      <c r="D148" s="815" t="s">
        <v>1092</v>
      </c>
      <c r="E148" s="1760"/>
      <c r="F148" s="616">
        <f>'exchange rates'!$O$41</f>
        <v>19.670400000000001</v>
      </c>
      <c r="G148" s="549">
        <f>4600/F148</f>
        <v>233.85391247763135</v>
      </c>
      <c r="H148" s="550">
        <v>0</v>
      </c>
      <c r="I148" s="551">
        <v>0</v>
      </c>
      <c r="J148" s="560">
        <v>0</v>
      </c>
      <c r="K148" s="566">
        <f>Tabel66892628[[#This Row],[Fix.ch. 2017]]+Tabel66892628[[#This Row],[Var. ch. 2017]]+Tabel66892628[[#This Row],[Oth. ch. DW 2017]]+Tabel66892628[[#This Row],[VAT DW 2017]]</f>
        <v>233.85391247763135</v>
      </c>
      <c r="L148" s="567">
        <v>0</v>
      </c>
      <c r="M148" s="560">
        <v>0</v>
      </c>
      <c r="N148" s="568">
        <v>0</v>
      </c>
      <c r="O148" s="560">
        <v>0</v>
      </c>
      <c r="P148" s="569">
        <v>0</v>
      </c>
      <c r="Q148" s="560">
        <v>0</v>
      </c>
      <c r="R148" s="570">
        <f>Tabel66892628[[#This Row],[VAT DW 2017]]+Tabel66892628[[#This Row],[VAT Sew. 2017]]+Tabel66892628[[#This Row],[VAT WW 2017]]+Tabel66892628[[#This Row],[VAT Other ch. 2017]]</f>
        <v>0</v>
      </c>
      <c r="S148" s="571">
        <f>Tabel66892628[[#This Row],[Total. ch. DW 2017]]+Tabel66892628[[#This Row],[Sew. 2017]]+Tabel66892628[[#This Row],[VAT Sew. 2017]]+Tabel66892628[[#This Row],[WW 2017]]+Tabel66892628[[#This Row],[VAT WW 2017]]+Tabel66892628[[#This Row],[Other ch. 2017]]+Tabel66892628[[#This Row],[VAT Other ch. 2017]]</f>
        <v>233.85391247763135</v>
      </c>
      <c r="T148" s="397"/>
      <c r="U148" s="1886"/>
      <c r="V148" s="1888"/>
      <c r="W148" s="1890"/>
      <c r="X148" s="1783"/>
      <c r="Y148" s="1892"/>
      <c r="Z148" s="1894"/>
      <c r="AA148" s="1783"/>
      <c r="AB148" s="1911"/>
      <c r="AC148" s="1783"/>
      <c r="AD148" s="1913"/>
      <c r="AE148" s="1783"/>
      <c r="AF148" s="1915"/>
      <c r="AG148" s="2053"/>
      <c r="AH148" s="397"/>
      <c r="AI148" s="396"/>
      <c r="AJ148" s="398"/>
      <c r="AK148" s="398"/>
      <c r="AL148" s="396"/>
      <c r="AM148" s="591" t="s">
        <v>429</v>
      </c>
      <c r="AN148" s="591" t="s">
        <v>429</v>
      </c>
      <c r="AO148" s="398"/>
      <c r="AP148" s="397"/>
    </row>
    <row r="149" spans="1:42" ht="15.75" x14ac:dyDescent="0.25">
      <c r="A149" s="1796"/>
      <c r="B149" s="657" t="s">
        <v>623</v>
      </c>
      <c r="C149" s="747"/>
      <c r="D149" s="815" t="s">
        <v>1092</v>
      </c>
      <c r="E149" s="1760"/>
      <c r="F149" s="616">
        <f>'exchange rates'!$O$41</f>
        <v>19.670400000000001</v>
      </c>
      <c r="G149" s="549">
        <f>2400/F149</f>
        <v>122.01073694485115</v>
      </c>
      <c r="H149" s="550">
        <v>0</v>
      </c>
      <c r="I149" s="551">
        <v>0</v>
      </c>
      <c r="J149" s="560">
        <v>0</v>
      </c>
      <c r="K149" s="566">
        <f>Tabel66892628[[#This Row],[Fix.ch. 2017]]+Tabel66892628[[#This Row],[Var. ch. 2017]]+Tabel66892628[[#This Row],[Oth. ch. DW 2017]]+Tabel66892628[[#This Row],[VAT DW 2017]]</f>
        <v>122.01073694485115</v>
      </c>
      <c r="L149" s="567">
        <v>0</v>
      </c>
      <c r="M149" s="560">
        <v>0</v>
      </c>
      <c r="N149" s="568">
        <f>520/F149</f>
        <v>26.435659671384414</v>
      </c>
      <c r="O149" s="560">
        <v>0</v>
      </c>
      <c r="P149" s="569">
        <v>0</v>
      </c>
      <c r="Q149" s="560">
        <v>0</v>
      </c>
      <c r="R149" s="570">
        <f>Tabel66892628[[#This Row],[VAT DW 2017]]+Tabel66892628[[#This Row],[VAT Sew. 2017]]+Tabel66892628[[#This Row],[VAT WW 2017]]+Tabel66892628[[#This Row],[VAT Other ch. 2017]]</f>
        <v>0</v>
      </c>
      <c r="S149" s="571">
        <f>Tabel66892628[[#This Row],[Total. ch. DW 2017]]+Tabel66892628[[#This Row],[Sew. 2017]]+Tabel66892628[[#This Row],[VAT Sew. 2017]]+Tabel66892628[[#This Row],[WW 2017]]+Tabel66892628[[#This Row],[VAT WW 2017]]+Tabel66892628[[#This Row],[Other ch. 2017]]+Tabel66892628[[#This Row],[VAT Other ch. 2017]]</f>
        <v>148.44639661623557</v>
      </c>
      <c r="T149" s="397"/>
      <c r="U149" s="1886"/>
      <c r="V149" s="1888"/>
      <c r="W149" s="1890"/>
      <c r="X149" s="1783"/>
      <c r="Y149" s="1892"/>
      <c r="Z149" s="1894"/>
      <c r="AA149" s="1783"/>
      <c r="AB149" s="1911"/>
      <c r="AC149" s="1783"/>
      <c r="AD149" s="1913"/>
      <c r="AE149" s="1783"/>
      <c r="AF149" s="1915"/>
      <c r="AG149" s="2053"/>
      <c r="AH149" s="397"/>
      <c r="AI149" s="396"/>
      <c r="AJ149" s="398"/>
      <c r="AK149" s="398"/>
      <c r="AL149" s="396"/>
      <c r="AM149" s="591" t="s">
        <v>429</v>
      </c>
      <c r="AN149" s="591" t="s">
        <v>429</v>
      </c>
      <c r="AO149" s="398"/>
      <c r="AP149" s="397"/>
    </row>
    <row r="150" spans="1:42" ht="16.5" thickBot="1" x14ac:dyDescent="0.3">
      <c r="A150" s="1797"/>
      <c r="B150" s="657" t="s">
        <v>624</v>
      </c>
      <c r="C150" s="747"/>
      <c r="D150" s="819" t="s">
        <v>1092</v>
      </c>
      <c r="E150" s="1761"/>
      <c r="F150" s="616">
        <f>'exchange rates'!$O$41</f>
        <v>19.670400000000001</v>
      </c>
      <c r="G150" s="549">
        <f>4100/F150</f>
        <v>208.43500894745404</v>
      </c>
      <c r="H150" s="550">
        <v>0</v>
      </c>
      <c r="I150" s="551">
        <v>0</v>
      </c>
      <c r="J150" s="560">
        <v>0</v>
      </c>
      <c r="K150" s="566">
        <f>Tabel66892628[[#This Row],[Fix.ch. 2017]]+Tabel66892628[[#This Row],[Var. ch. 2017]]+Tabel66892628[[#This Row],[Oth. ch. DW 2017]]+Tabel66892628[[#This Row],[VAT DW 2017]]</f>
        <v>208.43500894745404</v>
      </c>
      <c r="L150" s="567">
        <v>0</v>
      </c>
      <c r="M150" s="560">
        <v>0</v>
      </c>
      <c r="N150" s="568">
        <f>680/F150</f>
        <v>34.569708801041159</v>
      </c>
      <c r="O150" s="560">
        <v>0</v>
      </c>
      <c r="P150" s="569">
        <v>0</v>
      </c>
      <c r="Q150" s="560">
        <v>0</v>
      </c>
      <c r="R150" s="570">
        <f>Tabel66892628[[#This Row],[VAT DW 2017]]+Tabel66892628[[#This Row],[VAT Sew. 2017]]+Tabel66892628[[#This Row],[VAT WW 2017]]+Tabel66892628[[#This Row],[VAT Other ch. 2017]]</f>
        <v>0</v>
      </c>
      <c r="S150" s="571">
        <f>Tabel66892628[[#This Row],[Total. ch. DW 2017]]+Tabel66892628[[#This Row],[Sew. 2017]]+Tabel66892628[[#This Row],[VAT Sew. 2017]]+Tabel66892628[[#This Row],[WW 2017]]+Tabel66892628[[#This Row],[VAT WW 2017]]+Tabel66892628[[#This Row],[Other ch. 2017]]+Tabel66892628[[#This Row],[VAT Other ch. 2017]]</f>
        <v>243.00471774849518</v>
      </c>
      <c r="T150" s="397"/>
      <c r="U150" s="1764"/>
      <c r="V150" s="1767"/>
      <c r="W150" s="1770"/>
      <c r="X150" s="1773"/>
      <c r="Y150" s="1776"/>
      <c r="Z150" s="1779"/>
      <c r="AA150" s="1773"/>
      <c r="AB150" s="1811"/>
      <c r="AC150" s="1773"/>
      <c r="AD150" s="1813"/>
      <c r="AE150" s="1773"/>
      <c r="AF150" s="1815"/>
      <c r="AG150" s="1991"/>
      <c r="AH150" s="397"/>
      <c r="AI150" s="396"/>
      <c r="AJ150" s="398"/>
      <c r="AK150" s="398"/>
      <c r="AL150" s="396"/>
      <c r="AM150" s="591" t="s">
        <v>429</v>
      </c>
      <c r="AN150" s="591" t="s">
        <v>429</v>
      </c>
      <c r="AO150" s="398"/>
      <c r="AP150" s="397"/>
    </row>
    <row r="151" spans="1:42" ht="18.75" x14ac:dyDescent="0.25">
      <c r="A151" s="2082" t="s">
        <v>39</v>
      </c>
      <c r="B151" s="271" t="s">
        <v>494</v>
      </c>
      <c r="C151" s="1051"/>
      <c r="D151" s="820" t="s">
        <v>1094</v>
      </c>
      <c r="E151" s="2085">
        <v>5100</v>
      </c>
      <c r="F151" s="306">
        <v>8.5832200000000007</v>
      </c>
      <c r="G151" s="319">
        <f>84/F151</f>
        <v>9.7865369872844923</v>
      </c>
      <c r="H151" s="320">
        <f>1362.08/F151</f>
        <v>158.69102737667214</v>
      </c>
      <c r="I151" s="321">
        <v>0</v>
      </c>
      <c r="J151" s="559"/>
      <c r="K151" s="313">
        <f>Tabel66892628[[#This Row],[Fix.ch. 2017]]+Tabel66892628[[#This Row],[Var. ch. 2017]]+Tabel66892628[[#This Row],[Oth. ch. DW 2017]]+Tabel66892628[[#This Row],[VAT DW 2017]]</f>
        <v>168.47756436395662</v>
      </c>
      <c r="L151" s="322">
        <f>343.44/F151</f>
        <v>40.012955510868878</v>
      </c>
      <c r="M151" s="559"/>
      <c r="N151" s="323">
        <v>0</v>
      </c>
      <c r="O151" s="559"/>
      <c r="P151" s="324">
        <v>0</v>
      </c>
      <c r="Q151" s="559"/>
      <c r="R151" s="317">
        <f>Tabel66892628[[#This Row],[VAT DW 2017]]+Tabel66892628[[#This Row],[VAT Sew. 2017]]+Tabel66892628[[#This Row],[VAT WW 2017]]+Tabel66892628[[#This Row],[VAT Other ch. 2017]]</f>
        <v>0</v>
      </c>
      <c r="S151" s="318">
        <f>Tabel66892628[[#This Row],[Total. ch. DW 2017]]+Tabel66892628[[#This Row],[Sew. 2017]]+Tabel66892628[[#This Row],[VAT Sew. 2017]]+Tabel66892628[[#This Row],[WW 2017]]+Tabel66892628[[#This Row],[VAT WW 2017]]+Tabel66892628[[#This Row],[Other ch. 2017]]+Tabel66892628[[#This Row],[VAT Other ch. 2017]]</f>
        <v>208.49051987482551</v>
      </c>
      <c r="T151" s="397"/>
      <c r="U151" s="2087">
        <f>SUM(G151:G155)/5</f>
        <v>9.38109474066842</v>
      </c>
      <c r="V151" s="2089">
        <f>SUM(H151:H155)/5</f>
        <v>129.00333441295922</v>
      </c>
      <c r="W151" s="2090">
        <f>SUM(I151:I155)/5</f>
        <v>0</v>
      </c>
      <c r="X151" s="575"/>
      <c r="Y151" s="2091">
        <f>SUM(K151:K155)/5</f>
        <v>138.38442915362765</v>
      </c>
      <c r="Z151" s="2092">
        <f>SUM(L151:L155)/5</f>
        <v>34.621971707587591</v>
      </c>
      <c r="AA151" s="575"/>
      <c r="AB151" s="2073">
        <f>SUM(N151:N155)/5</f>
        <v>0</v>
      </c>
      <c r="AC151" s="575"/>
      <c r="AD151" s="2074">
        <f>SUM(P151:P155)/5</f>
        <v>0</v>
      </c>
      <c r="AE151" s="575"/>
      <c r="AF151" s="2075">
        <f t="shared" ref="AF151:AG151" si="20">SUM(R151:R155)/5</f>
        <v>0</v>
      </c>
      <c r="AG151" s="2076">
        <f t="shared" si="20"/>
        <v>173.00640086121524</v>
      </c>
      <c r="AH151" s="397"/>
      <c r="AI151" s="398"/>
      <c r="AJ151" s="398"/>
      <c r="AK151" s="398"/>
      <c r="AL151" s="396" t="s">
        <v>429</v>
      </c>
      <c r="AM151" s="398"/>
      <c r="AN151" s="398"/>
      <c r="AO151" s="398"/>
      <c r="AP151" s="397"/>
    </row>
    <row r="152" spans="1:42" ht="18.75" x14ac:dyDescent="0.25">
      <c r="A152" s="2083"/>
      <c r="B152" s="272" t="s">
        <v>495</v>
      </c>
      <c r="C152" s="764" t="s">
        <v>429</v>
      </c>
      <c r="D152" s="821" t="s">
        <v>1094</v>
      </c>
      <c r="E152" s="2086"/>
      <c r="F152" s="306">
        <v>8.5832200000000007</v>
      </c>
      <c r="G152" s="319">
        <f>102.6/F152</f>
        <v>11.953555891611771</v>
      </c>
      <c r="H152" s="320">
        <f>1117.04/F152</f>
        <v>130.1423009080508</v>
      </c>
      <c r="I152" s="321">
        <v>0</v>
      </c>
      <c r="J152" s="559"/>
      <c r="K152" s="313">
        <f>Tabel66892628[[#This Row],[Fix.ch. 2017]]+Tabel66892628[[#This Row],[Var. ch. 2017]]+Tabel66892628[[#This Row],[Oth. ch. DW 2017]]+Tabel66892628[[#This Row],[VAT DW 2017]]</f>
        <v>142.09585679966256</v>
      </c>
      <c r="L152" s="322">
        <f>328.8/F152</f>
        <v>38.307301921656439</v>
      </c>
      <c r="M152" s="559"/>
      <c r="N152" s="323">
        <v>0</v>
      </c>
      <c r="O152" s="559"/>
      <c r="P152" s="324">
        <v>0</v>
      </c>
      <c r="Q152" s="559"/>
      <c r="R152" s="317">
        <f>Tabel66892628[[#This Row],[VAT DW 2017]]+Tabel66892628[[#This Row],[VAT Sew. 2017]]+Tabel66892628[[#This Row],[VAT WW 2017]]+Tabel66892628[[#This Row],[VAT Other ch. 2017]]</f>
        <v>0</v>
      </c>
      <c r="S152" s="318">
        <f>Tabel66892628[[#This Row],[Total. ch. DW 2017]]+Tabel66892628[[#This Row],[Sew. 2017]]+Tabel66892628[[#This Row],[VAT Sew. 2017]]+Tabel66892628[[#This Row],[WW 2017]]+Tabel66892628[[#This Row],[VAT WW 2017]]+Tabel66892628[[#This Row],[Other ch. 2017]]+Tabel66892628[[#This Row],[VAT Other ch. 2017]]</f>
        <v>180.40315872131899</v>
      </c>
      <c r="T152" s="397"/>
      <c r="U152" s="2058"/>
      <c r="V152" s="2060"/>
      <c r="W152" s="2062"/>
      <c r="X152" s="576"/>
      <c r="Y152" s="2064"/>
      <c r="Z152" s="2066"/>
      <c r="AA152" s="576"/>
      <c r="AB152" s="2068"/>
      <c r="AC152" s="576"/>
      <c r="AD152" s="2070"/>
      <c r="AE152" s="576"/>
      <c r="AF152" s="2072"/>
      <c r="AG152" s="2077"/>
      <c r="AH152" s="397"/>
      <c r="AI152" s="398"/>
      <c r="AJ152" s="398"/>
      <c r="AK152" s="398"/>
      <c r="AL152" s="396" t="s">
        <v>429</v>
      </c>
      <c r="AM152" s="398"/>
      <c r="AN152" s="398"/>
      <c r="AO152" s="398"/>
      <c r="AP152" s="397"/>
    </row>
    <row r="153" spans="1:42" ht="18.75" x14ac:dyDescent="0.25">
      <c r="A153" s="2083"/>
      <c r="B153" s="272" t="s">
        <v>496</v>
      </c>
      <c r="C153" s="764"/>
      <c r="D153" s="821" t="s">
        <v>1094</v>
      </c>
      <c r="E153" s="2086"/>
      <c r="F153" s="306">
        <v>8.5832200000000007</v>
      </c>
      <c r="G153" s="319">
        <f>72/F153</f>
        <v>8.3884602748152783</v>
      </c>
      <c r="H153" s="320">
        <f>1045.2/F153</f>
        <v>121.77248165606846</v>
      </c>
      <c r="I153" s="321">
        <v>0</v>
      </c>
      <c r="J153" s="559"/>
      <c r="K153" s="313">
        <f>Tabel66892628[[#This Row],[Fix.ch. 2017]]+Tabel66892628[[#This Row],[Var. ch. 2017]]+Tabel66892628[[#This Row],[Oth. ch. DW 2017]]+Tabel66892628[[#This Row],[VAT DW 2017]]</f>
        <v>130.16094193088375</v>
      </c>
      <c r="L153" s="322">
        <f>223.4/F153</f>
        <v>26.027528130468518</v>
      </c>
      <c r="M153" s="559"/>
      <c r="N153" s="323">
        <v>0</v>
      </c>
      <c r="O153" s="559"/>
      <c r="P153" s="324">
        <v>0</v>
      </c>
      <c r="Q153" s="559"/>
      <c r="R153" s="317">
        <f>Tabel66892628[[#This Row],[VAT DW 2017]]+Tabel66892628[[#This Row],[VAT Sew. 2017]]+Tabel66892628[[#This Row],[VAT WW 2017]]+Tabel66892628[[#This Row],[VAT Other ch. 2017]]</f>
        <v>0</v>
      </c>
      <c r="S153" s="318">
        <f>Tabel66892628[[#This Row],[Total. ch. DW 2017]]+Tabel66892628[[#This Row],[Sew. 2017]]+Tabel66892628[[#This Row],[VAT Sew. 2017]]+Tabel66892628[[#This Row],[WW 2017]]+Tabel66892628[[#This Row],[VAT WW 2017]]+Tabel66892628[[#This Row],[Other ch. 2017]]+Tabel66892628[[#This Row],[VAT Other ch. 2017]]</f>
        <v>156.18847006135226</v>
      </c>
      <c r="T153" s="397"/>
      <c r="U153" s="2058"/>
      <c r="V153" s="2060"/>
      <c r="W153" s="2062"/>
      <c r="X153" s="576"/>
      <c r="Y153" s="2064"/>
      <c r="Z153" s="2066"/>
      <c r="AA153" s="576"/>
      <c r="AB153" s="2068"/>
      <c r="AC153" s="576"/>
      <c r="AD153" s="2070"/>
      <c r="AE153" s="576"/>
      <c r="AF153" s="2072"/>
      <c r="AG153" s="2077"/>
      <c r="AH153" s="397"/>
      <c r="AI153" s="398"/>
      <c r="AJ153" s="398"/>
      <c r="AK153" s="398"/>
      <c r="AL153" s="396" t="s">
        <v>429</v>
      </c>
      <c r="AM153" s="398"/>
      <c r="AN153" s="398"/>
      <c r="AO153" s="398"/>
      <c r="AP153" s="397"/>
    </row>
    <row r="154" spans="1:42" ht="18.75" x14ac:dyDescent="0.25">
      <c r="A154" s="2083"/>
      <c r="B154" s="272" t="s">
        <v>497</v>
      </c>
      <c r="C154" s="764"/>
      <c r="D154" s="821" t="s">
        <v>1094</v>
      </c>
      <c r="E154" s="2086"/>
      <c r="F154" s="306">
        <v>8.5832200000000007</v>
      </c>
      <c r="G154" s="319">
        <f>72/F154</f>
        <v>8.3884602748152783</v>
      </c>
      <c r="H154" s="320">
        <f>1074.24/F154</f>
        <v>125.15582730024396</v>
      </c>
      <c r="I154" s="321">
        <v>0</v>
      </c>
      <c r="J154" s="559"/>
      <c r="K154" s="313">
        <f>Tabel66892628[[#This Row],[Fix.ch. 2017]]+Tabel66892628[[#This Row],[Var. ch. 2017]]+Tabel66892628[[#This Row],[Oth. ch. DW 2017]]+Tabel66892628[[#This Row],[VAT DW 2017]]</f>
        <v>133.54428757505923</v>
      </c>
      <c r="L154" s="322">
        <f>233.08/F154</f>
        <v>27.155310011860351</v>
      </c>
      <c r="M154" s="559"/>
      <c r="N154" s="323">
        <v>0</v>
      </c>
      <c r="O154" s="559"/>
      <c r="P154" s="324">
        <v>0</v>
      </c>
      <c r="Q154" s="559"/>
      <c r="R154" s="317">
        <f>Tabel66892628[[#This Row],[VAT DW 2017]]+Tabel66892628[[#This Row],[VAT Sew. 2017]]+Tabel66892628[[#This Row],[VAT WW 2017]]+Tabel66892628[[#This Row],[VAT Other ch. 2017]]</f>
        <v>0</v>
      </c>
      <c r="S154" s="318">
        <f>Tabel66892628[[#This Row],[Total. ch. DW 2017]]+Tabel66892628[[#This Row],[Sew. 2017]]+Tabel66892628[[#This Row],[VAT Sew. 2017]]+Tabel66892628[[#This Row],[WW 2017]]+Tabel66892628[[#This Row],[VAT WW 2017]]+Tabel66892628[[#This Row],[Other ch. 2017]]+Tabel66892628[[#This Row],[VAT Other ch. 2017]]</f>
        <v>160.69959758691959</v>
      </c>
      <c r="T154" s="397"/>
      <c r="U154" s="2058"/>
      <c r="V154" s="2060"/>
      <c r="W154" s="2062"/>
      <c r="X154" s="576"/>
      <c r="Y154" s="2064"/>
      <c r="Z154" s="2066"/>
      <c r="AA154" s="576"/>
      <c r="AB154" s="2068"/>
      <c r="AC154" s="576"/>
      <c r="AD154" s="2070"/>
      <c r="AE154" s="576"/>
      <c r="AF154" s="2072"/>
      <c r="AG154" s="2077"/>
      <c r="AH154" s="397"/>
      <c r="AI154" s="398"/>
      <c r="AJ154" s="398"/>
      <c r="AK154" s="398"/>
      <c r="AL154" s="396" t="s">
        <v>429</v>
      </c>
      <c r="AM154" s="398"/>
      <c r="AN154" s="398"/>
      <c r="AO154" s="398"/>
      <c r="AP154" s="397"/>
    </row>
    <row r="155" spans="1:42" ht="19.5" thickBot="1" x14ac:dyDescent="0.3">
      <c r="A155" s="2084"/>
      <c r="B155" s="273" t="s">
        <v>498</v>
      </c>
      <c r="C155" s="1052"/>
      <c r="D155" s="822" t="s">
        <v>1094</v>
      </c>
      <c r="E155" s="2008"/>
      <c r="F155" s="306">
        <v>8.5832200000000007</v>
      </c>
      <c r="G155" s="319">
        <f>72/F155</f>
        <v>8.3884602748152783</v>
      </c>
      <c r="H155" s="320">
        <f>937.76/F155</f>
        <v>109.25503482376077</v>
      </c>
      <c r="I155" s="321">
        <v>0</v>
      </c>
      <c r="J155" s="559"/>
      <c r="K155" s="313">
        <f>Tabel66892628[[#This Row],[Fix.ch. 2017]]+Tabel66892628[[#This Row],[Var. ch. 2017]]+Tabel66892628[[#This Row],[Oth. ch. DW 2017]]+Tabel66892628[[#This Row],[VAT DW 2017]]</f>
        <v>117.64349509857604</v>
      </c>
      <c r="L155" s="322">
        <f>357.12/F155</f>
        <v>41.606762963083781</v>
      </c>
      <c r="M155" s="559"/>
      <c r="N155" s="323">
        <v>0</v>
      </c>
      <c r="O155" s="559"/>
      <c r="P155" s="324">
        <v>0</v>
      </c>
      <c r="Q155" s="559"/>
      <c r="R155" s="317">
        <f>Tabel66892628[[#This Row],[VAT DW 2017]]+Tabel66892628[[#This Row],[VAT Sew. 2017]]+Tabel66892628[[#This Row],[VAT WW 2017]]+Tabel66892628[[#This Row],[VAT Other ch. 2017]]</f>
        <v>0</v>
      </c>
      <c r="S155" s="318">
        <f>Tabel66892628[[#This Row],[Total. ch. DW 2017]]+Tabel66892628[[#This Row],[Sew. 2017]]+Tabel66892628[[#This Row],[VAT Sew. 2017]]+Tabel66892628[[#This Row],[WW 2017]]+Tabel66892628[[#This Row],[VAT WW 2017]]+Tabel66892628[[#This Row],[Other ch. 2017]]+Tabel66892628[[#This Row],[VAT Other ch. 2017]]</f>
        <v>159.25025806165982</v>
      </c>
      <c r="T155" s="397"/>
      <c r="U155" s="2088"/>
      <c r="V155" s="2013"/>
      <c r="W155" s="2015"/>
      <c r="X155" s="577"/>
      <c r="Y155" s="2017"/>
      <c r="Z155" s="2019"/>
      <c r="AA155" s="577"/>
      <c r="AB155" s="2021"/>
      <c r="AC155" s="577"/>
      <c r="AD155" s="2030"/>
      <c r="AE155" s="577"/>
      <c r="AF155" s="1993"/>
      <c r="AG155" s="1995"/>
      <c r="AH155" s="397"/>
      <c r="AI155" s="398"/>
      <c r="AJ155" s="398"/>
      <c r="AK155" s="398"/>
      <c r="AL155" s="396" t="s">
        <v>429</v>
      </c>
      <c r="AM155" s="398"/>
      <c r="AN155" s="398"/>
      <c r="AO155" s="398"/>
      <c r="AP155" s="397"/>
    </row>
    <row r="156" spans="1:42" ht="19.5" thickBot="1" x14ac:dyDescent="0.3">
      <c r="A156" s="869" t="s">
        <v>734</v>
      </c>
      <c r="B156" s="260" t="s">
        <v>735</v>
      </c>
      <c r="C156" s="1049"/>
      <c r="D156" s="817" t="s">
        <v>1104</v>
      </c>
      <c r="E156" s="886">
        <v>11300</v>
      </c>
      <c r="F156" s="306">
        <f>'exchange rates'!M43</f>
        <v>15.682219999999999</v>
      </c>
      <c r="G156" s="319"/>
      <c r="H156" s="320"/>
      <c r="I156" s="321"/>
      <c r="J156" s="559"/>
      <c r="K156" s="313">
        <f>Tabel66892628[[#This Row],[Fix.ch. 2017]]+Tabel66892628[[#This Row],[Var. ch. 2017]]+Tabel66892628[[#This Row],[Oth. ch. DW 2017]]+Tabel66892628[[#This Row],[VAT DW 2017]]</f>
        <v>0</v>
      </c>
      <c r="L156" s="322"/>
      <c r="M156" s="559"/>
      <c r="N156" s="323"/>
      <c r="O156" s="559"/>
      <c r="P156" s="324"/>
      <c r="Q156" s="559"/>
      <c r="R156" s="317">
        <f>Tabel66892628[[#This Row],[VAT DW 2017]]+Tabel66892628[[#This Row],[VAT Sew. 2017]]+Tabel66892628[[#This Row],[VAT WW 2017]]+Tabel66892628[[#This Row],[VAT Other ch. 2017]]</f>
        <v>0</v>
      </c>
      <c r="S156" s="318">
        <f>Tabel66892628[[#This Row],[Total. ch. DW 2017]]+Tabel66892628[[#This Row],[Sew. 2017]]+Tabel66892628[[#This Row],[VAT Sew. 2017]]+Tabel66892628[[#This Row],[WW 2017]]+Tabel66892628[[#This Row],[VAT WW 2017]]+Tabel66892628[[#This Row],[Other ch. 2017]]+Tabel66892628[[#This Row],[VAT Other ch. 2017]]</f>
        <v>0</v>
      </c>
      <c r="T156" s="397"/>
      <c r="U156" s="898"/>
      <c r="V156" s="888"/>
      <c r="W156" s="887"/>
      <c r="X156" s="576"/>
      <c r="Y156" s="900"/>
      <c r="Z156" s="901"/>
      <c r="AA156" s="576"/>
      <c r="AB156" s="902"/>
      <c r="AC156" s="576"/>
      <c r="AD156" s="899"/>
      <c r="AE156" s="576"/>
      <c r="AF156" s="894"/>
      <c r="AG156" s="875"/>
      <c r="AH156" s="397"/>
      <c r="AI156" s="398"/>
      <c r="AJ156" s="398"/>
      <c r="AK156" s="398"/>
      <c r="AL156" s="396"/>
      <c r="AM156" s="398"/>
      <c r="AN156" s="398"/>
      <c r="AO156" s="398"/>
      <c r="AP156" s="397"/>
    </row>
    <row r="157" spans="1:42" ht="15.75" customHeight="1" x14ac:dyDescent="0.25">
      <c r="A157" s="2078" t="s">
        <v>20</v>
      </c>
      <c r="B157" s="631" t="s">
        <v>182</v>
      </c>
      <c r="C157" s="631" t="s">
        <v>429</v>
      </c>
      <c r="D157" s="631" t="s">
        <v>1106</v>
      </c>
      <c r="E157" s="1966">
        <v>53600</v>
      </c>
      <c r="F157" s="616">
        <f>'exchange rates'!$O$44</f>
        <v>0.83301000000000003</v>
      </c>
      <c r="G157" s="549">
        <f>42.15/F157</f>
        <v>50.599632657471098</v>
      </c>
      <c r="H157" s="550">
        <f>236/F157</f>
        <v>283.30992425060924</v>
      </c>
      <c r="I157" s="551">
        <v>0</v>
      </c>
      <c r="J157" s="560">
        <f>16.69/F157</f>
        <v>20.035773880265545</v>
      </c>
      <c r="K157" s="566">
        <f>Tabel66892628[[#This Row],[Fix.ch. 2017]]+Tabel66892628[[#This Row],[Var. ch. 2017]]+Tabel66892628[[#This Row],[Oth. ch. DW 2017]]+Tabel66892628[[#This Row],[VAT DW 2017]]</f>
        <v>353.94533078834587</v>
      </c>
      <c r="L157" s="567">
        <f>128/F157</f>
        <v>153.65961993253381</v>
      </c>
      <c r="M157" s="560">
        <v>0</v>
      </c>
      <c r="N157" s="568">
        <f>157.95/F157</f>
        <v>189.61357006518529</v>
      </c>
      <c r="O157" s="560">
        <v>0</v>
      </c>
      <c r="P157" s="569">
        <f>67.2/F157</f>
        <v>80.671300464580256</v>
      </c>
      <c r="Q157" s="560">
        <f>4.03/F157</f>
        <v>4.8378770963133695</v>
      </c>
      <c r="R157" s="570">
        <f>Tabel66892628[[#This Row],[VAT DW 2017]]+Tabel66892628[[#This Row],[VAT Sew. 2017]]+Tabel66892628[[#This Row],[VAT WW 2017]]+Tabel66892628[[#This Row],[VAT Other ch. 2017]]</f>
        <v>24.873650976578915</v>
      </c>
      <c r="S157" s="571">
        <f>Tabel66892628[[#This Row],[Total. ch. DW 2017]]+Tabel66892628[[#This Row],[Sew. 2017]]+Tabel66892628[[#This Row],[VAT Sew. 2017]]+Tabel66892628[[#This Row],[WW 2017]]+Tabel66892628[[#This Row],[VAT WW 2017]]+Tabel66892628[[#This Row],[Other ch. 2017]]+Tabel66892628[[#This Row],[VAT Other ch. 2017]]</f>
        <v>782.72769834695862</v>
      </c>
      <c r="T157" s="397"/>
      <c r="U157" s="2080">
        <f>MEDIAN(G157:G161)</f>
        <v>70.827481062652311</v>
      </c>
      <c r="V157" s="1825">
        <f>MEDIAN(H157:H161)</f>
        <v>216.08384053012568</v>
      </c>
      <c r="W157" s="1826">
        <f>MEDIAN(I157:I161)</f>
        <v>0</v>
      </c>
      <c r="X157" s="1771">
        <f>MEDIAN(J157:J161)</f>
        <v>17.778898212506451</v>
      </c>
      <c r="Y157" s="1827">
        <f>SUM(U157:X161)</f>
        <v>304.69021980528447</v>
      </c>
      <c r="Z157" s="1828">
        <f t="shared" ref="Z157:AF157" si="21">MEDIAN(L157:L161)</f>
        <v>172.86707242410054</v>
      </c>
      <c r="AA157" s="1771">
        <f t="shared" si="21"/>
        <v>0</v>
      </c>
      <c r="AB157" s="1829">
        <f t="shared" si="21"/>
        <v>191.94247367978772</v>
      </c>
      <c r="AC157" s="1771">
        <f t="shared" si="21"/>
        <v>0</v>
      </c>
      <c r="AD157" s="1830">
        <f t="shared" si="21"/>
        <v>80.671300464580256</v>
      </c>
      <c r="AE157" s="1771">
        <f t="shared" si="21"/>
        <v>4.8378770963133695</v>
      </c>
      <c r="AF157" s="1816">
        <f t="shared" si="21"/>
        <v>22.616775308819822</v>
      </c>
      <c r="AG157" s="1817">
        <f>Y157+Z157+AA157+AB157+AC157+AD157+AE157</f>
        <v>755.00894347006636</v>
      </c>
      <c r="AH157" s="397"/>
      <c r="AI157" s="591" t="s">
        <v>429</v>
      </c>
      <c r="AJ157" s="591" t="s">
        <v>429</v>
      </c>
      <c r="AK157" s="591"/>
      <c r="AL157" s="591"/>
      <c r="AM157" s="591" t="s">
        <v>429</v>
      </c>
      <c r="AN157" s="591"/>
      <c r="AO157" s="712" t="s">
        <v>925</v>
      </c>
      <c r="AP157" s="430"/>
    </row>
    <row r="158" spans="1:42" ht="15.75" customHeight="1" x14ac:dyDescent="0.25">
      <c r="A158" s="2079"/>
      <c r="B158" s="631" t="s">
        <v>183</v>
      </c>
      <c r="C158" s="631"/>
      <c r="D158" s="631" t="s">
        <v>1106</v>
      </c>
      <c r="E158" s="1967"/>
      <c r="F158" s="616">
        <f>'exchange rates'!$O$44</f>
        <v>0.83301000000000003</v>
      </c>
      <c r="G158" s="549">
        <f>59/F158</f>
        <v>70.827481062652311</v>
      </c>
      <c r="H158" s="550">
        <f>180/F158</f>
        <v>216.08384053012568</v>
      </c>
      <c r="I158" s="551">
        <f>7.84/F158</f>
        <v>9.4116517208676953</v>
      </c>
      <c r="J158" s="560">
        <f>14.81/F158</f>
        <v>17.778898212506451</v>
      </c>
      <c r="K158" s="566">
        <f>Tabel66892628[[#This Row],[Fix.ch. 2017]]+Tabel66892628[[#This Row],[Var. ch. 2017]]+Tabel66892628[[#This Row],[Oth. ch. DW 2017]]+Tabel66892628[[#This Row],[VAT DW 2017]]</f>
        <v>314.10187152615214</v>
      </c>
      <c r="L158" s="567">
        <f>190/F158</f>
        <v>228.08849833735488</v>
      </c>
      <c r="M158" s="560">
        <v>0</v>
      </c>
      <c r="N158" s="568">
        <f>159.89/F158</f>
        <v>191.94247367978772</v>
      </c>
      <c r="O158" s="560">
        <v>0</v>
      </c>
      <c r="P158" s="569">
        <f>67.2/F158</f>
        <v>80.671300464580256</v>
      </c>
      <c r="Q158" s="560">
        <f>4.03/F158</f>
        <v>4.8378770963133695</v>
      </c>
      <c r="R158" s="570">
        <f>Tabel66892628[[#This Row],[VAT DW 2017]]+Tabel66892628[[#This Row],[VAT Sew. 2017]]+Tabel66892628[[#This Row],[VAT WW 2017]]+Tabel66892628[[#This Row],[VAT Other ch. 2017]]</f>
        <v>22.616775308819822</v>
      </c>
      <c r="S158" s="571">
        <f>Tabel66892628[[#This Row],[Total. ch. DW 2017]]+Tabel66892628[[#This Row],[Sew. 2017]]+Tabel66892628[[#This Row],[VAT Sew. 2017]]+Tabel66892628[[#This Row],[WW 2017]]+Tabel66892628[[#This Row],[VAT WW 2017]]+Tabel66892628[[#This Row],[Other ch. 2017]]+Tabel66892628[[#This Row],[VAT Other ch. 2017]]</f>
        <v>819.6420211041883</v>
      </c>
      <c r="T158" s="397"/>
      <c r="U158" s="2081"/>
      <c r="V158" s="1766"/>
      <c r="W158" s="1769"/>
      <c r="X158" s="1783"/>
      <c r="Y158" s="1775"/>
      <c r="Z158" s="1778"/>
      <c r="AA158" s="1783"/>
      <c r="AB158" s="1781"/>
      <c r="AC158" s="1783"/>
      <c r="AD158" s="1785"/>
      <c r="AE158" s="1783"/>
      <c r="AF158" s="1788"/>
      <c r="AG158" s="1791"/>
      <c r="AH158" s="397"/>
      <c r="AI158" s="591" t="s">
        <v>429</v>
      </c>
      <c r="AJ158" s="591" t="s">
        <v>429</v>
      </c>
      <c r="AK158" s="591"/>
      <c r="AL158" s="591"/>
      <c r="AM158" s="591" t="s">
        <v>429</v>
      </c>
      <c r="AN158" s="591"/>
      <c r="AO158" s="712" t="s">
        <v>925</v>
      </c>
      <c r="AP158" s="430"/>
    </row>
    <row r="159" spans="1:42" ht="15.75" customHeight="1" x14ac:dyDescent="0.25">
      <c r="A159" s="2079"/>
      <c r="B159" s="631" t="s">
        <v>184</v>
      </c>
      <c r="C159" s="631"/>
      <c r="D159" s="631" t="s">
        <v>1106</v>
      </c>
      <c r="E159" s="1967"/>
      <c r="F159" s="616">
        <f>'exchange rates'!$O$44</f>
        <v>0.83301000000000003</v>
      </c>
      <c r="G159" s="549">
        <f>61.18/F159</f>
        <v>73.444496464628273</v>
      </c>
      <c r="H159" s="550">
        <f>204/F159</f>
        <v>244.89501926747576</v>
      </c>
      <c r="I159" s="551">
        <f>18.4/F159</f>
        <v>22.088570365301734</v>
      </c>
      <c r="J159" s="560">
        <f>17.01/F159</f>
        <v>20.419922930096877</v>
      </c>
      <c r="K159" s="566">
        <f>Tabel66892628[[#This Row],[Fix.ch. 2017]]+Tabel66892628[[#This Row],[Var. ch. 2017]]+Tabel66892628[[#This Row],[Oth. ch. DW 2017]]+Tabel66892628[[#This Row],[VAT DW 2017]]</f>
        <v>360.84800902750266</v>
      </c>
      <c r="L159" s="567">
        <f>137/F159</f>
        <v>164.4638119590401</v>
      </c>
      <c r="M159" s="560">
        <v>0</v>
      </c>
      <c r="N159" s="568">
        <f>280.5/F159</f>
        <v>336.7306514927792</v>
      </c>
      <c r="O159" s="560">
        <v>0</v>
      </c>
      <c r="P159" s="569">
        <f>67.2/F159</f>
        <v>80.671300464580256</v>
      </c>
      <c r="Q159" s="560">
        <f t="shared" ref="Q159:Q161" si="22">4.03/F159</f>
        <v>4.8378770963133695</v>
      </c>
      <c r="R159" s="570">
        <f>Tabel66892628[[#This Row],[VAT DW 2017]]+Tabel66892628[[#This Row],[VAT Sew. 2017]]+Tabel66892628[[#This Row],[VAT WW 2017]]+Tabel66892628[[#This Row],[VAT Other ch. 2017]]</f>
        <v>25.257800026410248</v>
      </c>
      <c r="S159" s="571">
        <f>Tabel66892628[[#This Row],[Total. ch. DW 2017]]+Tabel66892628[[#This Row],[Sew. 2017]]+Tabel66892628[[#This Row],[VAT Sew. 2017]]+Tabel66892628[[#This Row],[WW 2017]]+Tabel66892628[[#This Row],[VAT WW 2017]]+Tabel66892628[[#This Row],[Other ch. 2017]]+Tabel66892628[[#This Row],[VAT Other ch. 2017]]</f>
        <v>947.55165004021558</v>
      </c>
      <c r="T159" s="397"/>
      <c r="U159" s="2081"/>
      <c r="V159" s="1766"/>
      <c r="W159" s="1769"/>
      <c r="X159" s="1783"/>
      <c r="Y159" s="1775"/>
      <c r="Z159" s="1778"/>
      <c r="AA159" s="1783"/>
      <c r="AB159" s="1781"/>
      <c r="AC159" s="1783"/>
      <c r="AD159" s="1785"/>
      <c r="AE159" s="1783"/>
      <c r="AF159" s="1788"/>
      <c r="AG159" s="1791"/>
      <c r="AH159" s="397"/>
      <c r="AI159" s="614"/>
      <c r="AJ159" s="591" t="s">
        <v>429</v>
      </c>
      <c r="AK159" s="591"/>
      <c r="AL159" s="591"/>
      <c r="AM159" s="591" t="s">
        <v>429</v>
      </c>
      <c r="AN159" s="591"/>
      <c r="AO159" s="712" t="s">
        <v>925</v>
      </c>
      <c r="AP159" s="430"/>
    </row>
    <row r="160" spans="1:42" ht="15.75" customHeight="1" x14ac:dyDescent="0.25">
      <c r="A160" s="2079"/>
      <c r="B160" s="631" t="s">
        <v>185</v>
      </c>
      <c r="C160" s="631"/>
      <c r="D160" s="631" t="s">
        <v>1106</v>
      </c>
      <c r="E160" s="1967"/>
      <c r="F160" s="616">
        <f>'exchange rates'!$O$44</f>
        <v>0.83301000000000003</v>
      </c>
      <c r="G160" s="549">
        <f>45/F160</f>
        <v>54.020960132531421</v>
      </c>
      <c r="H160" s="550">
        <f>126/F160</f>
        <v>151.25868837108797</v>
      </c>
      <c r="I160" s="551">
        <v>0</v>
      </c>
      <c r="J160" s="560">
        <f>10.26/F160</f>
        <v>12.316778910217163</v>
      </c>
      <c r="K160" s="566">
        <f>Tabel66892628[[#This Row],[Fix.ch. 2017]]+Tabel66892628[[#This Row],[Var. ch. 2017]]+Tabel66892628[[#This Row],[Oth. ch. DW 2017]]+Tabel66892628[[#This Row],[VAT DW 2017]]</f>
        <v>217.59642741383655</v>
      </c>
      <c r="L160" s="567">
        <f>220/F160</f>
        <v>264.10247175904249</v>
      </c>
      <c r="M160" s="560">
        <v>0</v>
      </c>
      <c r="N160" s="568">
        <f>192.24/F160</f>
        <v>230.77754168617423</v>
      </c>
      <c r="O160" s="560">
        <v>0</v>
      </c>
      <c r="P160" s="569">
        <f>67.2/F160</f>
        <v>80.671300464580256</v>
      </c>
      <c r="Q160" s="560">
        <f t="shared" si="22"/>
        <v>4.8378770963133695</v>
      </c>
      <c r="R160" s="570">
        <f>Tabel66892628[[#This Row],[VAT DW 2017]]+Tabel66892628[[#This Row],[VAT Sew. 2017]]+Tabel66892628[[#This Row],[VAT WW 2017]]+Tabel66892628[[#This Row],[VAT Other ch. 2017]]</f>
        <v>17.154656006530534</v>
      </c>
      <c r="S160" s="571">
        <f>Tabel66892628[[#This Row],[Total. ch. DW 2017]]+Tabel66892628[[#This Row],[Sew. 2017]]+Tabel66892628[[#This Row],[VAT Sew. 2017]]+Tabel66892628[[#This Row],[WW 2017]]+Tabel66892628[[#This Row],[VAT WW 2017]]+Tabel66892628[[#This Row],[Other ch. 2017]]+Tabel66892628[[#This Row],[VAT Other ch. 2017]]</f>
        <v>797.98561841994683</v>
      </c>
      <c r="T160" s="397"/>
      <c r="U160" s="2081"/>
      <c r="V160" s="1766"/>
      <c r="W160" s="1769"/>
      <c r="X160" s="1783"/>
      <c r="Y160" s="1775"/>
      <c r="Z160" s="1778"/>
      <c r="AA160" s="1783"/>
      <c r="AB160" s="1781"/>
      <c r="AC160" s="1783"/>
      <c r="AD160" s="1785"/>
      <c r="AE160" s="1783"/>
      <c r="AF160" s="1788"/>
      <c r="AG160" s="1791"/>
      <c r="AH160" s="397"/>
      <c r="AI160" s="614"/>
      <c r="AJ160" s="591" t="s">
        <v>429</v>
      </c>
      <c r="AK160" s="591"/>
      <c r="AL160" s="591"/>
      <c r="AM160" s="591" t="s">
        <v>429</v>
      </c>
      <c r="AN160" s="591"/>
      <c r="AO160" s="712" t="s">
        <v>925</v>
      </c>
      <c r="AP160" s="430"/>
    </row>
    <row r="161" spans="1:42" ht="16.5" customHeight="1" thickBot="1" x14ac:dyDescent="0.3">
      <c r="A161" s="2079"/>
      <c r="B161" s="631" t="s">
        <v>186</v>
      </c>
      <c r="C161" s="631"/>
      <c r="D161" s="631" t="s">
        <v>1106</v>
      </c>
      <c r="E161" s="1967"/>
      <c r="F161" s="616">
        <f>'exchange rates'!$O$44</f>
        <v>0.83301000000000003</v>
      </c>
      <c r="G161" s="549">
        <f>70.44/F161</f>
        <v>84.560809594122517</v>
      </c>
      <c r="H161" s="550">
        <f>92.3/F161</f>
        <v>110.80299156072556</v>
      </c>
      <c r="I161" s="551">
        <v>0</v>
      </c>
      <c r="J161" s="560">
        <f>9.76/F161</f>
        <v>11.716546019855704</v>
      </c>
      <c r="K161" s="566">
        <f>Tabel66892628[[#This Row],[Fix.ch. 2017]]+Tabel66892628[[#This Row],[Var. ch. 2017]]+Tabel66892628[[#This Row],[Oth. ch. DW 2017]]+Tabel66892628[[#This Row],[VAT DW 2017]]</f>
        <v>207.0803471747038</v>
      </c>
      <c r="L161" s="567">
        <f>144/F161</f>
        <v>172.86707242410054</v>
      </c>
      <c r="M161" s="560">
        <v>0</v>
      </c>
      <c r="N161" s="568">
        <f>145.44/F161</f>
        <v>174.59574314834154</v>
      </c>
      <c r="O161" s="560">
        <v>0</v>
      </c>
      <c r="P161" s="569">
        <f>67.2/F161</f>
        <v>80.671300464580256</v>
      </c>
      <c r="Q161" s="560">
        <f t="shared" si="22"/>
        <v>4.8378770963133695</v>
      </c>
      <c r="R161" s="570">
        <f>Tabel66892628[[#This Row],[VAT DW 2017]]+Tabel66892628[[#This Row],[VAT Sew. 2017]]+Tabel66892628[[#This Row],[VAT WW 2017]]+Tabel66892628[[#This Row],[VAT Other ch. 2017]]</f>
        <v>16.554423116169072</v>
      </c>
      <c r="S161" s="571">
        <f>Tabel66892628[[#This Row],[Total. ch. DW 2017]]+Tabel66892628[[#This Row],[Sew. 2017]]+Tabel66892628[[#This Row],[VAT Sew. 2017]]+Tabel66892628[[#This Row],[WW 2017]]+Tabel66892628[[#This Row],[VAT WW 2017]]+Tabel66892628[[#This Row],[Other ch. 2017]]+Tabel66892628[[#This Row],[VAT Other ch. 2017]]</f>
        <v>640.05234030803945</v>
      </c>
      <c r="T161" s="397"/>
      <c r="U161" s="2081"/>
      <c r="V161" s="1766"/>
      <c r="W161" s="1769"/>
      <c r="X161" s="1773"/>
      <c r="Y161" s="1775"/>
      <c r="Z161" s="1778"/>
      <c r="AA161" s="1773"/>
      <c r="AB161" s="1781"/>
      <c r="AC161" s="1773"/>
      <c r="AD161" s="1785"/>
      <c r="AE161" s="1773"/>
      <c r="AF161" s="1788"/>
      <c r="AG161" s="1791"/>
      <c r="AH161" s="397"/>
      <c r="AI161" s="614"/>
      <c r="AJ161" s="591" t="s">
        <v>429</v>
      </c>
      <c r="AK161" s="591"/>
      <c r="AL161" s="591"/>
      <c r="AM161" s="591" t="s">
        <v>429</v>
      </c>
      <c r="AN161" s="591"/>
      <c r="AO161" s="712" t="s">
        <v>925</v>
      </c>
      <c r="AP161" s="430"/>
    </row>
    <row r="162" spans="1:42" ht="18.75" x14ac:dyDescent="0.25">
      <c r="A162" s="2004" t="s">
        <v>527</v>
      </c>
      <c r="B162" s="275" t="s">
        <v>528</v>
      </c>
      <c r="C162" s="809" t="s">
        <v>429</v>
      </c>
      <c r="D162" s="809" t="s">
        <v>1108</v>
      </c>
      <c r="E162" s="2111">
        <v>27900</v>
      </c>
      <c r="F162" s="306">
        <v>1.28559</v>
      </c>
      <c r="G162" s="319">
        <f>125/F162</f>
        <v>97.231621278945852</v>
      </c>
      <c r="H162" s="320">
        <v>0</v>
      </c>
      <c r="I162" s="321">
        <f>220/F162</f>
        <v>171.12765345094471</v>
      </c>
      <c r="J162" s="559"/>
      <c r="K162" s="313">
        <f>Tabel66892628[[#This Row],[Fix.ch. 2017]]+Tabel66892628[[#This Row],[Var. ch. 2017]]+Tabel66892628[[#This Row],[Oth. ch. DW 2017]]+Tabel66892628[[#This Row],[VAT DW 2017]]</f>
        <v>268.35927472989056</v>
      </c>
      <c r="L162" s="322">
        <v>0</v>
      </c>
      <c r="M162" s="559"/>
      <c r="N162" s="323">
        <f>280/F162</f>
        <v>217.7988316648387</v>
      </c>
      <c r="O162" s="559"/>
      <c r="P162" s="324">
        <v>0</v>
      </c>
      <c r="Q162" s="559"/>
      <c r="R162" s="317">
        <f>Tabel66892628[[#This Row],[VAT DW 2017]]+Tabel66892628[[#This Row],[VAT Sew. 2017]]+Tabel66892628[[#This Row],[VAT WW 2017]]+Tabel66892628[[#This Row],[VAT Other ch. 2017]]</f>
        <v>0</v>
      </c>
      <c r="S162" s="318">
        <f>Tabel66892628[[#This Row],[Total. ch. DW 2017]]+Tabel66892628[[#This Row],[Sew. 2017]]+Tabel66892628[[#This Row],[VAT Sew. 2017]]+Tabel66892628[[#This Row],[WW 2017]]+Tabel66892628[[#This Row],[VAT WW 2017]]+Tabel66892628[[#This Row],[Other ch. 2017]]+Tabel66892628[[#This Row],[VAT Other ch. 2017]]</f>
        <v>486.15810639472926</v>
      </c>
      <c r="T162" s="397"/>
      <c r="U162" s="2112">
        <f>SUM(G162:G166)/5</f>
        <v>118.23365147519814</v>
      </c>
      <c r="V162" s="2113">
        <f>SUM(H162:H166)/5</f>
        <v>98.009474249177416</v>
      </c>
      <c r="W162" s="2114">
        <f>SUM(I162:I166)/5</f>
        <v>34.22553069018894</v>
      </c>
      <c r="X162" s="575"/>
      <c r="Y162" s="2115">
        <f>SUM(K162:K166)/5</f>
        <v>250.46865641456452</v>
      </c>
      <c r="Z162" s="2116">
        <f>SUM(L162:L166)/5</f>
        <v>0</v>
      </c>
      <c r="AA162" s="575"/>
      <c r="AB162" s="2117">
        <f>SUM(N162:N166)/5</f>
        <v>238.80086186109102</v>
      </c>
      <c r="AC162" s="575"/>
      <c r="AD162" s="2118">
        <f>SUM(P162:P166)/5</f>
        <v>0</v>
      </c>
      <c r="AE162" s="575"/>
      <c r="AF162" s="2093">
        <f t="shared" ref="AF162:AG162" si="23">SUM(R162:R166)/5</f>
        <v>0</v>
      </c>
      <c r="AG162" s="2094">
        <f t="shared" si="23"/>
        <v>489.26951827565551</v>
      </c>
      <c r="AH162" s="397"/>
      <c r="AI162" s="398"/>
      <c r="AJ162" s="398"/>
      <c r="AK162" s="398"/>
      <c r="AL162" s="398"/>
      <c r="AM162" s="398"/>
      <c r="AN162" s="398"/>
      <c r="AO162" s="398"/>
      <c r="AP162" s="397"/>
    </row>
    <row r="163" spans="1:42" ht="18.75" x14ac:dyDescent="0.25">
      <c r="A163" s="2005"/>
      <c r="B163" s="261" t="s">
        <v>529</v>
      </c>
      <c r="C163" s="261"/>
      <c r="D163" s="261" t="s">
        <v>1108</v>
      </c>
      <c r="E163" s="1837"/>
      <c r="F163" s="306">
        <v>1.28559</v>
      </c>
      <c r="G163" s="319">
        <f>360/F163</f>
        <v>280.02706928336403</v>
      </c>
      <c r="H163" s="320">
        <v>0</v>
      </c>
      <c r="I163" s="321">
        <v>0</v>
      </c>
      <c r="J163" s="559"/>
      <c r="K163" s="313">
        <f>Tabel66892628[[#This Row],[Fix.ch. 2017]]+Tabel66892628[[#This Row],[Var. ch. 2017]]+Tabel66892628[[#This Row],[Oth. ch. DW 2017]]+Tabel66892628[[#This Row],[VAT DW 2017]]</f>
        <v>280.02706928336403</v>
      </c>
      <c r="L163" s="322">
        <v>0</v>
      </c>
      <c r="M163" s="559"/>
      <c r="N163" s="323">
        <f>310/F163</f>
        <v>241.13442077178573</v>
      </c>
      <c r="O163" s="559"/>
      <c r="P163" s="324">
        <v>0</v>
      </c>
      <c r="Q163" s="559"/>
      <c r="R163" s="317">
        <f>Tabel66892628[[#This Row],[VAT DW 2017]]+Tabel66892628[[#This Row],[VAT Sew. 2017]]+Tabel66892628[[#This Row],[VAT WW 2017]]+Tabel66892628[[#This Row],[VAT Other ch. 2017]]</f>
        <v>0</v>
      </c>
      <c r="S163" s="318">
        <f>Tabel66892628[[#This Row],[Total. ch. DW 2017]]+Tabel66892628[[#This Row],[Sew. 2017]]+Tabel66892628[[#This Row],[VAT Sew. 2017]]+Tabel66892628[[#This Row],[WW 2017]]+Tabel66892628[[#This Row],[VAT WW 2017]]+Tabel66892628[[#This Row],[Other ch. 2017]]+Tabel66892628[[#This Row],[VAT Other ch. 2017]]</f>
        <v>521.16149005514978</v>
      </c>
      <c r="T163" s="397"/>
      <c r="U163" s="1840"/>
      <c r="V163" s="1843"/>
      <c r="W163" s="1846"/>
      <c r="X163" s="576"/>
      <c r="Y163" s="1849"/>
      <c r="Z163" s="1852"/>
      <c r="AA163" s="576"/>
      <c r="AB163" s="1855"/>
      <c r="AC163" s="576"/>
      <c r="AD163" s="1858"/>
      <c r="AE163" s="576"/>
      <c r="AF163" s="1873"/>
      <c r="AG163" s="1876"/>
      <c r="AH163" s="397"/>
      <c r="AI163" s="398"/>
      <c r="AJ163" s="398"/>
      <c r="AK163" s="398"/>
      <c r="AL163" s="398"/>
      <c r="AM163" s="398"/>
      <c r="AN163" s="398"/>
      <c r="AO163" s="398"/>
      <c r="AP163" s="397"/>
    </row>
    <row r="164" spans="1:42" ht="18.75" x14ac:dyDescent="0.25">
      <c r="A164" s="2005"/>
      <c r="B164" s="261" t="s">
        <v>530</v>
      </c>
      <c r="C164" s="261"/>
      <c r="D164" s="261" t="s">
        <v>1108</v>
      </c>
      <c r="E164" s="1837"/>
      <c r="F164" s="306">
        <v>1.28559</v>
      </c>
      <c r="G164" s="319">
        <f>225/F164</f>
        <v>175.01691830210254</v>
      </c>
      <c r="H164" s="320">
        <v>0</v>
      </c>
      <c r="I164" s="321">
        <v>0</v>
      </c>
      <c r="J164" s="559"/>
      <c r="K164" s="313">
        <f>Tabel66892628[[#This Row],[Fix.ch. 2017]]+Tabel66892628[[#This Row],[Var. ch. 2017]]+Tabel66892628[[#This Row],[Oth. ch. DW 2017]]+Tabel66892628[[#This Row],[VAT DW 2017]]</f>
        <v>175.01691830210254</v>
      </c>
      <c r="L164" s="322">
        <v>0</v>
      </c>
      <c r="M164" s="559"/>
      <c r="N164" s="323">
        <f>125/F164</f>
        <v>97.231621278945852</v>
      </c>
      <c r="O164" s="559"/>
      <c r="P164" s="324">
        <v>0</v>
      </c>
      <c r="Q164" s="559"/>
      <c r="R164" s="317">
        <f>Tabel66892628[[#This Row],[VAT DW 2017]]+Tabel66892628[[#This Row],[VAT Sew. 2017]]+Tabel66892628[[#This Row],[VAT WW 2017]]+Tabel66892628[[#This Row],[VAT Other ch. 2017]]</f>
        <v>0</v>
      </c>
      <c r="S164" s="318">
        <f>Tabel66892628[[#This Row],[Total. ch. DW 2017]]+Tabel66892628[[#This Row],[Sew. 2017]]+Tabel66892628[[#This Row],[VAT Sew. 2017]]+Tabel66892628[[#This Row],[WW 2017]]+Tabel66892628[[#This Row],[VAT WW 2017]]+Tabel66892628[[#This Row],[Other ch. 2017]]+Tabel66892628[[#This Row],[VAT Other ch. 2017]]</f>
        <v>272.24853958104836</v>
      </c>
      <c r="T164" s="397"/>
      <c r="U164" s="1840"/>
      <c r="V164" s="1843"/>
      <c r="W164" s="1846"/>
      <c r="X164" s="576"/>
      <c r="Y164" s="1849"/>
      <c r="Z164" s="1852"/>
      <c r="AA164" s="576"/>
      <c r="AB164" s="1855"/>
      <c r="AC164" s="576"/>
      <c r="AD164" s="1858"/>
      <c r="AE164" s="576"/>
      <c r="AF164" s="1873"/>
      <c r="AG164" s="1876"/>
      <c r="AH164" s="397"/>
      <c r="AI164" s="398"/>
      <c r="AJ164" s="398"/>
      <c r="AK164" s="398"/>
      <c r="AL164" s="398"/>
      <c r="AM164" s="398"/>
      <c r="AN164" s="398"/>
      <c r="AO164" s="398"/>
      <c r="AP164" s="397"/>
    </row>
    <row r="165" spans="1:42" ht="18.75" x14ac:dyDescent="0.25">
      <c r="A165" s="2005"/>
      <c r="B165" s="261" t="s">
        <v>531</v>
      </c>
      <c r="C165" s="261"/>
      <c r="D165" s="261" t="s">
        <v>1108</v>
      </c>
      <c r="E165" s="1837"/>
      <c r="F165" s="306">
        <v>1.28559</v>
      </c>
      <c r="G165" s="319">
        <f>25/F165</f>
        <v>19.446324255789172</v>
      </c>
      <c r="H165" s="320">
        <f>280/F165</f>
        <v>217.7988316648387</v>
      </c>
      <c r="I165" s="321">
        <v>0</v>
      </c>
      <c r="J165" s="559"/>
      <c r="K165" s="313">
        <f>Tabel66892628[[#This Row],[Fix.ch. 2017]]+Tabel66892628[[#This Row],[Var. ch. 2017]]+Tabel66892628[[#This Row],[Oth. ch. DW 2017]]+Tabel66892628[[#This Row],[VAT DW 2017]]</f>
        <v>237.24515592062787</v>
      </c>
      <c r="L165" s="322">
        <v>0</v>
      </c>
      <c r="M165" s="559"/>
      <c r="N165" s="323">
        <f>280/F165</f>
        <v>217.7988316648387</v>
      </c>
      <c r="O165" s="559"/>
      <c r="P165" s="324">
        <v>0</v>
      </c>
      <c r="Q165" s="559"/>
      <c r="R165" s="317">
        <f>Tabel66892628[[#This Row],[VAT DW 2017]]+Tabel66892628[[#This Row],[VAT Sew. 2017]]+Tabel66892628[[#This Row],[VAT WW 2017]]+Tabel66892628[[#This Row],[VAT Other ch. 2017]]</f>
        <v>0</v>
      </c>
      <c r="S165" s="318">
        <f>Tabel66892628[[#This Row],[Total. ch. DW 2017]]+Tabel66892628[[#This Row],[Sew. 2017]]+Tabel66892628[[#This Row],[VAT Sew. 2017]]+Tabel66892628[[#This Row],[WW 2017]]+Tabel66892628[[#This Row],[VAT WW 2017]]+Tabel66892628[[#This Row],[Other ch. 2017]]+Tabel66892628[[#This Row],[VAT Other ch. 2017]]</f>
        <v>455.04398758546654</v>
      </c>
      <c r="T165" s="397"/>
      <c r="U165" s="1840"/>
      <c r="V165" s="1843"/>
      <c r="W165" s="1846"/>
      <c r="X165" s="576"/>
      <c r="Y165" s="1849"/>
      <c r="Z165" s="1852"/>
      <c r="AA165" s="576"/>
      <c r="AB165" s="1855"/>
      <c r="AC165" s="576"/>
      <c r="AD165" s="1858"/>
      <c r="AE165" s="576"/>
      <c r="AF165" s="1873"/>
      <c r="AG165" s="1876"/>
      <c r="AH165" s="397"/>
      <c r="AI165" s="398"/>
      <c r="AJ165" s="398"/>
      <c r="AK165" s="398"/>
      <c r="AL165" s="398"/>
      <c r="AM165" s="398"/>
      <c r="AN165" s="398"/>
      <c r="AO165" s="398"/>
      <c r="AP165" s="397"/>
    </row>
    <row r="166" spans="1:42" ht="19.5" thickBot="1" x14ac:dyDescent="0.3">
      <c r="A166" s="2006"/>
      <c r="B166" s="262" t="s">
        <v>532</v>
      </c>
      <c r="C166" s="800"/>
      <c r="D166" s="800" t="s">
        <v>1108</v>
      </c>
      <c r="E166" s="1838"/>
      <c r="F166" s="306">
        <v>1.28559</v>
      </c>
      <c r="G166" s="319">
        <f>25/F166</f>
        <v>19.446324255789172</v>
      </c>
      <c r="H166" s="320">
        <f>350/F166</f>
        <v>272.24853958104836</v>
      </c>
      <c r="I166" s="321">
        <v>0</v>
      </c>
      <c r="J166" s="559"/>
      <c r="K166" s="313">
        <f>Tabel66892628[[#This Row],[Fix.ch. 2017]]+Tabel66892628[[#This Row],[Var. ch. 2017]]+Tabel66892628[[#This Row],[Oth. ch. DW 2017]]+Tabel66892628[[#This Row],[VAT DW 2017]]</f>
        <v>291.69486383683756</v>
      </c>
      <c r="L166" s="322">
        <v>0</v>
      </c>
      <c r="M166" s="559"/>
      <c r="N166" s="323">
        <f>540/F166</f>
        <v>420.04060392504607</v>
      </c>
      <c r="O166" s="559"/>
      <c r="P166" s="324">
        <v>0</v>
      </c>
      <c r="Q166" s="559"/>
      <c r="R166" s="317">
        <f>Tabel66892628[[#This Row],[VAT DW 2017]]+Tabel66892628[[#This Row],[VAT Sew. 2017]]+Tabel66892628[[#This Row],[VAT WW 2017]]+Tabel66892628[[#This Row],[VAT Other ch. 2017]]</f>
        <v>0</v>
      </c>
      <c r="S166" s="318">
        <f>Tabel66892628[[#This Row],[Total. ch. DW 2017]]+Tabel66892628[[#This Row],[Sew. 2017]]+Tabel66892628[[#This Row],[VAT Sew. 2017]]+Tabel66892628[[#This Row],[WW 2017]]+Tabel66892628[[#This Row],[VAT WW 2017]]+Tabel66892628[[#This Row],[Other ch. 2017]]+Tabel66892628[[#This Row],[VAT Other ch. 2017]]</f>
        <v>711.73546776188368</v>
      </c>
      <c r="T166" s="397"/>
      <c r="U166" s="1841"/>
      <c r="V166" s="1844"/>
      <c r="W166" s="1847"/>
      <c r="X166" s="577"/>
      <c r="Y166" s="1850"/>
      <c r="Z166" s="1853"/>
      <c r="AA166" s="577"/>
      <c r="AB166" s="1856"/>
      <c r="AC166" s="577"/>
      <c r="AD166" s="1859"/>
      <c r="AE166" s="577"/>
      <c r="AF166" s="1874"/>
      <c r="AG166" s="1877"/>
      <c r="AH166" s="397"/>
      <c r="AI166" s="398"/>
      <c r="AJ166" s="398"/>
      <c r="AK166" s="398"/>
      <c r="AL166" s="398"/>
      <c r="AM166" s="398"/>
      <c r="AN166" s="398"/>
      <c r="AO166" s="398"/>
      <c r="AP166" s="397"/>
    </row>
    <row r="167" spans="1:42" ht="19.5" thickBot="1" x14ac:dyDescent="0.35">
      <c r="A167" s="267" t="s">
        <v>46</v>
      </c>
      <c r="B167" s="295" t="s">
        <v>477</v>
      </c>
      <c r="C167" s="1048"/>
      <c r="D167" s="811" t="s">
        <v>1110</v>
      </c>
      <c r="E167" s="302">
        <v>39500</v>
      </c>
      <c r="F167" s="306">
        <v>0.64417999999999997</v>
      </c>
      <c r="G167" s="319">
        <f>94/F167</f>
        <v>145.92194728181565</v>
      </c>
      <c r="H167" s="320">
        <f>208/F167</f>
        <v>322.89111738954949</v>
      </c>
      <c r="I167" s="321">
        <v>0</v>
      </c>
      <c r="J167" s="559"/>
      <c r="K167" s="313">
        <f>Tabel66892628[[#This Row],[Fix.ch. 2017]]+Tabel66892628[[#This Row],[Var. ch. 2017]]+Tabel66892628[[#This Row],[Oth. ch. DW 2017]]+Tabel66892628[[#This Row],[VAT DW 2017]]</f>
        <v>468.81306467136517</v>
      </c>
      <c r="L167" s="322">
        <v>0</v>
      </c>
      <c r="M167" s="559"/>
      <c r="N167" s="323">
        <f>449/F167</f>
        <v>697.01015244186408</v>
      </c>
      <c r="O167" s="559"/>
      <c r="P167" s="324">
        <v>0</v>
      </c>
      <c r="Q167" s="559"/>
      <c r="R167" s="317">
        <f>Tabel66892628[[#This Row],[VAT DW 2017]]+Tabel66892628[[#This Row],[VAT Sew. 2017]]+Tabel66892628[[#This Row],[VAT WW 2017]]+Tabel66892628[[#This Row],[VAT Other ch. 2017]]</f>
        <v>0</v>
      </c>
      <c r="S167" s="318">
        <f>Tabel66892628[[#This Row],[Total. ch. DW 2017]]+Tabel66892628[[#This Row],[Sew. 2017]]+Tabel66892628[[#This Row],[VAT Sew. 2017]]+Tabel66892628[[#This Row],[WW 2017]]+Tabel66892628[[#This Row],[VAT WW 2017]]+Tabel66892628[[#This Row],[Other ch. 2017]]+Tabel66892628[[#This Row],[VAT Other ch. 2017]]</f>
        <v>1165.8232171132292</v>
      </c>
      <c r="T167" s="397"/>
      <c r="U167" s="385">
        <f>Tabel66892628[[#This Row],[Fix.ch. 2017]]</f>
        <v>145.92194728181565</v>
      </c>
      <c r="V167" s="386">
        <f>Tabel66892628[[#This Row],[Var. ch. 2017]]</f>
        <v>322.89111738954949</v>
      </c>
      <c r="W167" s="387">
        <v>0</v>
      </c>
      <c r="X167" s="574"/>
      <c r="Y167" s="388">
        <f>Tabel66892628[[#This Row],[Total. ch. DW 2017]]</f>
        <v>468.81306467136517</v>
      </c>
      <c r="Z167" s="389">
        <v>0</v>
      </c>
      <c r="AA167" s="574"/>
      <c r="AB167" s="390">
        <f>Tabel66892628[[#This Row],[WW 2017]]</f>
        <v>697.01015244186408</v>
      </c>
      <c r="AC167" s="574"/>
      <c r="AD167" s="391">
        <v>0</v>
      </c>
      <c r="AE167" s="574"/>
      <c r="AF167" s="392">
        <f>Tabel66892628[[#This Row],[Total VAT 2017]]</f>
        <v>0</v>
      </c>
      <c r="AG167" s="393">
        <f>Tabel66892628[[#This Row],[total charge 2017]]</f>
        <v>1165.8232171132292</v>
      </c>
      <c r="AH167" s="397"/>
      <c r="AI167" s="398"/>
      <c r="AJ167" s="398"/>
      <c r="AK167" s="398"/>
      <c r="AL167" s="398"/>
      <c r="AM167" s="398"/>
      <c r="AN167" s="398"/>
      <c r="AO167" s="398" t="s">
        <v>476</v>
      </c>
      <c r="AP167" s="397"/>
    </row>
    <row r="168" spans="1:42" ht="15.75" customHeight="1" x14ac:dyDescent="0.25">
      <c r="A168" s="1818" t="s">
        <v>21</v>
      </c>
      <c r="B168" s="546" t="s">
        <v>125</v>
      </c>
      <c r="C168" s="1046"/>
      <c r="D168" s="802" t="s">
        <v>1112</v>
      </c>
      <c r="E168" s="1983">
        <v>70600</v>
      </c>
      <c r="F168" s="617">
        <f>'exchange rates'!$O$47</f>
        <v>8.20533</v>
      </c>
      <c r="G168" s="549">
        <f>2459/F168</f>
        <v>299.6832546649556</v>
      </c>
      <c r="H168" s="550">
        <v>0</v>
      </c>
      <c r="I168" s="551">
        <v>0</v>
      </c>
      <c r="J168" s="560">
        <f>614.25/F168</f>
        <v>74.859877664883683</v>
      </c>
      <c r="K168" s="566">
        <f>Tabel66892628[[#This Row],[Fix.ch. 2017]]+Tabel66892628[[#This Row],[Var. ch. 2017]]+Tabel66892628[[#This Row],[Oth. ch. DW 2017]]+Tabel66892628[[#This Row],[VAT DW 2017]]</f>
        <v>374.5431323298393</v>
      </c>
      <c r="L168" s="567">
        <f>3428/F168</f>
        <v>417.77722529136548</v>
      </c>
      <c r="M168" s="560">
        <f>857/F168</f>
        <v>104.44430632284137</v>
      </c>
      <c r="N168" s="568">
        <f>0</f>
        <v>0</v>
      </c>
      <c r="O168" s="560">
        <v>0</v>
      </c>
      <c r="P168" s="569">
        <v>0</v>
      </c>
      <c r="Q168" s="560">
        <v>0</v>
      </c>
      <c r="R168" s="570">
        <f>Tabel66892628[[#This Row],[VAT DW 2017]]+Tabel66892628[[#This Row],[VAT Sew. 2017]]+Tabel66892628[[#This Row],[VAT WW 2017]]+Tabel66892628[[#This Row],[VAT Other ch. 2017]]</f>
        <v>179.30418398772505</v>
      </c>
      <c r="S168" s="571">
        <f>Tabel66892628[[#This Row],[Total. ch. DW 2017]]+Tabel66892628[[#This Row],[Sew. 2017]]+Tabel66892628[[#This Row],[VAT Sew. 2017]]+Tabel66892628[[#This Row],[WW 2017]]+Tabel66892628[[#This Row],[VAT WW 2017]]+Tabel66892628[[#This Row],[Other ch. 2017]]+Tabel66892628[[#This Row],[VAT Other ch. 2017]]</f>
        <v>896.76466394404611</v>
      </c>
      <c r="T168" s="397"/>
      <c r="U168" s="2080">
        <f>MEDIAN(G168:G170)</f>
        <v>38.609050458665287</v>
      </c>
      <c r="V168" s="2096">
        <f>MEDIAN(H168:H170)</f>
        <v>213.03226073783748</v>
      </c>
      <c r="W168" s="2099">
        <f>MEDIAN(I168:I170)</f>
        <v>0</v>
      </c>
      <c r="X168" s="2102">
        <f>MEDIAN(J168:J170)</f>
        <v>65.884004665260264</v>
      </c>
      <c r="Y168" s="2105">
        <f>SUM(U168:X170)</f>
        <v>317.52531586176303</v>
      </c>
      <c r="Z168" s="2108">
        <f t="shared" ref="Z168:AF168" si="24">MEDIAN(L168:L170)</f>
        <v>357.32871194699055</v>
      </c>
      <c r="AA168" s="2102">
        <f t="shared" si="24"/>
        <v>94.024250091099319</v>
      </c>
      <c r="AB168" s="2119">
        <f t="shared" si="24"/>
        <v>0</v>
      </c>
      <c r="AC168" s="2102">
        <f t="shared" si="24"/>
        <v>0</v>
      </c>
      <c r="AD168" s="2122">
        <f t="shared" si="24"/>
        <v>0</v>
      </c>
      <c r="AE168" s="2102">
        <f t="shared" si="24"/>
        <v>0</v>
      </c>
      <c r="AF168" s="2125">
        <f t="shared" si="24"/>
        <v>158.25079551949767</v>
      </c>
      <c r="AG168" s="1817">
        <f>Y168+Z168+AA168+AB168+AC168+AD168+AE168</f>
        <v>768.87827789985295</v>
      </c>
      <c r="AH168" s="397"/>
      <c r="AI168" s="591" t="s">
        <v>429</v>
      </c>
      <c r="AJ168" s="591" t="s">
        <v>429</v>
      </c>
      <c r="AK168" s="396"/>
      <c r="AL168" s="396"/>
      <c r="AM168" s="591" t="s">
        <v>429</v>
      </c>
      <c r="AN168" s="591" t="s">
        <v>429</v>
      </c>
      <c r="AO168" s="398"/>
      <c r="AP168" s="397"/>
    </row>
    <row r="169" spans="1:42" ht="16.5" customHeight="1" x14ac:dyDescent="0.25">
      <c r="A169" s="1819"/>
      <c r="B169" s="547" t="s">
        <v>126</v>
      </c>
      <c r="C169" s="1046" t="s">
        <v>429</v>
      </c>
      <c r="D169" s="802" t="s">
        <v>1112</v>
      </c>
      <c r="E169" s="1760"/>
      <c r="F169" s="617">
        <f>'exchange rates'!$O$47</f>
        <v>8.20533</v>
      </c>
      <c r="G169" s="549">
        <f>308/F169</f>
        <v>37.536576834813467</v>
      </c>
      <c r="H169" s="550">
        <f>1954/F169</f>
        <v>238.13789329618675</v>
      </c>
      <c r="I169" s="551">
        <v>0</v>
      </c>
      <c r="J169" s="560">
        <f>527/F169</f>
        <v>64.226545428398367</v>
      </c>
      <c r="K169" s="566">
        <f>Tabel66892628[[#This Row],[Fix.ch. 2017]]+Tabel66892628[[#This Row],[Var. ch. 2017]]+Tabel66892628[[#This Row],[Oth. ch. DW 2017]]+Tabel66892628[[#This Row],[VAT DW 2017]]</f>
        <v>339.90101555939856</v>
      </c>
      <c r="L169" s="567">
        <f>2932/F169</f>
        <v>357.32871194699055</v>
      </c>
      <c r="M169" s="560">
        <f>771.5/F169</f>
        <v>94.024250091099319</v>
      </c>
      <c r="N169" s="568">
        <v>0</v>
      </c>
      <c r="O169" s="560">
        <v>0</v>
      </c>
      <c r="P169" s="569">
        <v>0</v>
      </c>
      <c r="Q169" s="560">
        <v>0</v>
      </c>
      <c r="R169" s="570">
        <f>Tabel66892628[[#This Row],[VAT DW 2017]]+Tabel66892628[[#This Row],[VAT Sew. 2017]]+Tabel66892628[[#This Row],[VAT WW 2017]]+Tabel66892628[[#This Row],[VAT Other ch. 2017]]</f>
        <v>158.25079551949767</v>
      </c>
      <c r="S169" s="571">
        <f>Tabel66892628[[#This Row],[Total. ch. DW 2017]]+Tabel66892628[[#This Row],[Sew. 2017]]+Tabel66892628[[#This Row],[VAT Sew. 2017]]+Tabel66892628[[#This Row],[WW 2017]]+Tabel66892628[[#This Row],[VAT WW 2017]]+Tabel66892628[[#This Row],[Other ch. 2017]]+Tabel66892628[[#This Row],[VAT Other ch. 2017]]</f>
        <v>791.25397759748842</v>
      </c>
      <c r="T169" s="397"/>
      <c r="U169" s="2081"/>
      <c r="V169" s="2097"/>
      <c r="W169" s="2100"/>
      <c r="X169" s="2103"/>
      <c r="Y169" s="2106"/>
      <c r="Z169" s="2109"/>
      <c r="AA169" s="2103"/>
      <c r="AB169" s="2120"/>
      <c r="AC169" s="2103"/>
      <c r="AD169" s="2123"/>
      <c r="AE169" s="2103"/>
      <c r="AF169" s="2126"/>
      <c r="AG169" s="1791"/>
      <c r="AH169" s="397"/>
      <c r="AI169" s="591" t="s">
        <v>429</v>
      </c>
      <c r="AJ169" s="591" t="s">
        <v>429</v>
      </c>
      <c r="AK169" s="591"/>
      <c r="AL169" s="591"/>
      <c r="AM169" s="591" t="s">
        <v>429</v>
      </c>
      <c r="AN169" s="591" t="s">
        <v>429</v>
      </c>
      <c r="AO169" s="398"/>
      <c r="AP169" s="397"/>
    </row>
    <row r="170" spans="1:42" ht="18" customHeight="1" thickBot="1" x14ac:dyDescent="0.3">
      <c r="A170" s="1820"/>
      <c r="B170" s="641" t="s">
        <v>127</v>
      </c>
      <c r="C170" s="1046"/>
      <c r="D170" s="807" t="s">
        <v>1112</v>
      </c>
      <c r="E170" s="1996"/>
      <c r="F170" s="617">
        <f>'exchange rates'!$O$47</f>
        <v>8.20533</v>
      </c>
      <c r="G170" s="549">
        <f>316.8/F170</f>
        <v>38.609050458665287</v>
      </c>
      <c r="H170" s="550">
        <f>1748/F170</f>
        <v>213.03226073783748</v>
      </c>
      <c r="I170" s="551">
        <f>97.6/F170</f>
        <v>11.894707464538293</v>
      </c>
      <c r="J170" s="560">
        <f>540.6/F170</f>
        <v>65.884004665260264</v>
      </c>
      <c r="K170" s="566">
        <f>Tabel66892628[[#This Row],[Fix.ch. 2017]]+Tabel66892628[[#This Row],[Var. ch. 2017]]+Tabel66892628[[#This Row],[Oth. ch. DW 2017]]+Tabel66892628[[#This Row],[VAT DW 2017]]</f>
        <v>329.4200233263013</v>
      </c>
      <c r="L170" s="567">
        <f>2239.6/F170</f>
        <v>272.9445372702865</v>
      </c>
      <c r="M170" s="560">
        <f>559.9/F170</f>
        <v>68.236134317571626</v>
      </c>
      <c r="N170" s="568">
        <v>0</v>
      </c>
      <c r="O170" s="560">
        <v>0</v>
      </c>
      <c r="P170" s="569">
        <v>0</v>
      </c>
      <c r="Q170" s="560">
        <v>0</v>
      </c>
      <c r="R170" s="570">
        <f>Tabel66892628[[#This Row],[VAT DW 2017]]+Tabel66892628[[#This Row],[VAT Sew. 2017]]+Tabel66892628[[#This Row],[VAT WW 2017]]+Tabel66892628[[#This Row],[VAT Other ch. 2017]]</f>
        <v>134.12013898283189</v>
      </c>
      <c r="S170" s="571">
        <f>Tabel66892628[[#This Row],[Total. ch. DW 2017]]+Tabel66892628[[#This Row],[Sew. 2017]]+Tabel66892628[[#This Row],[VAT Sew. 2017]]+Tabel66892628[[#This Row],[WW 2017]]+Tabel66892628[[#This Row],[VAT WW 2017]]+Tabel66892628[[#This Row],[Other ch. 2017]]+Tabel66892628[[#This Row],[VAT Other ch. 2017]]</f>
        <v>670.60069491415948</v>
      </c>
      <c r="T170" s="397"/>
      <c r="U170" s="2095"/>
      <c r="V170" s="2098"/>
      <c r="W170" s="2101"/>
      <c r="X170" s="2104"/>
      <c r="Y170" s="2107"/>
      <c r="Z170" s="2110"/>
      <c r="AA170" s="2104"/>
      <c r="AB170" s="2121"/>
      <c r="AC170" s="2104"/>
      <c r="AD170" s="2124"/>
      <c r="AE170" s="2104"/>
      <c r="AF170" s="2127"/>
      <c r="AG170" s="2002"/>
      <c r="AH170" s="397"/>
      <c r="AI170" s="591" t="s">
        <v>429</v>
      </c>
      <c r="AJ170" s="591" t="s">
        <v>429</v>
      </c>
      <c r="AK170" s="396"/>
      <c r="AL170" s="396"/>
      <c r="AM170" s="591" t="s">
        <v>429</v>
      </c>
      <c r="AN170" s="591" t="s">
        <v>429</v>
      </c>
      <c r="AO170" s="398"/>
      <c r="AP170" s="397"/>
    </row>
    <row r="171" spans="1:42" ht="18" customHeight="1" x14ac:dyDescent="0.25">
      <c r="A171" s="1818" t="s">
        <v>22</v>
      </c>
      <c r="B171" s="546" t="s">
        <v>128</v>
      </c>
      <c r="C171" s="1046"/>
      <c r="D171" s="802" t="s">
        <v>1114</v>
      </c>
      <c r="E171" s="1884">
        <v>29300</v>
      </c>
      <c r="F171" s="661">
        <f>'exchange rates'!$O$48</f>
        <v>3.4784999999999999</v>
      </c>
      <c r="G171" s="549">
        <v>0</v>
      </c>
      <c r="H171" s="550">
        <f>954/F171</f>
        <v>274.2561448900388</v>
      </c>
      <c r="I171" s="551">
        <v>0</v>
      </c>
      <c r="J171" s="560">
        <f>76.32/F171</f>
        <v>21.940491591203102</v>
      </c>
      <c r="K171" s="566">
        <f>Tabel66892628[[#This Row],[Fix.ch. 2017]]+Tabel66892628[[#This Row],[Var. ch. 2017]]+Tabel66892628[[#This Row],[Oth. ch. DW 2017]]+Tabel66892628[[#This Row],[VAT DW 2017]]</f>
        <v>296.19663648124191</v>
      </c>
      <c r="L171" s="567">
        <v>0</v>
      </c>
      <c r="M171" s="560">
        <v>0</v>
      </c>
      <c r="N171" s="568">
        <f>976/F171</f>
        <v>280.58071007618224</v>
      </c>
      <c r="O171" s="560">
        <f>78.08/F171</f>
        <v>22.446456806094581</v>
      </c>
      <c r="P171" s="569">
        <v>0</v>
      </c>
      <c r="Q171" s="560">
        <v>0</v>
      </c>
      <c r="R171" s="570">
        <f>Tabel66892628[[#This Row],[VAT DW 2017]]+Tabel66892628[[#This Row],[VAT Sew. 2017]]+Tabel66892628[[#This Row],[VAT WW 2017]]+Tabel66892628[[#This Row],[VAT Other ch. 2017]]</f>
        <v>44.386948397297687</v>
      </c>
      <c r="S171" s="571">
        <f>Tabel66892628[[#This Row],[Total. ch. DW 2017]]+Tabel66892628[[#This Row],[Sew. 2017]]+Tabel66892628[[#This Row],[VAT Sew. 2017]]+Tabel66892628[[#This Row],[WW 2017]]+Tabel66892628[[#This Row],[VAT WW 2017]]+Tabel66892628[[#This Row],[Other ch. 2017]]+Tabel66892628[[#This Row],[VAT Other ch. 2017]]</f>
        <v>599.22380336351875</v>
      </c>
      <c r="T171" s="397"/>
      <c r="U171" s="1885">
        <f>MEDIAN(G171:G176)</f>
        <v>0</v>
      </c>
      <c r="V171" s="1887">
        <f>MEDIAN(H171:H176)</f>
        <v>217.91001868621532</v>
      </c>
      <c r="W171" s="1889">
        <f>MEDIAN(I171:I176)</f>
        <v>0</v>
      </c>
      <c r="X171" s="1771">
        <f>MEDIAN(J171:J176)</f>
        <v>17.432801494897227</v>
      </c>
      <c r="Y171" s="1891">
        <f>SUM(U171:X176)</f>
        <v>235.34282018111256</v>
      </c>
      <c r="Z171" s="1893">
        <f t="shared" ref="Z171:AF171" si="25">MEDIAN(L171:L176)</f>
        <v>0</v>
      </c>
      <c r="AA171" s="1771">
        <f t="shared" si="25"/>
        <v>0</v>
      </c>
      <c r="AB171" s="1910">
        <f t="shared" si="25"/>
        <v>298.69196492741122</v>
      </c>
      <c r="AC171" s="1771">
        <f t="shared" si="25"/>
        <v>23.895357194192897</v>
      </c>
      <c r="AD171" s="1912">
        <f t="shared" si="25"/>
        <v>0</v>
      </c>
      <c r="AE171" s="1771">
        <f t="shared" si="25"/>
        <v>0</v>
      </c>
      <c r="AF171" s="1914">
        <f t="shared" si="25"/>
        <v>42.639068564036222</v>
      </c>
      <c r="AG171" s="1909">
        <f>Y171+Z171+AA171+AB171+AC171+AD171+AE171</f>
        <v>557.93014230271672</v>
      </c>
      <c r="AH171" s="397"/>
      <c r="AI171" s="398"/>
      <c r="AJ171" s="591" t="s">
        <v>429</v>
      </c>
      <c r="AK171" s="398"/>
      <c r="AL171" s="398"/>
      <c r="AM171" s="398"/>
      <c r="AN171" s="398"/>
      <c r="AO171" s="398"/>
      <c r="AP171" s="397"/>
    </row>
    <row r="172" spans="1:42" ht="15.75" x14ac:dyDescent="0.25">
      <c r="A172" s="1819"/>
      <c r="B172" s="641" t="s">
        <v>891</v>
      </c>
      <c r="C172" s="1046" t="s">
        <v>429</v>
      </c>
      <c r="D172" s="802" t="s">
        <v>1114</v>
      </c>
      <c r="E172" s="1760"/>
      <c r="F172" s="661">
        <f>'exchange rates'!$O$48</f>
        <v>3.4784999999999999</v>
      </c>
      <c r="G172" s="549">
        <v>0</v>
      </c>
      <c r="H172" s="550">
        <f>840/F172</f>
        <v>241.48339801638639</v>
      </c>
      <c r="I172" s="551">
        <v>0</v>
      </c>
      <c r="J172" s="560">
        <f>67.2/F172</f>
        <v>19.318671841310913</v>
      </c>
      <c r="K172" s="566">
        <f>Tabel66892628[[#This Row],[Fix.ch. 2017]]+Tabel66892628[[#This Row],[Var. ch. 2017]]+Tabel66892628[[#This Row],[Oth. ch. DW 2017]]+Tabel66892628[[#This Row],[VAT DW 2017]]</f>
        <v>260.80206985769729</v>
      </c>
      <c r="L172" s="567">
        <v>0</v>
      </c>
      <c r="M172" s="560">
        <v>0</v>
      </c>
      <c r="N172" s="568">
        <f>1284/F172</f>
        <v>369.12462268219059</v>
      </c>
      <c r="O172" s="560">
        <f>102.72/F172</f>
        <v>29.529969814575249</v>
      </c>
      <c r="P172" s="569">
        <v>0</v>
      </c>
      <c r="Q172" s="560">
        <v>0</v>
      </c>
      <c r="R172" s="570">
        <f>Tabel66892628[[#This Row],[VAT DW 2017]]+Tabel66892628[[#This Row],[VAT Sew. 2017]]+Tabel66892628[[#This Row],[VAT WW 2017]]+Tabel66892628[[#This Row],[VAT Other ch. 2017]]</f>
        <v>48.848641655886162</v>
      </c>
      <c r="S172" s="571">
        <f>Tabel66892628[[#This Row],[Total. ch. DW 2017]]+Tabel66892628[[#This Row],[Sew. 2017]]+Tabel66892628[[#This Row],[VAT Sew. 2017]]+Tabel66892628[[#This Row],[WW 2017]]+Tabel66892628[[#This Row],[VAT WW 2017]]+Tabel66892628[[#This Row],[Other ch. 2017]]+Tabel66892628[[#This Row],[VAT Other ch. 2017]]</f>
        <v>659.45666235446311</v>
      </c>
      <c r="T172" s="397"/>
      <c r="U172" s="1763"/>
      <c r="V172" s="1766"/>
      <c r="W172" s="1769"/>
      <c r="X172" s="1772"/>
      <c r="Y172" s="1775"/>
      <c r="Z172" s="1778"/>
      <c r="AA172" s="1772"/>
      <c r="AB172" s="1781"/>
      <c r="AC172" s="1772"/>
      <c r="AD172" s="1785"/>
      <c r="AE172" s="1772"/>
      <c r="AF172" s="1788"/>
      <c r="AG172" s="1791"/>
      <c r="AH172" s="397"/>
      <c r="AI172" s="398"/>
      <c r="AJ172" s="591" t="s">
        <v>429</v>
      </c>
      <c r="AK172" s="398"/>
      <c r="AL172" s="398"/>
      <c r="AM172" s="398"/>
      <c r="AN172" s="398"/>
      <c r="AO172" s="398"/>
      <c r="AP172" s="397"/>
    </row>
    <row r="173" spans="1:42" ht="15.75" x14ac:dyDescent="0.25">
      <c r="A173" s="1819"/>
      <c r="B173" s="547" t="s">
        <v>129</v>
      </c>
      <c r="C173" s="1046"/>
      <c r="D173" s="802" t="s">
        <v>1114</v>
      </c>
      <c r="E173" s="1880"/>
      <c r="F173" s="661">
        <f>'exchange rates'!$O$48</f>
        <v>3.4784999999999999</v>
      </c>
      <c r="G173" s="549">
        <v>0</v>
      </c>
      <c r="H173" s="550">
        <f>896/F173</f>
        <v>257.58229121747883</v>
      </c>
      <c r="I173" s="551">
        <v>0</v>
      </c>
      <c r="J173" s="560">
        <f>71.68/F173</f>
        <v>20.606583297398306</v>
      </c>
      <c r="K173" s="566">
        <f>Tabel66892628[[#This Row],[Fix.ch. 2017]]+Tabel66892628[[#This Row],[Var. ch. 2017]]+Tabel66892628[[#This Row],[Oth. ch. DW 2017]]+Tabel66892628[[#This Row],[VAT DW 2017]]</f>
        <v>278.18887451487711</v>
      </c>
      <c r="L173" s="567">
        <v>0</v>
      </c>
      <c r="M173" s="560">
        <v>0</v>
      </c>
      <c r="N173" s="568">
        <f>1102/F173</f>
        <v>316.8032197786402</v>
      </c>
      <c r="O173" s="560">
        <f>88.16/F173</f>
        <v>25.344257582291217</v>
      </c>
      <c r="P173" s="569">
        <v>0</v>
      </c>
      <c r="Q173" s="560">
        <v>0</v>
      </c>
      <c r="R173" s="570">
        <f>Tabel66892628[[#This Row],[VAT DW 2017]]+Tabel66892628[[#This Row],[VAT Sew. 2017]]+Tabel66892628[[#This Row],[VAT WW 2017]]+Tabel66892628[[#This Row],[VAT Other ch. 2017]]</f>
        <v>45.950840879689522</v>
      </c>
      <c r="S173" s="571">
        <f>Tabel66892628[[#This Row],[Total. ch. DW 2017]]+Tabel66892628[[#This Row],[Sew. 2017]]+Tabel66892628[[#This Row],[VAT Sew. 2017]]+Tabel66892628[[#This Row],[WW 2017]]+Tabel66892628[[#This Row],[VAT WW 2017]]+Tabel66892628[[#This Row],[Other ch. 2017]]+Tabel66892628[[#This Row],[VAT Other ch. 2017]]</f>
        <v>620.33635187580853</v>
      </c>
      <c r="T173" s="397"/>
      <c r="U173" s="1886"/>
      <c r="V173" s="1888"/>
      <c r="W173" s="1890"/>
      <c r="X173" s="1772"/>
      <c r="Y173" s="1892"/>
      <c r="Z173" s="1894"/>
      <c r="AA173" s="1772"/>
      <c r="AB173" s="1911"/>
      <c r="AC173" s="1772"/>
      <c r="AD173" s="1913"/>
      <c r="AE173" s="1772"/>
      <c r="AF173" s="1915"/>
      <c r="AG173" s="1832"/>
      <c r="AH173" s="397"/>
      <c r="AI173" s="398"/>
      <c r="AJ173" s="591" t="s">
        <v>429</v>
      </c>
      <c r="AK173" s="398"/>
      <c r="AL173" s="398"/>
      <c r="AM173" s="398"/>
      <c r="AN173" s="398"/>
      <c r="AO173" s="398"/>
      <c r="AP173" s="397"/>
    </row>
    <row r="174" spans="1:42" ht="15.75" x14ac:dyDescent="0.25">
      <c r="A174" s="1819"/>
      <c r="B174" s="547" t="s">
        <v>130</v>
      </c>
      <c r="C174" s="1046"/>
      <c r="D174" s="802" t="s">
        <v>1114</v>
      </c>
      <c r="E174" s="1880"/>
      <c r="F174" s="661">
        <f>'exchange rates'!$O$48</f>
        <v>3.4784999999999999</v>
      </c>
      <c r="G174" s="549">
        <v>0</v>
      </c>
      <c r="H174" s="550">
        <f>668/F174</f>
        <v>192.03679747017392</v>
      </c>
      <c r="I174" s="551">
        <v>0</v>
      </c>
      <c r="J174" s="560">
        <f>53.44/F174</f>
        <v>15.362943797613914</v>
      </c>
      <c r="K174" s="566">
        <f>Tabel66892628[[#This Row],[Fix.ch. 2017]]+Tabel66892628[[#This Row],[Var. ch. 2017]]+Tabel66892628[[#This Row],[Oth. ch. DW 2017]]+Tabel66892628[[#This Row],[VAT DW 2017]]</f>
        <v>207.39974126778785</v>
      </c>
      <c r="L174" s="567">
        <v>0</v>
      </c>
      <c r="M174" s="560">
        <v>0</v>
      </c>
      <c r="N174" s="568">
        <f>1110/F174</f>
        <v>319.10306166451056</v>
      </c>
      <c r="O174" s="560">
        <f>88.8/F174</f>
        <v>25.528244933160845</v>
      </c>
      <c r="P174" s="569">
        <v>0</v>
      </c>
      <c r="Q174" s="560">
        <v>0</v>
      </c>
      <c r="R174" s="570">
        <f>Tabel66892628[[#This Row],[VAT DW 2017]]+Tabel66892628[[#This Row],[VAT Sew. 2017]]+Tabel66892628[[#This Row],[VAT WW 2017]]+Tabel66892628[[#This Row],[VAT Other ch. 2017]]</f>
        <v>40.891188730774758</v>
      </c>
      <c r="S174" s="571">
        <f>Tabel66892628[[#This Row],[Total. ch. DW 2017]]+Tabel66892628[[#This Row],[Sew. 2017]]+Tabel66892628[[#This Row],[VAT Sew. 2017]]+Tabel66892628[[#This Row],[WW 2017]]+Tabel66892628[[#This Row],[VAT WW 2017]]+Tabel66892628[[#This Row],[Other ch. 2017]]+Tabel66892628[[#This Row],[VAT Other ch. 2017]]</f>
        <v>552.0310478654593</v>
      </c>
      <c r="T174" s="397"/>
      <c r="U174" s="1886"/>
      <c r="V174" s="1888"/>
      <c r="W174" s="1890"/>
      <c r="X174" s="1772"/>
      <c r="Y174" s="1892"/>
      <c r="Z174" s="1894"/>
      <c r="AA174" s="1772"/>
      <c r="AB174" s="1911"/>
      <c r="AC174" s="1772"/>
      <c r="AD174" s="1913"/>
      <c r="AE174" s="1772"/>
      <c r="AF174" s="1915"/>
      <c r="AG174" s="1832"/>
      <c r="AH174" s="397"/>
      <c r="AI174" s="396"/>
      <c r="AJ174" s="591" t="s">
        <v>429</v>
      </c>
      <c r="AK174" s="398"/>
      <c r="AL174" s="398"/>
      <c r="AM174" s="398"/>
      <c r="AN174" s="398"/>
      <c r="AO174" s="398"/>
      <c r="AP174" s="397"/>
    </row>
    <row r="175" spans="1:42" ht="15.75" x14ac:dyDescent="0.25">
      <c r="A175" s="1819"/>
      <c r="B175" s="547" t="s">
        <v>131</v>
      </c>
      <c r="C175" s="1046"/>
      <c r="D175" s="802" t="s">
        <v>1114</v>
      </c>
      <c r="E175" s="1880"/>
      <c r="F175" s="661">
        <f>'exchange rates'!$O$48</f>
        <v>3.4784999999999999</v>
      </c>
      <c r="G175" s="549">
        <v>0</v>
      </c>
      <c r="H175" s="550">
        <f>676/F175</f>
        <v>194.33663935604429</v>
      </c>
      <c r="I175" s="551">
        <v>0</v>
      </c>
      <c r="J175" s="560">
        <f>54.08/F175</f>
        <v>15.546931148483541</v>
      </c>
      <c r="K175" s="566">
        <f>Tabel66892628[[#This Row],[Fix.ch. 2017]]+Tabel66892628[[#This Row],[Var. ch. 2017]]+Tabel66892628[[#This Row],[Oth. ch. DW 2017]]+Tabel66892628[[#This Row],[VAT DW 2017]]</f>
        <v>209.88357050452782</v>
      </c>
      <c r="L175" s="567">
        <v>0</v>
      </c>
      <c r="M175" s="560">
        <v>0</v>
      </c>
      <c r="N175" s="568">
        <f>664/F175</f>
        <v>190.88687652723877</v>
      </c>
      <c r="O175" s="560">
        <f>53.12/F175</f>
        <v>15.2709501221791</v>
      </c>
      <c r="P175" s="569">
        <v>0</v>
      </c>
      <c r="Q175" s="560">
        <v>0</v>
      </c>
      <c r="R175" s="570">
        <f>Tabel66892628[[#This Row],[VAT DW 2017]]+Tabel66892628[[#This Row],[VAT Sew. 2017]]+Tabel66892628[[#This Row],[VAT WW 2017]]+Tabel66892628[[#This Row],[VAT Other ch. 2017]]</f>
        <v>30.817881270662639</v>
      </c>
      <c r="S175" s="571">
        <f>Tabel66892628[[#This Row],[Total. ch. DW 2017]]+Tabel66892628[[#This Row],[Sew. 2017]]+Tabel66892628[[#This Row],[VAT Sew. 2017]]+Tabel66892628[[#This Row],[WW 2017]]+Tabel66892628[[#This Row],[VAT WW 2017]]+Tabel66892628[[#This Row],[Other ch. 2017]]+Tabel66892628[[#This Row],[VAT Other ch. 2017]]</f>
        <v>416.0413971539457</v>
      </c>
      <c r="T175" s="397"/>
      <c r="U175" s="1886"/>
      <c r="V175" s="1888"/>
      <c r="W175" s="1890"/>
      <c r="X175" s="1772"/>
      <c r="Y175" s="1892"/>
      <c r="Z175" s="1894"/>
      <c r="AA175" s="1772"/>
      <c r="AB175" s="1911"/>
      <c r="AC175" s="1772"/>
      <c r="AD175" s="1913"/>
      <c r="AE175" s="1772"/>
      <c r="AF175" s="1915"/>
      <c r="AG175" s="1832"/>
      <c r="AH175" s="397"/>
      <c r="AI175" s="396"/>
      <c r="AJ175" s="591" t="s">
        <v>429</v>
      </c>
      <c r="AK175" s="398"/>
      <c r="AL175" s="398"/>
      <c r="AM175" s="398"/>
      <c r="AN175" s="398"/>
      <c r="AO175" s="398"/>
      <c r="AP175" s="397"/>
    </row>
    <row r="176" spans="1:42" ht="16.5" thickBot="1" x14ac:dyDescent="0.3">
      <c r="A176" s="1820"/>
      <c r="B176" s="543" t="s">
        <v>132</v>
      </c>
      <c r="C176" s="1046"/>
      <c r="D176" s="802" t="s">
        <v>1114</v>
      </c>
      <c r="E176" s="1799"/>
      <c r="F176" s="661">
        <f>'exchange rates'!$O$48</f>
        <v>3.4784999999999999</v>
      </c>
      <c r="G176" s="549">
        <v>0</v>
      </c>
      <c r="H176" s="550">
        <f>590/F176</f>
        <v>169.61333908293804</v>
      </c>
      <c r="I176" s="551">
        <v>0</v>
      </c>
      <c r="J176" s="560">
        <f>47.2/F176</f>
        <v>13.569067126635044</v>
      </c>
      <c r="K176" s="566">
        <f>Tabel66892628[[#This Row],[Fix.ch. 2017]]+Tabel66892628[[#This Row],[Var. ch. 2017]]+Tabel66892628[[#This Row],[Oth. ch. DW 2017]]+Tabel66892628[[#This Row],[VAT DW 2017]]</f>
        <v>183.18240620957309</v>
      </c>
      <c r="L176" s="567">
        <v>0</v>
      </c>
      <c r="M176" s="560">
        <v>0</v>
      </c>
      <c r="N176" s="568">
        <f>902/F176</f>
        <v>259.30717263188154</v>
      </c>
      <c r="O176" s="560">
        <f>72.16/F176</f>
        <v>20.744573810550524</v>
      </c>
      <c r="P176" s="569">
        <v>0</v>
      </c>
      <c r="Q176" s="560">
        <v>0</v>
      </c>
      <c r="R176" s="570">
        <f>Tabel66892628[[#This Row],[VAT DW 2017]]+Tabel66892628[[#This Row],[VAT Sew. 2017]]+Tabel66892628[[#This Row],[VAT WW 2017]]+Tabel66892628[[#This Row],[VAT Other ch. 2017]]</f>
        <v>34.313640937185568</v>
      </c>
      <c r="S176" s="571">
        <f>Tabel66892628[[#This Row],[Total. ch. DW 2017]]+Tabel66892628[[#This Row],[Sew. 2017]]+Tabel66892628[[#This Row],[VAT Sew. 2017]]+Tabel66892628[[#This Row],[WW 2017]]+Tabel66892628[[#This Row],[VAT WW 2017]]+Tabel66892628[[#This Row],[Other ch. 2017]]+Tabel66892628[[#This Row],[VAT Other ch. 2017]]</f>
        <v>463.23415265200521</v>
      </c>
      <c r="T176" s="397"/>
      <c r="U176" s="1801"/>
      <c r="V176" s="1803"/>
      <c r="W176" s="1805"/>
      <c r="X176" s="1773"/>
      <c r="Y176" s="1807"/>
      <c r="Z176" s="1809"/>
      <c r="AA176" s="1773"/>
      <c r="AB176" s="1782"/>
      <c r="AC176" s="1773"/>
      <c r="AD176" s="1786"/>
      <c r="AE176" s="1773"/>
      <c r="AF176" s="1789"/>
      <c r="AG176" s="1792"/>
      <c r="AH176" s="397"/>
      <c r="AI176" s="396"/>
      <c r="AJ176" s="591" t="s">
        <v>429</v>
      </c>
      <c r="AK176" s="398"/>
      <c r="AL176" s="398"/>
      <c r="AM176" s="398"/>
      <c r="AN176" s="398"/>
      <c r="AO176" s="398"/>
      <c r="AP176" s="397"/>
    </row>
    <row r="177" spans="1:42" ht="18" customHeight="1" x14ac:dyDescent="0.25">
      <c r="A177" s="1878" t="s">
        <v>23</v>
      </c>
      <c r="B177" s="638" t="s">
        <v>133</v>
      </c>
      <c r="C177" s="693" t="s">
        <v>429</v>
      </c>
      <c r="D177" s="806" t="s">
        <v>1116</v>
      </c>
      <c r="E177" s="1934">
        <v>30300</v>
      </c>
      <c r="F177" s="616">
        <f>'exchange rates'!$O$49</f>
        <v>0.83301000000000003</v>
      </c>
      <c r="G177" s="549">
        <f>57/F177</f>
        <v>68.426549501206466</v>
      </c>
      <c r="H177" s="550">
        <f>103.69/F177</f>
        <v>124.47629680315961</v>
      </c>
      <c r="I177" s="551">
        <f>4.52/F177</f>
        <v>5.4261053288675996</v>
      </c>
      <c r="J177" s="560">
        <f>9.91/F177</f>
        <v>11.896615886964142</v>
      </c>
      <c r="K177" s="566">
        <f>Tabel66892628[[#This Row],[Fix.ch. 2017]]+Tabel66892628[[#This Row],[Var. ch. 2017]]+Tabel66892628[[#This Row],[Oth. ch. DW 2017]]+Tabel66892628[[#This Row],[VAT DW 2017]]</f>
        <v>210.22556752019784</v>
      </c>
      <c r="L177" s="567">
        <f>106.56/F177</f>
        <v>127.9216335938344</v>
      </c>
      <c r="M177" s="560">
        <f>0</f>
        <v>0</v>
      </c>
      <c r="N177" s="568">
        <v>0</v>
      </c>
      <c r="O177" s="560">
        <v>0</v>
      </c>
      <c r="P177" s="569">
        <f>14.53/F177</f>
        <v>17.442767793904032</v>
      </c>
      <c r="Q177" s="560">
        <v>0</v>
      </c>
      <c r="R177" s="570">
        <f>Tabel66892628[[#This Row],[VAT DW 2017]]+Tabel66892628[[#This Row],[VAT Sew. 2017]]+Tabel66892628[[#This Row],[VAT WW 2017]]+Tabel66892628[[#This Row],[VAT Other ch. 2017]]</f>
        <v>11.896615886964142</v>
      </c>
      <c r="S177" s="571">
        <f>Tabel66892628[[#This Row],[Total. ch. DW 2017]]+Tabel66892628[[#This Row],[Sew. 2017]]+Tabel66892628[[#This Row],[VAT Sew. 2017]]+Tabel66892628[[#This Row],[WW 2017]]+Tabel66892628[[#This Row],[VAT WW 2017]]+Tabel66892628[[#This Row],[Other ch. 2017]]+Tabel66892628[[#This Row],[VAT Other ch. 2017]]</f>
        <v>355.58996890793622</v>
      </c>
      <c r="T177" s="397"/>
      <c r="U177" s="1935">
        <f>MEDIAN(G177:G183)</f>
        <v>56.181798537832677</v>
      </c>
      <c r="V177" s="1936">
        <f>MEDIAN(H177:H183)</f>
        <v>163.26334617831719</v>
      </c>
      <c r="W177" s="1937">
        <f>MEDIAN(I177:I183)</f>
        <v>5.450114644482059</v>
      </c>
      <c r="X177" s="1938">
        <f>MEDIAN(J177:J183)</f>
        <v>13.517244690940084</v>
      </c>
      <c r="Y177" s="1939">
        <f>SUM(U177:X183)</f>
        <v>238.412504051572</v>
      </c>
      <c r="Z177" s="1950">
        <f t="shared" ref="Z177:AF177" si="26">MEDIAN(L177:L183)</f>
        <v>171.4505228028475</v>
      </c>
      <c r="AA177" s="1938">
        <f t="shared" si="26"/>
        <v>0</v>
      </c>
      <c r="AB177" s="1946">
        <f t="shared" si="26"/>
        <v>0</v>
      </c>
      <c r="AC177" s="1938">
        <f t="shared" si="26"/>
        <v>0</v>
      </c>
      <c r="AD177" s="1947">
        <f t="shared" si="26"/>
        <v>0</v>
      </c>
      <c r="AE177" s="1938">
        <f t="shared" si="26"/>
        <v>0</v>
      </c>
      <c r="AF177" s="1944">
        <f t="shared" si="26"/>
        <v>14.693701156048547</v>
      </c>
      <c r="AG177" s="1945">
        <f>Y177+Z177+AA177+AB177+AC177+AD177+AE177</f>
        <v>409.8630268544195</v>
      </c>
      <c r="AH177" s="397"/>
      <c r="AI177" s="398"/>
      <c r="AJ177" s="398"/>
      <c r="AK177" s="398"/>
      <c r="AL177" s="591" t="s">
        <v>429</v>
      </c>
      <c r="AM177" s="591" t="s">
        <v>429</v>
      </c>
      <c r="AN177" s="614"/>
      <c r="AO177" s="398"/>
      <c r="AP177" s="397"/>
    </row>
    <row r="178" spans="1:42" ht="15.6" customHeight="1" x14ac:dyDescent="0.25">
      <c r="A178" s="1757"/>
      <c r="B178" s="639" t="s">
        <v>134</v>
      </c>
      <c r="C178" s="639"/>
      <c r="D178" s="724" t="s">
        <v>1116</v>
      </c>
      <c r="E178" s="1760"/>
      <c r="F178" s="616">
        <f>'exchange rates'!$O$49</f>
        <v>0.83301000000000003</v>
      </c>
      <c r="G178" s="549">
        <f>48.84/F178</f>
        <v>58.630748730507442</v>
      </c>
      <c r="H178" s="550">
        <f>150.66/F178</f>
        <v>180.8621745237152</v>
      </c>
      <c r="I178" s="551">
        <f>4.54/F178</f>
        <v>5.450114644482059</v>
      </c>
      <c r="J178" s="560">
        <f>12.24/F178</f>
        <v>14.693701156048547</v>
      </c>
      <c r="K178" s="566">
        <f>Tabel66892628[[#This Row],[Fix.ch. 2017]]+Tabel66892628[[#This Row],[Var. ch. 2017]]+Tabel66892628[[#This Row],[Oth. ch. DW 2017]]+Tabel66892628[[#This Row],[VAT DW 2017]]</f>
        <v>259.63673905475321</v>
      </c>
      <c r="L178" s="567">
        <f>177.83/F178</f>
        <v>213.47882978595695</v>
      </c>
      <c r="M178" s="560">
        <v>0</v>
      </c>
      <c r="N178" s="568">
        <v>0</v>
      </c>
      <c r="O178" s="560">
        <v>0</v>
      </c>
      <c r="P178" s="569">
        <v>0</v>
      </c>
      <c r="Q178" s="560"/>
      <c r="R178" s="570">
        <f>Tabel66892628[[#This Row],[VAT DW 2017]]+Tabel66892628[[#This Row],[VAT Sew. 2017]]+Tabel66892628[[#This Row],[VAT WW 2017]]+Tabel66892628[[#This Row],[VAT Other ch. 2017]]</f>
        <v>14.693701156048547</v>
      </c>
      <c r="S178" s="571">
        <f>Tabel66892628[[#This Row],[Total. ch. DW 2017]]+Tabel66892628[[#This Row],[Sew. 2017]]+Tabel66892628[[#This Row],[VAT Sew. 2017]]+Tabel66892628[[#This Row],[WW 2017]]+Tabel66892628[[#This Row],[VAT WW 2017]]+Tabel66892628[[#This Row],[Other ch. 2017]]+Tabel66892628[[#This Row],[VAT Other ch. 2017]]</f>
        <v>473.11556884071013</v>
      </c>
      <c r="T178" s="397"/>
      <c r="U178" s="1763"/>
      <c r="V178" s="1766"/>
      <c r="W178" s="1769"/>
      <c r="X178" s="1772"/>
      <c r="Y178" s="1775"/>
      <c r="Z178" s="1778"/>
      <c r="AA178" s="1772"/>
      <c r="AB178" s="1781"/>
      <c r="AC178" s="1772"/>
      <c r="AD178" s="1785"/>
      <c r="AE178" s="1772"/>
      <c r="AF178" s="1788"/>
      <c r="AG178" s="1791"/>
      <c r="AH178" s="397"/>
      <c r="AI178" s="398"/>
      <c r="AJ178" s="398"/>
      <c r="AK178" s="398"/>
      <c r="AL178" s="591" t="s">
        <v>429</v>
      </c>
      <c r="AM178" s="591" t="s">
        <v>429</v>
      </c>
      <c r="AN178" s="614"/>
      <c r="AO178" s="398"/>
      <c r="AP178" s="397"/>
    </row>
    <row r="179" spans="1:42" ht="15.6" customHeight="1" x14ac:dyDescent="0.25">
      <c r="A179" s="1757"/>
      <c r="B179" s="639" t="s">
        <v>135</v>
      </c>
      <c r="C179" s="639"/>
      <c r="D179" s="724" t="s">
        <v>1116</v>
      </c>
      <c r="E179" s="1760"/>
      <c r="F179" s="616">
        <f>'exchange rates'!$O$49</f>
        <v>0.83301000000000003</v>
      </c>
      <c r="G179" s="549">
        <f>41.62/F179</f>
        <v>49.963385793687948</v>
      </c>
      <c r="H179" s="550">
        <f>157.77/F179</f>
        <v>189.39748622465518</v>
      </c>
      <c r="I179" s="551">
        <f>4.08/F179</f>
        <v>4.8979003853495158</v>
      </c>
      <c r="J179" s="560">
        <f>12.21/F179</f>
        <v>14.65768718262686</v>
      </c>
      <c r="K179" s="566">
        <f>Tabel66892628[[#This Row],[Fix.ch. 2017]]+Tabel66892628[[#This Row],[Var. ch. 2017]]+Tabel66892628[[#This Row],[Oth. ch. DW 2017]]+Tabel66892628[[#This Row],[VAT DW 2017]]</f>
        <v>258.91645958631949</v>
      </c>
      <c r="L179" s="567">
        <f>88.08/F179</f>
        <v>105.73702596607482</v>
      </c>
      <c r="M179" s="560">
        <f>5.28/F179</f>
        <v>6.3384593222170205</v>
      </c>
      <c r="N179" s="568">
        <v>0</v>
      </c>
      <c r="O179" s="560">
        <v>0</v>
      </c>
      <c r="P179" s="569">
        <v>0</v>
      </c>
      <c r="Q179" s="560">
        <v>0</v>
      </c>
      <c r="R179" s="570">
        <f>Tabel66892628[[#This Row],[VAT DW 2017]]+Tabel66892628[[#This Row],[VAT Sew. 2017]]+Tabel66892628[[#This Row],[VAT WW 2017]]+Tabel66892628[[#This Row],[VAT Other ch. 2017]]</f>
        <v>20.996146504843882</v>
      </c>
      <c r="S179" s="571">
        <f>Tabel66892628[[#This Row],[Total. ch. DW 2017]]+Tabel66892628[[#This Row],[Sew. 2017]]+Tabel66892628[[#This Row],[VAT Sew. 2017]]+Tabel66892628[[#This Row],[WW 2017]]+Tabel66892628[[#This Row],[VAT WW 2017]]+Tabel66892628[[#This Row],[Other ch. 2017]]+Tabel66892628[[#This Row],[VAT Other ch. 2017]]</f>
        <v>370.99194487461136</v>
      </c>
      <c r="T179" s="397"/>
      <c r="U179" s="1763"/>
      <c r="V179" s="1766"/>
      <c r="W179" s="1769"/>
      <c r="X179" s="1772"/>
      <c r="Y179" s="1775"/>
      <c r="Z179" s="1778"/>
      <c r="AA179" s="1772"/>
      <c r="AB179" s="1781"/>
      <c r="AC179" s="1772"/>
      <c r="AD179" s="1785"/>
      <c r="AE179" s="1772"/>
      <c r="AF179" s="1788"/>
      <c r="AG179" s="1791"/>
      <c r="AH179" s="397"/>
      <c r="AI179" s="398"/>
      <c r="AJ179" s="398"/>
      <c r="AK179" s="398"/>
      <c r="AL179" s="591" t="s">
        <v>429</v>
      </c>
      <c r="AM179" s="591" t="s">
        <v>429</v>
      </c>
      <c r="AN179" s="614"/>
      <c r="AO179" s="398"/>
      <c r="AP179" s="397"/>
    </row>
    <row r="180" spans="1:42" ht="15.6" customHeight="1" x14ac:dyDescent="0.25">
      <c r="A180" s="1757"/>
      <c r="B180" s="639" t="s">
        <v>136</v>
      </c>
      <c r="C180" s="639"/>
      <c r="D180" s="724" t="s">
        <v>1116</v>
      </c>
      <c r="E180" s="1760"/>
      <c r="F180" s="616">
        <f>'exchange rates'!$O$49</f>
        <v>0.83301000000000003</v>
      </c>
      <c r="G180" s="549">
        <f>38.11/F180</f>
        <v>45.749750903350495</v>
      </c>
      <c r="H180" s="550">
        <f>175.63/F180</f>
        <v>210.83780506836652</v>
      </c>
      <c r="I180" s="551">
        <f>5/F180</f>
        <v>6.0023289036146021</v>
      </c>
      <c r="J180" s="560">
        <f>13.12/F180</f>
        <v>15.750111043084715</v>
      </c>
      <c r="K180" s="566">
        <f>Tabel66892628[[#This Row],[Fix.ch. 2017]]+Tabel66892628[[#This Row],[Var. ch. 2017]]+Tabel66892628[[#This Row],[Oth. ch. DW 2017]]+Tabel66892628[[#This Row],[VAT DW 2017]]</f>
        <v>278.33999591841632</v>
      </c>
      <c r="L180" s="567">
        <f>182.36/F180</f>
        <v>218.91693977263179</v>
      </c>
      <c r="M180" s="560">
        <v>0</v>
      </c>
      <c r="N180" s="568">
        <v>0</v>
      </c>
      <c r="O180" s="560">
        <v>0</v>
      </c>
      <c r="P180" s="569">
        <v>0</v>
      </c>
      <c r="Q180" s="560">
        <v>0</v>
      </c>
      <c r="R180" s="570">
        <f>Tabel66892628[[#This Row],[VAT DW 2017]]+Tabel66892628[[#This Row],[VAT Sew. 2017]]+Tabel66892628[[#This Row],[VAT WW 2017]]+Tabel66892628[[#This Row],[VAT Other ch. 2017]]</f>
        <v>15.750111043084715</v>
      </c>
      <c r="S180" s="571">
        <f>Tabel66892628[[#This Row],[Total. ch. DW 2017]]+Tabel66892628[[#This Row],[Sew. 2017]]+Tabel66892628[[#This Row],[VAT Sew. 2017]]+Tabel66892628[[#This Row],[WW 2017]]+Tabel66892628[[#This Row],[VAT WW 2017]]+Tabel66892628[[#This Row],[Other ch. 2017]]+Tabel66892628[[#This Row],[VAT Other ch. 2017]]</f>
        <v>497.25693569104811</v>
      </c>
      <c r="T180" s="397"/>
      <c r="U180" s="1763"/>
      <c r="V180" s="1766"/>
      <c r="W180" s="1769"/>
      <c r="X180" s="1772"/>
      <c r="Y180" s="1775"/>
      <c r="Z180" s="1778"/>
      <c r="AA180" s="1772"/>
      <c r="AB180" s="1781"/>
      <c r="AC180" s="1772"/>
      <c r="AD180" s="1785"/>
      <c r="AE180" s="1772"/>
      <c r="AF180" s="1788"/>
      <c r="AG180" s="1791"/>
      <c r="AH180" s="397"/>
      <c r="AI180" s="398"/>
      <c r="AJ180" s="398"/>
      <c r="AK180" s="398"/>
      <c r="AL180" s="591" t="s">
        <v>429</v>
      </c>
      <c r="AM180" s="591" t="s">
        <v>429</v>
      </c>
      <c r="AN180" s="614"/>
      <c r="AO180" s="398"/>
      <c r="AP180" s="397"/>
    </row>
    <row r="181" spans="1:42" ht="15.6" customHeight="1" x14ac:dyDescent="0.25">
      <c r="A181" s="1757"/>
      <c r="B181" s="639" t="s">
        <v>137</v>
      </c>
      <c r="C181" s="639"/>
      <c r="D181" s="724" t="s">
        <v>1116</v>
      </c>
      <c r="E181" s="1760"/>
      <c r="F181" s="616">
        <f>'exchange rates'!$O$49</f>
        <v>0.83301000000000003</v>
      </c>
      <c r="G181" s="549">
        <f>55.97/F181</f>
        <v>67.190069747061855</v>
      </c>
      <c r="H181" s="550">
        <f>112.38/F181</f>
        <v>134.9083444376418</v>
      </c>
      <c r="I181" s="551">
        <f>3.42/F181</f>
        <v>4.1055929700723874</v>
      </c>
      <c r="J181" s="560">
        <f>10.31/F181</f>
        <v>12.37680219925331</v>
      </c>
      <c r="K181" s="566">
        <f>Tabel66892628[[#This Row],[Fix.ch. 2017]]+Tabel66892628[[#This Row],[Var. ch. 2017]]+Tabel66892628[[#This Row],[Oth. ch. DW 2017]]+Tabel66892628[[#This Row],[VAT DW 2017]]</f>
        <v>218.58080935402936</v>
      </c>
      <c r="L181" s="567">
        <f>142.82/F181</f>
        <v>171.4505228028475</v>
      </c>
      <c r="M181" s="560">
        <v>0</v>
      </c>
      <c r="N181" s="568">
        <v>0</v>
      </c>
      <c r="O181" s="560">
        <v>0</v>
      </c>
      <c r="P181" s="569">
        <v>0</v>
      </c>
      <c r="Q181" s="560">
        <v>0</v>
      </c>
      <c r="R181" s="570">
        <f>Tabel66892628[[#This Row],[VAT DW 2017]]+Tabel66892628[[#This Row],[VAT Sew. 2017]]+Tabel66892628[[#This Row],[VAT WW 2017]]+Tabel66892628[[#This Row],[VAT Other ch. 2017]]</f>
        <v>12.37680219925331</v>
      </c>
      <c r="S181" s="571">
        <f>Tabel66892628[[#This Row],[Total. ch. DW 2017]]+Tabel66892628[[#This Row],[Sew. 2017]]+Tabel66892628[[#This Row],[VAT Sew. 2017]]+Tabel66892628[[#This Row],[WW 2017]]+Tabel66892628[[#This Row],[VAT WW 2017]]+Tabel66892628[[#This Row],[Other ch. 2017]]+Tabel66892628[[#This Row],[VAT Other ch. 2017]]</f>
        <v>390.03133215687683</v>
      </c>
      <c r="T181" s="397"/>
      <c r="U181" s="1763"/>
      <c r="V181" s="1766"/>
      <c r="W181" s="1769"/>
      <c r="X181" s="1772"/>
      <c r="Y181" s="1775"/>
      <c r="Z181" s="1778"/>
      <c r="AA181" s="1772"/>
      <c r="AB181" s="1781"/>
      <c r="AC181" s="1772"/>
      <c r="AD181" s="1785"/>
      <c r="AE181" s="1772"/>
      <c r="AF181" s="1788"/>
      <c r="AG181" s="1791"/>
      <c r="AH181" s="397"/>
      <c r="AI181" s="398"/>
      <c r="AJ181" s="398"/>
      <c r="AK181" s="398"/>
      <c r="AL181" s="591" t="s">
        <v>429</v>
      </c>
      <c r="AM181" s="591" t="s">
        <v>429</v>
      </c>
      <c r="AN181" s="614"/>
      <c r="AO181" s="398"/>
      <c r="AP181" s="397"/>
    </row>
    <row r="182" spans="1:42" ht="15.6" customHeight="1" x14ac:dyDescent="0.25">
      <c r="A182" s="1757"/>
      <c r="B182" s="639" t="s">
        <v>138</v>
      </c>
      <c r="C182" s="639"/>
      <c r="D182" s="724" t="s">
        <v>1116</v>
      </c>
      <c r="E182" s="1760"/>
      <c r="F182" s="616">
        <f>'exchange rates'!$O$49</f>
        <v>0.83301000000000003</v>
      </c>
      <c r="G182" s="549">
        <f>46.8/F182</f>
        <v>56.181798537832677</v>
      </c>
      <c r="H182" s="550">
        <f>136/F182</f>
        <v>163.26334617831719</v>
      </c>
      <c r="I182" s="551">
        <f>4.86/F182</f>
        <v>5.8342636943133934</v>
      </c>
      <c r="J182" s="560">
        <f>11.26/F182</f>
        <v>13.517244690940084</v>
      </c>
      <c r="K182" s="566">
        <f>Tabel66892628[[#This Row],[Fix.ch. 2017]]+Tabel66892628[[#This Row],[Var. ch. 2017]]+Tabel66892628[[#This Row],[Oth. ch. DW 2017]]+Tabel66892628[[#This Row],[VAT DW 2017]]</f>
        <v>238.79665310140334</v>
      </c>
      <c r="L182" s="567">
        <f>133.32/F182</f>
        <v>160.04609788597975</v>
      </c>
      <c r="M182" s="560">
        <f>8/F182</f>
        <v>9.6037262457833634</v>
      </c>
      <c r="N182" s="568">
        <v>0</v>
      </c>
      <c r="O182" s="560">
        <v>0</v>
      </c>
      <c r="P182" s="569">
        <v>0</v>
      </c>
      <c r="Q182" s="560">
        <v>0</v>
      </c>
      <c r="R182" s="570">
        <f>Tabel66892628[[#This Row],[VAT DW 2017]]+Tabel66892628[[#This Row],[VAT Sew. 2017]]+Tabel66892628[[#This Row],[VAT WW 2017]]+Tabel66892628[[#This Row],[VAT Other ch. 2017]]</f>
        <v>23.120970936723445</v>
      </c>
      <c r="S182" s="571">
        <f>Tabel66892628[[#This Row],[Total. ch. DW 2017]]+Tabel66892628[[#This Row],[Sew. 2017]]+Tabel66892628[[#This Row],[VAT Sew. 2017]]+Tabel66892628[[#This Row],[WW 2017]]+Tabel66892628[[#This Row],[VAT WW 2017]]+Tabel66892628[[#This Row],[Other ch. 2017]]+Tabel66892628[[#This Row],[VAT Other ch. 2017]]</f>
        <v>408.44647723316643</v>
      </c>
      <c r="T182" s="397"/>
      <c r="U182" s="1763"/>
      <c r="V182" s="1766"/>
      <c r="W182" s="1769"/>
      <c r="X182" s="1772"/>
      <c r="Y182" s="1775"/>
      <c r="Z182" s="1778"/>
      <c r="AA182" s="1772"/>
      <c r="AB182" s="1781"/>
      <c r="AC182" s="1772"/>
      <c r="AD182" s="1785"/>
      <c r="AE182" s="1772"/>
      <c r="AF182" s="1788"/>
      <c r="AG182" s="1791"/>
      <c r="AH182" s="397"/>
      <c r="AI182" s="398"/>
      <c r="AJ182" s="398"/>
      <c r="AK182" s="398"/>
      <c r="AL182" s="591" t="s">
        <v>429</v>
      </c>
      <c r="AM182" s="591" t="s">
        <v>429</v>
      </c>
      <c r="AN182" s="614"/>
      <c r="AO182" s="398"/>
      <c r="AP182" s="397"/>
    </row>
    <row r="183" spans="1:42" ht="16.149999999999999" customHeight="1" thickBot="1" x14ac:dyDescent="0.3">
      <c r="A183" s="1758"/>
      <c r="B183" s="640" t="s">
        <v>139</v>
      </c>
      <c r="C183" s="652"/>
      <c r="D183" s="807" t="s">
        <v>1116</v>
      </c>
      <c r="E183" s="1799"/>
      <c r="F183" s="616">
        <f>'exchange rates'!$O$49</f>
        <v>0.83301000000000003</v>
      </c>
      <c r="G183" s="549">
        <f>33.94/F183</f>
        <v>40.743808597735921</v>
      </c>
      <c r="H183" s="550">
        <f>111.18/F183</f>
        <v>133.46778550077431</v>
      </c>
      <c r="I183" s="551">
        <f>5.36/F183</f>
        <v>6.4344965846748536</v>
      </c>
      <c r="J183" s="560">
        <f>9.03/F183</f>
        <v>10.840205999927971</v>
      </c>
      <c r="K183" s="566">
        <f>Tabel66892628[[#This Row],[Fix.ch. 2017]]+Tabel66892628[[#This Row],[Var. ch. 2017]]+Tabel66892628[[#This Row],[Oth. ch. DW 2017]]+Tabel66892628[[#This Row],[VAT DW 2017]]</f>
        <v>191.48629668311307</v>
      </c>
      <c r="L183" s="567">
        <f>198.69/F183</f>
        <v>238.52054597183707</v>
      </c>
      <c r="M183" s="560">
        <v>0</v>
      </c>
      <c r="N183" s="568">
        <v>0</v>
      </c>
      <c r="O183" s="560">
        <v>0</v>
      </c>
      <c r="P183" s="569">
        <v>0</v>
      </c>
      <c r="Q183" s="560">
        <v>0</v>
      </c>
      <c r="R183" s="570">
        <f>Tabel66892628[[#This Row],[VAT DW 2017]]+Tabel66892628[[#This Row],[VAT Sew. 2017]]+Tabel66892628[[#This Row],[VAT WW 2017]]+Tabel66892628[[#This Row],[VAT Other ch. 2017]]</f>
        <v>10.840205999927971</v>
      </c>
      <c r="S183" s="571">
        <f>Tabel66892628[[#This Row],[Total. ch. DW 2017]]+Tabel66892628[[#This Row],[Sew. 2017]]+Tabel66892628[[#This Row],[VAT Sew. 2017]]+Tabel66892628[[#This Row],[WW 2017]]+Tabel66892628[[#This Row],[VAT WW 2017]]+Tabel66892628[[#This Row],[Other ch. 2017]]+Tabel66892628[[#This Row],[VAT Other ch. 2017]]</f>
        <v>430.00684265495011</v>
      </c>
      <c r="T183" s="397"/>
      <c r="U183" s="1801"/>
      <c r="V183" s="1803"/>
      <c r="W183" s="1805"/>
      <c r="X183" s="1773"/>
      <c r="Y183" s="1807"/>
      <c r="Z183" s="1809"/>
      <c r="AA183" s="1773"/>
      <c r="AB183" s="1782"/>
      <c r="AC183" s="1773"/>
      <c r="AD183" s="1786"/>
      <c r="AE183" s="1773"/>
      <c r="AF183" s="1789"/>
      <c r="AG183" s="1792"/>
      <c r="AH183" s="397"/>
      <c r="AI183" s="398"/>
      <c r="AJ183" s="398"/>
      <c r="AK183" s="398"/>
      <c r="AL183" s="591" t="s">
        <v>429</v>
      </c>
      <c r="AM183" s="591" t="s">
        <v>429</v>
      </c>
      <c r="AN183" s="591" t="s">
        <v>429</v>
      </c>
      <c r="AO183" s="398"/>
      <c r="AP183" s="397"/>
    </row>
    <row r="184" spans="1:42" ht="18.75" customHeight="1" x14ac:dyDescent="0.25">
      <c r="A184" s="1878" t="s">
        <v>40</v>
      </c>
      <c r="B184" s="630" t="s">
        <v>869</v>
      </c>
      <c r="C184" s="754"/>
      <c r="D184" s="754" t="s">
        <v>1118</v>
      </c>
      <c r="E184" s="1983">
        <v>24000</v>
      </c>
      <c r="F184" s="616">
        <f>'exchange rates'!$O$50</f>
        <v>3.8868399999999999</v>
      </c>
      <c r="G184" s="549">
        <v>0</v>
      </c>
      <c r="H184" s="550">
        <f>526/F184</f>
        <v>135.32844161323851</v>
      </c>
      <c r="I184" s="551">
        <v>0</v>
      </c>
      <c r="J184" s="560">
        <f>47.34/F184</f>
        <v>12.179559745191469</v>
      </c>
      <c r="K184" s="566">
        <f>Tabel66892628[[#This Row],[Fix.ch. 2017]]+Tabel66892628[[#This Row],[Var. ch. 2017]]+Tabel66892628[[#This Row],[Oth. ch. DW 2017]]+Tabel66892628[[#This Row],[VAT DW 2017]]</f>
        <v>147.50800135842996</v>
      </c>
      <c r="L184" s="567">
        <v>0</v>
      </c>
      <c r="M184" s="560">
        <v>0</v>
      </c>
      <c r="N184" s="568">
        <f>558/F184</f>
        <v>143.56135060872072</v>
      </c>
      <c r="O184" s="560">
        <f>106.02/F184</f>
        <v>27.276656615656936</v>
      </c>
      <c r="P184" s="569">
        <v>0</v>
      </c>
      <c r="Q184" s="560">
        <v>0</v>
      </c>
      <c r="R184" s="570">
        <f>Tabel66892628[[#This Row],[VAT DW 2017]]+Tabel66892628[[#This Row],[VAT Sew. 2017]]+Tabel66892628[[#This Row],[VAT WW 2017]]+Tabel66892628[[#This Row],[VAT Other ch. 2017]]</f>
        <v>39.456216360848401</v>
      </c>
      <c r="S184" s="571">
        <f>Tabel66892628[[#This Row],[Total. ch. DW 2017]]+Tabel66892628[[#This Row],[Sew. 2017]]+Tabel66892628[[#This Row],[VAT Sew. 2017]]+Tabel66892628[[#This Row],[WW 2017]]+Tabel66892628[[#This Row],[VAT WW 2017]]+Tabel66892628[[#This Row],[Other ch. 2017]]+Tabel66892628[[#This Row],[VAT Other ch. 2017]]</f>
        <v>318.3460085828076</v>
      </c>
      <c r="T184" s="397"/>
      <c r="U184" s="1824">
        <f>MEDIAN(G184:G224)</f>
        <v>0</v>
      </c>
      <c r="V184" s="2128">
        <f>MEDIAN(H184:H224)</f>
        <v>183.69678196169639</v>
      </c>
      <c r="W184" s="1826">
        <f>MEDIAN(I184:I224)</f>
        <v>0</v>
      </c>
      <c r="X184" s="1938">
        <f>MEDIAN(J184:J224)</f>
        <v>16.532710376552679</v>
      </c>
      <c r="Y184" s="1827">
        <f>SUM(U184:X224)</f>
        <v>200.22949233824906</v>
      </c>
      <c r="Z184" s="1828">
        <f t="shared" ref="Z184:AF184" si="27">MEDIAN(L184:L224)</f>
        <v>0</v>
      </c>
      <c r="AA184" s="1938">
        <f t="shared" si="27"/>
        <v>0</v>
      </c>
      <c r="AB184" s="1829">
        <f t="shared" si="27"/>
        <v>133.78477117658562</v>
      </c>
      <c r="AC184" s="1938">
        <f t="shared" si="27"/>
        <v>25.419106523551264</v>
      </c>
      <c r="AD184" s="1830">
        <f t="shared" si="27"/>
        <v>0</v>
      </c>
      <c r="AE184" s="1938">
        <f t="shared" si="27"/>
        <v>0</v>
      </c>
      <c r="AF184" s="2136">
        <f t="shared" si="27"/>
        <v>42.353171213633701</v>
      </c>
      <c r="AG184" s="2052">
        <f>Y184+Z184+AA184+AB184+AC184+AD184+AE184</f>
        <v>359.43337003838593</v>
      </c>
      <c r="AH184" s="397"/>
      <c r="AI184" s="591" t="s">
        <v>429</v>
      </c>
      <c r="AJ184" s="591" t="s">
        <v>429</v>
      </c>
      <c r="AK184" s="591"/>
      <c r="AL184" s="591"/>
      <c r="AM184" s="591"/>
      <c r="AN184" s="591" t="s">
        <v>429</v>
      </c>
      <c r="AO184" s="614"/>
      <c r="AP184" s="397"/>
    </row>
    <row r="185" spans="1:42" ht="15.75" customHeight="1" x14ac:dyDescent="0.25">
      <c r="A185" s="1757"/>
      <c r="B185" s="274" t="s">
        <v>188</v>
      </c>
      <c r="C185" s="457"/>
      <c r="D185" s="457" t="s">
        <v>1118</v>
      </c>
      <c r="E185" s="1880"/>
      <c r="F185" s="616">
        <f>'exchange rates'!$O$50</f>
        <v>3.8868399999999999</v>
      </c>
      <c r="G185" s="319"/>
      <c r="H185" s="320"/>
      <c r="I185" s="321"/>
      <c r="J185" s="559"/>
      <c r="K185" s="313"/>
      <c r="L185" s="322"/>
      <c r="M185" s="559"/>
      <c r="N185" s="323"/>
      <c r="O185" s="559"/>
      <c r="P185" s="324"/>
      <c r="Q185" s="559"/>
      <c r="R185" s="317"/>
      <c r="S185" s="318"/>
      <c r="T185" s="397"/>
      <c r="U185" s="1763"/>
      <c r="V185" s="2129"/>
      <c r="W185" s="1769"/>
      <c r="X185" s="1772"/>
      <c r="Y185" s="1775"/>
      <c r="Z185" s="1778"/>
      <c r="AA185" s="1772"/>
      <c r="AB185" s="1781"/>
      <c r="AC185" s="1772"/>
      <c r="AD185" s="1785"/>
      <c r="AE185" s="1772"/>
      <c r="AF185" s="2137"/>
      <c r="AG185" s="1990"/>
      <c r="AH185" s="397"/>
      <c r="AI185" s="396"/>
      <c r="AJ185" s="396"/>
      <c r="AK185" s="398"/>
      <c r="AL185" s="398"/>
      <c r="AM185" s="398"/>
      <c r="AN185" s="396"/>
      <c r="AO185" s="398"/>
      <c r="AP185" s="397"/>
    </row>
    <row r="186" spans="1:42" ht="15.75" customHeight="1" x14ac:dyDescent="0.25">
      <c r="A186" s="1757"/>
      <c r="B186" s="630" t="s">
        <v>189</v>
      </c>
      <c r="C186" s="754"/>
      <c r="D186" s="754" t="s">
        <v>1118</v>
      </c>
      <c r="E186" s="1880"/>
      <c r="F186" s="616">
        <f>'exchange rates'!$O$50</f>
        <v>3.8868399999999999</v>
      </c>
      <c r="G186" s="549">
        <v>0</v>
      </c>
      <c r="H186" s="550">
        <f>640/F186</f>
        <v>164.65817990964382</v>
      </c>
      <c r="I186" s="551">
        <v>0</v>
      </c>
      <c r="J186" s="560">
        <f>57.6/F186</f>
        <v>14.819236191867946</v>
      </c>
      <c r="K186" s="566">
        <f>Tabel66892628[[#This Row],[Fix.ch. 2017]]+Tabel66892628[[#This Row],[Var. ch. 2017]]+Tabel66892628[[#This Row],[Oth. ch. DW 2017]]+Tabel66892628[[#This Row],[VAT DW 2017]]</f>
        <v>179.47741610151178</v>
      </c>
      <c r="L186" s="567">
        <v>0</v>
      </c>
      <c r="M186" s="560">
        <v>0</v>
      </c>
      <c r="N186" s="568">
        <f>360/F186</f>
        <v>92.620226199174652</v>
      </c>
      <c r="O186" s="560">
        <f>68.4/F186</f>
        <v>17.597842977843186</v>
      </c>
      <c r="P186" s="569">
        <v>0</v>
      </c>
      <c r="Q186" s="560">
        <v>0</v>
      </c>
      <c r="R186" s="570">
        <f>Tabel66892628[[#This Row],[VAT DW 2017]]+Tabel66892628[[#This Row],[VAT Sew. 2017]]+Tabel66892628[[#This Row],[VAT WW 2017]]+Tabel66892628[[#This Row],[VAT Other ch. 2017]]</f>
        <v>32.41707916971113</v>
      </c>
      <c r="S186" s="571">
        <f>Tabel66892628[[#This Row],[Total. ch. DW 2017]]+Tabel66892628[[#This Row],[Sew. 2017]]+Tabel66892628[[#This Row],[VAT Sew. 2017]]+Tabel66892628[[#This Row],[WW 2017]]+Tabel66892628[[#This Row],[VAT WW 2017]]+Tabel66892628[[#This Row],[Other ch. 2017]]+Tabel66892628[[#This Row],[VAT Other ch. 2017]]</f>
        <v>289.69548527852959</v>
      </c>
      <c r="T186" s="397"/>
      <c r="U186" s="1763"/>
      <c r="V186" s="2129"/>
      <c r="W186" s="1769"/>
      <c r="X186" s="1772"/>
      <c r="Y186" s="1775"/>
      <c r="Z186" s="1778"/>
      <c r="AA186" s="1772"/>
      <c r="AB186" s="1781"/>
      <c r="AC186" s="1772"/>
      <c r="AD186" s="1785"/>
      <c r="AE186" s="1772"/>
      <c r="AF186" s="2137"/>
      <c r="AG186" s="1990"/>
      <c r="AH186" s="397"/>
      <c r="AI186" s="591" t="s">
        <v>429</v>
      </c>
      <c r="AJ186" s="591" t="s">
        <v>429</v>
      </c>
      <c r="AK186" s="591"/>
      <c r="AL186" s="591"/>
      <c r="AM186" s="591"/>
      <c r="AN186" s="591" t="s">
        <v>429</v>
      </c>
      <c r="AO186" s="398"/>
      <c r="AP186" s="397"/>
    </row>
    <row r="187" spans="1:42" ht="15.75" customHeight="1" x14ac:dyDescent="0.25">
      <c r="A187" s="1757"/>
      <c r="B187" s="630" t="s">
        <v>190</v>
      </c>
      <c r="C187" s="754"/>
      <c r="D187" s="754" t="s">
        <v>1118</v>
      </c>
      <c r="E187" s="1880"/>
      <c r="F187" s="616">
        <f>'exchange rates'!$O$50</f>
        <v>3.8868399999999999</v>
      </c>
      <c r="G187" s="549">
        <v>0</v>
      </c>
      <c r="H187" s="550">
        <f>744/F187</f>
        <v>191.41513414496094</v>
      </c>
      <c r="I187" s="551">
        <v>0</v>
      </c>
      <c r="J187" s="560">
        <f>66.96/F187</f>
        <v>17.227362073046486</v>
      </c>
      <c r="K187" s="566">
        <f>Tabel66892628[[#This Row],[Fix.ch. 2017]]+Tabel66892628[[#This Row],[Var. ch. 2017]]+Tabel66892628[[#This Row],[Oth. ch. DW 2017]]+Tabel66892628[[#This Row],[VAT DW 2017]]</f>
        <v>208.64249621800744</v>
      </c>
      <c r="L187" s="567">
        <v>0</v>
      </c>
      <c r="M187" s="560">
        <v>0</v>
      </c>
      <c r="N187" s="568">
        <f>514/F187</f>
        <v>132.2411007399327</v>
      </c>
      <c r="O187" s="560">
        <f>97.66/F187</f>
        <v>25.125809140587211</v>
      </c>
      <c r="P187" s="569">
        <v>0</v>
      </c>
      <c r="Q187" s="560">
        <v>0</v>
      </c>
      <c r="R187" s="570">
        <f>Tabel66892628[[#This Row],[VAT DW 2017]]+Tabel66892628[[#This Row],[VAT Sew. 2017]]+Tabel66892628[[#This Row],[VAT WW 2017]]+Tabel66892628[[#This Row],[VAT Other ch. 2017]]</f>
        <v>42.353171213633701</v>
      </c>
      <c r="S187" s="571">
        <f>Tabel66892628[[#This Row],[Total. ch. DW 2017]]+Tabel66892628[[#This Row],[Sew. 2017]]+Tabel66892628[[#This Row],[VAT Sew. 2017]]+Tabel66892628[[#This Row],[WW 2017]]+Tabel66892628[[#This Row],[VAT WW 2017]]+Tabel66892628[[#This Row],[Other ch. 2017]]+Tabel66892628[[#This Row],[VAT Other ch. 2017]]</f>
        <v>366.00940609852734</v>
      </c>
      <c r="T187" s="397"/>
      <c r="U187" s="1763"/>
      <c r="V187" s="2129"/>
      <c r="W187" s="1769"/>
      <c r="X187" s="1772"/>
      <c r="Y187" s="1775"/>
      <c r="Z187" s="1778"/>
      <c r="AA187" s="1772"/>
      <c r="AB187" s="1781"/>
      <c r="AC187" s="1772"/>
      <c r="AD187" s="1785"/>
      <c r="AE187" s="1772"/>
      <c r="AF187" s="2137"/>
      <c r="AG187" s="1990"/>
      <c r="AH187" s="397"/>
      <c r="AI187" s="591" t="s">
        <v>429</v>
      </c>
      <c r="AJ187" s="591" t="s">
        <v>429</v>
      </c>
      <c r="AK187" s="591"/>
      <c r="AL187" s="591"/>
      <c r="AM187" s="591"/>
      <c r="AN187" s="591" t="s">
        <v>429</v>
      </c>
      <c r="AO187" s="398"/>
      <c r="AP187" s="397"/>
    </row>
    <row r="188" spans="1:42" ht="15.75" customHeight="1" x14ac:dyDescent="0.25">
      <c r="A188" s="1757"/>
      <c r="B188" s="631" t="s">
        <v>191</v>
      </c>
      <c r="C188" s="754"/>
      <c r="D188" s="754" t="s">
        <v>1118</v>
      </c>
      <c r="E188" s="1880"/>
      <c r="F188" s="616">
        <f>'exchange rates'!$O$50</f>
        <v>3.8868399999999999</v>
      </c>
      <c r="G188" s="549">
        <v>0</v>
      </c>
      <c r="H188" s="550">
        <f>570/F188</f>
        <v>146.64869148202655</v>
      </c>
      <c r="I188" s="551">
        <v>0</v>
      </c>
      <c r="J188" s="560">
        <f>51.3/F188</f>
        <v>13.198382233382388</v>
      </c>
      <c r="K188" s="566">
        <f>Tabel66892628[[#This Row],[Fix.ch. 2017]]+Tabel66892628[[#This Row],[Var. ch. 2017]]+Tabel66892628[[#This Row],[Oth. ch. DW 2017]]+Tabel66892628[[#This Row],[VAT DW 2017]]</f>
        <v>159.84707371540892</v>
      </c>
      <c r="L188" s="567">
        <v>0</v>
      </c>
      <c r="M188" s="560">
        <v>0</v>
      </c>
      <c r="N188" s="568">
        <f>568/F188</f>
        <v>146.1341346698089</v>
      </c>
      <c r="O188" s="560">
        <f>107.92/F188</f>
        <v>27.76548558726369</v>
      </c>
      <c r="P188" s="569">
        <v>0</v>
      </c>
      <c r="Q188" s="560">
        <v>0</v>
      </c>
      <c r="R188" s="570">
        <f>Tabel66892628[[#This Row],[VAT DW 2017]]+Tabel66892628[[#This Row],[VAT Sew. 2017]]+Tabel66892628[[#This Row],[VAT WW 2017]]+Tabel66892628[[#This Row],[VAT Other ch. 2017]]</f>
        <v>40.96386782064608</v>
      </c>
      <c r="S188" s="571">
        <f>Tabel66892628[[#This Row],[Total. ch. DW 2017]]+Tabel66892628[[#This Row],[Sew. 2017]]+Tabel66892628[[#This Row],[VAT Sew. 2017]]+Tabel66892628[[#This Row],[WW 2017]]+Tabel66892628[[#This Row],[VAT WW 2017]]+Tabel66892628[[#This Row],[Other ch. 2017]]+Tabel66892628[[#This Row],[VAT Other ch. 2017]]</f>
        <v>333.74669397248152</v>
      </c>
      <c r="T188" s="397"/>
      <c r="U188" s="1763"/>
      <c r="V188" s="2129"/>
      <c r="W188" s="1769"/>
      <c r="X188" s="1772"/>
      <c r="Y188" s="1775"/>
      <c r="Z188" s="1778"/>
      <c r="AA188" s="1772"/>
      <c r="AB188" s="1781"/>
      <c r="AC188" s="1772"/>
      <c r="AD188" s="1785"/>
      <c r="AE188" s="1772"/>
      <c r="AF188" s="2137"/>
      <c r="AG188" s="1990"/>
      <c r="AH188" s="397"/>
      <c r="AI188" s="591" t="s">
        <v>429</v>
      </c>
      <c r="AJ188" s="591" t="s">
        <v>429</v>
      </c>
      <c r="AK188" s="591"/>
      <c r="AL188" s="591"/>
      <c r="AM188" s="591"/>
      <c r="AN188" s="591" t="s">
        <v>429</v>
      </c>
      <c r="AO188" s="398"/>
      <c r="AP188" s="397"/>
    </row>
    <row r="189" spans="1:42" ht="15.75" customHeight="1" x14ac:dyDescent="0.25">
      <c r="A189" s="1757"/>
      <c r="B189" s="631" t="s">
        <v>218</v>
      </c>
      <c r="C189" s="754"/>
      <c r="D189" s="754" t="s">
        <v>1118</v>
      </c>
      <c r="E189" s="1880"/>
      <c r="F189" s="616">
        <f>'exchange rates'!$O$50</f>
        <v>3.8868399999999999</v>
      </c>
      <c r="G189" s="549">
        <v>0</v>
      </c>
      <c r="H189" s="550">
        <f>804/F189</f>
        <v>206.85183851149006</v>
      </c>
      <c r="I189" s="551">
        <v>0</v>
      </c>
      <c r="J189" s="560">
        <f>72.36/F189</f>
        <v>18.616665466034107</v>
      </c>
      <c r="K189" s="566">
        <f>Tabel66892628[[#This Row],[Fix.ch. 2017]]+Tabel66892628[[#This Row],[Var. ch. 2017]]+Tabel66892628[[#This Row],[Oth. ch. DW 2017]]+Tabel66892628[[#This Row],[VAT DW 2017]]</f>
        <v>225.46850397752416</v>
      </c>
      <c r="L189" s="567">
        <v>0</v>
      </c>
      <c r="M189" s="560">
        <v>0</v>
      </c>
      <c r="N189" s="568">
        <f>484/F189</f>
        <v>124.52274855666815</v>
      </c>
      <c r="O189" s="560">
        <f>91.96/F189</f>
        <v>23.659322225766946</v>
      </c>
      <c r="P189" s="569">
        <v>0</v>
      </c>
      <c r="Q189" s="560">
        <v>0</v>
      </c>
      <c r="R189" s="570">
        <f>Tabel66892628[[#This Row],[VAT DW 2017]]+Tabel66892628[[#This Row],[VAT Sew. 2017]]+Tabel66892628[[#This Row],[VAT WW 2017]]+Tabel66892628[[#This Row],[VAT Other ch. 2017]]</f>
        <v>42.275987691801049</v>
      </c>
      <c r="S189" s="571">
        <f>Tabel66892628[[#This Row],[Total. ch. DW 2017]]+Tabel66892628[[#This Row],[Sew. 2017]]+Tabel66892628[[#This Row],[VAT Sew. 2017]]+Tabel66892628[[#This Row],[WW 2017]]+Tabel66892628[[#This Row],[VAT WW 2017]]+Tabel66892628[[#This Row],[Other ch. 2017]]+Tabel66892628[[#This Row],[VAT Other ch. 2017]]</f>
        <v>373.65057475995928</v>
      </c>
      <c r="T189" s="397"/>
      <c r="U189" s="1763"/>
      <c r="V189" s="2129"/>
      <c r="W189" s="1769"/>
      <c r="X189" s="1772"/>
      <c r="Y189" s="1775"/>
      <c r="Z189" s="1778"/>
      <c r="AA189" s="1772"/>
      <c r="AB189" s="1781"/>
      <c r="AC189" s="1772"/>
      <c r="AD189" s="1785"/>
      <c r="AE189" s="1772"/>
      <c r="AF189" s="2137"/>
      <c r="AG189" s="1990"/>
      <c r="AH189" s="397"/>
      <c r="AI189" s="591" t="s">
        <v>429</v>
      </c>
      <c r="AJ189" s="591" t="s">
        <v>429</v>
      </c>
      <c r="AK189" s="591"/>
      <c r="AL189" s="591"/>
      <c r="AM189" s="591"/>
      <c r="AN189" s="591" t="s">
        <v>429</v>
      </c>
      <c r="AO189" s="398"/>
      <c r="AP189" s="397"/>
    </row>
    <row r="190" spans="1:42" ht="16.5" customHeight="1" x14ac:dyDescent="0.25">
      <c r="A190" s="1757"/>
      <c r="B190" s="632" t="s">
        <v>219</v>
      </c>
      <c r="C190" s="925"/>
      <c r="D190" s="754" t="s">
        <v>1118</v>
      </c>
      <c r="E190" s="1880"/>
      <c r="F190" s="616">
        <f>'exchange rates'!$O$50</f>
        <v>3.8868399999999999</v>
      </c>
      <c r="G190" s="549">
        <v>0</v>
      </c>
      <c r="H190" s="550">
        <f>616/F190</f>
        <v>158.48349816303218</v>
      </c>
      <c r="I190" s="551">
        <v>0</v>
      </c>
      <c r="J190" s="560">
        <f>55.44/F190</f>
        <v>14.263514834672897</v>
      </c>
      <c r="K190" s="566">
        <f>Tabel66892628[[#This Row],[Fix.ch. 2017]]+Tabel66892628[[#This Row],[Var. ch. 2017]]+Tabel66892628[[#This Row],[Oth. ch. DW 2017]]+Tabel66892628[[#This Row],[VAT DW 2017]]</f>
        <v>172.74701299770507</v>
      </c>
      <c r="L190" s="567">
        <v>0</v>
      </c>
      <c r="M190" s="560">
        <v>0</v>
      </c>
      <c r="N190" s="568">
        <f>426/F190</f>
        <v>109.60060100235667</v>
      </c>
      <c r="O190" s="560">
        <f>80.94/F190</f>
        <v>20.824114190447766</v>
      </c>
      <c r="P190" s="569">
        <v>0</v>
      </c>
      <c r="Q190" s="560">
        <v>0</v>
      </c>
      <c r="R190" s="570">
        <f>Tabel66892628[[#This Row],[VAT DW 2017]]+Tabel66892628[[#This Row],[VAT Sew. 2017]]+Tabel66892628[[#This Row],[VAT WW 2017]]+Tabel66892628[[#This Row],[VAT Other ch. 2017]]</f>
        <v>35.087629025120663</v>
      </c>
      <c r="S190" s="571">
        <f>Tabel66892628[[#This Row],[Total. ch. DW 2017]]+Tabel66892628[[#This Row],[Sew. 2017]]+Tabel66892628[[#This Row],[VAT Sew. 2017]]+Tabel66892628[[#This Row],[WW 2017]]+Tabel66892628[[#This Row],[VAT WW 2017]]+Tabel66892628[[#This Row],[Other ch. 2017]]+Tabel66892628[[#This Row],[VAT Other ch. 2017]]</f>
        <v>303.1717281905095</v>
      </c>
      <c r="T190" s="397"/>
      <c r="U190" s="1763"/>
      <c r="V190" s="2129"/>
      <c r="W190" s="1769"/>
      <c r="X190" s="1772"/>
      <c r="Y190" s="1775"/>
      <c r="Z190" s="1778"/>
      <c r="AA190" s="1772"/>
      <c r="AB190" s="1781"/>
      <c r="AC190" s="1772"/>
      <c r="AD190" s="1785"/>
      <c r="AE190" s="1772"/>
      <c r="AF190" s="2137"/>
      <c r="AG190" s="1990"/>
      <c r="AH190" s="397"/>
      <c r="AI190" s="591" t="s">
        <v>429</v>
      </c>
      <c r="AJ190" s="591" t="s">
        <v>429</v>
      </c>
      <c r="AK190" s="591"/>
      <c r="AL190" s="591"/>
      <c r="AM190" s="591"/>
      <c r="AN190" s="591" t="s">
        <v>429</v>
      </c>
      <c r="AO190" s="398"/>
      <c r="AP190" s="397"/>
    </row>
    <row r="191" spans="1:42" ht="15.75" customHeight="1" x14ac:dyDescent="0.25">
      <c r="A191" s="1757"/>
      <c r="B191" s="632" t="s">
        <v>513</v>
      </c>
      <c r="C191" s="925"/>
      <c r="D191" s="754" t="s">
        <v>1118</v>
      </c>
      <c r="E191" s="1880"/>
      <c r="F191" s="616">
        <f>'exchange rates'!$O$50</f>
        <v>3.8868399999999999</v>
      </c>
      <c r="G191" s="549">
        <v>0</v>
      </c>
      <c r="H191" s="550">
        <f>818/F191</f>
        <v>210.45373619701351</v>
      </c>
      <c r="I191" s="551">
        <v>0</v>
      </c>
      <c r="J191" s="560">
        <f>73.62/F191</f>
        <v>18.940836257731217</v>
      </c>
      <c r="K191" s="566">
        <f>Tabel66892628[[#This Row],[Fix.ch. 2017]]+Tabel66892628[[#This Row],[Var. ch. 2017]]+Tabel66892628[[#This Row],[Oth. ch. DW 2017]]+Tabel66892628[[#This Row],[VAT DW 2017]]</f>
        <v>229.39457245474472</v>
      </c>
      <c r="L191" s="567">
        <v>0</v>
      </c>
      <c r="M191" s="560">
        <v>0</v>
      </c>
      <c r="N191" s="568">
        <f>726/F191</f>
        <v>186.78412283500222</v>
      </c>
      <c r="O191" s="560">
        <f>137.94/F191</f>
        <v>35.488983338650421</v>
      </c>
      <c r="P191" s="569">
        <v>0</v>
      </c>
      <c r="Q191" s="560">
        <v>0</v>
      </c>
      <c r="R191" s="570">
        <f>Tabel66892628[[#This Row],[VAT DW 2017]]+Tabel66892628[[#This Row],[VAT Sew. 2017]]+Tabel66892628[[#This Row],[VAT WW 2017]]+Tabel66892628[[#This Row],[VAT Other ch. 2017]]</f>
        <v>54.429819596381634</v>
      </c>
      <c r="S191" s="571">
        <f>Tabel66892628[[#This Row],[Total. ch. DW 2017]]+Tabel66892628[[#This Row],[Sew. 2017]]+Tabel66892628[[#This Row],[VAT Sew. 2017]]+Tabel66892628[[#This Row],[WW 2017]]+Tabel66892628[[#This Row],[VAT WW 2017]]+Tabel66892628[[#This Row],[Other ch. 2017]]+Tabel66892628[[#This Row],[VAT Other ch. 2017]]</f>
        <v>451.66767862839737</v>
      </c>
      <c r="T191" s="397"/>
      <c r="U191" s="1763"/>
      <c r="V191" s="2129"/>
      <c r="W191" s="1769"/>
      <c r="X191" s="1772"/>
      <c r="Y191" s="1775"/>
      <c r="Z191" s="1778"/>
      <c r="AA191" s="1772"/>
      <c r="AB191" s="1781"/>
      <c r="AC191" s="1772"/>
      <c r="AD191" s="1785"/>
      <c r="AE191" s="1772"/>
      <c r="AF191" s="2137"/>
      <c r="AG191" s="1990"/>
      <c r="AH191" s="397"/>
      <c r="AI191" s="591" t="s">
        <v>429</v>
      </c>
      <c r="AJ191" s="591" t="s">
        <v>429</v>
      </c>
      <c r="AK191" s="591"/>
      <c r="AL191" s="591"/>
      <c r="AM191" s="591"/>
      <c r="AN191" s="591" t="s">
        <v>429</v>
      </c>
      <c r="AO191" s="398"/>
      <c r="AP191" s="397"/>
    </row>
    <row r="192" spans="1:42" ht="15.75" customHeight="1" x14ac:dyDescent="0.25">
      <c r="A192" s="1757"/>
      <c r="B192" s="632" t="s">
        <v>514</v>
      </c>
      <c r="C192" s="925"/>
      <c r="D192" s="754" t="s">
        <v>1118</v>
      </c>
      <c r="E192" s="1880"/>
      <c r="F192" s="616">
        <f>'exchange rates'!$O$50</f>
        <v>3.8868399999999999</v>
      </c>
      <c r="G192" s="549">
        <v>0</v>
      </c>
      <c r="H192" s="550">
        <f>640/F192</f>
        <v>164.65817990964382</v>
      </c>
      <c r="I192" s="551">
        <v>0</v>
      </c>
      <c r="J192" s="560">
        <f>57.6/F192</f>
        <v>14.819236191867946</v>
      </c>
      <c r="K192" s="566">
        <f>Tabel66892628[[#This Row],[Fix.ch. 2017]]+Tabel66892628[[#This Row],[Var. ch. 2017]]+Tabel66892628[[#This Row],[Oth. ch. DW 2017]]+Tabel66892628[[#This Row],[VAT DW 2017]]</f>
        <v>179.47741610151178</v>
      </c>
      <c r="L192" s="567">
        <v>0</v>
      </c>
      <c r="M192" s="560">
        <v>0</v>
      </c>
      <c r="N192" s="568">
        <f>642/F192</f>
        <v>165.17273672186147</v>
      </c>
      <c r="O192" s="560">
        <f>121.98/F192</f>
        <v>31.38281997715368</v>
      </c>
      <c r="P192" s="569">
        <v>0</v>
      </c>
      <c r="Q192" s="560">
        <v>0</v>
      </c>
      <c r="R192" s="570">
        <f>Tabel66892628[[#This Row],[VAT DW 2017]]+Tabel66892628[[#This Row],[VAT Sew. 2017]]+Tabel66892628[[#This Row],[VAT WW 2017]]+Tabel66892628[[#This Row],[VAT Other ch. 2017]]</f>
        <v>46.202056169021624</v>
      </c>
      <c r="S192" s="571">
        <f>Tabel66892628[[#This Row],[Total. ch. DW 2017]]+Tabel66892628[[#This Row],[Sew. 2017]]+Tabel66892628[[#This Row],[VAT Sew. 2017]]+Tabel66892628[[#This Row],[WW 2017]]+Tabel66892628[[#This Row],[VAT WW 2017]]+Tabel66892628[[#This Row],[Other ch. 2017]]+Tabel66892628[[#This Row],[VAT Other ch. 2017]]</f>
        <v>376.03297280052692</v>
      </c>
      <c r="T192" s="397"/>
      <c r="U192" s="1763"/>
      <c r="V192" s="2129"/>
      <c r="W192" s="1769"/>
      <c r="X192" s="1772"/>
      <c r="Y192" s="1775"/>
      <c r="Z192" s="1778"/>
      <c r="AA192" s="1772"/>
      <c r="AB192" s="1781"/>
      <c r="AC192" s="1772"/>
      <c r="AD192" s="1785"/>
      <c r="AE192" s="1772"/>
      <c r="AF192" s="2137"/>
      <c r="AG192" s="1990"/>
      <c r="AH192" s="397"/>
      <c r="AI192" s="591" t="s">
        <v>429</v>
      </c>
      <c r="AJ192" s="591" t="s">
        <v>429</v>
      </c>
      <c r="AK192" s="591"/>
      <c r="AL192" s="591"/>
      <c r="AM192" s="591"/>
      <c r="AN192" s="591" t="s">
        <v>429</v>
      </c>
      <c r="AO192" s="398"/>
      <c r="AP192" s="397"/>
    </row>
    <row r="193" spans="1:42" ht="15.75" customHeight="1" x14ac:dyDescent="0.25">
      <c r="A193" s="1757"/>
      <c r="B193" s="632" t="s">
        <v>515</v>
      </c>
      <c r="C193" s="925"/>
      <c r="D193" s="754" t="s">
        <v>1118</v>
      </c>
      <c r="E193" s="1880"/>
      <c r="F193" s="616">
        <f>'exchange rates'!$O$50</f>
        <v>3.8868399999999999</v>
      </c>
      <c r="G193" s="549">
        <v>0</v>
      </c>
      <c r="H193" s="550">
        <f>742/F193</f>
        <v>190.90057733274332</v>
      </c>
      <c r="I193" s="551">
        <v>0</v>
      </c>
      <c r="J193" s="560">
        <f>66.78/F193</f>
        <v>17.181051959946899</v>
      </c>
      <c r="K193" s="566">
        <f>Tabel66892628[[#This Row],[Fix.ch. 2017]]+Tabel66892628[[#This Row],[Var. ch. 2017]]+Tabel66892628[[#This Row],[Oth. ch. DW 2017]]+Tabel66892628[[#This Row],[VAT DW 2017]]</f>
        <v>208.08162929269022</v>
      </c>
      <c r="L193" s="567">
        <v>0</v>
      </c>
      <c r="M193" s="560">
        <v>0</v>
      </c>
      <c r="N193" s="568">
        <f>552/F193</f>
        <v>142.0176801720678</v>
      </c>
      <c r="O193" s="560">
        <f>104.88/F193</f>
        <v>26.98335923269288</v>
      </c>
      <c r="P193" s="569">
        <v>0</v>
      </c>
      <c r="Q193" s="560">
        <v>0</v>
      </c>
      <c r="R193" s="570">
        <f>Tabel66892628[[#This Row],[VAT DW 2017]]+Tabel66892628[[#This Row],[VAT Sew. 2017]]+Tabel66892628[[#This Row],[VAT WW 2017]]+Tabel66892628[[#This Row],[VAT Other ch. 2017]]</f>
        <v>44.164411192639776</v>
      </c>
      <c r="S193" s="571">
        <f>Tabel66892628[[#This Row],[Total. ch. DW 2017]]+Tabel66892628[[#This Row],[Sew. 2017]]+Tabel66892628[[#This Row],[VAT Sew. 2017]]+Tabel66892628[[#This Row],[WW 2017]]+Tabel66892628[[#This Row],[VAT WW 2017]]+Tabel66892628[[#This Row],[Other ch. 2017]]+Tabel66892628[[#This Row],[VAT Other ch. 2017]]</f>
        <v>377.08266869745086</v>
      </c>
      <c r="T193" s="397"/>
      <c r="U193" s="1763"/>
      <c r="V193" s="2129"/>
      <c r="W193" s="1769"/>
      <c r="X193" s="1772"/>
      <c r="Y193" s="1775"/>
      <c r="Z193" s="1778"/>
      <c r="AA193" s="1772"/>
      <c r="AB193" s="1781"/>
      <c r="AC193" s="1772"/>
      <c r="AD193" s="1785"/>
      <c r="AE193" s="1772"/>
      <c r="AF193" s="2137"/>
      <c r="AG193" s="1990"/>
      <c r="AH193" s="397"/>
      <c r="AI193" s="591" t="s">
        <v>429</v>
      </c>
      <c r="AJ193" s="591" t="s">
        <v>429</v>
      </c>
      <c r="AK193" s="591"/>
      <c r="AL193" s="591"/>
      <c r="AM193" s="591"/>
      <c r="AN193" s="591" t="s">
        <v>429</v>
      </c>
      <c r="AO193" s="398"/>
      <c r="AP193" s="397"/>
    </row>
    <row r="194" spans="1:42" ht="15.75" customHeight="1" x14ac:dyDescent="0.25">
      <c r="A194" s="1757"/>
      <c r="B194" s="632" t="s">
        <v>516</v>
      </c>
      <c r="C194" s="925"/>
      <c r="D194" s="754" t="s">
        <v>1118</v>
      </c>
      <c r="E194" s="1880"/>
      <c r="F194" s="616">
        <f>'exchange rates'!$O$50</f>
        <v>3.8868399999999999</v>
      </c>
      <c r="G194" s="549">
        <v>0</v>
      </c>
      <c r="H194" s="550">
        <f>928/F194</f>
        <v>238.75436086898355</v>
      </c>
      <c r="I194" s="551">
        <v>0</v>
      </c>
      <c r="J194" s="560">
        <f>83.52/F194</f>
        <v>21.487892478208519</v>
      </c>
      <c r="K194" s="566">
        <f>Tabel66892628[[#This Row],[Fix.ch. 2017]]+Tabel66892628[[#This Row],[Var. ch. 2017]]+Tabel66892628[[#This Row],[Oth. ch. DW 2017]]+Tabel66892628[[#This Row],[VAT DW 2017]]</f>
        <v>260.24225334719205</v>
      </c>
      <c r="L194" s="567">
        <v>0</v>
      </c>
      <c r="M194" s="560">
        <v>0</v>
      </c>
      <c r="N194" s="568">
        <f>520/F194</f>
        <v>133.78477117658562</v>
      </c>
      <c r="O194" s="560">
        <f>98.8/F194</f>
        <v>25.419106523551264</v>
      </c>
      <c r="P194" s="569">
        <v>0</v>
      </c>
      <c r="Q194" s="560">
        <v>0</v>
      </c>
      <c r="R194" s="570">
        <f>Tabel66892628[[#This Row],[VAT DW 2017]]+Tabel66892628[[#This Row],[VAT Sew. 2017]]+Tabel66892628[[#This Row],[VAT WW 2017]]+Tabel66892628[[#This Row],[VAT Other ch. 2017]]</f>
        <v>46.906999001759786</v>
      </c>
      <c r="S194" s="571">
        <f>Tabel66892628[[#This Row],[Total. ch. DW 2017]]+Tabel66892628[[#This Row],[Sew. 2017]]+Tabel66892628[[#This Row],[VAT Sew. 2017]]+Tabel66892628[[#This Row],[WW 2017]]+Tabel66892628[[#This Row],[VAT WW 2017]]+Tabel66892628[[#This Row],[Other ch. 2017]]+Tabel66892628[[#This Row],[VAT Other ch. 2017]]</f>
        <v>419.44613104732889</v>
      </c>
      <c r="T194" s="397"/>
      <c r="U194" s="1763"/>
      <c r="V194" s="2129"/>
      <c r="W194" s="1769"/>
      <c r="X194" s="1772"/>
      <c r="Y194" s="1775"/>
      <c r="Z194" s="1778"/>
      <c r="AA194" s="1772"/>
      <c r="AB194" s="1781"/>
      <c r="AC194" s="1772"/>
      <c r="AD194" s="1785"/>
      <c r="AE194" s="1772"/>
      <c r="AF194" s="2137"/>
      <c r="AG194" s="1990"/>
      <c r="AH194" s="397"/>
      <c r="AI194" s="591" t="s">
        <v>429</v>
      </c>
      <c r="AJ194" s="591" t="s">
        <v>429</v>
      </c>
      <c r="AK194" s="591"/>
      <c r="AL194" s="591"/>
      <c r="AM194" s="591"/>
      <c r="AN194" s="591" t="s">
        <v>429</v>
      </c>
      <c r="AO194" s="398"/>
      <c r="AP194" s="397"/>
    </row>
    <row r="195" spans="1:42" ht="15.75" customHeight="1" x14ac:dyDescent="0.25">
      <c r="A195" s="1757"/>
      <c r="B195" s="632" t="s">
        <v>875</v>
      </c>
      <c r="C195" s="925"/>
      <c r="D195" s="754" t="s">
        <v>1118</v>
      </c>
      <c r="E195" s="1880"/>
      <c r="F195" s="616">
        <f>'exchange rates'!$O$50</f>
        <v>3.8868399999999999</v>
      </c>
      <c r="G195" s="549">
        <v>0</v>
      </c>
      <c r="H195" s="550">
        <f>700/F195</f>
        <v>180.09488427617293</v>
      </c>
      <c r="I195" s="551">
        <v>0</v>
      </c>
      <c r="J195" s="560">
        <f>63/F195</f>
        <v>16.208539584855565</v>
      </c>
      <c r="K195" s="566">
        <f>Tabel66892628[[#This Row],[Fix.ch. 2017]]+Tabel66892628[[#This Row],[Var. ch. 2017]]+Tabel66892628[[#This Row],[Oth. ch. DW 2017]]+Tabel66892628[[#This Row],[VAT DW 2017]]</f>
        <v>196.30342386102851</v>
      </c>
      <c r="L195" s="567">
        <v>0</v>
      </c>
      <c r="M195" s="560">
        <v>0</v>
      </c>
      <c r="N195" s="568">
        <f>594/F195</f>
        <v>152.82337322863819</v>
      </c>
      <c r="O195" s="560">
        <f>112.86/F195</f>
        <v>29.036440913441254</v>
      </c>
      <c r="P195" s="569">
        <v>0</v>
      </c>
      <c r="Q195" s="560">
        <v>0</v>
      </c>
      <c r="R195" s="570">
        <f>Tabel66892628[[#This Row],[VAT DW 2017]]+Tabel66892628[[#This Row],[VAT Sew. 2017]]+Tabel66892628[[#This Row],[VAT WW 2017]]+Tabel66892628[[#This Row],[VAT Other ch. 2017]]</f>
        <v>45.244980498296819</v>
      </c>
      <c r="S195" s="571">
        <f>Tabel66892628[[#This Row],[Total. ch. DW 2017]]+Tabel66892628[[#This Row],[Sew. 2017]]+Tabel66892628[[#This Row],[VAT Sew. 2017]]+Tabel66892628[[#This Row],[WW 2017]]+Tabel66892628[[#This Row],[VAT WW 2017]]+Tabel66892628[[#This Row],[Other ch. 2017]]+Tabel66892628[[#This Row],[VAT Other ch. 2017]]</f>
        <v>378.16323800310795</v>
      </c>
      <c r="T195" s="397"/>
      <c r="U195" s="1763"/>
      <c r="V195" s="2129"/>
      <c r="W195" s="1769"/>
      <c r="X195" s="1772"/>
      <c r="Y195" s="1775"/>
      <c r="Z195" s="1778"/>
      <c r="AA195" s="1772"/>
      <c r="AB195" s="1781"/>
      <c r="AC195" s="1772"/>
      <c r="AD195" s="1785"/>
      <c r="AE195" s="1772"/>
      <c r="AF195" s="2137"/>
      <c r="AG195" s="1990"/>
      <c r="AH195" s="397"/>
      <c r="AI195" s="591" t="s">
        <v>429</v>
      </c>
      <c r="AJ195" s="591" t="s">
        <v>429</v>
      </c>
      <c r="AK195" s="591"/>
      <c r="AL195" s="591"/>
      <c r="AM195" s="591"/>
      <c r="AN195" s="591" t="s">
        <v>429</v>
      </c>
      <c r="AO195" s="398"/>
      <c r="AP195" s="397"/>
    </row>
    <row r="196" spans="1:42" ht="15.75" customHeight="1" x14ac:dyDescent="0.25">
      <c r="A196" s="1757"/>
      <c r="B196" s="632" t="s">
        <v>517</v>
      </c>
      <c r="C196" s="925"/>
      <c r="D196" s="754" t="s">
        <v>1118</v>
      </c>
      <c r="E196" s="1880"/>
      <c r="F196" s="616">
        <f>'exchange rates'!$O$50</f>
        <v>3.8868399999999999</v>
      </c>
      <c r="G196" s="549">
        <v>0</v>
      </c>
      <c r="H196" s="550">
        <f>688/F196</f>
        <v>177.00754340286713</v>
      </c>
      <c r="I196" s="551">
        <v>0</v>
      </c>
      <c r="J196" s="560">
        <f>61.92/F196</f>
        <v>15.930678906258041</v>
      </c>
      <c r="K196" s="566">
        <f>Tabel66892628[[#This Row],[Fix.ch. 2017]]+Tabel66892628[[#This Row],[Var. ch. 2017]]+Tabel66892628[[#This Row],[Oth. ch. DW 2017]]+Tabel66892628[[#This Row],[VAT DW 2017]]</f>
        <v>192.93822230912517</v>
      </c>
      <c r="L196" s="567">
        <v>0</v>
      </c>
      <c r="M196" s="560">
        <v>0</v>
      </c>
      <c r="N196" s="568">
        <f>598/F196</f>
        <v>153.85248685307346</v>
      </c>
      <c r="O196" s="560">
        <f>113.62/F196</f>
        <v>29.231972502083959</v>
      </c>
      <c r="P196" s="569">
        <v>0</v>
      </c>
      <c r="Q196" s="560">
        <v>0</v>
      </c>
      <c r="R196" s="570">
        <f>Tabel66892628[[#This Row],[VAT DW 2017]]+Tabel66892628[[#This Row],[VAT Sew. 2017]]+Tabel66892628[[#This Row],[VAT WW 2017]]+Tabel66892628[[#This Row],[VAT Other ch. 2017]]</f>
        <v>45.162651408342001</v>
      </c>
      <c r="S196" s="571">
        <f>Tabel66892628[[#This Row],[Total. ch. DW 2017]]+Tabel66892628[[#This Row],[Sew. 2017]]+Tabel66892628[[#This Row],[VAT Sew. 2017]]+Tabel66892628[[#This Row],[WW 2017]]+Tabel66892628[[#This Row],[VAT WW 2017]]+Tabel66892628[[#This Row],[Other ch. 2017]]+Tabel66892628[[#This Row],[VAT Other ch. 2017]]</f>
        <v>376.02268166428257</v>
      </c>
      <c r="T196" s="397"/>
      <c r="U196" s="1763"/>
      <c r="V196" s="2129"/>
      <c r="W196" s="1769"/>
      <c r="X196" s="1772"/>
      <c r="Y196" s="1775"/>
      <c r="Z196" s="1778"/>
      <c r="AA196" s="1772"/>
      <c r="AB196" s="1781"/>
      <c r="AC196" s="1772"/>
      <c r="AD196" s="1785"/>
      <c r="AE196" s="1772"/>
      <c r="AF196" s="2137"/>
      <c r="AG196" s="1990"/>
      <c r="AH196" s="397"/>
      <c r="AI196" s="591" t="s">
        <v>429</v>
      </c>
      <c r="AJ196" s="591" t="s">
        <v>429</v>
      </c>
      <c r="AK196" s="591"/>
      <c r="AL196" s="591"/>
      <c r="AM196" s="591"/>
      <c r="AN196" s="591" t="s">
        <v>429</v>
      </c>
      <c r="AO196" s="398"/>
      <c r="AP196" s="397"/>
    </row>
    <row r="197" spans="1:42" ht="15.75" customHeight="1" x14ac:dyDescent="0.25">
      <c r="A197" s="1757"/>
      <c r="B197" s="456" t="s">
        <v>518</v>
      </c>
      <c r="C197" s="804"/>
      <c r="D197" s="804" t="s">
        <v>1118</v>
      </c>
      <c r="E197" s="1880"/>
      <c r="F197" s="616">
        <f>'exchange rates'!$O$50</f>
        <v>3.8868399999999999</v>
      </c>
      <c r="G197" s="319"/>
      <c r="H197" s="320"/>
      <c r="I197" s="321"/>
      <c r="J197" s="559"/>
      <c r="K197" s="313"/>
      <c r="L197" s="322"/>
      <c r="M197" s="559"/>
      <c r="N197" s="323"/>
      <c r="O197" s="559"/>
      <c r="P197" s="324"/>
      <c r="Q197" s="559"/>
      <c r="R197" s="317"/>
      <c r="S197" s="318"/>
      <c r="T197" s="397"/>
      <c r="U197" s="1763"/>
      <c r="V197" s="2129"/>
      <c r="W197" s="1769"/>
      <c r="X197" s="1772"/>
      <c r="Y197" s="1775"/>
      <c r="Z197" s="1778"/>
      <c r="AA197" s="1772"/>
      <c r="AB197" s="1781"/>
      <c r="AC197" s="1772"/>
      <c r="AD197" s="1785"/>
      <c r="AE197" s="1772"/>
      <c r="AF197" s="2137"/>
      <c r="AG197" s="1990"/>
      <c r="AH197" s="397"/>
      <c r="AI197" s="396"/>
      <c r="AJ197" s="396"/>
      <c r="AK197" s="398"/>
      <c r="AL197" s="398"/>
      <c r="AM197" s="398"/>
      <c r="AN197" s="396"/>
      <c r="AO197" s="398"/>
      <c r="AP197" s="397"/>
    </row>
    <row r="198" spans="1:42" ht="15.75" customHeight="1" x14ac:dyDescent="0.25">
      <c r="A198" s="1757"/>
      <c r="B198" s="456" t="s">
        <v>519</v>
      </c>
      <c r="C198" s="804"/>
      <c r="D198" s="804" t="s">
        <v>1118</v>
      </c>
      <c r="E198" s="1880"/>
      <c r="F198" s="616">
        <f>'exchange rates'!$O$50</f>
        <v>3.8868399999999999</v>
      </c>
      <c r="G198" s="319"/>
      <c r="H198" s="320"/>
      <c r="I198" s="321"/>
      <c r="J198" s="559"/>
      <c r="K198" s="313"/>
      <c r="L198" s="322"/>
      <c r="M198" s="559"/>
      <c r="N198" s="323"/>
      <c r="O198" s="559"/>
      <c r="P198" s="324"/>
      <c r="Q198" s="559"/>
      <c r="R198" s="317"/>
      <c r="S198" s="318"/>
      <c r="T198" s="397"/>
      <c r="U198" s="1763"/>
      <c r="V198" s="2129"/>
      <c r="W198" s="1769"/>
      <c r="X198" s="1772"/>
      <c r="Y198" s="1775"/>
      <c r="Z198" s="1778"/>
      <c r="AA198" s="1772"/>
      <c r="AB198" s="1781"/>
      <c r="AC198" s="1772"/>
      <c r="AD198" s="1785"/>
      <c r="AE198" s="1772"/>
      <c r="AF198" s="2137"/>
      <c r="AG198" s="1990"/>
      <c r="AH198" s="397"/>
      <c r="AI198" s="396"/>
      <c r="AJ198" s="396"/>
      <c r="AK198" s="398"/>
      <c r="AL198" s="398"/>
      <c r="AM198" s="398"/>
      <c r="AN198" s="396"/>
      <c r="AO198" s="398"/>
      <c r="AP198" s="397"/>
    </row>
    <row r="199" spans="1:42" ht="15.75" customHeight="1" x14ac:dyDescent="0.25">
      <c r="A199" s="1757"/>
      <c r="B199" s="456" t="s">
        <v>596</v>
      </c>
      <c r="C199" s="804"/>
      <c r="D199" s="804" t="s">
        <v>1118</v>
      </c>
      <c r="E199" s="1880"/>
      <c r="F199" s="616">
        <f>'exchange rates'!$O$50</f>
        <v>3.8868399999999999</v>
      </c>
      <c r="G199" s="319"/>
      <c r="H199" s="320"/>
      <c r="I199" s="321"/>
      <c r="J199" s="559"/>
      <c r="K199" s="313"/>
      <c r="L199" s="322"/>
      <c r="M199" s="559"/>
      <c r="N199" s="323"/>
      <c r="O199" s="559"/>
      <c r="P199" s="324"/>
      <c r="Q199" s="559"/>
      <c r="R199" s="317"/>
      <c r="S199" s="318"/>
      <c r="T199" s="397"/>
      <c r="U199" s="1763"/>
      <c r="V199" s="2129"/>
      <c r="W199" s="1769"/>
      <c r="X199" s="1772"/>
      <c r="Y199" s="1775"/>
      <c r="Z199" s="1778"/>
      <c r="AA199" s="1772"/>
      <c r="AB199" s="1781"/>
      <c r="AC199" s="1772"/>
      <c r="AD199" s="1785"/>
      <c r="AE199" s="1772"/>
      <c r="AF199" s="2137"/>
      <c r="AG199" s="1990"/>
      <c r="AH199" s="397"/>
      <c r="AI199" s="396"/>
      <c r="AJ199" s="396"/>
      <c r="AK199" s="398"/>
      <c r="AL199" s="398"/>
      <c r="AM199" s="398"/>
      <c r="AN199" s="396"/>
      <c r="AO199" s="398"/>
      <c r="AP199" s="397"/>
    </row>
    <row r="200" spans="1:42" ht="15.75" customHeight="1" x14ac:dyDescent="0.25">
      <c r="A200" s="1757"/>
      <c r="B200" s="632" t="s">
        <v>873</v>
      </c>
      <c r="C200" s="803"/>
      <c r="D200" s="803" t="s">
        <v>1118</v>
      </c>
      <c r="E200" s="1880"/>
      <c r="F200" s="616">
        <f>'exchange rates'!$O$50</f>
        <v>3.8868399999999999</v>
      </c>
      <c r="G200" s="549">
        <v>0</v>
      </c>
      <c r="H200" s="550">
        <f>764/F200</f>
        <v>196.56070226713732</v>
      </c>
      <c r="I200" s="551">
        <v>0</v>
      </c>
      <c r="J200" s="560">
        <f>68.76/F200</f>
        <v>17.690463204042359</v>
      </c>
      <c r="K200" s="566">
        <f>Tabel66892628[[#This Row],[Fix.ch. 2017]]+Tabel66892628[[#This Row],[Var. ch. 2017]]+Tabel66892628[[#This Row],[Oth. ch. DW 2017]]+Tabel66892628[[#This Row],[VAT DW 2017]]</f>
        <v>214.25116547117966</v>
      </c>
      <c r="L200" s="567">
        <v>0</v>
      </c>
      <c r="M200" s="560">
        <v>0</v>
      </c>
      <c r="N200" s="568">
        <f>304/F200</f>
        <v>78.212635457080822</v>
      </c>
      <c r="O200" s="560">
        <f>57.76/F200</f>
        <v>14.860400736845355</v>
      </c>
      <c r="P200" s="569">
        <v>0</v>
      </c>
      <c r="Q200" s="560">
        <v>0</v>
      </c>
      <c r="R200" s="570">
        <f>Tabel66892628[[#This Row],[VAT DW 2017]]+Tabel66892628[[#This Row],[VAT Sew. 2017]]+Tabel66892628[[#This Row],[VAT WW 2017]]+Tabel66892628[[#This Row],[VAT Other ch. 2017]]</f>
        <v>32.550863940887716</v>
      </c>
      <c r="S200" s="571">
        <f>Tabel66892628[[#This Row],[Total. ch. DW 2017]]+Tabel66892628[[#This Row],[Sew. 2017]]+Tabel66892628[[#This Row],[VAT Sew. 2017]]+Tabel66892628[[#This Row],[WW 2017]]+Tabel66892628[[#This Row],[VAT WW 2017]]+Tabel66892628[[#This Row],[Other ch. 2017]]+Tabel66892628[[#This Row],[VAT Other ch. 2017]]</f>
        <v>307.32420166510582</v>
      </c>
      <c r="T200" s="397"/>
      <c r="U200" s="1763"/>
      <c r="V200" s="2129"/>
      <c r="W200" s="1769"/>
      <c r="X200" s="1772"/>
      <c r="Y200" s="1775"/>
      <c r="Z200" s="1778"/>
      <c r="AA200" s="1772"/>
      <c r="AB200" s="1781"/>
      <c r="AC200" s="1772"/>
      <c r="AD200" s="1785"/>
      <c r="AE200" s="1772"/>
      <c r="AF200" s="2137"/>
      <c r="AG200" s="1990"/>
      <c r="AH200" s="397"/>
      <c r="AI200" s="591" t="s">
        <v>429</v>
      </c>
      <c r="AJ200" s="591" t="s">
        <v>429</v>
      </c>
      <c r="AK200" s="591"/>
      <c r="AL200" s="591"/>
      <c r="AM200" s="591"/>
      <c r="AN200" s="591" t="s">
        <v>429</v>
      </c>
      <c r="AO200" s="398"/>
      <c r="AP200" s="397"/>
    </row>
    <row r="201" spans="1:42" ht="16.5" customHeight="1" x14ac:dyDescent="0.25">
      <c r="A201" s="1757"/>
      <c r="B201" s="633" t="s">
        <v>520</v>
      </c>
      <c r="C201" s="803"/>
      <c r="D201" s="803" t="s">
        <v>1118</v>
      </c>
      <c r="E201" s="1880"/>
      <c r="F201" s="616">
        <f>'exchange rates'!$O$50</f>
        <v>3.8868399999999999</v>
      </c>
      <c r="G201" s="549">
        <v>0</v>
      </c>
      <c r="H201" s="550">
        <f>638/F201</f>
        <v>164.1436230974262</v>
      </c>
      <c r="I201" s="551">
        <v>0</v>
      </c>
      <c r="J201" s="560">
        <f>57.42/F201</f>
        <v>14.772926078768357</v>
      </c>
      <c r="K201" s="566">
        <f>Tabel66892628[[#This Row],[Fix.ch. 2017]]+Tabel66892628[[#This Row],[Var. ch. 2017]]+Tabel66892628[[#This Row],[Oth. ch. DW 2017]]+Tabel66892628[[#This Row],[VAT DW 2017]]</f>
        <v>178.91654917619456</v>
      </c>
      <c r="L201" s="567">
        <v>0</v>
      </c>
      <c r="M201" s="560">
        <v>0</v>
      </c>
      <c r="N201" s="568">
        <f>614/F201</f>
        <v>157.96894135081456</v>
      </c>
      <c r="O201" s="560">
        <f>116.66/F201</f>
        <v>30.014098856654762</v>
      </c>
      <c r="P201" s="569">
        <v>0</v>
      </c>
      <c r="Q201" s="560">
        <v>0</v>
      </c>
      <c r="R201" s="570">
        <f>Tabel66892628[[#This Row],[VAT DW 2017]]+Tabel66892628[[#This Row],[VAT Sew. 2017]]+Tabel66892628[[#This Row],[VAT WW 2017]]+Tabel66892628[[#This Row],[VAT Other ch. 2017]]</f>
        <v>44.787024935423119</v>
      </c>
      <c r="S201" s="571">
        <f>Tabel66892628[[#This Row],[Total. ch. DW 2017]]+Tabel66892628[[#This Row],[Sew. 2017]]+Tabel66892628[[#This Row],[VAT Sew. 2017]]+Tabel66892628[[#This Row],[WW 2017]]+Tabel66892628[[#This Row],[VAT WW 2017]]+Tabel66892628[[#This Row],[Other ch. 2017]]+Tabel66892628[[#This Row],[VAT Other ch. 2017]]</f>
        <v>366.89958938366385</v>
      </c>
      <c r="T201" s="397"/>
      <c r="U201" s="1763"/>
      <c r="V201" s="2129"/>
      <c r="W201" s="1769"/>
      <c r="X201" s="1772"/>
      <c r="Y201" s="1775"/>
      <c r="Z201" s="1778"/>
      <c r="AA201" s="1772"/>
      <c r="AB201" s="1781"/>
      <c r="AC201" s="1772"/>
      <c r="AD201" s="1785"/>
      <c r="AE201" s="1772"/>
      <c r="AF201" s="2137"/>
      <c r="AG201" s="1990"/>
      <c r="AH201" s="397"/>
      <c r="AI201" s="591" t="s">
        <v>429</v>
      </c>
      <c r="AJ201" s="591" t="s">
        <v>429</v>
      </c>
      <c r="AK201" s="591"/>
      <c r="AL201" s="591"/>
      <c r="AM201" s="591"/>
      <c r="AN201" s="591" t="s">
        <v>429</v>
      </c>
      <c r="AO201" s="398"/>
      <c r="AP201" s="397"/>
    </row>
    <row r="202" spans="1:42" ht="18" customHeight="1" x14ac:dyDescent="0.25">
      <c r="A202" s="1757"/>
      <c r="B202" s="633" t="s">
        <v>597</v>
      </c>
      <c r="C202" s="803"/>
      <c r="D202" s="803" t="s">
        <v>1118</v>
      </c>
      <c r="E202" s="1880"/>
      <c r="F202" s="616">
        <f>'exchange rates'!$O$50</f>
        <v>3.8868399999999999</v>
      </c>
      <c r="G202" s="549">
        <v>0</v>
      </c>
      <c r="H202" s="550">
        <f>820/F202</f>
        <v>210.96829300923116</v>
      </c>
      <c r="I202" s="551">
        <v>0</v>
      </c>
      <c r="J202" s="560">
        <f>73.8/F202</f>
        <v>18.987146370830803</v>
      </c>
      <c r="K202" s="566">
        <f>Tabel66892628[[#This Row],[Fix.ch. 2017]]+Tabel66892628[[#This Row],[Var. ch. 2017]]+Tabel66892628[[#This Row],[Oth. ch. DW 2017]]+Tabel66892628[[#This Row],[VAT DW 2017]]</f>
        <v>229.95543938006196</v>
      </c>
      <c r="L202" s="567">
        <v>0</v>
      </c>
      <c r="M202" s="560">
        <v>0</v>
      </c>
      <c r="N202" s="568">
        <f>578/F202</f>
        <v>148.70691873089709</v>
      </c>
      <c r="O202" s="560">
        <f>109.82/F202</f>
        <v>28.254314558870444</v>
      </c>
      <c r="P202" s="569">
        <v>0</v>
      </c>
      <c r="Q202" s="560">
        <v>0</v>
      </c>
      <c r="R202" s="570">
        <f>Tabel66892628[[#This Row],[VAT DW 2017]]+Tabel66892628[[#This Row],[VAT Sew. 2017]]+Tabel66892628[[#This Row],[VAT WW 2017]]+Tabel66892628[[#This Row],[VAT Other ch. 2017]]</f>
        <v>47.241460929701248</v>
      </c>
      <c r="S202" s="571">
        <f>Tabel66892628[[#This Row],[Total. ch. DW 2017]]+Tabel66892628[[#This Row],[Sew. 2017]]+Tabel66892628[[#This Row],[VAT Sew. 2017]]+Tabel66892628[[#This Row],[WW 2017]]+Tabel66892628[[#This Row],[VAT WW 2017]]+Tabel66892628[[#This Row],[Other ch. 2017]]+Tabel66892628[[#This Row],[VAT Other ch. 2017]]</f>
        <v>406.9166726698295</v>
      </c>
      <c r="T202" s="397"/>
      <c r="U202" s="1763"/>
      <c r="V202" s="2129"/>
      <c r="W202" s="1769"/>
      <c r="X202" s="1772"/>
      <c r="Y202" s="1775"/>
      <c r="Z202" s="1778"/>
      <c r="AA202" s="1772"/>
      <c r="AB202" s="1781"/>
      <c r="AC202" s="1772"/>
      <c r="AD202" s="1785"/>
      <c r="AE202" s="1772"/>
      <c r="AF202" s="2137"/>
      <c r="AG202" s="1990"/>
      <c r="AH202" s="397"/>
      <c r="AI202" s="591" t="s">
        <v>429</v>
      </c>
      <c r="AJ202" s="591" t="s">
        <v>429</v>
      </c>
      <c r="AK202" s="591"/>
      <c r="AL202" s="591"/>
      <c r="AM202" s="591"/>
      <c r="AN202" s="591" t="s">
        <v>429</v>
      </c>
      <c r="AO202" s="398"/>
      <c r="AP202" s="397"/>
    </row>
    <row r="203" spans="1:42" ht="18" customHeight="1" x14ac:dyDescent="0.25">
      <c r="A203" s="1757"/>
      <c r="B203" s="503" t="s">
        <v>765</v>
      </c>
      <c r="C203" s="804"/>
      <c r="D203" s="804" t="s">
        <v>1118</v>
      </c>
      <c r="E203" s="1880"/>
      <c r="F203" s="616">
        <f>'exchange rates'!$O$50</f>
        <v>3.8868399999999999</v>
      </c>
      <c r="G203" s="319"/>
      <c r="H203" s="320"/>
      <c r="I203" s="321"/>
      <c r="J203" s="559"/>
      <c r="K203" s="313"/>
      <c r="L203" s="322"/>
      <c r="M203" s="559"/>
      <c r="N203" s="323"/>
      <c r="O203" s="559"/>
      <c r="P203" s="324"/>
      <c r="Q203" s="559"/>
      <c r="R203" s="317"/>
      <c r="S203" s="318"/>
      <c r="T203" s="397"/>
      <c r="U203" s="1886"/>
      <c r="V203" s="2130"/>
      <c r="W203" s="1890"/>
      <c r="X203" s="1772"/>
      <c r="Y203" s="1892"/>
      <c r="Z203" s="1894"/>
      <c r="AA203" s="1772"/>
      <c r="AB203" s="1911"/>
      <c r="AC203" s="1772"/>
      <c r="AD203" s="1913"/>
      <c r="AE203" s="1772"/>
      <c r="AF203" s="2138"/>
      <c r="AG203" s="2053"/>
      <c r="AH203" s="397"/>
      <c r="AI203" s="396"/>
      <c r="AJ203" s="396"/>
      <c r="AK203" s="398"/>
      <c r="AL203" s="398"/>
      <c r="AM203" s="398"/>
      <c r="AN203" s="396"/>
      <c r="AO203" s="398"/>
      <c r="AP203" s="397"/>
    </row>
    <row r="204" spans="1:42" ht="18" customHeight="1" x14ac:dyDescent="0.25">
      <c r="A204" s="1757"/>
      <c r="B204" s="633" t="s">
        <v>860</v>
      </c>
      <c r="C204" s="803" t="s">
        <v>429</v>
      </c>
      <c r="D204" s="803" t="s">
        <v>1118</v>
      </c>
      <c r="E204" s="1880"/>
      <c r="F204" s="616">
        <f>'exchange rates'!$O$50</f>
        <v>3.8868399999999999</v>
      </c>
      <c r="G204" s="549">
        <v>0</v>
      </c>
      <c r="H204" s="550">
        <f>662/F204</f>
        <v>170.31830484403784</v>
      </c>
      <c r="I204" s="551">
        <v>0</v>
      </c>
      <c r="J204" s="560">
        <f>59.58/F204</f>
        <v>15.328647435963404</v>
      </c>
      <c r="K204" s="566">
        <f>Tabel66892628[[#This Row],[Fix.ch. 2017]]+Tabel66892628[[#This Row],[Var. ch. 2017]]+Tabel66892628[[#This Row],[Oth. ch. DW 2017]]+Tabel66892628[[#This Row],[VAT DW 2017]]</f>
        <v>185.64695228000124</v>
      </c>
      <c r="L204" s="567">
        <v>0</v>
      </c>
      <c r="M204" s="560">
        <v>0</v>
      </c>
      <c r="N204" s="568">
        <f>348/F204</f>
        <v>89.532885325868833</v>
      </c>
      <c r="O204" s="560">
        <f>66.12/F204</f>
        <v>17.011248211915078</v>
      </c>
      <c r="P204" s="569">
        <v>0</v>
      </c>
      <c r="Q204" s="560">
        <v>0</v>
      </c>
      <c r="R204" s="570">
        <f>Tabel66892628[[#This Row],[VAT DW 2017]]+Tabel66892628[[#This Row],[VAT Sew. 2017]]+Tabel66892628[[#This Row],[VAT WW 2017]]+Tabel66892628[[#This Row],[VAT Other ch. 2017]]</f>
        <v>32.339895647878478</v>
      </c>
      <c r="S204" s="571">
        <f>Tabel66892628[[#This Row],[Total. ch. DW 2017]]+Tabel66892628[[#This Row],[Sew. 2017]]+Tabel66892628[[#This Row],[VAT Sew. 2017]]+Tabel66892628[[#This Row],[WW 2017]]+Tabel66892628[[#This Row],[VAT WW 2017]]+Tabel66892628[[#This Row],[Other ch. 2017]]+Tabel66892628[[#This Row],[VAT Other ch. 2017]]</f>
        <v>292.19108581778517</v>
      </c>
      <c r="T204" s="397"/>
      <c r="U204" s="1886"/>
      <c r="V204" s="2130"/>
      <c r="W204" s="1890"/>
      <c r="X204" s="1772"/>
      <c r="Y204" s="1892"/>
      <c r="Z204" s="1894"/>
      <c r="AA204" s="1772"/>
      <c r="AB204" s="1911"/>
      <c r="AC204" s="1772"/>
      <c r="AD204" s="1913"/>
      <c r="AE204" s="1772"/>
      <c r="AF204" s="2138"/>
      <c r="AG204" s="2053"/>
      <c r="AH204" s="397"/>
      <c r="AI204" s="591" t="s">
        <v>429</v>
      </c>
      <c r="AJ204" s="591" t="s">
        <v>429</v>
      </c>
      <c r="AK204" s="591"/>
      <c r="AL204" s="591"/>
      <c r="AM204" s="591"/>
      <c r="AN204" s="591" t="s">
        <v>429</v>
      </c>
      <c r="AO204" s="398"/>
      <c r="AP204" s="397"/>
    </row>
    <row r="205" spans="1:42" ht="18" customHeight="1" x14ac:dyDescent="0.25">
      <c r="A205" s="1757"/>
      <c r="B205" s="503" t="s">
        <v>766</v>
      </c>
      <c r="C205" s="804"/>
      <c r="D205" s="804" t="s">
        <v>1118</v>
      </c>
      <c r="E205" s="1880"/>
      <c r="F205" s="616">
        <f>'exchange rates'!$O$50</f>
        <v>3.8868399999999999</v>
      </c>
      <c r="G205" s="319"/>
      <c r="H205" s="320"/>
      <c r="I205" s="321"/>
      <c r="J205" s="559"/>
      <c r="K205" s="313"/>
      <c r="L205" s="322"/>
      <c r="M205" s="559"/>
      <c r="N205" s="323"/>
      <c r="O205" s="559"/>
      <c r="P205" s="324"/>
      <c r="Q205" s="559"/>
      <c r="R205" s="317"/>
      <c r="S205" s="318"/>
      <c r="T205" s="397"/>
      <c r="U205" s="1886"/>
      <c r="V205" s="2130"/>
      <c r="W205" s="1890"/>
      <c r="X205" s="1772"/>
      <c r="Y205" s="1892"/>
      <c r="Z205" s="1894"/>
      <c r="AA205" s="1772"/>
      <c r="AB205" s="1911"/>
      <c r="AC205" s="1772"/>
      <c r="AD205" s="1913"/>
      <c r="AE205" s="1772"/>
      <c r="AF205" s="2138"/>
      <c r="AG205" s="2053"/>
      <c r="AH205" s="397"/>
      <c r="AI205" s="396"/>
      <c r="AJ205" s="396"/>
      <c r="AK205" s="398"/>
      <c r="AL205" s="398"/>
      <c r="AM205" s="398"/>
      <c r="AN205" s="396"/>
      <c r="AO205" s="398"/>
      <c r="AP205" s="397"/>
    </row>
    <row r="206" spans="1:42" ht="18" customHeight="1" x14ac:dyDescent="0.25">
      <c r="A206" s="1757"/>
      <c r="B206" s="503" t="s">
        <v>767</v>
      </c>
      <c r="C206" s="804"/>
      <c r="D206" s="804" t="s">
        <v>1118</v>
      </c>
      <c r="E206" s="1880"/>
      <c r="F206" s="616">
        <f>'exchange rates'!$O$50</f>
        <v>3.8868399999999999</v>
      </c>
      <c r="G206" s="319"/>
      <c r="H206" s="320"/>
      <c r="I206" s="321"/>
      <c r="J206" s="559"/>
      <c r="K206" s="313"/>
      <c r="L206" s="322"/>
      <c r="M206" s="559"/>
      <c r="N206" s="323"/>
      <c r="O206" s="559"/>
      <c r="P206" s="324"/>
      <c r="Q206" s="559"/>
      <c r="R206" s="317"/>
      <c r="S206" s="318"/>
      <c r="T206" s="397"/>
      <c r="U206" s="1886"/>
      <c r="V206" s="2130"/>
      <c r="W206" s="1890"/>
      <c r="X206" s="1772"/>
      <c r="Y206" s="1892"/>
      <c r="Z206" s="1894"/>
      <c r="AA206" s="1772"/>
      <c r="AB206" s="1911"/>
      <c r="AC206" s="1772"/>
      <c r="AD206" s="1913"/>
      <c r="AE206" s="1772"/>
      <c r="AF206" s="2138"/>
      <c r="AG206" s="2053"/>
      <c r="AH206" s="397"/>
      <c r="AI206" s="396"/>
      <c r="AJ206" s="396"/>
      <c r="AK206" s="398"/>
      <c r="AL206" s="398"/>
      <c r="AM206" s="398"/>
      <c r="AN206" s="396"/>
      <c r="AO206" s="398"/>
      <c r="AP206" s="397"/>
    </row>
    <row r="207" spans="1:42" ht="18" customHeight="1" x14ac:dyDescent="0.25">
      <c r="A207" s="1757"/>
      <c r="B207" s="503" t="s">
        <v>768</v>
      </c>
      <c r="C207" s="804"/>
      <c r="D207" s="804" t="s">
        <v>1118</v>
      </c>
      <c r="E207" s="1880"/>
      <c r="F207" s="616">
        <f>'exchange rates'!$O$50</f>
        <v>3.8868399999999999</v>
      </c>
      <c r="G207" s="319"/>
      <c r="H207" s="320"/>
      <c r="I207" s="321"/>
      <c r="J207" s="559"/>
      <c r="K207" s="313"/>
      <c r="L207" s="322"/>
      <c r="M207" s="559"/>
      <c r="N207" s="323"/>
      <c r="O207" s="559"/>
      <c r="P207" s="324"/>
      <c r="Q207" s="559"/>
      <c r="R207" s="317"/>
      <c r="S207" s="318"/>
      <c r="T207" s="397"/>
      <c r="U207" s="1886"/>
      <c r="V207" s="2130"/>
      <c r="W207" s="1890"/>
      <c r="X207" s="1772"/>
      <c r="Y207" s="1892"/>
      <c r="Z207" s="1894"/>
      <c r="AA207" s="1772"/>
      <c r="AB207" s="1911"/>
      <c r="AC207" s="1772"/>
      <c r="AD207" s="1913"/>
      <c r="AE207" s="1772"/>
      <c r="AF207" s="2138"/>
      <c r="AG207" s="2053"/>
      <c r="AH207" s="397"/>
      <c r="AI207" s="396"/>
      <c r="AJ207" s="396"/>
      <c r="AK207" s="398"/>
      <c r="AL207" s="398"/>
      <c r="AM207" s="398"/>
      <c r="AN207" s="396"/>
      <c r="AO207" s="398"/>
      <c r="AP207" s="397"/>
    </row>
    <row r="208" spans="1:42" ht="18" customHeight="1" x14ac:dyDescent="0.25">
      <c r="A208" s="1757"/>
      <c r="B208" s="633" t="s">
        <v>769</v>
      </c>
      <c r="C208" s="803"/>
      <c r="D208" s="803" t="s">
        <v>1118</v>
      </c>
      <c r="E208" s="1880"/>
      <c r="F208" s="616">
        <f>'exchange rates'!$O$50</f>
        <v>3.8868399999999999</v>
      </c>
      <c r="G208" s="549">
        <v>0</v>
      </c>
      <c r="H208" s="550">
        <f>696/F208</f>
        <v>179.06577065173767</v>
      </c>
      <c r="I208" s="551">
        <v>0</v>
      </c>
      <c r="J208" s="560">
        <f>62.64/F208</f>
        <v>16.115919358656392</v>
      </c>
      <c r="K208" s="566">
        <f>Tabel66892628[[#This Row],[Fix.ch. 2017]]+Tabel66892628[[#This Row],[Var. ch. 2017]]+Tabel66892628[[#This Row],[Oth. ch. DW 2017]]+Tabel66892628[[#This Row],[VAT DW 2017]]</f>
        <v>195.18169001039405</v>
      </c>
      <c r="L208" s="567">
        <v>0</v>
      </c>
      <c r="M208" s="560">
        <v>0</v>
      </c>
      <c r="N208" s="568">
        <f>552/F208</f>
        <v>142.0176801720678</v>
      </c>
      <c r="O208" s="560">
        <f>104.88/F208</f>
        <v>26.98335923269288</v>
      </c>
      <c r="P208" s="569">
        <v>0</v>
      </c>
      <c r="Q208" s="560">
        <v>0</v>
      </c>
      <c r="R208" s="570">
        <f>Tabel66892628[[#This Row],[VAT DW 2017]]+Tabel66892628[[#This Row],[VAT Sew. 2017]]+Tabel66892628[[#This Row],[VAT WW 2017]]+Tabel66892628[[#This Row],[VAT Other ch. 2017]]</f>
        <v>43.099278591349275</v>
      </c>
      <c r="S208" s="571">
        <f>Tabel66892628[[#This Row],[Total. ch. DW 2017]]+Tabel66892628[[#This Row],[Sew. 2017]]+Tabel66892628[[#This Row],[VAT Sew. 2017]]+Tabel66892628[[#This Row],[WW 2017]]+Tabel66892628[[#This Row],[VAT WW 2017]]+Tabel66892628[[#This Row],[Other ch. 2017]]+Tabel66892628[[#This Row],[VAT Other ch. 2017]]</f>
        <v>364.18272941515471</v>
      </c>
      <c r="T208" s="397"/>
      <c r="U208" s="1886"/>
      <c r="V208" s="2130"/>
      <c r="W208" s="1890"/>
      <c r="X208" s="1772"/>
      <c r="Y208" s="1892"/>
      <c r="Z208" s="1894"/>
      <c r="AA208" s="1772"/>
      <c r="AB208" s="1911"/>
      <c r="AC208" s="1772"/>
      <c r="AD208" s="1913"/>
      <c r="AE208" s="1772"/>
      <c r="AF208" s="2138"/>
      <c r="AG208" s="2053"/>
      <c r="AH208" s="397"/>
      <c r="AI208" s="591" t="s">
        <v>429</v>
      </c>
      <c r="AJ208" s="591" t="s">
        <v>429</v>
      </c>
      <c r="AK208" s="591"/>
      <c r="AL208" s="591"/>
      <c r="AM208" s="591"/>
      <c r="AN208" s="591" t="s">
        <v>429</v>
      </c>
      <c r="AO208" s="398"/>
      <c r="AP208" s="397"/>
    </row>
    <row r="209" spans="1:42" ht="18" customHeight="1" x14ac:dyDescent="0.25">
      <c r="A209" s="1757"/>
      <c r="B209" s="503" t="s">
        <v>770</v>
      </c>
      <c r="C209" s="804"/>
      <c r="D209" s="804" t="s">
        <v>1118</v>
      </c>
      <c r="E209" s="1880"/>
      <c r="F209" s="616">
        <f>'exchange rates'!$O$50</f>
        <v>3.8868399999999999</v>
      </c>
      <c r="G209" s="319"/>
      <c r="H209" s="320"/>
      <c r="I209" s="321"/>
      <c r="J209" s="559"/>
      <c r="K209" s="313"/>
      <c r="L209" s="322"/>
      <c r="M209" s="559"/>
      <c r="N209" s="323"/>
      <c r="O209" s="559"/>
      <c r="P209" s="324"/>
      <c r="Q209" s="559"/>
      <c r="R209" s="317"/>
      <c r="S209" s="318"/>
      <c r="T209" s="397"/>
      <c r="U209" s="1886"/>
      <c r="V209" s="2130"/>
      <c r="W209" s="1890"/>
      <c r="X209" s="1772"/>
      <c r="Y209" s="1892"/>
      <c r="Z209" s="1894"/>
      <c r="AA209" s="1772"/>
      <c r="AB209" s="1911"/>
      <c r="AC209" s="1772"/>
      <c r="AD209" s="1913"/>
      <c r="AE209" s="1772"/>
      <c r="AF209" s="2138"/>
      <c r="AG209" s="2053"/>
      <c r="AH209" s="397"/>
      <c r="AI209" s="396"/>
      <c r="AJ209" s="396"/>
      <c r="AK209" s="398"/>
      <c r="AL209" s="398"/>
      <c r="AM209" s="398"/>
      <c r="AN209" s="396"/>
      <c r="AO209" s="398"/>
      <c r="AP209" s="397"/>
    </row>
    <row r="210" spans="1:42" ht="18" customHeight="1" x14ac:dyDescent="0.25">
      <c r="A210" s="1757"/>
      <c r="B210" s="633" t="s">
        <v>771</v>
      </c>
      <c r="C210" s="803"/>
      <c r="D210" s="803" t="s">
        <v>1118</v>
      </c>
      <c r="E210" s="1880"/>
      <c r="F210" s="616">
        <f>'exchange rates'!$O$50</f>
        <v>3.8868399999999999</v>
      </c>
      <c r="G210" s="549">
        <v>0</v>
      </c>
      <c r="H210" s="550">
        <f>714/F210</f>
        <v>183.69678196169639</v>
      </c>
      <c r="I210" s="551">
        <v>0</v>
      </c>
      <c r="J210" s="560">
        <f>64.26/F210</f>
        <v>16.532710376552679</v>
      </c>
      <c r="K210" s="566">
        <f>Tabel66892628[[#This Row],[Fix.ch. 2017]]+Tabel66892628[[#This Row],[Var. ch. 2017]]+Tabel66892628[[#This Row],[Oth. ch. DW 2017]]+Tabel66892628[[#This Row],[VAT DW 2017]]</f>
        <v>200.22949233824906</v>
      </c>
      <c r="L210" s="567">
        <v>0</v>
      </c>
      <c r="M210" s="560">
        <v>0</v>
      </c>
      <c r="N210" s="568">
        <f>488/F210</f>
        <v>125.55186218110342</v>
      </c>
      <c r="O210" s="560">
        <f>92.72/F210</f>
        <v>23.854853814409651</v>
      </c>
      <c r="P210" s="569">
        <v>0</v>
      </c>
      <c r="Q210" s="560">
        <v>0</v>
      </c>
      <c r="R210" s="570">
        <f>Tabel66892628[[#This Row],[VAT DW 2017]]+Tabel66892628[[#This Row],[VAT Sew. 2017]]+Tabel66892628[[#This Row],[VAT WW 2017]]+Tabel66892628[[#This Row],[VAT Other ch. 2017]]</f>
        <v>40.38756419096233</v>
      </c>
      <c r="S210" s="571">
        <f>Tabel66892628[[#This Row],[Total. ch. DW 2017]]+Tabel66892628[[#This Row],[Sew. 2017]]+Tabel66892628[[#This Row],[VAT Sew. 2017]]+Tabel66892628[[#This Row],[WW 2017]]+Tabel66892628[[#This Row],[VAT WW 2017]]+Tabel66892628[[#This Row],[Other ch. 2017]]+Tabel66892628[[#This Row],[VAT Other ch. 2017]]</f>
        <v>349.63620833376211</v>
      </c>
      <c r="T210" s="397"/>
      <c r="U210" s="1886"/>
      <c r="V210" s="2130"/>
      <c r="W210" s="1890"/>
      <c r="X210" s="1772"/>
      <c r="Y210" s="1892"/>
      <c r="Z210" s="1894"/>
      <c r="AA210" s="1772"/>
      <c r="AB210" s="1911"/>
      <c r="AC210" s="1772"/>
      <c r="AD210" s="1913"/>
      <c r="AE210" s="1772"/>
      <c r="AF210" s="2138"/>
      <c r="AG210" s="2053"/>
      <c r="AH210" s="397"/>
      <c r="AI210" s="591" t="s">
        <v>429</v>
      </c>
      <c r="AJ210" s="591" t="s">
        <v>429</v>
      </c>
      <c r="AK210" s="591"/>
      <c r="AL210" s="591"/>
      <c r="AM210" s="591"/>
      <c r="AN210" s="591" t="s">
        <v>429</v>
      </c>
      <c r="AO210" s="398"/>
      <c r="AP210" s="397"/>
    </row>
    <row r="211" spans="1:42" ht="18" customHeight="1" x14ac:dyDescent="0.25">
      <c r="A211" s="1757"/>
      <c r="B211" s="503" t="s">
        <v>772</v>
      </c>
      <c r="C211" s="804"/>
      <c r="D211" s="804" t="s">
        <v>1118</v>
      </c>
      <c r="E211" s="1880"/>
      <c r="F211" s="616">
        <f>'exchange rates'!$O$50</f>
        <v>3.8868399999999999</v>
      </c>
      <c r="G211" s="319"/>
      <c r="H211" s="320"/>
      <c r="I211" s="321"/>
      <c r="J211" s="559"/>
      <c r="K211" s="313"/>
      <c r="L211" s="322"/>
      <c r="M211" s="559"/>
      <c r="N211" s="323"/>
      <c r="O211" s="559"/>
      <c r="P211" s="324"/>
      <c r="Q211" s="559"/>
      <c r="R211" s="317"/>
      <c r="S211" s="318"/>
      <c r="T211" s="397"/>
      <c r="U211" s="1886"/>
      <c r="V211" s="2130"/>
      <c r="W211" s="1890"/>
      <c r="X211" s="1772"/>
      <c r="Y211" s="1892"/>
      <c r="Z211" s="1894"/>
      <c r="AA211" s="1772"/>
      <c r="AB211" s="1911"/>
      <c r="AC211" s="1772"/>
      <c r="AD211" s="1913"/>
      <c r="AE211" s="1772"/>
      <c r="AF211" s="2138"/>
      <c r="AG211" s="2053"/>
      <c r="AH211" s="397"/>
      <c r="AI211" s="396"/>
      <c r="AJ211" s="396"/>
      <c r="AK211" s="398"/>
      <c r="AL211" s="398"/>
      <c r="AM211" s="398"/>
      <c r="AN211" s="396"/>
      <c r="AO211" s="398"/>
      <c r="AP211" s="397"/>
    </row>
    <row r="212" spans="1:42" ht="18" customHeight="1" x14ac:dyDescent="0.25">
      <c r="A212" s="1757"/>
      <c r="B212" s="633" t="s">
        <v>861</v>
      </c>
      <c r="C212" s="803"/>
      <c r="D212" s="803" t="s">
        <v>1118</v>
      </c>
      <c r="E212" s="1880"/>
      <c r="F212" s="616">
        <f>'exchange rates'!$O$50</f>
        <v>3.8868399999999999</v>
      </c>
      <c r="G212" s="549">
        <v>0</v>
      </c>
      <c r="H212" s="550">
        <f>778/F212</f>
        <v>200.16259995266077</v>
      </c>
      <c r="I212" s="551">
        <v>0</v>
      </c>
      <c r="J212" s="560">
        <f>70.02/F212</f>
        <v>18.014633995739469</v>
      </c>
      <c r="K212" s="566">
        <f>Tabel66892628[[#This Row],[Fix.ch. 2017]]+Tabel66892628[[#This Row],[Var. ch. 2017]]+Tabel66892628[[#This Row],[Oth. ch. DW 2017]]+Tabel66892628[[#This Row],[VAT DW 2017]]</f>
        <v>218.17723394840024</v>
      </c>
      <c r="L212" s="567">
        <v>0</v>
      </c>
      <c r="M212" s="560">
        <v>0</v>
      </c>
      <c r="N212" s="568">
        <f>686/F212</f>
        <v>176.49298659064948</v>
      </c>
      <c r="O212" s="560">
        <f>130.34/F212</f>
        <v>33.533667452223405</v>
      </c>
      <c r="P212" s="569">
        <v>0</v>
      </c>
      <c r="Q212" s="560">
        <v>0</v>
      </c>
      <c r="R212" s="570">
        <f>Tabel66892628[[#This Row],[VAT DW 2017]]+Tabel66892628[[#This Row],[VAT Sew. 2017]]+Tabel66892628[[#This Row],[VAT WW 2017]]+Tabel66892628[[#This Row],[VAT Other ch. 2017]]</f>
        <v>51.548301447962871</v>
      </c>
      <c r="S212" s="571">
        <f>Tabel66892628[[#This Row],[Total. ch. DW 2017]]+Tabel66892628[[#This Row],[Sew. 2017]]+Tabel66892628[[#This Row],[VAT Sew. 2017]]+Tabel66892628[[#This Row],[WW 2017]]+Tabel66892628[[#This Row],[VAT WW 2017]]+Tabel66892628[[#This Row],[Other ch. 2017]]+Tabel66892628[[#This Row],[VAT Other ch. 2017]]</f>
        <v>428.20388799127318</v>
      </c>
      <c r="T212" s="397"/>
      <c r="U212" s="1886"/>
      <c r="V212" s="2130"/>
      <c r="W212" s="1890"/>
      <c r="X212" s="1772"/>
      <c r="Y212" s="1892"/>
      <c r="Z212" s="1894"/>
      <c r="AA212" s="1772"/>
      <c r="AB212" s="1911"/>
      <c r="AC212" s="1772"/>
      <c r="AD212" s="1913"/>
      <c r="AE212" s="1772"/>
      <c r="AF212" s="2138"/>
      <c r="AG212" s="2053"/>
      <c r="AH212" s="397"/>
      <c r="AI212" s="591" t="s">
        <v>429</v>
      </c>
      <c r="AJ212" s="591" t="s">
        <v>429</v>
      </c>
      <c r="AK212" s="591"/>
      <c r="AL212" s="591"/>
      <c r="AM212" s="591"/>
      <c r="AN212" s="591" t="s">
        <v>429</v>
      </c>
      <c r="AO212" s="398"/>
      <c r="AP212" s="397"/>
    </row>
    <row r="213" spans="1:42" ht="18" customHeight="1" x14ac:dyDescent="0.25">
      <c r="A213" s="1757"/>
      <c r="B213" s="633" t="s">
        <v>862</v>
      </c>
      <c r="C213" s="803"/>
      <c r="D213" s="803" t="s">
        <v>1118</v>
      </c>
      <c r="E213" s="1880"/>
      <c r="F213" s="616">
        <f>'exchange rates'!$O$50</f>
        <v>3.8868399999999999</v>
      </c>
      <c r="G213" s="549">
        <v>0</v>
      </c>
      <c r="H213" s="550">
        <f>826/F213</f>
        <v>212.51196344588408</v>
      </c>
      <c r="I213" s="551">
        <v>0</v>
      </c>
      <c r="J213" s="560">
        <f>74.34/F213</f>
        <v>19.126076710129567</v>
      </c>
      <c r="K213" s="566">
        <f>Tabel66892628[[#This Row],[Fix.ch. 2017]]+Tabel66892628[[#This Row],[Var. ch. 2017]]+Tabel66892628[[#This Row],[Oth. ch. DW 2017]]+Tabel66892628[[#This Row],[VAT DW 2017]]</f>
        <v>231.63804015601363</v>
      </c>
      <c r="L213" s="567">
        <v>0</v>
      </c>
      <c r="M213" s="560">
        <v>0</v>
      </c>
      <c r="N213" s="568">
        <f>520/F213</f>
        <v>133.78477117658562</v>
      </c>
      <c r="O213" s="560">
        <f>98.8/F213</f>
        <v>25.419106523551264</v>
      </c>
      <c r="P213" s="569">
        <v>0</v>
      </c>
      <c r="Q213" s="560">
        <v>0</v>
      </c>
      <c r="R213" s="570">
        <f>Tabel66892628[[#This Row],[VAT DW 2017]]+Tabel66892628[[#This Row],[VAT Sew. 2017]]+Tabel66892628[[#This Row],[VAT WW 2017]]+Tabel66892628[[#This Row],[VAT Other ch. 2017]]</f>
        <v>44.545183233680831</v>
      </c>
      <c r="S213" s="571">
        <f>Tabel66892628[[#This Row],[Total. ch. DW 2017]]+Tabel66892628[[#This Row],[Sew. 2017]]+Tabel66892628[[#This Row],[VAT Sew. 2017]]+Tabel66892628[[#This Row],[WW 2017]]+Tabel66892628[[#This Row],[VAT WW 2017]]+Tabel66892628[[#This Row],[Other ch. 2017]]+Tabel66892628[[#This Row],[VAT Other ch. 2017]]</f>
        <v>390.84191785615053</v>
      </c>
      <c r="T213" s="397"/>
      <c r="U213" s="1886"/>
      <c r="V213" s="2130"/>
      <c r="W213" s="1890"/>
      <c r="X213" s="1772"/>
      <c r="Y213" s="1892"/>
      <c r="Z213" s="1894"/>
      <c r="AA213" s="1772"/>
      <c r="AB213" s="1911"/>
      <c r="AC213" s="1772"/>
      <c r="AD213" s="1913"/>
      <c r="AE213" s="1772"/>
      <c r="AF213" s="2138"/>
      <c r="AG213" s="2053"/>
      <c r="AH213" s="397"/>
      <c r="AI213" s="591" t="s">
        <v>429</v>
      </c>
      <c r="AJ213" s="591" t="s">
        <v>429</v>
      </c>
      <c r="AK213" s="591"/>
      <c r="AL213" s="591"/>
      <c r="AM213" s="591"/>
      <c r="AN213" s="591" t="s">
        <v>429</v>
      </c>
      <c r="AO213" s="398"/>
      <c r="AP213" s="397"/>
    </row>
    <row r="214" spans="1:42" ht="18" customHeight="1" x14ac:dyDescent="0.25">
      <c r="A214" s="1757"/>
      <c r="B214" s="633" t="s">
        <v>863</v>
      </c>
      <c r="C214" s="803"/>
      <c r="D214" s="803" t="s">
        <v>1118</v>
      </c>
      <c r="E214" s="1880"/>
      <c r="F214" s="616">
        <f>'exchange rates'!$O$50</f>
        <v>3.8868399999999999</v>
      </c>
      <c r="G214" s="549">
        <v>0</v>
      </c>
      <c r="H214" s="550">
        <f>712/F214</f>
        <v>183.18222514947877</v>
      </c>
      <c r="I214" s="551">
        <v>0</v>
      </c>
      <c r="J214" s="560">
        <f>64.08/F214</f>
        <v>16.486400263453088</v>
      </c>
      <c r="K214" s="566">
        <f>Tabel66892628[[#This Row],[Fix.ch. 2017]]+Tabel66892628[[#This Row],[Var. ch. 2017]]+Tabel66892628[[#This Row],[Oth. ch. DW 2017]]+Tabel66892628[[#This Row],[VAT DW 2017]]</f>
        <v>199.66862541293185</v>
      </c>
      <c r="L214" s="567">
        <v>0</v>
      </c>
      <c r="M214" s="560">
        <v>0</v>
      </c>
      <c r="N214" s="568">
        <f>518/F214</f>
        <v>133.27021436436797</v>
      </c>
      <c r="O214" s="560">
        <f>98.42/F214</f>
        <v>25.321340729229917</v>
      </c>
      <c r="P214" s="569">
        <v>0</v>
      </c>
      <c r="Q214" s="560">
        <v>0</v>
      </c>
      <c r="R214" s="570">
        <f>Tabel66892628[[#This Row],[VAT DW 2017]]+Tabel66892628[[#This Row],[VAT Sew. 2017]]+Tabel66892628[[#This Row],[VAT WW 2017]]+Tabel66892628[[#This Row],[VAT Other ch. 2017]]</f>
        <v>41.807740992683009</v>
      </c>
      <c r="S214" s="571">
        <f>Tabel66892628[[#This Row],[Total. ch. DW 2017]]+Tabel66892628[[#This Row],[Sew. 2017]]+Tabel66892628[[#This Row],[VAT Sew. 2017]]+Tabel66892628[[#This Row],[WW 2017]]+Tabel66892628[[#This Row],[VAT WW 2017]]+Tabel66892628[[#This Row],[Other ch. 2017]]+Tabel66892628[[#This Row],[VAT Other ch. 2017]]</f>
        <v>358.26018050652971</v>
      </c>
      <c r="T214" s="397"/>
      <c r="U214" s="1886"/>
      <c r="V214" s="2130"/>
      <c r="W214" s="1890"/>
      <c r="X214" s="1772"/>
      <c r="Y214" s="1892"/>
      <c r="Z214" s="1894"/>
      <c r="AA214" s="1772"/>
      <c r="AB214" s="1911"/>
      <c r="AC214" s="1772"/>
      <c r="AD214" s="1913"/>
      <c r="AE214" s="1772"/>
      <c r="AF214" s="2138"/>
      <c r="AG214" s="2053"/>
      <c r="AH214" s="397"/>
      <c r="AI214" s="591" t="s">
        <v>429</v>
      </c>
      <c r="AJ214" s="591" t="s">
        <v>429</v>
      </c>
      <c r="AK214" s="591"/>
      <c r="AL214" s="591"/>
      <c r="AM214" s="591"/>
      <c r="AN214" s="591" t="s">
        <v>429</v>
      </c>
      <c r="AO214" s="398"/>
      <c r="AP214" s="397"/>
    </row>
    <row r="215" spans="1:42" ht="18" customHeight="1" x14ac:dyDescent="0.25">
      <c r="A215" s="1757"/>
      <c r="B215" s="633" t="s">
        <v>864</v>
      </c>
      <c r="C215" s="803"/>
      <c r="D215" s="803" t="s">
        <v>1118</v>
      </c>
      <c r="E215" s="1880"/>
      <c r="F215" s="616">
        <f>'exchange rates'!$O$50</f>
        <v>3.8868399999999999</v>
      </c>
      <c r="G215" s="549">
        <v>0</v>
      </c>
      <c r="H215" s="550">
        <f>712/F215</f>
        <v>183.18222514947877</v>
      </c>
      <c r="I215" s="551">
        <v>0</v>
      </c>
      <c r="J215" s="560">
        <f>64.08/F215</f>
        <v>16.486400263453088</v>
      </c>
      <c r="K215" s="566">
        <f>Tabel66892628[[#This Row],[Fix.ch. 2017]]+Tabel66892628[[#This Row],[Var. ch. 2017]]+Tabel66892628[[#This Row],[Oth. ch. DW 2017]]+Tabel66892628[[#This Row],[VAT DW 2017]]</f>
        <v>199.66862541293185</v>
      </c>
      <c r="L215" s="567">
        <v>0</v>
      </c>
      <c r="M215" s="560">
        <v>0</v>
      </c>
      <c r="N215" s="568">
        <f>608/F215</f>
        <v>156.42527091416164</v>
      </c>
      <c r="O215" s="560">
        <f>115.52/F215</f>
        <v>29.72080147369071</v>
      </c>
      <c r="P215" s="569">
        <v>0</v>
      </c>
      <c r="Q215" s="560">
        <v>0</v>
      </c>
      <c r="R215" s="570">
        <f>Tabel66892628[[#This Row],[VAT DW 2017]]+Tabel66892628[[#This Row],[VAT Sew. 2017]]+Tabel66892628[[#This Row],[VAT WW 2017]]+Tabel66892628[[#This Row],[VAT Other ch. 2017]]</f>
        <v>46.207201737143798</v>
      </c>
      <c r="S215" s="571">
        <f>Tabel66892628[[#This Row],[Total. ch. DW 2017]]+Tabel66892628[[#This Row],[Sew. 2017]]+Tabel66892628[[#This Row],[VAT Sew. 2017]]+Tabel66892628[[#This Row],[WW 2017]]+Tabel66892628[[#This Row],[VAT WW 2017]]+Tabel66892628[[#This Row],[Other ch. 2017]]+Tabel66892628[[#This Row],[VAT Other ch. 2017]]</f>
        <v>385.81469780078419</v>
      </c>
      <c r="T215" s="397"/>
      <c r="U215" s="1886"/>
      <c r="V215" s="2130"/>
      <c r="W215" s="1890"/>
      <c r="X215" s="1772"/>
      <c r="Y215" s="1892"/>
      <c r="Z215" s="1894"/>
      <c r="AA215" s="1772"/>
      <c r="AB215" s="1911"/>
      <c r="AC215" s="1772"/>
      <c r="AD215" s="1913"/>
      <c r="AE215" s="1772"/>
      <c r="AF215" s="2138"/>
      <c r="AG215" s="2053"/>
      <c r="AH215" s="397"/>
      <c r="AI215" s="591" t="s">
        <v>429</v>
      </c>
      <c r="AJ215" s="591" t="s">
        <v>429</v>
      </c>
      <c r="AK215" s="591"/>
      <c r="AL215" s="591"/>
      <c r="AM215" s="591"/>
      <c r="AN215" s="591" t="s">
        <v>429</v>
      </c>
      <c r="AO215" s="398"/>
      <c r="AP215" s="397"/>
    </row>
    <row r="216" spans="1:42" ht="18" customHeight="1" x14ac:dyDescent="0.25">
      <c r="A216" s="1757"/>
      <c r="B216" s="633" t="s">
        <v>865</v>
      </c>
      <c r="C216" s="803"/>
      <c r="D216" s="803" t="s">
        <v>1118</v>
      </c>
      <c r="E216" s="1880"/>
      <c r="F216" s="616">
        <f>'exchange rates'!$O$50</f>
        <v>3.8868399999999999</v>
      </c>
      <c r="G216" s="549">
        <v>0</v>
      </c>
      <c r="H216" s="550">
        <f>694/F216</f>
        <v>178.55121383952002</v>
      </c>
      <c r="I216" s="551">
        <v>0</v>
      </c>
      <c r="J216" s="560">
        <f>62.46/F216</f>
        <v>16.069609245556801</v>
      </c>
      <c r="K216" s="566">
        <f>Tabel66892628[[#This Row],[Fix.ch. 2017]]+Tabel66892628[[#This Row],[Var. ch. 2017]]+Tabel66892628[[#This Row],[Oth. ch. DW 2017]]+Tabel66892628[[#This Row],[VAT DW 2017]]</f>
        <v>194.62082308507681</v>
      </c>
      <c r="L216" s="567">
        <v>0</v>
      </c>
      <c r="M216" s="560">
        <v>0</v>
      </c>
      <c r="N216" s="568">
        <f>514/F216</f>
        <v>132.2411007399327</v>
      </c>
      <c r="O216" s="560">
        <f>97.66/F216</f>
        <v>25.125809140587211</v>
      </c>
      <c r="P216" s="569">
        <v>0</v>
      </c>
      <c r="Q216" s="560">
        <v>0</v>
      </c>
      <c r="R216" s="570">
        <f>Tabel66892628[[#This Row],[VAT DW 2017]]+Tabel66892628[[#This Row],[VAT Sew. 2017]]+Tabel66892628[[#This Row],[VAT WW 2017]]+Tabel66892628[[#This Row],[VAT Other ch. 2017]]</f>
        <v>41.195418386144013</v>
      </c>
      <c r="S216" s="571">
        <f>Tabel66892628[[#This Row],[Total. ch. DW 2017]]+Tabel66892628[[#This Row],[Sew. 2017]]+Tabel66892628[[#This Row],[VAT Sew. 2017]]+Tabel66892628[[#This Row],[WW 2017]]+Tabel66892628[[#This Row],[VAT WW 2017]]+Tabel66892628[[#This Row],[Other ch. 2017]]+Tabel66892628[[#This Row],[VAT Other ch. 2017]]</f>
        <v>351.98773296559671</v>
      </c>
      <c r="T216" s="397"/>
      <c r="U216" s="1886"/>
      <c r="V216" s="2130"/>
      <c r="W216" s="1890"/>
      <c r="X216" s="1772"/>
      <c r="Y216" s="1892"/>
      <c r="Z216" s="1894"/>
      <c r="AA216" s="1772"/>
      <c r="AB216" s="1911"/>
      <c r="AC216" s="1772"/>
      <c r="AD216" s="1913"/>
      <c r="AE216" s="1772"/>
      <c r="AF216" s="2138"/>
      <c r="AG216" s="2053"/>
      <c r="AH216" s="397"/>
      <c r="AI216" s="591" t="s">
        <v>429</v>
      </c>
      <c r="AJ216" s="591" t="s">
        <v>429</v>
      </c>
      <c r="AK216" s="591"/>
      <c r="AL216" s="591"/>
      <c r="AM216" s="591"/>
      <c r="AN216" s="591" t="s">
        <v>429</v>
      </c>
      <c r="AO216" s="398"/>
      <c r="AP216" s="397"/>
    </row>
    <row r="217" spans="1:42" ht="18" customHeight="1" x14ac:dyDescent="0.25">
      <c r="A217" s="1757"/>
      <c r="B217" s="633" t="s">
        <v>866</v>
      </c>
      <c r="C217" s="803"/>
      <c r="D217" s="803" t="s">
        <v>1118</v>
      </c>
      <c r="E217" s="1880"/>
      <c r="F217" s="616">
        <f>'exchange rates'!$O$50</f>
        <v>3.8868399999999999</v>
      </c>
      <c r="G217" s="549">
        <v>0</v>
      </c>
      <c r="H217" s="550">
        <f>814/F217</f>
        <v>209.42462257257824</v>
      </c>
      <c r="I217" s="551">
        <v>0</v>
      </c>
      <c r="J217" s="560">
        <f>73.26/F217</f>
        <v>18.848216031532044</v>
      </c>
      <c r="K217" s="566">
        <f>Tabel66892628[[#This Row],[Fix.ch. 2017]]+Tabel66892628[[#This Row],[Var. ch. 2017]]+Tabel66892628[[#This Row],[Oth. ch. DW 2017]]+Tabel66892628[[#This Row],[VAT DW 2017]]</f>
        <v>228.27283860411029</v>
      </c>
      <c r="L217" s="567">
        <v>0</v>
      </c>
      <c r="M217" s="560">
        <v>0</v>
      </c>
      <c r="N217" s="568">
        <f>452/F217</f>
        <v>116.28983956118596</v>
      </c>
      <c r="O217" s="560">
        <f>85.88/F217</f>
        <v>22.09506951662533</v>
      </c>
      <c r="P217" s="569">
        <v>0</v>
      </c>
      <c r="Q217" s="560">
        <v>0</v>
      </c>
      <c r="R217" s="570">
        <f>Tabel66892628[[#This Row],[VAT DW 2017]]+Tabel66892628[[#This Row],[VAT Sew. 2017]]+Tabel66892628[[#This Row],[VAT WW 2017]]+Tabel66892628[[#This Row],[VAT Other ch. 2017]]</f>
        <v>40.943285548157377</v>
      </c>
      <c r="S217" s="571">
        <f>Tabel66892628[[#This Row],[Total. ch. DW 2017]]+Tabel66892628[[#This Row],[Sew. 2017]]+Tabel66892628[[#This Row],[VAT Sew. 2017]]+Tabel66892628[[#This Row],[WW 2017]]+Tabel66892628[[#This Row],[VAT WW 2017]]+Tabel66892628[[#This Row],[Other ch. 2017]]+Tabel66892628[[#This Row],[VAT Other ch. 2017]]</f>
        <v>366.65774768192159</v>
      </c>
      <c r="T217" s="397"/>
      <c r="U217" s="1886"/>
      <c r="V217" s="2130"/>
      <c r="W217" s="1890"/>
      <c r="X217" s="1772"/>
      <c r="Y217" s="1892"/>
      <c r="Z217" s="1894"/>
      <c r="AA217" s="1772"/>
      <c r="AB217" s="1911"/>
      <c r="AC217" s="1772"/>
      <c r="AD217" s="1913"/>
      <c r="AE217" s="1772"/>
      <c r="AF217" s="2138"/>
      <c r="AG217" s="2053"/>
      <c r="AH217" s="397"/>
      <c r="AI217" s="591" t="s">
        <v>429</v>
      </c>
      <c r="AJ217" s="591" t="s">
        <v>429</v>
      </c>
      <c r="AK217" s="591"/>
      <c r="AL217" s="591"/>
      <c r="AM217" s="591"/>
      <c r="AN217" s="591" t="s">
        <v>429</v>
      </c>
      <c r="AO217" s="398"/>
      <c r="AP217" s="397"/>
    </row>
    <row r="218" spans="1:42" ht="18" customHeight="1" x14ac:dyDescent="0.25">
      <c r="A218" s="1757"/>
      <c r="B218" s="633" t="s">
        <v>867</v>
      </c>
      <c r="C218" s="803"/>
      <c r="D218" s="803" t="s">
        <v>1118</v>
      </c>
      <c r="E218" s="1880"/>
      <c r="F218" s="616">
        <f>'exchange rates'!$O$50</f>
        <v>3.8868399999999999</v>
      </c>
      <c r="G218" s="549">
        <v>0</v>
      </c>
      <c r="H218" s="550">
        <f>632/F218</f>
        <v>162.59995266077328</v>
      </c>
      <c r="I218" s="551">
        <v>0</v>
      </c>
      <c r="J218" s="560">
        <f>56.88/F218</f>
        <v>14.633995739469595</v>
      </c>
      <c r="K218" s="566">
        <f>Tabel66892628[[#This Row],[Fix.ch. 2017]]+Tabel66892628[[#This Row],[Var. ch. 2017]]+Tabel66892628[[#This Row],[Oth. ch. DW 2017]]+Tabel66892628[[#This Row],[VAT DW 2017]]</f>
        <v>177.23394840024287</v>
      </c>
      <c r="L218" s="567">
        <v>0</v>
      </c>
      <c r="M218" s="560">
        <v>0</v>
      </c>
      <c r="N218" s="568">
        <f>618/F218</f>
        <v>158.99805497524983</v>
      </c>
      <c r="O218" s="560">
        <f>117.42/F218</f>
        <v>30.209630445297467</v>
      </c>
      <c r="P218" s="569">
        <v>0</v>
      </c>
      <c r="Q218" s="560">
        <v>0</v>
      </c>
      <c r="R218" s="570">
        <f>Tabel66892628[[#This Row],[VAT DW 2017]]+Tabel66892628[[#This Row],[VAT Sew. 2017]]+Tabel66892628[[#This Row],[VAT WW 2017]]+Tabel66892628[[#This Row],[VAT Other ch. 2017]]</f>
        <v>44.843626184767061</v>
      </c>
      <c r="S218" s="571">
        <f>Tabel66892628[[#This Row],[Total. ch. DW 2017]]+Tabel66892628[[#This Row],[Sew. 2017]]+Tabel66892628[[#This Row],[VAT Sew. 2017]]+Tabel66892628[[#This Row],[WW 2017]]+Tabel66892628[[#This Row],[VAT WW 2017]]+Tabel66892628[[#This Row],[Other ch. 2017]]+Tabel66892628[[#This Row],[VAT Other ch. 2017]]</f>
        <v>366.44163382079017</v>
      </c>
      <c r="T218" s="397"/>
      <c r="U218" s="1886"/>
      <c r="V218" s="2130"/>
      <c r="W218" s="1890"/>
      <c r="X218" s="1772"/>
      <c r="Y218" s="1892"/>
      <c r="Z218" s="1894"/>
      <c r="AA218" s="1772"/>
      <c r="AB218" s="1911"/>
      <c r="AC218" s="1772"/>
      <c r="AD218" s="1913"/>
      <c r="AE218" s="1772"/>
      <c r="AF218" s="2138"/>
      <c r="AG218" s="2053"/>
      <c r="AH218" s="397"/>
      <c r="AI218" s="591" t="s">
        <v>429</v>
      </c>
      <c r="AJ218" s="591" t="s">
        <v>429</v>
      </c>
      <c r="AK218" s="591"/>
      <c r="AL218" s="591"/>
      <c r="AM218" s="591"/>
      <c r="AN218" s="591" t="s">
        <v>429</v>
      </c>
      <c r="AO218" s="398"/>
      <c r="AP218" s="397"/>
    </row>
    <row r="219" spans="1:42" ht="18" customHeight="1" x14ac:dyDescent="0.25">
      <c r="A219" s="1757"/>
      <c r="B219" s="633" t="s">
        <v>868</v>
      </c>
      <c r="C219" s="803"/>
      <c r="D219" s="803" t="s">
        <v>1118</v>
      </c>
      <c r="E219" s="1880"/>
      <c r="F219" s="616">
        <f>'exchange rates'!$O$50</f>
        <v>3.8868399999999999</v>
      </c>
      <c r="G219" s="549">
        <v>0</v>
      </c>
      <c r="H219" s="550">
        <f>642/F219</f>
        <v>165.17273672186147</v>
      </c>
      <c r="I219" s="551">
        <v>0</v>
      </c>
      <c r="J219" s="560">
        <f>57.78/F219</f>
        <v>14.865546304967532</v>
      </c>
      <c r="K219" s="566">
        <f>Tabel66892628[[#This Row],[Fix.ch. 2017]]+Tabel66892628[[#This Row],[Var. ch. 2017]]+Tabel66892628[[#This Row],[Oth. ch. DW 2017]]+Tabel66892628[[#This Row],[VAT DW 2017]]</f>
        <v>180.03828302682899</v>
      </c>
      <c r="L219" s="567">
        <v>0</v>
      </c>
      <c r="M219" s="560">
        <v>0</v>
      </c>
      <c r="N219" s="568">
        <f>426/F219</f>
        <v>109.60060100235667</v>
      </c>
      <c r="O219" s="560">
        <f>80.94/F219</f>
        <v>20.824114190447766</v>
      </c>
      <c r="P219" s="569">
        <v>0</v>
      </c>
      <c r="Q219" s="560">
        <v>0</v>
      </c>
      <c r="R219" s="570">
        <f>Tabel66892628[[#This Row],[VAT DW 2017]]+Tabel66892628[[#This Row],[VAT Sew. 2017]]+Tabel66892628[[#This Row],[VAT WW 2017]]+Tabel66892628[[#This Row],[VAT Other ch. 2017]]</f>
        <v>35.689660495415296</v>
      </c>
      <c r="S219" s="571">
        <f>Tabel66892628[[#This Row],[Total. ch. DW 2017]]+Tabel66892628[[#This Row],[Sew. 2017]]+Tabel66892628[[#This Row],[VAT Sew. 2017]]+Tabel66892628[[#This Row],[WW 2017]]+Tabel66892628[[#This Row],[VAT WW 2017]]+Tabel66892628[[#This Row],[Other ch. 2017]]+Tabel66892628[[#This Row],[VAT Other ch. 2017]]</f>
        <v>310.46299821963339</v>
      </c>
      <c r="T219" s="397"/>
      <c r="U219" s="1886"/>
      <c r="V219" s="2130"/>
      <c r="W219" s="1890"/>
      <c r="X219" s="1772"/>
      <c r="Y219" s="1892"/>
      <c r="Z219" s="1894"/>
      <c r="AA219" s="1772"/>
      <c r="AB219" s="1911"/>
      <c r="AC219" s="1772"/>
      <c r="AD219" s="1913"/>
      <c r="AE219" s="1772"/>
      <c r="AF219" s="2138"/>
      <c r="AG219" s="2053"/>
      <c r="AH219" s="397"/>
      <c r="AI219" s="591" t="s">
        <v>429</v>
      </c>
      <c r="AJ219" s="591" t="s">
        <v>429</v>
      </c>
      <c r="AK219" s="591"/>
      <c r="AL219" s="591"/>
      <c r="AM219" s="591"/>
      <c r="AN219" s="591" t="s">
        <v>429</v>
      </c>
      <c r="AO219" s="398"/>
      <c r="AP219" s="397"/>
    </row>
    <row r="220" spans="1:42" ht="18" customHeight="1" x14ac:dyDescent="0.25">
      <c r="A220" s="1757"/>
      <c r="B220" s="633" t="s">
        <v>870</v>
      </c>
      <c r="C220" s="803"/>
      <c r="D220" s="803" t="s">
        <v>1118</v>
      </c>
      <c r="E220" s="1880"/>
      <c r="F220" s="616">
        <f>'exchange rates'!$O$50</f>
        <v>3.8868399999999999</v>
      </c>
      <c r="G220" s="549">
        <v>0</v>
      </c>
      <c r="H220" s="550">
        <f>844/F220</f>
        <v>217.1429747558428</v>
      </c>
      <c r="I220" s="551">
        <v>0</v>
      </c>
      <c r="J220" s="560">
        <f>75.96/F220</f>
        <v>19.54286772802585</v>
      </c>
      <c r="K220" s="566">
        <f>Tabel66892628[[#This Row],[Fix.ch. 2017]]+Tabel66892628[[#This Row],[Var. ch. 2017]]+Tabel66892628[[#This Row],[Oth. ch. DW 2017]]+Tabel66892628[[#This Row],[VAT DW 2017]]</f>
        <v>236.68584248386864</v>
      </c>
      <c r="L220" s="567">
        <v>0</v>
      </c>
      <c r="M220" s="560">
        <v>0</v>
      </c>
      <c r="N220" s="568">
        <f>436/F220</f>
        <v>112.17338506344485</v>
      </c>
      <c r="O220" s="560">
        <f>82.84/F220</f>
        <v>21.312943162054523</v>
      </c>
      <c r="P220" s="569">
        <v>0</v>
      </c>
      <c r="Q220" s="560">
        <v>0</v>
      </c>
      <c r="R220" s="570">
        <f>Tabel66892628[[#This Row],[VAT DW 2017]]+Tabel66892628[[#This Row],[VAT Sew. 2017]]+Tabel66892628[[#This Row],[VAT WW 2017]]+Tabel66892628[[#This Row],[VAT Other ch. 2017]]</f>
        <v>40.855810890080377</v>
      </c>
      <c r="S220" s="571">
        <f>Tabel66892628[[#This Row],[Total. ch. DW 2017]]+Tabel66892628[[#This Row],[Sew. 2017]]+Tabel66892628[[#This Row],[VAT Sew. 2017]]+Tabel66892628[[#This Row],[WW 2017]]+Tabel66892628[[#This Row],[VAT WW 2017]]+Tabel66892628[[#This Row],[Other ch. 2017]]+Tabel66892628[[#This Row],[VAT Other ch. 2017]]</f>
        <v>370.172170709368</v>
      </c>
      <c r="T220" s="397"/>
      <c r="U220" s="1886"/>
      <c r="V220" s="2130"/>
      <c r="W220" s="1890"/>
      <c r="X220" s="1772"/>
      <c r="Y220" s="1892"/>
      <c r="Z220" s="1894"/>
      <c r="AA220" s="1772"/>
      <c r="AB220" s="1911"/>
      <c r="AC220" s="1772"/>
      <c r="AD220" s="1913"/>
      <c r="AE220" s="1772"/>
      <c r="AF220" s="2138"/>
      <c r="AG220" s="2053"/>
      <c r="AH220" s="397"/>
      <c r="AI220" s="591" t="s">
        <v>429</v>
      </c>
      <c r="AJ220" s="591" t="s">
        <v>429</v>
      </c>
      <c r="AK220" s="591"/>
      <c r="AL220" s="591"/>
      <c r="AM220" s="591"/>
      <c r="AN220" s="591" t="s">
        <v>429</v>
      </c>
      <c r="AO220" s="398"/>
      <c r="AP220" s="397"/>
    </row>
    <row r="221" spans="1:42" ht="18" customHeight="1" x14ac:dyDescent="0.25">
      <c r="A221" s="1757"/>
      <c r="B221" s="633" t="s">
        <v>871</v>
      </c>
      <c r="C221" s="803"/>
      <c r="D221" s="803" t="s">
        <v>1118</v>
      </c>
      <c r="E221" s="1880"/>
      <c r="F221" s="616">
        <f>'exchange rates'!$O$50</f>
        <v>3.8868399999999999</v>
      </c>
      <c r="G221" s="549">
        <v>0</v>
      </c>
      <c r="H221" s="550">
        <f>738/F221</f>
        <v>189.87146370830803</v>
      </c>
      <c r="I221" s="551">
        <v>0</v>
      </c>
      <c r="J221" s="560">
        <f>66.42/F221</f>
        <v>17.088431733747726</v>
      </c>
      <c r="K221" s="566">
        <f>Tabel66892628[[#This Row],[Fix.ch. 2017]]+Tabel66892628[[#This Row],[Var. ch. 2017]]+Tabel66892628[[#This Row],[Oth. ch. DW 2017]]+Tabel66892628[[#This Row],[VAT DW 2017]]</f>
        <v>206.95989544205577</v>
      </c>
      <c r="L221" s="567">
        <v>0</v>
      </c>
      <c r="M221" s="560">
        <v>0</v>
      </c>
      <c r="N221" s="568">
        <f>406/F221</f>
        <v>104.4550328801803</v>
      </c>
      <c r="O221" s="560">
        <f>77.14/F221</f>
        <v>19.846456247234258</v>
      </c>
      <c r="P221" s="569">
        <v>0</v>
      </c>
      <c r="Q221" s="560">
        <v>0</v>
      </c>
      <c r="R221" s="570">
        <f>Tabel66892628[[#This Row],[VAT DW 2017]]+Tabel66892628[[#This Row],[VAT Sew. 2017]]+Tabel66892628[[#This Row],[VAT WW 2017]]+Tabel66892628[[#This Row],[VAT Other ch. 2017]]</f>
        <v>36.934887980981983</v>
      </c>
      <c r="S221" s="571">
        <f>Tabel66892628[[#This Row],[Total. ch. DW 2017]]+Tabel66892628[[#This Row],[Sew. 2017]]+Tabel66892628[[#This Row],[VAT Sew. 2017]]+Tabel66892628[[#This Row],[WW 2017]]+Tabel66892628[[#This Row],[VAT WW 2017]]+Tabel66892628[[#This Row],[Other ch. 2017]]+Tabel66892628[[#This Row],[VAT Other ch. 2017]]</f>
        <v>331.26138456947029</v>
      </c>
      <c r="T221" s="397"/>
      <c r="U221" s="1886"/>
      <c r="V221" s="2130"/>
      <c r="W221" s="1890"/>
      <c r="X221" s="1772"/>
      <c r="Y221" s="1892"/>
      <c r="Z221" s="1894"/>
      <c r="AA221" s="1772"/>
      <c r="AB221" s="1911"/>
      <c r="AC221" s="1772"/>
      <c r="AD221" s="1913"/>
      <c r="AE221" s="1772"/>
      <c r="AF221" s="2138"/>
      <c r="AG221" s="2053"/>
      <c r="AH221" s="397"/>
      <c r="AI221" s="591" t="s">
        <v>429</v>
      </c>
      <c r="AJ221" s="591" t="s">
        <v>429</v>
      </c>
      <c r="AK221" s="591"/>
      <c r="AL221" s="591"/>
      <c r="AM221" s="591"/>
      <c r="AN221" s="591" t="s">
        <v>429</v>
      </c>
      <c r="AO221" s="398"/>
      <c r="AP221" s="397"/>
    </row>
    <row r="222" spans="1:42" ht="18" customHeight="1" x14ac:dyDescent="0.25">
      <c r="A222" s="1757"/>
      <c r="B222" s="633" t="s">
        <v>872</v>
      </c>
      <c r="C222" s="803"/>
      <c r="D222" s="803" t="s">
        <v>1118</v>
      </c>
      <c r="E222" s="1880"/>
      <c r="F222" s="616">
        <f>'exchange rates'!$O$50</f>
        <v>3.8868399999999999</v>
      </c>
      <c r="G222" s="549">
        <v>0</v>
      </c>
      <c r="H222" s="550">
        <f>806/F222</f>
        <v>207.36639532370771</v>
      </c>
      <c r="I222" s="551">
        <v>0</v>
      </c>
      <c r="J222" s="560">
        <f>72.54/F222</f>
        <v>18.662975579133693</v>
      </c>
      <c r="K222" s="566">
        <f>Tabel66892628[[#This Row],[Fix.ch. 2017]]+Tabel66892628[[#This Row],[Var. ch. 2017]]+Tabel66892628[[#This Row],[Oth. ch. DW 2017]]+Tabel66892628[[#This Row],[VAT DW 2017]]</f>
        <v>226.02937090284141</v>
      </c>
      <c r="L222" s="567">
        <v>0</v>
      </c>
      <c r="M222" s="560">
        <v>0</v>
      </c>
      <c r="N222" s="568">
        <f>446/F222</f>
        <v>114.74616912453304</v>
      </c>
      <c r="O222" s="560">
        <f>84.74/F222</f>
        <v>21.801772133661277</v>
      </c>
      <c r="P222" s="569">
        <v>0</v>
      </c>
      <c r="Q222" s="560">
        <v>0</v>
      </c>
      <c r="R222" s="570">
        <f>Tabel66892628[[#This Row],[VAT DW 2017]]+Tabel66892628[[#This Row],[VAT Sew. 2017]]+Tabel66892628[[#This Row],[VAT WW 2017]]+Tabel66892628[[#This Row],[VAT Other ch. 2017]]</f>
        <v>40.464747712794974</v>
      </c>
      <c r="S222" s="571">
        <f>Tabel66892628[[#This Row],[Total. ch. DW 2017]]+Tabel66892628[[#This Row],[Sew. 2017]]+Tabel66892628[[#This Row],[VAT Sew. 2017]]+Tabel66892628[[#This Row],[WW 2017]]+Tabel66892628[[#This Row],[VAT WW 2017]]+Tabel66892628[[#This Row],[Other ch. 2017]]+Tabel66892628[[#This Row],[VAT Other ch. 2017]]</f>
        <v>362.57731216103576</v>
      </c>
      <c r="T222" s="397"/>
      <c r="U222" s="1886"/>
      <c r="V222" s="2130"/>
      <c r="W222" s="1890"/>
      <c r="X222" s="1772"/>
      <c r="Y222" s="1892"/>
      <c r="Z222" s="1894"/>
      <c r="AA222" s="1772"/>
      <c r="AB222" s="1911"/>
      <c r="AC222" s="1772"/>
      <c r="AD222" s="1913"/>
      <c r="AE222" s="1772"/>
      <c r="AF222" s="2138"/>
      <c r="AG222" s="2053"/>
      <c r="AH222" s="397"/>
      <c r="AI222" s="591" t="s">
        <v>429</v>
      </c>
      <c r="AJ222" s="591" t="s">
        <v>429</v>
      </c>
      <c r="AK222" s="591"/>
      <c r="AL222" s="591"/>
      <c r="AM222" s="591"/>
      <c r="AN222" s="591" t="s">
        <v>429</v>
      </c>
      <c r="AO222" s="398"/>
      <c r="AP222" s="397"/>
    </row>
    <row r="223" spans="1:42" ht="18" customHeight="1" x14ac:dyDescent="0.25">
      <c r="A223" s="1757"/>
      <c r="B223" s="633" t="s">
        <v>874</v>
      </c>
      <c r="C223" s="803"/>
      <c r="D223" s="803" t="s">
        <v>1118</v>
      </c>
      <c r="E223" s="1880"/>
      <c r="F223" s="616">
        <f>'exchange rates'!$O$50</f>
        <v>3.8868399999999999</v>
      </c>
      <c r="G223" s="549">
        <v>0</v>
      </c>
      <c r="H223" s="550">
        <f>762/F223</f>
        <v>196.0461454549197</v>
      </c>
      <c r="I223" s="551">
        <v>0</v>
      </c>
      <c r="J223" s="560">
        <f>68.58/F223</f>
        <v>17.644153090942773</v>
      </c>
      <c r="K223" s="566">
        <f>Tabel66892628[[#This Row],[Fix.ch. 2017]]+Tabel66892628[[#This Row],[Var. ch. 2017]]+Tabel66892628[[#This Row],[Oth. ch. DW 2017]]+Tabel66892628[[#This Row],[VAT DW 2017]]</f>
        <v>213.69029854586248</v>
      </c>
      <c r="L223" s="567">
        <v>0</v>
      </c>
      <c r="M223" s="560">
        <v>0</v>
      </c>
      <c r="N223" s="568">
        <f>718/F223</f>
        <v>184.72589558613168</v>
      </c>
      <c r="O223" s="560">
        <f>136.42/F223</f>
        <v>35.097920161365018</v>
      </c>
      <c r="P223" s="569">
        <v>0</v>
      </c>
      <c r="Q223" s="560">
        <v>0</v>
      </c>
      <c r="R223" s="570">
        <f>Tabel66892628[[#This Row],[VAT DW 2017]]+Tabel66892628[[#This Row],[VAT Sew. 2017]]+Tabel66892628[[#This Row],[VAT WW 2017]]+Tabel66892628[[#This Row],[VAT Other ch. 2017]]</f>
        <v>52.74207325230779</v>
      </c>
      <c r="S223" s="571">
        <f>Tabel66892628[[#This Row],[Total. ch. DW 2017]]+Tabel66892628[[#This Row],[Sew. 2017]]+Tabel66892628[[#This Row],[VAT Sew. 2017]]+Tabel66892628[[#This Row],[WW 2017]]+Tabel66892628[[#This Row],[VAT WW 2017]]+Tabel66892628[[#This Row],[Other ch. 2017]]+Tabel66892628[[#This Row],[VAT Other ch. 2017]]</f>
        <v>433.51411429335923</v>
      </c>
      <c r="T223" s="397"/>
      <c r="U223" s="1886"/>
      <c r="V223" s="2130"/>
      <c r="W223" s="1890"/>
      <c r="X223" s="1772"/>
      <c r="Y223" s="1892"/>
      <c r="Z223" s="1894"/>
      <c r="AA223" s="1772"/>
      <c r="AB223" s="1911"/>
      <c r="AC223" s="1772"/>
      <c r="AD223" s="1913"/>
      <c r="AE223" s="1772"/>
      <c r="AF223" s="2138"/>
      <c r="AG223" s="2053"/>
      <c r="AH223" s="397"/>
      <c r="AI223" s="591" t="s">
        <v>429</v>
      </c>
      <c r="AJ223" s="591" t="s">
        <v>429</v>
      </c>
      <c r="AK223" s="591"/>
      <c r="AL223" s="591"/>
      <c r="AM223" s="591"/>
      <c r="AN223" s="591" t="s">
        <v>429</v>
      </c>
      <c r="AO223" s="398"/>
      <c r="AP223" s="397"/>
    </row>
    <row r="224" spans="1:42" ht="18.600000000000001" customHeight="1" thickBot="1" x14ac:dyDescent="0.3">
      <c r="A224" s="1757"/>
      <c r="B224" s="634" t="s">
        <v>598</v>
      </c>
      <c r="C224" s="803"/>
      <c r="D224" s="803" t="s">
        <v>1118</v>
      </c>
      <c r="E224" s="1880"/>
      <c r="F224" s="616">
        <f>'exchange rates'!$O$50</f>
        <v>3.8868399999999999</v>
      </c>
      <c r="G224" s="549">
        <v>0</v>
      </c>
      <c r="H224" s="550">
        <f>734/F224</f>
        <v>188.84235008387276</v>
      </c>
      <c r="I224" s="551">
        <v>0</v>
      </c>
      <c r="J224" s="560">
        <f>66.06/F224</f>
        <v>16.995811507548549</v>
      </c>
      <c r="K224" s="566">
        <f>Tabel66892628[[#This Row],[Fix.ch. 2017]]+Tabel66892628[[#This Row],[Var. ch. 2017]]+Tabel66892628[[#This Row],[Oth. ch. DW 2017]]+Tabel66892628[[#This Row],[VAT DW 2017]]</f>
        <v>205.83816159142131</v>
      </c>
      <c r="L224" s="567">
        <v>0</v>
      </c>
      <c r="M224" s="560">
        <v>0</v>
      </c>
      <c r="N224" s="568">
        <f>758/F224</f>
        <v>195.0170318304844</v>
      </c>
      <c r="O224" s="560">
        <f>144.02/F224</f>
        <v>37.053236047792041</v>
      </c>
      <c r="P224" s="569">
        <v>0</v>
      </c>
      <c r="Q224" s="560">
        <v>0</v>
      </c>
      <c r="R224" s="570">
        <f>Tabel66892628[[#This Row],[VAT DW 2017]]+Tabel66892628[[#This Row],[VAT Sew. 2017]]+Tabel66892628[[#This Row],[VAT WW 2017]]+Tabel66892628[[#This Row],[VAT Other ch. 2017]]</f>
        <v>54.049047555340593</v>
      </c>
      <c r="S224" s="571">
        <f>Tabel66892628[[#This Row],[Total. ch. DW 2017]]+Tabel66892628[[#This Row],[Sew. 2017]]+Tabel66892628[[#This Row],[VAT Sew. 2017]]+Tabel66892628[[#This Row],[WW 2017]]+Tabel66892628[[#This Row],[VAT WW 2017]]+Tabel66892628[[#This Row],[Other ch. 2017]]+Tabel66892628[[#This Row],[VAT Other ch. 2017]]</f>
        <v>437.90842946969775</v>
      </c>
      <c r="T224" s="397"/>
      <c r="U224" s="1886"/>
      <c r="V224" s="2130"/>
      <c r="W224" s="1890"/>
      <c r="X224" s="1783"/>
      <c r="Y224" s="1892"/>
      <c r="Z224" s="1894"/>
      <c r="AA224" s="1783"/>
      <c r="AB224" s="1911"/>
      <c r="AC224" s="1783"/>
      <c r="AD224" s="1913"/>
      <c r="AE224" s="1783"/>
      <c r="AF224" s="2138"/>
      <c r="AG224" s="2053"/>
      <c r="AH224" s="397"/>
      <c r="AI224" s="591" t="s">
        <v>429</v>
      </c>
      <c r="AJ224" s="591" t="s">
        <v>429</v>
      </c>
      <c r="AK224" s="591"/>
      <c r="AL224" s="591"/>
      <c r="AM224" s="591"/>
      <c r="AN224" s="591" t="s">
        <v>429</v>
      </c>
      <c r="AO224" s="398"/>
      <c r="AP224" s="397"/>
    </row>
    <row r="225" spans="1:42" ht="18.600000000000001" customHeight="1" x14ac:dyDescent="0.25">
      <c r="A225" s="2164" t="s">
        <v>693</v>
      </c>
      <c r="B225" s="650" t="s">
        <v>887</v>
      </c>
      <c r="C225" s="803" t="s">
        <v>429</v>
      </c>
      <c r="D225" s="653" t="s">
        <v>1120</v>
      </c>
      <c r="E225" s="2166">
        <v>27900</v>
      </c>
      <c r="F225" s="616">
        <f>'exchange rates'!$O$51</f>
        <v>57.611829999999998</v>
      </c>
      <c r="G225" s="549">
        <v>0</v>
      </c>
      <c r="H225" s="550">
        <f>6148/F225</f>
        <v>106.71419394245939</v>
      </c>
      <c r="I225" s="551">
        <v>0</v>
      </c>
      <c r="J225" s="560">
        <v>0</v>
      </c>
      <c r="K225" s="566">
        <f>Tabel66892628[[#This Row],[Fix.ch. 2017]]+Tabel66892628[[#This Row],[Var. ch. 2017]]+Tabel66892628[[#This Row],[Oth. ch. DW 2017]]</f>
        <v>106.71419394245939</v>
      </c>
      <c r="L225" s="567">
        <f>4408/F225</f>
        <v>76.512063581385974</v>
      </c>
      <c r="M225" s="560">
        <v>0</v>
      </c>
      <c r="N225" s="568">
        <v>0</v>
      </c>
      <c r="O225" s="560">
        <v>0</v>
      </c>
      <c r="P225" s="569">
        <v>0</v>
      </c>
      <c r="Q225" s="560">
        <v>0</v>
      </c>
      <c r="R225" s="570">
        <f>Tabel66892628[[#This Row],[VAT DW 2017]]+Tabel66892628[[#This Row],[VAT Sew. 2017]]+Tabel66892628[[#This Row],[VAT WW 2017]]+Tabel66892628[[#This Row],[VAT Other ch. 2017]]</f>
        <v>0</v>
      </c>
      <c r="S225" s="571">
        <f>Tabel66892628[[#This Row],[Total. ch. DW 2017]]+Tabel66892628[[#This Row],[Sew. 2017]]+Tabel66892628[[#This Row],[VAT Sew. 2017]]+Tabel66892628[[#This Row],[WW 2017]]+Tabel66892628[[#This Row],[VAT WW 2017]]+Tabel66892628[[#This Row],[Other ch. 2017]]+Tabel66892628[[#This Row],[VAT Other ch. 2017]]</f>
        <v>183.22625752384536</v>
      </c>
      <c r="T225" s="397"/>
      <c r="U225" s="2167">
        <f>G226</f>
        <v>0</v>
      </c>
      <c r="V225" s="2131">
        <f>H226</f>
        <v>96.577386970696821</v>
      </c>
      <c r="W225" s="2133">
        <f>I226</f>
        <v>4.0095931686252637</v>
      </c>
      <c r="X225" s="1908">
        <f>J226</f>
        <v>0</v>
      </c>
      <c r="Y225" s="2134">
        <f>SUM(U225:X226)</f>
        <v>100.58698013932208</v>
      </c>
      <c r="Z225" s="2135">
        <f t="shared" ref="Z225:AF225" si="28">L226</f>
        <v>84.392389549160299</v>
      </c>
      <c r="AA225" s="1908">
        <f t="shared" si="28"/>
        <v>0</v>
      </c>
      <c r="AB225" s="2140">
        <f t="shared" si="28"/>
        <v>0</v>
      </c>
      <c r="AC225" s="1908">
        <f t="shared" si="28"/>
        <v>0</v>
      </c>
      <c r="AD225" s="2161">
        <f t="shared" si="28"/>
        <v>4.3741016385002878</v>
      </c>
      <c r="AE225" s="1908">
        <f t="shared" si="28"/>
        <v>0</v>
      </c>
      <c r="AF225" s="2162">
        <f t="shared" si="28"/>
        <v>0</v>
      </c>
      <c r="AG225" s="2139">
        <f>Y225+Z225+AA225+AB225+AC225+AD225+AE225</f>
        <v>189.35347132698269</v>
      </c>
      <c r="AH225" s="397"/>
      <c r="AI225" s="591"/>
      <c r="AJ225" s="591"/>
      <c r="AK225" s="591"/>
      <c r="AL225" s="591"/>
      <c r="AM225" s="591"/>
      <c r="AN225" s="591"/>
      <c r="AO225" s="398"/>
      <c r="AP225" s="397"/>
    </row>
    <row r="226" spans="1:42" ht="16.5" thickBot="1" x14ac:dyDescent="0.3">
      <c r="A226" s="2165"/>
      <c r="B226" s="651" t="s">
        <v>694</v>
      </c>
      <c r="C226" s="651"/>
      <c r="D226" s="823" t="s">
        <v>1120</v>
      </c>
      <c r="E226" s="1761"/>
      <c r="F226" s="616">
        <f>'exchange rates'!$O$51</f>
        <v>57.611829999999998</v>
      </c>
      <c r="G226" s="549">
        <f>0</f>
        <v>0</v>
      </c>
      <c r="H226" s="550">
        <f>5564/F226</f>
        <v>96.577386970696821</v>
      </c>
      <c r="I226" s="551">
        <f>231/F226</f>
        <v>4.0095931686252637</v>
      </c>
      <c r="J226" s="560">
        <v>0</v>
      </c>
      <c r="K226" s="566">
        <f>Tabel66892628[[#This Row],[Fix.ch. 2017]]+Tabel66892628[[#This Row],[Var. ch. 2017]]+Tabel66892628[[#This Row],[Oth. ch. DW 2017]]+Tabel66892628[[#This Row],[VAT DW 2017]]</f>
        <v>100.58698013932208</v>
      </c>
      <c r="L226" s="567">
        <f>4862/F226</f>
        <v>84.392389549160299</v>
      </c>
      <c r="M226" s="560">
        <v>0</v>
      </c>
      <c r="N226" s="568">
        <f>0</f>
        <v>0</v>
      </c>
      <c r="O226" s="560">
        <v>0</v>
      </c>
      <c r="P226" s="569">
        <f>252/F226</f>
        <v>4.3741016385002878</v>
      </c>
      <c r="Q226" s="560">
        <v>0</v>
      </c>
      <c r="R226" s="570">
        <f>Tabel66892628[[#This Row],[VAT DW 2017]]+Tabel66892628[[#This Row],[VAT Sew. 2017]]+Tabel66892628[[#This Row],[VAT WW 2017]]+Tabel66892628[[#This Row],[VAT Other ch. 2017]]</f>
        <v>0</v>
      </c>
      <c r="S226" s="571">
        <f>Tabel66892628[[#This Row],[Total. ch. DW 2017]]+Tabel66892628[[#This Row],[Sew. 2017]]+Tabel66892628[[#This Row],[VAT Sew. 2017]]+Tabel66892628[[#This Row],[WW 2017]]+Tabel66892628[[#This Row],[VAT WW 2017]]+Tabel66892628[[#This Row],[Other ch. 2017]]+Tabel66892628[[#This Row],[VAT Other ch. 2017]]</f>
        <v>189.35347132698269</v>
      </c>
      <c r="T226" s="397"/>
      <c r="U226" s="1764"/>
      <c r="V226" s="2132"/>
      <c r="W226" s="1770"/>
      <c r="X226" s="1773"/>
      <c r="Y226" s="1776"/>
      <c r="Z226" s="1779"/>
      <c r="AA226" s="1773"/>
      <c r="AB226" s="1811"/>
      <c r="AC226" s="1773"/>
      <c r="AD226" s="1813"/>
      <c r="AE226" s="1773"/>
      <c r="AF226" s="2163"/>
      <c r="AG226" s="1991"/>
      <c r="AH226" s="397"/>
      <c r="AI226" s="591" t="s">
        <v>429</v>
      </c>
      <c r="AJ226" s="396"/>
      <c r="AK226" s="398"/>
      <c r="AL226" s="398"/>
      <c r="AM226" s="398"/>
      <c r="AN226" s="396"/>
      <c r="AO226" s="398"/>
      <c r="AP226" s="397"/>
    </row>
    <row r="227" spans="1:42" ht="18.75" x14ac:dyDescent="0.25">
      <c r="A227" s="2147" t="s">
        <v>47</v>
      </c>
      <c r="B227" s="693" t="s">
        <v>1154</v>
      </c>
      <c r="C227" s="1046" t="s">
        <v>429</v>
      </c>
      <c r="D227" s="802"/>
      <c r="E227" s="1759">
        <v>43600</v>
      </c>
      <c r="F227" s="617">
        <f>'exchange rates'!$O$52</f>
        <v>0.73992000000000002</v>
      </c>
      <c r="G227" s="549"/>
      <c r="H227" s="550"/>
      <c r="I227" s="551"/>
      <c r="J227" s="560"/>
      <c r="K227" s="566">
        <f>Tabel66892628[[#This Row],[Fix.ch. 2017]]+Tabel66892628[[#This Row],[Var. ch. 2017]]+Tabel66892628[[#This Row],[Oth. ch. DW 2017]]</f>
        <v>0</v>
      </c>
      <c r="L227" s="567"/>
      <c r="M227" s="560"/>
      <c r="N227" s="568"/>
      <c r="O227" s="560"/>
      <c r="P227" s="569"/>
      <c r="Q227" s="560"/>
      <c r="R227" s="570"/>
      <c r="S227" s="571">
        <f>Tabel66892628[[#This Row],[Total. ch. DW 2017]]+Tabel66892628[[#This Row],[Sew. 2017]]+Tabel66892628[[#This Row],[WW 2017]]+Tabel66892628[[#This Row],[Other ch. 2017]]+Tabel66892628[[#This Row],[Total VAT 2017]]</f>
        <v>0</v>
      </c>
      <c r="T227" s="397"/>
      <c r="U227" s="825"/>
      <c r="V227" s="826"/>
      <c r="W227" s="827"/>
      <c r="X227" s="828"/>
      <c r="Y227" s="829"/>
      <c r="Z227" s="830"/>
      <c r="AA227" s="828"/>
      <c r="AB227" s="831"/>
      <c r="AC227" s="828"/>
      <c r="AD227" s="832"/>
      <c r="AE227" s="828"/>
      <c r="AF227" s="833"/>
      <c r="AG227" s="834"/>
      <c r="AH227" s="397"/>
      <c r="AI227" s="591" t="s">
        <v>429</v>
      </c>
      <c r="AJ227" s="396"/>
      <c r="AK227" s="398"/>
      <c r="AL227" s="398"/>
      <c r="AM227" s="591" t="s">
        <v>429</v>
      </c>
      <c r="AN227" s="396"/>
      <c r="AO227" s="398"/>
      <c r="AP227" s="397"/>
    </row>
    <row r="228" spans="1:42" ht="15.75" x14ac:dyDescent="0.25">
      <c r="A228" s="2148"/>
      <c r="B228" s="276" t="s">
        <v>204</v>
      </c>
      <c r="C228" s="1048"/>
      <c r="D228" s="805" t="s">
        <v>1121</v>
      </c>
      <c r="E228" s="1760"/>
      <c r="F228" s="617">
        <f>'exchange rates'!$O$52</f>
        <v>0.73992000000000002</v>
      </c>
      <c r="G228" s="319"/>
      <c r="H228" s="320"/>
      <c r="I228" s="321"/>
      <c r="J228" s="559"/>
      <c r="K228" s="313">
        <f>Tabel66892628[[#This Row],[Fix.ch. 2017]]+Tabel66892628[[#This Row],[Var. ch. 2017]]+Tabel66892628[[#This Row],[Oth. ch. DW 2017]]+Tabel66892628[[#This Row],[VAT DW 2017]]</f>
        <v>0</v>
      </c>
      <c r="L228" s="322"/>
      <c r="M228" s="559"/>
      <c r="N228" s="323"/>
      <c r="O228" s="559"/>
      <c r="P228" s="324"/>
      <c r="Q228" s="559"/>
      <c r="R228" s="317">
        <f>Tabel66892628[[#This Row],[VAT DW 2017]]+Tabel66892628[[#This Row],[VAT Sew. 2017]]+Tabel66892628[[#This Row],[VAT WW 2017]]+Tabel66892628[[#This Row],[VAT Other ch. 2017]]</f>
        <v>0</v>
      </c>
      <c r="S228" s="318">
        <f>Tabel66892628[[#This Row],[Total. ch. DW 2017]]+Tabel66892628[[#This Row],[Sew. 2017]]+Tabel66892628[[#This Row],[VAT Sew. 2017]]+Tabel66892628[[#This Row],[WW 2017]]+Tabel66892628[[#This Row],[VAT WW 2017]]+Tabel66892628[[#This Row],[Other ch. 2017]]+Tabel66892628[[#This Row],[VAT Other ch. 2017]]</f>
        <v>0</v>
      </c>
      <c r="T228" s="397"/>
      <c r="U228" s="349"/>
      <c r="V228" s="350"/>
      <c r="W228" s="351"/>
      <c r="X228" s="582"/>
      <c r="Y228" s="352"/>
      <c r="Z228" s="353"/>
      <c r="AA228" s="582"/>
      <c r="AB228" s="354"/>
      <c r="AC228" s="582"/>
      <c r="AD228" s="355"/>
      <c r="AE228" s="582"/>
      <c r="AF228" s="356"/>
      <c r="AG228" s="357"/>
      <c r="AH228" s="397"/>
      <c r="AI228" s="400"/>
      <c r="AJ228" s="400"/>
      <c r="AK228" s="398"/>
      <c r="AL228" s="398"/>
      <c r="AM228" s="398"/>
      <c r="AN228" s="398"/>
      <c r="AO228" s="398"/>
      <c r="AP228" s="397"/>
    </row>
    <row r="229" spans="1:42" ht="15.75" x14ac:dyDescent="0.25">
      <c r="A229" s="2148"/>
      <c r="B229" s="276" t="s">
        <v>205</v>
      </c>
      <c r="C229" s="1048"/>
      <c r="D229" s="805" t="s">
        <v>1121</v>
      </c>
      <c r="E229" s="1760"/>
      <c r="F229" s="617">
        <f>'exchange rates'!$O$52</f>
        <v>0.73992000000000002</v>
      </c>
      <c r="G229" s="319"/>
      <c r="H229" s="320"/>
      <c r="I229" s="321"/>
      <c r="J229" s="559"/>
      <c r="K229" s="313">
        <f>Tabel66892628[[#This Row],[Fix.ch. 2017]]+Tabel66892628[[#This Row],[Var. ch. 2017]]+Tabel66892628[[#This Row],[Oth. ch. DW 2017]]+Tabel66892628[[#This Row],[VAT DW 2017]]</f>
        <v>0</v>
      </c>
      <c r="L229" s="322"/>
      <c r="M229" s="559"/>
      <c r="N229" s="323"/>
      <c r="O229" s="559"/>
      <c r="P229" s="324"/>
      <c r="Q229" s="559"/>
      <c r="R229" s="317">
        <f>Tabel66892628[[#This Row],[VAT DW 2017]]+Tabel66892628[[#This Row],[VAT Sew. 2017]]+Tabel66892628[[#This Row],[VAT WW 2017]]+Tabel66892628[[#This Row],[VAT Other ch. 2017]]</f>
        <v>0</v>
      </c>
      <c r="S229" s="318">
        <f>Tabel66892628[[#This Row],[Total. ch. DW 2017]]+Tabel66892628[[#This Row],[Sew. 2017]]+Tabel66892628[[#This Row],[VAT Sew. 2017]]+Tabel66892628[[#This Row],[WW 2017]]+Tabel66892628[[#This Row],[VAT WW 2017]]+Tabel66892628[[#This Row],[Other ch. 2017]]+Tabel66892628[[#This Row],[VAT Other ch. 2017]]</f>
        <v>0</v>
      </c>
      <c r="T229" s="397"/>
      <c r="U229" s="358"/>
      <c r="V229" s="359"/>
      <c r="W229" s="360"/>
      <c r="X229" s="586"/>
      <c r="Y229" s="361"/>
      <c r="Z229" s="362"/>
      <c r="AA229" s="586"/>
      <c r="AB229" s="363"/>
      <c r="AC229" s="586"/>
      <c r="AD229" s="364"/>
      <c r="AE229" s="586"/>
      <c r="AF229" s="365"/>
      <c r="AG229" s="366"/>
      <c r="AH229" s="397"/>
      <c r="AI229" s="400"/>
      <c r="AJ229" s="400"/>
      <c r="AK229" s="398"/>
      <c r="AL229" s="398"/>
      <c r="AM229" s="398"/>
      <c r="AN229" s="398"/>
      <c r="AO229" s="398"/>
      <c r="AP229" s="397"/>
    </row>
    <row r="230" spans="1:42" ht="15.75" x14ac:dyDescent="0.25">
      <c r="A230" s="2148"/>
      <c r="B230" s="276" t="s">
        <v>206</v>
      </c>
      <c r="C230" s="1048"/>
      <c r="D230" s="805" t="s">
        <v>1121</v>
      </c>
      <c r="E230" s="1760"/>
      <c r="F230" s="617">
        <f>'exchange rates'!$O$52</f>
        <v>0.73992000000000002</v>
      </c>
      <c r="G230" s="319"/>
      <c r="H230" s="320"/>
      <c r="I230" s="321"/>
      <c r="J230" s="559"/>
      <c r="K230" s="313">
        <f>Tabel66892628[[#This Row],[Fix.ch. 2017]]+Tabel66892628[[#This Row],[Var. ch. 2017]]+Tabel66892628[[#This Row],[Oth. ch. DW 2017]]+Tabel66892628[[#This Row],[VAT DW 2017]]</f>
        <v>0</v>
      </c>
      <c r="L230" s="322"/>
      <c r="M230" s="559"/>
      <c r="N230" s="323"/>
      <c r="O230" s="559"/>
      <c r="P230" s="324"/>
      <c r="Q230" s="559"/>
      <c r="R230" s="317">
        <f>Tabel66892628[[#This Row],[VAT DW 2017]]+Tabel66892628[[#This Row],[VAT Sew. 2017]]+Tabel66892628[[#This Row],[VAT WW 2017]]+Tabel66892628[[#This Row],[VAT Other ch. 2017]]</f>
        <v>0</v>
      </c>
      <c r="S230" s="318">
        <f>Tabel66892628[[#This Row],[Total. ch. DW 2017]]+Tabel66892628[[#This Row],[Sew. 2017]]+Tabel66892628[[#This Row],[VAT Sew. 2017]]+Tabel66892628[[#This Row],[WW 2017]]+Tabel66892628[[#This Row],[VAT WW 2017]]+Tabel66892628[[#This Row],[Other ch. 2017]]+Tabel66892628[[#This Row],[VAT Other ch. 2017]]</f>
        <v>0</v>
      </c>
      <c r="T230" s="397"/>
      <c r="U230" s="358"/>
      <c r="V230" s="359"/>
      <c r="W230" s="360"/>
      <c r="X230" s="586"/>
      <c r="Y230" s="361"/>
      <c r="Z230" s="362"/>
      <c r="AA230" s="586"/>
      <c r="AB230" s="363"/>
      <c r="AC230" s="586"/>
      <c r="AD230" s="364"/>
      <c r="AE230" s="586"/>
      <c r="AF230" s="365"/>
      <c r="AG230" s="366"/>
      <c r="AH230" s="397"/>
      <c r="AI230" s="400"/>
      <c r="AJ230" s="400"/>
      <c r="AK230" s="398"/>
      <c r="AL230" s="398"/>
      <c r="AM230" s="398"/>
      <c r="AN230" s="398"/>
      <c r="AO230" s="398"/>
      <c r="AP230" s="397"/>
    </row>
    <row r="231" spans="1:42" ht="15.75" x14ac:dyDescent="0.25">
      <c r="A231" s="2148"/>
      <c r="B231" s="276" t="s">
        <v>207</v>
      </c>
      <c r="C231" s="1048"/>
      <c r="D231" s="805" t="s">
        <v>1121</v>
      </c>
      <c r="E231" s="1760"/>
      <c r="F231" s="617">
        <f>'exchange rates'!$O$52</f>
        <v>0.73992000000000002</v>
      </c>
      <c r="G231" s="319"/>
      <c r="H231" s="320"/>
      <c r="I231" s="321"/>
      <c r="J231" s="559"/>
      <c r="K231" s="313">
        <f>Tabel66892628[[#This Row],[Fix.ch. 2017]]+Tabel66892628[[#This Row],[Var. ch. 2017]]+Tabel66892628[[#This Row],[Oth. ch. DW 2017]]+Tabel66892628[[#This Row],[VAT DW 2017]]</f>
        <v>0</v>
      </c>
      <c r="L231" s="322"/>
      <c r="M231" s="559"/>
      <c r="N231" s="323"/>
      <c r="O231" s="559"/>
      <c r="P231" s="324"/>
      <c r="Q231" s="559"/>
      <c r="R231" s="317">
        <f>Tabel66892628[[#This Row],[VAT DW 2017]]+Tabel66892628[[#This Row],[VAT Sew. 2017]]+Tabel66892628[[#This Row],[VAT WW 2017]]+Tabel66892628[[#This Row],[VAT Other ch. 2017]]</f>
        <v>0</v>
      </c>
      <c r="S231" s="318">
        <f>Tabel66892628[[#This Row],[Total. ch. DW 2017]]+Tabel66892628[[#This Row],[Sew. 2017]]+Tabel66892628[[#This Row],[VAT Sew. 2017]]+Tabel66892628[[#This Row],[WW 2017]]+Tabel66892628[[#This Row],[VAT WW 2017]]+Tabel66892628[[#This Row],[Other ch. 2017]]+Tabel66892628[[#This Row],[VAT Other ch. 2017]]</f>
        <v>0</v>
      </c>
      <c r="T231" s="397"/>
      <c r="U231" s="358"/>
      <c r="V231" s="359"/>
      <c r="W231" s="360"/>
      <c r="X231" s="586"/>
      <c r="Y231" s="361"/>
      <c r="Z231" s="362"/>
      <c r="AA231" s="586"/>
      <c r="AB231" s="363"/>
      <c r="AC231" s="586"/>
      <c r="AD231" s="364"/>
      <c r="AE231" s="586"/>
      <c r="AF231" s="365"/>
      <c r="AG231" s="366"/>
      <c r="AH231" s="397"/>
      <c r="AI231" s="400"/>
      <c r="AJ231" s="400"/>
      <c r="AK231" s="398"/>
      <c r="AL231" s="398"/>
      <c r="AM231" s="398"/>
      <c r="AN231" s="398"/>
      <c r="AO231" s="398"/>
      <c r="AP231" s="397"/>
    </row>
    <row r="232" spans="1:42" ht="15.75" x14ac:dyDescent="0.25">
      <c r="A232" s="2148"/>
      <c r="B232" s="276" t="s">
        <v>208</v>
      </c>
      <c r="C232" s="1048"/>
      <c r="D232" s="805" t="s">
        <v>1121</v>
      </c>
      <c r="E232" s="1760"/>
      <c r="F232" s="617">
        <f>'exchange rates'!$O$52</f>
        <v>0.73992000000000002</v>
      </c>
      <c r="G232" s="319"/>
      <c r="H232" s="320"/>
      <c r="I232" s="321"/>
      <c r="J232" s="559"/>
      <c r="K232" s="313">
        <f>Tabel66892628[[#This Row],[Fix.ch. 2017]]+Tabel66892628[[#This Row],[Var. ch. 2017]]+Tabel66892628[[#This Row],[Oth. ch. DW 2017]]+Tabel66892628[[#This Row],[VAT DW 2017]]</f>
        <v>0</v>
      </c>
      <c r="L232" s="322"/>
      <c r="M232" s="559"/>
      <c r="N232" s="323"/>
      <c r="O232" s="559"/>
      <c r="P232" s="324"/>
      <c r="Q232" s="559"/>
      <c r="R232" s="317">
        <f>Tabel66892628[[#This Row],[VAT DW 2017]]+Tabel66892628[[#This Row],[VAT Sew. 2017]]+Tabel66892628[[#This Row],[VAT WW 2017]]+Tabel66892628[[#This Row],[VAT Other ch. 2017]]</f>
        <v>0</v>
      </c>
      <c r="S232" s="318">
        <f>Tabel66892628[[#This Row],[Total. ch. DW 2017]]+Tabel66892628[[#This Row],[Sew. 2017]]+Tabel66892628[[#This Row],[VAT Sew. 2017]]+Tabel66892628[[#This Row],[WW 2017]]+Tabel66892628[[#This Row],[VAT WW 2017]]+Tabel66892628[[#This Row],[Other ch. 2017]]+Tabel66892628[[#This Row],[VAT Other ch. 2017]]</f>
        <v>0</v>
      </c>
      <c r="T232" s="397"/>
      <c r="U232" s="358"/>
      <c r="V232" s="359"/>
      <c r="W232" s="360"/>
      <c r="X232" s="586"/>
      <c r="Y232" s="361"/>
      <c r="Z232" s="362"/>
      <c r="AA232" s="586"/>
      <c r="AB232" s="363"/>
      <c r="AC232" s="586"/>
      <c r="AD232" s="364"/>
      <c r="AE232" s="586"/>
      <c r="AF232" s="365"/>
      <c r="AG232" s="366"/>
      <c r="AH232" s="397"/>
      <c r="AI232" s="400"/>
      <c r="AJ232" s="400"/>
      <c r="AK232" s="398"/>
      <c r="AL232" s="398"/>
      <c r="AM232" s="398"/>
      <c r="AN232" s="398"/>
      <c r="AO232" s="398"/>
      <c r="AP232" s="397"/>
    </row>
    <row r="233" spans="1:42" ht="15.75" x14ac:dyDescent="0.25">
      <c r="A233" s="2148"/>
      <c r="B233" s="276" t="s">
        <v>209</v>
      </c>
      <c r="C233" s="1048"/>
      <c r="D233" s="805" t="s">
        <v>1121</v>
      </c>
      <c r="E233" s="1760"/>
      <c r="F233" s="617">
        <f>'exchange rates'!$O$52</f>
        <v>0.73992000000000002</v>
      </c>
      <c r="G233" s="319"/>
      <c r="H233" s="320"/>
      <c r="I233" s="321"/>
      <c r="J233" s="559"/>
      <c r="K233" s="313">
        <f>Tabel66892628[[#This Row],[Fix.ch. 2017]]+Tabel66892628[[#This Row],[Var. ch. 2017]]+Tabel66892628[[#This Row],[Oth. ch. DW 2017]]+Tabel66892628[[#This Row],[VAT DW 2017]]</f>
        <v>0</v>
      </c>
      <c r="L233" s="322"/>
      <c r="M233" s="559"/>
      <c r="N233" s="323"/>
      <c r="O233" s="559"/>
      <c r="P233" s="324"/>
      <c r="Q233" s="559"/>
      <c r="R233" s="317">
        <f>Tabel66892628[[#This Row],[VAT DW 2017]]+Tabel66892628[[#This Row],[VAT Sew. 2017]]+Tabel66892628[[#This Row],[VAT WW 2017]]+Tabel66892628[[#This Row],[VAT Other ch. 2017]]</f>
        <v>0</v>
      </c>
      <c r="S233" s="318">
        <f>Tabel66892628[[#This Row],[Total. ch. DW 2017]]+Tabel66892628[[#This Row],[Sew. 2017]]+Tabel66892628[[#This Row],[VAT Sew. 2017]]+Tabel66892628[[#This Row],[WW 2017]]+Tabel66892628[[#This Row],[VAT WW 2017]]+Tabel66892628[[#This Row],[Other ch. 2017]]+Tabel66892628[[#This Row],[VAT Other ch. 2017]]</f>
        <v>0</v>
      </c>
      <c r="T233" s="397"/>
      <c r="U233" s="358"/>
      <c r="V233" s="359"/>
      <c r="W233" s="360"/>
      <c r="X233" s="586"/>
      <c r="Y233" s="361"/>
      <c r="Z233" s="362"/>
      <c r="AA233" s="586"/>
      <c r="AB233" s="363"/>
      <c r="AC233" s="586"/>
      <c r="AD233" s="364"/>
      <c r="AE233" s="586"/>
      <c r="AF233" s="365"/>
      <c r="AG233" s="366"/>
      <c r="AH233" s="397"/>
      <c r="AI233" s="400"/>
      <c r="AJ233" s="400"/>
      <c r="AK233" s="398"/>
      <c r="AL233" s="398"/>
      <c r="AM233" s="398"/>
      <c r="AN233" s="398"/>
      <c r="AO233" s="398"/>
      <c r="AP233" s="397"/>
    </row>
    <row r="234" spans="1:42" ht="15.75" x14ac:dyDescent="0.25">
      <c r="A234" s="2148"/>
      <c r="B234" s="276" t="s">
        <v>210</v>
      </c>
      <c r="C234" s="1048"/>
      <c r="D234" s="805" t="s">
        <v>1121</v>
      </c>
      <c r="E234" s="1760"/>
      <c r="F234" s="617">
        <f>'exchange rates'!$O$52</f>
        <v>0.73992000000000002</v>
      </c>
      <c r="G234" s="319"/>
      <c r="H234" s="320"/>
      <c r="I234" s="321"/>
      <c r="J234" s="559"/>
      <c r="K234" s="313">
        <f>Tabel66892628[[#This Row],[Fix.ch. 2017]]+Tabel66892628[[#This Row],[Var. ch. 2017]]+Tabel66892628[[#This Row],[Oth. ch. DW 2017]]+Tabel66892628[[#This Row],[VAT DW 2017]]</f>
        <v>0</v>
      </c>
      <c r="L234" s="322"/>
      <c r="M234" s="559"/>
      <c r="N234" s="323"/>
      <c r="O234" s="559"/>
      <c r="P234" s="324"/>
      <c r="Q234" s="559"/>
      <c r="R234" s="317">
        <f>Tabel66892628[[#This Row],[VAT DW 2017]]+Tabel66892628[[#This Row],[VAT Sew. 2017]]+Tabel66892628[[#This Row],[VAT WW 2017]]+Tabel66892628[[#This Row],[VAT Other ch. 2017]]</f>
        <v>0</v>
      </c>
      <c r="S234" s="318">
        <f>Tabel66892628[[#This Row],[Total. ch. DW 2017]]+Tabel66892628[[#This Row],[Sew. 2017]]+Tabel66892628[[#This Row],[VAT Sew. 2017]]+Tabel66892628[[#This Row],[WW 2017]]+Tabel66892628[[#This Row],[VAT WW 2017]]+Tabel66892628[[#This Row],[Other ch. 2017]]+Tabel66892628[[#This Row],[VAT Other ch. 2017]]</f>
        <v>0</v>
      </c>
      <c r="T234" s="397"/>
      <c r="U234" s="358"/>
      <c r="V234" s="359"/>
      <c r="W234" s="360"/>
      <c r="X234" s="586"/>
      <c r="Y234" s="361"/>
      <c r="Z234" s="362"/>
      <c r="AA234" s="586"/>
      <c r="AB234" s="363"/>
      <c r="AC234" s="586"/>
      <c r="AD234" s="364"/>
      <c r="AE234" s="586"/>
      <c r="AF234" s="365"/>
      <c r="AG234" s="366"/>
      <c r="AH234" s="397"/>
      <c r="AI234" s="400"/>
      <c r="AJ234" s="400"/>
      <c r="AK234" s="398"/>
      <c r="AL234" s="398"/>
      <c r="AM234" s="398"/>
      <c r="AN234" s="398"/>
      <c r="AO234" s="398"/>
      <c r="AP234" s="397"/>
    </row>
    <row r="235" spans="1:42" ht="16.5" thickBot="1" x14ac:dyDescent="0.3">
      <c r="A235" s="2149"/>
      <c r="B235" s="835" t="s">
        <v>211</v>
      </c>
      <c r="C235" s="835"/>
      <c r="D235" s="801" t="s">
        <v>1121</v>
      </c>
      <c r="E235" s="1761"/>
      <c r="F235" s="617">
        <f>'exchange rates'!$O$52</f>
        <v>0.73992000000000002</v>
      </c>
      <c r="G235" s="319"/>
      <c r="H235" s="320"/>
      <c r="I235" s="321"/>
      <c r="J235" s="559"/>
      <c r="K235" s="313">
        <f>Tabel66892628[[#This Row],[Fix.ch. 2017]]+Tabel66892628[[#This Row],[Var. ch. 2017]]+Tabel66892628[[#This Row],[Oth. ch. DW 2017]]+Tabel66892628[[#This Row],[VAT DW 2017]]</f>
        <v>0</v>
      </c>
      <c r="L235" s="322"/>
      <c r="M235" s="559"/>
      <c r="N235" s="323"/>
      <c r="O235" s="559"/>
      <c r="P235" s="324"/>
      <c r="Q235" s="559"/>
      <c r="R235" s="317">
        <f>Tabel66892628[[#This Row],[VAT DW 2017]]+Tabel66892628[[#This Row],[VAT Sew. 2017]]+Tabel66892628[[#This Row],[VAT WW 2017]]+Tabel66892628[[#This Row],[VAT Other ch. 2017]]</f>
        <v>0</v>
      </c>
      <c r="S235" s="318">
        <f>Tabel66892628[[#This Row],[Total. ch. DW 2017]]+Tabel66892628[[#This Row],[Sew. 2017]]+Tabel66892628[[#This Row],[VAT Sew. 2017]]+Tabel66892628[[#This Row],[WW 2017]]+Tabel66892628[[#This Row],[VAT WW 2017]]+Tabel66892628[[#This Row],[Other ch. 2017]]+Tabel66892628[[#This Row],[VAT Other ch. 2017]]</f>
        <v>0</v>
      </c>
      <c r="T235" s="397"/>
      <c r="U235" s="358"/>
      <c r="V235" s="359"/>
      <c r="W235" s="360"/>
      <c r="X235" s="586"/>
      <c r="Y235" s="361"/>
      <c r="Z235" s="362"/>
      <c r="AA235" s="586"/>
      <c r="AB235" s="363"/>
      <c r="AC235" s="586"/>
      <c r="AD235" s="364"/>
      <c r="AE235" s="586"/>
      <c r="AF235" s="365"/>
      <c r="AG235" s="366"/>
      <c r="AH235" s="397"/>
      <c r="AI235" s="400"/>
      <c r="AJ235" s="400"/>
      <c r="AK235" s="398"/>
      <c r="AL235" s="398"/>
      <c r="AM235" s="398"/>
      <c r="AN235" s="398"/>
      <c r="AO235" s="398"/>
      <c r="AP235" s="397"/>
    </row>
    <row r="236" spans="1:42" ht="15.75" x14ac:dyDescent="0.25">
      <c r="A236" s="2150" t="s">
        <v>41</v>
      </c>
      <c r="B236" s="261" t="s">
        <v>192</v>
      </c>
      <c r="C236" s="261" t="s">
        <v>429</v>
      </c>
      <c r="D236" s="261" t="s">
        <v>1123</v>
      </c>
      <c r="E236" s="2153"/>
      <c r="F236" s="306"/>
      <c r="G236" s="325"/>
      <c r="H236" s="326"/>
      <c r="I236" s="327"/>
      <c r="J236" s="561"/>
      <c r="K236" s="313">
        <f>Tabel66892628[[#This Row],[Fix.ch. 2017]]+Tabel66892628[[#This Row],[Var. ch. 2017]]+Tabel66892628[[#This Row],[Oth. ch. DW 2017]]+Tabel66892628[[#This Row],[VAT DW 2017]]</f>
        <v>0</v>
      </c>
      <c r="L236" s="328"/>
      <c r="M236" s="561"/>
      <c r="N236" s="329"/>
      <c r="O236" s="561"/>
      <c r="P236" s="330"/>
      <c r="Q236" s="561"/>
      <c r="R236" s="317">
        <f>Tabel66892628[[#This Row],[VAT DW 2017]]+Tabel66892628[[#This Row],[VAT Sew. 2017]]+Tabel66892628[[#This Row],[VAT WW 2017]]+Tabel66892628[[#This Row],[VAT Other ch. 2017]]</f>
        <v>0</v>
      </c>
      <c r="S236" s="318">
        <f>Tabel66892628[[#This Row],[Total. ch. DW 2017]]+Tabel66892628[[#This Row],[Sew. 2017]]+Tabel66892628[[#This Row],[VAT Sew. 2017]]+Tabel66892628[[#This Row],[WW 2017]]+Tabel66892628[[#This Row],[VAT WW 2017]]+Tabel66892628[[#This Row],[Other ch. 2017]]+Tabel66892628[[#This Row],[VAT Other ch. 2017]]</f>
        <v>0</v>
      </c>
      <c r="T236" s="397"/>
      <c r="U236" s="358"/>
      <c r="V236" s="359"/>
      <c r="W236" s="360"/>
      <c r="X236" s="586"/>
      <c r="Y236" s="361"/>
      <c r="Z236" s="362"/>
      <c r="AA236" s="586"/>
      <c r="AB236" s="363"/>
      <c r="AC236" s="586"/>
      <c r="AD236" s="364"/>
      <c r="AE236" s="586"/>
      <c r="AF236" s="365"/>
      <c r="AG236" s="366"/>
      <c r="AH236" s="397"/>
      <c r="AI236" s="398"/>
      <c r="AJ236" s="398"/>
      <c r="AK236" s="398"/>
      <c r="AL236" s="398"/>
      <c r="AM236" s="398"/>
      <c r="AN236" s="398"/>
      <c r="AO236" s="398"/>
      <c r="AP236" s="397"/>
    </row>
    <row r="237" spans="1:42" ht="15.75" x14ac:dyDescent="0.25">
      <c r="A237" s="2151"/>
      <c r="B237" s="261" t="s">
        <v>193</v>
      </c>
      <c r="C237" s="261"/>
      <c r="D237" s="261" t="s">
        <v>1123</v>
      </c>
      <c r="E237" s="2154"/>
      <c r="F237" s="306"/>
      <c r="G237" s="325"/>
      <c r="H237" s="326"/>
      <c r="I237" s="327"/>
      <c r="J237" s="561"/>
      <c r="K237" s="313">
        <f>Tabel66892628[[#This Row],[Fix.ch. 2017]]+Tabel66892628[[#This Row],[Var. ch. 2017]]+Tabel66892628[[#This Row],[Oth. ch. DW 2017]]+Tabel66892628[[#This Row],[VAT DW 2017]]</f>
        <v>0</v>
      </c>
      <c r="L237" s="328"/>
      <c r="M237" s="561"/>
      <c r="N237" s="329"/>
      <c r="O237" s="561"/>
      <c r="P237" s="330"/>
      <c r="Q237" s="561"/>
      <c r="R237" s="317">
        <f>Tabel66892628[[#This Row],[VAT DW 2017]]+Tabel66892628[[#This Row],[VAT Sew. 2017]]+Tabel66892628[[#This Row],[VAT WW 2017]]+Tabel66892628[[#This Row],[VAT Other ch. 2017]]</f>
        <v>0</v>
      </c>
      <c r="S237" s="318">
        <f>Tabel66892628[[#This Row],[Total. ch. DW 2017]]+Tabel66892628[[#This Row],[Sew. 2017]]+Tabel66892628[[#This Row],[VAT Sew. 2017]]+Tabel66892628[[#This Row],[WW 2017]]+Tabel66892628[[#This Row],[VAT WW 2017]]+Tabel66892628[[#This Row],[Other ch. 2017]]+Tabel66892628[[#This Row],[VAT Other ch. 2017]]</f>
        <v>0</v>
      </c>
      <c r="T237" s="397"/>
      <c r="U237" s="358"/>
      <c r="V237" s="359"/>
      <c r="W237" s="360"/>
      <c r="X237" s="586"/>
      <c r="Y237" s="361"/>
      <c r="Z237" s="362"/>
      <c r="AA237" s="586"/>
      <c r="AB237" s="363"/>
      <c r="AC237" s="586"/>
      <c r="AD237" s="364"/>
      <c r="AE237" s="586"/>
      <c r="AF237" s="365"/>
      <c r="AG237" s="366"/>
      <c r="AH237" s="397"/>
      <c r="AI237" s="398"/>
      <c r="AJ237" s="398"/>
      <c r="AK237" s="398"/>
      <c r="AL237" s="398"/>
      <c r="AM237" s="398"/>
      <c r="AN237" s="398"/>
      <c r="AO237" s="398"/>
      <c r="AP237" s="397"/>
    </row>
    <row r="238" spans="1:42" ht="16.5" thickBot="1" x14ac:dyDescent="0.3">
      <c r="A238" s="2152"/>
      <c r="B238" s="261" t="s">
        <v>194</v>
      </c>
      <c r="C238" s="261"/>
      <c r="D238" s="261" t="s">
        <v>1123</v>
      </c>
      <c r="E238" s="2155"/>
      <c r="F238" s="306"/>
      <c r="G238" s="325"/>
      <c r="H238" s="326"/>
      <c r="I238" s="327"/>
      <c r="J238" s="561"/>
      <c r="K238" s="313">
        <f>Tabel66892628[[#This Row],[Fix.ch. 2017]]+Tabel66892628[[#This Row],[Var. ch. 2017]]+Tabel66892628[[#This Row],[Oth. ch. DW 2017]]+Tabel66892628[[#This Row],[VAT DW 2017]]</f>
        <v>0</v>
      </c>
      <c r="L238" s="328"/>
      <c r="M238" s="561"/>
      <c r="N238" s="329"/>
      <c r="O238" s="561"/>
      <c r="P238" s="330"/>
      <c r="Q238" s="561"/>
      <c r="R238" s="317">
        <f>Tabel66892628[[#This Row],[VAT DW 2017]]+Tabel66892628[[#This Row],[VAT Sew. 2017]]+Tabel66892628[[#This Row],[VAT WW 2017]]+Tabel66892628[[#This Row],[VAT Other ch. 2017]]</f>
        <v>0</v>
      </c>
      <c r="S238" s="318">
        <f>Tabel66892628[[#This Row],[Total. ch. DW 2017]]+Tabel66892628[[#This Row],[Sew. 2017]]+Tabel66892628[[#This Row],[VAT Sew. 2017]]+Tabel66892628[[#This Row],[WW 2017]]+Tabel66892628[[#This Row],[VAT WW 2017]]+Tabel66892628[[#This Row],[Other ch. 2017]]+Tabel66892628[[#This Row],[VAT Other ch. 2017]]</f>
        <v>0</v>
      </c>
      <c r="T238" s="397"/>
      <c r="U238" s="367"/>
      <c r="V238" s="368"/>
      <c r="W238" s="369"/>
      <c r="X238" s="587"/>
      <c r="Y238" s="370"/>
      <c r="Z238" s="371"/>
      <c r="AA238" s="587"/>
      <c r="AB238" s="372"/>
      <c r="AC238" s="587"/>
      <c r="AD238" s="373"/>
      <c r="AE238" s="587"/>
      <c r="AF238" s="374"/>
      <c r="AG238" s="375"/>
      <c r="AH238" s="397"/>
      <c r="AI238" s="398"/>
      <c r="AJ238" s="398"/>
      <c r="AK238" s="398"/>
      <c r="AL238" s="398"/>
      <c r="AM238" s="398"/>
      <c r="AN238" s="398"/>
      <c r="AO238" s="398"/>
      <c r="AP238" s="397"/>
    </row>
    <row r="239" spans="1:42" ht="19.5" thickBot="1" x14ac:dyDescent="0.35">
      <c r="A239" s="270" t="s">
        <v>42</v>
      </c>
      <c r="B239" s="260" t="s">
        <v>42</v>
      </c>
      <c r="C239" s="1049" t="s">
        <v>429</v>
      </c>
      <c r="D239" s="817" t="s">
        <v>1125</v>
      </c>
      <c r="E239" s="301">
        <v>59900</v>
      </c>
      <c r="F239" s="306">
        <v>1.2966299999999999</v>
      </c>
      <c r="G239" s="319">
        <v>0</v>
      </c>
      <c r="H239" s="320">
        <f>234/F239</f>
        <v>180.46782813909905</v>
      </c>
      <c r="I239" s="321">
        <f>70.2/F239</f>
        <v>54.140348441729721</v>
      </c>
      <c r="J239" s="559"/>
      <c r="K239" s="313">
        <f>Tabel66892628[[#This Row],[Fix.ch. 2017]]+Tabel66892628[[#This Row],[Var. ch. 2017]]+Tabel66892628[[#This Row],[Oth. ch. DW 2017]]+Tabel66892628[[#This Row],[VAT DW 2017]]</f>
        <v>234.60817658082877</v>
      </c>
      <c r="L239" s="322">
        <v>0</v>
      </c>
      <c r="M239" s="559"/>
      <c r="N239" s="323">
        <f>56.06/F239</f>
        <v>43.23515574990553</v>
      </c>
      <c r="O239" s="559"/>
      <c r="P239" s="324">
        <f>67.29/F239</f>
        <v>51.896069040512721</v>
      </c>
      <c r="Q239" s="559"/>
      <c r="R239" s="317">
        <f>Tabel66892628[[#This Row],[VAT DW 2017]]+Tabel66892628[[#This Row],[VAT Sew. 2017]]+Tabel66892628[[#This Row],[VAT WW 2017]]+Tabel66892628[[#This Row],[VAT Other ch. 2017]]</f>
        <v>0</v>
      </c>
      <c r="S239" s="318">
        <f>Tabel66892628[[#This Row],[Total. ch. DW 2017]]+Tabel66892628[[#This Row],[Sew. 2017]]+Tabel66892628[[#This Row],[VAT Sew. 2017]]+Tabel66892628[[#This Row],[WW 2017]]+Tabel66892628[[#This Row],[VAT WW 2017]]+Tabel66892628[[#This Row],[Other ch. 2017]]+Tabel66892628[[#This Row],[VAT Other ch. 2017]]</f>
        <v>329.73940137124703</v>
      </c>
      <c r="T239" s="397"/>
      <c r="U239" s="331">
        <f>Tabel66892628[[#This Row],[Fix.ch. 2017]]</f>
        <v>0</v>
      </c>
      <c r="V239" s="332">
        <f>Tabel66892628[[#This Row],[Var. ch. 2017]]</f>
        <v>180.46782813909905</v>
      </c>
      <c r="W239" s="333">
        <f>Tabel66892628[[#This Row],[Oth. ch. DW 2017]]</f>
        <v>54.140348441729721</v>
      </c>
      <c r="X239" s="574"/>
      <c r="Y239" s="334">
        <f>Tabel66892628[[#This Row],[Total. ch. DW 2017]]</f>
        <v>234.60817658082877</v>
      </c>
      <c r="Z239" s="335">
        <f>Tabel66892628[[#This Row],[Sew. 2017]]</f>
        <v>0</v>
      </c>
      <c r="AA239" s="574"/>
      <c r="AB239" s="336">
        <f>Tabel66892628[[#This Row],[WW 2017]]</f>
        <v>43.23515574990553</v>
      </c>
      <c r="AC239" s="574"/>
      <c r="AD239" s="337">
        <f>Tabel66892628[[#This Row],[Other ch. 2017]]</f>
        <v>51.896069040512721</v>
      </c>
      <c r="AE239" s="574"/>
      <c r="AF239" s="338">
        <f>Tabel66892628[[#This Row],[Total VAT 2017]]</f>
        <v>0</v>
      </c>
      <c r="AG239" s="339">
        <f>Tabel66892628[[#This Row],[total charge 2017]]</f>
        <v>329.73940137124703</v>
      </c>
      <c r="AH239" s="397"/>
      <c r="AI239" s="398"/>
      <c r="AJ239" s="398"/>
      <c r="AK239" s="398"/>
      <c r="AL239" s="396" t="s">
        <v>429</v>
      </c>
      <c r="AM239" s="398"/>
      <c r="AN239" s="398"/>
      <c r="AO239" s="398"/>
      <c r="AP239" s="397"/>
    </row>
    <row r="240" spans="1:42" ht="18.75" x14ac:dyDescent="0.25">
      <c r="A240" s="1833" t="s">
        <v>24</v>
      </c>
      <c r="B240" s="289" t="s">
        <v>140</v>
      </c>
      <c r="C240" s="1048" t="s">
        <v>429</v>
      </c>
      <c r="D240" s="805" t="s">
        <v>1127</v>
      </c>
      <c r="E240" s="2156">
        <v>23400</v>
      </c>
      <c r="F240" s="307">
        <v>0.77166999999999997</v>
      </c>
      <c r="G240" s="319">
        <f>0.9*200/F240</f>
        <v>233.26033148884886</v>
      </c>
      <c r="H240" s="320">
        <v>0</v>
      </c>
      <c r="I240" s="321">
        <v>0</v>
      </c>
      <c r="J240" s="559"/>
      <c r="K240" s="313">
        <f>Tabel66892628[[#This Row],[Fix.ch. 2017]]+Tabel66892628[[#This Row],[Var. ch. 2017]]+Tabel66892628[[#This Row],[Oth. ch. DW 2017]]+Tabel66892628[[#This Row],[VAT DW 2017]]</f>
        <v>233.26033148884886</v>
      </c>
      <c r="L240" s="322">
        <f>1.02*200/F240</f>
        <v>264.3617090206954</v>
      </c>
      <c r="M240" s="559"/>
      <c r="N240" s="323">
        <v>0</v>
      </c>
      <c r="O240" s="559"/>
      <c r="P240" s="324">
        <v>0</v>
      </c>
      <c r="Q240" s="559"/>
      <c r="R240" s="317">
        <f>Tabel66892628[[#This Row],[VAT DW 2017]]+Tabel66892628[[#This Row],[VAT Sew. 2017]]+Tabel66892628[[#This Row],[VAT WW 2017]]+Tabel66892628[[#This Row],[VAT Other ch. 2017]]</f>
        <v>0</v>
      </c>
      <c r="S240" s="318">
        <f>Tabel66892628[[#This Row],[Total. ch. DW 2017]]+Tabel66892628[[#This Row],[Sew. 2017]]+Tabel66892628[[#This Row],[VAT Sew. 2017]]+Tabel66892628[[#This Row],[WW 2017]]+Tabel66892628[[#This Row],[VAT WW 2017]]+Tabel66892628[[#This Row],[Other ch. 2017]]+Tabel66892628[[#This Row],[VAT Other ch. 2017]]</f>
        <v>497.62204050954426</v>
      </c>
      <c r="T240" s="397"/>
      <c r="U240" s="1839">
        <f>SUM(G240:G242)/3</f>
        <v>264.3617090206954</v>
      </c>
      <c r="V240" s="1842">
        <v>0</v>
      </c>
      <c r="W240" s="1845">
        <v>0</v>
      </c>
      <c r="X240" s="575"/>
      <c r="Y240" s="1848">
        <f>SUM(K240:K242)/3</f>
        <v>264.3617090206954</v>
      </c>
      <c r="Z240" s="1851">
        <f>SUM(L240:L242)/3</f>
        <v>282.50417924760586</v>
      </c>
      <c r="AA240" s="575"/>
      <c r="AB240" s="1854">
        <v>0</v>
      </c>
      <c r="AC240" s="575"/>
      <c r="AD240" s="1857">
        <v>0</v>
      </c>
      <c r="AE240" s="575"/>
      <c r="AF240" s="1872">
        <f>SUM(R240:R242)/3</f>
        <v>0</v>
      </c>
      <c r="AG240" s="1875">
        <f>SUM(S240:S242)/3</f>
        <v>546.86588826830121</v>
      </c>
      <c r="AH240" s="397"/>
      <c r="AI240" s="398"/>
      <c r="AJ240" s="396" t="s">
        <v>429</v>
      </c>
      <c r="AK240" s="396" t="s">
        <v>429</v>
      </c>
      <c r="AL240" s="396"/>
      <c r="AM240" s="396" t="s">
        <v>429</v>
      </c>
      <c r="AN240" s="398"/>
      <c r="AO240" s="398"/>
      <c r="AP240" s="397"/>
    </row>
    <row r="241" spans="1:42" ht="18.75" x14ac:dyDescent="0.25">
      <c r="A241" s="1834"/>
      <c r="B241" s="269" t="s">
        <v>141</v>
      </c>
      <c r="C241" s="1048"/>
      <c r="D241" s="805" t="s">
        <v>1127</v>
      </c>
      <c r="E241" s="2157"/>
      <c r="F241" s="307">
        <v>0.77166999999999997</v>
      </c>
      <c r="G241" s="319">
        <f>0.96*200/F241</f>
        <v>248.81102025477213</v>
      </c>
      <c r="H241" s="320">
        <v>0</v>
      </c>
      <c r="I241" s="321">
        <v>0</v>
      </c>
      <c r="J241" s="559"/>
      <c r="K241" s="313">
        <f>Tabel66892628[[#This Row],[Fix.ch. 2017]]+Tabel66892628[[#This Row],[Var. ch. 2017]]+Tabel66892628[[#This Row],[Oth. ch. DW 2017]]+Tabel66892628[[#This Row],[VAT DW 2017]]</f>
        <v>248.81102025477213</v>
      </c>
      <c r="L241" s="322">
        <f>1.1*200/F241</f>
        <v>285.09596070859311</v>
      </c>
      <c r="M241" s="559"/>
      <c r="N241" s="323">
        <v>0</v>
      </c>
      <c r="O241" s="559"/>
      <c r="P241" s="324">
        <v>0</v>
      </c>
      <c r="Q241" s="559"/>
      <c r="R241" s="317">
        <f>Tabel66892628[[#This Row],[VAT DW 2017]]+Tabel66892628[[#This Row],[VAT Sew. 2017]]+Tabel66892628[[#This Row],[VAT WW 2017]]+Tabel66892628[[#This Row],[VAT Other ch. 2017]]</f>
        <v>0</v>
      </c>
      <c r="S241" s="318">
        <f>Tabel66892628[[#This Row],[Total. ch. DW 2017]]+Tabel66892628[[#This Row],[Sew. 2017]]+Tabel66892628[[#This Row],[VAT Sew. 2017]]+Tabel66892628[[#This Row],[WW 2017]]+Tabel66892628[[#This Row],[VAT WW 2017]]+Tabel66892628[[#This Row],[Other ch. 2017]]+Tabel66892628[[#This Row],[VAT Other ch. 2017]]</f>
        <v>533.90698096336519</v>
      </c>
      <c r="T241" s="397"/>
      <c r="U241" s="2158"/>
      <c r="V241" s="2159"/>
      <c r="W241" s="2160"/>
      <c r="X241" s="576"/>
      <c r="Y241" s="2141"/>
      <c r="Z241" s="2142"/>
      <c r="AA241" s="576"/>
      <c r="AB241" s="2143"/>
      <c r="AC241" s="576"/>
      <c r="AD241" s="2144"/>
      <c r="AE241" s="576"/>
      <c r="AF241" s="2145"/>
      <c r="AG241" s="2146"/>
      <c r="AH241" s="397"/>
      <c r="AI241" s="398"/>
      <c r="AJ241" s="396" t="s">
        <v>429</v>
      </c>
      <c r="AK241" s="396" t="s">
        <v>429</v>
      </c>
      <c r="AL241" s="396"/>
      <c r="AM241" s="396" t="s">
        <v>429</v>
      </c>
      <c r="AN241" s="398"/>
      <c r="AO241" s="398"/>
      <c r="AP241" s="397"/>
    </row>
    <row r="242" spans="1:42" ht="19.5" thickBot="1" x14ac:dyDescent="0.3">
      <c r="A242" s="1835"/>
      <c r="B242" s="290" t="s">
        <v>142</v>
      </c>
      <c r="C242" s="1048"/>
      <c r="D242" s="805" t="s">
        <v>1127</v>
      </c>
      <c r="E242" s="1838"/>
      <c r="F242" s="307">
        <v>0.77166999999999997</v>
      </c>
      <c r="G242" s="319">
        <f>1.2*200/F242</f>
        <v>311.01377531846515</v>
      </c>
      <c r="H242" s="320">
        <v>0</v>
      </c>
      <c r="I242" s="321">
        <v>0</v>
      </c>
      <c r="J242" s="559"/>
      <c r="K242" s="313">
        <f>Tabel66892628[[#This Row],[Fix.ch. 2017]]+Tabel66892628[[#This Row],[Var. ch. 2017]]+Tabel66892628[[#This Row],[Oth. ch. DW 2017]]+Tabel66892628[[#This Row],[VAT DW 2017]]</f>
        <v>311.01377531846515</v>
      </c>
      <c r="L242" s="322">
        <f>1.15*200/F242</f>
        <v>298.05486801352907</v>
      </c>
      <c r="M242" s="559"/>
      <c r="N242" s="323">
        <v>0</v>
      </c>
      <c r="O242" s="559"/>
      <c r="P242" s="324">
        <v>0</v>
      </c>
      <c r="Q242" s="559"/>
      <c r="R242" s="317">
        <f>Tabel66892628[[#This Row],[VAT DW 2017]]+Tabel66892628[[#This Row],[VAT Sew. 2017]]+Tabel66892628[[#This Row],[VAT WW 2017]]+Tabel66892628[[#This Row],[VAT Other ch. 2017]]</f>
        <v>0</v>
      </c>
      <c r="S242" s="318">
        <f>Tabel66892628[[#This Row],[Total. ch. DW 2017]]+Tabel66892628[[#This Row],[Sew. 2017]]+Tabel66892628[[#This Row],[VAT Sew. 2017]]+Tabel66892628[[#This Row],[WW 2017]]+Tabel66892628[[#This Row],[VAT WW 2017]]+Tabel66892628[[#This Row],[Other ch. 2017]]+Tabel66892628[[#This Row],[VAT Other ch. 2017]]</f>
        <v>609.06864333199428</v>
      </c>
      <c r="T242" s="397"/>
      <c r="U242" s="1841"/>
      <c r="V242" s="1844"/>
      <c r="W242" s="1847"/>
      <c r="X242" s="577"/>
      <c r="Y242" s="1850"/>
      <c r="Z242" s="1853"/>
      <c r="AA242" s="577"/>
      <c r="AB242" s="1856"/>
      <c r="AC242" s="577"/>
      <c r="AD242" s="1859"/>
      <c r="AE242" s="577"/>
      <c r="AF242" s="1874"/>
      <c r="AG242" s="1877"/>
      <c r="AH242" s="397"/>
      <c r="AI242" s="398"/>
      <c r="AJ242" s="396" t="s">
        <v>429</v>
      </c>
      <c r="AK242" s="396" t="s">
        <v>429</v>
      </c>
      <c r="AL242" s="396"/>
      <c r="AM242" s="396" t="s">
        <v>429</v>
      </c>
      <c r="AN242" s="398"/>
      <c r="AO242" s="398"/>
      <c r="AP242" s="397"/>
    </row>
    <row r="243" spans="1:42" ht="19.5" thickBot="1" x14ac:dyDescent="0.35">
      <c r="A243" s="267" t="s">
        <v>43</v>
      </c>
      <c r="B243" s="294" t="s">
        <v>644</v>
      </c>
      <c r="C243" s="261" t="s">
        <v>429</v>
      </c>
      <c r="D243" s="808" t="s">
        <v>1129</v>
      </c>
      <c r="E243" s="301">
        <v>11500</v>
      </c>
      <c r="F243" s="306">
        <f>'exchange rates'!K56</f>
        <v>10.498559999999999</v>
      </c>
      <c r="G243" s="319">
        <v>0</v>
      </c>
      <c r="H243" s="320">
        <f>1099.22/F243</f>
        <v>104.70197817605462</v>
      </c>
      <c r="I243" s="321">
        <v>0</v>
      </c>
      <c r="J243" s="559"/>
      <c r="K243" s="313">
        <f>Tabel66892628[[#This Row],[Fix.ch. 2017]]+Tabel66892628[[#This Row],[Var. ch. 2017]]+Tabel66892628[[#This Row],[Oth. ch. DW 2017]]+Tabel66892628[[#This Row],[VAT DW 2017]]</f>
        <v>104.70197817605462</v>
      </c>
      <c r="L243" s="322">
        <f>860.9/F243</f>
        <v>82.00172214094124</v>
      </c>
      <c r="M243" s="559"/>
      <c r="N243" s="323">
        <v>0</v>
      </c>
      <c r="O243" s="559"/>
      <c r="P243" s="324">
        <v>0</v>
      </c>
      <c r="Q243" s="559"/>
      <c r="R243" s="317">
        <f>Tabel66892628[[#This Row],[VAT DW 2017]]+Tabel66892628[[#This Row],[VAT Sew. 2017]]+Tabel66892628[[#This Row],[VAT WW 2017]]+Tabel66892628[[#This Row],[VAT Other ch. 2017]]</f>
        <v>0</v>
      </c>
      <c r="S243" s="318">
        <f>Tabel66892628[[#This Row],[Total. ch. DW 2017]]+Tabel66892628[[#This Row],[Sew. 2017]]+Tabel66892628[[#This Row],[VAT Sew. 2017]]+Tabel66892628[[#This Row],[WW 2017]]+Tabel66892628[[#This Row],[VAT WW 2017]]+Tabel66892628[[#This Row],[Other ch. 2017]]+Tabel66892628[[#This Row],[VAT Other ch. 2017]]</f>
        <v>186.70370031699588</v>
      </c>
      <c r="T243" s="397"/>
      <c r="U243" s="340">
        <f>Tabel66892628[[#This Row],[Fix.ch. 2017]]</f>
        <v>0</v>
      </c>
      <c r="V243" s="341">
        <f>Tabel66892628[[#This Row],[Var. ch. 2017]]</f>
        <v>104.70197817605462</v>
      </c>
      <c r="W243" s="333">
        <f>Tabel66892628[[#This Row],[Oth. ch. DW 2017]]</f>
        <v>0</v>
      </c>
      <c r="X243" s="574"/>
      <c r="Y243" s="334">
        <f>Tabel66892628[[#This Row],[Total. ch. DW 2017]]</f>
        <v>104.70197817605462</v>
      </c>
      <c r="Z243" s="335">
        <f>Tabel66892628[[#This Row],[Sew. 2017]]</f>
        <v>82.00172214094124</v>
      </c>
      <c r="AA243" s="574"/>
      <c r="AB243" s="336">
        <f>Tabel66892628[[#This Row],[WW 2017]]</f>
        <v>0</v>
      </c>
      <c r="AC243" s="574"/>
      <c r="AD243" s="337">
        <f>Tabel66892628[[#This Row],[Other ch. 2017]]</f>
        <v>0</v>
      </c>
      <c r="AE243" s="574"/>
      <c r="AF243" s="338">
        <f>Tabel66892628[[#This Row],[Total VAT 2017]]</f>
        <v>0</v>
      </c>
      <c r="AG243" s="458">
        <f>SUM(Y243:AF243)</f>
        <v>186.70370031699588</v>
      </c>
      <c r="AH243" s="397"/>
      <c r="AI243" s="398"/>
      <c r="AJ243" s="398"/>
      <c r="AK243" s="398"/>
      <c r="AL243" s="396" t="s">
        <v>429</v>
      </c>
      <c r="AM243" s="396"/>
      <c r="AN243" s="396" t="s">
        <v>429</v>
      </c>
      <c r="AO243" s="398"/>
      <c r="AP243" s="397"/>
    </row>
    <row r="244" spans="1:42" ht="19.5" thickBot="1" x14ac:dyDescent="0.3">
      <c r="A244" s="267" t="s">
        <v>450</v>
      </c>
      <c r="B244" s="261" t="s">
        <v>177</v>
      </c>
      <c r="C244" s="261"/>
      <c r="D244" s="808" t="s">
        <v>1028</v>
      </c>
      <c r="E244" s="301">
        <v>40800</v>
      </c>
      <c r="F244" s="306">
        <v>0.97958999999999996</v>
      </c>
      <c r="G244" s="310">
        <f>142.4/F244</f>
        <v>145.36693922967774</v>
      </c>
      <c r="H244" s="311">
        <f>352/F244</f>
        <v>359.33400708459664</v>
      </c>
      <c r="I244" s="312">
        <f>36/F244</f>
        <v>36.750068906379198</v>
      </c>
      <c r="J244" s="558"/>
      <c r="K244" s="313">
        <f>Tabel66892628[[#This Row],[Fix.ch. 2017]]+Tabel66892628[[#This Row],[Var. ch. 2017]]+Tabel66892628[[#This Row],[Oth. ch. DW 2017]]+Tabel66892628[[#This Row],[VAT DW 2017]]</f>
        <v>541.45101522065352</v>
      </c>
      <c r="L244" s="314">
        <f>457.3/F244</f>
        <v>466.82795863575581</v>
      </c>
      <c r="M244" s="558"/>
      <c r="N244" s="315">
        <f>0</f>
        <v>0</v>
      </c>
      <c r="O244" s="558"/>
      <c r="P244" s="316">
        <v>0</v>
      </c>
      <c r="Q244" s="558"/>
      <c r="R244" s="317">
        <f>Tabel66892628[[#This Row],[VAT DW 2017]]+Tabel66892628[[#This Row],[VAT Sew. 2017]]+Tabel66892628[[#This Row],[VAT WW 2017]]+Tabel66892628[[#This Row],[VAT Other ch. 2017]]</f>
        <v>0</v>
      </c>
      <c r="S244" s="318">
        <f>Tabel66892628[[#This Row],[Total. ch. DW 2017]]+Tabel66892628[[#This Row],[Sew. 2017]]+Tabel66892628[[#This Row],[VAT Sew. 2017]]+Tabel66892628[[#This Row],[WW 2017]]+Tabel66892628[[#This Row],[VAT WW 2017]]+Tabel66892628[[#This Row],[Other ch. 2017]]+Tabel66892628[[#This Row],[VAT Other ch. 2017]]</f>
        <v>1008.2789738564093</v>
      </c>
      <c r="T244" s="397"/>
      <c r="U244" s="340">
        <f>Tabel66892628[[#This Row],[Fix.ch. 2017]]</f>
        <v>145.36693922967774</v>
      </c>
      <c r="V244" s="341">
        <v>359.33400708459664</v>
      </c>
      <c r="W244" s="342">
        <v>36.750068906379198</v>
      </c>
      <c r="X244" s="581"/>
      <c r="Y244" s="343">
        <v>541.45101522065352</v>
      </c>
      <c r="Z244" s="344">
        <v>466.82795863575581</v>
      </c>
      <c r="AA244" s="581"/>
      <c r="AB244" s="345">
        <v>0</v>
      </c>
      <c r="AC244" s="581"/>
      <c r="AD244" s="346">
        <v>0</v>
      </c>
      <c r="AE244" s="581"/>
      <c r="AF244" s="347">
        <v>0</v>
      </c>
      <c r="AG244" s="348">
        <v>1008.2789738564093</v>
      </c>
      <c r="AH244" s="397"/>
      <c r="AI244" s="398"/>
      <c r="AJ244" s="398"/>
      <c r="AK244" s="398"/>
      <c r="AL244" s="396" t="s">
        <v>429</v>
      </c>
      <c r="AM244" s="396" t="s">
        <v>429</v>
      </c>
      <c r="AN244" s="396" t="s">
        <v>429</v>
      </c>
      <c r="AO244" s="398" t="s">
        <v>452</v>
      </c>
      <c r="AP244" s="397"/>
    </row>
    <row r="245" spans="1:42" ht="18" customHeight="1" x14ac:dyDescent="0.25">
      <c r="A245" s="1878" t="s">
        <v>25</v>
      </c>
      <c r="B245" s="638" t="s">
        <v>143</v>
      </c>
      <c r="C245" s="693" t="s">
        <v>429</v>
      </c>
      <c r="D245" s="806" t="s">
        <v>1131</v>
      </c>
      <c r="E245" s="1934">
        <v>39400</v>
      </c>
      <c r="F245" s="617">
        <f>'exchange rates'!$O$57</f>
        <v>1066.97433</v>
      </c>
      <c r="G245" s="549">
        <v>0</v>
      </c>
      <c r="H245" s="550">
        <f>114420/F245</f>
        <v>107.2378189267215</v>
      </c>
      <c r="I245" s="551">
        <v>0</v>
      </c>
      <c r="J245" s="560">
        <v>0</v>
      </c>
      <c r="K245" s="566">
        <f>Tabel66892628[[#This Row],[Fix.ch. 2017]]+Tabel66892628[[#This Row],[Var. ch. 2017]]+Tabel66892628[[#This Row],[Oth. ch. DW 2017]]+Tabel66892628[[#This Row],[VAT DW 2017]]</f>
        <v>107.2378189267215</v>
      </c>
      <c r="L245" s="567">
        <v>0</v>
      </c>
      <c r="M245" s="560">
        <v>0</v>
      </c>
      <c r="N245" s="568">
        <v>0</v>
      </c>
      <c r="O245" s="560">
        <v>0</v>
      </c>
      <c r="P245" s="569">
        <v>0</v>
      </c>
      <c r="Q245" s="560">
        <v>0</v>
      </c>
      <c r="R245" s="570">
        <f>Tabel66892628[[#This Row],[VAT DW 2017]]+Tabel66892628[[#This Row],[VAT Sew. 2017]]+Tabel66892628[[#This Row],[VAT WW 2017]]+Tabel66892628[[#This Row],[VAT Other ch. 2017]]</f>
        <v>0</v>
      </c>
      <c r="S245" s="571">
        <f>Tabel66892628[[#This Row],[Total. ch. DW 2017]]+Tabel66892628[[#This Row],[Sew. 2017]]+Tabel66892628[[#This Row],[VAT Sew. 2017]]+Tabel66892628[[#This Row],[WW 2017]]+Tabel66892628[[#This Row],[VAT WW 2017]]+Tabel66892628[[#This Row],[Other ch. 2017]]+Tabel66892628[[#This Row],[VAT Other ch. 2017]]</f>
        <v>107.2378189267215</v>
      </c>
      <c r="T245" s="397"/>
      <c r="U245" s="1935">
        <f>MEDIAN(G245:G252)</f>
        <v>0</v>
      </c>
      <c r="V245" s="1936">
        <f>MEDIAN(H245:H252)</f>
        <v>127.39762914446123</v>
      </c>
      <c r="W245" s="1937">
        <f>MEDIAN(I245:I252)</f>
        <v>0</v>
      </c>
      <c r="X245" s="1771">
        <f>MEDIAN(J245:J252)</f>
        <v>0</v>
      </c>
      <c r="Y245" s="1939">
        <f>SUM(U245:X252)</f>
        <v>127.39762914446123</v>
      </c>
      <c r="Z245" s="1950">
        <f t="shared" ref="Z245:AF245" si="29">MEDIAN(L245:L252)</f>
        <v>0</v>
      </c>
      <c r="AA245" s="1771">
        <f t="shared" si="29"/>
        <v>0</v>
      </c>
      <c r="AB245" s="1946">
        <f t="shared" si="29"/>
        <v>0</v>
      </c>
      <c r="AC245" s="1771">
        <f t="shared" si="29"/>
        <v>0</v>
      </c>
      <c r="AD245" s="1947">
        <f t="shared" si="29"/>
        <v>0</v>
      </c>
      <c r="AE245" s="1771">
        <f t="shared" si="29"/>
        <v>0</v>
      </c>
      <c r="AF245" s="1944">
        <f t="shared" si="29"/>
        <v>0</v>
      </c>
      <c r="AG245" s="1945">
        <f>Y245+Z245+AA245+AB245+AC245+AD245+AE245</f>
        <v>127.39762914446123</v>
      </c>
      <c r="AH245" s="397"/>
      <c r="AI245" s="398"/>
      <c r="AJ245" s="398"/>
      <c r="AK245" s="398"/>
      <c r="AL245" s="591" t="s">
        <v>429</v>
      </c>
      <c r="AM245" s="398"/>
      <c r="AN245" s="398"/>
      <c r="AO245" s="398"/>
      <c r="AP245" s="397"/>
    </row>
    <row r="246" spans="1:42" ht="15.75" x14ac:dyDescent="0.25">
      <c r="A246" s="1757"/>
      <c r="B246" s="639" t="s">
        <v>144</v>
      </c>
      <c r="C246" s="639"/>
      <c r="D246" s="724" t="s">
        <v>1131</v>
      </c>
      <c r="E246" s="1760"/>
      <c r="F246" s="617">
        <f>'exchange rates'!$O$57</f>
        <v>1066.97433</v>
      </c>
      <c r="G246" s="549">
        <v>0</v>
      </c>
      <c r="H246" s="550">
        <f>154060/F246</f>
        <v>144.38960307508054</v>
      </c>
      <c r="I246" s="551">
        <v>0</v>
      </c>
      <c r="J246" s="560">
        <v>0</v>
      </c>
      <c r="K246" s="566">
        <f>Tabel66892628[[#This Row],[Fix.ch. 2017]]+Tabel66892628[[#This Row],[Var. ch. 2017]]+Tabel66892628[[#This Row],[Oth. ch. DW 2017]]+Tabel66892628[[#This Row],[VAT DW 2017]]</f>
        <v>144.38960307508054</v>
      </c>
      <c r="L246" s="567">
        <v>0</v>
      </c>
      <c r="M246" s="560">
        <v>0</v>
      </c>
      <c r="N246" s="568">
        <v>0</v>
      </c>
      <c r="O246" s="560">
        <v>0</v>
      </c>
      <c r="P246" s="569">
        <v>0</v>
      </c>
      <c r="Q246" s="560">
        <v>0</v>
      </c>
      <c r="R246" s="570">
        <f>Tabel66892628[[#This Row],[VAT DW 2017]]+Tabel66892628[[#This Row],[VAT Sew. 2017]]+Tabel66892628[[#This Row],[VAT WW 2017]]+Tabel66892628[[#This Row],[VAT Other ch. 2017]]</f>
        <v>0</v>
      </c>
      <c r="S246" s="571">
        <f>Tabel66892628[[#This Row],[Total. ch. DW 2017]]+Tabel66892628[[#This Row],[Sew. 2017]]+Tabel66892628[[#This Row],[VAT Sew. 2017]]+Tabel66892628[[#This Row],[WW 2017]]+Tabel66892628[[#This Row],[VAT WW 2017]]+Tabel66892628[[#This Row],[Other ch. 2017]]+Tabel66892628[[#This Row],[VAT Other ch. 2017]]</f>
        <v>144.38960307508054</v>
      </c>
      <c r="T246" s="397"/>
      <c r="U246" s="1763"/>
      <c r="V246" s="1766"/>
      <c r="W246" s="1769"/>
      <c r="X246" s="1772"/>
      <c r="Y246" s="1775"/>
      <c r="Z246" s="1778"/>
      <c r="AA246" s="1772"/>
      <c r="AB246" s="1781"/>
      <c r="AC246" s="1772"/>
      <c r="AD246" s="1785"/>
      <c r="AE246" s="1772"/>
      <c r="AF246" s="1788"/>
      <c r="AG246" s="1791"/>
      <c r="AH246" s="397"/>
      <c r="AI246" s="398"/>
      <c r="AJ246" s="398"/>
      <c r="AK246" s="398"/>
      <c r="AL246" s="591" t="s">
        <v>429</v>
      </c>
      <c r="AM246" s="398"/>
      <c r="AN246" s="398"/>
      <c r="AO246" s="398"/>
      <c r="AP246" s="397"/>
    </row>
    <row r="247" spans="1:42" ht="15.75" x14ac:dyDescent="0.25">
      <c r="A247" s="1757"/>
      <c r="B247" s="639" t="s">
        <v>145</v>
      </c>
      <c r="C247" s="639"/>
      <c r="D247" s="724" t="s">
        <v>1131</v>
      </c>
      <c r="E247" s="1760"/>
      <c r="F247" s="617">
        <f>'exchange rates'!$O$57</f>
        <v>1066.97433</v>
      </c>
      <c r="G247" s="549">
        <v>0</v>
      </c>
      <c r="H247" s="550">
        <f>137860/F247</f>
        <v>129.20648240900042</v>
      </c>
      <c r="I247" s="551">
        <v>0</v>
      </c>
      <c r="J247" s="560">
        <v>0</v>
      </c>
      <c r="K247" s="566">
        <f>Tabel66892628[[#This Row],[Fix.ch. 2017]]+Tabel66892628[[#This Row],[Var. ch. 2017]]+Tabel66892628[[#This Row],[Oth. ch. DW 2017]]+Tabel66892628[[#This Row],[VAT DW 2017]]</f>
        <v>129.20648240900042</v>
      </c>
      <c r="L247" s="567">
        <v>0</v>
      </c>
      <c r="M247" s="560">
        <v>0</v>
      </c>
      <c r="N247" s="568">
        <v>0</v>
      </c>
      <c r="O247" s="560">
        <v>0</v>
      </c>
      <c r="P247" s="569">
        <v>0</v>
      </c>
      <c r="Q247" s="560">
        <v>0</v>
      </c>
      <c r="R247" s="570">
        <f>Tabel66892628[[#This Row],[VAT DW 2017]]+Tabel66892628[[#This Row],[VAT Sew. 2017]]+Tabel66892628[[#This Row],[VAT WW 2017]]+Tabel66892628[[#This Row],[VAT Other ch. 2017]]</f>
        <v>0</v>
      </c>
      <c r="S247" s="571">
        <f>Tabel66892628[[#This Row],[Total. ch. DW 2017]]+Tabel66892628[[#This Row],[Sew. 2017]]+Tabel66892628[[#This Row],[VAT Sew. 2017]]+Tabel66892628[[#This Row],[WW 2017]]+Tabel66892628[[#This Row],[VAT WW 2017]]+Tabel66892628[[#This Row],[Other ch. 2017]]+Tabel66892628[[#This Row],[VAT Other ch. 2017]]</f>
        <v>129.20648240900042</v>
      </c>
      <c r="T247" s="397"/>
      <c r="U247" s="1763"/>
      <c r="V247" s="1766"/>
      <c r="W247" s="1769"/>
      <c r="X247" s="1772"/>
      <c r="Y247" s="1775"/>
      <c r="Z247" s="1778"/>
      <c r="AA247" s="1772"/>
      <c r="AB247" s="1781"/>
      <c r="AC247" s="1772"/>
      <c r="AD247" s="1785"/>
      <c r="AE247" s="1772"/>
      <c r="AF247" s="1788"/>
      <c r="AG247" s="1791"/>
      <c r="AH247" s="397"/>
      <c r="AI247" s="398"/>
      <c r="AJ247" s="398"/>
      <c r="AK247" s="398"/>
      <c r="AL247" s="591" t="s">
        <v>429</v>
      </c>
      <c r="AM247" s="398"/>
      <c r="AN247" s="398"/>
      <c r="AO247" s="398"/>
      <c r="AP247" s="397"/>
    </row>
    <row r="248" spans="1:42" ht="15.75" x14ac:dyDescent="0.25">
      <c r="A248" s="1757"/>
      <c r="B248" s="639" t="s">
        <v>146</v>
      </c>
      <c r="C248" s="639"/>
      <c r="D248" s="724" t="s">
        <v>1131</v>
      </c>
      <c r="E248" s="1760"/>
      <c r="F248" s="617">
        <f>'exchange rates'!$O$57</f>
        <v>1066.97433</v>
      </c>
      <c r="G248" s="549">
        <v>0</v>
      </c>
      <c r="H248" s="550">
        <f>134300/F248</f>
        <v>125.86994478114576</v>
      </c>
      <c r="I248" s="551">
        <v>0</v>
      </c>
      <c r="J248" s="560">
        <v>0</v>
      </c>
      <c r="K248" s="566">
        <f>Tabel66892628[[#This Row],[Fix.ch. 2017]]+Tabel66892628[[#This Row],[Var. ch. 2017]]+Tabel66892628[[#This Row],[Oth. ch. DW 2017]]+Tabel66892628[[#This Row],[VAT DW 2017]]</f>
        <v>125.86994478114576</v>
      </c>
      <c r="L248" s="567">
        <v>0</v>
      </c>
      <c r="M248" s="560">
        <v>0</v>
      </c>
      <c r="N248" s="568">
        <v>0</v>
      </c>
      <c r="O248" s="560">
        <v>0</v>
      </c>
      <c r="P248" s="569">
        <v>0</v>
      </c>
      <c r="Q248" s="560">
        <v>0</v>
      </c>
      <c r="R248" s="570">
        <f>Tabel66892628[[#This Row],[VAT DW 2017]]+Tabel66892628[[#This Row],[VAT Sew. 2017]]+Tabel66892628[[#This Row],[VAT WW 2017]]+Tabel66892628[[#This Row],[VAT Other ch. 2017]]</f>
        <v>0</v>
      </c>
      <c r="S248" s="571">
        <f>Tabel66892628[[#This Row],[Total. ch. DW 2017]]+Tabel66892628[[#This Row],[Sew. 2017]]+Tabel66892628[[#This Row],[VAT Sew. 2017]]+Tabel66892628[[#This Row],[WW 2017]]+Tabel66892628[[#This Row],[VAT WW 2017]]+Tabel66892628[[#This Row],[Other ch. 2017]]+Tabel66892628[[#This Row],[VAT Other ch. 2017]]</f>
        <v>125.86994478114576</v>
      </c>
      <c r="T248" s="397"/>
      <c r="U248" s="1763"/>
      <c r="V248" s="1766"/>
      <c r="W248" s="1769"/>
      <c r="X248" s="1772"/>
      <c r="Y248" s="1775"/>
      <c r="Z248" s="1778"/>
      <c r="AA248" s="1772"/>
      <c r="AB248" s="1781"/>
      <c r="AC248" s="1772"/>
      <c r="AD248" s="1785"/>
      <c r="AE248" s="1772"/>
      <c r="AF248" s="1788"/>
      <c r="AG248" s="1791"/>
      <c r="AH248" s="397"/>
      <c r="AI248" s="398"/>
      <c r="AJ248" s="398"/>
      <c r="AK248" s="398"/>
      <c r="AL248" s="591" t="s">
        <v>429</v>
      </c>
      <c r="AM248" s="398"/>
      <c r="AN248" s="398"/>
      <c r="AO248" s="398"/>
      <c r="AP248" s="397"/>
    </row>
    <row r="249" spans="1:42" ht="15.75" x14ac:dyDescent="0.25">
      <c r="A249" s="1757"/>
      <c r="B249" s="639" t="s">
        <v>147</v>
      </c>
      <c r="C249" s="639"/>
      <c r="D249" s="724" t="s">
        <v>1131</v>
      </c>
      <c r="E249" s="1760"/>
      <c r="F249" s="617">
        <f>'exchange rates'!$O$57</f>
        <v>1066.97433</v>
      </c>
      <c r="G249" s="549">
        <v>0</v>
      </c>
      <c r="H249" s="550">
        <f>124480/F249</f>
        <v>116.66634941442312</v>
      </c>
      <c r="I249" s="551">
        <v>0</v>
      </c>
      <c r="J249" s="560">
        <v>0</v>
      </c>
      <c r="K249" s="566">
        <f>Tabel66892628[[#This Row],[Fix.ch. 2017]]+Tabel66892628[[#This Row],[Var. ch. 2017]]+Tabel66892628[[#This Row],[Oth. ch. DW 2017]]+Tabel66892628[[#This Row],[VAT DW 2017]]</f>
        <v>116.66634941442312</v>
      </c>
      <c r="L249" s="567">
        <v>0</v>
      </c>
      <c r="M249" s="560">
        <v>0</v>
      </c>
      <c r="N249" s="568">
        <v>0</v>
      </c>
      <c r="O249" s="560">
        <v>0</v>
      </c>
      <c r="P249" s="569">
        <v>0</v>
      </c>
      <c r="Q249" s="560">
        <v>0</v>
      </c>
      <c r="R249" s="570">
        <f>Tabel66892628[[#This Row],[VAT DW 2017]]+Tabel66892628[[#This Row],[VAT Sew. 2017]]+Tabel66892628[[#This Row],[VAT WW 2017]]+Tabel66892628[[#This Row],[VAT Other ch. 2017]]</f>
        <v>0</v>
      </c>
      <c r="S249" s="571">
        <f>Tabel66892628[[#This Row],[Total. ch. DW 2017]]+Tabel66892628[[#This Row],[Sew. 2017]]+Tabel66892628[[#This Row],[VAT Sew. 2017]]+Tabel66892628[[#This Row],[WW 2017]]+Tabel66892628[[#This Row],[VAT WW 2017]]+Tabel66892628[[#This Row],[Other ch. 2017]]+Tabel66892628[[#This Row],[VAT Other ch. 2017]]</f>
        <v>116.66634941442312</v>
      </c>
      <c r="T249" s="397"/>
      <c r="U249" s="1763"/>
      <c r="V249" s="1766"/>
      <c r="W249" s="1769"/>
      <c r="X249" s="1772"/>
      <c r="Y249" s="1775"/>
      <c r="Z249" s="1778"/>
      <c r="AA249" s="1772"/>
      <c r="AB249" s="1781"/>
      <c r="AC249" s="1772"/>
      <c r="AD249" s="1785"/>
      <c r="AE249" s="1772"/>
      <c r="AF249" s="1788"/>
      <c r="AG249" s="1791"/>
      <c r="AH249" s="397"/>
      <c r="AI249" s="398"/>
      <c r="AJ249" s="398"/>
      <c r="AK249" s="398"/>
      <c r="AL249" s="591" t="s">
        <v>429</v>
      </c>
      <c r="AM249" s="398"/>
      <c r="AN249" s="398"/>
      <c r="AO249" s="398"/>
      <c r="AP249" s="397"/>
    </row>
    <row r="250" spans="1:42" ht="15.75" x14ac:dyDescent="0.25">
      <c r="A250" s="1757"/>
      <c r="B250" s="639" t="s">
        <v>148</v>
      </c>
      <c r="C250" s="639"/>
      <c r="D250" s="724" t="s">
        <v>1131</v>
      </c>
      <c r="E250" s="1760"/>
      <c r="F250" s="617">
        <f>'exchange rates'!$O$57</f>
        <v>1066.97433</v>
      </c>
      <c r="G250" s="549">
        <v>0</v>
      </c>
      <c r="H250" s="550">
        <f>105980/F250</f>
        <v>99.327600505627913</v>
      </c>
      <c r="I250" s="551">
        <v>0</v>
      </c>
      <c r="J250" s="560">
        <v>0</v>
      </c>
      <c r="K250" s="566">
        <f>Tabel66892628[[#This Row],[Fix.ch. 2017]]+Tabel66892628[[#This Row],[Var. ch. 2017]]+Tabel66892628[[#This Row],[Oth. ch. DW 2017]]+Tabel66892628[[#This Row],[VAT DW 2017]]</f>
        <v>99.327600505627913</v>
      </c>
      <c r="L250" s="567">
        <v>0</v>
      </c>
      <c r="M250" s="560">
        <v>0</v>
      </c>
      <c r="N250" s="568">
        <v>0</v>
      </c>
      <c r="O250" s="560">
        <v>0</v>
      </c>
      <c r="P250" s="569">
        <v>0</v>
      </c>
      <c r="Q250" s="560">
        <v>0</v>
      </c>
      <c r="R250" s="570">
        <f>Tabel66892628[[#This Row],[VAT DW 2017]]+Tabel66892628[[#This Row],[VAT Sew. 2017]]+Tabel66892628[[#This Row],[VAT WW 2017]]+Tabel66892628[[#This Row],[VAT Other ch. 2017]]</f>
        <v>0</v>
      </c>
      <c r="S250" s="571">
        <f>Tabel66892628[[#This Row],[Total. ch. DW 2017]]+Tabel66892628[[#This Row],[Sew. 2017]]+Tabel66892628[[#This Row],[VAT Sew. 2017]]+Tabel66892628[[#This Row],[WW 2017]]+Tabel66892628[[#This Row],[VAT WW 2017]]+Tabel66892628[[#This Row],[Other ch. 2017]]+Tabel66892628[[#This Row],[VAT Other ch. 2017]]</f>
        <v>99.327600505627913</v>
      </c>
      <c r="T250" s="397"/>
      <c r="U250" s="1763"/>
      <c r="V250" s="1766"/>
      <c r="W250" s="1769"/>
      <c r="X250" s="1772"/>
      <c r="Y250" s="1775"/>
      <c r="Z250" s="1778"/>
      <c r="AA250" s="1772"/>
      <c r="AB250" s="1781"/>
      <c r="AC250" s="1772"/>
      <c r="AD250" s="1785"/>
      <c r="AE250" s="1772"/>
      <c r="AF250" s="1788"/>
      <c r="AG250" s="1791"/>
      <c r="AH250" s="397"/>
      <c r="AI250" s="398"/>
      <c r="AJ250" s="398"/>
      <c r="AK250" s="398"/>
      <c r="AL250" s="591" t="s">
        <v>429</v>
      </c>
      <c r="AM250" s="398"/>
      <c r="AN250" s="398"/>
      <c r="AO250" s="398"/>
      <c r="AP250" s="397"/>
    </row>
    <row r="251" spans="1:42" ht="15.75" x14ac:dyDescent="0.25">
      <c r="A251" s="1757"/>
      <c r="B251" s="639" t="s">
        <v>149</v>
      </c>
      <c r="C251" s="639"/>
      <c r="D251" s="724" t="s">
        <v>1131</v>
      </c>
      <c r="E251" s="1760"/>
      <c r="F251" s="617">
        <f>'exchange rates'!$O$57</f>
        <v>1066.97433</v>
      </c>
      <c r="G251" s="549">
        <v>0</v>
      </c>
      <c r="H251" s="550">
        <f>173080/F251</f>
        <v>162.2157114126635</v>
      </c>
      <c r="I251" s="551">
        <v>0</v>
      </c>
      <c r="J251" s="560">
        <v>0</v>
      </c>
      <c r="K251" s="566">
        <f>Tabel66892628[[#This Row],[Fix.ch. 2017]]+Tabel66892628[[#This Row],[Var. ch. 2017]]+Tabel66892628[[#This Row],[Oth. ch. DW 2017]]+Tabel66892628[[#This Row],[VAT DW 2017]]</f>
        <v>162.2157114126635</v>
      </c>
      <c r="L251" s="567">
        <v>0</v>
      </c>
      <c r="M251" s="560">
        <v>0</v>
      </c>
      <c r="N251" s="568">
        <v>0</v>
      </c>
      <c r="O251" s="560">
        <v>0</v>
      </c>
      <c r="P251" s="569">
        <v>0</v>
      </c>
      <c r="Q251" s="560">
        <v>0</v>
      </c>
      <c r="R251" s="570">
        <f>Tabel66892628[[#This Row],[VAT DW 2017]]+Tabel66892628[[#This Row],[VAT Sew. 2017]]+Tabel66892628[[#This Row],[VAT WW 2017]]+Tabel66892628[[#This Row],[VAT Other ch. 2017]]</f>
        <v>0</v>
      </c>
      <c r="S251" s="571">
        <f>Tabel66892628[[#This Row],[Total. ch. DW 2017]]+Tabel66892628[[#This Row],[Sew. 2017]]+Tabel66892628[[#This Row],[VAT Sew. 2017]]+Tabel66892628[[#This Row],[WW 2017]]+Tabel66892628[[#This Row],[VAT WW 2017]]+Tabel66892628[[#This Row],[Other ch. 2017]]+Tabel66892628[[#This Row],[VAT Other ch. 2017]]</f>
        <v>162.2157114126635</v>
      </c>
      <c r="T251" s="397"/>
      <c r="U251" s="1763"/>
      <c r="V251" s="1766"/>
      <c r="W251" s="1769"/>
      <c r="X251" s="1772"/>
      <c r="Y251" s="1775"/>
      <c r="Z251" s="1778"/>
      <c r="AA251" s="1772"/>
      <c r="AB251" s="1781"/>
      <c r="AC251" s="1772"/>
      <c r="AD251" s="1785"/>
      <c r="AE251" s="1772"/>
      <c r="AF251" s="1788"/>
      <c r="AG251" s="1791"/>
      <c r="AH251" s="397"/>
      <c r="AI251" s="398"/>
      <c r="AJ251" s="398"/>
      <c r="AK251" s="398"/>
      <c r="AL251" s="591" t="s">
        <v>429</v>
      </c>
      <c r="AM251" s="398"/>
      <c r="AN251" s="398"/>
      <c r="AO251" s="398"/>
      <c r="AP251" s="397"/>
    </row>
    <row r="252" spans="1:42" ht="16.5" thickBot="1" x14ac:dyDescent="0.3">
      <c r="A252" s="1758"/>
      <c r="B252" s="640" t="s">
        <v>150</v>
      </c>
      <c r="C252" s="652"/>
      <c r="D252" s="807" t="s">
        <v>1131</v>
      </c>
      <c r="E252" s="1799"/>
      <c r="F252" s="617">
        <f>'exchange rates'!$O$57</f>
        <v>1066.97433</v>
      </c>
      <c r="G252" s="549">
        <v>0</v>
      </c>
      <c r="H252" s="550">
        <f>137560/F252</f>
        <v>128.92531350777671</v>
      </c>
      <c r="I252" s="551">
        <v>0</v>
      </c>
      <c r="J252" s="560">
        <v>0</v>
      </c>
      <c r="K252" s="566">
        <f>Tabel66892628[[#This Row],[Fix.ch. 2017]]+Tabel66892628[[#This Row],[Var. ch. 2017]]+Tabel66892628[[#This Row],[Oth. ch. DW 2017]]+Tabel66892628[[#This Row],[VAT DW 2017]]</f>
        <v>128.92531350777671</v>
      </c>
      <c r="L252" s="567">
        <v>0</v>
      </c>
      <c r="M252" s="560">
        <v>0</v>
      </c>
      <c r="N252" s="568">
        <v>0</v>
      </c>
      <c r="O252" s="560">
        <v>0</v>
      </c>
      <c r="P252" s="569">
        <v>0</v>
      </c>
      <c r="Q252" s="560">
        <v>0</v>
      </c>
      <c r="R252" s="570">
        <f>Tabel66892628[[#This Row],[VAT DW 2017]]+Tabel66892628[[#This Row],[VAT Sew. 2017]]+Tabel66892628[[#This Row],[VAT WW 2017]]+Tabel66892628[[#This Row],[VAT Other ch. 2017]]</f>
        <v>0</v>
      </c>
      <c r="S252" s="571">
        <f>Tabel66892628[[#This Row],[Total. ch. DW 2017]]+Tabel66892628[[#This Row],[Sew. 2017]]+Tabel66892628[[#This Row],[VAT Sew. 2017]]+Tabel66892628[[#This Row],[WW 2017]]+Tabel66892628[[#This Row],[VAT WW 2017]]+Tabel66892628[[#This Row],[Other ch. 2017]]+Tabel66892628[[#This Row],[VAT Other ch. 2017]]</f>
        <v>128.92531350777671</v>
      </c>
      <c r="T252" s="397"/>
      <c r="U252" s="1801"/>
      <c r="V252" s="1803"/>
      <c r="W252" s="1805"/>
      <c r="X252" s="1773"/>
      <c r="Y252" s="1807"/>
      <c r="Z252" s="1809"/>
      <c r="AA252" s="1773"/>
      <c r="AB252" s="1782"/>
      <c r="AC252" s="1773"/>
      <c r="AD252" s="1786"/>
      <c r="AE252" s="1773"/>
      <c r="AF252" s="1789"/>
      <c r="AG252" s="1792"/>
      <c r="AH252" s="397"/>
      <c r="AI252" s="398"/>
      <c r="AJ252" s="398"/>
      <c r="AK252" s="398"/>
      <c r="AL252" s="591" t="s">
        <v>429</v>
      </c>
      <c r="AM252" s="398"/>
      <c r="AN252" s="398"/>
      <c r="AO252" s="398"/>
      <c r="AP252" s="397"/>
    </row>
    <row r="253" spans="1:42" ht="18" customHeight="1" x14ac:dyDescent="0.25">
      <c r="A253" s="1878" t="s">
        <v>26</v>
      </c>
      <c r="B253" s="638" t="s">
        <v>151</v>
      </c>
      <c r="C253" s="693"/>
      <c r="D253" s="806" t="s">
        <v>1133</v>
      </c>
      <c r="E253" s="1934">
        <v>38200</v>
      </c>
      <c r="F253" s="617">
        <f>'exchange rates'!$O$58</f>
        <v>0.83301000000000003</v>
      </c>
      <c r="G253" s="549">
        <v>0</v>
      </c>
      <c r="H253" s="550">
        <f>353.56/F253</f>
        <v>424.43668143239574</v>
      </c>
      <c r="I253" s="551">
        <v>0</v>
      </c>
      <c r="J253" s="560">
        <f>35.36/F253</f>
        <v>42.44847000636247</v>
      </c>
      <c r="K253" s="566">
        <f>Tabel66892628[[#This Row],[Fix.ch. 2017]]+Tabel66892628[[#This Row],[Var. ch. 2017]]+Tabel66892628[[#This Row],[Oth. ch. DW 2017]]+Tabel66892628[[#This Row],[VAT DW 2017]]</f>
        <v>466.88515143875821</v>
      </c>
      <c r="L253" s="567">
        <f>34.86/F253</f>
        <v>41.848237116001009</v>
      </c>
      <c r="M253" s="560">
        <f>3.49/F253</f>
        <v>4.1896255747229922</v>
      </c>
      <c r="N253" s="568">
        <f>169.02/F253</f>
        <v>202.90272625778803</v>
      </c>
      <c r="O253" s="560">
        <f>16.9/F253</f>
        <v>20.287871694217355</v>
      </c>
      <c r="P253" s="569">
        <v>0</v>
      </c>
      <c r="Q253" s="560">
        <v>0</v>
      </c>
      <c r="R253" s="570">
        <f>Tabel66892628[[#This Row],[VAT DW 2017]]+Tabel66892628[[#This Row],[VAT Sew. 2017]]+Tabel66892628[[#This Row],[VAT WW 2017]]+Tabel66892628[[#This Row],[VAT Other ch. 2017]]</f>
        <v>66.925967275302824</v>
      </c>
      <c r="S253" s="571">
        <f>Tabel66892628[[#This Row],[Total. ch. DW 2017]]+Tabel66892628[[#This Row],[Sew. 2017]]+Tabel66892628[[#This Row],[VAT Sew. 2017]]+Tabel66892628[[#This Row],[WW 2017]]+Tabel66892628[[#This Row],[VAT WW 2017]]+Tabel66892628[[#This Row],[Other ch. 2017]]+Tabel66892628[[#This Row],[VAT Other ch. 2017]]</f>
        <v>736.11361208148753</v>
      </c>
      <c r="T253" s="397"/>
      <c r="U253" s="1935">
        <f>MEDIAN(G253:G257)</f>
        <v>0</v>
      </c>
      <c r="V253" s="1936">
        <f>MEDIAN(H253:H257)</f>
        <v>199.20529165316142</v>
      </c>
      <c r="W253" s="1937">
        <f>MEDIAN(I253:I257)</f>
        <v>0</v>
      </c>
      <c r="X253" s="1771">
        <f>MEDIAN(J253:J257)</f>
        <v>19.91572730219325</v>
      </c>
      <c r="Y253" s="1939">
        <f>SUM(U253:X257)</f>
        <v>219.12101895535469</v>
      </c>
      <c r="Z253" s="1950">
        <f t="shared" ref="Z253:AF253" si="30">MEDIAN(L253:L257)</f>
        <v>41.848237116001009</v>
      </c>
      <c r="AA253" s="1771">
        <f t="shared" si="30"/>
        <v>4.1896255747229922</v>
      </c>
      <c r="AB253" s="1946">
        <f t="shared" si="30"/>
        <v>176.32441387258254</v>
      </c>
      <c r="AC253" s="1771">
        <f t="shared" si="30"/>
        <v>17.6348423188197</v>
      </c>
      <c r="AD253" s="1947">
        <f t="shared" si="30"/>
        <v>0</v>
      </c>
      <c r="AE253" s="1771">
        <f t="shared" si="30"/>
        <v>0</v>
      </c>
      <c r="AF253" s="1944">
        <f t="shared" si="30"/>
        <v>45.161522670796273</v>
      </c>
      <c r="AG253" s="1945">
        <f>Y253+Z253+AA253+AB253+AC253+AD253+AE253</f>
        <v>459.1181378374809</v>
      </c>
      <c r="AH253" s="397"/>
      <c r="AI253" s="398"/>
      <c r="AJ253" s="398"/>
      <c r="AK253" s="398"/>
      <c r="AL253" s="591" t="s">
        <v>429</v>
      </c>
      <c r="AM253" s="591" t="s">
        <v>429</v>
      </c>
      <c r="AN253" s="398"/>
      <c r="AO253" s="398"/>
      <c r="AP253" s="430" t="s">
        <v>937</v>
      </c>
    </row>
    <row r="254" spans="1:42" ht="15.75" x14ac:dyDescent="0.25">
      <c r="A254" s="1757"/>
      <c r="B254" s="639" t="s">
        <v>152</v>
      </c>
      <c r="C254" s="639"/>
      <c r="D254" s="724" t="s">
        <v>1133</v>
      </c>
      <c r="E254" s="1760"/>
      <c r="F254" s="617">
        <f>'exchange rates'!$O$58</f>
        <v>0.83301000000000003</v>
      </c>
      <c r="G254" s="549">
        <v>0</v>
      </c>
      <c r="H254" s="550">
        <f>153.64/F254</f>
        <v>184.43956255026947</v>
      </c>
      <c r="I254" s="551">
        <v>0</v>
      </c>
      <c r="J254" s="560">
        <f>15.36/F254</f>
        <v>18.439154391904058</v>
      </c>
      <c r="K254" s="566">
        <f>Tabel66892628[[#This Row],[Fix.ch. 2017]]+Tabel66892628[[#This Row],[Var. ch. 2017]]+Tabel66892628[[#This Row],[Oth. ch. DW 2017]]+Tabel66892628[[#This Row],[VAT DW 2017]]</f>
        <v>202.87871694217353</v>
      </c>
      <c r="L254" s="567">
        <v>0</v>
      </c>
      <c r="M254" s="560">
        <v>0</v>
      </c>
      <c r="N254" s="568">
        <f>146.88/F254</f>
        <v>176.32441387258254</v>
      </c>
      <c r="O254" s="560">
        <f>14.69/F254</f>
        <v>17.6348423188197</v>
      </c>
      <c r="P254" s="569">
        <v>0</v>
      </c>
      <c r="Q254" s="560">
        <v>0</v>
      </c>
      <c r="R254" s="570">
        <f>Tabel66892628[[#This Row],[VAT DW 2017]]+Tabel66892628[[#This Row],[VAT Sew. 2017]]+Tabel66892628[[#This Row],[VAT WW 2017]]+Tabel66892628[[#This Row],[VAT Other ch. 2017]]</f>
        <v>36.073996710723762</v>
      </c>
      <c r="S254" s="571">
        <f>Tabel66892628[[#This Row],[Total. ch. DW 2017]]+Tabel66892628[[#This Row],[Sew. 2017]]+Tabel66892628[[#This Row],[VAT Sew. 2017]]+Tabel66892628[[#This Row],[WW 2017]]+Tabel66892628[[#This Row],[VAT WW 2017]]+Tabel66892628[[#This Row],[Other ch. 2017]]+Tabel66892628[[#This Row],[VAT Other ch. 2017]]</f>
        <v>396.83797313357576</v>
      </c>
      <c r="T254" s="397"/>
      <c r="U254" s="1763"/>
      <c r="V254" s="1766"/>
      <c r="W254" s="1769"/>
      <c r="X254" s="1772"/>
      <c r="Y254" s="1775"/>
      <c r="Z254" s="1778"/>
      <c r="AA254" s="1772"/>
      <c r="AB254" s="1781"/>
      <c r="AC254" s="1772"/>
      <c r="AD254" s="1785"/>
      <c r="AE254" s="1772"/>
      <c r="AF254" s="1788"/>
      <c r="AG254" s="1791"/>
      <c r="AH254" s="397"/>
      <c r="AI254" s="398"/>
      <c r="AJ254" s="398"/>
      <c r="AK254" s="398"/>
      <c r="AL254" s="591" t="s">
        <v>429</v>
      </c>
      <c r="AM254" s="591" t="s">
        <v>429</v>
      </c>
      <c r="AN254" s="591" t="s">
        <v>429</v>
      </c>
      <c r="AO254" s="398"/>
      <c r="AP254" s="430" t="s">
        <v>937</v>
      </c>
    </row>
    <row r="255" spans="1:42" ht="15.75" x14ac:dyDescent="0.25">
      <c r="A255" s="1757"/>
      <c r="B255" s="639" t="s">
        <v>153</v>
      </c>
      <c r="C255" s="639" t="s">
        <v>429</v>
      </c>
      <c r="D255" s="724" t="s">
        <v>1133</v>
      </c>
      <c r="E255" s="1760"/>
      <c r="F255" s="617">
        <f>'exchange rates'!$O$58</f>
        <v>0.83301000000000003</v>
      </c>
      <c r="G255" s="549">
        <v>0</v>
      </c>
      <c r="H255" s="550">
        <f>165.94/F255</f>
        <v>199.20529165316142</v>
      </c>
      <c r="I255" s="551">
        <v>0</v>
      </c>
      <c r="J255" s="560">
        <f>16.59/F255</f>
        <v>19.91572730219325</v>
      </c>
      <c r="K255" s="566">
        <f>Tabel66892628[[#This Row],[Fix.ch. 2017]]+Tabel66892628[[#This Row],[Var. ch. 2017]]+Tabel66892628[[#This Row],[Oth. ch. DW 2017]]+Tabel66892628[[#This Row],[VAT DW 2017]]</f>
        <v>219.12101895535469</v>
      </c>
      <c r="L255" s="567">
        <f>28.84/F255</f>
        <v>34.621433116049026</v>
      </c>
      <c r="M255" s="560">
        <f>2.88/F255</f>
        <v>3.4573414484820106</v>
      </c>
      <c r="N255" s="568">
        <f>83.32/F255</f>
        <v>100.02280884983372</v>
      </c>
      <c r="O255" s="560">
        <f>8.33/F255</f>
        <v>9.999879953421928</v>
      </c>
      <c r="P255" s="569">
        <v>0</v>
      </c>
      <c r="Q255" s="560">
        <v>0</v>
      </c>
      <c r="R255" s="570">
        <f>Tabel66892628[[#This Row],[VAT DW 2017]]+Tabel66892628[[#This Row],[VAT Sew. 2017]]+Tabel66892628[[#This Row],[VAT WW 2017]]+Tabel66892628[[#This Row],[VAT Other ch. 2017]]</f>
        <v>33.37294870409719</v>
      </c>
      <c r="S255" s="571">
        <f>Tabel66892628[[#This Row],[Total. ch. DW 2017]]+Tabel66892628[[#This Row],[Sew. 2017]]+Tabel66892628[[#This Row],[VAT Sew. 2017]]+Tabel66892628[[#This Row],[WW 2017]]+Tabel66892628[[#This Row],[VAT WW 2017]]+Tabel66892628[[#This Row],[Other ch. 2017]]+Tabel66892628[[#This Row],[VAT Other ch. 2017]]</f>
        <v>367.22248232314138</v>
      </c>
      <c r="T255" s="397"/>
      <c r="U255" s="1763"/>
      <c r="V255" s="1766"/>
      <c r="W255" s="1769"/>
      <c r="X255" s="1772"/>
      <c r="Y255" s="1775"/>
      <c r="Z255" s="1778"/>
      <c r="AA255" s="1772"/>
      <c r="AB255" s="1781"/>
      <c r="AC255" s="1772"/>
      <c r="AD255" s="1785"/>
      <c r="AE255" s="1772"/>
      <c r="AF255" s="1788"/>
      <c r="AG255" s="1791"/>
      <c r="AH255" s="397"/>
      <c r="AI255" s="398"/>
      <c r="AJ255" s="398"/>
      <c r="AK255" s="398"/>
      <c r="AL255" s="591" t="s">
        <v>429</v>
      </c>
      <c r="AM255" s="591" t="s">
        <v>429</v>
      </c>
      <c r="AN255" s="398"/>
      <c r="AO255" s="398"/>
      <c r="AP255" s="430" t="s">
        <v>937</v>
      </c>
    </row>
    <row r="256" spans="1:42" ht="15.75" x14ac:dyDescent="0.25">
      <c r="A256" s="1757"/>
      <c r="B256" s="639" t="s">
        <v>214</v>
      </c>
      <c r="C256" s="639"/>
      <c r="D256" s="724" t="s">
        <v>1133</v>
      </c>
      <c r="E256" s="1760"/>
      <c r="F256" s="617">
        <f>'exchange rates'!$O$58</f>
        <v>0.83301000000000003</v>
      </c>
      <c r="G256" s="549">
        <v>0</v>
      </c>
      <c r="H256" s="550">
        <f>160.24/F256</f>
        <v>192.36263670304078</v>
      </c>
      <c r="I256" s="551">
        <v>0</v>
      </c>
      <c r="J256" s="560">
        <f>16.02/F256</f>
        <v>19.231461807181184</v>
      </c>
      <c r="K256" s="566">
        <f>Tabel66892628[[#This Row],[Fix.ch. 2017]]+Tabel66892628[[#This Row],[Var. ch. 2017]]+Tabel66892628[[#This Row],[Oth. ch. DW 2017]]+Tabel66892628[[#This Row],[VAT DW 2017]]</f>
        <v>211.59409851022195</v>
      </c>
      <c r="L256" s="567">
        <f>82.72/F256</f>
        <v>99.302529381399978</v>
      </c>
      <c r="M256" s="560">
        <f>8.27/F256</f>
        <v>9.9278520065785525</v>
      </c>
      <c r="N256" s="568">
        <f>156.06/F256</f>
        <v>187.34468973961896</v>
      </c>
      <c r="O256" s="560">
        <f>15.81/F256</f>
        <v>18.979363993229374</v>
      </c>
      <c r="P256" s="569">
        <v>0</v>
      </c>
      <c r="Q256" s="560">
        <v>0</v>
      </c>
      <c r="R256" s="570">
        <f>Tabel66892628[[#This Row],[VAT DW 2017]]+Tabel66892628[[#This Row],[VAT Sew. 2017]]+Tabel66892628[[#This Row],[VAT WW 2017]]+Tabel66892628[[#This Row],[VAT Other ch. 2017]]</f>
        <v>48.138677806989108</v>
      </c>
      <c r="S256" s="571">
        <f>Tabel66892628[[#This Row],[Total. ch. DW 2017]]+Tabel66892628[[#This Row],[Sew. 2017]]+Tabel66892628[[#This Row],[VAT Sew. 2017]]+Tabel66892628[[#This Row],[WW 2017]]+Tabel66892628[[#This Row],[VAT WW 2017]]+Tabel66892628[[#This Row],[Other ch. 2017]]+Tabel66892628[[#This Row],[VAT Other ch. 2017]]</f>
        <v>527.14853363104885</v>
      </c>
      <c r="T256" s="397"/>
      <c r="U256" s="1763"/>
      <c r="V256" s="1766"/>
      <c r="W256" s="1769"/>
      <c r="X256" s="1772"/>
      <c r="Y256" s="1775"/>
      <c r="Z256" s="1778"/>
      <c r="AA256" s="1772"/>
      <c r="AB256" s="1781"/>
      <c r="AC256" s="1772"/>
      <c r="AD256" s="1785"/>
      <c r="AE256" s="1772"/>
      <c r="AF256" s="1788"/>
      <c r="AG256" s="1791"/>
      <c r="AH256" s="397"/>
      <c r="AI256" s="398"/>
      <c r="AJ256" s="398"/>
      <c r="AK256" s="398"/>
      <c r="AL256" s="591" t="s">
        <v>429</v>
      </c>
      <c r="AM256" s="591" t="s">
        <v>429</v>
      </c>
      <c r="AN256" s="398"/>
      <c r="AO256" s="398"/>
      <c r="AP256" s="430" t="s">
        <v>937</v>
      </c>
    </row>
    <row r="257" spans="1:42" ht="16.5" thickBot="1" x14ac:dyDescent="0.3">
      <c r="A257" s="1758"/>
      <c r="B257" s="640" t="s">
        <v>154</v>
      </c>
      <c r="C257" s="652"/>
      <c r="D257" s="807" t="s">
        <v>1133</v>
      </c>
      <c r="E257" s="1799"/>
      <c r="F257" s="617">
        <f>'exchange rates'!$O$58</f>
        <v>0.83301000000000003</v>
      </c>
      <c r="G257" s="549">
        <v>0</v>
      </c>
      <c r="H257" s="550">
        <f>182.64/F257</f>
        <v>219.25307019123417</v>
      </c>
      <c r="I257" s="551">
        <v>0</v>
      </c>
      <c r="J257" s="560">
        <f>18.26/F257</f>
        <v>21.92050515600053</v>
      </c>
      <c r="K257" s="566">
        <f>Tabel66892628[[#This Row],[Fix.ch. 2017]]+Tabel66892628[[#This Row],[Var. ch. 2017]]+Tabel66892628[[#This Row],[Oth. ch. DW 2017]]+Tabel66892628[[#This Row],[VAT DW 2017]]</f>
        <v>241.1735753472347</v>
      </c>
      <c r="L257" s="567">
        <f>60.58/F257</f>
        <v>72.724216996194514</v>
      </c>
      <c r="M257" s="560">
        <f>6.06/F257</f>
        <v>7.2748226311808972</v>
      </c>
      <c r="N257" s="568">
        <f>133.02/F257</f>
        <v>159.68595815176289</v>
      </c>
      <c r="O257" s="560">
        <f>13.3/F257</f>
        <v>15.966194883614843</v>
      </c>
      <c r="P257" s="569">
        <v>0</v>
      </c>
      <c r="Q257" s="560">
        <v>0</v>
      </c>
      <c r="R257" s="570">
        <f>Tabel66892628[[#This Row],[VAT DW 2017]]+Tabel66892628[[#This Row],[VAT Sew. 2017]]+Tabel66892628[[#This Row],[VAT WW 2017]]+Tabel66892628[[#This Row],[VAT Other ch. 2017]]</f>
        <v>45.161522670796273</v>
      </c>
      <c r="S257" s="571">
        <f>Tabel66892628[[#This Row],[Total. ch. DW 2017]]+Tabel66892628[[#This Row],[Sew. 2017]]+Tabel66892628[[#This Row],[VAT Sew. 2017]]+Tabel66892628[[#This Row],[WW 2017]]+Tabel66892628[[#This Row],[VAT WW 2017]]+Tabel66892628[[#This Row],[Other ch. 2017]]+Tabel66892628[[#This Row],[VAT Other ch. 2017]]</f>
        <v>496.82476800998785</v>
      </c>
      <c r="T257" s="397"/>
      <c r="U257" s="1801"/>
      <c r="V257" s="1803"/>
      <c r="W257" s="1805"/>
      <c r="X257" s="1773"/>
      <c r="Y257" s="1807"/>
      <c r="Z257" s="1809"/>
      <c r="AA257" s="1773"/>
      <c r="AB257" s="1782"/>
      <c r="AC257" s="1773"/>
      <c r="AD257" s="1786"/>
      <c r="AE257" s="1773"/>
      <c r="AF257" s="1789"/>
      <c r="AG257" s="1792"/>
      <c r="AH257" s="397"/>
      <c r="AI257" s="398"/>
      <c r="AJ257" s="396"/>
      <c r="AK257" s="396"/>
      <c r="AL257" s="591" t="s">
        <v>429</v>
      </c>
      <c r="AM257" s="591" t="s">
        <v>429</v>
      </c>
      <c r="AN257" s="398"/>
      <c r="AO257" s="398"/>
      <c r="AP257" s="430" t="s">
        <v>937</v>
      </c>
    </row>
    <row r="258" spans="1:42" ht="15.75" customHeight="1" x14ac:dyDescent="0.25">
      <c r="A258" s="1878" t="s">
        <v>48</v>
      </c>
      <c r="B258" s="638" t="s">
        <v>155</v>
      </c>
      <c r="C258" s="693" t="s">
        <v>429</v>
      </c>
      <c r="D258" s="806" t="s">
        <v>1135</v>
      </c>
      <c r="E258" s="1934">
        <v>51300</v>
      </c>
      <c r="F258" s="617">
        <f>'exchange rates'!$O$59</f>
        <v>8.1602899999999998</v>
      </c>
      <c r="G258" s="549">
        <f>1683/F258</f>
        <v>206.24267029725661</v>
      </c>
      <c r="H258" s="550">
        <f>730/F258</f>
        <v>89.457605060604465</v>
      </c>
      <c r="I258" s="551">
        <f>0</f>
        <v>0</v>
      </c>
      <c r="J258" s="560">
        <f>603.25/F258</f>
        <v>73.925068839465268</v>
      </c>
      <c r="K258" s="566">
        <f>Tabel66892628[[#This Row],[Fix.ch. 2017]]+Tabel66892628[[#This Row],[Var. ch. 2017]]+Tabel66892628[[#This Row],[Oth. ch. DW 2017]]+Tabel66892628[[#This Row],[VAT DW 2017]]</f>
        <v>369.62534419732634</v>
      </c>
      <c r="L258" s="567">
        <f>650/F258</f>
        <v>79.654031903277954</v>
      </c>
      <c r="M258" s="560">
        <f>162.5/F258</f>
        <v>19.913507975819488</v>
      </c>
      <c r="N258" s="568">
        <v>0</v>
      </c>
      <c r="O258" s="560">
        <v>0</v>
      </c>
      <c r="P258" s="569">
        <v>0</v>
      </c>
      <c r="Q258" s="560">
        <v>0</v>
      </c>
      <c r="R258" s="570">
        <f>Tabel66892628[[#This Row],[VAT DW 2017]]+Tabel66892628[[#This Row],[VAT Sew. 2017]]+Tabel66892628[[#This Row],[VAT WW 2017]]+Tabel66892628[[#This Row],[VAT Other ch. 2017]]</f>
        <v>93.838576815284753</v>
      </c>
      <c r="S258" s="571">
        <f>Tabel66892628[[#This Row],[Total. ch. DW 2017]]+Tabel66892628[[#This Row],[Sew. 2017]]+Tabel66892628[[#This Row],[VAT Sew. 2017]]+Tabel66892628[[#This Row],[WW 2017]]+Tabel66892628[[#This Row],[VAT WW 2017]]+Tabel66892628[[#This Row],[Other ch. 2017]]+Tabel66892628[[#This Row],[VAT Other ch. 2017]]</f>
        <v>469.19288407642375</v>
      </c>
      <c r="T258" s="397"/>
      <c r="U258" s="1824">
        <f>MEDIAN(G258:G262)</f>
        <v>206.24267029725661</v>
      </c>
      <c r="V258" s="1825">
        <f t="shared" ref="V258:X258" si="31">MEDIAN(H258:H262)</f>
        <v>155.63172387255847</v>
      </c>
      <c r="W258" s="1826">
        <f t="shared" si="31"/>
        <v>0</v>
      </c>
      <c r="X258" s="1908">
        <f t="shared" si="31"/>
        <v>80.297391391727501</v>
      </c>
      <c r="Y258" s="1827">
        <f>SUM(U258:X262)</f>
        <v>442.17178556154261</v>
      </c>
      <c r="Z258" s="1828">
        <f t="shared" ref="Z258:AF258" si="32">MEDIAN(L258:L262)</f>
        <v>181.61119273947372</v>
      </c>
      <c r="AA258" s="1908">
        <f t="shared" si="32"/>
        <v>45.402798184868431</v>
      </c>
      <c r="AB258" s="1829">
        <f t="shared" si="32"/>
        <v>0</v>
      </c>
      <c r="AC258" s="1908">
        <f t="shared" si="32"/>
        <v>0</v>
      </c>
      <c r="AD258" s="1830">
        <f t="shared" si="32"/>
        <v>0</v>
      </c>
      <c r="AE258" s="1908">
        <f t="shared" si="32"/>
        <v>0</v>
      </c>
      <c r="AF258" s="1816">
        <f t="shared" si="32"/>
        <v>162.6780420793869</v>
      </c>
      <c r="AG258" s="1817">
        <f>Y258+Z258+AA258+AB258+AC258+AD258+AE258</f>
        <v>669.18577648588473</v>
      </c>
      <c r="AH258" s="397"/>
      <c r="AI258" s="398"/>
      <c r="AJ258" s="591" t="s">
        <v>429</v>
      </c>
      <c r="AK258" s="396"/>
      <c r="AL258" s="396"/>
      <c r="AM258" s="591" t="s">
        <v>429</v>
      </c>
      <c r="AN258" s="396"/>
      <c r="AO258" s="398"/>
      <c r="AP258" s="397"/>
    </row>
    <row r="259" spans="1:42" ht="15.75" customHeight="1" x14ac:dyDescent="0.25">
      <c r="A259" s="1757"/>
      <c r="B259" s="639" t="s">
        <v>156</v>
      </c>
      <c r="C259" s="639"/>
      <c r="D259" s="724" t="s">
        <v>1135</v>
      </c>
      <c r="E259" s="1967"/>
      <c r="F259" s="617">
        <f>'exchange rates'!$O$59</f>
        <v>8.1602899999999998</v>
      </c>
      <c r="G259" s="549">
        <f>2443/F259</f>
        <v>299.37661529185851</v>
      </c>
      <c r="H259" s="550">
        <f>1438/F259</f>
        <v>176.21922750294414</v>
      </c>
      <c r="I259" s="551">
        <v>0</v>
      </c>
      <c r="J259" s="560">
        <f>970.25/F259</f>
        <v>118.89896069870066</v>
      </c>
      <c r="K259" s="566">
        <f>Tabel66892628[[#This Row],[Fix.ch. 2017]]+Tabel66892628[[#This Row],[Var. ch. 2017]]+Tabel66892628[[#This Row],[Oth. ch. DW 2017]]+Tabel66892628[[#This Row],[VAT DW 2017]]</f>
        <v>594.49480349350335</v>
      </c>
      <c r="L259" s="567">
        <f>1482/F259</f>
        <v>181.61119273947372</v>
      </c>
      <c r="M259" s="560">
        <f>370.5/F259</f>
        <v>45.402798184868431</v>
      </c>
      <c r="N259" s="568">
        <v>0</v>
      </c>
      <c r="O259" s="560">
        <v>0</v>
      </c>
      <c r="P259" s="569">
        <v>0</v>
      </c>
      <c r="Q259" s="560">
        <v>0</v>
      </c>
      <c r="R259" s="570">
        <f>Tabel66892628[[#This Row],[VAT DW 2017]]+Tabel66892628[[#This Row],[VAT Sew. 2017]]+Tabel66892628[[#This Row],[VAT WW 2017]]+Tabel66892628[[#This Row],[VAT Other ch. 2017]]</f>
        <v>164.30175888356911</v>
      </c>
      <c r="S259" s="571">
        <f>Tabel66892628[[#This Row],[Total. ch. DW 2017]]+Tabel66892628[[#This Row],[Sew. 2017]]+Tabel66892628[[#This Row],[VAT Sew. 2017]]+Tabel66892628[[#This Row],[WW 2017]]+Tabel66892628[[#This Row],[VAT WW 2017]]+Tabel66892628[[#This Row],[Other ch. 2017]]+Tabel66892628[[#This Row],[VAT Other ch. 2017]]</f>
        <v>821.50879441784548</v>
      </c>
      <c r="T259" s="397"/>
      <c r="U259" s="1763"/>
      <c r="V259" s="1766"/>
      <c r="W259" s="1769"/>
      <c r="X259" s="1772"/>
      <c r="Y259" s="1775"/>
      <c r="Z259" s="1778"/>
      <c r="AA259" s="1772"/>
      <c r="AB259" s="1781"/>
      <c r="AC259" s="1772"/>
      <c r="AD259" s="1785"/>
      <c r="AE259" s="1772"/>
      <c r="AF259" s="1788"/>
      <c r="AG259" s="1791"/>
      <c r="AH259" s="397"/>
      <c r="AI259" s="398"/>
      <c r="AJ259" s="591" t="s">
        <v>429</v>
      </c>
      <c r="AK259" s="396"/>
      <c r="AL259" s="396"/>
      <c r="AM259" s="591" t="s">
        <v>429</v>
      </c>
      <c r="AN259" s="396"/>
      <c r="AO259" s="398"/>
      <c r="AP259" s="397"/>
    </row>
    <row r="260" spans="1:42" ht="15.75" customHeight="1" x14ac:dyDescent="0.25">
      <c r="A260" s="1757"/>
      <c r="B260" s="639" t="s">
        <v>157</v>
      </c>
      <c r="C260" s="639"/>
      <c r="D260" s="724" t="s">
        <v>1135</v>
      </c>
      <c r="E260" s="1967"/>
      <c r="F260" s="617">
        <f>'exchange rates'!$O$59</f>
        <v>8.1602899999999998</v>
      </c>
      <c r="G260" s="549">
        <f>1653/F260</f>
        <v>202.56633036325914</v>
      </c>
      <c r="H260" s="550">
        <f>968/F260</f>
        <v>118.62323520365085</v>
      </c>
      <c r="I260" s="551">
        <v>0</v>
      </c>
      <c r="J260" s="560">
        <f>655.25/F260</f>
        <v>80.297391391727501</v>
      </c>
      <c r="K260" s="566">
        <f>Tabel66892628[[#This Row],[Fix.ch. 2017]]+Tabel66892628[[#This Row],[Var. ch. 2017]]+Tabel66892628[[#This Row],[Oth. ch. DW 2017]]+Tabel66892628[[#This Row],[VAT DW 2017]]</f>
        <v>401.48695695863751</v>
      </c>
      <c r="L260" s="567">
        <f>1028/F260</f>
        <v>125.97591507164574</v>
      </c>
      <c r="M260" s="560">
        <f>257/F260</f>
        <v>31.493978767911436</v>
      </c>
      <c r="N260" s="568">
        <v>0</v>
      </c>
      <c r="O260" s="560">
        <v>0</v>
      </c>
      <c r="P260" s="569">
        <v>0</v>
      </c>
      <c r="Q260" s="560">
        <v>0</v>
      </c>
      <c r="R260" s="570">
        <f>Tabel66892628[[#This Row],[VAT DW 2017]]+Tabel66892628[[#This Row],[VAT Sew. 2017]]+Tabel66892628[[#This Row],[VAT WW 2017]]+Tabel66892628[[#This Row],[VAT Other ch. 2017]]</f>
        <v>111.79137015963894</v>
      </c>
      <c r="S260" s="571">
        <f>Tabel66892628[[#This Row],[Total. ch. DW 2017]]+Tabel66892628[[#This Row],[Sew. 2017]]+Tabel66892628[[#This Row],[VAT Sew. 2017]]+Tabel66892628[[#This Row],[WW 2017]]+Tabel66892628[[#This Row],[VAT WW 2017]]+Tabel66892628[[#This Row],[Other ch. 2017]]+Tabel66892628[[#This Row],[VAT Other ch. 2017]]</f>
        <v>558.95685079819475</v>
      </c>
      <c r="T260" s="397"/>
      <c r="U260" s="1763"/>
      <c r="V260" s="1766"/>
      <c r="W260" s="1769"/>
      <c r="X260" s="1772"/>
      <c r="Y260" s="1775"/>
      <c r="Z260" s="1778"/>
      <c r="AA260" s="1772"/>
      <c r="AB260" s="1781"/>
      <c r="AC260" s="1772"/>
      <c r="AD260" s="1785"/>
      <c r="AE260" s="1772"/>
      <c r="AF260" s="1788"/>
      <c r="AG260" s="1791"/>
      <c r="AH260" s="397"/>
      <c r="AI260" s="398"/>
      <c r="AJ260" s="591" t="s">
        <v>429</v>
      </c>
      <c r="AK260" s="396"/>
      <c r="AL260" s="396"/>
      <c r="AM260" s="591" t="s">
        <v>429</v>
      </c>
      <c r="AN260" s="396"/>
      <c r="AO260" s="398"/>
      <c r="AP260" s="397"/>
    </row>
    <row r="261" spans="1:42" ht="15.75" customHeight="1" x14ac:dyDescent="0.25">
      <c r="A261" s="1757"/>
      <c r="B261" s="639" t="s">
        <v>158</v>
      </c>
      <c r="C261" s="639"/>
      <c r="D261" s="724" t="s">
        <v>1135</v>
      </c>
      <c r="E261" s="1967"/>
      <c r="F261" s="617">
        <f>'exchange rates'!$O$59</f>
        <v>8.1602899999999998</v>
      </c>
      <c r="G261" s="549">
        <f>0</f>
        <v>0</v>
      </c>
      <c r="H261" s="550">
        <f>2470/F261</f>
        <v>302.6853212324562</v>
      </c>
      <c r="I261" s="551">
        <v>0</v>
      </c>
      <c r="J261" s="560">
        <f>617.5/F261</f>
        <v>75.671330308114051</v>
      </c>
      <c r="K261" s="566">
        <f>Tabel66892628[[#This Row],[Fix.ch. 2017]]+Tabel66892628[[#This Row],[Var. ch. 2017]]+Tabel66892628[[#This Row],[Oth. ch. DW 2017]]+Tabel66892628[[#This Row],[VAT DW 2017]]</f>
        <v>378.35665154057028</v>
      </c>
      <c r="L261" s="567">
        <f>3706/F261</f>
        <v>454.15052651315091</v>
      </c>
      <c r="M261" s="560">
        <f>926.5/F261</f>
        <v>113.53763162828773</v>
      </c>
      <c r="N261" s="568">
        <v>0</v>
      </c>
      <c r="O261" s="560">
        <v>0</v>
      </c>
      <c r="P261" s="569">
        <v>0</v>
      </c>
      <c r="Q261" s="560">
        <v>0</v>
      </c>
      <c r="R261" s="570">
        <f>Tabel66892628[[#This Row],[VAT DW 2017]]+Tabel66892628[[#This Row],[VAT Sew. 2017]]+Tabel66892628[[#This Row],[VAT WW 2017]]+Tabel66892628[[#This Row],[VAT Other ch. 2017]]</f>
        <v>189.20896193640178</v>
      </c>
      <c r="S261" s="571">
        <f>Tabel66892628[[#This Row],[Total. ch. DW 2017]]+Tabel66892628[[#This Row],[Sew. 2017]]+Tabel66892628[[#This Row],[VAT Sew. 2017]]+Tabel66892628[[#This Row],[WW 2017]]+Tabel66892628[[#This Row],[VAT WW 2017]]+Tabel66892628[[#This Row],[Other ch. 2017]]+Tabel66892628[[#This Row],[VAT Other ch. 2017]]</f>
        <v>946.04480968200892</v>
      </c>
      <c r="T261" s="397"/>
      <c r="U261" s="1763"/>
      <c r="V261" s="1766"/>
      <c r="W261" s="1769"/>
      <c r="X261" s="1772"/>
      <c r="Y261" s="1775"/>
      <c r="Z261" s="1778"/>
      <c r="AA261" s="1772"/>
      <c r="AB261" s="1781"/>
      <c r="AC261" s="1772"/>
      <c r="AD261" s="1785"/>
      <c r="AE261" s="1772"/>
      <c r="AF261" s="1788"/>
      <c r="AG261" s="1791"/>
      <c r="AH261" s="397"/>
      <c r="AI261" s="398"/>
      <c r="AJ261" s="591" t="s">
        <v>429</v>
      </c>
      <c r="AK261" s="396"/>
      <c r="AL261" s="396"/>
      <c r="AM261" s="591"/>
      <c r="AN261" s="396"/>
      <c r="AO261" s="398"/>
      <c r="AP261" s="397"/>
    </row>
    <row r="262" spans="1:42" ht="16.5" customHeight="1" thickBot="1" x14ac:dyDescent="0.3">
      <c r="A262" s="1758"/>
      <c r="B262" s="640" t="s">
        <v>159</v>
      </c>
      <c r="C262" s="652"/>
      <c r="D262" s="807" t="s">
        <v>1135</v>
      </c>
      <c r="E262" s="1799"/>
      <c r="F262" s="617">
        <f>'exchange rates'!$O$59</f>
        <v>8.1602899999999998</v>
      </c>
      <c r="G262" s="549">
        <f>2330/F262</f>
        <v>285.5290682071348</v>
      </c>
      <c r="H262" s="550">
        <f>1270/F262</f>
        <v>155.63172387255847</v>
      </c>
      <c r="I262" s="551">
        <v>0</v>
      </c>
      <c r="J262" s="560">
        <f>900/F262</f>
        <v>110.29019801992331</v>
      </c>
      <c r="K262" s="566">
        <f>Tabel66892628[[#This Row],[Fix.ch. 2017]]+Tabel66892628[[#This Row],[Var. ch. 2017]]+Tabel66892628[[#This Row],[Oth. ch. DW 2017]]+Tabel66892628[[#This Row],[VAT DW 2017]]</f>
        <v>551.45099009961655</v>
      </c>
      <c r="L262" s="567">
        <f>1710/F262</f>
        <v>209.5513762378543</v>
      </c>
      <c r="M262" s="560">
        <f>427.5/F262</f>
        <v>52.387844059463575</v>
      </c>
      <c r="N262" s="568">
        <v>0</v>
      </c>
      <c r="O262" s="560">
        <v>0</v>
      </c>
      <c r="P262" s="569">
        <v>0</v>
      </c>
      <c r="Q262" s="560">
        <v>0</v>
      </c>
      <c r="R262" s="570">
        <f>Tabel66892628[[#This Row],[VAT DW 2017]]+Tabel66892628[[#This Row],[VAT Sew. 2017]]+Tabel66892628[[#This Row],[VAT WW 2017]]+Tabel66892628[[#This Row],[VAT Other ch. 2017]]</f>
        <v>162.6780420793869</v>
      </c>
      <c r="S262" s="571">
        <f>Tabel66892628[[#This Row],[Total. ch. DW 2017]]+Tabel66892628[[#This Row],[Sew. 2017]]+Tabel66892628[[#This Row],[VAT Sew. 2017]]+Tabel66892628[[#This Row],[WW 2017]]+Tabel66892628[[#This Row],[VAT WW 2017]]+Tabel66892628[[#This Row],[Other ch. 2017]]+Tabel66892628[[#This Row],[VAT Other ch. 2017]]</f>
        <v>813.39021039693444</v>
      </c>
      <c r="T262" s="397"/>
      <c r="U262" s="2182"/>
      <c r="V262" s="2183"/>
      <c r="W262" s="2184"/>
      <c r="X262" s="1773"/>
      <c r="Y262" s="2168"/>
      <c r="Z262" s="2169"/>
      <c r="AA262" s="1773"/>
      <c r="AB262" s="2179"/>
      <c r="AC262" s="1773"/>
      <c r="AD262" s="2180"/>
      <c r="AE262" s="1773"/>
      <c r="AF262" s="2181"/>
      <c r="AG262" s="2174"/>
      <c r="AH262" s="397"/>
      <c r="AI262" s="398"/>
      <c r="AJ262" s="591" t="s">
        <v>429</v>
      </c>
      <c r="AK262" s="396"/>
      <c r="AL262" s="396"/>
      <c r="AM262" s="591" t="s">
        <v>429</v>
      </c>
      <c r="AN262" s="396"/>
      <c r="AO262" s="398"/>
      <c r="AP262" s="397"/>
    </row>
    <row r="263" spans="1:42" ht="18" customHeight="1" x14ac:dyDescent="0.25">
      <c r="A263" s="1818" t="s">
        <v>28</v>
      </c>
      <c r="B263" s="547" t="s">
        <v>160</v>
      </c>
      <c r="C263" s="1046"/>
      <c r="D263" s="802" t="s">
        <v>1137</v>
      </c>
      <c r="E263" s="1966">
        <v>61400</v>
      </c>
      <c r="F263" s="617">
        <f>'exchange rates'!$O$60</f>
        <v>0.97441999999999995</v>
      </c>
      <c r="G263" s="549">
        <f>112/F263</f>
        <v>114.94016953675008</v>
      </c>
      <c r="H263" s="550">
        <f>216/F263</f>
        <v>221.67032696373229</v>
      </c>
      <c r="I263" s="551">
        <v>0</v>
      </c>
      <c r="J263" s="560">
        <f>26.24/F263</f>
        <v>26.928839720038585</v>
      </c>
      <c r="K263" s="566">
        <f>Tabel66892628[[#This Row],[Fix.ch. 2017]]+Tabel66892628[[#This Row],[Var. ch. 2017]]+Tabel66892628[[#This Row],[Oth. ch. DW 2017]]+Tabel66892628[[#This Row],[VAT DW 2017]]</f>
        <v>363.53933622052097</v>
      </c>
      <c r="L263" s="567">
        <f>479/F263</f>
        <v>491.57447507235077</v>
      </c>
      <c r="M263" s="560">
        <f>11.98/F263</f>
        <v>12.294493134377374</v>
      </c>
      <c r="N263" s="568">
        <v>0</v>
      </c>
      <c r="O263" s="560">
        <v>0</v>
      </c>
      <c r="P263" s="569">
        <v>0</v>
      </c>
      <c r="Q263" s="560">
        <v>0</v>
      </c>
      <c r="R263" s="570">
        <f>Tabel66892628[[#This Row],[VAT DW 2017]]+Tabel66892628[[#This Row],[VAT Sew. 2017]]+Tabel66892628[[#This Row],[VAT WW 2017]]+Tabel66892628[[#This Row],[VAT Other ch. 2017]]</f>
        <v>39.223332854415958</v>
      </c>
      <c r="S263" s="571">
        <f>Tabel66892628[[#This Row],[Total. ch. DW 2017]]+Tabel66892628[[#This Row],[Sew. 2017]]+Tabel66892628[[#This Row],[VAT Sew. 2017]]+Tabel66892628[[#This Row],[WW 2017]]+Tabel66892628[[#This Row],[VAT WW 2017]]+Tabel66892628[[#This Row],[Other ch. 2017]]+Tabel66892628[[#This Row],[VAT Other ch. 2017]]</f>
        <v>867.40830442724916</v>
      </c>
      <c r="T263" s="397"/>
      <c r="U263" s="1968">
        <f>MEDIAN(G263:G267)</f>
        <v>71.837605960468792</v>
      </c>
      <c r="V263" s="1971">
        <f>MEDIAN(H263:H267)</f>
        <v>394.08058126885737</v>
      </c>
      <c r="W263" s="2175">
        <f>MEDIAN(I263:I267)</f>
        <v>0</v>
      </c>
      <c r="X263" s="2178">
        <f>MEDIAN(J263:J267)</f>
        <v>35.959853040783237</v>
      </c>
      <c r="Y263" s="1939">
        <f>SUM(U263:X267)</f>
        <v>501.87804027010941</v>
      </c>
      <c r="Z263" s="1980">
        <f t="shared" ref="Z263:AF263" si="33">MEDIAN(L263:L267)</f>
        <v>447.2711972250159</v>
      </c>
      <c r="AA263" s="1938">
        <f t="shared" si="33"/>
        <v>11.186141499558714</v>
      </c>
      <c r="AB263" s="1954">
        <f t="shared" si="33"/>
        <v>0</v>
      </c>
      <c r="AC263" s="1938">
        <f t="shared" si="33"/>
        <v>0</v>
      </c>
      <c r="AD263" s="1957">
        <f t="shared" si="33"/>
        <v>0</v>
      </c>
      <c r="AE263" s="1938">
        <f t="shared" si="33"/>
        <v>0</v>
      </c>
      <c r="AF263" s="1960">
        <f t="shared" si="33"/>
        <v>47.125469510067532</v>
      </c>
      <c r="AG263" s="2171">
        <f>Y263+Z263+AA263+AB263+AC263+AD263+AE263</f>
        <v>960.33537899468411</v>
      </c>
      <c r="AH263" s="397"/>
      <c r="AI263" s="398"/>
      <c r="AJ263" s="591" t="s">
        <v>429</v>
      </c>
      <c r="AK263" s="398"/>
      <c r="AL263" s="398"/>
      <c r="AM263" s="591" t="s">
        <v>429</v>
      </c>
      <c r="AN263" s="398"/>
      <c r="AO263" s="398"/>
      <c r="AP263" s="397"/>
    </row>
    <row r="264" spans="1:42" ht="15.75" x14ac:dyDescent="0.25">
      <c r="A264" s="1819"/>
      <c r="B264" s="547" t="s">
        <v>603</v>
      </c>
      <c r="C264" s="1046"/>
      <c r="D264" s="802" t="s">
        <v>1137</v>
      </c>
      <c r="E264" s="1967"/>
      <c r="F264" s="617">
        <f>'exchange rates'!$O$60</f>
        <v>0.97441999999999995</v>
      </c>
      <c r="G264" s="549">
        <f>136/F264</f>
        <v>139.57020586605367</v>
      </c>
      <c r="H264" s="550">
        <f>384/F264</f>
        <v>394.08058126885737</v>
      </c>
      <c r="I264" s="551">
        <v>0</v>
      </c>
      <c r="J264" s="560">
        <f>41.6/F264</f>
        <v>42.692062970792882</v>
      </c>
      <c r="K264" s="566">
        <f>Tabel66892628[[#This Row],[Fix.ch. 2017]]+Tabel66892628[[#This Row],[Var. ch. 2017]]+Tabel66892628[[#This Row],[Oth. ch. DW 2017]]+Tabel66892628[[#This Row],[VAT DW 2017]]</f>
        <v>576.34285010570397</v>
      </c>
      <c r="L264" s="567">
        <f>462.25/F264</f>
        <v>474.38476221752427</v>
      </c>
      <c r="M264" s="560">
        <f>11.56/F264</f>
        <v>11.863467498614561</v>
      </c>
      <c r="N264" s="568">
        <v>0</v>
      </c>
      <c r="O264" s="560">
        <v>0</v>
      </c>
      <c r="P264" s="569">
        <v>0</v>
      </c>
      <c r="Q264" s="560">
        <v>0</v>
      </c>
      <c r="R264" s="570">
        <f>Tabel66892628[[#This Row],[VAT DW 2017]]+Tabel66892628[[#This Row],[VAT Sew. 2017]]+Tabel66892628[[#This Row],[VAT WW 2017]]+Tabel66892628[[#This Row],[VAT Other ch. 2017]]</f>
        <v>54.555530469407444</v>
      </c>
      <c r="S264" s="571">
        <f>Tabel66892628[[#This Row],[Total. ch. DW 2017]]+Tabel66892628[[#This Row],[Sew. 2017]]+Tabel66892628[[#This Row],[VAT Sew. 2017]]+Tabel66892628[[#This Row],[WW 2017]]+Tabel66892628[[#This Row],[VAT WW 2017]]+Tabel66892628[[#This Row],[Other ch. 2017]]+Tabel66892628[[#This Row],[VAT Other ch. 2017]]</f>
        <v>1062.5910798218426</v>
      </c>
      <c r="T264" s="397"/>
      <c r="U264" s="1969"/>
      <c r="V264" s="1972"/>
      <c r="W264" s="2176"/>
      <c r="X264" s="2103"/>
      <c r="Y264" s="1775"/>
      <c r="Z264" s="1981"/>
      <c r="AA264" s="1772"/>
      <c r="AB264" s="2170"/>
      <c r="AC264" s="1772"/>
      <c r="AD264" s="1958"/>
      <c r="AE264" s="1772"/>
      <c r="AF264" s="1961"/>
      <c r="AG264" s="2172"/>
      <c r="AH264" s="397"/>
      <c r="AI264" s="398"/>
      <c r="AJ264" s="591" t="s">
        <v>429</v>
      </c>
      <c r="AK264" s="398"/>
      <c r="AL264" s="398"/>
      <c r="AM264" s="591" t="s">
        <v>429</v>
      </c>
      <c r="AN264" s="398"/>
      <c r="AO264" s="398"/>
      <c r="AP264" s="397"/>
    </row>
    <row r="265" spans="1:42" ht="15.75" x14ac:dyDescent="0.25">
      <c r="A265" s="1819"/>
      <c r="B265" s="547" t="s">
        <v>162</v>
      </c>
      <c r="C265" s="1046"/>
      <c r="D265" s="802" t="s">
        <v>1137</v>
      </c>
      <c r="E265" s="1967"/>
      <c r="F265" s="617">
        <f>'exchange rates'!$O$60</f>
        <v>0.97441999999999995</v>
      </c>
      <c r="G265" s="549">
        <f>70/F265</f>
        <v>71.837605960468792</v>
      </c>
      <c r="H265" s="550">
        <f>292/F265</f>
        <v>299.66544200652697</v>
      </c>
      <c r="I265" s="551">
        <v>0</v>
      </c>
      <c r="J265" s="560">
        <f>28.96/F265</f>
        <v>29.720243837359661</v>
      </c>
      <c r="K265" s="566">
        <f>Tabel66892628[[#This Row],[Fix.ch. 2017]]+Tabel66892628[[#This Row],[Var. ch. 2017]]+Tabel66892628[[#This Row],[Oth. ch. DW 2017]]+Tabel66892628[[#This Row],[VAT DW 2017]]</f>
        <v>401.22329180435543</v>
      </c>
      <c r="L265" s="567">
        <f>350/F265</f>
        <v>359.18802980234398</v>
      </c>
      <c r="M265" s="560">
        <f>8.75/F265</f>
        <v>8.9797007450585991</v>
      </c>
      <c r="N265" s="568">
        <v>0</v>
      </c>
      <c r="O265" s="560">
        <v>0</v>
      </c>
      <c r="P265" s="569">
        <v>0</v>
      </c>
      <c r="Q265" s="560">
        <v>0</v>
      </c>
      <c r="R265" s="570">
        <f>Tabel66892628[[#This Row],[VAT DW 2017]]+Tabel66892628[[#This Row],[VAT Sew. 2017]]+Tabel66892628[[#This Row],[VAT WW 2017]]+Tabel66892628[[#This Row],[VAT Other ch. 2017]]</f>
        <v>38.699944582418262</v>
      </c>
      <c r="S265" s="571">
        <f>Tabel66892628[[#This Row],[Total. ch. DW 2017]]+Tabel66892628[[#This Row],[Sew. 2017]]+Tabel66892628[[#This Row],[VAT Sew. 2017]]+Tabel66892628[[#This Row],[WW 2017]]+Tabel66892628[[#This Row],[VAT WW 2017]]+Tabel66892628[[#This Row],[Other ch. 2017]]+Tabel66892628[[#This Row],[VAT Other ch. 2017]]</f>
        <v>769.39102235175801</v>
      </c>
      <c r="T265" s="397"/>
      <c r="U265" s="1969"/>
      <c r="V265" s="1972"/>
      <c r="W265" s="2176"/>
      <c r="X265" s="2103"/>
      <c r="Y265" s="1775"/>
      <c r="Z265" s="1981"/>
      <c r="AA265" s="1772"/>
      <c r="AB265" s="2170"/>
      <c r="AC265" s="1772"/>
      <c r="AD265" s="1958"/>
      <c r="AE265" s="1772"/>
      <c r="AF265" s="1961"/>
      <c r="AG265" s="2172"/>
      <c r="AH265" s="397"/>
      <c r="AI265" s="398"/>
      <c r="AJ265" s="591" t="s">
        <v>429</v>
      </c>
      <c r="AK265" s="398"/>
      <c r="AL265" s="398"/>
      <c r="AM265" s="591" t="s">
        <v>429</v>
      </c>
      <c r="AN265" s="398"/>
      <c r="AO265" s="398"/>
      <c r="AP265" s="397"/>
    </row>
    <row r="266" spans="1:42" ht="15.75" x14ac:dyDescent="0.25">
      <c r="A266" s="1819"/>
      <c r="B266" s="547" t="s">
        <v>161</v>
      </c>
      <c r="C266" s="1046"/>
      <c r="D266" s="802" t="s">
        <v>1137</v>
      </c>
      <c r="E266" s="1967"/>
      <c r="F266" s="617">
        <f>'exchange rates'!$O$60</f>
        <v>0.97441999999999995</v>
      </c>
      <c r="G266" s="549">
        <f>28/F266</f>
        <v>28.735042384187519</v>
      </c>
      <c r="H266" s="550">
        <f>410/F266</f>
        <v>420.76312062560294</v>
      </c>
      <c r="I266" s="551">
        <v>0</v>
      </c>
      <c r="J266" s="560">
        <f>35.04/F266</f>
        <v>35.959853040783237</v>
      </c>
      <c r="K266" s="566">
        <f>Tabel66892628[[#This Row],[Fix.ch. 2017]]+Tabel66892628[[#This Row],[Var. ch. 2017]]+Tabel66892628[[#This Row],[Oth. ch. DW 2017]]+Tabel66892628[[#This Row],[VAT DW 2017]]</f>
        <v>485.45801605057369</v>
      </c>
      <c r="L266" s="567">
        <f>435/F266</f>
        <v>446.41940846862752</v>
      </c>
      <c r="M266" s="560">
        <f>10.88/F266</f>
        <v>11.165616469284293</v>
      </c>
      <c r="N266" s="568">
        <v>0</v>
      </c>
      <c r="O266" s="560">
        <v>0</v>
      </c>
      <c r="P266" s="569">
        <v>0</v>
      </c>
      <c r="Q266" s="560">
        <v>0</v>
      </c>
      <c r="R266" s="570">
        <f>Tabel66892628[[#This Row],[VAT DW 2017]]+Tabel66892628[[#This Row],[VAT Sew. 2017]]+Tabel66892628[[#This Row],[VAT WW 2017]]+Tabel66892628[[#This Row],[VAT Other ch. 2017]]</f>
        <v>47.125469510067532</v>
      </c>
      <c r="S266" s="571">
        <f>Tabel66892628[[#This Row],[Total. ch. DW 2017]]+Tabel66892628[[#This Row],[Sew. 2017]]+Tabel66892628[[#This Row],[VAT Sew. 2017]]+Tabel66892628[[#This Row],[WW 2017]]+Tabel66892628[[#This Row],[VAT WW 2017]]+Tabel66892628[[#This Row],[Other ch. 2017]]+Tabel66892628[[#This Row],[VAT Other ch. 2017]]</f>
        <v>943.04304098848547</v>
      </c>
      <c r="T266" s="397"/>
      <c r="U266" s="1969"/>
      <c r="V266" s="1972"/>
      <c r="W266" s="2176"/>
      <c r="X266" s="2103"/>
      <c r="Y266" s="1775"/>
      <c r="Z266" s="1981"/>
      <c r="AA266" s="1772"/>
      <c r="AB266" s="2170"/>
      <c r="AC266" s="1772"/>
      <c r="AD266" s="1958"/>
      <c r="AE266" s="1772"/>
      <c r="AF266" s="1961"/>
      <c r="AG266" s="2172"/>
      <c r="AH266" s="397"/>
      <c r="AI266" s="398"/>
      <c r="AJ266" s="591" t="s">
        <v>429</v>
      </c>
      <c r="AK266" s="398"/>
      <c r="AL266" s="398"/>
      <c r="AM266" s="591" t="s">
        <v>429</v>
      </c>
      <c r="AN266" s="398"/>
      <c r="AO266" s="398"/>
      <c r="AP266" s="397"/>
    </row>
    <row r="267" spans="1:42" ht="16.5" thickBot="1" x14ac:dyDescent="0.3">
      <c r="A267" s="1820"/>
      <c r="B267" s="613" t="s">
        <v>163</v>
      </c>
      <c r="C267" s="1046" t="s">
        <v>429</v>
      </c>
      <c r="D267" s="802" t="s">
        <v>1137</v>
      </c>
      <c r="E267" s="1799"/>
      <c r="F267" s="617">
        <f>'exchange rates'!$O$60</f>
        <v>0.97441999999999995</v>
      </c>
      <c r="G267" s="549">
        <f>54/F267</f>
        <v>55.417581740933073</v>
      </c>
      <c r="H267" s="550">
        <f>464/F267</f>
        <v>476.18070236653602</v>
      </c>
      <c r="I267" s="551">
        <v>0</v>
      </c>
      <c r="J267" s="560">
        <f>41.44/F267</f>
        <v>42.527862728597526</v>
      </c>
      <c r="K267" s="566">
        <f>Tabel66892628[[#This Row],[Fix.ch. 2017]]+Tabel66892628[[#This Row],[Var. ch. 2017]]+Tabel66892628[[#This Row],[Oth. ch. DW 2017]]+Tabel66892628[[#This Row],[VAT DW 2017]]</f>
        <v>574.1261468360666</v>
      </c>
      <c r="L267" s="567">
        <f>435.83/F267</f>
        <v>447.2711972250159</v>
      </c>
      <c r="M267" s="560">
        <f>10.9/F267</f>
        <v>11.186141499558714</v>
      </c>
      <c r="N267" s="568">
        <v>0</v>
      </c>
      <c r="O267" s="560">
        <v>0</v>
      </c>
      <c r="P267" s="569">
        <v>0</v>
      </c>
      <c r="Q267" s="560">
        <v>0</v>
      </c>
      <c r="R267" s="570">
        <f>Tabel66892628[[#This Row],[VAT DW 2017]]+Tabel66892628[[#This Row],[VAT Sew. 2017]]+Tabel66892628[[#This Row],[VAT WW 2017]]+Tabel66892628[[#This Row],[VAT Other ch. 2017]]</f>
        <v>53.714004228156242</v>
      </c>
      <c r="S267" s="571">
        <f>Tabel66892628[[#This Row],[Total. ch. DW 2017]]+Tabel66892628[[#This Row],[Sew. 2017]]+Tabel66892628[[#This Row],[VAT Sew. 2017]]+Tabel66892628[[#This Row],[WW 2017]]+Tabel66892628[[#This Row],[VAT WW 2017]]+Tabel66892628[[#This Row],[Other ch. 2017]]+Tabel66892628[[#This Row],[VAT Other ch. 2017]]</f>
        <v>1032.5834855606413</v>
      </c>
      <c r="T267" s="397"/>
      <c r="U267" s="1801"/>
      <c r="V267" s="1803"/>
      <c r="W267" s="2177"/>
      <c r="X267" s="2104"/>
      <c r="Y267" s="1807"/>
      <c r="Z267" s="1809"/>
      <c r="AA267" s="1773"/>
      <c r="AB267" s="1865"/>
      <c r="AC267" s="1773"/>
      <c r="AD267" s="1786"/>
      <c r="AE267" s="1773"/>
      <c r="AF267" s="1789"/>
      <c r="AG267" s="2173"/>
      <c r="AH267" s="397"/>
      <c r="AI267" s="398"/>
      <c r="AJ267" s="591" t="s">
        <v>429</v>
      </c>
      <c r="AK267" s="398"/>
      <c r="AL267" s="398"/>
      <c r="AM267" s="591" t="s">
        <v>429</v>
      </c>
      <c r="AN267" s="398"/>
      <c r="AO267" s="398"/>
      <c r="AP267" s="397"/>
    </row>
    <row r="268" spans="1:42" ht="19.5" thickBot="1" x14ac:dyDescent="0.3">
      <c r="A268" s="870" t="s">
        <v>706</v>
      </c>
      <c r="B268" s="455" t="s">
        <v>708</v>
      </c>
      <c r="C268" s="1048"/>
      <c r="D268" s="811" t="s">
        <v>1139</v>
      </c>
      <c r="E268" s="589">
        <v>3000</v>
      </c>
      <c r="F268" s="307">
        <f>'exchange rates'!M61</f>
        <v>2171.8366799999999</v>
      </c>
      <c r="G268" s="319"/>
      <c r="H268" s="320"/>
      <c r="I268" s="321"/>
      <c r="J268" s="559"/>
      <c r="K268" s="313">
        <f>Tabel66892628[[#This Row],[Fix.ch. 2017]]+Tabel66892628[[#This Row],[Var. ch. 2017]]+Tabel66892628[[#This Row],[Oth. ch. DW 2017]]+Tabel66892628[[#This Row],[VAT DW 2017]]</f>
        <v>0</v>
      </c>
      <c r="L268" s="322"/>
      <c r="M268" s="559"/>
      <c r="N268" s="323"/>
      <c r="O268" s="559"/>
      <c r="P268" s="324"/>
      <c r="Q268" s="559"/>
      <c r="R268" s="317">
        <f>Tabel66892628[[#This Row],[VAT DW 2017]]+Tabel66892628[[#This Row],[VAT Sew. 2017]]+Tabel66892628[[#This Row],[VAT WW 2017]]+Tabel66892628[[#This Row],[VAT Other ch. 2017]]</f>
        <v>0</v>
      </c>
      <c r="S268" s="318">
        <f>Tabel66892628[[#This Row],[Total. ch. DW 2017]]+Tabel66892628[[#This Row],[Sew. 2017]]+Tabel66892628[[#This Row],[VAT Sew. 2017]]+Tabel66892628[[#This Row],[WW 2017]]+Tabel66892628[[#This Row],[VAT WW 2017]]+Tabel66892628[[#This Row],[Other ch. 2017]]+Tabel66892628[[#This Row],[VAT Other ch. 2017]]</f>
        <v>0</v>
      </c>
      <c r="T268" s="397"/>
      <c r="U268" s="340"/>
      <c r="V268" s="341"/>
      <c r="W268" s="401"/>
      <c r="X268" s="580"/>
      <c r="Y268" s="343"/>
      <c r="Z268" s="344"/>
      <c r="AA268" s="581"/>
      <c r="AB268" s="514"/>
      <c r="AC268" s="592"/>
      <c r="AD268" s="346"/>
      <c r="AE268" s="581"/>
      <c r="AF268" s="347"/>
      <c r="AG268" s="515"/>
      <c r="AH268" s="397"/>
      <c r="AI268" s="398"/>
      <c r="AJ268" s="396"/>
      <c r="AK268" s="398"/>
      <c r="AL268" s="398"/>
      <c r="AM268" s="396"/>
      <c r="AN268" s="398"/>
      <c r="AO268" s="398"/>
      <c r="AP268" s="397"/>
    </row>
    <row r="269" spans="1:42" ht="19.5" thickBot="1" x14ac:dyDescent="0.3">
      <c r="A269" s="870" t="s">
        <v>737</v>
      </c>
      <c r="B269" s="292" t="s">
        <v>738</v>
      </c>
      <c r="C269" s="1047"/>
      <c r="D269" s="811" t="s">
        <v>1141</v>
      </c>
      <c r="E269" s="589">
        <v>16100</v>
      </c>
      <c r="F269" s="307">
        <f>'exchange rates'!M62</f>
        <v>36.151380000000003</v>
      </c>
      <c r="G269" s="319"/>
      <c r="H269" s="320"/>
      <c r="I269" s="321"/>
      <c r="J269" s="559"/>
      <c r="K269" s="313">
        <f>Tabel66892628[[#This Row],[Fix.ch. 2017]]+Tabel66892628[[#This Row],[Var. ch. 2017]]+Tabel66892628[[#This Row],[Oth. ch. DW 2017]]+Tabel66892628[[#This Row],[VAT DW 2017]]</f>
        <v>0</v>
      </c>
      <c r="L269" s="322"/>
      <c r="M269" s="559"/>
      <c r="N269" s="323">
        <f>(3.358*200)/F269</f>
        <v>18.577437431157538</v>
      </c>
      <c r="O269" s="559"/>
      <c r="P269" s="324"/>
      <c r="Q269" s="559"/>
      <c r="R269" s="317">
        <f>Tabel66892628[[#This Row],[VAT DW 2017]]+Tabel66892628[[#This Row],[VAT Sew. 2017]]+Tabel66892628[[#This Row],[VAT WW 2017]]+Tabel66892628[[#This Row],[VAT Other ch. 2017]]</f>
        <v>0</v>
      </c>
      <c r="S269" s="318">
        <f>Tabel66892628[[#This Row],[Total. ch. DW 2017]]+Tabel66892628[[#This Row],[Sew. 2017]]+Tabel66892628[[#This Row],[VAT Sew. 2017]]+Tabel66892628[[#This Row],[WW 2017]]+Tabel66892628[[#This Row],[VAT WW 2017]]+Tabel66892628[[#This Row],[Other ch. 2017]]+Tabel66892628[[#This Row],[VAT Other ch. 2017]]</f>
        <v>18.577437431157538</v>
      </c>
      <c r="T269" s="397"/>
      <c r="U269" s="340"/>
      <c r="V269" s="341"/>
      <c r="W269" s="401"/>
      <c r="X269" s="580"/>
      <c r="Y269" s="343">
        <f>Tabel66892628[[#This Row],[Total. ch. DW 2017]]</f>
        <v>0</v>
      </c>
      <c r="Z269" s="344"/>
      <c r="AA269" s="581"/>
      <c r="AB269" s="345">
        <f>Tabel66892628[[#This Row],[WW 2017]]</f>
        <v>18.577437431157538</v>
      </c>
      <c r="AC269" s="581"/>
      <c r="AD269" s="346"/>
      <c r="AE269" s="581"/>
      <c r="AF269" s="347"/>
      <c r="AG269" s="516">
        <f>SUM(Y269:AF269)</f>
        <v>18.577437431157538</v>
      </c>
      <c r="AH269" s="397"/>
      <c r="AI269" s="398"/>
      <c r="AJ269" s="396"/>
      <c r="AK269" s="396" t="s">
        <v>429</v>
      </c>
      <c r="AL269" s="398"/>
      <c r="AM269" s="396" t="s">
        <v>429</v>
      </c>
      <c r="AN269" s="398"/>
      <c r="AO269" s="398"/>
      <c r="AP269" s="397"/>
    </row>
    <row r="270" spans="1:42" ht="16.5" thickBot="1" x14ac:dyDescent="0.3">
      <c r="A270" s="267" t="s">
        <v>29</v>
      </c>
      <c r="B270" s="455" t="s">
        <v>164</v>
      </c>
      <c r="C270" s="1048"/>
      <c r="D270" s="811" t="s">
        <v>1143</v>
      </c>
      <c r="E270" s="304"/>
      <c r="F270" s="307"/>
      <c r="G270" s="319"/>
      <c r="H270" s="320"/>
      <c r="I270" s="321"/>
      <c r="J270" s="559"/>
      <c r="K270" s="313">
        <f>Tabel66892628[[#This Row],[Fix.ch. 2017]]+Tabel66892628[[#This Row],[Var. ch. 2017]]+Tabel66892628[[#This Row],[Oth. ch. DW 2017]]+Tabel66892628[[#This Row],[VAT DW 2017]]</f>
        <v>0</v>
      </c>
      <c r="L270" s="322"/>
      <c r="M270" s="559"/>
      <c r="N270" s="323"/>
      <c r="O270" s="559"/>
      <c r="P270" s="324"/>
      <c r="Q270" s="559"/>
      <c r="R270" s="317">
        <f>Tabel66892628[[#This Row],[VAT DW 2017]]+Tabel66892628[[#This Row],[VAT Sew. 2017]]+Tabel66892628[[#This Row],[VAT WW 2017]]+Tabel66892628[[#This Row],[VAT Other ch. 2017]]</f>
        <v>0</v>
      </c>
      <c r="S270" s="318">
        <f>Tabel66892628[[#This Row],[Total. ch. DW 2017]]+Tabel66892628[[#This Row],[Sew. 2017]]+Tabel66892628[[#This Row],[VAT Sew. 2017]]+Tabel66892628[[#This Row],[WW 2017]]+Tabel66892628[[#This Row],[VAT WW 2017]]+Tabel66892628[[#This Row],[Other ch. 2017]]+Tabel66892628[[#This Row],[VAT Other ch. 2017]]</f>
        <v>0</v>
      </c>
      <c r="T270" s="397"/>
      <c r="U270" s="376"/>
      <c r="V270" s="377"/>
      <c r="W270" s="378"/>
      <c r="X270" s="588"/>
      <c r="Y270" s="379"/>
      <c r="Z270" s="380"/>
      <c r="AA270" s="588"/>
      <c r="AB270" s="381"/>
      <c r="AC270" s="588"/>
      <c r="AD270" s="382"/>
      <c r="AE270" s="588"/>
      <c r="AF270" s="383"/>
      <c r="AG270" s="384"/>
      <c r="AH270" s="397"/>
      <c r="AI270" s="398"/>
      <c r="AJ270" s="398"/>
      <c r="AK270" s="398"/>
      <c r="AL270" s="398"/>
      <c r="AM270" s="398"/>
      <c r="AN270" s="398"/>
      <c r="AO270" s="398"/>
      <c r="AP270" s="397"/>
    </row>
    <row r="271" spans="1:42" ht="15.75" x14ac:dyDescent="0.25">
      <c r="A271" s="1878" t="s">
        <v>927</v>
      </c>
      <c r="B271" s="693" t="s">
        <v>928</v>
      </c>
      <c r="C271" s="693" t="s">
        <v>429</v>
      </c>
      <c r="D271" s="806" t="s">
        <v>1145</v>
      </c>
      <c r="E271" s="1759">
        <v>26500</v>
      </c>
      <c r="F271" s="617">
        <f>'exchange rates'!$O$64</f>
        <v>3.7947000000000002</v>
      </c>
      <c r="G271" s="549">
        <f>884/F271</f>
        <v>232.95649194929769</v>
      </c>
      <c r="H271" s="550">
        <v>0</v>
      </c>
      <c r="I271" s="551">
        <v>0</v>
      </c>
      <c r="J271" s="560">
        <f>70.72/F271</f>
        <v>18.636519355943815</v>
      </c>
      <c r="K271" s="566">
        <f>Tabel66892628[[#This Row],[Fix.ch. 2017]]+Tabel66892628[[#This Row],[Var. ch. 2017]]+Tabel66892628[[#This Row],[Oth. ch. DW 2017]]+Tabel66892628[[#This Row],[VAT DW 2017]]</f>
        <v>251.5930113052415</v>
      </c>
      <c r="L271" s="567">
        <f>0</f>
        <v>0</v>
      </c>
      <c r="M271" s="560">
        <v>0</v>
      </c>
      <c r="N271" s="568">
        <f>442/F271</f>
        <v>116.47824597464884</v>
      </c>
      <c r="O271" s="560">
        <f>35.36/F271</f>
        <v>9.3182596779719074</v>
      </c>
      <c r="P271" s="569">
        <f>48/F271</f>
        <v>12.649221282314807</v>
      </c>
      <c r="Q271" s="560">
        <v>0</v>
      </c>
      <c r="R271" s="570">
        <f>Tabel66892628[[#This Row],[VAT DW 2017]]+Tabel66892628[[#This Row],[VAT Sew. 2017]]+Tabel66892628[[#This Row],[VAT WW 2017]]+Tabel66892628[[#This Row],[VAT Other ch. 2017]]</f>
        <v>27.95477903391572</v>
      </c>
      <c r="S271" s="571">
        <f>Tabel66892628[[#This Row],[Total. ch. DW 2017]]+Tabel66892628[[#This Row],[Sew. 2017]]+Tabel66892628[[#This Row],[VAT Sew. 2017]]+Tabel66892628[[#This Row],[WW 2017]]+Tabel66892628[[#This Row],[VAT WW 2017]]+Tabel66892628[[#This Row],[Other ch. 2017]]+Tabel66892628[[#This Row],[VAT Other ch. 2017]]</f>
        <v>390.03873824017705</v>
      </c>
      <c r="T271" s="397"/>
      <c r="U271" s="1762">
        <f>MEDIAN(G271:G273)</f>
        <v>232.95649194929769</v>
      </c>
      <c r="V271" s="1765">
        <f>MEDIAN(H271:H273)</f>
        <v>0</v>
      </c>
      <c r="W271" s="1768">
        <f>MEDIAN(I271:I273)</f>
        <v>0</v>
      </c>
      <c r="X271" s="1771">
        <f>MEDIAN(J271:J273)</f>
        <v>18.636519355943815</v>
      </c>
      <c r="Y271" s="1774">
        <f>SUM(U271:X273)</f>
        <v>251.5930113052415</v>
      </c>
      <c r="Z271" s="1777">
        <f t="shared" ref="Z271:AF271" si="34">MEDIAN(L271:L273)</f>
        <v>0</v>
      </c>
      <c r="AA271" s="1771">
        <f t="shared" si="34"/>
        <v>0</v>
      </c>
      <c r="AB271" s="1810">
        <f t="shared" si="34"/>
        <v>116.47824597464884</v>
      </c>
      <c r="AC271" s="1771">
        <f t="shared" si="34"/>
        <v>7.88468126597623</v>
      </c>
      <c r="AD271" s="1812">
        <f t="shared" si="34"/>
        <v>12.649221282314807</v>
      </c>
      <c r="AE271" s="1771">
        <f t="shared" si="34"/>
        <v>0</v>
      </c>
      <c r="AF271" s="1814">
        <f t="shared" si="34"/>
        <v>25.340606635570662</v>
      </c>
      <c r="AG271" s="1793">
        <f>Y271+Z271+AA271+AB271+AC271+AD271+AE271</f>
        <v>388.60515982818134</v>
      </c>
      <c r="AH271" s="397"/>
      <c r="AI271" s="398"/>
      <c r="AJ271" s="398"/>
      <c r="AK271" s="398"/>
      <c r="AL271" s="398"/>
      <c r="AM271" s="398"/>
      <c r="AN271" s="398"/>
      <c r="AO271" s="398"/>
      <c r="AP271" s="397"/>
    </row>
    <row r="272" spans="1:42" ht="15.75" x14ac:dyDescent="0.25">
      <c r="A272" s="1757"/>
      <c r="B272" s="639" t="s">
        <v>929</v>
      </c>
      <c r="C272" s="639"/>
      <c r="D272" s="724" t="s">
        <v>1145</v>
      </c>
      <c r="E272" s="1760"/>
      <c r="F272" s="617">
        <f>'exchange rates'!$O$64</f>
        <v>3.7947000000000002</v>
      </c>
      <c r="G272" s="549">
        <f>1296/F272</f>
        <v>341.52897462249979</v>
      </c>
      <c r="H272" s="550">
        <v>0</v>
      </c>
      <c r="I272" s="551">
        <f>(4.47*12)/F272</f>
        <v>14.135504782986796</v>
      </c>
      <c r="J272" s="560">
        <f>71.2/F272</f>
        <v>18.763011568766963</v>
      </c>
      <c r="K272" s="566">
        <f>Tabel66892628[[#This Row],[Fix.ch. 2017]]+Tabel66892628[[#This Row],[Var. ch. 2017]]+Tabel66892628[[#This Row],[Oth. ch. DW 2017]]+Tabel66892628[[#This Row],[VAT DW 2017]]</f>
        <v>374.42749097425354</v>
      </c>
      <c r="L272" s="567">
        <v>0</v>
      </c>
      <c r="M272" s="560">
        <v>0</v>
      </c>
      <c r="N272" s="568">
        <f>458/F272</f>
        <v>120.69465306875378</v>
      </c>
      <c r="O272" s="560">
        <f>24.96/F272</f>
        <v>6.5775950668037</v>
      </c>
      <c r="P272" s="569">
        <f>48/F272</f>
        <v>12.649221282314807</v>
      </c>
      <c r="Q272" s="560">
        <v>0</v>
      </c>
      <c r="R272" s="570">
        <f>Tabel66892628[[#This Row],[VAT DW 2017]]+Tabel66892628[[#This Row],[VAT Sew. 2017]]+Tabel66892628[[#This Row],[VAT WW 2017]]+Tabel66892628[[#This Row],[VAT Other ch. 2017]]</f>
        <v>25.340606635570662</v>
      </c>
      <c r="S272" s="571">
        <f>Tabel66892628[[#This Row],[Total. ch. DW 2017]]+Tabel66892628[[#This Row],[Sew. 2017]]+Tabel66892628[[#This Row],[VAT Sew. 2017]]+Tabel66892628[[#This Row],[WW 2017]]+Tabel66892628[[#This Row],[VAT WW 2017]]+Tabel66892628[[#This Row],[Other ch. 2017]]+Tabel66892628[[#This Row],[VAT Other ch. 2017]]</f>
        <v>514.34896039212583</v>
      </c>
      <c r="T272" s="397"/>
      <c r="U272" s="2188"/>
      <c r="V272" s="1766"/>
      <c r="W272" s="1769"/>
      <c r="X272" s="1772"/>
      <c r="Y272" s="1775"/>
      <c r="Z272" s="1778"/>
      <c r="AA272" s="1772"/>
      <c r="AB272" s="1781"/>
      <c r="AC272" s="1772"/>
      <c r="AD272" s="1785"/>
      <c r="AE272" s="1772"/>
      <c r="AF272" s="1788"/>
      <c r="AG272" s="1791"/>
      <c r="AH272" s="397"/>
      <c r="AI272" s="398"/>
      <c r="AJ272" s="398"/>
      <c r="AK272" s="398"/>
      <c r="AL272" s="591" t="s">
        <v>429</v>
      </c>
      <c r="AM272" s="591" t="s">
        <v>429</v>
      </c>
      <c r="AN272" s="398"/>
      <c r="AO272" s="398"/>
      <c r="AP272" s="397"/>
    </row>
    <row r="273" spans="1:42" ht="16.5" thickBot="1" x14ac:dyDescent="0.3">
      <c r="A273" s="1758"/>
      <c r="B273" s="652" t="s">
        <v>930</v>
      </c>
      <c r="C273" s="652"/>
      <c r="D273" s="807" t="s">
        <v>1145</v>
      </c>
      <c r="E273" s="1761"/>
      <c r="F273" s="617">
        <f>'exchange rates'!$O$64</f>
        <v>3.7947000000000002</v>
      </c>
      <c r="G273" s="549">
        <f>458/F273</f>
        <v>120.69465306875378</v>
      </c>
      <c r="H273" s="550">
        <v>0</v>
      </c>
      <c r="I273" s="551">
        <v>0</v>
      </c>
      <c r="J273" s="560">
        <f>36.64/F273</f>
        <v>9.6555722455003021</v>
      </c>
      <c r="K273" s="566">
        <f>Tabel66892628[[#This Row],[Fix.ch. 2017]]+Tabel66892628[[#This Row],[Var. ch. 2017]]+Tabel66892628[[#This Row],[Oth. ch. DW 2017]]+Tabel66892628[[#This Row],[VAT DW 2017]]</f>
        <v>130.35022531425409</v>
      </c>
      <c r="L273" s="567">
        <v>0</v>
      </c>
      <c r="M273" s="560">
        <v>0</v>
      </c>
      <c r="N273" s="568">
        <f>374/F273</f>
        <v>98.558515824702866</v>
      </c>
      <c r="O273" s="560">
        <f>29.92/F273</f>
        <v>7.88468126597623</v>
      </c>
      <c r="P273" s="569">
        <f>48/F273</f>
        <v>12.649221282314807</v>
      </c>
      <c r="Q273" s="560">
        <v>0</v>
      </c>
      <c r="R273" s="570">
        <f>Tabel66892628[[#This Row],[VAT DW 2017]]+Tabel66892628[[#This Row],[VAT Sew. 2017]]+Tabel66892628[[#This Row],[VAT WW 2017]]+Tabel66892628[[#This Row],[VAT Other ch. 2017]]</f>
        <v>17.540253511476532</v>
      </c>
      <c r="S273" s="571">
        <f>Tabel66892628[[#This Row],[Total. ch. DW 2017]]+Tabel66892628[[#This Row],[Sew. 2017]]+Tabel66892628[[#This Row],[VAT Sew. 2017]]+Tabel66892628[[#This Row],[WW 2017]]+Tabel66892628[[#This Row],[VAT WW 2017]]+Tabel66892628[[#This Row],[Other ch. 2017]]+Tabel66892628[[#This Row],[VAT Other ch. 2017]]</f>
        <v>249.44264368724799</v>
      </c>
      <c r="T273" s="397"/>
      <c r="U273" s="2189"/>
      <c r="V273" s="1767"/>
      <c r="W273" s="1770"/>
      <c r="X273" s="1773"/>
      <c r="Y273" s="1776"/>
      <c r="Z273" s="1779"/>
      <c r="AA273" s="1773"/>
      <c r="AB273" s="1811"/>
      <c r="AC273" s="1773"/>
      <c r="AD273" s="1813"/>
      <c r="AE273" s="1773"/>
      <c r="AF273" s="1815"/>
      <c r="AG273" s="1794"/>
      <c r="AH273" s="397"/>
      <c r="AI273" s="398"/>
      <c r="AJ273" s="398"/>
      <c r="AK273" s="398"/>
      <c r="AL273" s="398"/>
      <c r="AM273" s="398"/>
      <c r="AN273" s="398"/>
      <c r="AO273" s="398"/>
      <c r="AP273" s="397"/>
    </row>
    <row r="274" spans="1:42" ht="18" customHeight="1" x14ac:dyDescent="0.25">
      <c r="A274" s="1878" t="s">
        <v>505</v>
      </c>
      <c r="B274" s="690" t="s">
        <v>746</v>
      </c>
      <c r="C274" s="693" t="s">
        <v>429</v>
      </c>
      <c r="D274" s="806" t="s">
        <v>1147</v>
      </c>
      <c r="E274" s="2185">
        <v>2400</v>
      </c>
      <c r="F274" s="617">
        <f>'exchange rates'!$O$65</f>
        <v>3628.4174400000002</v>
      </c>
      <c r="G274" s="549">
        <f>18000/F274</f>
        <v>4.9608404483911857</v>
      </c>
      <c r="H274" s="550">
        <f>639800/F274</f>
        <v>176.33031771559337</v>
      </c>
      <c r="I274" s="551">
        <v>0</v>
      </c>
      <c r="J274" s="560">
        <f>115164/F274</f>
        <v>31.739457188806806</v>
      </c>
      <c r="K274" s="566">
        <f>Tabel66892628[[#This Row],[Fix.ch. 2017]]+Tabel66892628[[#This Row],[Var. ch. 2017]]+Tabel66892628[[#This Row],[Oth. ch. DW 2017]]+Tabel66892628[[#This Row],[VAT DW 2017]]</f>
        <v>213.03061535279136</v>
      </c>
      <c r="L274" s="567">
        <f>479850/F274</f>
        <v>132.24773828669504</v>
      </c>
      <c r="M274" s="560">
        <f>86373/F274</f>
        <v>23.804592891605107</v>
      </c>
      <c r="N274" s="568">
        <v>0</v>
      </c>
      <c r="O274" s="560">
        <v>0</v>
      </c>
      <c r="P274" s="569">
        <v>0</v>
      </c>
      <c r="Q274" s="560">
        <v>0</v>
      </c>
      <c r="R274" s="570">
        <f>Tabel66892628[[#This Row],[VAT DW 2017]]+Tabel66892628[[#This Row],[VAT Sew. 2017]]+Tabel66892628[[#This Row],[VAT WW 2017]]+Tabel66892628[[#This Row],[VAT Other ch. 2017]]</f>
        <v>55.544050080411914</v>
      </c>
      <c r="S274" s="571">
        <f>Tabel66892628[[#This Row],[Total. ch. DW 2017]]+Tabel66892628[[#This Row],[Sew. 2017]]+Tabel66892628[[#This Row],[VAT Sew. 2017]]+Tabel66892628[[#This Row],[WW 2017]]+Tabel66892628[[#This Row],[VAT WW 2017]]+Tabel66892628[[#This Row],[Other ch. 2017]]+Tabel66892628[[#This Row],[VAT Other ch. 2017]]</f>
        <v>369.08294653109152</v>
      </c>
      <c r="T274" s="397"/>
      <c r="U274" s="1984">
        <f>MEDIAN(G274:G277)</f>
        <v>4.9608404483911857</v>
      </c>
      <c r="V274" s="1985">
        <f>MEDIAN(H274:H277)</f>
        <v>176.33031771559337</v>
      </c>
      <c r="W274" s="1986">
        <f>MEDIAN(I274:I277)</f>
        <v>0</v>
      </c>
      <c r="X274" s="1908">
        <f>MEDIAN(J274:J277)</f>
        <v>31.739457188806806</v>
      </c>
      <c r="Y274" s="1987">
        <f>SUM(U274:X277)</f>
        <v>213.03061535279136</v>
      </c>
      <c r="Z274" s="2031">
        <f t="shared" ref="Z274:AF274" si="35">MEDIAN(L274:L277)</f>
        <v>132.24773828669504</v>
      </c>
      <c r="AA274" s="1908">
        <f t="shared" si="35"/>
        <v>23.804592891605107</v>
      </c>
      <c r="AB274" s="2032">
        <f t="shared" si="35"/>
        <v>0</v>
      </c>
      <c r="AC274" s="1908">
        <f t="shared" si="35"/>
        <v>0</v>
      </c>
      <c r="AD274" s="2028">
        <f t="shared" si="35"/>
        <v>0</v>
      </c>
      <c r="AE274" s="1908">
        <f t="shared" si="35"/>
        <v>0</v>
      </c>
      <c r="AF274" s="1988">
        <f t="shared" si="35"/>
        <v>55.544050080411914</v>
      </c>
      <c r="AG274" s="2190">
        <f>Y274+Z274+AA274+AB274+AC274+AD274+AE274</f>
        <v>369.08294653109152</v>
      </c>
      <c r="AH274" s="397"/>
      <c r="AI274" s="398"/>
      <c r="AJ274" s="591" t="s">
        <v>429</v>
      </c>
      <c r="AK274" s="614"/>
      <c r="AL274" s="614"/>
      <c r="AM274" s="591" t="s">
        <v>429</v>
      </c>
      <c r="AN274" s="396"/>
      <c r="AO274" s="398"/>
      <c r="AP274" s="397"/>
    </row>
    <row r="275" spans="1:42" ht="15.75" x14ac:dyDescent="0.25">
      <c r="A275" s="1757"/>
      <c r="B275" s="639" t="s">
        <v>747</v>
      </c>
      <c r="C275" s="639"/>
      <c r="D275" s="724" t="s">
        <v>1147</v>
      </c>
      <c r="E275" s="2186"/>
      <c r="F275" s="617">
        <f>'exchange rates'!$O$65</f>
        <v>3628.4174400000002</v>
      </c>
      <c r="G275" s="549">
        <f>18000/F275</f>
        <v>4.9608404483911857</v>
      </c>
      <c r="H275" s="550">
        <f>639800/F275</f>
        <v>176.33031771559337</v>
      </c>
      <c r="I275" s="551">
        <v>0</v>
      </c>
      <c r="J275" s="560">
        <f>115164/F275</f>
        <v>31.739457188806806</v>
      </c>
      <c r="K275" s="566">
        <f>Tabel66892628[[#This Row],[Fix.ch. 2017]]+Tabel66892628[[#This Row],[Var. ch. 2017]]+Tabel66892628[[#This Row],[Oth. ch. DW 2017]]+Tabel66892628[[#This Row],[VAT DW 2017]]</f>
        <v>213.03061535279136</v>
      </c>
      <c r="L275" s="567">
        <f>479850/F275</f>
        <v>132.24773828669504</v>
      </c>
      <c r="M275" s="560">
        <f>86373/F275</f>
        <v>23.804592891605107</v>
      </c>
      <c r="N275" s="568">
        <v>0</v>
      </c>
      <c r="O275" s="560">
        <v>0</v>
      </c>
      <c r="P275" s="569">
        <v>0</v>
      </c>
      <c r="Q275" s="560">
        <v>0</v>
      </c>
      <c r="R275" s="570">
        <f>Tabel66892628[[#This Row],[VAT DW 2017]]+Tabel66892628[[#This Row],[VAT Sew. 2017]]+Tabel66892628[[#This Row],[VAT WW 2017]]+Tabel66892628[[#This Row],[VAT Other ch. 2017]]</f>
        <v>55.544050080411914</v>
      </c>
      <c r="S275" s="571">
        <f>Tabel66892628[[#This Row],[Total. ch. DW 2017]]+Tabel66892628[[#This Row],[Sew. 2017]]+Tabel66892628[[#This Row],[VAT Sew. 2017]]+Tabel66892628[[#This Row],[WW 2017]]+Tabel66892628[[#This Row],[VAT WW 2017]]+Tabel66892628[[#This Row],[Other ch. 2017]]+Tabel66892628[[#This Row],[VAT Other ch. 2017]]</f>
        <v>369.08294653109152</v>
      </c>
      <c r="T275" s="397"/>
      <c r="U275" s="1763"/>
      <c r="V275" s="1766"/>
      <c r="W275" s="1769"/>
      <c r="X275" s="1772"/>
      <c r="Y275" s="1775"/>
      <c r="Z275" s="1778"/>
      <c r="AA275" s="1772"/>
      <c r="AB275" s="1781"/>
      <c r="AC275" s="1772"/>
      <c r="AD275" s="1785"/>
      <c r="AE275" s="1772"/>
      <c r="AF275" s="1788"/>
      <c r="AG275" s="1791"/>
      <c r="AH275" s="397"/>
      <c r="AI275" s="398"/>
      <c r="AJ275" s="591" t="s">
        <v>429</v>
      </c>
      <c r="AK275" s="614"/>
      <c r="AL275" s="614"/>
      <c r="AM275" s="591" t="s">
        <v>429</v>
      </c>
      <c r="AN275" s="396"/>
      <c r="AO275" s="398"/>
      <c r="AP275" s="397"/>
    </row>
    <row r="276" spans="1:42" ht="15.75" x14ac:dyDescent="0.25">
      <c r="A276" s="1757"/>
      <c r="B276" s="639" t="s">
        <v>748</v>
      </c>
      <c r="C276" s="639"/>
      <c r="D276" s="724" t="s">
        <v>1147</v>
      </c>
      <c r="E276" s="2186"/>
      <c r="F276" s="617">
        <f>'exchange rates'!$O$65</f>
        <v>3628.4174400000002</v>
      </c>
      <c r="G276" s="549">
        <f t="shared" ref="G276:G277" si="36">18000/F276</f>
        <v>4.9608404483911857</v>
      </c>
      <c r="H276" s="550">
        <f t="shared" ref="H276:H277" si="37">639800/F276</f>
        <v>176.33031771559337</v>
      </c>
      <c r="I276" s="551">
        <v>0</v>
      </c>
      <c r="J276" s="560">
        <f t="shared" ref="J276:J277" si="38">115164/F276</f>
        <v>31.739457188806806</v>
      </c>
      <c r="K276" s="566">
        <f>Tabel66892628[[#This Row],[Fix.ch. 2017]]+Tabel66892628[[#This Row],[Var. ch. 2017]]+Tabel66892628[[#This Row],[Oth. ch. DW 2017]]+Tabel66892628[[#This Row],[VAT DW 2017]]</f>
        <v>213.03061535279136</v>
      </c>
      <c r="L276" s="567">
        <f t="shared" ref="L276:L277" si="39">479850/F276</f>
        <v>132.24773828669504</v>
      </c>
      <c r="M276" s="560">
        <f t="shared" ref="M276:M277" si="40">86373/F276</f>
        <v>23.804592891605107</v>
      </c>
      <c r="N276" s="568">
        <v>0</v>
      </c>
      <c r="O276" s="560">
        <v>0</v>
      </c>
      <c r="P276" s="569">
        <v>0</v>
      </c>
      <c r="Q276" s="560">
        <v>0</v>
      </c>
      <c r="R276" s="570">
        <f>Tabel66892628[[#This Row],[VAT DW 2017]]+Tabel66892628[[#This Row],[VAT Sew. 2017]]+Tabel66892628[[#This Row],[VAT WW 2017]]+Tabel66892628[[#This Row],[VAT Other ch. 2017]]</f>
        <v>55.544050080411914</v>
      </c>
      <c r="S276" s="571">
        <f>Tabel66892628[[#This Row],[Total. ch. DW 2017]]+Tabel66892628[[#This Row],[Sew. 2017]]+Tabel66892628[[#This Row],[VAT Sew. 2017]]+Tabel66892628[[#This Row],[WW 2017]]+Tabel66892628[[#This Row],[VAT WW 2017]]+Tabel66892628[[#This Row],[Other ch. 2017]]+Tabel66892628[[#This Row],[VAT Other ch. 2017]]</f>
        <v>369.08294653109152</v>
      </c>
      <c r="T276" s="397"/>
      <c r="U276" s="1763"/>
      <c r="V276" s="1766"/>
      <c r="W276" s="1769"/>
      <c r="X276" s="1772"/>
      <c r="Y276" s="1775"/>
      <c r="Z276" s="1778"/>
      <c r="AA276" s="1772"/>
      <c r="AB276" s="1781"/>
      <c r="AC276" s="1772"/>
      <c r="AD276" s="1785"/>
      <c r="AE276" s="1772"/>
      <c r="AF276" s="1788"/>
      <c r="AG276" s="1791"/>
      <c r="AH276" s="397"/>
      <c r="AI276" s="398"/>
      <c r="AJ276" s="591" t="s">
        <v>429</v>
      </c>
      <c r="AK276" s="614"/>
      <c r="AL276" s="614"/>
      <c r="AM276" s="591" t="s">
        <v>429</v>
      </c>
      <c r="AN276" s="396"/>
      <c r="AO276" s="398"/>
      <c r="AP276" s="397"/>
    </row>
    <row r="277" spans="1:42" ht="16.5" thickBot="1" x14ac:dyDescent="0.3">
      <c r="A277" s="1758"/>
      <c r="B277" s="652" t="s">
        <v>749</v>
      </c>
      <c r="C277" s="652"/>
      <c r="D277" s="807" t="s">
        <v>1147</v>
      </c>
      <c r="E277" s="2187"/>
      <c r="F277" s="617">
        <f>'exchange rates'!$O$65</f>
        <v>3628.4174400000002</v>
      </c>
      <c r="G277" s="549">
        <f t="shared" si="36"/>
        <v>4.9608404483911857</v>
      </c>
      <c r="H277" s="550">
        <f t="shared" si="37"/>
        <v>176.33031771559337</v>
      </c>
      <c r="I277" s="551">
        <v>0</v>
      </c>
      <c r="J277" s="560">
        <f t="shared" si="38"/>
        <v>31.739457188806806</v>
      </c>
      <c r="K277" s="566">
        <f>Tabel66892628[[#This Row],[Fix.ch. 2017]]+Tabel66892628[[#This Row],[Var. ch. 2017]]+Tabel66892628[[#This Row],[Oth. ch. DW 2017]]+Tabel66892628[[#This Row],[VAT DW 2017]]</f>
        <v>213.03061535279136</v>
      </c>
      <c r="L277" s="567">
        <f t="shared" si="39"/>
        <v>132.24773828669504</v>
      </c>
      <c r="M277" s="560">
        <f t="shared" si="40"/>
        <v>23.804592891605107</v>
      </c>
      <c r="N277" s="568">
        <v>0</v>
      </c>
      <c r="O277" s="560">
        <v>0</v>
      </c>
      <c r="P277" s="569">
        <v>0</v>
      </c>
      <c r="Q277" s="560">
        <v>0</v>
      </c>
      <c r="R277" s="570">
        <f>Tabel66892628[[#This Row],[VAT DW 2017]]+Tabel66892628[[#This Row],[VAT Sew. 2017]]+Tabel66892628[[#This Row],[VAT WW 2017]]+Tabel66892628[[#This Row],[VAT Other ch. 2017]]</f>
        <v>55.544050080411914</v>
      </c>
      <c r="S277" s="571">
        <f>Tabel66892628[[#This Row],[Total. ch. DW 2017]]+Tabel66892628[[#This Row],[Sew. 2017]]+Tabel66892628[[#This Row],[VAT Sew. 2017]]+Tabel66892628[[#This Row],[WW 2017]]+Tabel66892628[[#This Row],[VAT WW 2017]]+Tabel66892628[[#This Row],[Other ch. 2017]]+Tabel66892628[[#This Row],[VAT Other ch. 2017]]</f>
        <v>369.08294653109152</v>
      </c>
      <c r="T277" s="397"/>
      <c r="U277" s="1764"/>
      <c r="V277" s="1767"/>
      <c r="W277" s="1770"/>
      <c r="X277" s="1773"/>
      <c r="Y277" s="1776"/>
      <c r="Z277" s="1779"/>
      <c r="AA277" s="1773"/>
      <c r="AB277" s="1811"/>
      <c r="AC277" s="1773"/>
      <c r="AD277" s="1813"/>
      <c r="AE277" s="1773"/>
      <c r="AF277" s="1815"/>
      <c r="AG277" s="1794"/>
      <c r="AH277" s="397"/>
      <c r="AI277" s="398"/>
      <c r="AJ277" s="591" t="s">
        <v>429</v>
      </c>
      <c r="AK277" s="614"/>
      <c r="AL277" s="614"/>
      <c r="AM277" s="591" t="s">
        <v>429</v>
      </c>
      <c r="AN277" s="396"/>
      <c r="AO277" s="398"/>
      <c r="AP277" s="397"/>
    </row>
    <row r="278" spans="1:42" ht="15.75" customHeight="1" x14ac:dyDescent="0.25">
      <c r="A278" s="1818" t="s">
        <v>456</v>
      </c>
      <c r="B278" s="663" t="s">
        <v>165</v>
      </c>
      <c r="C278" s="1046"/>
      <c r="D278" s="802" t="s">
        <v>1149</v>
      </c>
      <c r="E278" s="2196">
        <v>43600</v>
      </c>
      <c r="F278" s="617">
        <f>'exchange rates'!$O$66</f>
        <v>0.73992000000000002</v>
      </c>
      <c r="G278" s="549">
        <f>26.08/F278</f>
        <v>35.247053735538977</v>
      </c>
      <c r="H278" s="550">
        <f>303.86/F278</f>
        <v>410.66601794788625</v>
      </c>
      <c r="I278" s="551">
        <v>0</v>
      </c>
      <c r="J278" s="560">
        <v>0</v>
      </c>
      <c r="K278" s="566">
        <f>Tabel66892628[[#This Row],[Fix.ch. 2017]]+Tabel66892628[[#This Row],[Var. ch. 2017]]+Tabel66892628[[#This Row],[Oth. ch. DW 2017]]+Tabel66892628[[#This Row],[VAT DW 2017]]</f>
        <v>445.91307168342524</v>
      </c>
      <c r="L278" s="567">
        <v>0</v>
      </c>
      <c r="M278" s="560">
        <v>0</v>
      </c>
      <c r="N278" s="568">
        <f>262.02/F278</f>
        <v>354.11936425559514</v>
      </c>
      <c r="O278" s="560">
        <v>0</v>
      </c>
      <c r="P278" s="569">
        <v>0</v>
      </c>
      <c r="Q278" s="560">
        <v>0</v>
      </c>
      <c r="R278" s="570">
        <f>Tabel66892628[[#This Row],[VAT DW 2017]]+Tabel66892628[[#This Row],[VAT Sew. 2017]]+Tabel66892628[[#This Row],[VAT WW 2017]]+Tabel66892628[[#This Row],[VAT Other ch. 2017]]</f>
        <v>0</v>
      </c>
      <c r="S278" s="571">
        <f>Tabel66892628[[#This Row],[Total. ch. DW 2017]]+Tabel66892628[[#This Row],[Sew. 2017]]+Tabel66892628[[#This Row],[VAT Sew. 2017]]+Tabel66892628[[#This Row],[WW 2017]]+Tabel66892628[[#This Row],[VAT WW 2017]]+Tabel66892628[[#This Row],[Other ch. 2017]]+Tabel66892628[[#This Row],[VAT Other ch. 2017]]</f>
        <v>800.03243593902039</v>
      </c>
      <c r="T278" s="397"/>
      <c r="U278" s="2197">
        <f>MEDIAN(G278:G282)</f>
        <v>42.301870472483515</v>
      </c>
      <c r="V278" s="2198">
        <f>MEDIAN(H278:H282)</f>
        <v>364.36371499621583</v>
      </c>
      <c r="W278" s="2199">
        <f>MEDIAN(I278:I282)</f>
        <v>0</v>
      </c>
      <c r="X278" s="1908">
        <f>MEDIAN(J278:J282)</f>
        <v>0</v>
      </c>
      <c r="Y278" s="2200">
        <f>SUM(U278:X282)</f>
        <v>406.66558546869936</v>
      </c>
      <c r="Z278" s="2201">
        <f t="shared" ref="Z278:AF278" si="41">MEDIAN(L278:L282)</f>
        <v>0</v>
      </c>
      <c r="AA278" s="1908">
        <f t="shared" si="41"/>
        <v>0</v>
      </c>
      <c r="AB278" s="2193">
        <f t="shared" si="41"/>
        <v>447.87274299924314</v>
      </c>
      <c r="AC278" s="1908">
        <f t="shared" si="41"/>
        <v>0</v>
      </c>
      <c r="AD278" s="2194">
        <f t="shared" si="41"/>
        <v>0</v>
      </c>
      <c r="AE278" s="1908">
        <f t="shared" si="41"/>
        <v>0</v>
      </c>
      <c r="AF278" s="2195">
        <f t="shared" si="41"/>
        <v>0</v>
      </c>
      <c r="AG278" s="2202">
        <f>Y278+Z278+AA278+AB278+AC278+AD278+AE278</f>
        <v>854.53832846794251</v>
      </c>
      <c r="AH278" s="397"/>
      <c r="AI278" s="398"/>
      <c r="AJ278" s="398"/>
      <c r="AK278" s="398"/>
      <c r="AL278" s="398"/>
      <c r="AM278" s="398"/>
      <c r="AN278" s="398"/>
      <c r="AO278" s="398"/>
      <c r="AP278" s="2191"/>
    </row>
    <row r="279" spans="1:42" ht="15.75" customHeight="1" x14ac:dyDescent="0.25">
      <c r="A279" s="1819"/>
      <c r="B279" s="547" t="s">
        <v>166</v>
      </c>
      <c r="C279" s="1046" t="s">
        <v>429</v>
      </c>
      <c r="D279" s="802" t="s">
        <v>1149</v>
      </c>
      <c r="E279" s="1760"/>
      <c r="F279" s="617">
        <f>'exchange rates'!$O$66</f>
        <v>0.73992000000000002</v>
      </c>
      <c r="G279" s="549">
        <f>34.45/F279</f>
        <v>46.559087468915564</v>
      </c>
      <c r="H279" s="550">
        <f>256.18/F279</f>
        <v>346.22661909395612</v>
      </c>
      <c r="I279" s="551">
        <v>0</v>
      </c>
      <c r="J279" s="560">
        <v>0</v>
      </c>
      <c r="K279" s="566">
        <f>Tabel66892628[[#This Row],[Fix.ch. 2017]]+Tabel66892628[[#This Row],[Var. ch. 2017]]+Tabel66892628[[#This Row],[Oth. ch. DW 2017]]+Tabel66892628[[#This Row],[VAT DW 2017]]</f>
        <v>392.78570656287167</v>
      </c>
      <c r="L279" s="567">
        <v>0</v>
      </c>
      <c r="M279" s="560">
        <v>0</v>
      </c>
      <c r="N279" s="568">
        <f>411.25/F279</f>
        <v>555.80333008973946</v>
      </c>
      <c r="O279" s="560">
        <v>0</v>
      </c>
      <c r="P279" s="569">
        <v>0</v>
      </c>
      <c r="Q279" s="560">
        <v>0</v>
      </c>
      <c r="R279" s="570">
        <f>Tabel66892628[[#This Row],[VAT DW 2017]]+Tabel66892628[[#This Row],[VAT Sew. 2017]]+Tabel66892628[[#This Row],[VAT WW 2017]]+Tabel66892628[[#This Row],[VAT Other ch. 2017]]</f>
        <v>0</v>
      </c>
      <c r="S279" s="571">
        <f>Tabel66892628[[#This Row],[Total. ch. DW 2017]]+Tabel66892628[[#This Row],[Sew. 2017]]+Tabel66892628[[#This Row],[VAT Sew. 2017]]+Tabel66892628[[#This Row],[WW 2017]]+Tabel66892628[[#This Row],[VAT WW 2017]]+Tabel66892628[[#This Row],[Other ch. 2017]]+Tabel66892628[[#This Row],[VAT Other ch. 2017]]</f>
        <v>948.58903665261118</v>
      </c>
      <c r="T279" s="397"/>
      <c r="U279" s="1763"/>
      <c r="V279" s="1766"/>
      <c r="W279" s="1769"/>
      <c r="X279" s="1772"/>
      <c r="Y279" s="1775"/>
      <c r="Z279" s="1778"/>
      <c r="AA279" s="1772"/>
      <c r="AB279" s="1781"/>
      <c r="AC279" s="1772"/>
      <c r="AD279" s="1785"/>
      <c r="AE279" s="1772"/>
      <c r="AF279" s="1788"/>
      <c r="AG279" s="1791"/>
      <c r="AH279" s="397"/>
      <c r="AI279" s="398"/>
      <c r="AJ279" s="398"/>
      <c r="AK279" s="398"/>
      <c r="AL279" s="398"/>
      <c r="AM279" s="398"/>
      <c r="AN279" s="398"/>
      <c r="AO279" s="398"/>
      <c r="AP279" s="2191"/>
    </row>
    <row r="280" spans="1:42" ht="15.75" customHeight="1" x14ac:dyDescent="0.25">
      <c r="A280" s="1819"/>
      <c r="B280" s="547" t="s">
        <v>167</v>
      </c>
      <c r="C280" s="1046" t="s">
        <v>429</v>
      </c>
      <c r="D280" s="802" t="s">
        <v>1149</v>
      </c>
      <c r="E280" s="1760"/>
      <c r="F280" s="617">
        <f>'exchange rates'!$O$66</f>
        <v>0.73992000000000002</v>
      </c>
      <c r="G280" s="549">
        <f>31.3/F280</f>
        <v>42.301870472483515</v>
      </c>
      <c r="H280" s="550">
        <f>256.74/F280</f>
        <v>346.98345767109959</v>
      </c>
      <c r="I280" s="551">
        <v>0</v>
      </c>
      <c r="J280" s="560">
        <v>0</v>
      </c>
      <c r="K280" s="566">
        <f>Tabel66892628[[#This Row],[Fix.ch. 2017]]+Tabel66892628[[#This Row],[Var. ch. 2017]]+Tabel66892628[[#This Row],[Oth. ch. DW 2017]]+Tabel66892628[[#This Row],[VAT DW 2017]]</f>
        <v>389.28532814358311</v>
      </c>
      <c r="L280" s="567">
        <v>0</v>
      </c>
      <c r="M280" s="560">
        <v>0</v>
      </c>
      <c r="N280" s="568">
        <f>195.87/F280</f>
        <v>264.71780733052219</v>
      </c>
      <c r="O280" s="560">
        <v>0</v>
      </c>
      <c r="P280" s="569">
        <v>0</v>
      </c>
      <c r="Q280" s="560">
        <v>0</v>
      </c>
      <c r="R280" s="570">
        <f>Tabel66892628[[#This Row],[VAT DW 2017]]+Tabel66892628[[#This Row],[VAT Sew. 2017]]+Tabel66892628[[#This Row],[VAT WW 2017]]+Tabel66892628[[#This Row],[VAT Other ch. 2017]]</f>
        <v>0</v>
      </c>
      <c r="S280" s="571">
        <f>Tabel66892628[[#This Row],[Total. ch. DW 2017]]+Tabel66892628[[#This Row],[Sew. 2017]]+Tabel66892628[[#This Row],[VAT Sew. 2017]]+Tabel66892628[[#This Row],[WW 2017]]+Tabel66892628[[#This Row],[VAT WW 2017]]+Tabel66892628[[#This Row],[Other ch. 2017]]+Tabel66892628[[#This Row],[VAT Other ch. 2017]]</f>
        <v>654.00313547410531</v>
      </c>
      <c r="T280" s="397"/>
      <c r="U280" s="1763"/>
      <c r="V280" s="1766"/>
      <c r="W280" s="1769"/>
      <c r="X280" s="1772"/>
      <c r="Y280" s="1775"/>
      <c r="Z280" s="1778"/>
      <c r="AA280" s="1772"/>
      <c r="AB280" s="1781"/>
      <c r="AC280" s="1772"/>
      <c r="AD280" s="1785"/>
      <c r="AE280" s="1772"/>
      <c r="AF280" s="1788"/>
      <c r="AG280" s="1791"/>
      <c r="AH280" s="397"/>
      <c r="AI280" s="398"/>
      <c r="AJ280" s="398"/>
      <c r="AK280" s="398"/>
      <c r="AL280" s="398"/>
      <c r="AM280" s="398"/>
      <c r="AN280" s="398"/>
      <c r="AO280" s="398"/>
      <c r="AP280" s="2191"/>
    </row>
    <row r="281" spans="1:42" ht="15.75" customHeight="1" x14ac:dyDescent="0.25">
      <c r="A281" s="1819"/>
      <c r="B281" s="547" t="s">
        <v>168</v>
      </c>
      <c r="C281" s="1046"/>
      <c r="D281" s="802" t="s">
        <v>1149</v>
      </c>
      <c r="E281" s="1760"/>
      <c r="F281" s="617">
        <f>'exchange rates'!$O$66</f>
        <v>0.73992000000000002</v>
      </c>
      <c r="G281" s="549">
        <f>31.84/F281</f>
        <v>43.031679100443291</v>
      </c>
      <c r="H281" s="550">
        <f>352.4/F281</f>
        <v>476.26770461671526</v>
      </c>
      <c r="I281" s="551">
        <v>0</v>
      </c>
      <c r="J281" s="560">
        <v>0</v>
      </c>
      <c r="K281" s="566">
        <f>Tabel66892628[[#This Row],[Fix.ch. 2017]]+Tabel66892628[[#This Row],[Var. ch. 2017]]+Tabel66892628[[#This Row],[Oth. ch. DW 2017]]+Tabel66892628[[#This Row],[VAT DW 2017]]</f>
        <v>519.29938371715855</v>
      </c>
      <c r="L281" s="567">
        <v>0</v>
      </c>
      <c r="M281" s="560">
        <v>0</v>
      </c>
      <c r="N281" s="568">
        <f>331.39/F281</f>
        <v>447.87274299924314</v>
      </c>
      <c r="O281" s="560">
        <v>0</v>
      </c>
      <c r="P281" s="569">
        <v>0</v>
      </c>
      <c r="Q281" s="560">
        <v>0</v>
      </c>
      <c r="R281" s="570">
        <f>Tabel66892628[[#This Row],[VAT DW 2017]]+Tabel66892628[[#This Row],[VAT Sew. 2017]]+Tabel66892628[[#This Row],[VAT WW 2017]]+Tabel66892628[[#This Row],[VAT Other ch. 2017]]</f>
        <v>0</v>
      </c>
      <c r="S281" s="571">
        <f>Tabel66892628[[#This Row],[Total. ch. DW 2017]]+Tabel66892628[[#This Row],[Sew. 2017]]+Tabel66892628[[#This Row],[VAT Sew. 2017]]+Tabel66892628[[#This Row],[WW 2017]]+Tabel66892628[[#This Row],[VAT WW 2017]]+Tabel66892628[[#This Row],[Other ch. 2017]]+Tabel66892628[[#This Row],[VAT Other ch. 2017]]</f>
        <v>967.17212671640164</v>
      </c>
      <c r="T281" s="397"/>
      <c r="U281" s="1763"/>
      <c r="V281" s="1766"/>
      <c r="W281" s="1769"/>
      <c r="X281" s="1772"/>
      <c r="Y281" s="1775"/>
      <c r="Z281" s="1778"/>
      <c r="AA281" s="1772"/>
      <c r="AB281" s="1781"/>
      <c r="AC281" s="1772"/>
      <c r="AD281" s="1785"/>
      <c r="AE281" s="1772"/>
      <c r="AF281" s="1788"/>
      <c r="AG281" s="1791"/>
      <c r="AH281" s="397"/>
      <c r="AI281" s="398"/>
      <c r="AJ281" s="398"/>
      <c r="AK281" s="398"/>
      <c r="AL281" s="398"/>
      <c r="AM281" s="398"/>
      <c r="AN281" s="398"/>
      <c r="AO281" s="398"/>
      <c r="AP281" s="2191"/>
    </row>
    <row r="282" spans="1:42" ht="16.5" customHeight="1" thickBot="1" x14ac:dyDescent="0.3">
      <c r="A282" s="1820"/>
      <c r="B282" s="547" t="s">
        <v>169</v>
      </c>
      <c r="C282" s="1046"/>
      <c r="D282" s="802" t="s">
        <v>1149</v>
      </c>
      <c r="E282" s="1799"/>
      <c r="F282" s="617">
        <f>'exchange rates'!$O$66</f>
        <v>0.73992000000000002</v>
      </c>
      <c r="G282" s="549">
        <f>24.07/F282</f>
        <v>32.530543842577572</v>
      </c>
      <c r="H282" s="550">
        <f>269.6/F282</f>
        <v>364.36371499621583</v>
      </c>
      <c r="I282" s="551">
        <v>0</v>
      </c>
      <c r="J282" s="560">
        <v>0</v>
      </c>
      <c r="K282" s="566">
        <f>Tabel66892628[[#This Row],[Fix.ch. 2017]]+Tabel66892628[[#This Row],[Var. ch. 2017]]+Tabel66892628[[#This Row],[Oth. ch. DW 2017]]+Tabel66892628[[#This Row],[VAT DW 2017]]</f>
        <v>396.89425883879341</v>
      </c>
      <c r="L282" s="567">
        <v>0</v>
      </c>
      <c r="M282" s="560">
        <v>0</v>
      </c>
      <c r="N282" s="568">
        <f>390.01/F282</f>
        <v>527.09752405665472</v>
      </c>
      <c r="O282" s="560">
        <v>0</v>
      </c>
      <c r="P282" s="569">
        <v>0</v>
      </c>
      <c r="Q282" s="560">
        <v>0</v>
      </c>
      <c r="R282" s="570">
        <f>Tabel66892628[[#This Row],[VAT DW 2017]]+Tabel66892628[[#This Row],[VAT Sew. 2017]]+Tabel66892628[[#This Row],[VAT WW 2017]]+Tabel66892628[[#This Row],[VAT Other ch. 2017]]</f>
        <v>0</v>
      </c>
      <c r="S282" s="571">
        <f>Tabel66892628[[#This Row],[Total. ch. DW 2017]]+Tabel66892628[[#This Row],[Sew. 2017]]+Tabel66892628[[#This Row],[VAT Sew. 2017]]+Tabel66892628[[#This Row],[WW 2017]]+Tabel66892628[[#This Row],[VAT WW 2017]]+Tabel66892628[[#This Row],[Other ch. 2017]]+Tabel66892628[[#This Row],[VAT Other ch. 2017]]</f>
        <v>923.99178289544807</v>
      </c>
      <c r="T282" s="397"/>
      <c r="U282" s="1801"/>
      <c r="V282" s="1803"/>
      <c r="W282" s="1805"/>
      <c r="X282" s="1773"/>
      <c r="Y282" s="1807"/>
      <c r="Z282" s="1809"/>
      <c r="AA282" s="1773"/>
      <c r="AB282" s="1782"/>
      <c r="AC282" s="1773"/>
      <c r="AD282" s="1786"/>
      <c r="AE282" s="1773"/>
      <c r="AF282" s="1789"/>
      <c r="AG282" s="1792"/>
      <c r="AH282" s="397"/>
      <c r="AI282" s="398"/>
      <c r="AJ282" s="398"/>
      <c r="AK282" s="398"/>
      <c r="AL282" s="398"/>
      <c r="AM282" s="398"/>
      <c r="AN282" s="398"/>
      <c r="AO282" s="398"/>
      <c r="AP282" s="2191"/>
    </row>
    <row r="283" spans="1:42" ht="18" customHeight="1" x14ac:dyDescent="0.25">
      <c r="A283" s="2192" t="s">
        <v>31</v>
      </c>
      <c r="B283" s="638" t="s">
        <v>170</v>
      </c>
      <c r="C283" s="693"/>
      <c r="D283" s="806" t="s">
        <v>1151</v>
      </c>
      <c r="E283" s="1934">
        <v>59500</v>
      </c>
      <c r="F283" s="715">
        <v>1</v>
      </c>
      <c r="G283" s="549" t="s">
        <v>5</v>
      </c>
      <c r="H283" s="550">
        <v>269.10000000000002</v>
      </c>
      <c r="I283" s="551" t="s">
        <v>5</v>
      </c>
      <c r="J283" s="560" t="s">
        <v>5</v>
      </c>
      <c r="K283" s="566">
        <f>Tabel66892628[[#This Row],[Var. ch. 2017]]</f>
        <v>269.10000000000002</v>
      </c>
      <c r="L283" s="567" t="s">
        <v>5</v>
      </c>
      <c r="M283" s="560" t="s">
        <v>5</v>
      </c>
      <c r="N283" s="568">
        <v>427.87</v>
      </c>
      <c r="O283" s="560" t="s">
        <v>5</v>
      </c>
      <c r="P283" s="569" t="s">
        <v>5</v>
      </c>
      <c r="Q283" s="560" t="s">
        <v>5</v>
      </c>
      <c r="R283" s="570" t="s">
        <v>5</v>
      </c>
      <c r="S283" s="571">
        <f>Tabel66892628[[#This Row],[Total. ch. DW 2017]]+Tabel66892628[[#This Row],[WW 2017]]</f>
        <v>696.97</v>
      </c>
      <c r="T283" s="397"/>
      <c r="U283" s="1935">
        <f>MEDIAN(G283:G289)</f>
        <v>84.960000000000008</v>
      </c>
      <c r="V283" s="1936">
        <f>MEDIAN(H283:H289)</f>
        <v>249.32</v>
      </c>
      <c r="W283" s="1937">
        <f>MEDIAN(I283:I289)</f>
        <v>47.32</v>
      </c>
      <c r="X283" s="1771" t="s">
        <v>5</v>
      </c>
      <c r="Y283" s="1939">
        <f>SUM(U283:W289)</f>
        <v>381.59999999999997</v>
      </c>
      <c r="Z283" s="1950" t="s">
        <v>5</v>
      </c>
      <c r="AA283" s="1771" t="s">
        <v>5</v>
      </c>
      <c r="AB283" s="1946">
        <f>MEDIAN(N283:N289)</f>
        <v>332.24</v>
      </c>
      <c r="AC283" s="1771" t="s">
        <v>5</v>
      </c>
      <c r="AD283" s="1947">
        <f>MEDIAN(P283:P289)</f>
        <v>16.670000000000002</v>
      </c>
      <c r="AE283" s="1771" t="s">
        <v>5</v>
      </c>
      <c r="AF283" s="1944" t="s">
        <v>5</v>
      </c>
      <c r="AG283" s="1945">
        <f>Y283+AB283+AD283</f>
        <v>730.50999999999988</v>
      </c>
      <c r="AH283" s="397"/>
      <c r="AI283" s="396"/>
      <c r="AJ283" s="591" t="s">
        <v>429</v>
      </c>
      <c r="AK283" s="591"/>
      <c r="AL283" s="591"/>
      <c r="AM283" s="591"/>
      <c r="AN283" s="591" t="s">
        <v>429</v>
      </c>
      <c r="AO283" s="396"/>
      <c r="AP283" s="397"/>
    </row>
    <row r="284" spans="1:42" ht="15.75" x14ac:dyDescent="0.25">
      <c r="A284" s="2148"/>
      <c r="B284" s="639" t="s">
        <v>171</v>
      </c>
      <c r="C284" s="639" t="s">
        <v>429</v>
      </c>
      <c r="D284" s="724" t="s">
        <v>1151</v>
      </c>
      <c r="E284" s="1760"/>
      <c r="F284" s="715">
        <v>1</v>
      </c>
      <c r="G284" s="549">
        <v>121.92</v>
      </c>
      <c r="H284" s="550">
        <v>259.12</v>
      </c>
      <c r="I284" s="551">
        <v>47.32</v>
      </c>
      <c r="J284" s="560" t="s">
        <v>5</v>
      </c>
      <c r="K284" s="566">
        <f>Tabel66892628[[#This Row],[Fix.ch. 2017]]+Tabel66892628[[#This Row],[Var. ch. 2017]]+Tabel66892628[[#This Row],[Oth. ch. DW 2017]]</f>
        <v>428.36</v>
      </c>
      <c r="L284" s="567" t="s">
        <v>5</v>
      </c>
      <c r="M284" s="560" t="s">
        <v>5</v>
      </c>
      <c r="N284" s="568">
        <v>588.34</v>
      </c>
      <c r="O284" s="560" t="s">
        <v>5</v>
      </c>
      <c r="P284" s="569">
        <v>334.2</v>
      </c>
      <c r="Q284" s="560" t="s">
        <v>5</v>
      </c>
      <c r="R284" s="570" t="s">
        <v>5</v>
      </c>
      <c r="S284" s="571">
        <f>Tabel66892628[[#This Row],[Total. ch. DW 2017]]+Tabel66892628[[#This Row],[WW 2017]]+Tabel66892628[[#This Row],[Other ch. 2017]]</f>
        <v>1350.9</v>
      </c>
      <c r="T284" s="397"/>
      <c r="U284" s="1969"/>
      <c r="V284" s="1972"/>
      <c r="W284" s="1975"/>
      <c r="X284" s="1772"/>
      <c r="Y284" s="1978"/>
      <c r="Z284" s="1981"/>
      <c r="AA284" s="1772"/>
      <c r="AB284" s="1955"/>
      <c r="AC284" s="1772"/>
      <c r="AD284" s="1958"/>
      <c r="AE284" s="1772"/>
      <c r="AF284" s="1961"/>
      <c r="AG284" s="1964"/>
      <c r="AH284" s="397"/>
      <c r="AI284" s="396"/>
      <c r="AJ284" s="396"/>
      <c r="AK284" s="396"/>
      <c r="AL284" s="591" t="s">
        <v>429</v>
      </c>
      <c r="AM284" s="591" t="s">
        <v>429</v>
      </c>
      <c r="AN284" s="591" t="s">
        <v>429</v>
      </c>
      <c r="AO284" s="396"/>
      <c r="AP284" s="397"/>
    </row>
    <row r="285" spans="1:42" ht="15.75" x14ac:dyDescent="0.25">
      <c r="A285" s="2148"/>
      <c r="B285" s="639" t="s">
        <v>172</v>
      </c>
      <c r="C285" s="639"/>
      <c r="D285" s="724" t="s">
        <v>1151</v>
      </c>
      <c r="E285" s="1760"/>
      <c r="F285" s="715">
        <v>1</v>
      </c>
      <c r="G285" s="549" t="s">
        <v>5</v>
      </c>
      <c r="H285" s="550">
        <v>408.34</v>
      </c>
      <c r="I285" s="551" t="s">
        <v>5</v>
      </c>
      <c r="J285" s="560" t="s">
        <v>5</v>
      </c>
      <c r="K285" s="566">
        <f>Tabel66892628[[#This Row],[Var. ch. 2017]]</f>
        <v>408.34</v>
      </c>
      <c r="L285" s="567" t="s">
        <v>5</v>
      </c>
      <c r="M285" s="560" t="s">
        <v>5</v>
      </c>
      <c r="N285" s="568">
        <v>332.24</v>
      </c>
      <c r="O285" s="560" t="s">
        <v>5</v>
      </c>
      <c r="P285" s="569" t="s">
        <v>5</v>
      </c>
      <c r="Q285" s="560" t="s">
        <v>5</v>
      </c>
      <c r="R285" s="570" t="s">
        <v>5</v>
      </c>
      <c r="S285" s="571">
        <f>Tabel66892628[[#This Row],[Total. ch. DW 2017]]+Tabel66892628[[#This Row],[WW 2017]]</f>
        <v>740.57999999999993</v>
      </c>
      <c r="T285" s="397"/>
      <c r="U285" s="1969"/>
      <c r="V285" s="1972"/>
      <c r="W285" s="1975"/>
      <c r="X285" s="1772"/>
      <c r="Y285" s="1978"/>
      <c r="Z285" s="1981"/>
      <c r="AA285" s="1772"/>
      <c r="AB285" s="1955"/>
      <c r="AC285" s="1772"/>
      <c r="AD285" s="1958"/>
      <c r="AE285" s="1772"/>
      <c r="AF285" s="1961"/>
      <c r="AG285" s="1964"/>
      <c r="AH285" s="397"/>
      <c r="AI285" s="396"/>
      <c r="AJ285" s="396"/>
      <c r="AK285" s="396"/>
      <c r="AL285" s="591" t="s">
        <v>429</v>
      </c>
      <c r="AM285" s="591"/>
      <c r="AN285" s="591" t="s">
        <v>429</v>
      </c>
      <c r="AO285" s="396"/>
      <c r="AP285" s="397"/>
    </row>
    <row r="286" spans="1:42" ht="15.75" x14ac:dyDescent="0.25">
      <c r="A286" s="2148"/>
      <c r="B286" s="639" t="s">
        <v>173</v>
      </c>
      <c r="C286" s="639"/>
      <c r="D286" s="724" t="s">
        <v>1151</v>
      </c>
      <c r="E286" s="1760"/>
      <c r="F286" s="715">
        <v>1</v>
      </c>
      <c r="G286" s="549" t="s">
        <v>5</v>
      </c>
      <c r="H286" s="550">
        <v>205.11</v>
      </c>
      <c r="I286" s="551" t="s">
        <v>5</v>
      </c>
      <c r="J286" s="560" t="s">
        <v>5</v>
      </c>
      <c r="K286" s="566">
        <f>Tabel66892628[[#This Row],[Var. ch. 2017]]</f>
        <v>205.11</v>
      </c>
      <c r="L286" s="567" t="s">
        <v>5</v>
      </c>
      <c r="M286" s="560" t="s">
        <v>5</v>
      </c>
      <c r="N286" s="568">
        <v>205.11</v>
      </c>
      <c r="O286" s="560" t="s">
        <v>5</v>
      </c>
      <c r="P286" s="569" t="s">
        <v>5</v>
      </c>
      <c r="Q286" s="560" t="s">
        <v>5</v>
      </c>
      <c r="R286" s="570" t="s">
        <v>5</v>
      </c>
      <c r="S286" s="571">
        <f>Tabel66892628[[#This Row],[Total. ch. DW 2017]]+Tabel66892628[[#This Row],[WW 2017]]</f>
        <v>410.22</v>
      </c>
      <c r="T286" s="397"/>
      <c r="U286" s="1969"/>
      <c r="V286" s="1972"/>
      <c r="W286" s="1975"/>
      <c r="X286" s="1772"/>
      <c r="Y286" s="1978"/>
      <c r="Z286" s="1981"/>
      <c r="AA286" s="1772"/>
      <c r="AB286" s="1955"/>
      <c r="AC286" s="1772"/>
      <c r="AD286" s="1958"/>
      <c r="AE286" s="1772"/>
      <c r="AF286" s="1961"/>
      <c r="AG286" s="1964"/>
      <c r="AH286" s="397"/>
      <c r="AI286" s="396"/>
      <c r="AJ286" s="591" t="s">
        <v>429</v>
      </c>
      <c r="AK286" s="591"/>
      <c r="AL286" s="591"/>
      <c r="AM286" s="591"/>
      <c r="AN286" s="591" t="s">
        <v>429</v>
      </c>
      <c r="AO286" s="396"/>
      <c r="AP286" s="397"/>
    </row>
    <row r="287" spans="1:42" ht="15.75" x14ac:dyDescent="0.25">
      <c r="A287" s="2148"/>
      <c r="B287" s="639" t="s">
        <v>174</v>
      </c>
      <c r="C287" s="639"/>
      <c r="D287" s="724" t="s">
        <v>1151</v>
      </c>
      <c r="E287" s="1760"/>
      <c r="F287" s="715">
        <v>1</v>
      </c>
      <c r="G287" s="549">
        <v>184.68</v>
      </c>
      <c r="H287" s="550">
        <v>120.99</v>
      </c>
      <c r="I287" s="551" t="s">
        <v>5</v>
      </c>
      <c r="J287" s="560" t="s">
        <v>5</v>
      </c>
      <c r="K287" s="566">
        <f>Tabel66892628[[#This Row],[Fix.ch. 2017]]+Tabel66892628[[#This Row],[Var. ch. 2017]]</f>
        <v>305.67</v>
      </c>
      <c r="L287" s="567" t="s">
        <v>5</v>
      </c>
      <c r="M287" s="560" t="s">
        <v>5</v>
      </c>
      <c r="N287" s="568">
        <v>362.52</v>
      </c>
      <c r="O287" s="560" t="s">
        <v>5</v>
      </c>
      <c r="P287" s="569">
        <v>16.670000000000002</v>
      </c>
      <c r="Q287" s="560" t="s">
        <v>5</v>
      </c>
      <c r="R287" s="570" t="s">
        <v>5</v>
      </c>
      <c r="S287" s="571">
        <f>Tabel66892628[[#This Row],[Total. ch. DW 2017]]+Tabel66892628[[#This Row],[WW 2017]]+Tabel66892628[[#This Row],[Other ch. 2017]]</f>
        <v>684.86</v>
      </c>
      <c r="T287" s="397"/>
      <c r="U287" s="1969"/>
      <c r="V287" s="1972"/>
      <c r="W287" s="1975"/>
      <c r="X287" s="1772"/>
      <c r="Y287" s="1978"/>
      <c r="Z287" s="1981"/>
      <c r="AA287" s="1772"/>
      <c r="AB287" s="1955"/>
      <c r="AC287" s="1772"/>
      <c r="AD287" s="1958"/>
      <c r="AE287" s="1772"/>
      <c r="AF287" s="1961"/>
      <c r="AG287" s="1964"/>
      <c r="AH287" s="397"/>
      <c r="AI287" s="396"/>
      <c r="AJ287" s="396"/>
      <c r="AK287" s="396"/>
      <c r="AL287" s="591" t="s">
        <v>429</v>
      </c>
      <c r="AM287" s="591" t="s">
        <v>429</v>
      </c>
      <c r="AN287" s="591" t="s">
        <v>429</v>
      </c>
      <c r="AO287" s="396"/>
      <c r="AP287" s="397"/>
    </row>
    <row r="288" spans="1:42" ht="15.75" x14ac:dyDescent="0.25">
      <c r="A288" s="2148"/>
      <c r="B288" s="639" t="s">
        <v>175</v>
      </c>
      <c r="C288" s="639"/>
      <c r="D288" s="724" t="s">
        <v>1151</v>
      </c>
      <c r="E288" s="1760"/>
      <c r="F288" s="715">
        <v>1</v>
      </c>
      <c r="G288" s="549">
        <v>38.4</v>
      </c>
      <c r="H288" s="550">
        <v>93.57</v>
      </c>
      <c r="I288" s="551" t="s">
        <v>5</v>
      </c>
      <c r="J288" s="560" t="s">
        <v>5</v>
      </c>
      <c r="K288" s="566">
        <f>Tabel66892628[[#This Row],[Fix.ch. 2017]]+Tabel66892628[[#This Row],[Var. ch. 2017]]</f>
        <v>131.97</v>
      </c>
      <c r="L288" s="567" t="s">
        <v>5</v>
      </c>
      <c r="M288" s="560" t="s">
        <v>5</v>
      </c>
      <c r="N288" s="568">
        <v>248.71</v>
      </c>
      <c r="O288" s="560" t="s">
        <v>5</v>
      </c>
      <c r="P288" s="569" t="s">
        <v>5</v>
      </c>
      <c r="Q288" s="560" t="s">
        <v>5</v>
      </c>
      <c r="R288" s="570" t="s">
        <v>5</v>
      </c>
      <c r="S288" s="571">
        <f>Tabel66892628[[#This Row],[Total. ch. DW 2017]]+Tabel66892628[[#This Row],[WW 2017]]</f>
        <v>380.68</v>
      </c>
      <c r="T288" s="397"/>
      <c r="U288" s="1969"/>
      <c r="V288" s="1972"/>
      <c r="W288" s="1975"/>
      <c r="X288" s="1772"/>
      <c r="Y288" s="1978"/>
      <c r="Z288" s="1981"/>
      <c r="AA288" s="1772"/>
      <c r="AB288" s="1955"/>
      <c r="AC288" s="1772"/>
      <c r="AD288" s="1958"/>
      <c r="AE288" s="1772"/>
      <c r="AF288" s="1961"/>
      <c r="AG288" s="1964"/>
      <c r="AH288" s="397"/>
      <c r="AI288" s="396"/>
      <c r="AJ288" s="396"/>
      <c r="AK288" s="396"/>
      <c r="AL288" s="591" t="s">
        <v>429</v>
      </c>
      <c r="AM288" s="591" t="s">
        <v>429</v>
      </c>
      <c r="AN288" s="591" t="s">
        <v>429</v>
      </c>
      <c r="AO288" s="396"/>
      <c r="AP288" s="397"/>
    </row>
    <row r="289" spans="1:42" ht="16.5" thickBot="1" x14ac:dyDescent="0.3">
      <c r="A289" s="2148"/>
      <c r="B289" s="714" t="s">
        <v>212</v>
      </c>
      <c r="C289" s="1053"/>
      <c r="D289" s="807" t="s">
        <v>1151</v>
      </c>
      <c r="E289" s="1923"/>
      <c r="F289" s="715">
        <v>1</v>
      </c>
      <c r="G289" s="716">
        <v>48</v>
      </c>
      <c r="H289" s="717">
        <v>249.32</v>
      </c>
      <c r="I289" s="718" t="s">
        <v>5</v>
      </c>
      <c r="J289" s="719" t="s">
        <v>5</v>
      </c>
      <c r="K289" s="566">
        <f>Tabel66892628[[#This Row],[Fix.ch. 2017]]+Tabel66892628[[#This Row],[Var. ch. 2017]]</f>
        <v>297.32</v>
      </c>
      <c r="L289" s="567" t="s">
        <v>5</v>
      </c>
      <c r="M289" s="560" t="s">
        <v>5</v>
      </c>
      <c r="N289" s="720">
        <v>308.33</v>
      </c>
      <c r="O289" s="560" t="s">
        <v>5</v>
      </c>
      <c r="P289" s="721">
        <v>12.36</v>
      </c>
      <c r="Q289" s="560" t="s">
        <v>5</v>
      </c>
      <c r="R289" s="570" t="s">
        <v>5</v>
      </c>
      <c r="S289" s="571">
        <f>Tabel66892628[[#This Row],[Total. ch. DW 2017]]+Tabel66892628[[#This Row],[WW 2017]]+Tabel66892628[[#This Row],[Other ch. 2017]]</f>
        <v>618.01</v>
      </c>
      <c r="T289" s="397"/>
      <c r="U289" s="1970"/>
      <c r="V289" s="1973"/>
      <c r="W289" s="1976"/>
      <c r="X289" s="1773"/>
      <c r="Y289" s="1979"/>
      <c r="Z289" s="1982"/>
      <c r="AA289" s="1773"/>
      <c r="AB289" s="1956"/>
      <c r="AC289" s="1773"/>
      <c r="AD289" s="1959"/>
      <c r="AE289" s="1773"/>
      <c r="AF289" s="1962"/>
      <c r="AG289" s="1965"/>
      <c r="AH289" s="397"/>
      <c r="AI289" s="396"/>
      <c r="AJ289" s="591" t="s">
        <v>429</v>
      </c>
      <c r="AK289" s="591"/>
      <c r="AL289" s="591"/>
      <c r="AM289" s="591" t="s">
        <v>429</v>
      </c>
      <c r="AN289" s="591" t="s">
        <v>429</v>
      </c>
      <c r="AO289" s="396"/>
      <c r="AP289" s="397"/>
    </row>
    <row r="290" spans="1:42" ht="19.5" thickBot="1" x14ac:dyDescent="0.3">
      <c r="A290" s="1833" t="s">
        <v>718</v>
      </c>
      <c r="B290" s="269" t="s">
        <v>761</v>
      </c>
      <c r="C290" s="1048" t="s">
        <v>429</v>
      </c>
      <c r="D290" s="805" t="s">
        <v>1153</v>
      </c>
      <c r="E290" s="2203">
        <v>4300</v>
      </c>
      <c r="F290" s="517">
        <f>'exchange rates'!$M$68</f>
        <v>11.06053</v>
      </c>
      <c r="G290" s="518">
        <f>10/F290</f>
        <v>0.90411580638540834</v>
      </c>
      <c r="H290" s="508">
        <f>908.98/F290</f>
        <v>82.182318568820847</v>
      </c>
      <c r="I290" s="509">
        <v>0</v>
      </c>
      <c r="J290" s="562"/>
      <c r="K290" s="565" t="e">
        <f>Tabel66892628[[#This Row],[Fix.ch. 2017]]+Tabel66892628[[#This Row],[Var. ch. 2017]]+Tabel66892628[[#This Row],[Oth. ch. DW 2017]]+Tabel66892628[[#This Row],[VAT DW 2017]]</f>
        <v>#VALUE!</v>
      </c>
      <c r="L290" s="510">
        <v>0</v>
      </c>
      <c r="M290" s="562"/>
      <c r="N290" s="511">
        <f>272.69/F290</f>
        <v>24.654333924323698</v>
      </c>
      <c r="O290" s="562"/>
      <c r="P290" s="512">
        <f>22.7/F290</f>
        <v>2.0523428804948769</v>
      </c>
      <c r="Q290" s="562"/>
      <c r="R290" s="513" t="e">
        <f>Tabel66892628[[#This Row],[VAT DW 2017]]+Tabel66892628[[#This Row],[VAT Sew. 2017]]+Tabel66892628[[#This Row],[VAT WW 2017]]+Tabel66892628[[#This Row],[VAT Other ch. 2017]]</f>
        <v>#VALUE!</v>
      </c>
      <c r="S290" s="590" t="e">
        <f>Tabel66892628[[#This Row],[Total. ch. DW 2017]]+Tabel66892628[[#This Row],[Sew. 2017]]+Tabel66892628[[#This Row],[VAT Sew. 2017]]+Tabel66892628[[#This Row],[WW 2017]]+Tabel66892628[[#This Row],[VAT WW 2017]]+Tabel66892628[[#This Row],[Other ch. 2017]]+Tabel66892628[[#This Row],[VAT Other ch. 2017]]</f>
        <v>#VALUE!</v>
      </c>
      <c r="T290" s="397"/>
      <c r="U290" s="2057">
        <f>MEDIAN(G290:G293)</f>
        <v>0.45205790319270417</v>
      </c>
      <c r="V290" s="2059">
        <f>MEDIAN(H290:H293)</f>
        <v>75.057886014503822</v>
      </c>
      <c r="W290" s="2204">
        <f>MEDIAN(I290:I293)</f>
        <v>0</v>
      </c>
      <c r="X290" s="583"/>
      <c r="Y290" s="2115">
        <f>SUM(U290:W293)</f>
        <v>75.509943917696532</v>
      </c>
      <c r="Z290" s="2065">
        <f>MEDIAN(L290:L293)</f>
        <v>0</v>
      </c>
      <c r="AA290" s="575"/>
      <c r="AB290" s="2067">
        <f>MEDIAN(N290:N293)</f>
        <v>24.397112977407048</v>
      </c>
      <c r="AC290" s="575"/>
      <c r="AD290" s="2069">
        <f>MEDIAN(P290:P293)</f>
        <v>1.6011890931085579</v>
      </c>
      <c r="AE290" s="575"/>
      <c r="AF290" s="2071" t="e">
        <f>MEDIAN(R290:R293)</f>
        <v>#VALUE!</v>
      </c>
      <c r="AG290" s="2049" t="e">
        <f>SUM(Y290:AF293)</f>
        <v>#VALUE!</v>
      </c>
      <c r="AH290" s="397"/>
      <c r="AI290" s="396" t="s">
        <v>429</v>
      </c>
      <c r="AJ290" s="396"/>
      <c r="AK290" s="398"/>
      <c r="AL290" s="396" t="s">
        <v>429</v>
      </c>
      <c r="AM290" s="396" t="s">
        <v>429</v>
      </c>
      <c r="AN290" s="396" t="s">
        <v>429</v>
      </c>
      <c r="AO290" s="398"/>
      <c r="AP290" s="397"/>
    </row>
    <row r="291" spans="1:42" ht="19.5" thickBot="1" x14ac:dyDescent="0.3">
      <c r="A291" s="1834"/>
      <c r="B291" s="269" t="s">
        <v>762</v>
      </c>
      <c r="C291" s="1048"/>
      <c r="D291" s="805" t="s">
        <v>1153</v>
      </c>
      <c r="E291" s="2086"/>
      <c r="F291" s="519">
        <f>'exchange rates'!$M$68</f>
        <v>11.06053</v>
      </c>
      <c r="G291" s="518">
        <f>5/F291</f>
        <v>0.45205790319270417</v>
      </c>
      <c r="H291" s="508">
        <f>669/F291</f>
        <v>60.485347447183813</v>
      </c>
      <c r="I291" s="509">
        <v>0</v>
      </c>
      <c r="J291" s="562"/>
      <c r="K291" s="565" t="e">
        <f>Tabel66892628[[#This Row],[Fix.ch. 2017]]+Tabel66892628[[#This Row],[Var. ch. 2017]]+Tabel66892628[[#This Row],[Oth. ch. DW 2017]]+Tabel66892628[[#This Row],[VAT DW 2017]]</f>
        <v>#VALUE!</v>
      </c>
      <c r="L291" s="510">
        <v>0</v>
      </c>
      <c r="M291" s="562"/>
      <c r="N291" s="511">
        <f>267/F291</f>
        <v>24.139892030490401</v>
      </c>
      <c r="O291" s="562"/>
      <c r="P291" s="512">
        <f>16.72/F291</f>
        <v>1.5116816282764025</v>
      </c>
      <c r="Q291" s="562"/>
      <c r="R291" s="513" t="e">
        <f>Tabel66892628[[#This Row],[VAT DW 2017]]+Tabel66892628[[#This Row],[VAT Sew. 2017]]+Tabel66892628[[#This Row],[VAT WW 2017]]+Tabel66892628[[#This Row],[VAT Other ch. 2017]]</f>
        <v>#VALUE!</v>
      </c>
      <c r="S291" s="590" t="e">
        <f>Tabel66892628[[#This Row],[Total. ch. DW 2017]]+Tabel66892628[[#This Row],[Sew. 2017]]+Tabel66892628[[#This Row],[VAT Sew. 2017]]+Tabel66892628[[#This Row],[WW 2017]]+Tabel66892628[[#This Row],[VAT WW 2017]]+Tabel66892628[[#This Row],[Other ch. 2017]]+Tabel66892628[[#This Row],[VAT Other ch. 2017]]</f>
        <v>#VALUE!</v>
      </c>
      <c r="T291" s="397"/>
      <c r="U291" s="2058"/>
      <c r="V291" s="2060"/>
      <c r="W291" s="2205"/>
      <c r="X291" s="584"/>
      <c r="Y291" s="1849"/>
      <c r="Z291" s="2066"/>
      <c r="AA291" s="576"/>
      <c r="AB291" s="2207"/>
      <c r="AC291" s="578"/>
      <c r="AD291" s="2070"/>
      <c r="AE291" s="576"/>
      <c r="AF291" s="2072"/>
      <c r="AG291" s="2050"/>
      <c r="AH291" s="397"/>
      <c r="AI291" s="396" t="s">
        <v>429</v>
      </c>
      <c r="AJ291" s="396"/>
      <c r="AK291" s="398"/>
      <c r="AL291" s="396" t="s">
        <v>429</v>
      </c>
      <c r="AM291" s="396" t="s">
        <v>429</v>
      </c>
      <c r="AN291" s="396" t="s">
        <v>429</v>
      </c>
      <c r="AO291" s="398"/>
      <c r="AP291" s="397"/>
    </row>
    <row r="292" spans="1:42" ht="19.5" thickBot="1" x14ac:dyDescent="0.3">
      <c r="A292" s="1834"/>
      <c r="B292" s="269" t="s">
        <v>763</v>
      </c>
      <c r="C292" s="1048"/>
      <c r="D292" s="805" t="s">
        <v>1153</v>
      </c>
      <c r="E292" s="2086"/>
      <c r="F292" s="519">
        <f>'exchange rates'!$M$68</f>
        <v>11.06053</v>
      </c>
      <c r="G292" s="518">
        <f>5/F292</f>
        <v>0.45205790319270417</v>
      </c>
      <c r="H292" s="508">
        <f>751.38/F292</f>
        <v>67.933453460186811</v>
      </c>
      <c r="I292" s="509">
        <v>0</v>
      </c>
      <c r="J292" s="562"/>
      <c r="K292" s="565" t="e">
        <f>Tabel66892628[[#This Row],[Fix.ch. 2017]]+Tabel66892628[[#This Row],[Var. ch. 2017]]+Tabel66892628[[#This Row],[Oth. ch. DW 2017]]+Tabel66892628[[#This Row],[VAT DW 2017]]</f>
        <v>#VALUE!</v>
      </c>
      <c r="L292" s="510">
        <v>0</v>
      </c>
      <c r="M292" s="562"/>
      <c r="N292" s="511">
        <f>150.2/F292</f>
        <v>13.579819411908831</v>
      </c>
      <c r="O292" s="562"/>
      <c r="P292" s="512">
        <f>18.7/F292</f>
        <v>1.6906965579407134</v>
      </c>
      <c r="Q292" s="562"/>
      <c r="R292" s="513" t="e">
        <f>Tabel66892628[[#This Row],[VAT DW 2017]]+Tabel66892628[[#This Row],[VAT Sew. 2017]]+Tabel66892628[[#This Row],[VAT WW 2017]]+Tabel66892628[[#This Row],[VAT Other ch. 2017]]</f>
        <v>#VALUE!</v>
      </c>
      <c r="S292" s="590" t="e">
        <f>Tabel66892628[[#This Row],[Total. ch. DW 2017]]+Tabel66892628[[#This Row],[Sew. 2017]]+Tabel66892628[[#This Row],[VAT Sew. 2017]]+Tabel66892628[[#This Row],[WW 2017]]+Tabel66892628[[#This Row],[VAT WW 2017]]+Tabel66892628[[#This Row],[Other ch. 2017]]+Tabel66892628[[#This Row],[VAT Other ch. 2017]]</f>
        <v>#VALUE!</v>
      </c>
      <c r="T292" s="397"/>
      <c r="U292" s="2058"/>
      <c r="V292" s="2060"/>
      <c r="W292" s="2205"/>
      <c r="X292" s="584"/>
      <c r="Y292" s="1849"/>
      <c r="Z292" s="2066"/>
      <c r="AA292" s="576"/>
      <c r="AB292" s="2207"/>
      <c r="AC292" s="578"/>
      <c r="AD292" s="2070"/>
      <c r="AE292" s="576"/>
      <c r="AF292" s="2072"/>
      <c r="AG292" s="2050"/>
      <c r="AH292" s="397"/>
      <c r="AI292" s="396" t="s">
        <v>429</v>
      </c>
      <c r="AJ292" s="396"/>
      <c r="AK292" s="398"/>
      <c r="AL292" s="396" t="s">
        <v>429</v>
      </c>
      <c r="AM292" s="396" t="s">
        <v>429</v>
      </c>
      <c r="AN292" s="396" t="s">
        <v>429</v>
      </c>
      <c r="AO292" s="398"/>
      <c r="AP292" s="397"/>
    </row>
    <row r="293" spans="1:42" ht="19.5" thickBot="1" x14ac:dyDescent="0.3">
      <c r="A293" s="1835"/>
      <c r="B293" s="290" t="s">
        <v>764</v>
      </c>
      <c r="C293" s="1048"/>
      <c r="D293" s="801" t="s">
        <v>1153</v>
      </c>
      <c r="E293" s="1838"/>
      <c r="F293" s="520">
        <f>'exchange rates'!$M$68</f>
        <v>11.06053</v>
      </c>
      <c r="G293" s="521">
        <f>5/F293</f>
        <v>0.45205790319270417</v>
      </c>
      <c r="H293" s="522">
        <f>1319.38/F293</f>
        <v>119.28723126287801</v>
      </c>
      <c r="I293" s="523">
        <v>0</v>
      </c>
      <c r="J293" s="563"/>
      <c r="K293" s="565" t="e">
        <f>Tabel66892628[[#This Row],[Fix.ch. 2017]]+Tabel66892628[[#This Row],[Var. ch. 2017]]+Tabel66892628[[#This Row],[Oth. ch. DW 2017]]+Tabel66892628[[#This Row],[VAT DW 2017]]</f>
        <v>#VALUE!</v>
      </c>
      <c r="L293" s="524">
        <v>0</v>
      </c>
      <c r="M293" s="563"/>
      <c r="N293" s="511">
        <f>527.75/F293</f>
        <v>47.714711681989925</v>
      </c>
      <c r="O293" s="562"/>
      <c r="P293" s="512">
        <v>0</v>
      </c>
      <c r="Q293" s="563"/>
      <c r="R293" s="513" t="e">
        <f>Tabel66892628[[#This Row],[VAT DW 2017]]+Tabel66892628[[#This Row],[VAT Sew. 2017]]+Tabel66892628[[#This Row],[VAT WW 2017]]+Tabel66892628[[#This Row],[VAT Other ch. 2017]]</f>
        <v>#VALUE!</v>
      </c>
      <c r="S293" s="590" t="e">
        <f>Tabel66892628[[#This Row],[Total. ch. DW 2017]]+Tabel66892628[[#This Row],[Sew. 2017]]+Tabel66892628[[#This Row],[VAT Sew. 2017]]+Tabel66892628[[#This Row],[WW 2017]]+Tabel66892628[[#This Row],[VAT WW 2017]]+Tabel66892628[[#This Row],[Other ch. 2017]]+Tabel66892628[[#This Row],[VAT Other ch. 2017]]</f>
        <v>#VALUE!</v>
      </c>
      <c r="T293" s="397"/>
      <c r="U293" s="1841"/>
      <c r="V293" s="1844"/>
      <c r="W293" s="2206"/>
      <c r="X293" s="585"/>
      <c r="Y293" s="1850"/>
      <c r="Z293" s="1853"/>
      <c r="AA293" s="577"/>
      <c r="AB293" s="2208"/>
      <c r="AC293" s="579"/>
      <c r="AD293" s="1859"/>
      <c r="AE293" s="577"/>
      <c r="AF293" s="1874"/>
      <c r="AG293" s="2051"/>
      <c r="AH293" s="397"/>
      <c r="AI293" s="398"/>
      <c r="AJ293" s="396"/>
      <c r="AK293" s="398"/>
      <c r="AL293" s="396" t="s">
        <v>429</v>
      </c>
      <c r="AM293" s="396" t="s">
        <v>429</v>
      </c>
      <c r="AN293" s="398"/>
      <c r="AO293" s="398"/>
      <c r="AP293" s="397"/>
    </row>
    <row r="295" spans="1:42" x14ac:dyDescent="0.25">
      <c r="A295" s="29"/>
    </row>
    <row r="296" spans="1:42" x14ac:dyDescent="0.25">
      <c r="A296" s="29"/>
    </row>
    <row r="297" spans="1:42" s="1073" customFormat="1" ht="32.450000000000003" customHeight="1" thickBot="1" x14ac:dyDescent="0.3">
      <c r="A297" s="1059" t="s">
        <v>58</v>
      </c>
      <c r="B297" s="1060" t="s">
        <v>1190</v>
      </c>
      <c r="C297" s="1060" t="s">
        <v>1022</v>
      </c>
      <c r="D297" s="1061" t="s">
        <v>1192</v>
      </c>
      <c r="E297" s="1062" t="s">
        <v>1193</v>
      </c>
      <c r="F297" s="1063" t="s">
        <v>1194</v>
      </c>
      <c r="G297" s="1064" t="s">
        <v>1195</v>
      </c>
      <c r="H297" s="1065" t="s">
        <v>1196</v>
      </c>
      <c r="I297" s="1066" t="s">
        <v>1198</v>
      </c>
      <c r="J297" s="1064" t="s">
        <v>1197</v>
      </c>
      <c r="K297" s="1067" t="s">
        <v>1199</v>
      </c>
      <c r="L297" s="1064" t="s">
        <v>1200</v>
      </c>
      <c r="M297" s="1068" t="s">
        <v>1205</v>
      </c>
      <c r="N297" s="1069" t="s">
        <v>1208</v>
      </c>
      <c r="O297" s="1070" t="s">
        <v>1206</v>
      </c>
      <c r="P297" s="1064" t="s">
        <v>1207</v>
      </c>
      <c r="Q297" s="1071" t="s">
        <v>1201</v>
      </c>
      <c r="R297" s="1072" t="s">
        <v>1202</v>
      </c>
      <c r="S297" s="1074" t="s">
        <v>1203</v>
      </c>
      <c r="T297" s="1074" t="s">
        <v>1204</v>
      </c>
    </row>
    <row r="298" spans="1:42" ht="15.75" x14ac:dyDescent="0.25">
      <c r="A298" s="746" t="s">
        <v>217</v>
      </c>
      <c r="B298" s="747" t="s">
        <v>429</v>
      </c>
      <c r="C298" s="815" t="s">
        <v>1024</v>
      </c>
      <c r="D298" s="625" t="s">
        <v>5</v>
      </c>
      <c r="E298" s="593" t="s">
        <v>5</v>
      </c>
      <c r="F298" s="594" t="s">
        <v>5</v>
      </c>
      <c r="G298" s="595" t="s">
        <v>5</v>
      </c>
      <c r="H298" s="566" t="s">
        <v>5</v>
      </c>
      <c r="I298" s="596" t="s">
        <v>5</v>
      </c>
      <c r="J298" s="595" t="s">
        <v>5</v>
      </c>
      <c r="K298" s="626" t="s">
        <v>5</v>
      </c>
      <c r="L298" s="595" t="s">
        <v>5</v>
      </c>
      <c r="M298" s="1076" t="s">
        <v>5</v>
      </c>
      <c r="N298" s="1077" t="s">
        <v>5</v>
      </c>
      <c r="O298" s="597" t="s">
        <v>5</v>
      </c>
      <c r="P298" s="595" t="s">
        <v>5</v>
      </c>
      <c r="Q298" s="570" t="s">
        <v>5</v>
      </c>
      <c r="R298" s="571">
        <v>79.756820995801675</v>
      </c>
      <c r="S298" s="1075">
        <f>R298</f>
        <v>79.756820995801675</v>
      </c>
      <c r="T298" s="1075">
        <f>R298-S298</f>
        <v>0</v>
      </c>
    </row>
    <row r="299" spans="1:42" ht="15.75" x14ac:dyDescent="0.25">
      <c r="A299" s="747" t="s">
        <v>942</v>
      </c>
      <c r="B299" s="747"/>
      <c r="C299" s="815" t="s">
        <v>1024</v>
      </c>
      <c r="D299" s="625" t="s">
        <v>5</v>
      </c>
      <c r="E299" s="593" t="s">
        <v>5</v>
      </c>
      <c r="F299" s="594" t="s">
        <v>5</v>
      </c>
      <c r="G299" s="595" t="s">
        <v>5</v>
      </c>
      <c r="H299" s="566" t="s">
        <v>5</v>
      </c>
      <c r="I299" s="596" t="s">
        <v>5</v>
      </c>
      <c r="J299" s="595" t="s">
        <v>5</v>
      </c>
      <c r="K299" s="626" t="s">
        <v>5</v>
      </c>
      <c r="L299" s="595" t="s">
        <v>5</v>
      </c>
      <c r="M299" s="1076" t="s">
        <v>5</v>
      </c>
      <c r="N299" s="1077" t="s">
        <v>5</v>
      </c>
      <c r="O299" s="597" t="s">
        <v>5</v>
      </c>
      <c r="P299" s="595" t="s">
        <v>5</v>
      </c>
      <c r="Q299" s="570" t="s">
        <v>5</v>
      </c>
      <c r="R299" s="571">
        <v>106.03544353340726</v>
      </c>
      <c r="S299" s="1075">
        <f t="shared" ref="S299:S304" si="42">R299</f>
        <v>106.03544353340726</v>
      </c>
      <c r="T299" s="1075">
        <f t="shared" ref="T299:T362" si="43">R299-S299</f>
        <v>0</v>
      </c>
    </row>
    <row r="300" spans="1:42" ht="15.75" x14ac:dyDescent="0.25">
      <c r="A300" s="747" t="s">
        <v>943</v>
      </c>
      <c r="B300" s="747"/>
      <c r="C300" s="815" t="s">
        <v>1024</v>
      </c>
      <c r="D300" s="625" t="s">
        <v>5</v>
      </c>
      <c r="E300" s="593" t="s">
        <v>5</v>
      </c>
      <c r="F300" s="594" t="s">
        <v>5</v>
      </c>
      <c r="G300" s="595" t="s">
        <v>5</v>
      </c>
      <c r="H300" s="566" t="s">
        <v>5</v>
      </c>
      <c r="I300" s="596" t="s">
        <v>5</v>
      </c>
      <c r="J300" s="595" t="s">
        <v>5</v>
      </c>
      <c r="K300" s="626" t="s">
        <v>5</v>
      </c>
      <c r="L300" s="595" t="s">
        <v>5</v>
      </c>
      <c r="M300" s="1076" t="s">
        <v>5</v>
      </c>
      <c r="N300" s="1077" t="s">
        <v>5</v>
      </c>
      <c r="O300" s="597" t="s">
        <v>5</v>
      </c>
      <c r="P300" s="595" t="s">
        <v>5</v>
      </c>
      <c r="Q300" s="570" t="s">
        <v>5</v>
      </c>
      <c r="R300" s="571">
        <v>104.3720286081561</v>
      </c>
      <c r="S300" s="1075">
        <f t="shared" si="42"/>
        <v>104.3720286081561</v>
      </c>
      <c r="T300" s="1075">
        <f t="shared" si="43"/>
        <v>0</v>
      </c>
    </row>
    <row r="301" spans="1:42" ht="15.75" x14ac:dyDescent="0.25">
      <c r="A301" s="747" t="s">
        <v>944</v>
      </c>
      <c r="B301" s="747"/>
      <c r="C301" s="815" t="s">
        <v>1024</v>
      </c>
      <c r="D301" s="625" t="s">
        <v>5</v>
      </c>
      <c r="E301" s="593" t="s">
        <v>5</v>
      </c>
      <c r="F301" s="594" t="s">
        <v>5</v>
      </c>
      <c r="G301" s="595" t="s">
        <v>5</v>
      </c>
      <c r="H301" s="566" t="s">
        <v>5</v>
      </c>
      <c r="I301" s="596" t="s">
        <v>5</v>
      </c>
      <c r="J301" s="595" t="s">
        <v>5</v>
      </c>
      <c r="K301" s="626" t="s">
        <v>5</v>
      </c>
      <c r="L301" s="595" t="s">
        <v>5</v>
      </c>
      <c r="M301" s="1076" t="s">
        <v>5</v>
      </c>
      <c r="N301" s="1077" t="s">
        <v>5</v>
      </c>
      <c r="O301" s="597" t="s">
        <v>5</v>
      </c>
      <c r="P301" s="595" t="s">
        <v>5</v>
      </c>
      <c r="Q301" s="570" t="s">
        <v>5</v>
      </c>
      <c r="R301" s="571">
        <v>42.096117856226968</v>
      </c>
      <c r="S301" s="1075">
        <f t="shared" si="42"/>
        <v>42.096117856226968</v>
      </c>
      <c r="T301" s="1075">
        <f t="shared" si="43"/>
        <v>0</v>
      </c>
    </row>
    <row r="302" spans="1:42" ht="15.75" x14ac:dyDescent="0.25">
      <c r="A302" s="747" t="s">
        <v>945</v>
      </c>
      <c r="B302" s="747"/>
      <c r="C302" s="815" t="s">
        <v>1024</v>
      </c>
      <c r="D302" s="625" t="s">
        <v>5</v>
      </c>
      <c r="E302" s="593" t="s">
        <v>5</v>
      </c>
      <c r="F302" s="594" t="s">
        <v>5</v>
      </c>
      <c r="G302" s="595" t="s">
        <v>5</v>
      </c>
      <c r="H302" s="566" t="s">
        <v>5</v>
      </c>
      <c r="I302" s="596" t="s">
        <v>5</v>
      </c>
      <c r="J302" s="595" t="s">
        <v>5</v>
      </c>
      <c r="K302" s="626" t="s">
        <v>5</v>
      </c>
      <c r="L302" s="595" t="s">
        <v>5</v>
      </c>
      <c r="M302" s="1076" t="s">
        <v>5</v>
      </c>
      <c r="N302" s="1077" t="s">
        <v>5</v>
      </c>
      <c r="O302" s="597" t="s">
        <v>5</v>
      </c>
      <c r="P302" s="595" t="s">
        <v>5</v>
      </c>
      <c r="Q302" s="570" t="s">
        <v>5</v>
      </c>
      <c r="R302" s="571">
        <v>62.109246683788257</v>
      </c>
      <c r="S302" s="1075">
        <f t="shared" si="42"/>
        <v>62.109246683788257</v>
      </c>
      <c r="T302" s="1075">
        <f t="shared" si="43"/>
        <v>0</v>
      </c>
    </row>
    <row r="303" spans="1:42" ht="15.75" x14ac:dyDescent="0.25">
      <c r="A303" s="747" t="s">
        <v>946</v>
      </c>
      <c r="B303" s="747"/>
      <c r="C303" s="815" t="s">
        <v>1024</v>
      </c>
      <c r="D303" s="625" t="s">
        <v>5</v>
      </c>
      <c r="E303" s="593" t="s">
        <v>5</v>
      </c>
      <c r="F303" s="594" t="s">
        <v>5</v>
      </c>
      <c r="G303" s="595" t="s">
        <v>5</v>
      </c>
      <c r="H303" s="566" t="s">
        <v>5</v>
      </c>
      <c r="I303" s="596" t="s">
        <v>5</v>
      </c>
      <c r="J303" s="595" t="s">
        <v>5</v>
      </c>
      <c r="K303" s="626" t="s">
        <v>5</v>
      </c>
      <c r="L303" s="595" t="s">
        <v>5</v>
      </c>
      <c r="M303" s="1076" t="s">
        <v>5</v>
      </c>
      <c r="N303" s="1077" t="s">
        <v>5</v>
      </c>
      <c r="O303" s="597" t="s">
        <v>5</v>
      </c>
      <c r="P303" s="595" t="s">
        <v>5</v>
      </c>
      <c r="Q303" s="570" t="s">
        <v>5</v>
      </c>
      <c r="R303" s="571">
        <v>33.30485707480905</v>
      </c>
      <c r="S303" s="1075">
        <f t="shared" si="42"/>
        <v>33.30485707480905</v>
      </c>
      <c r="T303" s="1075">
        <f t="shared" si="43"/>
        <v>0</v>
      </c>
    </row>
    <row r="304" spans="1:42" ht="16.5" thickBot="1" x14ac:dyDescent="0.3">
      <c r="A304" s="747" t="s">
        <v>947</v>
      </c>
      <c r="B304" s="747"/>
      <c r="C304" s="815" t="s">
        <v>1024</v>
      </c>
      <c r="D304" s="625" t="s">
        <v>5</v>
      </c>
      <c r="E304" s="593" t="s">
        <v>5</v>
      </c>
      <c r="F304" s="594" t="s">
        <v>5</v>
      </c>
      <c r="G304" s="595" t="s">
        <v>5</v>
      </c>
      <c r="H304" s="566" t="s">
        <v>5</v>
      </c>
      <c r="I304" s="596" t="s">
        <v>5</v>
      </c>
      <c r="J304" s="595" t="s">
        <v>5</v>
      </c>
      <c r="K304" s="626" t="s">
        <v>5</v>
      </c>
      <c r="L304" s="595" t="s">
        <v>5</v>
      </c>
      <c r="M304" s="1076" t="s">
        <v>5</v>
      </c>
      <c r="N304" s="1077" t="s">
        <v>5</v>
      </c>
      <c r="O304" s="597" t="s">
        <v>5</v>
      </c>
      <c r="P304" s="595" t="s">
        <v>5</v>
      </c>
      <c r="Q304" s="570" t="s">
        <v>5</v>
      </c>
      <c r="R304" s="571">
        <v>104.3994475354954</v>
      </c>
      <c r="S304" s="1075">
        <f t="shared" si="42"/>
        <v>104.3994475354954</v>
      </c>
      <c r="T304" s="1075">
        <f t="shared" si="43"/>
        <v>0</v>
      </c>
    </row>
    <row r="305" spans="1:20" ht="16.5" thickBot="1" x14ac:dyDescent="0.3">
      <c r="A305" s="751" t="s">
        <v>526</v>
      </c>
      <c r="B305" s="752" t="s">
        <v>429</v>
      </c>
      <c r="C305" s="816" t="s">
        <v>1026</v>
      </c>
      <c r="D305" s="625">
        <v>52.78568919107235</v>
      </c>
      <c r="E305" s="593">
        <v>0</v>
      </c>
      <c r="F305" s="594">
        <v>0</v>
      </c>
      <c r="G305" s="595">
        <v>10.557137838214471</v>
      </c>
      <c r="H305" s="566">
        <v>63.342827029286823</v>
      </c>
      <c r="I305" s="596">
        <v>9.3151216219539439</v>
      </c>
      <c r="J305" s="595">
        <v>1.8630243243907889</v>
      </c>
      <c r="K305" s="626">
        <v>0</v>
      </c>
      <c r="L305" s="595">
        <v>0</v>
      </c>
      <c r="M305" s="1057">
        <f t="shared" ref="M305:N368" si="44">I305+K305</f>
        <v>9.3151216219539439</v>
      </c>
      <c r="N305" s="1058">
        <f t="shared" si="44"/>
        <v>1.8630243243907889</v>
      </c>
      <c r="O305" s="597">
        <v>0</v>
      </c>
      <c r="P305" s="595">
        <v>0</v>
      </c>
      <c r="Q305" s="570">
        <v>12.42016216260526</v>
      </c>
      <c r="R305" s="571">
        <v>74.520972975631565</v>
      </c>
      <c r="S305" s="1075">
        <f t="shared" ref="S305:S368" si="45">H305+M305+N305+O305+P305</f>
        <v>74.520972975631565</v>
      </c>
      <c r="T305" s="1075">
        <f t="shared" si="43"/>
        <v>0</v>
      </c>
    </row>
    <row r="306" spans="1:20" ht="15.75" x14ac:dyDescent="0.25">
      <c r="A306" s="664" t="s">
        <v>176</v>
      </c>
      <c r="B306" s="653"/>
      <c r="C306" s="653" t="s">
        <v>1028</v>
      </c>
      <c r="D306" s="625">
        <v>149.97854997854998</v>
      </c>
      <c r="E306" s="593">
        <v>548.74614874614872</v>
      </c>
      <c r="F306" s="594">
        <v>0</v>
      </c>
      <c r="G306" s="595">
        <v>0</v>
      </c>
      <c r="H306" s="566">
        <v>698.72469872469867</v>
      </c>
      <c r="I306" s="596">
        <v>407.1604071604072</v>
      </c>
      <c r="J306" s="595">
        <v>0</v>
      </c>
      <c r="K306" s="626">
        <v>0</v>
      </c>
      <c r="L306" s="595">
        <v>0</v>
      </c>
      <c r="M306" s="1057">
        <f t="shared" si="44"/>
        <v>407.1604071604072</v>
      </c>
      <c r="N306" s="1058">
        <f t="shared" si="44"/>
        <v>0</v>
      </c>
      <c r="O306" s="597">
        <v>0</v>
      </c>
      <c r="P306" s="595">
        <v>0</v>
      </c>
      <c r="Q306" s="570">
        <v>0</v>
      </c>
      <c r="R306" s="571">
        <v>1105.885105885106</v>
      </c>
      <c r="S306" s="1075">
        <f t="shared" si="45"/>
        <v>1105.885105885106</v>
      </c>
      <c r="T306" s="1075">
        <f t="shared" si="43"/>
        <v>0</v>
      </c>
    </row>
    <row r="307" spans="1:20" ht="15.75" x14ac:dyDescent="0.25">
      <c r="A307" s="631" t="s">
        <v>178</v>
      </c>
      <c r="B307" s="631"/>
      <c r="C307" s="631" t="s">
        <v>1028</v>
      </c>
      <c r="D307" s="625">
        <v>129.72192972192974</v>
      </c>
      <c r="E307" s="593">
        <v>336.16473616473621</v>
      </c>
      <c r="F307" s="594">
        <v>0</v>
      </c>
      <c r="G307" s="595">
        <v>0</v>
      </c>
      <c r="H307" s="566">
        <v>465.88666588666592</v>
      </c>
      <c r="I307" s="596">
        <v>485.28528528528528</v>
      </c>
      <c r="J307" s="595">
        <v>0</v>
      </c>
      <c r="K307" s="626">
        <v>0</v>
      </c>
      <c r="L307" s="595">
        <v>0</v>
      </c>
      <c r="M307" s="1057">
        <f t="shared" si="44"/>
        <v>485.28528528528528</v>
      </c>
      <c r="N307" s="1058">
        <f t="shared" si="44"/>
        <v>0</v>
      </c>
      <c r="O307" s="597">
        <v>0</v>
      </c>
      <c r="P307" s="595">
        <v>0</v>
      </c>
      <c r="Q307" s="570">
        <v>0</v>
      </c>
      <c r="R307" s="571">
        <v>951.17195117195115</v>
      </c>
      <c r="S307" s="1075">
        <f t="shared" si="45"/>
        <v>951.17195117195115</v>
      </c>
      <c r="T307" s="1075">
        <f t="shared" si="43"/>
        <v>0</v>
      </c>
    </row>
    <row r="308" spans="1:20" ht="15.75" x14ac:dyDescent="0.25">
      <c r="A308" s="631" t="s">
        <v>179</v>
      </c>
      <c r="B308" s="631"/>
      <c r="C308" s="631" t="s">
        <v>1028</v>
      </c>
      <c r="D308" s="625">
        <v>184.32978432978433</v>
      </c>
      <c r="E308" s="593">
        <v>267.22826722826727</v>
      </c>
      <c r="F308" s="594">
        <v>0</v>
      </c>
      <c r="G308" s="595">
        <v>0</v>
      </c>
      <c r="H308" s="566">
        <v>451.5580515580516</v>
      </c>
      <c r="I308" s="596">
        <v>591.24059124059124</v>
      </c>
      <c r="J308" s="595">
        <v>0</v>
      </c>
      <c r="K308" s="626">
        <v>0</v>
      </c>
      <c r="L308" s="595">
        <v>0</v>
      </c>
      <c r="M308" s="1057">
        <f t="shared" si="44"/>
        <v>591.24059124059124</v>
      </c>
      <c r="N308" s="1058">
        <f t="shared" si="44"/>
        <v>0</v>
      </c>
      <c r="O308" s="597">
        <v>0</v>
      </c>
      <c r="P308" s="595">
        <v>0</v>
      </c>
      <c r="Q308" s="570">
        <v>0</v>
      </c>
      <c r="R308" s="571">
        <v>1042.798642798643</v>
      </c>
      <c r="S308" s="1075">
        <f t="shared" si="45"/>
        <v>1042.798642798643</v>
      </c>
      <c r="T308" s="1075">
        <f t="shared" si="43"/>
        <v>0</v>
      </c>
    </row>
    <row r="309" spans="1:20" ht="15.75" x14ac:dyDescent="0.25">
      <c r="A309" s="631" t="s">
        <v>180</v>
      </c>
      <c r="B309" s="631"/>
      <c r="C309" s="631" t="s">
        <v>1028</v>
      </c>
      <c r="D309" s="625">
        <v>70.200070200070201</v>
      </c>
      <c r="E309" s="593">
        <v>312.00031200031202</v>
      </c>
      <c r="F309" s="594">
        <v>0</v>
      </c>
      <c r="G309" s="595">
        <v>0</v>
      </c>
      <c r="H309" s="566">
        <v>382.20038220038225</v>
      </c>
      <c r="I309" s="596">
        <v>455.52045552045553</v>
      </c>
      <c r="J309" s="595">
        <v>0</v>
      </c>
      <c r="K309" s="626">
        <v>0</v>
      </c>
      <c r="L309" s="595">
        <v>0</v>
      </c>
      <c r="M309" s="1057">
        <f t="shared" si="44"/>
        <v>455.52045552045553</v>
      </c>
      <c r="N309" s="1058">
        <f t="shared" si="44"/>
        <v>0</v>
      </c>
      <c r="O309" s="597">
        <v>0</v>
      </c>
      <c r="P309" s="595">
        <v>0</v>
      </c>
      <c r="Q309" s="570">
        <v>0</v>
      </c>
      <c r="R309" s="571">
        <v>837.72083772083784</v>
      </c>
      <c r="S309" s="1075">
        <f t="shared" si="45"/>
        <v>837.72083772083784</v>
      </c>
      <c r="T309" s="1075">
        <f t="shared" si="43"/>
        <v>0</v>
      </c>
    </row>
    <row r="310" spans="1:20" ht="16.5" thickBot="1" x14ac:dyDescent="0.3">
      <c r="A310" s="631" t="s">
        <v>544</v>
      </c>
      <c r="B310" s="631" t="s">
        <v>429</v>
      </c>
      <c r="C310" s="631" t="s">
        <v>1028</v>
      </c>
      <c r="D310" s="625">
        <v>79.154479154479162</v>
      </c>
      <c r="E310" s="593">
        <v>407.1604071604072</v>
      </c>
      <c r="F310" s="594">
        <v>0</v>
      </c>
      <c r="G310" s="595">
        <v>0</v>
      </c>
      <c r="H310" s="566">
        <v>486.31488631488639</v>
      </c>
      <c r="I310" s="596">
        <v>412.62041262041265</v>
      </c>
      <c r="J310" s="595">
        <v>0</v>
      </c>
      <c r="K310" s="626">
        <v>0</v>
      </c>
      <c r="L310" s="595">
        <v>0</v>
      </c>
      <c r="M310" s="1057">
        <f t="shared" si="44"/>
        <v>412.62041262041265</v>
      </c>
      <c r="N310" s="1058">
        <f t="shared" si="44"/>
        <v>0</v>
      </c>
      <c r="O310" s="597">
        <v>0</v>
      </c>
      <c r="P310" s="595">
        <v>0</v>
      </c>
      <c r="Q310" s="570">
        <v>0</v>
      </c>
      <c r="R310" s="571">
        <v>898.93529893529899</v>
      </c>
      <c r="S310" s="1075">
        <f t="shared" si="45"/>
        <v>898.93529893529899</v>
      </c>
      <c r="T310" s="1075">
        <f t="shared" si="43"/>
        <v>0</v>
      </c>
    </row>
    <row r="311" spans="1:20" ht="15.75" x14ac:dyDescent="0.25">
      <c r="A311" s="724" t="s">
        <v>932</v>
      </c>
      <c r="B311" s="724"/>
      <c r="C311" s="806" t="s">
        <v>1030</v>
      </c>
      <c r="D311" s="625">
        <v>44.009075521302258</v>
      </c>
      <c r="E311" s="593">
        <v>356.77843003085195</v>
      </c>
      <c r="F311" s="594">
        <v>0</v>
      </c>
      <c r="G311" s="595">
        <v>40.083552418338314</v>
      </c>
      <c r="H311" s="566">
        <v>440.87105797049253</v>
      </c>
      <c r="I311" s="596">
        <v>0</v>
      </c>
      <c r="J311" s="595">
        <v>0</v>
      </c>
      <c r="K311" s="626">
        <v>463.85997767133642</v>
      </c>
      <c r="L311" s="595">
        <v>46.385997767133645</v>
      </c>
      <c r="M311" s="1057">
        <f t="shared" si="44"/>
        <v>463.85997767133642</v>
      </c>
      <c r="N311" s="1058">
        <f t="shared" si="44"/>
        <v>46.385997767133645</v>
      </c>
      <c r="O311" s="597">
        <v>0</v>
      </c>
      <c r="P311" s="595">
        <v>0</v>
      </c>
      <c r="Q311" s="570">
        <v>86.469550185471959</v>
      </c>
      <c r="R311" s="571">
        <v>951.11703340896258</v>
      </c>
      <c r="S311" s="1075">
        <f t="shared" si="45"/>
        <v>951.11703340896258</v>
      </c>
      <c r="T311" s="1075">
        <f t="shared" si="43"/>
        <v>0</v>
      </c>
    </row>
    <row r="312" spans="1:20" ht="15.75" x14ac:dyDescent="0.25">
      <c r="A312" s="735" t="s">
        <v>67</v>
      </c>
      <c r="B312" s="802"/>
      <c r="C312" s="802" t="s">
        <v>1032</v>
      </c>
      <c r="D312" s="625">
        <v>0</v>
      </c>
      <c r="E312" s="593">
        <v>414.25673161186535</v>
      </c>
      <c r="F312" s="594">
        <v>0</v>
      </c>
      <c r="G312" s="595">
        <v>24.849641660964451</v>
      </c>
      <c r="H312" s="566">
        <v>439.10637327282979</v>
      </c>
      <c r="I312" s="596">
        <v>318.4595623101763</v>
      </c>
      <c r="J312" s="595">
        <v>19.111415229108893</v>
      </c>
      <c r="K312" s="626">
        <v>227.46425613137896</v>
      </c>
      <c r="L312" s="595">
        <v>13.649295926819605</v>
      </c>
      <c r="M312" s="1057">
        <f t="shared" si="44"/>
        <v>545.92381844155523</v>
      </c>
      <c r="N312" s="1058">
        <f t="shared" si="44"/>
        <v>32.760711155928497</v>
      </c>
      <c r="O312" s="597">
        <v>0</v>
      </c>
      <c r="P312" s="595">
        <v>0</v>
      </c>
      <c r="Q312" s="570">
        <v>57.610352816892949</v>
      </c>
      <c r="R312" s="571">
        <v>1017.7909028703135</v>
      </c>
      <c r="S312" s="1075">
        <f t="shared" si="45"/>
        <v>1017.7909028703134</v>
      </c>
      <c r="T312" s="1075">
        <f t="shared" si="43"/>
        <v>0</v>
      </c>
    </row>
    <row r="313" spans="1:20" ht="15.75" x14ac:dyDescent="0.25">
      <c r="A313" s="685" t="s">
        <v>71</v>
      </c>
      <c r="B313" s="802"/>
      <c r="C313" s="802" t="s">
        <v>1032</v>
      </c>
      <c r="D313" s="625">
        <v>0</v>
      </c>
      <c r="E313" s="593">
        <v>354.86968943950251</v>
      </c>
      <c r="F313" s="594">
        <v>0</v>
      </c>
      <c r="G313" s="595">
        <v>21.296262950024605</v>
      </c>
      <c r="H313" s="566">
        <v>376.16595238952709</v>
      </c>
      <c r="I313" s="596">
        <v>268.4601625430667</v>
      </c>
      <c r="J313" s="595">
        <v>16.110250777301591</v>
      </c>
      <c r="K313" s="626">
        <v>250.21308267607833</v>
      </c>
      <c r="L313" s="595">
        <v>15.017826916843735</v>
      </c>
      <c r="M313" s="1057">
        <f t="shared" si="44"/>
        <v>518.67324521914497</v>
      </c>
      <c r="N313" s="1058">
        <f t="shared" si="44"/>
        <v>31.128077694145325</v>
      </c>
      <c r="O313" s="597">
        <v>0</v>
      </c>
      <c r="P313" s="595">
        <v>0</v>
      </c>
      <c r="Q313" s="570">
        <v>52.424340644169931</v>
      </c>
      <c r="R313" s="571">
        <v>925.96727530281748</v>
      </c>
      <c r="S313" s="1075">
        <f t="shared" si="45"/>
        <v>925.96727530281737</v>
      </c>
      <c r="T313" s="1075">
        <f t="shared" si="43"/>
        <v>0</v>
      </c>
    </row>
    <row r="314" spans="1:20" ht="15.75" x14ac:dyDescent="0.25">
      <c r="A314" s="685" t="s">
        <v>68</v>
      </c>
      <c r="B314" s="802" t="s">
        <v>429</v>
      </c>
      <c r="C314" s="802" t="s">
        <v>1032</v>
      </c>
      <c r="D314" s="625">
        <v>28.81117873735009</v>
      </c>
      <c r="E314" s="593">
        <v>548.51682452791681</v>
      </c>
      <c r="F314" s="594">
        <v>0</v>
      </c>
      <c r="G314" s="595">
        <v>34.645442431663483</v>
      </c>
      <c r="H314" s="566">
        <v>611.97344569693041</v>
      </c>
      <c r="I314" s="596">
        <v>256.5395373404881</v>
      </c>
      <c r="J314" s="595">
        <v>15.389971308867841</v>
      </c>
      <c r="K314" s="626">
        <v>141.29482239108773</v>
      </c>
      <c r="L314" s="595">
        <v>8.4752884119038185</v>
      </c>
      <c r="M314" s="1057">
        <f t="shared" si="44"/>
        <v>397.83435973157583</v>
      </c>
      <c r="N314" s="1058">
        <f t="shared" si="44"/>
        <v>23.865259720771661</v>
      </c>
      <c r="O314" s="597">
        <v>0</v>
      </c>
      <c r="P314" s="595">
        <v>0</v>
      </c>
      <c r="Q314" s="570">
        <v>58.510702152435144</v>
      </c>
      <c r="R314" s="571">
        <v>1033.673065149278</v>
      </c>
      <c r="S314" s="1075">
        <f t="shared" si="45"/>
        <v>1033.673065149278</v>
      </c>
      <c r="T314" s="1075">
        <f t="shared" si="43"/>
        <v>0</v>
      </c>
    </row>
    <row r="315" spans="1:20" ht="15.75" x14ac:dyDescent="0.25">
      <c r="A315" s="685" t="s">
        <v>72</v>
      </c>
      <c r="B315" s="802"/>
      <c r="C315" s="802" t="s">
        <v>1032</v>
      </c>
      <c r="D315" s="625">
        <v>67.430162903206437</v>
      </c>
      <c r="E315" s="593">
        <v>623.75001500582232</v>
      </c>
      <c r="F315" s="594">
        <v>6.2184127441447279</v>
      </c>
      <c r="G315" s="595">
        <v>41.848237116001009</v>
      </c>
      <c r="H315" s="566">
        <v>739.2468277691745</v>
      </c>
      <c r="I315" s="596">
        <v>0</v>
      </c>
      <c r="J315" s="595">
        <v>0</v>
      </c>
      <c r="K315" s="626">
        <v>537.80866976386835</v>
      </c>
      <c r="L315" s="595">
        <v>32.244510870217646</v>
      </c>
      <c r="M315" s="1057">
        <f t="shared" si="44"/>
        <v>537.80866976386835</v>
      </c>
      <c r="N315" s="1058">
        <f t="shared" si="44"/>
        <v>32.244510870217646</v>
      </c>
      <c r="O315" s="597">
        <v>0</v>
      </c>
      <c r="P315" s="595">
        <v>0</v>
      </c>
      <c r="Q315" s="570">
        <v>74.092747986218654</v>
      </c>
      <c r="R315" s="571">
        <v>1309.3000084032606</v>
      </c>
      <c r="S315" s="1075">
        <f t="shared" si="45"/>
        <v>1309.3000084032606</v>
      </c>
      <c r="T315" s="1075">
        <f t="shared" si="43"/>
        <v>0</v>
      </c>
    </row>
    <row r="316" spans="1:20" ht="15.75" x14ac:dyDescent="0.25">
      <c r="A316" s="685" t="s">
        <v>69</v>
      </c>
      <c r="B316" s="802"/>
      <c r="C316" s="802" t="s">
        <v>1032</v>
      </c>
      <c r="D316" s="625">
        <v>0</v>
      </c>
      <c r="E316" s="593">
        <v>414.25673161186535</v>
      </c>
      <c r="F316" s="594">
        <v>0</v>
      </c>
      <c r="G316" s="595">
        <v>24.849641660964451</v>
      </c>
      <c r="H316" s="566">
        <v>439.10637327282979</v>
      </c>
      <c r="I316" s="596">
        <v>318.4595623101763</v>
      </c>
      <c r="J316" s="595">
        <v>19.111415229108893</v>
      </c>
      <c r="K316" s="626">
        <v>227.46425613137896</v>
      </c>
      <c r="L316" s="595">
        <v>13.649295926819605</v>
      </c>
      <c r="M316" s="1057">
        <f t="shared" si="44"/>
        <v>545.92381844155523</v>
      </c>
      <c r="N316" s="1058">
        <f t="shared" si="44"/>
        <v>32.760711155928497</v>
      </c>
      <c r="O316" s="597">
        <v>0</v>
      </c>
      <c r="P316" s="595">
        <v>0</v>
      </c>
      <c r="Q316" s="570">
        <v>57.610352816892949</v>
      </c>
      <c r="R316" s="571">
        <v>1017.7909028703135</v>
      </c>
      <c r="S316" s="1075">
        <f t="shared" si="45"/>
        <v>1017.7909028703134</v>
      </c>
      <c r="T316" s="1075">
        <f t="shared" si="43"/>
        <v>0</v>
      </c>
    </row>
    <row r="317" spans="1:20" ht="15.75" x14ac:dyDescent="0.25">
      <c r="A317" s="685" t="s">
        <v>70</v>
      </c>
      <c r="B317" s="802"/>
      <c r="C317" s="802" t="s">
        <v>1032</v>
      </c>
      <c r="D317" s="625">
        <v>0</v>
      </c>
      <c r="E317" s="593">
        <v>414.25673161186535</v>
      </c>
      <c r="F317" s="594">
        <v>0</v>
      </c>
      <c r="G317" s="595">
        <v>24.849641660964451</v>
      </c>
      <c r="H317" s="566">
        <v>439.10637327282979</v>
      </c>
      <c r="I317" s="596">
        <v>318.4595623101763</v>
      </c>
      <c r="J317" s="595">
        <v>19.111415229108893</v>
      </c>
      <c r="K317" s="626">
        <v>227.46425613137896</v>
      </c>
      <c r="L317" s="595">
        <v>13.649295926819605</v>
      </c>
      <c r="M317" s="1057">
        <f t="shared" si="44"/>
        <v>545.92381844155523</v>
      </c>
      <c r="N317" s="1058">
        <f t="shared" si="44"/>
        <v>32.760711155928497</v>
      </c>
      <c r="O317" s="597">
        <v>0</v>
      </c>
      <c r="P317" s="595">
        <v>0</v>
      </c>
      <c r="Q317" s="570">
        <v>57.610352816892949</v>
      </c>
      <c r="R317" s="571">
        <v>1017.7909028703135</v>
      </c>
      <c r="S317" s="1075">
        <f t="shared" si="45"/>
        <v>1017.7909028703134</v>
      </c>
      <c r="T317" s="1075">
        <f t="shared" si="43"/>
        <v>0</v>
      </c>
    </row>
    <row r="318" spans="1:20" ht="15.75" x14ac:dyDescent="0.25">
      <c r="A318" s="735" t="s">
        <v>216</v>
      </c>
      <c r="B318" s="802"/>
      <c r="C318" s="802" t="s">
        <v>1032</v>
      </c>
      <c r="D318" s="625">
        <v>0</v>
      </c>
      <c r="E318" s="593">
        <v>518.03699835536179</v>
      </c>
      <c r="F318" s="594">
        <v>0</v>
      </c>
      <c r="G318" s="595">
        <v>31.080059062916412</v>
      </c>
      <c r="H318" s="566">
        <v>549.11705741827825</v>
      </c>
      <c r="I318" s="596">
        <v>350.30791947275543</v>
      </c>
      <c r="J318" s="595">
        <v>21.020155820458339</v>
      </c>
      <c r="K318" s="626">
        <v>250.21308267607833</v>
      </c>
      <c r="L318" s="595">
        <v>15.017826916843735</v>
      </c>
      <c r="M318" s="1057">
        <f t="shared" si="44"/>
        <v>600.52100214883376</v>
      </c>
      <c r="N318" s="1058">
        <f t="shared" si="44"/>
        <v>36.037982737302073</v>
      </c>
      <c r="O318" s="597">
        <v>0</v>
      </c>
      <c r="P318" s="595">
        <v>0</v>
      </c>
      <c r="Q318" s="570">
        <v>67.118041800218478</v>
      </c>
      <c r="R318" s="571">
        <v>1185.6760423044138</v>
      </c>
      <c r="S318" s="1075">
        <f t="shared" si="45"/>
        <v>1185.6760423044143</v>
      </c>
      <c r="T318" s="1075">
        <f t="shared" si="43"/>
        <v>0</v>
      </c>
    </row>
    <row r="319" spans="1:20" ht="16.5" thickBot="1" x14ac:dyDescent="0.3">
      <c r="A319" s="736" t="s">
        <v>629</v>
      </c>
      <c r="B319" s="802"/>
      <c r="C319" s="807" t="s">
        <v>1032</v>
      </c>
      <c r="D319" s="625">
        <v>62.904406909881033</v>
      </c>
      <c r="E319" s="593">
        <v>581.86576391639949</v>
      </c>
      <c r="F319" s="594">
        <v>6.2184127441447279</v>
      </c>
      <c r="G319" s="595">
        <v>39.063156504723828</v>
      </c>
      <c r="H319" s="566">
        <v>690.05174007514904</v>
      </c>
      <c r="I319" s="596">
        <v>0</v>
      </c>
      <c r="J319" s="595">
        <v>0</v>
      </c>
      <c r="K319" s="626">
        <v>537.80866976386835</v>
      </c>
      <c r="L319" s="595">
        <v>32.268520185832102</v>
      </c>
      <c r="M319" s="1057">
        <f t="shared" si="44"/>
        <v>537.80866976386835</v>
      </c>
      <c r="N319" s="1058">
        <f t="shared" si="44"/>
        <v>32.268520185832102</v>
      </c>
      <c r="O319" s="597">
        <v>0</v>
      </c>
      <c r="P319" s="595">
        <v>0</v>
      </c>
      <c r="Q319" s="570">
        <v>71.331676690555923</v>
      </c>
      <c r="R319" s="571">
        <v>1260.1289300248495</v>
      </c>
      <c r="S319" s="1075">
        <f t="shared" si="45"/>
        <v>1260.1289300248495</v>
      </c>
      <c r="T319" s="1075">
        <f t="shared" si="43"/>
        <v>0</v>
      </c>
    </row>
    <row r="320" spans="1:20" ht="15.75" x14ac:dyDescent="0.25">
      <c r="A320" s="729" t="s">
        <v>935</v>
      </c>
      <c r="B320" s="803"/>
      <c r="C320" s="803" t="s">
        <v>1034</v>
      </c>
      <c r="D320" s="625" t="s">
        <v>5</v>
      </c>
      <c r="E320" s="593" t="s">
        <v>5</v>
      </c>
      <c r="F320" s="594" t="s">
        <v>5</v>
      </c>
      <c r="G320" s="595" t="s">
        <v>5</v>
      </c>
      <c r="H320" s="566" t="s">
        <v>5</v>
      </c>
      <c r="I320" s="596" t="s">
        <v>5</v>
      </c>
      <c r="J320" s="595" t="s">
        <v>5</v>
      </c>
      <c r="K320" s="626" t="s">
        <v>5</v>
      </c>
      <c r="L320" s="595" t="s">
        <v>5</v>
      </c>
      <c r="M320" s="1076" t="s">
        <v>5</v>
      </c>
      <c r="N320" s="1077" t="s">
        <v>5</v>
      </c>
      <c r="O320" s="597" t="s">
        <v>5</v>
      </c>
      <c r="P320" s="595" t="s">
        <v>5</v>
      </c>
      <c r="Q320" s="570" t="s">
        <v>5</v>
      </c>
      <c r="R320" s="571">
        <v>178.75853405923792</v>
      </c>
      <c r="S320" s="1075">
        <f>R320</f>
        <v>178.75853405923792</v>
      </c>
      <c r="T320" s="1075">
        <f t="shared" si="43"/>
        <v>0</v>
      </c>
    </row>
    <row r="321" spans="1:20" ht="15.75" x14ac:dyDescent="0.25">
      <c r="A321" s="632" t="s">
        <v>462</v>
      </c>
      <c r="B321" s="803"/>
      <c r="C321" s="803" t="s">
        <v>1034</v>
      </c>
      <c r="D321" s="625" t="s">
        <v>5</v>
      </c>
      <c r="E321" s="593" t="s">
        <v>5</v>
      </c>
      <c r="F321" s="594" t="s">
        <v>5</v>
      </c>
      <c r="G321" s="595" t="s">
        <v>5</v>
      </c>
      <c r="H321" s="566" t="s">
        <v>5</v>
      </c>
      <c r="I321" s="596" t="s">
        <v>5</v>
      </c>
      <c r="J321" s="595" t="s">
        <v>5</v>
      </c>
      <c r="K321" s="626" t="s">
        <v>5</v>
      </c>
      <c r="L321" s="595" t="s">
        <v>5</v>
      </c>
      <c r="M321" s="1076" t="s">
        <v>5</v>
      </c>
      <c r="N321" s="1077" t="s">
        <v>5</v>
      </c>
      <c r="O321" s="597" t="s">
        <v>5</v>
      </c>
      <c r="P321" s="595" t="s">
        <v>5</v>
      </c>
      <c r="Q321" s="570" t="s">
        <v>5</v>
      </c>
      <c r="R321" s="571">
        <v>146.75109383917169</v>
      </c>
      <c r="S321" s="1075">
        <f t="shared" ref="S321:S322" si="46">R321</f>
        <v>146.75109383917169</v>
      </c>
      <c r="T321" s="1075">
        <f t="shared" si="43"/>
        <v>0</v>
      </c>
    </row>
    <row r="322" spans="1:20" ht="16.5" thickBot="1" x14ac:dyDescent="0.3">
      <c r="A322" s="730" t="s">
        <v>933</v>
      </c>
      <c r="B322" s="803" t="s">
        <v>429</v>
      </c>
      <c r="C322" s="810" t="s">
        <v>1034</v>
      </c>
      <c r="D322" s="625" t="s">
        <v>5</v>
      </c>
      <c r="E322" s="593" t="s">
        <v>5</v>
      </c>
      <c r="F322" s="594" t="s">
        <v>5</v>
      </c>
      <c r="G322" s="595" t="s">
        <v>5</v>
      </c>
      <c r="H322" s="566" t="s">
        <v>5</v>
      </c>
      <c r="I322" s="596" t="s">
        <v>5</v>
      </c>
      <c r="J322" s="595" t="s">
        <v>5</v>
      </c>
      <c r="K322" s="626" t="s">
        <v>5</v>
      </c>
      <c r="L322" s="595" t="s">
        <v>5</v>
      </c>
      <c r="M322" s="1076" t="s">
        <v>5</v>
      </c>
      <c r="N322" s="1077" t="s">
        <v>5</v>
      </c>
      <c r="O322" s="597" t="s">
        <v>5</v>
      </c>
      <c r="P322" s="595" t="s">
        <v>5</v>
      </c>
      <c r="Q322" s="570" t="s">
        <v>5</v>
      </c>
      <c r="R322" s="571">
        <v>263.91040332394249</v>
      </c>
      <c r="S322" s="1075">
        <f t="shared" si="46"/>
        <v>263.91040332394249</v>
      </c>
      <c r="T322" s="1075">
        <f t="shared" si="43"/>
        <v>0</v>
      </c>
    </row>
    <row r="323" spans="1:20" ht="15.75" x14ac:dyDescent="0.25">
      <c r="A323" s="623" t="s">
        <v>73</v>
      </c>
      <c r="B323" s="802" t="s">
        <v>429</v>
      </c>
      <c r="C323" s="802" t="s">
        <v>1036</v>
      </c>
      <c r="D323" s="625">
        <v>143.36741582687893</v>
      </c>
      <c r="E323" s="593">
        <v>0</v>
      </c>
      <c r="F323" s="594">
        <v>0</v>
      </c>
      <c r="G323" s="595">
        <v>28.673483165375785</v>
      </c>
      <c r="H323" s="566">
        <v>172.04089899225471</v>
      </c>
      <c r="I323" s="596">
        <v>41.97915771643202</v>
      </c>
      <c r="J323" s="595">
        <v>8.3958315432864037</v>
      </c>
      <c r="K323" s="626">
        <v>35.473615731136995</v>
      </c>
      <c r="L323" s="595">
        <v>7.0947231462273992</v>
      </c>
      <c r="M323" s="1057">
        <f t="shared" si="44"/>
        <v>77.452773447569015</v>
      </c>
      <c r="N323" s="1058">
        <f t="shared" si="44"/>
        <v>15.490554689513804</v>
      </c>
      <c r="O323" s="597">
        <v>0</v>
      </c>
      <c r="P323" s="595">
        <v>0</v>
      </c>
      <c r="Q323" s="570">
        <v>44.164037854889592</v>
      </c>
      <c r="R323" s="571">
        <v>264.98422712933751</v>
      </c>
      <c r="S323" s="1075">
        <f t="shared" si="45"/>
        <v>264.98422712933757</v>
      </c>
      <c r="T323" s="1075">
        <f t="shared" si="43"/>
        <v>0</v>
      </c>
    </row>
    <row r="324" spans="1:20" ht="15.75" x14ac:dyDescent="0.25">
      <c r="A324" s="685" t="s">
        <v>74</v>
      </c>
      <c r="B324" s="802"/>
      <c r="C324" s="802" t="s">
        <v>1036</v>
      </c>
      <c r="D324" s="625">
        <v>157.97419877499416</v>
      </c>
      <c r="E324" s="593">
        <v>0</v>
      </c>
      <c r="F324" s="594">
        <v>0</v>
      </c>
      <c r="G324" s="595">
        <v>31.59483975499883</v>
      </c>
      <c r="H324" s="566">
        <v>189.56903852999301</v>
      </c>
      <c r="I324" s="596">
        <v>35.105377505554259</v>
      </c>
      <c r="J324" s="595">
        <v>7.0210755011108512</v>
      </c>
      <c r="K324" s="626">
        <v>68.369563883194843</v>
      </c>
      <c r="L324" s="595">
        <v>13.673912776638968</v>
      </c>
      <c r="M324" s="1057">
        <f t="shared" si="44"/>
        <v>103.4749413887491</v>
      </c>
      <c r="N324" s="1058">
        <f t="shared" si="44"/>
        <v>20.694988277749818</v>
      </c>
      <c r="O324" s="597">
        <v>0</v>
      </c>
      <c r="P324" s="595">
        <v>0</v>
      </c>
      <c r="Q324" s="570">
        <v>52.289828032748645</v>
      </c>
      <c r="R324" s="571">
        <v>313.73896819649195</v>
      </c>
      <c r="S324" s="1075">
        <f t="shared" si="45"/>
        <v>313.73896819649195</v>
      </c>
      <c r="T324" s="1075">
        <f t="shared" si="43"/>
        <v>0</v>
      </c>
    </row>
    <row r="325" spans="1:20" ht="15.75" x14ac:dyDescent="0.25">
      <c r="A325" s="685" t="s">
        <v>75</v>
      </c>
      <c r="B325" s="802"/>
      <c r="C325" s="802" t="s">
        <v>1036</v>
      </c>
      <c r="D325" s="625">
        <v>181.66419128748359</v>
      </c>
      <c r="E325" s="593">
        <v>0</v>
      </c>
      <c r="F325" s="594">
        <v>0</v>
      </c>
      <c r="G325" s="595">
        <v>36.332838257496718</v>
      </c>
      <c r="H325" s="566">
        <v>217.99702954498031</v>
      </c>
      <c r="I325" s="596">
        <v>14.72952902330948</v>
      </c>
      <c r="J325" s="595">
        <v>2.9459058046618956</v>
      </c>
      <c r="K325" s="626">
        <v>38.051283310216157</v>
      </c>
      <c r="L325" s="595">
        <v>7.6102566620432315</v>
      </c>
      <c r="M325" s="1057">
        <f t="shared" si="44"/>
        <v>52.780812333525638</v>
      </c>
      <c r="N325" s="1058">
        <f t="shared" si="44"/>
        <v>10.556162466705127</v>
      </c>
      <c r="O325" s="597">
        <v>0</v>
      </c>
      <c r="P325" s="595">
        <v>0</v>
      </c>
      <c r="Q325" s="570">
        <v>46.88900072420185</v>
      </c>
      <c r="R325" s="571">
        <v>281.3340043452111</v>
      </c>
      <c r="S325" s="1075">
        <f t="shared" si="45"/>
        <v>281.3340043452111</v>
      </c>
      <c r="T325" s="1075">
        <f t="shared" si="43"/>
        <v>0</v>
      </c>
    </row>
    <row r="326" spans="1:20" ht="15.75" x14ac:dyDescent="0.25">
      <c r="A326" s="685" t="s">
        <v>76</v>
      </c>
      <c r="B326" s="802"/>
      <c r="C326" s="802" t="s">
        <v>1036</v>
      </c>
      <c r="D326" s="625">
        <v>257.76675790791586</v>
      </c>
      <c r="E326" s="593">
        <v>0</v>
      </c>
      <c r="F326" s="594">
        <v>0</v>
      </c>
      <c r="G326" s="595">
        <v>51.553351581583179</v>
      </c>
      <c r="H326" s="566">
        <v>309.32010948949903</v>
      </c>
      <c r="I326" s="596">
        <v>9.8196860155396521</v>
      </c>
      <c r="J326" s="595">
        <v>1.9639372031079307</v>
      </c>
      <c r="K326" s="626">
        <v>20.866832783021763</v>
      </c>
      <c r="L326" s="595">
        <v>4.1733665566043525</v>
      </c>
      <c r="M326" s="1057">
        <f t="shared" si="44"/>
        <v>30.686518798561416</v>
      </c>
      <c r="N326" s="1058">
        <f t="shared" si="44"/>
        <v>6.1373037597122835</v>
      </c>
      <c r="O326" s="597">
        <v>0</v>
      </c>
      <c r="P326" s="595">
        <v>0</v>
      </c>
      <c r="Q326" s="570">
        <v>57.690655341295461</v>
      </c>
      <c r="R326" s="571">
        <v>346.14393204777281</v>
      </c>
      <c r="S326" s="1075">
        <f t="shared" si="45"/>
        <v>346.14393204777269</v>
      </c>
      <c r="T326" s="1075">
        <f t="shared" si="43"/>
        <v>0</v>
      </c>
    </row>
    <row r="327" spans="1:20" ht="16.5" thickBot="1" x14ac:dyDescent="0.3">
      <c r="A327" s="624" t="s">
        <v>77</v>
      </c>
      <c r="B327" s="802"/>
      <c r="C327" s="802" t="s">
        <v>1036</v>
      </c>
      <c r="D327" s="625">
        <v>222.17039610158466</v>
      </c>
      <c r="E327" s="593">
        <v>0</v>
      </c>
      <c r="F327" s="594">
        <v>0</v>
      </c>
      <c r="G327" s="595">
        <v>44.434079220316931</v>
      </c>
      <c r="H327" s="566">
        <v>266.60447532190159</v>
      </c>
      <c r="I327" s="596">
        <v>12.274607519424565</v>
      </c>
      <c r="J327" s="595">
        <v>2.454921503884913</v>
      </c>
      <c r="K327" s="626">
        <v>44.188587069928438</v>
      </c>
      <c r="L327" s="595">
        <v>8.837717413985688</v>
      </c>
      <c r="M327" s="1057">
        <f t="shared" si="44"/>
        <v>56.463194589353002</v>
      </c>
      <c r="N327" s="1058">
        <f t="shared" si="44"/>
        <v>11.292638917870601</v>
      </c>
      <c r="O327" s="597">
        <v>0</v>
      </c>
      <c r="P327" s="595">
        <v>0</v>
      </c>
      <c r="Q327" s="570">
        <v>55.726718138187529</v>
      </c>
      <c r="R327" s="571">
        <v>334.36030882912519</v>
      </c>
      <c r="S327" s="1075">
        <f t="shared" si="45"/>
        <v>334.36030882912519</v>
      </c>
      <c r="T327" s="1075">
        <f t="shared" si="43"/>
        <v>0</v>
      </c>
    </row>
    <row r="328" spans="1:20" ht="15.75" x14ac:dyDescent="0.25">
      <c r="A328" s="740" t="s">
        <v>548</v>
      </c>
      <c r="B328" s="806"/>
      <c r="C328" s="806" t="s">
        <v>1040</v>
      </c>
      <c r="D328" s="625">
        <v>148.76072487853753</v>
      </c>
      <c r="E328" s="593">
        <v>278.24648732893871</v>
      </c>
      <c r="F328" s="594">
        <v>0</v>
      </c>
      <c r="G328" s="595">
        <v>0</v>
      </c>
      <c r="H328" s="566">
        <v>427.00721220747624</v>
      </c>
      <c r="I328" s="596">
        <v>0</v>
      </c>
      <c r="J328" s="595">
        <v>0</v>
      </c>
      <c r="K328" s="626">
        <v>458.01890918343815</v>
      </c>
      <c r="L328" s="595">
        <v>0</v>
      </c>
      <c r="M328" s="1057">
        <f t="shared" si="44"/>
        <v>458.01890918343815</v>
      </c>
      <c r="N328" s="1058">
        <f t="shared" si="44"/>
        <v>0</v>
      </c>
      <c r="O328" s="597">
        <v>0</v>
      </c>
      <c r="P328" s="595">
        <v>0</v>
      </c>
      <c r="Q328" s="570">
        <v>0</v>
      </c>
      <c r="R328" s="571">
        <v>885.02612139091434</v>
      </c>
      <c r="S328" s="1075">
        <f t="shared" si="45"/>
        <v>885.02612139091434</v>
      </c>
      <c r="T328" s="1075">
        <f t="shared" si="43"/>
        <v>0</v>
      </c>
    </row>
    <row r="329" spans="1:20" ht="15.75" x14ac:dyDescent="0.25">
      <c r="A329" s="724" t="s">
        <v>940</v>
      </c>
      <c r="B329" s="724" t="s">
        <v>429</v>
      </c>
      <c r="C329" s="724" t="s">
        <v>1040</v>
      </c>
      <c r="D329" s="625">
        <v>87.214433957013028</v>
      </c>
      <c r="E329" s="593">
        <v>301.62453581851003</v>
      </c>
      <c r="F329" s="594">
        <v>0</v>
      </c>
      <c r="G329" s="595">
        <v>0</v>
      </c>
      <c r="H329" s="566">
        <v>388.83896977552308</v>
      </c>
      <c r="I329" s="596">
        <v>0</v>
      </c>
      <c r="J329" s="595">
        <v>0</v>
      </c>
      <c r="K329" s="626">
        <v>429.39272735947327</v>
      </c>
      <c r="L329" s="595">
        <v>0</v>
      </c>
      <c r="M329" s="1057">
        <f t="shared" si="44"/>
        <v>429.39272735947327</v>
      </c>
      <c r="N329" s="1058">
        <f t="shared" si="44"/>
        <v>0</v>
      </c>
      <c r="O329" s="597">
        <v>0</v>
      </c>
      <c r="P329" s="595">
        <v>0</v>
      </c>
      <c r="Q329" s="570">
        <v>0</v>
      </c>
      <c r="R329" s="571">
        <v>818.23169713499635</v>
      </c>
      <c r="S329" s="1075">
        <f t="shared" si="45"/>
        <v>818.23169713499635</v>
      </c>
      <c r="T329" s="1075">
        <f t="shared" si="43"/>
        <v>0</v>
      </c>
    </row>
    <row r="330" spans="1:20" ht="15.75" x14ac:dyDescent="0.25">
      <c r="A330" s="724" t="s">
        <v>549</v>
      </c>
      <c r="B330" s="724"/>
      <c r="C330" s="724" t="s">
        <v>1040</v>
      </c>
      <c r="D330" s="625">
        <v>142.60609578638508</v>
      </c>
      <c r="E330" s="593">
        <v>283.60594470375878</v>
      </c>
      <c r="F330" s="594">
        <v>0</v>
      </c>
      <c r="G330" s="595">
        <v>0</v>
      </c>
      <c r="H330" s="566">
        <v>426.21204049014386</v>
      </c>
      <c r="I330" s="596">
        <v>0</v>
      </c>
      <c r="J330" s="595">
        <v>0</v>
      </c>
      <c r="K330" s="626">
        <v>406.33274755683493</v>
      </c>
      <c r="L330" s="595">
        <v>0</v>
      </c>
      <c r="M330" s="1057">
        <f t="shared" si="44"/>
        <v>406.33274755683493</v>
      </c>
      <c r="N330" s="1058">
        <f t="shared" si="44"/>
        <v>0</v>
      </c>
      <c r="O330" s="597">
        <v>0</v>
      </c>
      <c r="P330" s="595">
        <v>0</v>
      </c>
      <c r="Q330" s="570">
        <v>0</v>
      </c>
      <c r="R330" s="571">
        <v>832.54478804697874</v>
      </c>
      <c r="S330" s="1075">
        <f t="shared" si="45"/>
        <v>832.54478804697874</v>
      </c>
      <c r="T330" s="1075">
        <f t="shared" si="43"/>
        <v>0</v>
      </c>
    </row>
    <row r="331" spans="1:20" ht="15.75" x14ac:dyDescent="0.25">
      <c r="A331" s="724" t="s">
        <v>722</v>
      </c>
      <c r="B331" s="724"/>
      <c r="C331" s="724" t="s">
        <v>1040</v>
      </c>
      <c r="D331" s="625">
        <v>190.84121215976592</v>
      </c>
      <c r="E331" s="593">
        <v>573.31880819663002</v>
      </c>
      <c r="F331" s="594">
        <v>0</v>
      </c>
      <c r="G331" s="595">
        <v>0</v>
      </c>
      <c r="H331" s="566">
        <v>764.16002035639599</v>
      </c>
      <c r="I331" s="596">
        <v>0</v>
      </c>
      <c r="J331" s="595">
        <v>0</v>
      </c>
      <c r="K331" s="626">
        <v>394.40517179684952</v>
      </c>
      <c r="L331" s="595">
        <v>0</v>
      </c>
      <c r="M331" s="1057">
        <f t="shared" si="44"/>
        <v>394.40517179684952</v>
      </c>
      <c r="N331" s="1058">
        <f t="shared" si="44"/>
        <v>0</v>
      </c>
      <c r="O331" s="597">
        <v>0</v>
      </c>
      <c r="P331" s="595">
        <v>0</v>
      </c>
      <c r="Q331" s="570">
        <v>0</v>
      </c>
      <c r="R331" s="571">
        <v>1158.5651921532456</v>
      </c>
      <c r="S331" s="1075">
        <f t="shared" si="45"/>
        <v>1158.5651921532456</v>
      </c>
      <c r="T331" s="1075">
        <f t="shared" si="43"/>
        <v>0</v>
      </c>
    </row>
    <row r="332" spans="1:20" ht="15.75" x14ac:dyDescent="0.25">
      <c r="A332" s="724" t="s">
        <v>723</v>
      </c>
      <c r="B332" s="724"/>
      <c r="C332" s="724" t="s">
        <v>1040</v>
      </c>
      <c r="D332" s="625">
        <v>489.8257778767325</v>
      </c>
      <c r="E332" s="593">
        <v>0</v>
      </c>
      <c r="F332" s="594">
        <v>0</v>
      </c>
      <c r="G332" s="595">
        <v>0</v>
      </c>
      <c r="H332" s="566">
        <v>489.8257778767325</v>
      </c>
      <c r="I332" s="596">
        <v>0</v>
      </c>
      <c r="J332" s="595">
        <v>0</v>
      </c>
      <c r="K332" s="626">
        <v>305.34593945562546</v>
      </c>
      <c r="L332" s="595">
        <v>0</v>
      </c>
      <c r="M332" s="1057">
        <f t="shared" si="44"/>
        <v>305.34593945562546</v>
      </c>
      <c r="N332" s="1058">
        <f t="shared" si="44"/>
        <v>0</v>
      </c>
      <c r="O332" s="597">
        <v>0</v>
      </c>
      <c r="P332" s="595">
        <v>0</v>
      </c>
      <c r="Q332" s="570">
        <v>0</v>
      </c>
      <c r="R332" s="571">
        <v>795.17171733235796</v>
      </c>
      <c r="S332" s="1075">
        <f t="shared" si="45"/>
        <v>795.17171733235796</v>
      </c>
      <c r="T332" s="1075">
        <f t="shared" si="43"/>
        <v>0</v>
      </c>
    </row>
    <row r="333" spans="1:20" ht="16.5" thickBot="1" x14ac:dyDescent="0.3">
      <c r="A333" s="743" t="s">
        <v>552</v>
      </c>
      <c r="B333" s="807"/>
      <c r="C333" s="807" t="s">
        <v>1040</v>
      </c>
      <c r="D333" s="625">
        <v>167.65400488235434</v>
      </c>
      <c r="E333" s="593">
        <v>166.31811639723597</v>
      </c>
      <c r="F333" s="594">
        <v>0</v>
      </c>
      <c r="G333" s="595">
        <v>0</v>
      </c>
      <c r="H333" s="566">
        <v>333.97212127959028</v>
      </c>
      <c r="I333" s="596">
        <v>0</v>
      </c>
      <c r="J333" s="595">
        <v>0</v>
      </c>
      <c r="K333" s="626">
        <v>337.15280814891975</v>
      </c>
      <c r="L333" s="595">
        <v>0</v>
      </c>
      <c r="M333" s="1057">
        <f t="shared" si="44"/>
        <v>337.15280814891975</v>
      </c>
      <c r="N333" s="1058">
        <f t="shared" si="44"/>
        <v>0</v>
      </c>
      <c r="O333" s="597">
        <v>0</v>
      </c>
      <c r="P333" s="595">
        <v>0</v>
      </c>
      <c r="Q333" s="570">
        <v>0</v>
      </c>
      <c r="R333" s="571">
        <v>671.12492942851009</v>
      </c>
      <c r="S333" s="1075">
        <f t="shared" si="45"/>
        <v>671.12492942851009</v>
      </c>
      <c r="T333" s="1075">
        <f t="shared" si="43"/>
        <v>0</v>
      </c>
    </row>
    <row r="334" spans="1:20" ht="15.75" x14ac:dyDescent="0.25">
      <c r="A334" s="623" t="s">
        <v>78</v>
      </c>
      <c r="B334" s="802" t="s">
        <v>429</v>
      </c>
      <c r="C334" s="802" t="s">
        <v>1044</v>
      </c>
      <c r="D334" s="686">
        <v>125.19686977064671</v>
      </c>
      <c r="E334" s="593">
        <v>0</v>
      </c>
      <c r="F334" s="594">
        <v>0</v>
      </c>
      <c r="G334" s="595">
        <v>0</v>
      </c>
      <c r="H334" s="566">
        <v>125.19686977064671</v>
      </c>
      <c r="I334" s="596">
        <v>0</v>
      </c>
      <c r="J334" s="595">
        <v>0</v>
      </c>
      <c r="K334" s="626">
        <v>41.834826262427406</v>
      </c>
      <c r="L334" s="595">
        <v>0</v>
      </c>
      <c r="M334" s="1057">
        <f t="shared" si="44"/>
        <v>41.834826262427406</v>
      </c>
      <c r="N334" s="1058">
        <f t="shared" si="44"/>
        <v>0</v>
      </c>
      <c r="O334" s="597">
        <v>48.294615611772812</v>
      </c>
      <c r="P334" s="595">
        <v>0</v>
      </c>
      <c r="Q334" s="570">
        <v>0</v>
      </c>
      <c r="R334" s="571">
        <v>215.32631164484695</v>
      </c>
      <c r="S334" s="1075">
        <f t="shared" si="45"/>
        <v>215.32631164484695</v>
      </c>
      <c r="T334" s="1075">
        <f t="shared" si="43"/>
        <v>0</v>
      </c>
    </row>
    <row r="335" spans="1:20" ht="15.75" x14ac:dyDescent="0.25">
      <c r="A335" s="685" t="s">
        <v>79</v>
      </c>
      <c r="B335" s="802"/>
      <c r="C335" s="802" t="s">
        <v>1044</v>
      </c>
      <c r="D335" s="686">
        <v>101.51097548971356</v>
      </c>
      <c r="E335" s="593">
        <v>0</v>
      </c>
      <c r="F335" s="594">
        <v>0</v>
      </c>
      <c r="G335" s="595">
        <v>0</v>
      </c>
      <c r="H335" s="566">
        <v>101.51097548971356</v>
      </c>
      <c r="I335" s="596">
        <v>0</v>
      </c>
      <c r="J335" s="595">
        <v>0</v>
      </c>
      <c r="K335" s="626">
        <v>52.293532828034259</v>
      </c>
      <c r="L335" s="595">
        <v>0</v>
      </c>
      <c r="M335" s="1057">
        <f t="shared" si="44"/>
        <v>52.293532828034259</v>
      </c>
      <c r="N335" s="1058">
        <f t="shared" si="44"/>
        <v>0</v>
      </c>
      <c r="O335" s="597">
        <v>0</v>
      </c>
      <c r="P335" s="595">
        <v>0</v>
      </c>
      <c r="Q335" s="570">
        <v>0</v>
      </c>
      <c r="R335" s="571">
        <v>153.80450831774783</v>
      </c>
      <c r="S335" s="1075">
        <f t="shared" si="45"/>
        <v>153.80450831774783</v>
      </c>
      <c r="T335" s="1075">
        <f t="shared" si="43"/>
        <v>0</v>
      </c>
    </row>
    <row r="336" spans="1:20" ht="15.75" x14ac:dyDescent="0.25">
      <c r="A336" s="685" t="s">
        <v>80</v>
      </c>
      <c r="B336" s="802"/>
      <c r="C336" s="802" t="s">
        <v>1044</v>
      </c>
      <c r="D336" s="686">
        <v>120.27512550447879</v>
      </c>
      <c r="E336" s="593">
        <v>0</v>
      </c>
      <c r="F336" s="594">
        <v>42.757653312333893</v>
      </c>
      <c r="G336" s="595">
        <v>0</v>
      </c>
      <c r="H336" s="566">
        <v>163.03277881681268</v>
      </c>
      <c r="I336" s="596">
        <v>0</v>
      </c>
      <c r="J336" s="595">
        <v>0</v>
      </c>
      <c r="K336" s="626">
        <v>27.684811497194605</v>
      </c>
      <c r="L336" s="595">
        <v>0</v>
      </c>
      <c r="M336" s="1057">
        <f t="shared" si="44"/>
        <v>27.684811497194605</v>
      </c>
      <c r="N336" s="1058">
        <f t="shared" si="44"/>
        <v>0</v>
      </c>
      <c r="O336" s="597">
        <v>0</v>
      </c>
      <c r="P336" s="595">
        <v>0</v>
      </c>
      <c r="Q336" s="570">
        <v>0</v>
      </c>
      <c r="R336" s="571">
        <v>190.71759031400728</v>
      </c>
      <c r="S336" s="1075">
        <f t="shared" si="45"/>
        <v>190.71759031400728</v>
      </c>
      <c r="T336" s="1075">
        <f t="shared" si="43"/>
        <v>0</v>
      </c>
    </row>
    <row r="337" spans="1:20" ht="15.75" x14ac:dyDescent="0.25">
      <c r="A337" s="624" t="s">
        <v>81</v>
      </c>
      <c r="B337" s="802"/>
      <c r="C337" s="802" t="s">
        <v>1044</v>
      </c>
      <c r="D337" s="686">
        <v>123.35121567083374</v>
      </c>
      <c r="E337" s="593">
        <v>0</v>
      </c>
      <c r="F337" s="594">
        <v>0</v>
      </c>
      <c r="G337" s="595">
        <v>0</v>
      </c>
      <c r="H337" s="566">
        <v>123.35121567083374</v>
      </c>
      <c r="I337" s="596">
        <v>0</v>
      </c>
      <c r="J337" s="595">
        <v>0</v>
      </c>
      <c r="K337" s="626">
        <v>27.684811497194605</v>
      </c>
      <c r="L337" s="595">
        <v>0</v>
      </c>
      <c r="M337" s="1057">
        <f t="shared" si="44"/>
        <v>27.684811497194605</v>
      </c>
      <c r="N337" s="1058">
        <f t="shared" si="44"/>
        <v>0</v>
      </c>
      <c r="O337" s="597">
        <v>0</v>
      </c>
      <c r="P337" s="595">
        <v>0</v>
      </c>
      <c r="Q337" s="570">
        <v>0</v>
      </c>
      <c r="R337" s="571">
        <v>151.03602716802834</v>
      </c>
      <c r="S337" s="1075">
        <f t="shared" si="45"/>
        <v>151.03602716802834</v>
      </c>
      <c r="T337" s="1075">
        <f t="shared" si="43"/>
        <v>0</v>
      </c>
    </row>
    <row r="338" spans="1:20" ht="16.5" thickBot="1" x14ac:dyDescent="0.3">
      <c r="A338" s="684" t="s">
        <v>468</v>
      </c>
      <c r="B338" s="802"/>
      <c r="C338" s="802" t="s">
        <v>1044</v>
      </c>
      <c r="D338" s="686">
        <v>91.359877940742194</v>
      </c>
      <c r="E338" s="593">
        <v>0</v>
      </c>
      <c r="F338" s="594">
        <v>0</v>
      </c>
      <c r="G338" s="595">
        <v>0</v>
      </c>
      <c r="H338" s="566">
        <v>91.359877940742194</v>
      </c>
      <c r="I338" s="596">
        <v>0</v>
      </c>
      <c r="J338" s="595">
        <v>0</v>
      </c>
      <c r="K338" s="626">
        <v>36.913081996259471</v>
      </c>
      <c r="L338" s="595">
        <v>0</v>
      </c>
      <c r="M338" s="1057">
        <f t="shared" si="44"/>
        <v>36.913081996259471</v>
      </c>
      <c r="N338" s="1058">
        <f t="shared" si="44"/>
        <v>0</v>
      </c>
      <c r="O338" s="597">
        <v>0</v>
      </c>
      <c r="P338" s="595">
        <v>0</v>
      </c>
      <c r="Q338" s="570">
        <v>0</v>
      </c>
      <c r="R338" s="571">
        <v>128.27295993700167</v>
      </c>
      <c r="S338" s="1075">
        <f t="shared" si="45"/>
        <v>128.27295993700167</v>
      </c>
      <c r="T338" s="1075">
        <f t="shared" si="43"/>
        <v>0</v>
      </c>
    </row>
    <row r="339" spans="1:20" ht="16.5" thickBot="1" x14ac:dyDescent="0.3">
      <c r="A339" s="685" t="s">
        <v>84</v>
      </c>
      <c r="B339" s="802" t="s">
        <v>429</v>
      </c>
      <c r="C339" s="812" t="s">
        <v>1046</v>
      </c>
      <c r="D339" s="625">
        <v>0</v>
      </c>
      <c r="E339" s="593">
        <v>113.95744452081885</v>
      </c>
      <c r="F339" s="594">
        <v>0</v>
      </c>
      <c r="G339" s="595">
        <v>0</v>
      </c>
      <c r="H339" s="566">
        <v>113.95744452081885</v>
      </c>
      <c r="I339" s="596">
        <v>0</v>
      </c>
      <c r="J339" s="595">
        <v>0</v>
      </c>
      <c r="K339" s="626">
        <v>74.75305252297953</v>
      </c>
      <c r="L339" s="595">
        <v>0</v>
      </c>
      <c r="M339" s="1057">
        <f t="shared" si="44"/>
        <v>74.75305252297953</v>
      </c>
      <c r="N339" s="1058">
        <f t="shared" si="44"/>
        <v>0</v>
      </c>
      <c r="O339" s="597">
        <v>0</v>
      </c>
      <c r="P339" s="595">
        <v>0</v>
      </c>
      <c r="Q339" s="570">
        <v>0</v>
      </c>
      <c r="R339" s="571">
        <v>188.7104970437984</v>
      </c>
      <c r="S339" s="1075">
        <f t="shared" si="45"/>
        <v>188.7104970437984</v>
      </c>
      <c r="T339" s="1075">
        <f t="shared" si="43"/>
        <v>0</v>
      </c>
    </row>
    <row r="340" spans="1:20" ht="15.75" x14ac:dyDescent="0.25">
      <c r="A340" s="623" t="s">
        <v>82</v>
      </c>
      <c r="B340" s="802" t="s">
        <v>429</v>
      </c>
      <c r="C340" s="802" t="s">
        <v>1048</v>
      </c>
      <c r="D340" s="625">
        <v>27.510121600805885</v>
      </c>
      <c r="E340" s="593">
        <v>52.525452762322999</v>
      </c>
      <c r="F340" s="594">
        <v>3.3713384314713095</v>
      </c>
      <c r="G340" s="595">
        <v>0</v>
      </c>
      <c r="H340" s="566">
        <v>83.406912794600203</v>
      </c>
      <c r="I340" s="596">
        <v>0</v>
      </c>
      <c r="J340" s="595">
        <v>0</v>
      </c>
      <c r="K340" s="626">
        <v>33.713384314713096</v>
      </c>
      <c r="L340" s="595">
        <v>0</v>
      </c>
      <c r="M340" s="1057">
        <f t="shared" si="44"/>
        <v>33.713384314713096</v>
      </c>
      <c r="N340" s="1058">
        <f t="shared" si="44"/>
        <v>0</v>
      </c>
      <c r="O340" s="597">
        <v>0</v>
      </c>
      <c r="P340" s="595">
        <v>3.9950360412935018</v>
      </c>
      <c r="Q340" s="570">
        <v>3.9950360412935018</v>
      </c>
      <c r="R340" s="571">
        <v>121.1153331506068</v>
      </c>
      <c r="S340" s="1075">
        <f t="shared" si="45"/>
        <v>121.1153331506068</v>
      </c>
      <c r="T340" s="1075">
        <f t="shared" si="43"/>
        <v>0</v>
      </c>
    </row>
    <row r="341" spans="1:20" ht="16.5" thickBot="1" x14ac:dyDescent="0.3">
      <c r="A341" s="624" t="s">
        <v>83</v>
      </c>
      <c r="B341" s="802"/>
      <c r="C341" s="802" t="s">
        <v>1048</v>
      </c>
      <c r="D341" s="625">
        <v>14.442813840423089</v>
      </c>
      <c r="E341" s="593">
        <v>77.675637461098972</v>
      </c>
      <c r="F341" s="594">
        <v>3.3713384314713095</v>
      </c>
      <c r="G341" s="595">
        <v>0</v>
      </c>
      <c r="H341" s="566">
        <v>95.489789732993373</v>
      </c>
      <c r="I341" s="596">
        <v>0</v>
      </c>
      <c r="J341" s="595">
        <v>0</v>
      </c>
      <c r="K341" s="626">
        <v>33.713384314713096</v>
      </c>
      <c r="L341" s="595">
        <v>0</v>
      </c>
      <c r="M341" s="1057">
        <f t="shared" si="44"/>
        <v>33.713384314713096</v>
      </c>
      <c r="N341" s="1058">
        <f t="shared" si="44"/>
        <v>0</v>
      </c>
      <c r="O341" s="597">
        <v>0</v>
      </c>
      <c r="P341" s="595">
        <v>4.6018769589583375</v>
      </c>
      <c r="Q341" s="570">
        <v>4.6018769589583375</v>
      </c>
      <c r="R341" s="571">
        <v>133.8050510066648</v>
      </c>
      <c r="S341" s="1075">
        <f t="shared" si="45"/>
        <v>133.8050510066648</v>
      </c>
      <c r="T341" s="1075">
        <f t="shared" si="43"/>
        <v>0</v>
      </c>
    </row>
    <row r="342" spans="1:20" ht="15.75" x14ac:dyDescent="0.25">
      <c r="A342" s="638" t="s">
        <v>85</v>
      </c>
      <c r="B342" s="693"/>
      <c r="C342" s="806" t="s">
        <v>1050</v>
      </c>
      <c r="D342" s="625">
        <v>79.230741527712752</v>
      </c>
      <c r="E342" s="593">
        <v>273.70619800482586</v>
      </c>
      <c r="F342" s="594">
        <v>0</v>
      </c>
      <c r="G342" s="595">
        <v>17.646846976626929</v>
      </c>
      <c r="H342" s="566">
        <v>370.58378650916558</v>
      </c>
      <c r="I342" s="596">
        <v>120.04657807229205</v>
      </c>
      <c r="J342" s="595">
        <v>0</v>
      </c>
      <c r="K342" s="626">
        <v>107.56173395277366</v>
      </c>
      <c r="L342" s="595">
        <v>0</v>
      </c>
      <c r="M342" s="1057">
        <f t="shared" si="44"/>
        <v>227.60831202506571</v>
      </c>
      <c r="N342" s="1058">
        <f t="shared" si="44"/>
        <v>0</v>
      </c>
      <c r="O342" s="597">
        <v>30.731923986506764</v>
      </c>
      <c r="P342" s="595">
        <v>0</v>
      </c>
      <c r="Q342" s="570">
        <v>17.646846976626929</v>
      </c>
      <c r="R342" s="571">
        <v>628.92402252073805</v>
      </c>
      <c r="S342" s="1075">
        <f t="shared" si="45"/>
        <v>628.92402252073805</v>
      </c>
      <c r="T342" s="1075">
        <f t="shared" si="43"/>
        <v>0</v>
      </c>
    </row>
    <row r="343" spans="1:20" ht="15.75" x14ac:dyDescent="0.25">
      <c r="A343" s="639" t="s">
        <v>878</v>
      </c>
      <c r="B343" s="639" t="s">
        <v>429</v>
      </c>
      <c r="C343" s="724" t="s">
        <v>1050</v>
      </c>
      <c r="D343" s="625">
        <v>50.419562790362662</v>
      </c>
      <c r="E343" s="593">
        <v>264.10247175904249</v>
      </c>
      <c r="F343" s="594">
        <v>0</v>
      </c>
      <c r="G343" s="595">
        <v>15.726101727470258</v>
      </c>
      <c r="H343" s="566">
        <v>330.24813627687541</v>
      </c>
      <c r="I343" s="596">
        <v>132.05123587952124</v>
      </c>
      <c r="J343" s="595">
        <v>0</v>
      </c>
      <c r="K343" s="626">
        <v>131.4510029891598</v>
      </c>
      <c r="L343" s="595">
        <v>0</v>
      </c>
      <c r="M343" s="1057">
        <f t="shared" si="44"/>
        <v>263.50223886868105</v>
      </c>
      <c r="N343" s="1058">
        <f t="shared" si="44"/>
        <v>0</v>
      </c>
      <c r="O343" s="597">
        <v>0</v>
      </c>
      <c r="P343" s="595">
        <v>0</v>
      </c>
      <c r="Q343" s="570">
        <v>15.726101727470258</v>
      </c>
      <c r="R343" s="571">
        <v>593.75037514555652</v>
      </c>
      <c r="S343" s="1075">
        <f t="shared" si="45"/>
        <v>593.75037514555652</v>
      </c>
      <c r="T343" s="1075">
        <f t="shared" si="43"/>
        <v>0</v>
      </c>
    </row>
    <row r="344" spans="1:20" ht="15.75" x14ac:dyDescent="0.25">
      <c r="A344" s="639" t="s">
        <v>879</v>
      </c>
      <c r="B344" s="639"/>
      <c r="C344" s="724" t="s">
        <v>1050</v>
      </c>
      <c r="D344" s="625">
        <v>79.230741527712752</v>
      </c>
      <c r="E344" s="593">
        <v>264.10247175904249</v>
      </c>
      <c r="F344" s="594">
        <v>0</v>
      </c>
      <c r="G344" s="595">
        <v>17.166660664337762</v>
      </c>
      <c r="H344" s="566">
        <v>360.49987395109304</v>
      </c>
      <c r="I344" s="596">
        <v>153.65961993253381</v>
      </c>
      <c r="J344" s="595">
        <v>0</v>
      </c>
      <c r="K344" s="626">
        <v>188.53315086253468</v>
      </c>
      <c r="L344" s="595">
        <v>0</v>
      </c>
      <c r="M344" s="1057">
        <f t="shared" si="44"/>
        <v>342.1927707950685</v>
      </c>
      <c r="N344" s="1058">
        <f t="shared" si="44"/>
        <v>0</v>
      </c>
      <c r="O344" s="597">
        <v>43.216768106025135</v>
      </c>
      <c r="P344" s="595">
        <v>0</v>
      </c>
      <c r="Q344" s="570">
        <v>17.166660664337762</v>
      </c>
      <c r="R344" s="571">
        <v>745.90941285218662</v>
      </c>
      <c r="S344" s="1075">
        <f t="shared" si="45"/>
        <v>745.90941285218662</v>
      </c>
      <c r="T344" s="1075">
        <f t="shared" si="43"/>
        <v>0</v>
      </c>
    </row>
    <row r="345" spans="1:20" ht="16.5" thickBot="1" x14ac:dyDescent="0.3">
      <c r="A345" s="640" t="s">
        <v>86</v>
      </c>
      <c r="B345" s="652"/>
      <c r="C345" s="807" t="s">
        <v>1050</v>
      </c>
      <c r="D345" s="625">
        <v>57.622357474700181</v>
      </c>
      <c r="E345" s="593">
        <v>250.41716185880119</v>
      </c>
      <c r="F345" s="594">
        <v>0</v>
      </c>
      <c r="G345" s="595">
        <v>15.401975966675069</v>
      </c>
      <c r="H345" s="566">
        <v>323.44149530017648</v>
      </c>
      <c r="I345" s="596">
        <v>102.56779630496632</v>
      </c>
      <c r="J345" s="595">
        <v>0</v>
      </c>
      <c r="K345" s="626">
        <v>189.07336046385998</v>
      </c>
      <c r="L345" s="595">
        <v>0</v>
      </c>
      <c r="M345" s="1057">
        <f t="shared" si="44"/>
        <v>291.64115676882631</v>
      </c>
      <c r="N345" s="1058">
        <f t="shared" si="44"/>
        <v>0</v>
      </c>
      <c r="O345" s="597">
        <v>42.016302325302213</v>
      </c>
      <c r="P345" s="595">
        <v>0</v>
      </c>
      <c r="Q345" s="570">
        <v>15.401975966675069</v>
      </c>
      <c r="R345" s="571">
        <v>657.09895439430511</v>
      </c>
      <c r="S345" s="1075">
        <f t="shared" si="45"/>
        <v>657.098954394305</v>
      </c>
      <c r="T345" s="1075">
        <f t="shared" si="43"/>
        <v>0</v>
      </c>
    </row>
    <row r="346" spans="1:20" ht="15.75" x14ac:dyDescent="0.25">
      <c r="A346" s="693" t="s">
        <v>911</v>
      </c>
      <c r="B346" s="693" t="s">
        <v>429</v>
      </c>
      <c r="C346" s="806" t="s">
        <v>1052</v>
      </c>
      <c r="D346" s="625">
        <v>0</v>
      </c>
      <c r="E346" s="593">
        <v>379.49790086992158</v>
      </c>
      <c r="F346" s="594">
        <v>0</v>
      </c>
      <c r="G346" s="595">
        <v>56.966987348816566</v>
      </c>
      <c r="H346" s="566">
        <v>436.46488821873817</v>
      </c>
      <c r="I346" s="596">
        <v>0</v>
      </c>
      <c r="J346" s="595">
        <v>0</v>
      </c>
      <c r="K346" s="626">
        <v>318.77071633636467</v>
      </c>
      <c r="L346" s="595">
        <v>47.754504246202664</v>
      </c>
      <c r="M346" s="1057">
        <f t="shared" si="44"/>
        <v>318.77071633636467</v>
      </c>
      <c r="N346" s="1058">
        <f t="shared" si="44"/>
        <v>47.754504246202664</v>
      </c>
      <c r="O346" s="597">
        <v>0</v>
      </c>
      <c r="P346" s="595">
        <v>0</v>
      </c>
      <c r="Q346" s="570">
        <v>104.72149159501923</v>
      </c>
      <c r="R346" s="571">
        <v>802.9901088013055</v>
      </c>
      <c r="S346" s="1075">
        <f t="shared" si="45"/>
        <v>802.9901088013055</v>
      </c>
      <c r="T346" s="1075">
        <f t="shared" si="43"/>
        <v>0</v>
      </c>
    </row>
    <row r="347" spans="1:20" ht="15.75" x14ac:dyDescent="0.25">
      <c r="A347" s="639" t="s">
        <v>912</v>
      </c>
      <c r="B347" s="639"/>
      <c r="C347" s="724" t="s">
        <v>1052</v>
      </c>
      <c r="D347" s="625">
        <v>0</v>
      </c>
      <c r="E347" s="593">
        <v>303.07189309007362</v>
      </c>
      <c r="F347" s="594">
        <v>0</v>
      </c>
      <c r="G347" s="595">
        <v>45.498385935358449</v>
      </c>
      <c r="H347" s="566">
        <v>348.57027902543206</v>
      </c>
      <c r="I347" s="596">
        <v>0</v>
      </c>
      <c r="J347" s="595">
        <v>0</v>
      </c>
      <c r="K347" s="626">
        <v>316.04457337742787</v>
      </c>
      <c r="L347" s="595">
        <v>47.378484527728631</v>
      </c>
      <c r="M347" s="1057">
        <f t="shared" si="44"/>
        <v>316.04457337742787</v>
      </c>
      <c r="N347" s="1058">
        <f t="shared" si="44"/>
        <v>47.378484527728631</v>
      </c>
      <c r="O347" s="597">
        <v>0</v>
      </c>
      <c r="P347" s="595">
        <v>0</v>
      </c>
      <c r="Q347" s="570">
        <v>92.876870463087073</v>
      </c>
      <c r="R347" s="571">
        <v>711.99333693058861</v>
      </c>
      <c r="S347" s="1075">
        <f t="shared" si="45"/>
        <v>711.99333693058861</v>
      </c>
      <c r="T347" s="1075">
        <f t="shared" si="43"/>
        <v>0</v>
      </c>
    </row>
    <row r="348" spans="1:20" ht="15.75" x14ac:dyDescent="0.25">
      <c r="A348" s="639" t="s">
        <v>913</v>
      </c>
      <c r="B348" s="639"/>
      <c r="C348" s="724" t="s">
        <v>1052</v>
      </c>
      <c r="D348" s="625">
        <v>0</v>
      </c>
      <c r="E348" s="593">
        <v>305.04599661206231</v>
      </c>
      <c r="F348" s="594">
        <v>0</v>
      </c>
      <c r="G348" s="595">
        <v>45.780400724213976</v>
      </c>
      <c r="H348" s="566">
        <v>350.82639733627627</v>
      </c>
      <c r="I348" s="596">
        <v>0</v>
      </c>
      <c r="J348" s="595">
        <v>0</v>
      </c>
      <c r="K348" s="626">
        <v>321.2148445064459</v>
      </c>
      <c r="L348" s="595">
        <v>48.224528894295212</v>
      </c>
      <c r="M348" s="1057">
        <f t="shared" si="44"/>
        <v>321.2148445064459</v>
      </c>
      <c r="N348" s="1058">
        <f t="shared" si="44"/>
        <v>48.224528894295212</v>
      </c>
      <c r="O348" s="597">
        <v>0</v>
      </c>
      <c r="P348" s="595">
        <v>0</v>
      </c>
      <c r="Q348" s="570">
        <v>94.004929618509181</v>
      </c>
      <c r="R348" s="571">
        <v>720.26577073701742</v>
      </c>
      <c r="S348" s="1075">
        <f t="shared" si="45"/>
        <v>720.26577073701742</v>
      </c>
      <c r="T348" s="1075">
        <f t="shared" si="43"/>
        <v>0</v>
      </c>
    </row>
    <row r="349" spans="1:20" ht="15.75" x14ac:dyDescent="0.25">
      <c r="A349" s="639" t="s">
        <v>914</v>
      </c>
      <c r="B349" s="639"/>
      <c r="C349" s="724" t="s">
        <v>1052</v>
      </c>
      <c r="D349" s="625">
        <v>0</v>
      </c>
      <c r="E349" s="593">
        <v>423.58621286100242</v>
      </c>
      <c r="F349" s="594">
        <v>0</v>
      </c>
      <c r="G349" s="595">
        <v>63.547332422112213</v>
      </c>
      <c r="H349" s="566">
        <v>487.13354528311464</v>
      </c>
      <c r="I349" s="596">
        <v>0</v>
      </c>
      <c r="J349" s="595">
        <v>0</v>
      </c>
      <c r="K349" s="626">
        <v>280.51070998163141</v>
      </c>
      <c r="L349" s="595">
        <v>42.114208469092112</v>
      </c>
      <c r="M349" s="1057">
        <f t="shared" si="44"/>
        <v>280.51070998163141</v>
      </c>
      <c r="N349" s="1058">
        <f t="shared" si="44"/>
        <v>42.114208469092112</v>
      </c>
      <c r="O349" s="597">
        <v>0</v>
      </c>
      <c r="P349" s="595">
        <v>0</v>
      </c>
      <c r="Q349" s="570">
        <v>105.66154089120433</v>
      </c>
      <c r="R349" s="571">
        <v>809.7584637338382</v>
      </c>
      <c r="S349" s="1075">
        <f t="shared" si="45"/>
        <v>809.7584637338382</v>
      </c>
      <c r="T349" s="1075">
        <f t="shared" si="43"/>
        <v>0</v>
      </c>
    </row>
    <row r="350" spans="1:20" ht="16.5" thickBot="1" x14ac:dyDescent="0.3">
      <c r="A350" s="652" t="s">
        <v>915</v>
      </c>
      <c r="B350" s="652"/>
      <c r="C350" s="807" t="s">
        <v>1052</v>
      </c>
      <c r="D350" s="625">
        <v>0</v>
      </c>
      <c r="E350" s="593">
        <v>408.54542412204091</v>
      </c>
      <c r="F350" s="594">
        <v>0</v>
      </c>
      <c r="G350" s="595">
        <v>61.29121411126799</v>
      </c>
      <c r="H350" s="566">
        <v>469.83663823330892</v>
      </c>
      <c r="I350" s="596">
        <v>0</v>
      </c>
      <c r="J350" s="595">
        <v>0</v>
      </c>
      <c r="K350" s="626">
        <v>395.00871425697562</v>
      </c>
      <c r="L350" s="595">
        <v>59.223105659660789</v>
      </c>
      <c r="M350" s="1057">
        <f t="shared" si="44"/>
        <v>395.00871425697562</v>
      </c>
      <c r="N350" s="1058">
        <f t="shared" si="44"/>
        <v>59.223105659660789</v>
      </c>
      <c r="O350" s="597">
        <v>0</v>
      </c>
      <c r="P350" s="595">
        <v>0</v>
      </c>
      <c r="Q350" s="570">
        <v>120.51431977092878</v>
      </c>
      <c r="R350" s="571">
        <v>924.06845814994529</v>
      </c>
      <c r="S350" s="1075">
        <f t="shared" si="45"/>
        <v>924.06845814994529</v>
      </c>
      <c r="T350" s="1075">
        <f t="shared" si="43"/>
        <v>0</v>
      </c>
    </row>
    <row r="351" spans="1:20" ht="15.75" x14ac:dyDescent="0.25">
      <c r="A351" s="641" t="s">
        <v>87</v>
      </c>
      <c r="B351" s="1046"/>
      <c r="C351" s="802" t="s">
        <v>1054</v>
      </c>
      <c r="D351" s="625">
        <v>161.19308675089545</v>
      </c>
      <c r="E351" s="593">
        <v>164.48142572061369</v>
      </c>
      <c r="F351" s="594">
        <v>201.4913584386193</v>
      </c>
      <c r="G351" s="595">
        <v>131.79146772753211</v>
      </c>
      <c r="H351" s="566">
        <f>SUM(D351:G351)</f>
        <v>658.95733863766054</v>
      </c>
      <c r="I351" s="596">
        <v>0</v>
      </c>
      <c r="J351" s="595">
        <v>0</v>
      </c>
      <c r="K351" s="626">
        <v>766.09432374664311</v>
      </c>
      <c r="L351" s="595">
        <v>191.52317795394393</v>
      </c>
      <c r="M351" s="1057">
        <f t="shared" si="44"/>
        <v>766.09432374664311</v>
      </c>
      <c r="N351" s="1058">
        <f t="shared" si="44"/>
        <v>191.52317795394393</v>
      </c>
      <c r="O351" s="597">
        <v>24.654482618549455</v>
      </c>
      <c r="P351" s="595">
        <v>6.1640236373542416</v>
      </c>
      <c r="Q351" s="570">
        <v>329.47866931883027</v>
      </c>
      <c r="R351" s="571">
        <v>1647.3933465941514</v>
      </c>
      <c r="S351" s="1075">
        <f t="shared" si="45"/>
        <v>1647.3933465941514</v>
      </c>
      <c r="T351" s="1075">
        <f t="shared" si="43"/>
        <v>0</v>
      </c>
    </row>
    <row r="352" spans="1:20" ht="15.75" x14ac:dyDescent="0.25">
      <c r="A352" s="641" t="s">
        <v>213</v>
      </c>
      <c r="B352" s="1046"/>
      <c r="C352" s="802" t="s">
        <v>1054</v>
      </c>
      <c r="D352" s="625">
        <v>88.720674947692842</v>
      </c>
      <c r="E352" s="593">
        <v>273.06108895601687</v>
      </c>
      <c r="F352" s="594">
        <v>201.4913584386193</v>
      </c>
      <c r="G352" s="595">
        <v>140.81828058558224</v>
      </c>
      <c r="H352" s="566">
        <f t="shared" ref="H352:H355" si="47">SUM(D352:G352)</f>
        <v>704.09140292791119</v>
      </c>
      <c r="I352" s="596">
        <v>0</v>
      </c>
      <c r="J352" s="595">
        <v>0</v>
      </c>
      <c r="K352" s="626">
        <v>800.09155767327456</v>
      </c>
      <c r="L352" s="595">
        <v>200.02288941831864</v>
      </c>
      <c r="M352" s="1057">
        <f t="shared" si="44"/>
        <v>800.09155767327456</v>
      </c>
      <c r="N352" s="1058">
        <f t="shared" si="44"/>
        <v>200.02288941831864</v>
      </c>
      <c r="O352" s="597">
        <v>18.382459613072115</v>
      </c>
      <c r="P352" s="595">
        <v>4.5956149032680287</v>
      </c>
      <c r="Q352" s="570">
        <v>345.43678490716889</v>
      </c>
      <c r="R352" s="571">
        <v>1727.1839245358447</v>
      </c>
      <c r="S352" s="1075">
        <f t="shared" si="45"/>
        <v>1727.1839245358447</v>
      </c>
      <c r="T352" s="1075">
        <f t="shared" si="43"/>
        <v>0</v>
      </c>
    </row>
    <row r="353" spans="1:20" ht="15.75" x14ac:dyDescent="0.25">
      <c r="A353" s="641" t="s">
        <v>88</v>
      </c>
      <c r="B353" s="1046" t="s">
        <v>429</v>
      </c>
      <c r="C353" s="802" t="s">
        <v>1054</v>
      </c>
      <c r="D353" s="625">
        <v>61.898145312343843</v>
      </c>
      <c r="E353" s="593">
        <v>268.67663699639252</v>
      </c>
      <c r="F353" s="594">
        <v>201.4913584386193</v>
      </c>
      <c r="G353" s="595">
        <v>133.01653518683892</v>
      </c>
      <c r="H353" s="566">
        <f t="shared" si="47"/>
        <v>665.08267593419464</v>
      </c>
      <c r="I353" s="596">
        <v>0</v>
      </c>
      <c r="J353" s="595">
        <v>0</v>
      </c>
      <c r="K353" s="626">
        <v>501.12190388378622</v>
      </c>
      <c r="L353" s="595">
        <v>125.28087895366345</v>
      </c>
      <c r="M353" s="1057">
        <f t="shared" si="44"/>
        <v>501.12190388378622</v>
      </c>
      <c r="N353" s="1058">
        <f t="shared" si="44"/>
        <v>125.28087895366345</v>
      </c>
      <c r="O353" s="597">
        <v>22.433241883122115</v>
      </c>
      <c r="P353" s="595">
        <v>5.6079074880636517</v>
      </c>
      <c r="Q353" s="570">
        <v>263.90532162856601</v>
      </c>
      <c r="R353" s="571">
        <v>1319.5266081428299</v>
      </c>
      <c r="S353" s="1075">
        <f t="shared" si="45"/>
        <v>1319.5266081428299</v>
      </c>
      <c r="T353" s="1075">
        <f t="shared" si="43"/>
        <v>0</v>
      </c>
    </row>
    <row r="354" spans="1:20" ht="15.75" x14ac:dyDescent="0.25">
      <c r="A354" s="641" t="s">
        <v>89</v>
      </c>
      <c r="B354" s="1046"/>
      <c r="C354" s="802" t="s">
        <v>1054</v>
      </c>
      <c r="D354" s="625">
        <v>106.77430066379313</v>
      </c>
      <c r="E354" s="593">
        <v>156.48624861776929</v>
      </c>
      <c r="F354" s="594">
        <v>201.4913584386193</v>
      </c>
      <c r="G354" s="595">
        <v>116.18797693004542</v>
      </c>
      <c r="H354" s="566">
        <f t="shared" si="47"/>
        <v>580.93988465022721</v>
      </c>
      <c r="I354" s="596">
        <v>0</v>
      </c>
      <c r="J354" s="595">
        <v>0</v>
      </c>
      <c r="K354" s="626">
        <v>835.62657364750942</v>
      </c>
      <c r="L354" s="595">
        <v>208.90624042916048</v>
      </c>
      <c r="M354" s="1057">
        <f t="shared" si="44"/>
        <v>835.62657364750942</v>
      </c>
      <c r="N354" s="1058">
        <f t="shared" si="44"/>
        <v>208.90624042916048</v>
      </c>
      <c r="O354" s="597">
        <v>16.246651213622751</v>
      </c>
      <c r="P354" s="595">
        <v>4.0620657861225649</v>
      </c>
      <c r="Q354" s="570">
        <v>329.15628314532847</v>
      </c>
      <c r="R354" s="571">
        <v>1645.7814157266423</v>
      </c>
      <c r="S354" s="1075">
        <f t="shared" si="45"/>
        <v>1645.7814157266423</v>
      </c>
      <c r="T354" s="1075">
        <f t="shared" si="43"/>
        <v>0</v>
      </c>
    </row>
    <row r="355" spans="1:20" ht="16.5" thickBot="1" x14ac:dyDescent="0.3">
      <c r="A355" s="544" t="s">
        <v>90</v>
      </c>
      <c r="B355" s="1046"/>
      <c r="C355" s="807" t="s">
        <v>1054</v>
      </c>
      <c r="D355" s="625">
        <v>77.372681640429803</v>
      </c>
      <c r="E355" s="593">
        <v>306.3313420614017</v>
      </c>
      <c r="F355" s="594">
        <v>201.4913584386193</v>
      </c>
      <c r="G355" s="595">
        <v>146.29884553511269</v>
      </c>
      <c r="H355" s="566">
        <f t="shared" si="47"/>
        <v>731.49422767556348</v>
      </c>
      <c r="I355" s="596">
        <v>0</v>
      </c>
      <c r="J355" s="595">
        <v>0</v>
      </c>
      <c r="K355" s="626">
        <v>1090.1230548024257</v>
      </c>
      <c r="L355" s="595">
        <v>272.53076370060643</v>
      </c>
      <c r="M355" s="1057">
        <f t="shared" si="44"/>
        <v>1090.1230548024257</v>
      </c>
      <c r="N355" s="1058">
        <f t="shared" si="44"/>
        <v>272.53076370060643</v>
      </c>
      <c r="O355" s="597">
        <v>17.337928410926313</v>
      </c>
      <c r="P355" s="595">
        <v>4.3344821027315783</v>
      </c>
      <c r="Q355" s="570">
        <v>423.16409133845065</v>
      </c>
      <c r="R355" s="571">
        <v>2115.8204566922536</v>
      </c>
      <c r="S355" s="1075">
        <f t="shared" si="45"/>
        <v>2115.8204566922536</v>
      </c>
      <c r="T355" s="1075">
        <f t="shared" si="43"/>
        <v>0</v>
      </c>
    </row>
    <row r="356" spans="1:20" ht="15.75" x14ac:dyDescent="0.25">
      <c r="A356" s="546" t="s">
        <v>91</v>
      </c>
      <c r="B356" s="1046"/>
      <c r="C356" s="802" t="s">
        <v>1056</v>
      </c>
      <c r="D356" s="625">
        <v>47.44240765416982</v>
      </c>
      <c r="E356" s="593">
        <v>271.30526644338005</v>
      </c>
      <c r="F356" s="594">
        <v>0</v>
      </c>
      <c r="G356" s="595">
        <v>76.493679547664485</v>
      </c>
      <c r="H356" s="566">
        <v>395.24135364521436</v>
      </c>
      <c r="I356" s="596">
        <v>333.72948704097189</v>
      </c>
      <c r="J356" s="595">
        <v>80.095076889833251</v>
      </c>
      <c r="K356" s="626">
        <v>0</v>
      </c>
      <c r="L356" s="595">
        <v>0</v>
      </c>
      <c r="M356" s="1057">
        <f t="shared" si="44"/>
        <v>333.72948704097189</v>
      </c>
      <c r="N356" s="1058">
        <f t="shared" si="44"/>
        <v>80.095076889833251</v>
      </c>
      <c r="O356" s="597">
        <v>47.44240765416982</v>
      </c>
      <c r="P356" s="595">
        <v>11.380415601253286</v>
      </c>
      <c r="Q356" s="570">
        <v>167.96917203875103</v>
      </c>
      <c r="R356" s="571">
        <v>867.88874083144265</v>
      </c>
      <c r="S356" s="1075">
        <f t="shared" si="45"/>
        <v>867.88874083144265</v>
      </c>
      <c r="T356" s="1075">
        <f t="shared" si="43"/>
        <v>0</v>
      </c>
    </row>
    <row r="357" spans="1:20" ht="15.75" x14ac:dyDescent="0.25">
      <c r="A357" s="547" t="s">
        <v>92</v>
      </c>
      <c r="B357" s="1046" t="s">
        <v>429</v>
      </c>
      <c r="C357" s="802" t="s">
        <v>1056</v>
      </c>
      <c r="D357" s="625">
        <v>47.44240765416982</v>
      </c>
      <c r="E357" s="593">
        <v>271.30526644338005</v>
      </c>
      <c r="F357" s="594">
        <v>0</v>
      </c>
      <c r="G357" s="595">
        <v>76.493679547664485</v>
      </c>
      <c r="H357" s="566">
        <v>395.24135364521436</v>
      </c>
      <c r="I357" s="596">
        <v>333.72948704097189</v>
      </c>
      <c r="J357" s="595">
        <v>80.095076889833251</v>
      </c>
      <c r="K357" s="626">
        <v>0</v>
      </c>
      <c r="L357" s="595">
        <v>0</v>
      </c>
      <c r="M357" s="1057">
        <f t="shared" si="44"/>
        <v>333.72948704097189</v>
      </c>
      <c r="N357" s="1058">
        <f t="shared" si="44"/>
        <v>80.095076889833251</v>
      </c>
      <c r="O357" s="597">
        <v>47.44240765416982</v>
      </c>
      <c r="P357" s="595">
        <v>11.380415601253286</v>
      </c>
      <c r="Q357" s="570">
        <v>167.96917203875103</v>
      </c>
      <c r="R357" s="571">
        <v>867.88874083144265</v>
      </c>
      <c r="S357" s="1075">
        <f t="shared" si="45"/>
        <v>867.88874083144265</v>
      </c>
      <c r="T357" s="1075">
        <f t="shared" si="43"/>
        <v>0</v>
      </c>
    </row>
    <row r="358" spans="1:20" ht="15.75" x14ac:dyDescent="0.25">
      <c r="A358" s="547" t="s">
        <v>93</v>
      </c>
      <c r="B358" s="1046"/>
      <c r="C358" s="802" t="s">
        <v>1056</v>
      </c>
      <c r="D358" s="625">
        <v>50.347534843519284</v>
      </c>
      <c r="E358" s="593">
        <v>295.31458205783844</v>
      </c>
      <c r="F358" s="594">
        <v>0</v>
      </c>
      <c r="G358" s="595">
        <v>82.964190105761034</v>
      </c>
      <c r="H358" s="566">
        <v>428.62630700711873</v>
      </c>
      <c r="I358" s="596">
        <v>384.14904983133454</v>
      </c>
      <c r="J358" s="595">
        <v>92.195771959520286</v>
      </c>
      <c r="K358" s="626">
        <v>0</v>
      </c>
      <c r="L358" s="595">
        <v>0</v>
      </c>
      <c r="M358" s="1057">
        <f t="shared" si="44"/>
        <v>384.14904983133454</v>
      </c>
      <c r="N358" s="1058">
        <f t="shared" si="44"/>
        <v>92.195771959520286</v>
      </c>
      <c r="O358" s="597">
        <v>50.347534843519284</v>
      </c>
      <c r="P358" s="595">
        <v>12.08869041187981</v>
      </c>
      <c r="Q358" s="570">
        <v>187.24865247716113</v>
      </c>
      <c r="R358" s="571">
        <v>967.40735405337261</v>
      </c>
      <c r="S358" s="1075">
        <f t="shared" si="45"/>
        <v>967.40735405337261</v>
      </c>
      <c r="T358" s="1075">
        <f t="shared" si="43"/>
        <v>0</v>
      </c>
    </row>
    <row r="359" spans="1:20" ht="15.75" x14ac:dyDescent="0.25">
      <c r="A359" s="547" t="s">
        <v>94</v>
      </c>
      <c r="B359" s="1046"/>
      <c r="C359" s="802" t="s">
        <v>1056</v>
      </c>
      <c r="D359" s="625">
        <v>96.817565215303546</v>
      </c>
      <c r="E359" s="593">
        <v>276.10712956627168</v>
      </c>
      <c r="F359" s="594">
        <v>0</v>
      </c>
      <c r="G359" s="595">
        <v>89.506728610700947</v>
      </c>
      <c r="H359" s="566">
        <v>462.4314233922762</v>
      </c>
      <c r="I359" s="596">
        <v>398.5546392000096</v>
      </c>
      <c r="J359" s="595">
        <v>95.653113408002312</v>
      </c>
      <c r="K359" s="626">
        <v>0</v>
      </c>
      <c r="L359" s="595">
        <v>0</v>
      </c>
      <c r="M359" s="1057">
        <f t="shared" si="44"/>
        <v>398.5546392000096</v>
      </c>
      <c r="N359" s="1058">
        <f t="shared" si="44"/>
        <v>95.653113408002312</v>
      </c>
      <c r="O359" s="597">
        <v>0</v>
      </c>
      <c r="P359" s="595">
        <v>0</v>
      </c>
      <c r="Q359" s="570">
        <v>185.15984201870327</v>
      </c>
      <c r="R359" s="571">
        <v>956.63917600028822</v>
      </c>
      <c r="S359" s="1075">
        <f t="shared" si="45"/>
        <v>956.63917600028822</v>
      </c>
      <c r="T359" s="1075">
        <f t="shared" si="43"/>
        <v>0</v>
      </c>
    </row>
    <row r="360" spans="1:20" ht="15.75" x14ac:dyDescent="0.25">
      <c r="A360" s="547" t="s">
        <v>95</v>
      </c>
      <c r="B360" s="1046"/>
      <c r="C360" s="802" t="s">
        <v>1056</v>
      </c>
      <c r="D360" s="625">
        <v>129.72233226491878</v>
      </c>
      <c r="E360" s="593">
        <v>338.84347126685151</v>
      </c>
      <c r="F360" s="594">
        <v>0</v>
      </c>
      <c r="G360" s="595">
        <v>112.45963433812319</v>
      </c>
      <c r="H360" s="566">
        <v>581.02543786989349</v>
      </c>
      <c r="I360" s="596">
        <v>360.95605094776772</v>
      </c>
      <c r="J360" s="595">
        <v>89.218616823327437</v>
      </c>
      <c r="K360" s="626">
        <v>0</v>
      </c>
      <c r="L360" s="595">
        <v>0</v>
      </c>
      <c r="M360" s="1057">
        <f t="shared" si="44"/>
        <v>360.95605094776772</v>
      </c>
      <c r="N360" s="1058">
        <f t="shared" si="44"/>
        <v>89.218616823327437</v>
      </c>
      <c r="O360" s="597">
        <v>0</v>
      </c>
      <c r="P360" s="595">
        <v>0</v>
      </c>
      <c r="Q360" s="570">
        <v>201.67825116145065</v>
      </c>
      <c r="R360" s="571">
        <v>1031.2001056409886</v>
      </c>
      <c r="S360" s="1075">
        <f t="shared" si="45"/>
        <v>1031.2001056409886</v>
      </c>
      <c r="T360" s="1075">
        <f t="shared" si="43"/>
        <v>0</v>
      </c>
    </row>
    <row r="361" spans="1:20" ht="16.5" thickBot="1" x14ac:dyDescent="0.3">
      <c r="A361" s="613" t="s">
        <v>195</v>
      </c>
      <c r="B361" s="1046"/>
      <c r="C361" s="807" t="s">
        <v>1056</v>
      </c>
      <c r="D361" s="625">
        <v>47.44240765416982</v>
      </c>
      <c r="E361" s="593">
        <v>271.30526644338005</v>
      </c>
      <c r="F361" s="594">
        <v>0</v>
      </c>
      <c r="G361" s="595">
        <v>76.493679547664485</v>
      </c>
      <c r="H361" s="566">
        <v>395.24135364521436</v>
      </c>
      <c r="I361" s="596">
        <v>333.72948704097189</v>
      </c>
      <c r="J361" s="595">
        <v>80.095076889833251</v>
      </c>
      <c r="K361" s="626">
        <v>0</v>
      </c>
      <c r="L361" s="595">
        <v>0</v>
      </c>
      <c r="M361" s="1057">
        <f t="shared" si="44"/>
        <v>333.72948704097189</v>
      </c>
      <c r="N361" s="1058">
        <f t="shared" si="44"/>
        <v>80.095076889833251</v>
      </c>
      <c r="O361" s="597">
        <v>47.44240765416982</v>
      </c>
      <c r="P361" s="595">
        <v>11.380415601253286</v>
      </c>
      <c r="Q361" s="570">
        <v>167.96917203875103</v>
      </c>
      <c r="R361" s="571">
        <v>867.88874083144265</v>
      </c>
      <c r="S361" s="1075">
        <f t="shared" si="45"/>
        <v>867.88874083144265</v>
      </c>
      <c r="T361" s="1075">
        <f t="shared" si="43"/>
        <v>0</v>
      </c>
    </row>
    <row r="362" spans="1:20" ht="15.75" x14ac:dyDescent="0.25">
      <c r="A362" s="546" t="s">
        <v>97</v>
      </c>
      <c r="B362" s="1046"/>
      <c r="C362" s="802" t="s">
        <v>1058</v>
      </c>
      <c r="D362" s="625">
        <v>66.409766989591958</v>
      </c>
      <c r="E362" s="593">
        <v>259.3006086361508</v>
      </c>
      <c r="F362" s="594">
        <v>93.63633089638779</v>
      </c>
      <c r="G362" s="595">
        <v>22.976915043036698</v>
      </c>
      <c r="H362" s="566">
        <v>442.32362156516723</v>
      </c>
      <c r="I362" s="596">
        <v>264.10247175904254</v>
      </c>
      <c r="J362" s="595">
        <v>32.076445660916434</v>
      </c>
      <c r="K362" s="626">
        <v>0</v>
      </c>
      <c r="L362" s="595">
        <v>0</v>
      </c>
      <c r="M362" s="1057">
        <f t="shared" si="44"/>
        <v>264.10247175904254</v>
      </c>
      <c r="N362" s="1058">
        <f t="shared" si="44"/>
        <v>32.076445660916434</v>
      </c>
      <c r="O362" s="597">
        <v>57.622357474700181</v>
      </c>
      <c r="P362" s="595">
        <v>0</v>
      </c>
      <c r="Q362" s="570">
        <v>55.053360703953132</v>
      </c>
      <c r="R362" s="571">
        <v>796.12489645982635</v>
      </c>
      <c r="S362" s="1075">
        <f t="shared" si="45"/>
        <v>796.12489645982635</v>
      </c>
      <c r="T362" s="1075">
        <f t="shared" si="43"/>
        <v>0</v>
      </c>
    </row>
    <row r="363" spans="1:20" ht="15.75" x14ac:dyDescent="0.25">
      <c r="A363" s="547" t="s">
        <v>98</v>
      </c>
      <c r="B363" s="1046"/>
      <c r="C363" s="802" t="s">
        <v>1058</v>
      </c>
      <c r="D363" s="625">
        <v>27.178545275566918</v>
      </c>
      <c r="E363" s="593">
        <v>283.30992425060924</v>
      </c>
      <c r="F363" s="594">
        <v>120.04657807229205</v>
      </c>
      <c r="G363" s="595">
        <v>23.709199169277678</v>
      </c>
      <c r="H363" s="566">
        <v>454.24424676774589</v>
      </c>
      <c r="I363" s="596">
        <v>384.14904983133454</v>
      </c>
      <c r="J363" s="595">
        <v>45.509657747205907</v>
      </c>
      <c r="K363" s="626">
        <v>0</v>
      </c>
      <c r="L363" s="595">
        <v>0</v>
      </c>
      <c r="M363" s="1057">
        <f t="shared" si="44"/>
        <v>384.14904983133454</v>
      </c>
      <c r="N363" s="1058">
        <f t="shared" si="44"/>
        <v>45.509657747205907</v>
      </c>
      <c r="O363" s="597">
        <v>72.027946843375233</v>
      </c>
      <c r="P363" s="595">
        <v>0</v>
      </c>
      <c r="Q363" s="570">
        <v>69.218856916483588</v>
      </c>
      <c r="R363" s="571">
        <v>955.93090118966165</v>
      </c>
      <c r="S363" s="1075">
        <f t="shared" si="45"/>
        <v>955.93090118966165</v>
      </c>
      <c r="T363" s="1075">
        <f t="shared" ref="T363:T426" si="48">R363-S363</f>
        <v>0</v>
      </c>
    </row>
    <row r="364" spans="1:20" ht="15.75" x14ac:dyDescent="0.25">
      <c r="A364" s="547" t="s">
        <v>99</v>
      </c>
      <c r="B364" s="1046"/>
      <c r="C364" s="802" t="s">
        <v>1058</v>
      </c>
      <c r="D364" s="625">
        <v>44.801382936579394</v>
      </c>
      <c r="E364" s="593">
        <v>273.70619800482581</v>
      </c>
      <c r="F364" s="594">
        <v>110.44285182650869</v>
      </c>
      <c r="G364" s="595">
        <v>23.553138617783702</v>
      </c>
      <c r="H364" s="566">
        <v>452.50357138569757</v>
      </c>
      <c r="I364" s="596">
        <v>350.53600797109277</v>
      </c>
      <c r="J364" s="595">
        <v>41.512106697398586</v>
      </c>
      <c r="K364" s="626">
        <v>0</v>
      </c>
      <c r="L364" s="595">
        <v>0</v>
      </c>
      <c r="M364" s="1057">
        <f t="shared" si="44"/>
        <v>350.53600797109277</v>
      </c>
      <c r="N364" s="1058">
        <f t="shared" si="44"/>
        <v>41.512106697398586</v>
      </c>
      <c r="O364" s="597">
        <v>63.864779534459373</v>
      </c>
      <c r="P364" s="595">
        <v>0</v>
      </c>
      <c r="Q364" s="570">
        <v>65.065245315182295</v>
      </c>
      <c r="R364" s="571">
        <v>908.41646558864829</v>
      </c>
      <c r="S364" s="1075">
        <f t="shared" si="45"/>
        <v>908.41646558864829</v>
      </c>
      <c r="T364" s="1075">
        <f t="shared" si="48"/>
        <v>0</v>
      </c>
    </row>
    <row r="365" spans="1:20" ht="15.75" x14ac:dyDescent="0.25">
      <c r="A365" s="547" t="s">
        <v>100</v>
      </c>
      <c r="B365" s="1046"/>
      <c r="C365" s="802" t="s">
        <v>1058</v>
      </c>
      <c r="D365" s="625">
        <v>49.447185507977089</v>
      </c>
      <c r="E365" s="593">
        <v>247.2959508289216</v>
      </c>
      <c r="F365" s="594">
        <v>84.032604650604426</v>
      </c>
      <c r="G365" s="595">
        <v>20.876099926771587</v>
      </c>
      <c r="H365" s="566">
        <v>401.65184091427471</v>
      </c>
      <c r="I365" s="596">
        <v>235.29129302169241</v>
      </c>
      <c r="J365" s="595">
        <v>29.303369707446489</v>
      </c>
      <c r="K365" s="626">
        <v>0</v>
      </c>
      <c r="L365" s="595">
        <v>0</v>
      </c>
      <c r="M365" s="1057">
        <f t="shared" si="44"/>
        <v>235.29129302169241</v>
      </c>
      <c r="N365" s="1058">
        <f t="shared" si="44"/>
        <v>29.303369707446489</v>
      </c>
      <c r="O365" s="597">
        <v>57.936879509249586</v>
      </c>
      <c r="P365" s="595">
        <v>0</v>
      </c>
      <c r="Q365" s="570">
        <v>50.17946963421808</v>
      </c>
      <c r="R365" s="571">
        <v>724.18338315266317</v>
      </c>
      <c r="S365" s="1075">
        <f t="shared" si="45"/>
        <v>724.18338315266317</v>
      </c>
      <c r="T365" s="1075">
        <f t="shared" si="48"/>
        <v>0</v>
      </c>
    </row>
    <row r="366" spans="1:20" ht="15.75" x14ac:dyDescent="0.25">
      <c r="A366" s="547" t="s">
        <v>101</v>
      </c>
      <c r="B366" s="1046" t="s">
        <v>429</v>
      </c>
      <c r="C366" s="802" t="s">
        <v>1058</v>
      </c>
      <c r="D366" s="625">
        <v>24.741599740699389</v>
      </c>
      <c r="E366" s="593">
        <v>244.89501926747576</v>
      </c>
      <c r="F366" s="594">
        <v>115.24471494940036</v>
      </c>
      <c r="G366" s="595">
        <v>21.248244318795692</v>
      </c>
      <c r="H366" s="566">
        <v>406.12957827637121</v>
      </c>
      <c r="I366" s="596">
        <v>74.428878404821063</v>
      </c>
      <c r="J366" s="595">
        <v>0</v>
      </c>
      <c r="K366" s="626">
        <v>249.69688239036745</v>
      </c>
      <c r="L366" s="595">
        <v>39.687398710699753</v>
      </c>
      <c r="M366" s="1057">
        <f t="shared" si="44"/>
        <v>324.12576079518851</v>
      </c>
      <c r="N366" s="1058">
        <f t="shared" si="44"/>
        <v>39.687398710699753</v>
      </c>
      <c r="O366" s="597">
        <v>72.027946843375233</v>
      </c>
      <c r="P366" s="595">
        <v>0</v>
      </c>
      <c r="Q366" s="570">
        <v>60.935643029495445</v>
      </c>
      <c r="R366" s="571">
        <v>841.97068462563482</v>
      </c>
      <c r="S366" s="1075">
        <f t="shared" si="45"/>
        <v>841.97068462563482</v>
      </c>
      <c r="T366" s="1075">
        <f t="shared" si="48"/>
        <v>0</v>
      </c>
    </row>
    <row r="367" spans="1:20" ht="15.75" x14ac:dyDescent="0.25">
      <c r="A367" s="547" t="s">
        <v>630</v>
      </c>
      <c r="B367" s="1046"/>
      <c r="C367" s="802" t="s">
        <v>1058</v>
      </c>
      <c r="D367" s="625">
        <v>32.040431687494745</v>
      </c>
      <c r="E367" s="593">
        <v>240.0931561445841</v>
      </c>
      <c r="F367" s="594">
        <v>84.032604650604426</v>
      </c>
      <c r="G367" s="595">
        <v>19.591601541398063</v>
      </c>
      <c r="H367" s="566">
        <v>375.75779402408131</v>
      </c>
      <c r="I367" s="596">
        <v>120.04657807229205</v>
      </c>
      <c r="J367" s="595">
        <v>0</v>
      </c>
      <c r="K367" s="626">
        <v>112.84378338795452</v>
      </c>
      <c r="L367" s="595">
        <v>31.644277979856181</v>
      </c>
      <c r="M367" s="1057">
        <f t="shared" si="44"/>
        <v>232.89036146024657</v>
      </c>
      <c r="N367" s="1058">
        <f t="shared" si="44"/>
        <v>31.644277979856181</v>
      </c>
      <c r="O367" s="597">
        <v>84.032604650604426</v>
      </c>
      <c r="P367" s="595">
        <v>0</v>
      </c>
      <c r="Q367" s="570">
        <v>51.235879521254247</v>
      </c>
      <c r="R367" s="571">
        <v>724.32503811478841</v>
      </c>
      <c r="S367" s="1075">
        <f t="shared" si="45"/>
        <v>724.32503811478841</v>
      </c>
      <c r="T367" s="1075">
        <f t="shared" si="48"/>
        <v>0</v>
      </c>
    </row>
    <row r="368" spans="1:20" ht="15.75" x14ac:dyDescent="0.25">
      <c r="A368" s="547" t="s">
        <v>631</v>
      </c>
      <c r="B368" s="1046"/>
      <c r="C368" s="802" t="s">
        <v>1058</v>
      </c>
      <c r="D368" s="625">
        <v>13.145100298915978</v>
      </c>
      <c r="E368" s="593">
        <v>223.28663521446322</v>
      </c>
      <c r="F368" s="594">
        <v>105.640988703617</v>
      </c>
      <c r="G368" s="595">
        <v>18.799294126120934</v>
      </c>
      <c r="H368" s="566">
        <v>360.87201834311708</v>
      </c>
      <c r="I368" s="596">
        <v>278.5080611277175</v>
      </c>
      <c r="J368" s="595">
        <v>35.053600797109276</v>
      </c>
      <c r="K368" s="626">
        <v>0</v>
      </c>
      <c r="L368" s="595">
        <v>0</v>
      </c>
      <c r="M368" s="1057">
        <f t="shared" si="44"/>
        <v>278.5080611277175</v>
      </c>
      <c r="N368" s="1058">
        <f t="shared" si="44"/>
        <v>35.053600797109276</v>
      </c>
      <c r="O368" s="597">
        <v>72.027946843375233</v>
      </c>
      <c r="P368" s="595">
        <v>0</v>
      </c>
      <c r="Q368" s="570">
        <v>53.85289492323021</v>
      </c>
      <c r="R368" s="571">
        <v>746.4616271113191</v>
      </c>
      <c r="S368" s="1075">
        <f t="shared" si="45"/>
        <v>746.4616271113191</v>
      </c>
      <c r="T368" s="1075">
        <f t="shared" si="48"/>
        <v>0</v>
      </c>
    </row>
    <row r="369" spans="1:20" ht="15.75" x14ac:dyDescent="0.25">
      <c r="A369" s="547" t="s">
        <v>632</v>
      </c>
      <c r="B369" s="1046"/>
      <c r="C369" s="802" t="s">
        <v>1058</v>
      </c>
      <c r="D369" s="625">
        <v>49.147069062796362</v>
      </c>
      <c r="E369" s="593">
        <v>343.33321328675527</v>
      </c>
      <c r="F369" s="594">
        <v>98.438194019279479</v>
      </c>
      <c r="G369" s="595">
        <v>27.034489381880167</v>
      </c>
      <c r="H369" s="566">
        <v>517.95296575071131</v>
      </c>
      <c r="I369" s="596">
        <v>218.48477209157153</v>
      </c>
      <c r="J369" s="595">
        <v>26.974466092844022</v>
      </c>
      <c r="K369" s="626">
        <v>0</v>
      </c>
      <c r="L369" s="595">
        <v>0</v>
      </c>
      <c r="M369" s="1057">
        <f t="shared" ref="M369:N432" si="49">I369+K369</f>
        <v>218.48477209157153</v>
      </c>
      <c r="N369" s="1058">
        <f t="shared" si="49"/>
        <v>26.974466092844022</v>
      </c>
      <c r="O369" s="597">
        <v>50.347534843519284</v>
      </c>
      <c r="P369" s="595">
        <v>0</v>
      </c>
      <c r="Q369" s="570">
        <v>54.008955474724189</v>
      </c>
      <c r="R369" s="571">
        <v>813.75973877864612</v>
      </c>
      <c r="S369" s="1075">
        <f t="shared" ref="S369:S432" si="50">H369+M369+N369+O369+P369</f>
        <v>813.75973877864612</v>
      </c>
      <c r="T369" s="1075">
        <f t="shared" si="48"/>
        <v>0</v>
      </c>
    </row>
    <row r="370" spans="1:20" ht="15.75" x14ac:dyDescent="0.25">
      <c r="A370" s="547" t="s">
        <v>633</v>
      </c>
      <c r="B370" s="1046"/>
      <c r="C370" s="802" t="s">
        <v>1058</v>
      </c>
      <c r="D370" s="625">
        <v>36.458145760555098</v>
      </c>
      <c r="E370" s="593">
        <v>362.54066577832197</v>
      </c>
      <c r="F370" s="594">
        <v>124.84844119518372</v>
      </c>
      <c r="G370" s="595">
        <v>28.763160106121177</v>
      </c>
      <c r="H370" s="566">
        <v>552.61041284018199</v>
      </c>
      <c r="I370" s="596">
        <v>482.58724385061396</v>
      </c>
      <c r="J370" s="595">
        <v>55.533547016242295</v>
      </c>
      <c r="K370" s="626">
        <v>0</v>
      </c>
      <c r="L370" s="595">
        <v>0</v>
      </c>
      <c r="M370" s="1057">
        <f t="shared" si="49"/>
        <v>482.58724385061396</v>
      </c>
      <c r="N370" s="1058">
        <f t="shared" si="49"/>
        <v>55.533547016242295</v>
      </c>
      <c r="O370" s="597">
        <v>72.027946843375233</v>
      </c>
      <c r="P370" s="595">
        <v>0</v>
      </c>
      <c r="Q370" s="570">
        <v>84.296707122363472</v>
      </c>
      <c r="R370" s="571">
        <v>1162.7591505504136</v>
      </c>
      <c r="S370" s="1075">
        <f t="shared" si="50"/>
        <v>1162.7591505504136</v>
      </c>
      <c r="T370" s="1075">
        <f t="shared" si="48"/>
        <v>0</v>
      </c>
    </row>
    <row r="371" spans="1:20" ht="15.75" x14ac:dyDescent="0.25">
      <c r="A371" s="547" t="s">
        <v>634</v>
      </c>
      <c r="B371" s="1046"/>
      <c r="C371" s="802" t="s">
        <v>1058</v>
      </c>
      <c r="D371" s="625">
        <v>22.712812571277656</v>
      </c>
      <c r="E371" s="593">
        <v>338.53135016386358</v>
      </c>
      <c r="F371" s="594">
        <v>88.834467773496115</v>
      </c>
      <c r="G371" s="595">
        <v>24.741599740699389</v>
      </c>
      <c r="H371" s="566">
        <v>474.8202302493367</v>
      </c>
      <c r="I371" s="596">
        <v>309.7201714265135</v>
      </c>
      <c r="J371" s="595">
        <v>34.861526272193608</v>
      </c>
      <c r="K371" s="626">
        <v>0</v>
      </c>
      <c r="L371" s="595">
        <v>0</v>
      </c>
      <c r="M371" s="1057">
        <f t="shared" si="49"/>
        <v>309.7201714265135</v>
      </c>
      <c r="N371" s="1058">
        <f t="shared" si="49"/>
        <v>34.861526272193608</v>
      </c>
      <c r="O371" s="597">
        <v>38.414904983133454</v>
      </c>
      <c r="P371" s="595">
        <v>0</v>
      </c>
      <c r="Q371" s="570">
        <v>59.603126012893</v>
      </c>
      <c r="R371" s="571">
        <v>857.81683293117726</v>
      </c>
      <c r="S371" s="1075">
        <f t="shared" si="50"/>
        <v>857.81683293117726</v>
      </c>
      <c r="T371" s="1075">
        <f t="shared" si="48"/>
        <v>0</v>
      </c>
    </row>
    <row r="372" spans="1:20" ht="16.5" thickBot="1" x14ac:dyDescent="0.3">
      <c r="A372" s="547" t="s">
        <v>635</v>
      </c>
      <c r="B372" s="1046"/>
      <c r="C372" s="802" t="s">
        <v>1058</v>
      </c>
      <c r="D372" s="625">
        <v>14.837757049735297</v>
      </c>
      <c r="E372" s="593">
        <v>388.95091295422623</v>
      </c>
      <c r="F372" s="594">
        <v>91.23539933494196</v>
      </c>
      <c r="G372" s="595">
        <v>27.226563906795835</v>
      </c>
      <c r="H372" s="566">
        <v>522.25063324569931</v>
      </c>
      <c r="I372" s="596">
        <v>489.79003853495152</v>
      </c>
      <c r="J372" s="595">
        <v>53.972941501302508</v>
      </c>
      <c r="K372" s="626">
        <v>0</v>
      </c>
      <c r="L372" s="595">
        <v>0</v>
      </c>
      <c r="M372" s="1057">
        <f t="shared" si="49"/>
        <v>489.79003853495152</v>
      </c>
      <c r="N372" s="1058">
        <f t="shared" si="49"/>
        <v>53.972941501302508</v>
      </c>
      <c r="O372" s="597">
        <v>50.179469634218073</v>
      </c>
      <c r="P372" s="595">
        <v>0</v>
      </c>
      <c r="Q372" s="570">
        <v>81.199505408098346</v>
      </c>
      <c r="R372" s="571">
        <v>1116.1930829161715</v>
      </c>
      <c r="S372" s="1075">
        <f t="shared" si="50"/>
        <v>1116.1930829161715</v>
      </c>
      <c r="T372" s="1075">
        <f t="shared" si="48"/>
        <v>0</v>
      </c>
    </row>
    <row r="373" spans="1:20" ht="16.5" thickBot="1" x14ac:dyDescent="0.3">
      <c r="A373" s="544" t="s">
        <v>939</v>
      </c>
      <c r="B373" s="1046" t="s">
        <v>429</v>
      </c>
      <c r="C373" s="812" t="s">
        <v>1062</v>
      </c>
      <c r="D373" s="549">
        <v>26.290200597831955</v>
      </c>
      <c r="E373" s="550">
        <v>406.71780650892543</v>
      </c>
      <c r="F373" s="551">
        <v>0</v>
      </c>
      <c r="G373" s="560">
        <v>30.311760963253743</v>
      </c>
      <c r="H373" s="566">
        <v>463.31976807001115</v>
      </c>
      <c r="I373" s="567">
        <v>0</v>
      </c>
      <c r="J373" s="560">
        <v>0</v>
      </c>
      <c r="K373" s="568">
        <v>530.60587507953085</v>
      </c>
      <c r="L373" s="560">
        <v>0</v>
      </c>
      <c r="M373" s="1057">
        <f t="shared" si="49"/>
        <v>530.60587507953085</v>
      </c>
      <c r="N373" s="1058">
        <f t="shared" si="49"/>
        <v>0</v>
      </c>
      <c r="O373" s="569">
        <v>0</v>
      </c>
      <c r="P373" s="560">
        <v>0</v>
      </c>
      <c r="Q373" s="570">
        <v>30.311760963253743</v>
      </c>
      <c r="R373" s="571">
        <v>993.925643149542</v>
      </c>
      <c r="S373" s="1075">
        <f t="shared" si="50"/>
        <v>993.925643149542</v>
      </c>
      <c r="T373" s="1075">
        <f t="shared" si="48"/>
        <v>0</v>
      </c>
    </row>
    <row r="374" spans="1:20" ht="15.75" x14ac:dyDescent="0.25">
      <c r="A374" s="546" t="s">
        <v>102</v>
      </c>
      <c r="B374" s="1046" t="s">
        <v>429</v>
      </c>
      <c r="C374" s="802" t="s">
        <v>1066</v>
      </c>
      <c r="D374" s="549">
        <v>6.5670679389832856</v>
      </c>
      <c r="E374" s="550">
        <v>133.19558972714333</v>
      </c>
      <c r="F374" s="551">
        <v>0</v>
      </c>
      <c r="G374" s="560">
        <v>37.735917569854188</v>
      </c>
      <c r="H374" s="566">
        <v>177.49857523598081</v>
      </c>
      <c r="I374" s="567">
        <v>3.5307647624886607</v>
      </c>
      <c r="J374" s="560">
        <v>0.95330648587193834</v>
      </c>
      <c r="K374" s="568">
        <v>228.42580080468213</v>
      </c>
      <c r="L374" s="560">
        <v>61.674966217264178</v>
      </c>
      <c r="M374" s="1057">
        <f t="shared" si="49"/>
        <v>231.9565655671708</v>
      </c>
      <c r="N374" s="1058">
        <f t="shared" si="49"/>
        <v>62.628272703136119</v>
      </c>
      <c r="O374" s="569">
        <v>0</v>
      </c>
      <c r="P374" s="560">
        <v>0</v>
      </c>
      <c r="Q374" s="570">
        <v>100.3641902729903</v>
      </c>
      <c r="R374" s="571">
        <v>472.08341350628774</v>
      </c>
      <c r="S374" s="1075">
        <f t="shared" si="50"/>
        <v>472.08341350628774</v>
      </c>
      <c r="T374" s="1075">
        <f t="shared" si="48"/>
        <v>0</v>
      </c>
    </row>
    <row r="375" spans="1:20" ht="15.75" x14ac:dyDescent="0.25">
      <c r="A375" s="547" t="s">
        <v>103</v>
      </c>
      <c r="B375" s="1046"/>
      <c r="C375" s="802" t="s">
        <v>1066</v>
      </c>
      <c r="D375" s="549">
        <v>4.7553297840520141</v>
      </c>
      <c r="E375" s="550">
        <v>189.2088162655302</v>
      </c>
      <c r="F375" s="551">
        <v>0</v>
      </c>
      <c r="G375" s="560">
        <v>52.370319433387195</v>
      </c>
      <c r="H375" s="566">
        <v>246.33446548296939</v>
      </c>
      <c r="I375" s="567">
        <v>3.2989858940539563</v>
      </c>
      <c r="J375" s="560">
        <v>0.89072619139456821</v>
      </c>
      <c r="K375" s="568">
        <v>150.42448561412303</v>
      </c>
      <c r="L375" s="560">
        <v>40.614611115813211</v>
      </c>
      <c r="M375" s="1057">
        <f t="shared" si="49"/>
        <v>153.723471508177</v>
      </c>
      <c r="N375" s="1058">
        <f t="shared" si="49"/>
        <v>41.505337307207782</v>
      </c>
      <c r="O375" s="569">
        <v>4.7553297840520141</v>
      </c>
      <c r="P375" s="560">
        <v>1.2839390416940439</v>
      </c>
      <c r="Q375" s="570">
        <v>95.159595782289017</v>
      </c>
      <c r="R375" s="571">
        <v>447.60254312410024</v>
      </c>
      <c r="S375" s="1075">
        <f t="shared" si="50"/>
        <v>447.60254312410024</v>
      </c>
      <c r="T375" s="1075">
        <f t="shared" si="48"/>
        <v>0</v>
      </c>
    </row>
    <row r="376" spans="1:20" ht="15.75" x14ac:dyDescent="0.25">
      <c r="A376" s="547" t="s">
        <v>104</v>
      </c>
      <c r="B376" s="1046"/>
      <c r="C376" s="802" t="s">
        <v>1066</v>
      </c>
      <c r="D376" s="549">
        <v>0</v>
      </c>
      <c r="E376" s="550">
        <v>192.46917234817835</v>
      </c>
      <c r="F376" s="551">
        <v>0</v>
      </c>
      <c r="G376" s="560">
        <v>51.966676534008158</v>
      </c>
      <c r="H376" s="566">
        <v>244.43584888218652</v>
      </c>
      <c r="I376" s="567">
        <v>0</v>
      </c>
      <c r="J376" s="560">
        <v>0</v>
      </c>
      <c r="K376" s="568">
        <v>148.03716326924555</v>
      </c>
      <c r="L376" s="560">
        <v>39.970034082696309</v>
      </c>
      <c r="M376" s="1057">
        <f t="shared" si="49"/>
        <v>148.03716326924555</v>
      </c>
      <c r="N376" s="1058">
        <f t="shared" si="49"/>
        <v>39.970034082696309</v>
      </c>
      <c r="O376" s="569">
        <v>0</v>
      </c>
      <c r="P376" s="560">
        <v>0</v>
      </c>
      <c r="Q376" s="570">
        <v>91.93671061670446</v>
      </c>
      <c r="R376" s="571">
        <v>432.44304623412836</v>
      </c>
      <c r="S376" s="1075">
        <f t="shared" si="50"/>
        <v>432.44304623412836</v>
      </c>
      <c r="T376" s="1075">
        <f t="shared" si="48"/>
        <v>0</v>
      </c>
    </row>
    <row r="377" spans="1:20" ht="15.75" x14ac:dyDescent="0.25">
      <c r="A377" s="543" t="s">
        <v>105</v>
      </c>
      <c r="B377" s="1046"/>
      <c r="C377" s="802" t="s">
        <v>1066</v>
      </c>
      <c r="D377" s="549">
        <v>0</v>
      </c>
      <c r="E377" s="550">
        <v>262.68271755933142</v>
      </c>
      <c r="F377" s="551">
        <v>0</v>
      </c>
      <c r="G377" s="560">
        <v>70.924333741019481</v>
      </c>
      <c r="H377" s="566">
        <v>333.60705130035092</v>
      </c>
      <c r="I377" s="567">
        <v>3.0903849124627225</v>
      </c>
      <c r="J377" s="560">
        <v>0.8344039263649351</v>
      </c>
      <c r="K377" s="568">
        <v>191.60386457268879</v>
      </c>
      <c r="L377" s="560">
        <v>51.733043434625976</v>
      </c>
      <c r="M377" s="1057">
        <f t="shared" si="49"/>
        <v>194.69424948515152</v>
      </c>
      <c r="N377" s="1058">
        <f t="shared" si="49"/>
        <v>52.567447360990911</v>
      </c>
      <c r="O377" s="569">
        <v>0</v>
      </c>
      <c r="P377" s="560">
        <v>0</v>
      </c>
      <c r="Q377" s="570">
        <v>123.49178110201041</v>
      </c>
      <c r="R377" s="571">
        <v>580.86874814649332</v>
      </c>
      <c r="S377" s="1075">
        <f t="shared" si="50"/>
        <v>580.86874814649332</v>
      </c>
      <c r="T377" s="1075">
        <f t="shared" si="48"/>
        <v>0</v>
      </c>
    </row>
    <row r="378" spans="1:20" ht="16.5" thickBot="1" x14ac:dyDescent="0.3">
      <c r="A378" s="548" t="s">
        <v>613</v>
      </c>
      <c r="B378" s="1046"/>
      <c r="C378" s="802" t="s">
        <v>1066</v>
      </c>
      <c r="D378" s="549">
        <v>0</v>
      </c>
      <c r="E378" s="550">
        <v>168.27145848359524</v>
      </c>
      <c r="F378" s="551">
        <v>0</v>
      </c>
      <c r="G378" s="560">
        <v>45.433293790570715</v>
      </c>
      <c r="H378" s="566">
        <v>213.70475227416597</v>
      </c>
      <c r="I378" s="567">
        <v>4.8673562371287877</v>
      </c>
      <c r="J378" s="560">
        <v>1.3141861840247728</v>
      </c>
      <c r="K378" s="568">
        <v>102.21448097970455</v>
      </c>
      <c r="L378" s="560">
        <v>27.597909864520229</v>
      </c>
      <c r="M378" s="1057">
        <f t="shared" si="49"/>
        <v>107.08183721683334</v>
      </c>
      <c r="N378" s="1058">
        <f t="shared" si="49"/>
        <v>28.912096048545003</v>
      </c>
      <c r="O378" s="569">
        <v>0</v>
      </c>
      <c r="P378" s="560">
        <v>0</v>
      </c>
      <c r="Q378" s="570">
        <v>74.345389839115711</v>
      </c>
      <c r="R378" s="571">
        <v>349.69868553954427</v>
      </c>
      <c r="S378" s="1075">
        <f t="shared" si="50"/>
        <v>349.69868553954427</v>
      </c>
      <c r="T378" s="1075">
        <f t="shared" si="48"/>
        <v>0</v>
      </c>
    </row>
    <row r="379" spans="1:20" ht="15.75" x14ac:dyDescent="0.25">
      <c r="A379" s="546" t="s">
        <v>107</v>
      </c>
      <c r="B379" s="1046"/>
      <c r="C379" s="802" t="s">
        <v>1074</v>
      </c>
      <c r="D379" s="549">
        <v>30.419802883518805</v>
      </c>
      <c r="E379" s="550">
        <v>265.27892822415095</v>
      </c>
      <c r="F379" s="551">
        <v>0.96037262457833639</v>
      </c>
      <c r="G379" s="560">
        <v>29.663509441663365</v>
      </c>
      <c r="H379" s="566">
        <v>326.32261317391146</v>
      </c>
      <c r="I379" s="567">
        <v>52.652429142507287</v>
      </c>
      <c r="J379" s="560">
        <v>5.2700447773736201</v>
      </c>
      <c r="K379" s="568">
        <v>141.88305062364196</v>
      </c>
      <c r="L379" s="560">
        <v>14.18950552814492</v>
      </c>
      <c r="M379" s="1057">
        <f t="shared" si="49"/>
        <v>194.53547976614925</v>
      </c>
      <c r="N379" s="1058">
        <f t="shared" si="49"/>
        <v>19.45955030551854</v>
      </c>
      <c r="O379" s="569">
        <v>1.9207452491566728</v>
      </c>
      <c r="P379" s="560">
        <v>0.19207452491566729</v>
      </c>
      <c r="Q379" s="570">
        <v>49.315134272097573</v>
      </c>
      <c r="R379" s="571">
        <v>542.4304630196516</v>
      </c>
      <c r="S379" s="1075">
        <f t="shared" si="50"/>
        <v>542.4304630196516</v>
      </c>
      <c r="T379" s="1075">
        <f t="shared" si="48"/>
        <v>0</v>
      </c>
    </row>
    <row r="380" spans="1:20" ht="15.75" x14ac:dyDescent="0.25">
      <c r="A380" s="547" t="s">
        <v>108</v>
      </c>
      <c r="B380" s="1046"/>
      <c r="C380" s="802" t="s">
        <v>1074</v>
      </c>
      <c r="D380" s="549">
        <v>0.60023289036146021</v>
      </c>
      <c r="E380" s="550">
        <v>47.022244630916795</v>
      </c>
      <c r="F380" s="551">
        <v>0.96037262457833639</v>
      </c>
      <c r="G380" s="560">
        <v>4.861886411927828</v>
      </c>
      <c r="H380" s="566">
        <v>53.444736557784417</v>
      </c>
      <c r="I380" s="567">
        <v>33.432971993133336</v>
      </c>
      <c r="J380" s="560">
        <v>3.3492995282169482</v>
      </c>
      <c r="K380" s="568">
        <v>85.749270717038215</v>
      </c>
      <c r="L380" s="560">
        <v>8.5713256743616508</v>
      </c>
      <c r="M380" s="1057">
        <f t="shared" si="49"/>
        <v>119.18224271017155</v>
      </c>
      <c r="N380" s="1058">
        <f t="shared" si="49"/>
        <v>11.920625202578599</v>
      </c>
      <c r="O380" s="569">
        <v>1.9207452491566728</v>
      </c>
      <c r="P380" s="560">
        <v>0.19207452491566729</v>
      </c>
      <c r="Q380" s="570">
        <v>16.974586139422094</v>
      </c>
      <c r="R380" s="571">
        <v>186.6604242446069</v>
      </c>
      <c r="S380" s="1075">
        <f t="shared" si="50"/>
        <v>186.6604242446069</v>
      </c>
      <c r="T380" s="1075">
        <f t="shared" si="48"/>
        <v>0</v>
      </c>
    </row>
    <row r="381" spans="1:20" ht="15.75" x14ac:dyDescent="0.25">
      <c r="A381" s="547" t="s">
        <v>109</v>
      </c>
      <c r="B381" s="1046"/>
      <c r="C381" s="802" t="s">
        <v>1074</v>
      </c>
      <c r="D381" s="549">
        <v>13.013049063036458</v>
      </c>
      <c r="E381" s="550">
        <v>197.45261161330595</v>
      </c>
      <c r="F381" s="551">
        <v>0.96037262457833639</v>
      </c>
      <c r="G381" s="560">
        <v>21.140202398530629</v>
      </c>
      <c r="H381" s="566">
        <v>232.56623569945134</v>
      </c>
      <c r="I381" s="567">
        <v>27.910829401807902</v>
      </c>
      <c r="J381" s="560">
        <v>2.7850806112771753</v>
      </c>
      <c r="K381" s="568">
        <v>74.524915667278904</v>
      </c>
      <c r="L381" s="560">
        <v>7.4548924982893361</v>
      </c>
      <c r="M381" s="1057">
        <f t="shared" si="49"/>
        <v>102.43574506908681</v>
      </c>
      <c r="N381" s="1058">
        <f t="shared" si="49"/>
        <v>10.239973109566511</v>
      </c>
      <c r="O381" s="569">
        <v>1.9207452491566728</v>
      </c>
      <c r="P381" s="560">
        <v>0.19207452491566729</v>
      </c>
      <c r="Q381" s="570">
        <v>31.572250033012811</v>
      </c>
      <c r="R381" s="571">
        <v>347.35477365217696</v>
      </c>
      <c r="S381" s="1075">
        <f t="shared" si="50"/>
        <v>347.35477365217696</v>
      </c>
      <c r="T381" s="1075">
        <f t="shared" si="48"/>
        <v>0</v>
      </c>
    </row>
    <row r="382" spans="1:20" ht="15.75" x14ac:dyDescent="0.25">
      <c r="A382" s="547" t="s">
        <v>110</v>
      </c>
      <c r="B382" s="1046" t="s">
        <v>429</v>
      </c>
      <c r="C382" s="802" t="s">
        <v>1074</v>
      </c>
      <c r="D382" s="549">
        <v>22.028547076265593</v>
      </c>
      <c r="E382" s="550">
        <v>126.15694889617171</v>
      </c>
      <c r="F382" s="551">
        <v>0.96037262457833639</v>
      </c>
      <c r="G382" s="560">
        <v>14.909784996578672</v>
      </c>
      <c r="H382" s="566">
        <v>164.05565359359431</v>
      </c>
      <c r="I382" s="567">
        <v>55.005342072724218</v>
      </c>
      <c r="J382" s="560">
        <v>5.498133275710976</v>
      </c>
      <c r="K382" s="568">
        <v>159.12173923482311</v>
      </c>
      <c r="L382" s="560">
        <v>15.906171594578696</v>
      </c>
      <c r="M382" s="1057">
        <f t="shared" si="49"/>
        <v>214.12708130754731</v>
      </c>
      <c r="N382" s="1058">
        <f t="shared" si="49"/>
        <v>21.404304870289671</v>
      </c>
      <c r="O382" s="569">
        <v>1.9207452491566728</v>
      </c>
      <c r="P382" s="560">
        <v>0.19207452491566729</v>
      </c>
      <c r="Q382" s="570">
        <v>36.506164391784012</v>
      </c>
      <c r="R382" s="571">
        <v>401.69985954550367</v>
      </c>
      <c r="S382" s="1075">
        <f t="shared" si="50"/>
        <v>401.69985954550361</v>
      </c>
      <c r="T382" s="1075">
        <f t="shared" si="48"/>
        <v>0</v>
      </c>
    </row>
    <row r="383" spans="1:20" ht="16.5" thickBot="1" x14ac:dyDescent="0.3">
      <c r="A383" s="613" t="s">
        <v>111</v>
      </c>
      <c r="B383" s="1046"/>
      <c r="C383" s="807" t="s">
        <v>1074</v>
      </c>
      <c r="D383" s="549">
        <v>10.372024345446034</v>
      </c>
      <c r="E383" s="550">
        <v>180.92219781275136</v>
      </c>
      <c r="F383" s="551">
        <v>0.96037262457833639</v>
      </c>
      <c r="G383" s="560">
        <v>19.231461807181184</v>
      </c>
      <c r="H383" s="566">
        <v>211.48605658995689</v>
      </c>
      <c r="I383" s="567">
        <v>63.708718982965387</v>
      </c>
      <c r="J383" s="560">
        <v>6.3744732956387073</v>
      </c>
      <c r="K383" s="568">
        <v>169.86590797229326</v>
      </c>
      <c r="L383" s="560">
        <v>16.986590797229326</v>
      </c>
      <c r="M383" s="1057">
        <f t="shared" si="49"/>
        <v>233.57462695525865</v>
      </c>
      <c r="N383" s="1058">
        <f t="shared" si="49"/>
        <v>23.361064092868034</v>
      </c>
      <c r="O383" s="569">
        <v>1.9207452491566728</v>
      </c>
      <c r="P383" s="560">
        <v>0.19207452491566729</v>
      </c>
      <c r="Q383" s="570">
        <v>42.784600424964886</v>
      </c>
      <c r="R383" s="571">
        <v>470.53456741215587</v>
      </c>
      <c r="S383" s="1075">
        <f t="shared" si="50"/>
        <v>470.53456741215587</v>
      </c>
      <c r="T383" s="1075">
        <f t="shared" si="48"/>
        <v>0</v>
      </c>
    </row>
    <row r="384" spans="1:20" ht="15.75" x14ac:dyDescent="0.25">
      <c r="A384" s="546" t="s">
        <v>112</v>
      </c>
      <c r="B384" s="1046"/>
      <c r="C384" s="802" t="s">
        <v>1076</v>
      </c>
      <c r="D384" s="549">
        <v>66.571407420741423</v>
      </c>
      <c r="E384" s="550">
        <v>102.67973880575155</v>
      </c>
      <c r="F384" s="551">
        <v>0</v>
      </c>
      <c r="G384" s="560">
        <v>13.49180523727026</v>
      </c>
      <c r="H384" s="566">
        <v>182.74295146376323</v>
      </c>
      <c r="I384" s="567">
        <v>128.66921626280902</v>
      </c>
      <c r="J384" s="560">
        <v>10.260872930450278</v>
      </c>
      <c r="K384" s="568">
        <v>0</v>
      </c>
      <c r="L384" s="560">
        <v>0</v>
      </c>
      <c r="M384" s="1057">
        <f t="shared" si="49"/>
        <v>128.66921626280902</v>
      </c>
      <c r="N384" s="1058">
        <f t="shared" si="49"/>
        <v>10.260872930450278</v>
      </c>
      <c r="O384" s="569">
        <v>0</v>
      </c>
      <c r="P384" s="560">
        <v>0</v>
      </c>
      <c r="Q384" s="570">
        <v>23.752678167720539</v>
      </c>
      <c r="R384" s="571">
        <v>321.67304065702251</v>
      </c>
      <c r="S384" s="1075">
        <f t="shared" si="50"/>
        <v>321.67304065702251</v>
      </c>
      <c r="T384" s="1075">
        <f t="shared" si="48"/>
        <v>0</v>
      </c>
    </row>
    <row r="385" spans="1:20" ht="15.75" x14ac:dyDescent="0.25">
      <c r="A385" s="547" t="s">
        <v>113</v>
      </c>
      <c r="B385" s="1046"/>
      <c r="C385" s="802" t="s">
        <v>1076</v>
      </c>
      <c r="D385" s="549">
        <v>90.537114092208327</v>
      </c>
      <c r="E385" s="550">
        <v>79.530641398645741</v>
      </c>
      <c r="F385" s="551">
        <v>0</v>
      </c>
      <c r="G385" s="560">
        <v>13.562814738519052</v>
      </c>
      <c r="H385" s="566">
        <v>183.63057022937312</v>
      </c>
      <c r="I385" s="567">
        <v>101.89863429201486</v>
      </c>
      <c r="J385" s="560">
        <v>8.1305878929865525</v>
      </c>
      <c r="K385" s="568">
        <v>0</v>
      </c>
      <c r="L385" s="560">
        <v>0</v>
      </c>
      <c r="M385" s="1057">
        <f t="shared" si="49"/>
        <v>101.89863429201486</v>
      </c>
      <c r="N385" s="1058">
        <f t="shared" si="49"/>
        <v>8.1305878929865525</v>
      </c>
      <c r="O385" s="569">
        <v>0</v>
      </c>
      <c r="P385" s="560">
        <v>0</v>
      </c>
      <c r="Q385" s="570">
        <v>21.693402631505606</v>
      </c>
      <c r="R385" s="571">
        <v>293.65979241437458</v>
      </c>
      <c r="S385" s="1075">
        <f t="shared" si="50"/>
        <v>293.65979241437458</v>
      </c>
      <c r="T385" s="1075">
        <f t="shared" si="48"/>
        <v>0</v>
      </c>
    </row>
    <row r="386" spans="1:20" ht="15.75" x14ac:dyDescent="0.25">
      <c r="A386" s="547" t="s">
        <v>114</v>
      </c>
      <c r="B386" s="1046"/>
      <c r="C386" s="802" t="s">
        <v>1076</v>
      </c>
      <c r="D386" s="549">
        <v>86.27654401728087</v>
      </c>
      <c r="E386" s="550">
        <v>91.602256610940188</v>
      </c>
      <c r="F386" s="551">
        <v>0</v>
      </c>
      <c r="G386" s="560">
        <v>14.210776437414268</v>
      </c>
      <c r="H386" s="566">
        <v>192.08957706563532</v>
      </c>
      <c r="I386" s="567">
        <v>161.36909158787719</v>
      </c>
      <c r="J386" s="560">
        <v>12.897100664311637</v>
      </c>
      <c r="K386" s="568">
        <v>0</v>
      </c>
      <c r="L386" s="560">
        <v>0</v>
      </c>
      <c r="M386" s="1057">
        <f t="shared" si="49"/>
        <v>161.36909158787719</v>
      </c>
      <c r="N386" s="1058">
        <f t="shared" si="49"/>
        <v>12.897100664311637</v>
      </c>
      <c r="O386" s="569">
        <v>0</v>
      </c>
      <c r="P386" s="560">
        <v>0</v>
      </c>
      <c r="Q386" s="570">
        <v>27.107877101725904</v>
      </c>
      <c r="R386" s="571">
        <v>366.35576931782418</v>
      </c>
      <c r="S386" s="1075">
        <f t="shared" si="50"/>
        <v>366.35576931782418</v>
      </c>
      <c r="T386" s="1075">
        <f t="shared" si="48"/>
        <v>0</v>
      </c>
    </row>
    <row r="387" spans="1:20" ht="15.75" x14ac:dyDescent="0.25">
      <c r="A387" s="547" t="s">
        <v>115</v>
      </c>
      <c r="B387" s="1046"/>
      <c r="C387" s="802" t="s">
        <v>1076</v>
      </c>
      <c r="D387" s="549">
        <v>90.537114092208327</v>
      </c>
      <c r="E387" s="550">
        <v>117.16567706050489</v>
      </c>
      <c r="F387" s="551">
        <v>0</v>
      </c>
      <c r="G387" s="560">
        <v>16.607347104560958</v>
      </c>
      <c r="H387" s="566">
        <v>224.31013825727416</v>
      </c>
      <c r="I387" s="567">
        <v>191.93868187548165</v>
      </c>
      <c r="J387" s="560">
        <v>15.346928457394922</v>
      </c>
      <c r="K387" s="568">
        <v>0</v>
      </c>
      <c r="L387" s="560">
        <v>0</v>
      </c>
      <c r="M387" s="1057">
        <f t="shared" si="49"/>
        <v>191.93868187548165</v>
      </c>
      <c r="N387" s="1058">
        <f t="shared" si="49"/>
        <v>15.346928457394922</v>
      </c>
      <c r="O387" s="569">
        <v>0</v>
      </c>
      <c r="P387" s="560">
        <v>0</v>
      </c>
      <c r="Q387" s="570">
        <v>31.954275561955882</v>
      </c>
      <c r="R387" s="571">
        <v>431.59574859015072</v>
      </c>
      <c r="S387" s="1075">
        <f t="shared" si="50"/>
        <v>431.59574859015072</v>
      </c>
      <c r="T387" s="1075">
        <f t="shared" si="48"/>
        <v>0</v>
      </c>
    </row>
    <row r="388" spans="1:20" ht="15.75" x14ac:dyDescent="0.25">
      <c r="A388" s="547" t="s">
        <v>116</v>
      </c>
      <c r="B388" s="1046"/>
      <c r="C388" s="802" t="s">
        <v>1076</v>
      </c>
      <c r="D388" s="549">
        <v>140.59881247260589</v>
      </c>
      <c r="E388" s="550">
        <v>149.11995262246077</v>
      </c>
      <c r="F388" s="551">
        <v>0</v>
      </c>
      <c r="G388" s="560">
        <v>23.095840281169224</v>
      </c>
      <c r="H388" s="566">
        <v>312.81460537623587</v>
      </c>
      <c r="I388" s="567">
        <v>113.86373525243611</v>
      </c>
      <c r="J388" s="560">
        <v>9.0714637845330302</v>
      </c>
      <c r="K388" s="568">
        <v>0</v>
      </c>
      <c r="L388" s="560">
        <v>0</v>
      </c>
      <c r="M388" s="1057">
        <f t="shared" si="49"/>
        <v>113.86373525243611</v>
      </c>
      <c r="N388" s="1058">
        <f t="shared" si="49"/>
        <v>9.0714637845330302</v>
      </c>
      <c r="O388" s="569">
        <v>0</v>
      </c>
      <c r="P388" s="560">
        <v>0</v>
      </c>
      <c r="Q388" s="570">
        <v>32.167304065702254</v>
      </c>
      <c r="R388" s="571">
        <v>435.74980441320503</v>
      </c>
      <c r="S388" s="1075">
        <f t="shared" si="50"/>
        <v>435.74980441320503</v>
      </c>
      <c r="T388" s="1075">
        <f t="shared" si="48"/>
        <v>0</v>
      </c>
    </row>
    <row r="389" spans="1:20" ht="15.75" x14ac:dyDescent="0.25">
      <c r="A389" s="547" t="s">
        <v>117</v>
      </c>
      <c r="B389" s="1046"/>
      <c r="C389" s="802" t="s">
        <v>1076</v>
      </c>
      <c r="D389" s="549">
        <v>133.14281484148285</v>
      </c>
      <c r="E389" s="550">
        <v>215.26530303570945</v>
      </c>
      <c r="F389" s="551">
        <v>0</v>
      </c>
      <c r="G389" s="560">
        <v>27.809095926557713</v>
      </c>
      <c r="H389" s="566">
        <v>376.21721380374998</v>
      </c>
      <c r="I389" s="567">
        <v>147.94829585185573</v>
      </c>
      <c r="J389" s="560">
        <v>11.814205770267577</v>
      </c>
      <c r="K389" s="568">
        <v>0</v>
      </c>
      <c r="L389" s="560">
        <v>0</v>
      </c>
      <c r="M389" s="1057">
        <f t="shared" si="49"/>
        <v>147.94829585185573</v>
      </c>
      <c r="N389" s="1058">
        <f t="shared" si="49"/>
        <v>11.814205770267577</v>
      </c>
      <c r="O389" s="569">
        <v>0</v>
      </c>
      <c r="P389" s="560">
        <v>0</v>
      </c>
      <c r="Q389" s="570">
        <v>39.623301696825294</v>
      </c>
      <c r="R389" s="571">
        <v>535.97971542587334</v>
      </c>
      <c r="S389" s="1075">
        <f t="shared" si="50"/>
        <v>535.97971542587334</v>
      </c>
      <c r="T389" s="1075">
        <f t="shared" si="48"/>
        <v>0</v>
      </c>
    </row>
    <row r="390" spans="1:20" ht="15.75" x14ac:dyDescent="0.25">
      <c r="A390" s="547" t="s">
        <v>118</v>
      </c>
      <c r="B390" s="1046" t="s">
        <v>429</v>
      </c>
      <c r="C390" s="802" t="s">
        <v>1076</v>
      </c>
      <c r="D390" s="549">
        <v>124.62167469162793</v>
      </c>
      <c r="E390" s="550">
        <v>102.60872930450277</v>
      </c>
      <c r="F390" s="551">
        <v>0</v>
      </c>
      <c r="G390" s="560">
        <v>18.15180375672216</v>
      </c>
      <c r="H390" s="566">
        <v>245.38220775285285</v>
      </c>
      <c r="I390" s="567">
        <v>161.1915678347552</v>
      </c>
      <c r="J390" s="560">
        <v>12.87934828899944</v>
      </c>
      <c r="K390" s="568">
        <v>0</v>
      </c>
      <c r="L390" s="560">
        <v>0</v>
      </c>
      <c r="M390" s="1057">
        <f t="shared" si="49"/>
        <v>161.1915678347552</v>
      </c>
      <c r="N390" s="1058">
        <f t="shared" si="49"/>
        <v>12.87934828899944</v>
      </c>
      <c r="O390" s="569">
        <v>0</v>
      </c>
      <c r="P390" s="560">
        <v>0</v>
      </c>
      <c r="Q390" s="570">
        <v>31.031152045721598</v>
      </c>
      <c r="R390" s="571">
        <v>419.45312387660749</v>
      </c>
      <c r="S390" s="1075">
        <f t="shared" si="50"/>
        <v>419.45312387660749</v>
      </c>
      <c r="T390" s="1075">
        <f t="shared" si="48"/>
        <v>0</v>
      </c>
    </row>
    <row r="391" spans="1:20" ht="16.5" thickBot="1" x14ac:dyDescent="0.3">
      <c r="A391" s="613" t="s">
        <v>119</v>
      </c>
      <c r="B391" s="1046"/>
      <c r="C391" s="802" t="s">
        <v>1076</v>
      </c>
      <c r="D391" s="549">
        <v>84.146258979817148</v>
      </c>
      <c r="E391" s="550">
        <v>121.35523763418355</v>
      </c>
      <c r="F391" s="551">
        <v>0</v>
      </c>
      <c r="G391" s="560">
        <v>16.403194788470685</v>
      </c>
      <c r="H391" s="566">
        <v>221.90469140247137</v>
      </c>
      <c r="I391" s="567">
        <v>155.15576022860799</v>
      </c>
      <c r="J391" s="560">
        <v>12.391157967914003</v>
      </c>
      <c r="K391" s="568">
        <v>0</v>
      </c>
      <c r="L391" s="560">
        <v>0</v>
      </c>
      <c r="M391" s="1057">
        <f t="shared" si="49"/>
        <v>155.15576022860799</v>
      </c>
      <c r="N391" s="1058">
        <f t="shared" si="49"/>
        <v>12.391157967914003</v>
      </c>
      <c r="O391" s="569">
        <v>0</v>
      </c>
      <c r="P391" s="560">
        <v>0</v>
      </c>
      <c r="Q391" s="570">
        <v>28.79435275638469</v>
      </c>
      <c r="R391" s="571">
        <v>389.45160959899334</v>
      </c>
      <c r="S391" s="1075">
        <f t="shared" si="50"/>
        <v>389.45160959899334</v>
      </c>
      <c r="T391" s="1075">
        <f t="shared" si="48"/>
        <v>0</v>
      </c>
    </row>
    <row r="392" spans="1:20" ht="16.5" thickBot="1" x14ac:dyDescent="0.3">
      <c r="A392" s="813" t="s">
        <v>587</v>
      </c>
      <c r="B392" s="760"/>
      <c r="C392" s="812" t="s">
        <v>1084</v>
      </c>
      <c r="D392" s="549">
        <v>0</v>
      </c>
      <c r="E392" s="550">
        <v>680.71517096752939</v>
      </c>
      <c r="F392" s="551">
        <v>0</v>
      </c>
      <c r="G392" s="560">
        <v>0</v>
      </c>
      <c r="H392" s="566">
        <v>680.71517096752939</v>
      </c>
      <c r="I392" s="567">
        <v>0</v>
      </c>
      <c r="J392" s="560">
        <v>0</v>
      </c>
      <c r="K392" s="568">
        <v>0</v>
      </c>
      <c r="L392" s="560">
        <v>0</v>
      </c>
      <c r="M392" s="1057">
        <f t="shared" si="49"/>
        <v>0</v>
      </c>
      <c r="N392" s="1058">
        <f t="shared" si="49"/>
        <v>0</v>
      </c>
      <c r="O392" s="569">
        <v>0</v>
      </c>
      <c r="P392" s="560">
        <v>0</v>
      </c>
      <c r="Q392" s="570">
        <v>0</v>
      </c>
      <c r="R392" s="571">
        <v>680.71517096752939</v>
      </c>
      <c r="S392" s="1075">
        <f t="shared" si="50"/>
        <v>680.71517096752939</v>
      </c>
      <c r="T392" s="1075">
        <f t="shared" si="48"/>
        <v>0</v>
      </c>
    </row>
    <row r="393" spans="1:20" ht="16.5" thickBot="1" x14ac:dyDescent="0.3">
      <c r="A393" s="776" t="s">
        <v>775</v>
      </c>
      <c r="B393" s="776"/>
      <c r="C393" s="818" t="s">
        <v>1088</v>
      </c>
      <c r="D393" s="549">
        <v>70.827481062652311</v>
      </c>
      <c r="E393" s="550">
        <v>789.11417630040455</v>
      </c>
      <c r="F393" s="551">
        <v>0</v>
      </c>
      <c r="G393" s="560">
        <v>0</v>
      </c>
      <c r="H393" s="566">
        <v>859.94165736305683</v>
      </c>
      <c r="I393" s="567">
        <v>0</v>
      </c>
      <c r="J393" s="560">
        <v>0</v>
      </c>
      <c r="K393" s="568">
        <v>0</v>
      </c>
      <c r="L393" s="560">
        <v>0</v>
      </c>
      <c r="M393" s="1057">
        <f t="shared" si="49"/>
        <v>0</v>
      </c>
      <c r="N393" s="1058">
        <f t="shared" si="49"/>
        <v>0</v>
      </c>
      <c r="O393" s="569">
        <v>0</v>
      </c>
      <c r="P393" s="560">
        <v>0</v>
      </c>
      <c r="Q393" s="570">
        <v>0</v>
      </c>
      <c r="R393" s="571">
        <v>859.94165736305683</v>
      </c>
      <c r="S393" s="1075">
        <f t="shared" si="50"/>
        <v>859.94165736305683</v>
      </c>
      <c r="T393" s="1075">
        <f t="shared" si="48"/>
        <v>0</v>
      </c>
    </row>
    <row r="394" spans="1:20" ht="15.75" x14ac:dyDescent="0.25">
      <c r="A394" s="659" t="s">
        <v>620</v>
      </c>
      <c r="B394" s="752"/>
      <c r="C394" s="816" t="s">
        <v>1092</v>
      </c>
      <c r="D394" s="549">
        <v>141.32910362778591</v>
      </c>
      <c r="E394" s="550">
        <v>0</v>
      </c>
      <c r="F394" s="551">
        <v>0</v>
      </c>
      <c r="G394" s="560">
        <v>0</v>
      </c>
      <c r="H394" s="566">
        <v>141.32910362778591</v>
      </c>
      <c r="I394" s="567">
        <v>0</v>
      </c>
      <c r="J394" s="560">
        <v>0</v>
      </c>
      <c r="K394" s="568">
        <v>46.770782495526269</v>
      </c>
      <c r="L394" s="560">
        <v>0</v>
      </c>
      <c r="M394" s="1057">
        <f t="shared" si="49"/>
        <v>46.770782495526269</v>
      </c>
      <c r="N394" s="1058">
        <f t="shared" si="49"/>
        <v>0</v>
      </c>
      <c r="O394" s="569">
        <v>0</v>
      </c>
      <c r="P394" s="560">
        <v>0</v>
      </c>
      <c r="Q394" s="570">
        <v>0</v>
      </c>
      <c r="R394" s="571">
        <v>188.09988612331219</v>
      </c>
      <c r="S394" s="1075">
        <f t="shared" si="50"/>
        <v>188.09988612331219</v>
      </c>
      <c r="T394" s="1075">
        <f t="shared" si="48"/>
        <v>0</v>
      </c>
    </row>
    <row r="395" spans="1:20" ht="15.75" x14ac:dyDescent="0.25">
      <c r="A395" s="657" t="s">
        <v>889</v>
      </c>
      <c r="B395" s="747" t="s">
        <v>429</v>
      </c>
      <c r="C395" s="815" t="s">
        <v>1092</v>
      </c>
      <c r="D395" s="549">
        <v>211.48527737107531</v>
      </c>
      <c r="E395" s="550">
        <v>0</v>
      </c>
      <c r="F395" s="551">
        <v>0</v>
      </c>
      <c r="G395" s="560">
        <v>0</v>
      </c>
      <c r="H395" s="566">
        <v>211.48527737107531</v>
      </c>
      <c r="I395" s="567">
        <v>0</v>
      </c>
      <c r="J395" s="560">
        <v>0</v>
      </c>
      <c r="K395" s="568">
        <v>0</v>
      </c>
      <c r="L395" s="560">
        <v>0</v>
      </c>
      <c r="M395" s="1057">
        <f t="shared" si="49"/>
        <v>0</v>
      </c>
      <c r="N395" s="1058">
        <f t="shared" si="49"/>
        <v>0</v>
      </c>
      <c r="O395" s="569">
        <v>0</v>
      </c>
      <c r="P395" s="560">
        <v>0</v>
      </c>
      <c r="Q395" s="570">
        <v>0</v>
      </c>
      <c r="R395" s="571">
        <v>211.48527737107531</v>
      </c>
      <c r="S395" s="1075">
        <f t="shared" si="50"/>
        <v>211.48527737107531</v>
      </c>
      <c r="T395" s="1075">
        <f t="shared" si="48"/>
        <v>0</v>
      </c>
    </row>
    <row r="396" spans="1:20" ht="15.75" x14ac:dyDescent="0.25">
      <c r="A396" s="657" t="s">
        <v>621</v>
      </c>
      <c r="B396" s="747"/>
      <c r="C396" s="815" t="s">
        <v>1092</v>
      </c>
      <c r="D396" s="549">
        <v>114.8934439564015</v>
      </c>
      <c r="E396" s="550">
        <v>0</v>
      </c>
      <c r="F396" s="551">
        <v>0</v>
      </c>
      <c r="G396" s="560">
        <v>0</v>
      </c>
      <c r="H396" s="566">
        <v>114.8934439564015</v>
      </c>
      <c r="I396" s="567">
        <v>0</v>
      </c>
      <c r="J396" s="560">
        <v>0</v>
      </c>
      <c r="K396" s="568">
        <v>8.1340491296567432</v>
      </c>
      <c r="L396" s="560">
        <v>0</v>
      </c>
      <c r="M396" s="1057">
        <f t="shared" si="49"/>
        <v>8.1340491296567432</v>
      </c>
      <c r="N396" s="1058">
        <f t="shared" si="49"/>
        <v>0</v>
      </c>
      <c r="O396" s="569">
        <v>0</v>
      </c>
      <c r="P396" s="560">
        <v>0</v>
      </c>
      <c r="Q396" s="570">
        <v>0</v>
      </c>
      <c r="R396" s="571">
        <v>123.02749308605824</v>
      </c>
      <c r="S396" s="1075">
        <f t="shared" si="50"/>
        <v>123.02749308605824</v>
      </c>
      <c r="T396" s="1075">
        <f t="shared" si="48"/>
        <v>0</v>
      </c>
    </row>
    <row r="397" spans="1:20" ht="15.75" x14ac:dyDescent="0.25">
      <c r="A397" s="657" t="s">
        <v>622</v>
      </c>
      <c r="B397" s="747"/>
      <c r="C397" s="815" t="s">
        <v>1092</v>
      </c>
      <c r="D397" s="549">
        <v>233.85391247763135</v>
      </c>
      <c r="E397" s="550">
        <v>0</v>
      </c>
      <c r="F397" s="551">
        <v>0</v>
      </c>
      <c r="G397" s="560">
        <v>0</v>
      </c>
      <c r="H397" s="566">
        <v>233.85391247763135</v>
      </c>
      <c r="I397" s="567">
        <v>0</v>
      </c>
      <c r="J397" s="560">
        <v>0</v>
      </c>
      <c r="K397" s="568">
        <v>0</v>
      </c>
      <c r="L397" s="560">
        <v>0</v>
      </c>
      <c r="M397" s="1057">
        <f t="shared" si="49"/>
        <v>0</v>
      </c>
      <c r="N397" s="1058">
        <f t="shared" si="49"/>
        <v>0</v>
      </c>
      <c r="O397" s="569">
        <v>0</v>
      </c>
      <c r="P397" s="560">
        <v>0</v>
      </c>
      <c r="Q397" s="570">
        <v>0</v>
      </c>
      <c r="R397" s="571">
        <v>233.85391247763135</v>
      </c>
      <c r="S397" s="1075">
        <f t="shared" si="50"/>
        <v>233.85391247763135</v>
      </c>
      <c r="T397" s="1075">
        <f t="shared" si="48"/>
        <v>0</v>
      </c>
    </row>
    <row r="398" spans="1:20" ht="15.75" x14ac:dyDescent="0.25">
      <c r="A398" s="657" t="s">
        <v>623</v>
      </c>
      <c r="B398" s="747"/>
      <c r="C398" s="815" t="s">
        <v>1092</v>
      </c>
      <c r="D398" s="549">
        <v>122.01073694485115</v>
      </c>
      <c r="E398" s="550">
        <v>0</v>
      </c>
      <c r="F398" s="551">
        <v>0</v>
      </c>
      <c r="G398" s="560">
        <v>0</v>
      </c>
      <c r="H398" s="566">
        <v>122.01073694485115</v>
      </c>
      <c r="I398" s="567">
        <v>0</v>
      </c>
      <c r="J398" s="560">
        <v>0</v>
      </c>
      <c r="K398" s="568">
        <v>26.435659671384414</v>
      </c>
      <c r="L398" s="560">
        <v>0</v>
      </c>
      <c r="M398" s="1057">
        <f t="shared" si="49"/>
        <v>26.435659671384414</v>
      </c>
      <c r="N398" s="1058">
        <f t="shared" si="49"/>
        <v>0</v>
      </c>
      <c r="O398" s="569">
        <v>0</v>
      </c>
      <c r="P398" s="560">
        <v>0</v>
      </c>
      <c r="Q398" s="570">
        <v>0</v>
      </c>
      <c r="R398" s="571">
        <v>148.44639661623557</v>
      </c>
      <c r="S398" s="1075">
        <f t="shared" si="50"/>
        <v>148.44639661623557</v>
      </c>
      <c r="T398" s="1075">
        <f t="shared" si="48"/>
        <v>0</v>
      </c>
    </row>
    <row r="399" spans="1:20" ht="16.5" thickBot="1" x14ac:dyDescent="0.3">
      <c r="A399" s="657" t="s">
        <v>624</v>
      </c>
      <c r="B399" s="747"/>
      <c r="C399" s="819" t="s">
        <v>1092</v>
      </c>
      <c r="D399" s="549">
        <v>208.43500894745404</v>
      </c>
      <c r="E399" s="550">
        <v>0</v>
      </c>
      <c r="F399" s="551">
        <v>0</v>
      </c>
      <c r="G399" s="560">
        <v>0</v>
      </c>
      <c r="H399" s="566">
        <v>208.43500894745404</v>
      </c>
      <c r="I399" s="567">
        <v>0</v>
      </c>
      <c r="J399" s="560">
        <v>0</v>
      </c>
      <c r="K399" s="568">
        <v>34.569708801041159</v>
      </c>
      <c r="L399" s="560">
        <v>0</v>
      </c>
      <c r="M399" s="1057">
        <f t="shared" si="49"/>
        <v>34.569708801041159</v>
      </c>
      <c r="N399" s="1058">
        <f t="shared" si="49"/>
        <v>0</v>
      </c>
      <c r="O399" s="569">
        <v>0</v>
      </c>
      <c r="P399" s="560">
        <v>0</v>
      </c>
      <c r="Q399" s="570">
        <v>0</v>
      </c>
      <c r="R399" s="571">
        <v>243.00471774849518</v>
      </c>
      <c r="S399" s="1075">
        <f t="shared" si="50"/>
        <v>243.00471774849518</v>
      </c>
      <c r="T399" s="1075">
        <f t="shared" si="48"/>
        <v>0</v>
      </c>
    </row>
    <row r="400" spans="1:20" ht="15.75" x14ac:dyDescent="0.25">
      <c r="A400" s="631" t="s">
        <v>182</v>
      </c>
      <c r="B400" s="631" t="s">
        <v>429</v>
      </c>
      <c r="C400" s="631" t="s">
        <v>1106</v>
      </c>
      <c r="D400" s="549">
        <v>50.599632657471098</v>
      </c>
      <c r="E400" s="550">
        <v>283.30992425060924</v>
      </c>
      <c r="F400" s="551">
        <v>0</v>
      </c>
      <c r="G400" s="560">
        <v>20.035773880265545</v>
      </c>
      <c r="H400" s="566">
        <v>353.94533078834587</v>
      </c>
      <c r="I400" s="567">
        <v>153.65961993253381</v>
      </c>
      <c r="J400" s="560">
        <v>0</v>
      </c>
      <c r="K400" s="568">
        <v>189.61357006518529</v>
      </c>
      <c r="L400" s="560">
        <v>0</v>
      </c>
      <c r="M400" s="1057">
        <f t="shared" si="49"/>
        <v>343.2731899977191</v>
      </c>
      <c r="N400" s="1058">
        <f t="shared" si="49"/>
        <v>0</v>
      </c>
      <c r="O400" s="569">
        <v>80.671300464580256</v>
      </c>
      <c r="P400" s="560">
        <v>4.8378770963133695</v>
      </c>
      <c r="Q400" s="570">
        <v>24.873650976578915</v>
      </c>
      <c r="R400" s="571">
        <v>782.72769834695862</v>
      </c>
      <c r="S400" s="1075">
        <f t="shared" si="50"/>
        <v>782.72769834695862</v>
      </c>
      <c r="T400" s="1075">
        <f t="shared" si="48"/>
        <v>0</v>
      </c>
    </row>
    <row r="401" spans="1:20" ht="15.75" x14ac:dyDescent="0.25">
      <c r="A401" s="631" t="s">
        <v>183</v>
      </c>
      <c r="B401" s="631"/>
      <c r="C401" s="631" t="s">
        <v>1106</v>
      </c>
      <c r="D401" s="549">
        <v>70.827481062652311</v>
      </c>
      <c r="E401" s="550">
        <v>216.08384053012568</v>
      </c>
      <c r="F401" s="551">
        <v>9.4116517208676953</v>
      </c>
      <c r="G401" s="560">
        <v>17.778898212506451</v>
      </c>
      <c r="H401" s="566">
        <v>314.10187152615214</v>
      </c>
      <c r="I401" s="567">
        <v>228.08849833735488</v>
      </c>
      <c r="J401" s="560">
        <v>0</v>
      </c>
      <c r="K401" s="568">
        <v>191.94247367978772</v>
      </c>
      <c r="L401" s="560">
        <v>0</v>
      </c>
      <c r="M401" s="1057">
        <f t="shared" si="49"/>
        <v>420.03097201714263</v>
      </c>
      <c r="N401" s="1058">
        <f t="shared" si="49"/>
        <v>0</v>
      </c>
      <c r="O401" s="569">
        <v>80.671300464580256</v>
      </c>
      <c r="P401" s="560">
        <v>4.8378770963133695</v>
      </c>
      <c r="Q401" s="570">
        <v>22.616775308819822</v>
      </c>
      <c r="R401" s="571">
        <v>819.6420211041883</v>
      </c>
      <c r="S401" s="1075">
        <f t="shared" si="50"/>
        <v>819.6420211041883</v>
      </c>
      <c r="T401" s="1075">
        <f t="shared" si="48"/>
        <v>0</v>
      </c>
    </row>
    <row r="402" spans="1:20" ht="15.75" x14ac:dyDescent="0.25">
      <c r="A402" s="631" t="s">
        <v>184</v>
      </c>
      <c r="B402" s="631"/>
      <c r="C402" s="631" t="s">
        <v>1106</v>
      </c>
      <c r="D402" s="549">
        <v>73.444496464628273</v>
      </c>
      <c r="E402" s="550">
        <v>244.89501926747576</v>
      </c>
      <c r="F402" s="551">
        <v>22.088570365301734</v>
      </c>
      <c r="G402" s="560">
        <v>20.419922930096877</v>
      </c>
      <c r="H402" s="566">
        <v>360.84800902750266</v>
      </c>
      <c r="I402" s="567">
        <v>164.4638119590401</v>
      </c>
      <c r="J402" s="560">
        <v>0</v>
      </c>
      <c r="K402" s="568">
        <v>336.7306514927792</v>
      </c>
      <c r="L402" s="560">
        <v>0</v>
      </c>
      <c r="M402" s="1057">
        <f t="shared" si="49"/>
        <v>501.19446345181927</v>
      </c>
      <c r="N402" s="1058">
        <f t="shared" si="49"/>
        <v>0</v>
      </c>
      <c r="O402" s="569">
        <v>80.671300464580256</v>
      </c>
      <c r="P402" s="560">
        <v>4.8378770963133695</v>
      </c>
      <c r="Q402" s="570">
        <v>25.257800026410248</v>
      </c>
      <c r="R402" s="571">
        <v>947.55165004021558</v>
      </c>
      <c r="S402" s="1075">
        <f t="shared" si="50"/>
        <v>947.55165004021558</v>
      </c>
      <c r="T402" s="1075">
        <f t="shared" si="48"/>
        <v>0</v>
      </c>
    </row>
    <row r="403" spans="1:20" ht="15.75" x14ac:dyDescent="0.25">
      <c r="A403" s="631" t="s">
        <v>185</v>
      </c>
      <c r="B403" s="631"/>
      <c r="C403" s="631" t="s">
        <v>1106</v>
      </c>
      <c r="D403" s="549">
        <v>54.020960132531421</v>
      </c>
      <c r="E403" s="550">
        <v>151.25868837108797</v>
      </c>
      <c r="F403" s="551">
        <v>0</v>
      </c>
      <c r="G403" s="560">
        <v>12.316778910217163</v>
      </c>
      <c r="H403" s="566">
        <v>217.59642741383655</v>
      </c>
      <c r="I403" s="567">
        <v>264.10247175904249</v>
      </c>
      <c r="J403" s="560">
        <v>0</v>
      </c>
      <c r="K403" s="568">
        <v>230.77754168617423</v>
      </c>
      <c r="L403" s="560">
        <v>0</v>
      </c>
      <c r="M403" s="1057">
        <f t="shared" si="49"/>
        <v>494.88001344521672</v>
      </c>
      <c r="N403" s="1058">
        <f t="shared" si="49"/>
        <v>0</v>
      </c>
      <c r="O403" s="569">
        <v>80.671300464580256</v>
      </c>
      <c r="P403" s="560">
        <v>4.8378770963133695</v>
      </c>
      <c r="Q403" s="570">
        <v>17.154656006530534</v>
      </c>
      <c r="R403" s="571">
        <v>797.98561841994683</v>
      </c>
      <c r="S403" s="1075">
        <f t="shared" si="50"/>
        <v>797.98561841994683</v>
      </c>
      <c r="T403" s="1075">
        <f t="shared" si="48"/>
        <v>0</v>
      </c>
    </row>
    <row r="404" spans="1:20" ht="16.5" thickBot="1" x14ac:dyDescent="0.3">
      <c r="A404" s="631" t="s">
        <v>186</v>
      </c>
      <c r="B404" s="631"/>
      <c r="C404" s="631" t="s">
        <v>1106</v>
      </c>
      <c r="D404" s="549">
        <v>84.560809594122517</v>
      </c>
      <c r="E404" s="550">
        <v>110.80299156072556</v>
      </c>
      <c r="F404" s="551">
        <v>0</v>
      </c>
      <c r="G404" s="560">
        <v>11.716546019855704</v>
      </c>
      <c r="H404" s="566">
        <v>207.0803471747038</v>
      </c>
      <c r="I404" s="567">
        <v>172.86707242410054</v>
      </c>
      <c r="J404" s="560">
        <v>0</v>
      </c>
      <c r="K404" s="568">
        <v>174.59574314834154</v>
      </c>
      <c r="L404" s="560">
        <v>0</v>
      </c>
      <c r="M404" s="1057">
        <f t="shared" si="49"/>
        <v>347.46281557244208</v>
      </c>
      <c r="N404" s="1058">
        <f t="shared" si="49"/>
        <v>0</v>
      </c>
      <c r="O404" s="569">
        <v>80.671300464580256</v>
      </c>
      <c r="P404" s="560">
        <v>4.8378770963133695</v>
      </c>
      <c r="Q404" s="570">
        <v>16.554423116169072</v>
      </c>
      <c r="R404" s="571">
        <v>640.05234030803945</v>
      </c>
      <c r="S404" s="1075">
        <f t="shared" si="50"/>
        <v>640.05234030803945</v>
      </c>
      <c r="T404" s="1075">
        <f t="shared" si="48"/>
        <v>0</v>
      </c>
    </row>
    <row r="405" spans="1:20" ht="15.75" x14ac:dyDescent="0.25">
      <c r="A405" s="546" t="s">
        <v>125</v>
      </c>
      <c r="B405" s="1046"/>
      <c r="C405" s="802" t="s">
        <v>1112</v>
      </c>
      <c r="D405" s="549">
        <v>299.6832546649556</v>
      </c>
      <c r="E405" s="550">
        <v>0</v>
      </c>
      <c r="F405" s="551">
        <v>0</v>
      </c>
      <c r="G405" s="560">
        <v>74.859877664883683</v>
      </c>
      <c r="H405" s="566">
        <v>374.5431323298393</v>
      </c>
      <c r="I405" s="567">
        <v>417.77722529136548</v>
      </c>
      <c r="J405" s="560">
        <v>104.44430632284137</v>
      </c>
      <c r="K405" s="568">
        <v>0</v>
      </c>
      <c r="L405" s="560">
        <v>0</v>
      </c>
      <c r="M405" s="1057">
        <f t="shared" si="49"/>
        <v>417.77722529136548</v>
      </c>
      <c r="N405" s="1058">
        <f t="shared" si="49"/>
        <v>104.44430632284137</v>
      </c>
      <c r="O405" s="569">
        <v>0</v>
      </c>
      <c r="P405" s="560">
        <v>0</v>
      </c>
      <c r="Q405" s="570">
        <v>179.30418398772505</v>
      </c>
      <c r="R405" s="571">
        <v>896.76466394404611</v>
      </c>
      <c r="S405" s="1075">
        <f t="shared" si="50"/>
        <v>896.76466394404611</v>
      </c>
      <c r="T405" s="1075">
        <f t="shared" si="48"/>
        <v>0</v>
      </c>
    </row>
    <row r="406" spans="1:20" ht="15.75" x14ac:dyDescent="0.25">
      <c r="A406" s="547" t="s">
        <v>126</v>
      </c>
      <c r="B406" s="1046" t="s">
        <v>429</v>
      </c>
      <c r="C406" s="802" t="s">
        <v>1112</v>
      </c>
      <c r="D406" s="549">
        <v>37.536576834813467</v>
      </c>
      <c r="E406" s="550">
        <v>238.13789329618675</v>
      </c>
      <c r="F406" s="551">
        <v>0</v>
      </c>
      <c r="G406" s="560">
        <v>64.226545428398367</v>
      </c>
      <c r="H406" s="566">
        <v>339.90101555939856</v>
      </c>
      <c r="I406" s="567">
        <v>357.32871194699055</v>
      </c>
      <c r="J406" s="560">
        <v>94.024250091099319</v>
      </c>
      <c r="K406" s="568">
        <v>0</v>
      </c>
      <c r="L406" s="560">
        <v>0</v>
      </c>
      <c r="M406" s="1057">
        <f t="shared" si="49"/>
        <v>357.32871194699055</v>
      </c>
      <c r="N406" s="1058">
        <f t="shared" si="49"/>
        <v>94.024250091099319</v>
      </c>
      <c r="O406" s="569">
        <v>0</v>
      </c>
      <c r="P406" s="560">
        <v>0</v>
      </c>
      <c r="Q406" s="570">
        <v>158.25079551949767</v>
      </c>
      <c r="R406" s="571">
        <v>791.25397759748842</v>
      </c>
      <c r="S406" s="1075">
        <f t="shared" si="50"/>
        <v>791.25397759748842</v>
      </c>
      <c r="T406" s="1075">
        <f t="shared" si="48"/>
        <v>0</v>
      </c>
    </row>
    <row r="407" spans="1:20" ht="16.5" thickBot="1" x14ac:dyDescent="0.3">
      <c r="A407" s="641" t="s">
        <v>127</v>
      </c>
      <c r="B407" s="1046"/>
      <c r="C407" s="807" t="s">
        <v>1112</v>
      </c>
      <c r="D407" s="549">
        <v>38.609050458665287</v>
      </c>
      <c r="E407" s="550">
        <v>213.03226073783748</v>
      </c>
      <c r="F407" s="551">
        <v>11.894707464538293</v>
      </c>
      <c r="G407" s="560">
        <v>65.884004665260264</v>
      </c>
      <c r="H407" s="566">
        <v>329.4200233263013</v>
      </c>
      <c r="I407" s="567">
        <v>272.9445372702865</v>
      </c>
      <c r="J407" s="560">
        <v>68.236134317571626</v>
      </c>
      <c r="K407" s="568">
        <v>0</v>
      </c>
      <c r="L407" s="560">
        <v>0</v>
      </c>
      <c r="M407" s="1057">
        <f t="shared" si="49"/>
        <v>272.9445372702865</v>
      </c>
      <c r="N407" s="1058">
        <f t="shared" si="49"/>
        <v>68.236134317571626</v>
      </c>
      <c r="O407" s="569">
        <v>0</v>
      </c>
      <c r="P407" s="560">
        <v>0</v>
      </c>
      <c r="Q407" s="570">
        <v>134.12013898283189</v>
      </c>
      <c r="R407" s="571">
        <v>670.60069491415948</v>
      </c>
      <c r="S407" s="1075">
        <f t="shared" si="50"/>
        <v>670.60069491415948</v>
      </c>
      <c r="T407" s="1075">
        <f t="shared" si="48"/>
        <v>0</v>
      </c>
    </row>
    <row r="408" spans="1:20" ht="15.75" x14ac:dyDescent="0.25">
      <c r="A408" s="546" t="s">
        <v>128</v>
      </c>
      <c r="B408" s="1046"/>
      <c r="C408" s="802" t="s">
        <v>1114</v>
      </c>
      <c r="D408" s="549">
        <v>0</v>
      </c>
      <c r="E408" s="550">
        <v>274.2561448900388</v>
      </c>
      <c r="F408" s="551">
        <v>0</v>
      </c>
      <c r="G408" s="560">
        <v>21.940491591203102</v>
      </c>
      <c r="H408" s="566">
        <v>296.19663648124191</v>
      </c>
      <c r="I408" s="567">
        <v>0</v>
      </c>
      <c r="J408" s="560">
        <v>0</v>
      </c>
      <c r="K408" s="568">
        <v>280.58071007618224</v>
      </c>
      <c r="L408" s="560">
        <v>22.446456806094581</v>
      </c>
      <c r="M408" s="1057">
        <f t="shared" si="49"/>
        <v>280.58071007618224</v>
      </c>
      <c r="N408" s="1058">
        <f t="shared" si="49"/>
        <v>22.446456806094581</v>
      </c>
      <c r="O408" s="569">
        <v>0</v>
      </c>
      <c r="P408" s="560">
        <v>0</v>
      </c>
      <c r="Q408" s="570">
        <v>44.386948397297687</v>
      </c>
      <c r="R408" s="571">
        <v>599.22380336351875</v>
      </c>
      <c r="S408" s="1075">
        <f t="shared" si="50"/>
        <v>599.22380336351875</v>
      </c>
      <c r="T408" s="1075">
        <f t="shared" si="48"/>
        <v>0</v>
      </c>
    </row>
    <row r="409" spans="1:20" ht="15.75" x14ac:dyDescent="0.25">
      <c r="A409" s="641" t="s">
        <v>891</v>
      </c>
      <c r="B409" s="1046" t="s">
        <v>429</v>
      </c>
      <c r="C409" s="802" t="s">
        <v>1114</v>
      </c>
      <c r="D409" s="549">
        <v>0</v>
      </c>
      <c r="E409" s="550">
        <v>241.48339801638639</v>
      </c>
      <c r="F409" s="551">
        <v>0</v>
      </c>
      <c r="G409" s="560">
        <v>19.318671841310913</v>
      </c>
      <c r="H409" s="566">
        <v>260.80206985769729</v>
      </c>
      <c r="I409" s="567">
        <v>0</v>
      </c>
      <c r="J409" s="560">
        <v>0</v>
      </c>
      <c r="K409" s="568">
        <v>369.12462268219059</v>
      </c>
      <c r="L409" s="560">
        <v>29.529969814575249</v>
      </c>
      <c r="M409" s="1057">
        <f t="shared" si="49"/>
        <v>369.12462268219059</v>
      </c>
      <c r="N409" s="1058">
        <f t="shared" si="49"/>
        <v>29.529969814575249</v>
      </c>
      <c r="O409" s="569">
        <v>0</v>
      </c>
      <c r="P409" s="560">
        <v>0</v>
      </c>
      <c r="Q409" s="570">
        <v>48.848641655886162</v>
      </c>
      <c r="R409" s="571">
        <v>659.45666235446311</v>
      </c>
      <c r="S409" s="1075">
        <f t="shared" si="50"/>
        <v>659.45666235446311</v>
      </c>
      <c r="T409" s="1075">
        <f t="shared" si="48"/>
        <v>0</v>
      </c>
    </row>
    <row r="410" spans="1:20" ht="15.75" x14ac:dyDescent="0.25">
      <c r="A410" s="547" t="s">
        <v>129</v>
      </c>
      <c r="B410" s="1046"/>
      <c r="C410" s="802" t="s">
        <v>1114</v>
      </c>
      <c r="D410" s="549">
        <v>0</v>
      </c>
      <c r="E410" s="550">
        <v>257.58229121747883</v>
      </c>
      <c r="F410" s="551">
        <v>0</v>
      </c>
      <c r="G410" s="560">
        <v>20.606583297398306</v>
      </c>
      <c r="H410" s="566">
        <v>278.18887451487711</v>
      </c>
      <c r="I410" s="567">
        <v>0</v>
      </c>
      <c r="J410" s="560">
        <v>0</v>
      </c>
      <c r="K410" s="568">
        <v>316.8032197786402</v>
      </c>
      <c r="L410" s="560">
        <v>25.344257582291217</v>
      </c>
      <c r="M410" s="1057">
        <f t="shared" si="49"/>
        <v>316.8032197786402</v>
      </c>
      <c r="N410" s="1058">
        <f t="shared" si="49"/>
        <v>25.344257582291217</v>
      </c>
      <c r="O410" s="569">
        <v>0</v>
      </c>
      <c r="P410" s="560">
        <v>0</v>
      </c>
      <c r="Q410" s="570">
        <v>45.950840879689522</v>
      </c>
      <c r="R410" s="571">
        <v>620.33635187580853</v>
      </c>
      <c r="S410" s="1075">
        <f t="shared" si="50"/>
        <v>620.33635187580853</v>
      </c>
      <c r="T410" s="1075">
        <f t="shared" si="48"/>
        <v>0</v>
      </c>
    </row>
    <row r="411" spans="1:20" ht="15.75" x14ac:dyDescent="0.25">
      <c r="A411" s="547" t="s">
        <v>130</v>
      </c>
      <c r="B411" s="1046"/>
      <c r="C411" s="802" t="s">
        <v>1114</v>
      </c>
      <c r="D411" s="549">
        <v>0</v>
      </c>
      <c r="E411" s="550">
        <v>192.03679747017392</v>
      </c>
      <c r="F411" s="551">
        <v>0</v>
      </c>
      <c r="G411" s="560">
        <v>15.362943797613914</v>
      </c>
      <c r="H411" s="566">
        <v>207.39974126778785</v>
      </c>
      <c r="I411" s="567">
        <v>0</v>
      </c>
      <c r="J411" s="560">
        <v>0</v>
      </c>
      <c r="K411" s="568">
        <v>319.10306166451056</v>
      </c>
      <c r="L411" s="560">
        <v>25.528244933160845</v>
      </c>
      <c r="M411" s="1057">
        <f t="shared" si="49"/>
        <v>319.10306166451056</v>
      </c>
      <c r="N411" s="1058">
        <f t="shared" si="49"/>
        <v>25.528244933160845</v>
      </c>
      <c r="O411" s="569">
        <v>0</v>
      </c>
      <c r="P411" s="560">
        <v>0</v>
      </c>
      <c r="Q411" s="570">
        <v>40.891188730774758</v>
      </c>
      <c r="R411" s="571">
        <v>552.0310478654593</v>
      </c>
      <c r="S411" s="1075">
        <f t="shared" si="50"/>
        <v>552.0310478654593</v>
      </c>
      <c r="T411" s="1075">
        <f t="shared" si="48"/>
        <v>0</v>
      </c>
    </row>
    <row r="412" spans="1:20" ht="15.75" x14ac:dyDescent="0.25">
      <c r="A412" s="547" t="s">
        <v>131</v>
      </c>
      <c r="B412" s="1046"/>
      <c r="C412" s="802" t="s">
        <v>1114</v>
      </c>
      <c r="D412" s="549">
        <v>0</v>
      </c>
      <c r="E412" s="550">
        <v>194.33663935604429</v>
      </c>
      <c r="F412" s="551">
        <v>0</v>
      </c>
      <c r="G412" s="560">
        <v>15.546931148483541</v>
      </c>
      <c r="H412" s="566">
        <v>209.88357050452782</v>
      </c>
      <c r="I412" s="567">
        <v>0</v>
      </c>
      <c r="J412" s="560">
        <v>0</v>
      </c>
      <c r="K412" s="568">
        <v>190.88687652723877</v>
      </c>
      <c r="L412" s="560">
        <v>15.2709501221791</v>
      </c>
      <c r="M412" s="1057">
        <f t="shared" si="49"/>
        <v>190.88687652723877</v>
      </c>
      <c r="N412" s="1058">
        <f t="shared" si="49"/>
        <v>15.2709501221791</v>
      </c>
      <c r="O412" s="569">
        <v>0</v>
      </c>
      <c r="P412" s="560">
        <v>0</v>
      </c>
      <c r="Q412" s="570">
        <v>30.817881270662639</v>
      </c>
      <c r="R412" s="571">
        <v>416.0413971539457</v>
      </c>
      <c r="S412" s="1075">
        <f t="shared" si="50"/>
        <v>416.0413971539457</v>
      </c>
      <c r="T412" s="1075">
        <f t="shared" si="48"/>
        <v>0</v>
      </c>
    </row>
    <row r="413" spans="1:20" ht="16.5" thickBot="1" x14ac:dyDescent="0.3">
      <c r="A413" s="543" t="s">
        <v>132</v>
      </c>
      <c r="B413" s="1046"/>
      <c r="C413" s="802" t="s">
        <v>1114</v>
      </c>
      <c r="D413" s="549">
        <v>0</v>
      </c>
      <c r="E413" s="550">
        <v>169.61333908293804</v>
      </c>
      <c r="F413" s="551">
        <v>0</v>
      </c>
      <c r="G413" s="560">
        <v>13.569067126635044</v>
      </c>
      <c r="H413" s="566">
        <v>183.18240620957309</v>
      </c>
      <c r="I413" s="567">
        <v>0</v>
      </c>
      <c r="J413" s="560">
        <v>0</v>
      </c>
      <c r="K413" s="568">
        <v>259.30717263188154</v>
      </c>
      <c r="L413" s="560">
        <v>20.744573810550524</v>
      </c>
      <c r="M413" s="1057">
        <f t="shared" si="49"/>
        <v>259.30717263188154</v>
      </c>
      <c r="N413" s="1058">
        <f t="shared" si="49"/>
        <v>20.744573810550524</v>
      </c>
      <c r="O413" s="569">
        <v>0</v>
      </c>
      <c r="P413" s="560">
        <v>0</v>
      </c>
      <c r="Q413" s="570">
        <v>34.313640937185568</v>
      </c>
      <c r="R413" s="571">
        <v>463.23415265200521</v>
      </c>
      <c r="S413" s="1075">
        <f t="shared" si="50"/>
        <v>463.23415265200521</v>
      </c>
      <c r="T413" s="1075">
        <f t="shared" si="48"/>
        <v>0</v>
      </c>
    </row>
    <row r="414" spans="1:20" ht="15.75" x14ac:dyDescent="0.25">
      <c r="A414" s="638" t="s">
        <v>133</v>
      </c>
      <c r="B414" s="693" t="s">
        <v>429</v>
      </c>
      <c r="C414" s="806" t="s">
        <v>1116</v>
      </c>
      <c r="D414" s="549">
        <v>68.426549501206466</v>
      </c>
      <c r="E414" s="550">
        <v>124.47629680315961</v>
      </c>
      <c r="F414" s="551">
        <v>5.4261053288675996</v>
      </c>
      <c r="G414" s="560">
        <v>11.896615886964142</v>
      </c>
      <c r="H414" s="566">
        <v>210.22556752019784</v>
      </c>
      <c r="I414" s="567">
        <v>127.9216335938344</v>
      </c>
      <c r="J414" s="560">
        <v>0</v>
      </c>
      <c r="K414" s="568">
        <v>0</v>
      </c>
      <c r="L414" s="560">
        <v>0</v>
      </c>
      <c r="M414" s="1057">
        <f t="shared" si="49"/>
        <v>127.9216335938344</v>
      </c>
      <c r="N414" s="1058">
        <f t="shared" si="49"/>
        <v>0</v>
      </c>
      <c r="O414" s="569">
        <v>17.442767793904032</v>
      </c>
      <c r="P414" s="560">
        <v>0</v>
      </c>
      <c r="Q414" s="570">
        <v>11.896615886964142</v>
      </c>
      <c r="R414" s="571">
        <v>355.58996890793622</v>
      </c>
      <c r="S414" s="1075">
        <f t="shared" si="50"/>
        <v>355.58996890793622</v>
      </c>
      <c r="T414" s="1075">
        <f t="shared" si="48"/>
        <v>0</v>
      </c>
    </row>
    <row r="415" spans="1:20" ht="15.75" x14ac:dyDescent="0.25">
      <c r="A415" s="639" t="s">
        <v>134</v>
      </c>
      <c r="B415" s="639"/>
      <c r="C415" s="724" t="s">
        <v>1116</v>
      </c>
      <c r="D415" s="549">
        <v>58.630748730507442</v>
      </c>
      <c r="E415" s="550">
        <v>180.8621745237152</v>
      </c>
      <c r="F415" s="551">
        <v>5.450114644482059</v>
      </c>
      <c r="G415" s="560">
        <v>14.693701156048547</v>
      </c>
      <c r="H415" s="566">
        <v>259.63673905475321</v>
      </c>
      <c r="I415" s="567">
        <v>213.47882978595695</v>
      </c>
      <c r="J415" s="560">
        <v>0</v>
      </c>
      <c r="K415" s="568">
        <v>0</v>
      </c>
      <c r="L415" s="560">
        <v>0</v>
      </c>
      <c r="M415" s="1057">
        <f t="shared" si="49"/>
        <v>213.47882978595695</v>
      </c>
      <c r="N415" s="1058">
        <f t="shared" si="49"/>
        <v>0</v>
      </c>
      <c r="O415" s="569">
        <v>0</v>
      </c>
      <c r="P415" s="560"/>
      <c r="Q415" s="570">
        <v>14.693701156048547</v>
      </c>
      <c r="R415" s="571">
        <v>473.11556884071013</v>
      </c>
      <c r="S415" s="1075">
        <f t="shared" si="50"/>
        <v>473.11556884071013</v>
      </c>
      <c r="T415" s="1075">
        <f t="shared" si="48"/>
        <v>0</v>
      </c>
    </row>
    <row r="416" spans="1:20" ht="15.75" x14ac:dyDescent="0.25">
      <c r="A416" s="639" t="s">
        <v>135</v>
      </c>
      <c r="B416" s="639"/>
      <c r="C416" s="724" t="s">
        <v>1116</v>
      </c>
      <c r="D416" s="549">
        <v>49.963385793687948</v>
      </c>
      <c r="E416" s="550">
        <v>189.39748622465518</v>
      </c>
      <c r="F416" s="551">
        <v>4.8979003853495158</v>
      </c>
      <c r="G416" s="560">
        <v>14.65768718262686</v>
      </c>
      <c r="H416" s="566">
        <v>258.91645958631949</v>
      </c>
      <c r="I416" s="567">
        <v>105.73702596607482</v>
      </c>
      <c r="J416" s="560">
        <v>6.3384593222170205</v>
      </c>
      <c r="K416" s="568">
        <v>0</v>
      </c>
      <c r="L416" s="560">
        <v>0</v>
      </c>
      <c r="M416" s="1057">
        <f t="shared" si="49"/>
        <v>105.73702596607482</v>
      </c>
      <c r="N416" s="1058">
        <f t="shared" si="49"/>
        <v>6.3384593222170205</v>
      </c>
      <c r="O416" s="569">
        <v>0</v>
      </c>
      <c r="P416" s="560">
        <v>0</v>
      </c>
      <c r="Q416" s="570">
        <v>20.996146504843882</v>
      </c>
      <c r="R416" s="571">
        <v>370.99194487461136</v>
      </c>
      <c r="S416" s="1075">
        <f t="shared" si="50"/>
        <v>370.99194487461136</v>
      </c>
      <c r="T416" s="1075">
        <f t="shared" si="48"/>
        <v>0</v>
      </c>
    </row>
    <row r="417" spans="1:20" ht="15.75" x14ac:dyDescent="0.25">
      <c r="A417" s="639" t="s">
        <v>136</v>
      </c>
      <c r="B417" s="639"/>
      <c r="C417" s="724" t="s">
        <v>1116</v>
      </c>
      <c r="D417" s="549">
        <v>45.749750903350495</v>
      </c>
      <c r="E417" s="550">
        <v>210.83780506836652</v>
      </c>
      <c r="F417" s="551">
        <v>6.0023289036146021</v>
      </c>
      <c r="G417" s="560">
        <v>15.750111043084715</v>
      </c>
      <c r="H417" s="566">
        <v>278.33999591841632</v>
      </c>
      <c r="I417" s="567">
        <v>218.91693977263179</v>
      </c>
      <c r="J417" s="560">
        <v>0</v>
      </c>
      <c r="K417" s="568">
        <v>0</v>
      </c>
      <c r="L417" s="560">
        <v>0</v>
      </c>
      <c r="M417" s="1057">
        <f t="shared" si="49"/>
        <v>218.91693977263179</v>
      </c>
      <c r="N417" s="1058">
        <f t="shared" si="49"/>
        <v>0</v>
      </c>
      <c r="O417" s="569">
        <v>0</v>
      </c>
      <c r="P417" s="560">
        <v>0</v>
      </c>
      <c r="Q417" s="570">
        <v>15.750111043084715</v>
      </c>
      <c r="R417" s="571">
        <v>497.25693569104811</v>
      </c>
      <c r="S417" s="1075">
        <f t="shared" si="50"/>
        <v>497.25693569104811</v>
      </c>
      <c r="T417" s="1075">
        <f t="shared" si="48"/>
        <v>0</v>
      </c>
    </row>
    <row r="418" spans="1:20" ht="15.75" x14ac:dyDescent="0.25">
      <c r="A418" s="639" t="s">
        <v>137</v>
      </c>
      <c r="B418" s="639"/>
      <c r="C418" s="724" t="s">
        <v>1116</v>
      </c>
      <c r="D418" s="549">
        <v>67.190069747061855</v>
      </c>
      <c r="E418" s="550">
        <v>134.9083444376418</v>
      </c>
      <c r="F418" s="551">
        <v>4.1055929700723874</v>
      </c>
      <c r="G418" s="560">
        <v>12.37680219925331</v>
      </c>
      <c r="H418" s="566">
        <v>218.58080935402936</v>
      </c>
      <c r="I418" s="567">
        <v>171.4505228028475</v>
      </c>
      <c r="J418" s="560">
        <v>0</v>
      </c>
      <c r="K418" s="568">
        <v>0</v>
      </c>
      <c r="L418" s="560">
        <v>0</v>
      </c>
      <c r="M418" s="1057">
        <f t="shared" si="49"/>
        <v>171.4505228028475</v>
      </c>
      <c r="N418" s="1058">
        <f t="shared" si="49"/>
        <v>0</v>
      </c>
      <c r="O418" s="569">
        <v>0</v>
      </c>
      <c r="P418" s="560">
        <v>0</v>
      </c>
      <c r="Q418" s="570">
        <v>12.37680219925331</v>
      </c>
      <c r="R418" s="571">
        <v>390.03133215687683</v>
      </c>
      <c r="S418" s="1075">
        <f t="shared" si="50"/>
        <v>390.03133215687683</v>
      </c>
      <c r="T418" s="1075">
        <f t="shared" si="48"/>
        <v>0</v>
      </c>
    </row>
    <row r="419" spans="1:20" ht="15.75" x14ac:dyDescent="0.25">
      <c r="A419" s="639" t="s">
        <v>138</v>
      </c>
      <c r="B419" s="639"/>
      <c r="C419" s="724" t="s">
        <v>1116</v>
      </c>
      <c r="D419" s="549">
        <v>56.181798537832677</v>
      </c>
      <c r="E419" s="550">
        <v>163.26334617831719</v>
      </c>
      <c r="F419" s="551">
        <v>5.8342636943133934</v>
      </c>
      <c r="G419" s="560">
        <v>13.517244690940084</v>
      </c>
      <c r="H419" s="566">
        <v>238.79665310140334</v>
      </c>
      <c r="I419" s="567">
        <v>160.04609788597975</v>
      </c>
      <c r="J419" s="560">
        <v>9.6037262457833634</v>
      </c>
      <c r="K419" s="568">
        <v>0</v>
      </c>
      <c r="L419" s="560">
        <v>0</v>
      </c>
      <c r="M419" s="1057">
        <f t="shared" si="49"/>
        <v>160.04609788597975</v>
      </c>
      <c r="N419" s="1058">
        <f t="shared" si="49"/>
        <v>9.6037262457833634</v>
      </c>
      <c r="O419" s="569">
        <v>0</v>
      </c>
      <c r="P419" s="560">
        <v>0</v>
      </c>
      <c r="Q419" s="570">
        <v>23.120970936723445</v>
      </c>
      <c r="R419" s="571">
        <v>408.44647723316643</v>
      </c>
      <c r="S419" s="1075">
        <f t="shared" si="50"/>
        <v>408.44647723316643</v>
      </c>
      <c r="T419" s="1075">
        <f t="shared" si="48"/>
        <v>0</v>
      </c>
    </row>
    <row r="420" spans="1:20" ht="16.5" thickBot="1" x14ac:dyDescent="0.3">
      <c r="A420" s="640" t="s">
        <v>139</v>
      </c>
      <c r="B420" s="652"/>
      <c r="C420" s="807" t="s">
        <v>1116</v>
      </c>
      <c r="D420" s="549">
        <v>40.743808597735921</v>
      </c>
      <c r="E420" s="550">
        <v>133.46778550077431</v>
      </c>
      <c r="F420" s="551">
        <v>6.4344965846748536</v>
      </c>
      <c r="G420" s="560">
        <v>10.840205999927971</v>
      </c>
      <c r="H420" s="566">
        <v>191.48629668311307</v>
      </c>
      <c r="I420" s="567">
        <v>238.52054597183707</v>
      </c>
      <c r="J420" s="560">
        <v>0</v>
      </c>
      <c r="K420" s="568">
        <v>0</v>
      </c>
      <c r="L420" s="560">
        <v>0</v>
      </c>
      <c r="M420" s="1057">
        <f t="shared" si="49"/>
        <v>238.52054597183707</v>
      </c>
      <c r="N420" s="1058">
        <f t="shared" si="49"/>
        <v>0</v>
      </c>
      <c r="O420" s="569">
        <v>0</v>
      </c>
      <c r="P420" s="560">
        <v>0</v>
      </c>
      <c r="Q420" s="570">
        <v>10.840205999927971</v>
      </c>
      <c r="R420" s="571">
        <v>430.00684265495011</v>
      </c>
      <c r="S420" s="1075">
        <f t="shared" si="50"/>
        <v>430.00684265495011</v>
      </c>
      <c r="T420" s="1075">
        <f t="shared" si="48"/>
        <v>0</v>
      </c>
    </row>
    <row r="421" spans="1:20" ht="15.75" x14ac:dyDescent="0.25">
      <c r="A421" s="630" t="s">
        <v>869</v>
      </c>
      <c r="B421" s="754"/>
      <c r="C421" s="754" t="s">
        <v>1118</v>
      </c>
      <c r="D421" s="549">
        <v>0</v>
      </c>
      <c r="E421" s="550">
        <v>135.32844161323851</v>
      </c>
      <c r="F421" s="551">
        <v>0</v>
      </c>
      <c r="G421" s="560">
        <v>12.179559745191469</v>
      </c>
      <c r="H421" s="566">
        <v>147.50800135842996</v>
      </c>
      <c r="I421" s="567">
        <v>0</v>
      </c>
      <c r="J421" s="560">
        <v>0</v>
      </c>
      <c r="K421" s="568">
        <v>143.56135060872072</v>
      </c>
      <c r="L421" s="560">
        <v>27.276656615656936</v>
      </c>
      <c r="M421" s="1057">
        <f t="shared" si="49"/>
        <v>143.56135060872072</v>
      </c>
      <c r="N421" s="1058">
        <f t="shared" si="49"/>
        <v>27.276656615656936</v>
      </c>
      <c r="O421" s="569">
        <v>0</v>
      </c>
      <c r="P421" s="560">
        <v>0</v>
      </c>
      <c r="Q421" s="570">
        <v>39.456216360848401</v>
      </c>
      <c r="R421" s="571">
        <v>318.3460085828076</v>
      </c>
      <c r="S421" s="1075">
        <f t="shared" si="50"/>
        <v>318.3460085828076</v>
      </c>
      <c r="T421" s="1075">
        <f t="shared" si="48"/>
        <v>0</v>
      </c>
    </row>
    <row r="422" spans="1:20" ht="15.75" x14ac:dyDescent="0.25">
      <c r="A422" s="630" t="s">
        <v>189</v>
      </c>
      <c r="B422" s="754"/>
      <c r="C422" s="754" t="s">
        <v>1118</v>
      </c>
      <c r="D422" s="549">
        <v>0</v>
      </c>
      <c r="E422" s="550">
        <v>164.65817990964382</v>
      </c>
      <c r="F422" s="551">
        <v>0</v>
      </c>
      <c r="G422" s="560">
        <v>14.819236191867946</v>
      </c>
      <c r="H422" s="566">
        <v>179.47741610151178</v>
      </c>
      <c r="I422" s="567">
        <v>0</v>
      </c>
      <c r="J422" s="560">
        <v>0</v>
      </c>
      <c r="K422" s="568">
        <v>92.620226199174652</v>
      </c>
      <c r="L422" s="560">
        <v>17.597842977843186</v>
      </c>
      <c r="M422" s="1057">
        <f t="shared" si="49"/>
        <v>92.620226199174652</v>
      </c>
      <c r="N422" s="1058">
        <f t="shared" si="49"/>
        <v>17.597842977843186</v>
      </c>
      <c r="O422" s="569">
        <v>0</v>
      </c>
      <c r="P422" s="560">
        <v>0</v>
      </c>
      <c r="Q422" s="570">
        <v>32.41707916971113</v>
      </c>
      <c r="R422" s="571">
        <v>289.69548527852959</v>
      </c>
      <c r="S422" s="1075">
        <f t="shared" si="50"/>
        <v>289.69548527852959</v>
      </c>
      <c r="T422" s="1075">
        <f t="shared" si="48"/>
        <v>0</v>
      </c>
    </row>
    <row r="423" spans="1:20" ht="15.75" x14ac:dyDescent="0.25">
      <c r="A423" s="630" t="s">
        <v>190</v>
      </c>
      <c r="B423" s="754"/>
      <c r="C423" s="754" t="s">
        <v>1118</v>
      </c>
      <c r="D423" s="549">
        <v>0</v>
      </c>
      <c r="E423" s="550">
        <v>191.41513414496094</v>
      </c>
      <c r="F423" s="551">
        <v>0</v>
      </c>
      <c r="G423" s="560">
        <v>17.227362073046486</v>
      </c>
      <c r="H423" s="566">
        <v>208.64249621800744</v>
      </c>
      <c r="I423" s="567">
        <v>0</v>
      </c>
      <c r="J423" s="560">
        <v>0</v>
      </c>
      <c r="K423" s="568">
        <v>132.2411007399327</v>
      </c>
      <c r="L423" s="560">
        <v>25.125809140587211</v>
      </c>
      <c r="M423" s="1057">
        <f t="shared" si="49"/>
        <v>132.2411007399327</v>
      </c>
      <c r="N423" s="1058">
        <f t="shared" si="49"/>
        <v>25.125809140587211</v>
      </c>
      <c r="O423" s="569">
        <v>0</v>
      </c>
      <c r="P423" s="560">
        <v>0</v>
      </c>
      <c r="Q423" s="570">
        <v>42.353171213633701</v>
      </c>
      <c r="R423" s="571">
        <v>366.00940609852734</v>
      </c>
      <c r="S423" s="1075">
        <f t="shared" si="50"/>
        <v>366.00940609852734</v>
      </c>
      <c r="T423" s="1075">
        <f t="shared" si="48"/>
        <v>0</v>
      </c>
    </row>
    <row r="424" spans="1:20" ht="15.75" x14ac:dyDescent="0.25">
      <c r="A424" s="631" t="s">
        <v>191</v>
      </c>
      <c r="B424" s="754"/>
      <c r="C424" s="754" t="s">
        <v>1118</v>
      </c>
      <c r="D424" s="549">
        <v>0</v>
      </c>
      <c r="E424" s="550">
        <v>146.64869148202655</v>
      </c>
      <c r="F424" s="551">
        <v>0</v>
      </c>
      <c r="G424" s="560">
        <v>13.198382233382388</v>
      </c>
      <c r="H424" s="566">
        <v>159.84707371540892</v>
      </c>
      <c r="I424" s="567">
        <v>0</v>
      </c>
      <c r="J424" s="560">
        <v>0</v>
      </c>
      <c r="K424" s="568">
        <v>146.1341346698089</v>
      </c>
      <c r="L424" s="560">
        <v>27.76548558726369</v>
      </c>
      <c r="M424" s="1057">
        <f t="shared" si="49"/>
        <v>146.1341346698089</v>
      </c>
      <c r="N424" s="1058">
        <f t="shared" si="49"/>
        <v>27.76548558726369</v>
      </c>
      <c r="O424" s="569">
        <v>0</v>
      </c>
      <c r="P424" s="560">
        <v>0</v>
      </c>
      <c r="Q424" s="570">
        <v>40.96386782064608</v>
      </c>
      <c r="R424" s="571">
        <v>333.74669397248152</v>
      </c>
      <c r="S424" s="1075">
        <f t="shared" si="50"/>
        <v>333.74669397248152</v>
      </c>
      <c r="T424" s="1075">
        <f t="shared" si="48"/>
        <v>0</v>
      </c>
    </row>
    <row r="425" spans="1:20" ht="15.75" x14ac:dyDescent="0.25">
      <c r="A425" s="631" t="s">
        <v>218</v>
      </c>
      <c r="B425" s="754"/>
      <c r="C425" s="754" t="s">
        <v>1118</v>
      </c>
      <c r="D425" s="549">
        <v>0</v>
      </c>
      <c r="E425" s="550">
        <v>206.85183851149006</v>
      </c>
      <c r="F425" s="551">
        <v>0</v>
      </c>
      <c r="G425" s="560">
        <v>18.616665466034107</v>
      </c>
      <c r="H425" s="566">
        <v>225.46850397752416</v>
      </c>
      <c r="I425" s="567">
        <v>0</v>
      </c>
      <c r="J425" s="560">
        <v>0</v>
      </c>
      <c r="K425" s="568">
        <v>124.52274855666815</v>
      </c>
      <c r="L425" s="560">
        <v>23.659322225766946</v>
      </c>
      <c r="M425" s="1057">
        <f t="shared" si="49"/>
        <v>124.52274855666815</v>
      </c>
      <c r="N425" s="1058">
        <f t="shared" si="49"/>
        <v>23.659322225766946</v>
      </c>
      <c r="O425" s="569">
        <v>0</v>
      </c>
      <c r="P425" s="560">
        <v>0</v>
      </c>
      <c r="Q425" s="570">
        <v>42.275987691801049</v>
      </c>
      <c r="R425" s="571">
        <v>373.65057475995928</v>
      </c>
      <c r="S425" s="1075">
        <f t="shared" si="50"/>
        <v>373.65057475995928</v>
      </c>
      <c r="T425" s="1075">
        <f t="shared" si="48"/>
        <v>0</v>
      </c>
    </row>
    <row r="426" spans="1:20" ht="15.75" x14ac:dyDescent="0.25">
      <c r="A426" s="632" t="s">
        <v>219</v>
      </c>
      <c r="B426" s="925"/>
      <c r="C426" s="754" t="s">
        <v>1118</v>
      </c>
      <c r="D426" s="549">
        <v>0</v>
      </c>
      <c r="E426" s="550">
        <v>158.48349816303218</v>
      </c>
      <c r="F426" s="551">
        <v>0</v>
      </c>
      <c r="G426" s="560">
        <v>14.263514834672897</v>
      </c>
      <c r="H426" s="566">
        <v>172.74701299770507</v>
      </c>
      <c r="I426" s="567">
        <v>0</v>
      </c>
      <c r="J426" s="560">
        <v>0</v>
      </c>
      <c r="K426" s="568">
        <v>109.60060100235667</v>
      </c>
      <c r="L426" s="560">
        <v>20.824114190447766</v>
      </c>
      <c r="M426" s="1057">
        <f t="shared" si="49"/>
        <v>109.60060100235667</v>
      </c>
      <c r="N426" s="1058">
        <f t="shared" si="49"/>
        <v>20.824114190447766</v>
      </c>
      <c r="O426" s="569">
        <v>0</v>
      </c>
      <c r="P426" s="560">
        <v>0</v>
      </c>
      <c r="Q426" s="570">
        <v>35.087629025120663</v>
      </c>
      <c r="R426" s="571">
        <v>303.1717281905095</v>
      </c>
      <c r="S426" s="1075">
        <f t="shared" si="50"/>
        <v>303.1717281905095</v>
      </c>
      <c r="T426" s="1075">
        <f t="shared" si="48"/>
        <v>0</v>
      </c>
    </row>
    <row r="427" spans="1:20" ht="15.75" x14ac:dyDescent="0.25">
      <c r="A427" s="632" t="s">
        <v>513</v>
      </c>
      <c r="B427" s="925"/>
      <c r="C427" s="754" t="s">
        <v>1118</v>
      </c>
      <c r="D427" s="549">
        <v>0</v>
      </c>
      <c r="E427" s="550">
        <v>210.45373619701351</v>
      </c>
      <c r="F427" s="551">
        <v>0</v>
      </c>
      <c r="G427" s="560">
        <v>18.940836257731217</v>
      </c>
      <c r="H427" s="566">
        <v>229.39457245474472</v>
      </c>
      <c r="I427" s="567">
        <v>0</v>
      </c>
      <c r="J427" s="560">
        <v>0</v>
      </c>
      <c r="K427" s="568">
        <v>186.78412283500222</v>
      </c>
      <c r="L427" s="560">
        <v>35.488983338650421</v>
      </c>
      <c r="M427" s="1057">
        <f t="shared" si="49"/>
        <v>186.78412283500222</v>
      </c>
      <c r="N427" s="1058">
        <f t="shared" si="49"/>
        <v>35.488983338650421</v>
      </c>
      <c r="O427" s="569">
        <v>0</v>
      </c>
      <c r="P427" s="560">
        <v>0</v>
      </c>
      <c r="Q427" s="570">
        <v>54.429819596381634</v>
      </c>
      <c r="R427" s="571">
        <v>451.66767862839737</v>
      </c>
      <c r="S427" s="1075">
        <f t="shared" si="50"/>
        <v>451.66767862839737</v>
      </c>
      <c r="T427" s="1075">
        <f t="shared" ref="T427:T490" si="51">R427-S427</f>
        <v>0</v>
      </c>
    </row>
    <row r="428" spans="1:20" ht="15.75" x14ac:dyDescent="0.25">
      <c r="A428" s="632" t="s">
        <v>514</v>
      </c>
      <c r="B428" s="925"/>
      <c r="C428" s="754" t="s">
        <v>1118</v>
      </c>
      <c r="D428" s="549">
        <v>0</v>
      </c>
      <c r="E428" s="550">
        <v>164.65817990964382</v>
      </c>
      <c r="F428" s="551">
        <v>0</v>
      </c>
      <c r="G428" s="560">
        <v>14.819236191867946</v>
      </c>
      <c r="H428" s="566">
        <v>179.47741610151178</v>
      </c>
      <c r="I428" s="567">
        <v>0</v>
      </c>
      <c r="J428" s="560">
        <v>0</v>
      </c>
      <c r="K428" s="568">
        <v>165.17273672186147</v>
      </c>
      <c r="L428" s="560">
        <v>31.38281997715368</v>
      </c>
      <c r="M428" s="1057">
        <f t="shared" si="49"/>
        <v>165.17273672186147</v>
      </c>
      <c r="N428" s="1058">
        <f t="shared" si="49"/>
        <v>31.38281997715368</v>
      </c>
      <c r="O428" s="569">
        <v>0</v>
      </c>
      <c r="P428" s="560">
        <v>0</v>
      </c>
      <c r="Q428" s="570">
        <v>46.202056169021624</v>
      </c>
      <c r="R428" s="571">
        <v>376.03297280052692</v>
      </c>
      <c r="S428" s="1075">
        <f t="shared" si="50"/>
        <v>376.03297280052692</v>
      </c>
      <c r="T428" s="1075">
        <f t="shared" si="51"/>
        <v>0</v>
      </c>
    </row>
    <row r="429" spans="1:20" ht="15.75" x14ac:dyDescent="0.25">
      <c r="A429" s="632" t="s">
        <v>515</v>
      </c>
      <c r="B429" s="925"/>
      <c r="C429" s="754" t="s">
        <v>1118</v>
      </c>
      <c r="D429" s="549">
        <v>0</v>
      </c>
      <c r="E429" s="550">
        <v>190.90057733274332</v>
      </c>
      <c r="F429" s="551">
        <v>0</v>
      </c>
      <c r="G429" s="560">
        <v>17.181051959946899</v>
      </c>
      <c r="H429" s="566">
        <v>208.08162929269022</v>
      </c>
      <c r="I429" s="567">
        <v>0</v>
      </c>
      <c r="J429" s="560">
        <v>0</v>
      </c>
      <c r="K429" s="568">
        <v>142.0176801720678</v>
      </c>
      <c r="L429" s="560">
        <v>26.98335923269288</v>
      </c>
      <c r="M429" s="1057">
        <f t="shared" si="49"/>
        <v>142.0176801720678</v>
      </c>
      <c r="N429" s="1058">
        <f t="shared" si="49"/>
        <v>26.98335923269288</v>
      </c>
      <c r="O429" s="569">
        <v>0</v>
      </c>
      <c r="P429" s="560">
        <v>0</v>
      </c>
      <c r="Q429" s="570">
        <v>44.164411192639776</v>
      </c>
      <c r="R429" s="571">
        <v>377.08266869745086</v>
      </c>
      <c r="S429" s="1075">
        <f t="shared" si="50"/>
        <v>377.08266869745086</v>
      </c>
      <c r="T429" s="1075">
        <f t="shared" si="51"/>
        <v>0</v>
      </c>
    </row>
    <row r="430" spans="1:20" ht="15.75" x14ac:dyDescent="0.25">
      <c r="A430" s="632" t="s">
        <v>516</v>
      </c>
      <c r="B430" s="925"/>
      <c r="C430" s="754" t="s">
        <v>1118</v>
      </c>
      <c r="D430" s="549">
        <v>0</v>
      </c>
      <c r="E430" s="550">
        <v>238.75436086898355</v>
      </c>
      <c r="F430" s="551">
        <v>0</v>
      </c>
      <c r="G430" s="560">
        <v>21.487892478208519</v>
      </c>
      <c r="H430" s="566">
        <v>260.24225334719205</v>
      </c>
      <c r="I430" s="567">
        <v>0</v>
      </c>
      <c r="J430" s="560">
        <v>0</v>
      </c>
      <c r="K430" s="568">
        <v>133.78477117658562</v>
      </c>
      <c r="L430" s="560">
        <v>25.419106523551264</v>
      </c>
      <c r="M430" s="1057">
        <f t="shared" si="49"/>
        <v>133.78477117658562</v>
      </c>
      <c r="N430" s="1058">
        <f t="shared" si="49"/>
        <v>25.419106523551264</v>
      </c>
      <c r="O430" s="569">
        <v>0</v>
      </c>
      <c r="P430" s="560">
        <v>0</v>
      </c>
      <c r="Q430" s="570">
        <v>46.906999001759786</v>
      </c>
      <c r="R430" s="571">
        <v>419.44613104732889</v>
      </c>
      <c r="S430" s="1075">
        <f t="shared" si="50"/>
        <v>419.44613104732889</v>
      </c>
      <c r="T430" s="1075">
        <f t="shared" si="51"/>
        <v>0</v>
      </c>
    </row>
    <row r="431" spans="1:20" ht="15.75" x14ac:dyDescent="0.25">
      <c r="A431" s="632" t="s">
        <v>875</v>
      </c>
      <c r="B431" s="925"/>
      <c r="C431" s="754" t="s">
        <v>1118</v>
      </c>
      <c r="D431" s="549">
        <v>0</v>
      </c>
      <c r="E431" s="550">
        <v>180.09488427617293</v>
      </c>
      <c r="F431" s="551">
        <v>0</v>
      </c>
      <c r="G431" s="560">
        <v>16.208539584855565</v>
      </c>
      <c r="H431" s="566">
        <v>196.30342386102851</v>
      </c>
      <c r="I431" s="567">
        <v>0</v>
      </c>
      <c r="J431" s="560">
        <v>0</v>
      </c>
      <c r="K431" s="568">
        <v>152.82337322863819</v>
      </c>
      <c r="L431" s="560">
        <v>29.036440913441254</v>
      </c>
      <c r="M431" s="1057">
        <f t="shared" si="49"/>
        <v>152.82337322863819</v>
      </c>
      <c r="N431" s="1058">
        <f t="shared" si="49"/>
        <v>29.036440913441254</v>
      </c>
      <c r="O431" s="569">
        <v>0</v>
      </c>
      <c r="P431" s="560">
        <v>0</v>
      </c>
      <c r="Q431" s="570">
        <v>45.244980498296819</v>
      </c>
      <c r="R431" s="571">
        <v>378.16323800310795</v>
      </c>
      <c r="S431" s="1075">
        <f t="shared" si="50"/>
        <v>378.16323800310795</v>
      </c>
      <c r="T431" s="1075">
        <f t="shared" si="51"/>
        <v>0</v>
      </c>
    </row>
    <row r="432" spans="1:20" ht="15.75" x14ac:dyDescent="0.25">
      <c r="A432" s="632" t="s">
        <v>517</v>
      </c>
      <c r="B432" s="925"/>
      <c r="C432" s="754" t="s">
        <v>1118</v>
      </c>
      <c r="D432" s="549">
        <v>0</v>
      </c>
      <c r="E432" s="550">
        <v>177.00754340286713</v>
      </c>
      <c r="F432" s="551">
        <v>0</v>
      </c>
      <c r="G432" s="560">
        <v>15.930678906258041</v>
      </c>
      <c r="H432" s="566">
        <v>192.93822230912517</v>
      </c>
      <c r="I432" s="567">
        <v>0</v>
      </c>
      <c r="J432" s="560">
        <v>0</v>
      </c>
      <c r="K432" s="568">
        <v>153.85248685307346</v>
      </c>
      <c r="L432" s="560">
        <v>29.231972502083959</v>
      </c>
      <c r="M432" s="1057">
        <f t="shared" si="49"/>
        <v>153.85248685307346</v>
      </c>
      <c r="N432" s="1058">
        <f t="shared" si="49"/>
        <v>29.231972502083959</v>
      </c>
      <c r="O432" s="569">
        <v>0</v>
      </c>
      <c r="P432" s="560">
        <v>0</v>
      </c>
      <c r="Q432" s="570">
        <v>45.162651408342001</v>
      </c>
      <c r="R432" s="571">
        <v>376.02268166428257</v>
      </c>
      <c r="S432" s="1075">
        <f t="shared" si="50"/>
        <v>376.02268166428257</v>
      </c>
      <c r="T432" s="1075">
        <f t="shared" si="51"/>
        <v>0</v>
      </c>
    </row>
    <row r="433" spans="1:20" ht="15.75" x14ac:dyDescent="0.25">
      <c r="A433" s="632" t="s">
        <v>873</v>
      </c>
      <c r="B433" s="803"/>
      <c r="C433" s="803" t="s">
        <v>1118</v>
      </c>
      <c r="D433" s="549">
        <v>0</v>
      </c>
      <c r="E433" s="550">
        <v>196.56070226713732</v>
      </c>
      <c r="F433" s="551">
        <v>0</v>
      </c>
      <c r="G433" s="560">
        <v>17.690463204042359</v>
      </c>
      <c r="H433" s="566">
        <v>214.25116547117966</v>
      </c>
      <c r="I433" s="567">
        <v>0</v>
      </c>
      <c r="J433" s="560">
        <v>0</v>
      </c>
      <c r="K433" s="568">
        <v>78.212635457080822</v>
      </c>
      <c r="L433" s="560">
        <v>14.860400736845355</v>
      </c>
      <c r="M433" s="1057">
        <f t="shared" ref="M433:N488" si="52">I433+K433</f>
        <v>78.212635457080822</v>
      </c>
      <c r="N433" s="1058">
        <f t="shared" si="52"/>
        <v>14.860400736845355</v>
      </c>
      <c r="O433" s="569">
        <v>0</v>
      </c>
      <c r="P433" s="560">
        <v>0</v>
      </c>
      <c r="Q433" s="570">
        <v>32.550863940887716</v>
      </c>
      <c r="R433" s="571">
        <v>307.32420166510582</v>
      </c>
      <c r="S433" s="1075">
        <f t="shared" ref="S433:S488" si="53">H433+M433+N433+O433+P433</f>
        <v>307.32420166510582</v>
      </c>
      <c r="T433" s="1075">
        <f t="shared" si="51"/>
        <v>0</v>
      </c>
    </row>
    <row r="434" spans="1:20" ht="15.75" x14ac:dyDescent="0.25">
      <c r="A434" s="633" t="s">
        <v>520</v>
      </c>
      <c r="B434" s="803"/>
      <c r="C434" s="803" t="s">
        <v>1118</v>
      </c>
      <c r="D434" s="549">
        <v>0</v>
      </c>
      <c r="E434" s="550">
        <v>164.1436230974262</v>
      </c>
      <c r="F434" s="551">
        <v>0</v>
      </c>
      <c r="G434" s="560">
        <v>14.772926078768357</v>
      </c>
      <c r="H434" s="566">
        <v>178.91654917619456</v>
      </c>
      <c r="I434" s="567">
        <v>0</v>
      </c>
      <c r="J434" s="560">
        <v>0</v>
      </c>
      <c r="K434" s="568">
        <v>157.96894135081456</v>
      </c>
      <c r="L434" s="560">
        <v>30.014098856654762</v>
      </c>
      <c r="M434" s="1057">
        <f t="shared" si="52"/>
        <v>157.96894135081456</v>
      </c>
      <c r="N434" s="1058">
        <f t="shared" si="52"/>
        <v>30.014098856654762</v>
      </c>
      <c r="O434" s="569">
        <v>0</v>
      </c>
      <c r="P434" s="560">
        <v>0</v>
      </c>
      <c r="Q434" s="570">
        <v>44.787024935423119</v>
      </c>
      <c r="R434" s="571">
        <v>366.89958938366385</v>
      </c>
      <c r="S434" s="1075">
        <f t="shared" si="53"/>
        <v>366.89958938366385</v>
      </c>
      <c r="T434" s="1075">
        <f t="shared" si="51"/>
        <v>0</v>
      </c>
    </row>
    <row r="435" spans="1:20" ht="15.75" x14ac:dyDescent="0.25">
      <c r="A435" s="633" t="s">
        <v>597</v>
      </c>
      <c r="B435" s="803"/>
      <c r="C435" s="803" t="s">
        <v>1118</v>
      </c>
      <c r="D435" s="549">
        <v>0</v>
      </c>
      <c r="E435" s="550">
        <v>210.96829300923116</v>
      </c>
      <c r="F435" s="551">
        <v>0</v>
      </c>
      <c r="G435" s="560">
        <v>18.987146370830803</v>
      </c>
      <c r="H435" s="566">
        <v>229.95543938006196</v>
      </c>
      <c r="I435" s="567">
        <v>0</v>
      </c>
      <c r="J435" s="560">
        <v>0</v>
      </c>
      <c r="K435" s="568">
        <v>148.70691873089709</v>
      </c>
      <c r="L435" s="560">
        <v>28.254314558870444</v>
      </c>
      <c r="M435" s="1057">
        <f t="shared" si="52"/>
        <v>148.70691873089709</v>
      </c>
      <c r="N435" s="1058">
        <f t="shared" si="52"/>
        <v>28.254314558870444</v>
      </c>
      <c r="O435" s="569">
        <v>0</v>
      </c>
      <c r="P435" s="560">
        <v>0</v>
      </c>
      <c r="Q435" s="570">
        <v>47.241460929701248</v>
      </c>
      <c r="R435" s="571">
        <v>406.9166726698295</v>
      </c>
      <c r="S435" s="1075">
        <f t="shared" si="53"/>
        <v>406.9166726698295</v>
      </c>
      <c r="T435" s="1075">
        <f t="shared" si="51"/>
        <v>0</v>
      </c>
    </row>
    <row r="436" spans="1:20" ht="15.75" x14ac:dyDescent="0.25">
      <c r="A436" s="633" t="s">
        <v>860</v>
      </c>
      <c r="B436" s="803" t="s">
        <v>429</v>
      </c>
      <c r="C436" s="803" t="s">
        <v>1118</v>
      </c>
      <c r="D436" s="549">
        <v>0</v>
      </c>
      <c r="E436" s="550">
        <v>170.31830484403784</v>
      </c>
      <c r="F436" s="551">
        <v>0</v>
      </c>
      <c r="G436" s="560">
        <v>15.328647435963404</v>
      </c>
      <c r="H436" s="566">
        <v>185.64695228000124</v>
      </c>
      <c r="I436" s="567">
        <v>0</v>
      </c>
      <c r="J436" s="560">
        <v>0</v>
      </c>
      <c r="K436" s="568">
        <v>89.532885325868833</v>
      </c>
      <c r="L436" s="560">
        <v>17.011248211915078</v>
      </c>
      <c r="M436" s="1057">
        <f t="shared" si="52"/>
        <v>89.532885325868833</v>
      </c>
      <c r="N436" s="1058">
        <f t="shared" si="52"/>
        <v>17.011248211915078</v>
      </c>
      <c r="O436" s="569">
        <v>0</v>
      </c>
      <c r="P436" s="560">
        <v>0</v>
      </c>
      <c r="Q436" s="570">
        <v>32.339895647878478</v>
      </c>
      <c r="R436" s="571">
        <v>292.19108581778517</v>
      </c>
      <c r="S436" s="1075">
        <f t="shared" si="53"/>
        <v>292.19108581778517</v>
      </c>
      <c r="T436" s="1075">
        <f t="shared" si="51"/>
        <v>0</v>
      </c>
    </row>
    <row r="437" spans="1:20" ht="15.75" x14ac:dyDescent="0.25">
      <c r="A437" s="633" t="s">
        <v>769</v>
      </c>
      <c r="B437" s="803"/>
      <c r="C437" s="803" t="s">
        <v>1118</v>
      </c>
      <c r="D437" s="549">
        <v>0</v>
      </c>
      <c r="E437" s="550">
        <v>179.06577065173767</v>
      </c>
      <c r="F437" s="551">
        <v>0</v>
      </c>
      <c r="G437" s="560">
        <v>16.115919358656392</v>
      </c>
      <c r="H437" s="566">
        <v>195.18169001039405</v>
      </c>
      <c r="I437" s="567">
        <v>0</v>
      </c>
      <c r="J437" s="560">
        <v>0</v>
      </c>
      <c r="K437" s="568">
        <v>142.0176801720678</v>
      </c>
      <c r="L437" s="560">
        <v>26.98335923269288</v>
      </c>
      <c r="M437" s="1057">
        <f t="shared" si="52"/>
        <v>142.0176801720678</v>
      </c>
      <c r="N437" s="1058">
        <f t="shared" si="52"/>
        <v>26.98335923269288</v>
      </c>
      <c r="O437" s="569">
        <v>0</v>
      </c>
      <c r="P437" s="560">
        <v>0</v>
      </c>
      <c r="Q437" s="570">
        <v>43.099278591349275</v>
      </c>
      <c r="R437" s="571">
        <v>364.18272941515471</v>
      </c>
      <c r="S437" s="1075">
        <f t="shared" si="53"/>
        <v>364.18272941515471</v>
      </c>
      <c r="T437" s="1075">
        <f t="shared" si="51"/>
        <v>0</v>
      </c>
    </row>
    <row r="438" spans="1:20" ht="15.75" x14ac:dyDescent="0.25">
      <c r="A438" s="633" t="s">
        <v>771</v>
      </c>
      <c r="B438" s="803"/>
      <c r="C438" s="803" t="s">
        <v>1118</v>
      </c>
      <c r="D438" s="549">
        <v>0</v>
      </c>
      <c r="E438" s="550">
        <v>183.69678196169639</v>
      </c>
      <c r="F438" s="551">
        <v>0</v>
      </c>
      <c r="G438" s="560">
        <v>16.532710376552679</v>
      </c>
      <c r="H438" s="566">
        <v>200.22949233824906</v>
      </c>
      <c r="I438" s="567">
        <v>0</v>
      </c>
      <c r="J438" s="560">
        <v>0</v>
      </c>
      <c r="K438" s="568">
        <v>125.55186218110342</v>
      </c>
      <c r="L438" s="560">
        <v>23.854853814409651</v>
      </c>
      <c r="M438" s="1057">
        <f t="shared" si="52"/>
        <v>125.55186218110342</v>
      </c>
      <c r="N438" s="1058">
        <f t="shared" si="52"/>
        <v>23.854853814409651</v>
      </c>
      <c r="O438" s="569">
        <v>0</v>
      </c>
      <c r="P438" s="560">
        <v>0</v>
      </c>
      <c r="Q438" s="570">
        <v>40.38756419096233</v>
      </c>
      <c r="R438" s="571">
        <v>349.63620833376211</v>
      </c>
      <c r="S438" s="1075">
        <f t="shared" si="53"/>
        <v>349.63620833376211</v>
      </c>
      <c r="T438" s="1075">
        <f t="shared" si="51"/>
        <v>0</v>
      </c>
    </row>
    <row r="439" spans="1:20" ht="15.75" x14ac:dyDescent="0.25">
      <c r="A439" s="633" t="s">
        <v>861</v>
      </c>
      <c r="B439" s="803"/>
      <c r="C439" s="803" t="s">
        <v>1118</v>
      </c>
      <c r="D439" s="549">
        <v>0</v>
      </c>
      <c r="E439" s="550">
        <v>200.16259995266077</v>
      </c>
      <c r="F439" s="551">
        <v>0</v>
      </c>
      <c r="G439" s="560">
        <v>18.014633995739469</v>
      </c>
      <c r="H439" s="566">
        <v>218.17723394840024</v>
      </c>
      <c r="I439" s="567">
        <v>0</v>
      </c>
      <c r="J439" s="560">
        <v>0</v>
      </c>
      <c r="K439" s="568">
        <v>176.49298659064948</v>
      </c>
      <c r="L439" s="560">
        <v>33.533667452223405</v>
      </c>
      <c r="M439" s="1057">
        <f t="shared" si="52"/>
        <v>176.49298659064948</v>
      </c>
      <c r="N439" s="1058">
        <f t="shared" si="52"/>
        <v>33.533667452223405</v>
      </c>
      <c r="O439" s="569">
        <v>0</v>
      </c>
      <c r="P439" s="560">
        <v>0</v>
      </c>
      <c r="Q439" s="570">
        <v>51.548301447962871</v>
      </c>
      <c r="R439" s="571">
        <v>428.20388799127318</v>
      </c>
      <c r="S439" s="1075">
        <f t="shared" si="53"/>
        <v>428.20388799127318</v>
      </c>
      <c r="T439" s="1075">
        <f t="shared" si="51"/>
        <v>0</v>
      </c>
    </row>
    <row r="440" spans="1:20" ht="15.75" x14ac:dyDescent="0.25">
      <c r="A440" s="633" t="s">
        <v>862</v>
      </c>
      <c r="B440" s="803"/>
      <c r="C440" s="803" t="s">
        <v>1118</v>
      </c>
      <c r="D440" s="549">
        <v>0</v>
      </c>
      <c r="E440" s="550">
        <v>212.51196344588408</v>
      </c>
      <c r="F440" s="551">
        <v>0</v>
      </c>
      <c r="G440" s="560">
        <v>19.126076710129567</v>
      </c>
      <c r="H440" s="566">
        <v>231.63804015601363</v>
      </c>
      <c r="I440" s="567">
        <v>0</v>
      </c>
      <c r="J440" s="560">
        <v>0</v>
      </c>
      <c r="K440" s="568">
        <v>133.78477117658562</v>
      </c>
      <c r="L440" s="560">
        <v>25.419106523551264</v>
      </c>
      <c r="M440" s="1057">
        <f t="shared" si="52"/>
        <v>133.78477117658562</v>
      </c>
      <c r="N440" s="1058">
        <f t="shared" si="52"/>
        <v>25.419106523551264</v>
      </c>
      <c r="O440" s="569">
        <v>0</v>
      </c>
      <c r="P440" s="560">
        <v>0</v>
      </c>
      <c r="Q440" s="570">
        <v>44.545183233680831</v>
      </c>
      <c r="R440" s="571">
        <v>390.84191785615053</v>
      </c>
      <c r="S440" s="1075">
        <f t="shared" si="53"/>
        <v>390.84191785615053</v>
      </c>
      <c r="T440" s="1075">
        <f t="shared" si="51"/>
        <v>0</v>
      </c>
    </row>
    <row r="441" spans="1:20" ht="15.75" x14ac:dyDescent="0.25">
      <c r="A441" s="633" t="s">
        <v>863</v>
      </c>
      <c r="B441" s="803"/>
      <c r="C441" s="803" t="s">
        <v>1118</v>
      </c>
      <c r="D441" s="549">
        <v>0</v>
      </c>
      <c r="E441" s="550">
        <v>183.18222514947877</v>
      </c>
      <c r="F441" s="551">
        <v>0</v>
      </c>
      <c r="G441" s="560">
        <v>16.486400263453088</v>
      </c>
      <c r="H441" s="566">
        <v>199.66862541293185</v>
      </c>
      <c r="I441" s="567">
        <v>0</v>
      </c>
      <c r="J441" s="560">
        <v>0</v>
      </c>
      <c r="K441" s="568">
        <v>133.27021436436797</v>
      </c>
      <c r="L441" s="560">
        <v>25.321340729229917</v>
      </c>
      <c r="M441" s="1057">
        <f t="shared" si="52"/>
        <v>133.27021436436797</v>
      </c>
      <c r="N441" s="1058">
        <f t="shared" si="52"/>
        <v>25.321340729229917</v>
      </c>
      <c r="O441" s="569">
        <v>0</v>
      </c>
      <c r="P441" s="560">
        <v>0</v>
      </c>
      <c r="Q441" s="570">
        <v>41.807740992683009</v>
      </c>
      <c r="R441" s="571">
        <v>358.26018050652971</v>
      </c>
      <c r="S441" s="1075">
        <f t="shared" si="53"/>
        <v>358.26018050652971</v>
      </c>
      <c r="T441" s="1075">
        <f t="shared" si="51"/>
        <v>0</v>
      </c>
    </row>
    <row r="442" spans="1:20" ht="15.75" x14ac:dyDescent="0.25">
      <c r="A442" s="633" t="s">
        <v>864</v>
      </c>
      <c r="B442" s="803"/>
      <c r="C442" s="803" t="s">
        <v>1118</v>
      </c>
      <c r="D442" s="549">
        <v>0</v>
      </c>
      <c r="E442" s="550">
        <v>183.18222514947877</v>
      </c>
      <c r="F442" s="551">
        <v>0</v>
      </c>
      <c r="G442" s="560">
        <v>16.486400263453088</v>
      </c>
      <c r="H442" s="566">
        <v>199.66862541293185</v>
      </c>
      <c r="I442" s="567">
        <v>0</v>
      </c>
      <c r="J442" s="560">
        <v>0</v>
      </c>
      <c r="K442" s="568">
        <v>156.42527091416164</v>
      </c>
      <c r="L442" s="560">
        <v>29.72080147369071</v>
      </c>
      <c r="M442" s="1057">
        <f t="shared" si="52"/>
        <v>156.42527091416164</v>
      </c>
      <c r="N442" s="1058">
        <f t="shared" si="52"/>
        <v>29.72080147369071</v>
      </c>
      <c r="O442" s="569">
        <v>0</v>
      </c>
      <c r="P442" s="560">
        <v>0</v>
      </c>
      <c r="Q442" s="570">
        <v>46.207201737143798</v>
      </c>
      <c r="R442" s="571">
        <v>385.81469780078419</v>
      </c>
      <c r="S442" s="1075">
        <f t="shared" si="53"/>
        <v>385.81469780078419</v>
      </c>
      <c r="T442" s="1075">
        <f t="shared" si="51"/>
        <v>0</v>
      </c>
    </row>
    <row r="443" spans="1:20" ht="15.75" x14ac:dyDescent="0.25">
      <c r="A443" s="633" t="s">
        <v>865</v>
      </c>
      <c r="B443" s="803"/>
      <c r="C443" s="803" t="s">
        <v>1118</v>
      </c>
      <c r="D443" s="549">
        <v>0</v>
      </c>
      <c r="E443" s="550">
        <v>178.55121383952002</v>
      </c>
      <c r="F443" s="551">
        <v>0</v>
      </c>
      <c r="G443" s="560">
        <v>16.069609245556801</v>
      </c>
      <c r="H443" s="566">
        <v>194.62082308507681</v>
      </c>
      <c r="I443" s="567">
        <v>0</v>
      </c>
      <c r="J443" s="560">
        <v>0</v>
      </c>
      <c r="K443" s="568">
        <v>132.2411007399327</v>
      </c>
      <c r="L443" s="560">
        <v>25.125809140587211</v>
      </c>
      <c r="M443" s="1057">
        <f t="shared" si="52"/>
        <v>132.2411007399327</v>
      </c>
      <c r="N443" s="1058">
        <f t="shared" si="52"/>
        <v>25.125809140587211</v>
      </c>
      <c r="O443" s="569">
        <v>0</v>
      </c>
      <c r="P443" s="560">
        <v>0</v>
      </c>
      <c r="Q443" s="570">
        <v>41.195418386144013</v>
      </c>
      <c r="R443" s="571">
        <v>351.98773296559671</v>
      </c>
      <c r="S443" s="1075">
        <f t="shared" si="53"/>
        <v>351.98773296559671</v>
      </c>
      <c r="T443" s="1075">
        <f t="shared" si="51"/>
        <v>0</v>
      </c>
    </row>
    <row r="444" spans="1:20" ht="15.75" x14ac:dyDescent="0.25">
      <c r="A444" s="633" t="s">
        <v>866</v>
      </c>
      <c r="B444" s="803"/>
      <c r="C444" s="803" t="s">
        <v>1118</v>
      </c>
      <c r="D444" s="549">
        <v>0</v>
      </c>
      <c r="E444" s="550">
        <v>209.42462257257824</v>
      </c>
      <c r="F444" s="551">
        <v>0</v>
      </c>
      <c r="G444" s="560">
        <v>18.848216031532044</v>
      </c>
      <c r="H444" s="566">
        <v>228.27283860411029</v>
      </c>
      <c r="I444" s="567">
        <v>0</v>
      </c>
      <c r="J444" s="560">
        <v>0</v>
      </c>
      <c r="K444" s="568">
        <v>116.28983956118596</v>
      </c>
      <c r="L444" s="560">
        <v>22.09506951662533</v>
      </c>
      <c r="M444" s="1057">
        <f t="shared" si="52"/>
        <v>116.28983956118596</v>
      </c>
      <c r="N444" s="1058">
        <f t="shared" si="52"/>
        <v>22.09506951662533</v>
      </c>
      <c r="O444" s="569">
        <v>0</v>
      </c>
      <c r="P444" s="560">
        <v>0</v>
      </c>
      <c r="Q444" s="570">
        <v>40.943285548157377</v>
      </c>
      <c r="R444" s="571">
        <v>366.65774768192159</v>
      </c>
      <c r="S444" s="1075">
        <f t="shared" si="53"/>
        <v>366.65774768192159</v>
      </c>
      <c r="T444" s="1075">
        <f t="shared" si="51"/>
        <v>0</v>
      </c>
    </row>
    <row r="445" spans="1:20" ht="15.75" x14ac:dyDescent="0.25">
      <c r="A445" s="633" t="s">
        <v>867</v>
      </c>
      <c r="B445" s="803"/>
      <c r="C445" s="803" t="s">
        <v>1118</v>
      </c>
      <c r="D445" s="549">
        <v>0</v>
      </c>
      <c r="E445" s="550">
        <v>162.59995266077328</v>
      </c>
      <c r="F445" s="551">
        <v>0</v>
      </c>
      <c r="G445" s="560">
        <v>14.633995739469595</v>
      </c>
      <c r="H445" s="566">
        <v>177.23394840024287</v>
      </c>
      <c r="I445" s="567">
        <v>0</v>
      </c>
      <c r="J445" s="560">
        <v>0</v>
      </c>
      <c r="K445" s="568">
        <v>158.99805497524983</v>
      </c>
      <c r="L445" s="560">
        <v>30.209630445297467</v>
      </c>
      <c r="M445" s="1057">
        <f t="shared" si="52"/>
        <v>158.99805497524983</v>
      </c>
      <c r="N445" s="1058">
        <f t="shared" si="52"/>
        <v>30.209630445297467</v>
      </c>
      <c r="O445" s="569">
        <v>0</v>
      </c>
      <c r="P445" s="560">
        <v>0</v>
      </c>
      <c r="Q445" s="570">
        <v>44.843626184767061</v>
      </c>
      <c r="R445" s="571">
        <v>366.44163382079017</v>
      </c>
      <c r="S445" s="1075">
        <f t="shared" si="53"/>
        <v>366.44163382079017</v>
      </c>
      <c r="T445" s="1075">
        <f t="shared" si="51"/>
        <v>0</v>
      </c>
    </row>
    <row r="446" spans="1:20" ht="15.75" x14ac:dyDescent="0.25">
      <c r="A446" s="633" t="s">
        <v>868</v>
      </c>
      <c r="B446" s="803"/>
      <c r="C446" s="803" t="s">
        <v>1118</v>
      </c>
      <c r="D446" s="549">
        <v>0</v>
      </c>
      <c r="E446" s="550">
        <v>165.17273672186147</v>
      </c>
      <c r="F446" s="551">
        <v>0</v>
      </c>
      <c r="G446" s="560">
        <v>14.865546304967532</v>
      </c>
      <c r="H446" s="566">
        <v>180.03828302682899</v>
      </c>
      <c r="I446" s="567">
        <v>0</v>
      </c>
      <c r="J446" s="560">
        <v>0</v>
      </c>
      <c r="K446" s="568">
        <v>109.60060100235667</v>
      </c>
      <c r="L446" s="560">
        <v>20.824114190447766</v>
      </c>
      <c r="M446" s="1057">
        <f t="shared" si="52"/>
        <v>109.60060100235667</v>
      </c>
      <c r="N446" s="1058">
        <f t="shared" si="52"/>
        <v>20.824114190447766</v>
      </c>
      <c r="O446" s="569">
        <v>0</v>
      </c>
      <c r="P446" s="560">
        <v>0</v>
      </c>
      <c r="Q446" s="570">
        <v>35.689660495415296</v>
      </c>
      <c r="R446" s="571">
        <v>310.46299821963339</v>
      </c>
      <c r="S446" s="1075">
        <f t="shared" si="53"/>
        <v>310.46299821963339</v>
      </c>
      <c r="T446" s="1075">
        <f t="shared" si="51"/>
        <v>0</v>
      </c>
    </row>
    <row r="447" spans="1:20" ht="15.75" x14ac:dyDescent="0.25">
      <c r="A447" s="633" t="s">
        <v>870</v>
      </c>
      <c r="B447" s="803"/>
      <c r="C447" s="803" t="s">
        <v>1118</v>
      </c>
      <c r="D447" s="549">
        <v>0</v>
      </c>
      <c r="E447" s="550">
        <v>217.1429747558428</v>
      </c>
      <c r="F447" s="551">
        <v>0</v>
      </c>
      <c r="G447" s="560">
        <v>19.54286772802585</v>
      </c>
      <c r="H447" s="566">
        <v>236.68584248386864</v>
      </c>
      <c r="I447" s="567">
        <v>0</v>
      </c>
      <c r="J447" s="560">
        <v>0</v>
      </c>
      <c r="K447" s="568">
        <v>112.17338506344485</v>
      </c>
      <c r="L447" s="560">
        <v>21.312943162054523</v>
      </c>
      <c r="M447" s="1057">
        <f t="shared" si="52"/>
        <v>112.17338506344485</v>
      </c>
      <c r="N447" s="1058">
        <f t="shared" si="52"/>
        <v>21.312943162054523</v>
      </c>
      <c r="O447" s="569">
        <v>0</v>
      </c>
      <c r="P447" s="560">
        <v>0</v>
      </c>
      <c r="Q447" s="570">
        <v>40.855810890080377</v>
      </c>
      <c r="R447" s="571">
        <v>370.172170709368</v>
      </c>
      <c r="S447" s="1075">
        <f t="shared" si="53"/>
        <v>370.172170709368</v>
      </c>
      <c r="T447" s="1075">
        <f t="shared" si="51"/>
        <v>0</v>
      </c>
    </row>
    <row r="448" spans="1:20" ht="15.75" x14ac:dyDescent="0.25">
      <c r="A448" s="633" t="s">
        <v>871</v>
      </c>
      <c r="B448" s="803"/>
      <c r="C448" s="803" t="s">
        <v>1118</v>
      </c>
      <c r="D448" s="549">
        <v>0</v>
      </c>
      <c r="E448" s="550">
        <v>189.87146370830803</v>
      </c>
      <c r="F448" s="551">
        <v>0</v>
      </c>
      <c r="G448" s="560">
        <v>17.088431733747726</v>
      </c>
      <c r="H448" s="566">
        <v>206.95989544205577</v>
      </c>
      <c r="I448" s="567">
        <v>0</v>
      </c>
      <c r="J448" s="560">
        <v>0</v>
      </c>
      <c r="K448" s="568">
        <v>104.4550328801803</v>
      </c>
      <c r="L448" s="560">
        <v>19.846456247234258</v>
      </c>
      <c r="M448" s="1057">
        <f t="shared" si="52"/>
        <v>104.4550328801803</v>
      </c>
      <c r="N448" s="1058">
        <f t="shared" si="52"/>
        <v>19.846456247234258</v>
      </c>
      <c r="O448" s="569">
        <v>0</v>
      </c>
      <c r="P448" s="560">
        <v>0</v>
      </c>
      <c r="Q448" s="570">
        <v>36.934887980981983</v>
      </c>
      <c r="R448" s="571">
        <v>331.26138456947029</v>
      </c>
      <c r="S448" s="1075">
        <f t="shared" si="53"/>
        <v>331.26138456947029</v>
      </c>
      <c r="T448" s="1075">
        <f t="shared" si="51"/>
        <v>0</v>
      </c>
    </row>
    <row r="449" spans="1:20" ht="15.75" x14ac:dyDescent="0.25">
      <c r="A449" s="633" t="s">
        <v>872</v>
      </c>
      <c r="B449" s="803"/>
      <c r="C449" s="803" t="s">
        <v>1118</v>
      </c>
      <c r="D449" s="549">
        <v>0</v>
      </c>
      <c r="E449" s="550">
        <v>207.36639532370771</v>
      </c>
      <c r="F449" s="551">
        <v>0</v>
      </c>
      <c r="G449" s="560">
        <v>18.662975579133693</v>
      </c>
      <c r="H449" s="566">
        <v>226.02937090284141</v>
      </c>
      <c r="I449" s="567">
        <v>0</v>
      </c>
      <c r="J449" s="560">
        <v>0</v>
      </c>
      <c r="K449" s="568">
        <v>114.74616912453304</v>
      </c>
      <c r="L449" s="560">
        <v>21.801772133661277</v>
      </c>
      <c r="M449" s="1057">
        <f t="shared" si="52"/>
        <v>114.74616912453304</v>
      </c>
      <c r="N449" s="1058">
        <f t="shared" si="52"/>
        <v>21.801772133661277</v>
      </c>
      <c r="O449" s="569">
        <v>0</v>
      </c>
      <c r="P449" s="560">
        <v>0</v>
      </c>
      <c r="Q449" s="570">
        <v>40.464747712794974</v>
      </c>
      <c r="R449" s="571">
        <v>362.57731216103576</v>
      </c>
      <c r="S449" s="1075">
        <f t="shared" si="53"/>
        <v>362.57731216103576</v>
      </c>
      <c r="T449" s="1075">
        <f t="shared" si="51"/>
        <v>0</v>
      </c>
    </row>
    <row r="450" spans="1:20" ht="15.75" x14ac:dyDescent="0.25">
      <c r="A450" s="633" t="s">
        <v>874</v>
      </c>
      <c r="B450" s="803"/>
      <c r="C450" s="803" t="s">
        <v>1118</v>
      </c>
      <c r="D450" s="549">
        <v>0</v>
      </c>
      <c r="E450" s="550">
        <v>196.0461454549197</v>
      </c>
      <c r="F450" s="551">
        <v>0</v>
      </c>
      <c r="G450" s="560">
        <v>17.644153090942773</v>
      </c>
      <c r="H450" s="566">
        <v>213.69029854586248</v>
      </c>
      <c r="I450" s="567">
        <v>0</v>
      </c>
      <c r="J450" s="560">
        <v>0</v>
      </c>
      <c r="K450" s="568">
        <v>184.72589558613168</v>
      </c>
      <c r="L450" s="560">
        <v>35.097920161365018</v>
      </c>
      <c r="M450" s="1057">
        <f t="shared" si="52"/>
        <v>184.72589558613168</v>
      </c>
      <c r="N450" s="1058">
        <f t="shared" si="52"/>
        <v>35.097920161365018</v>
      </c>
      <c r="O450" s="569">
        <v>0</v>
      </c>
      <c r="P450" s="560">
        <v>0</v>
      </c>
      <c r="Q450" s="570">
        <v>52.74207325230779</v>
      </c>
      <c r="R450" s="571">
        <v>433.51411429335923</v>
      </c>
      <c r="S450" s="1075">
        <f t="shared" si="53"/>
        <v>433.51411429335923</v>
      </c>
      <c r="T450" s="1075">
        <f t="shared" si="51"/>
        <v>0</v>
      </c>
    </row>
    <row r="451" spans="1:20" ht="16.5" thickBot="1" x14ac:dyDescent="0.3">
      <c r="A451" s="634" t="s">
        <v>598</v>
      </c>
      <c r="B451" s="803"/>
      <c r="C451" s="803" t="s">
        <v>1118</v>
      </c>
      <c r="D451" s="549">
        <v>0</v>
      </c>
      <c r="E451" s="550">
        <v>188.84235008387276</v>
      </c>
      <c r="F451" s="551">
        <v>0</v>
      </c>
      <c r="G451" s="560">
        <v>16.995811507548549</v>
      </c>
      <c r="H451" s="566">
        <v>205.83816159142131</v>
      </c>
      <c r="I451" s="567">
        <v>0</v>
      </c>
      <c r="J451" s="560">
        <v>0</v>
      </c>
      <c r="K451" s="568">
        <v>195.0170318304844</v>
      </c>
      <c r="L451" s="560">
        <v>37.053236047792041</v>
      </c>
      <c r="M451" s="1057">
        <f t="shared" si="52"/>
        <v>195.0170318304844</v>
      </c>
      <c r="N451" s="1058">
        <f t="shared" si="52"/>
        <v>37.053236047792041</v>
      </c>
      <c r="O451" s="569">
        <v>0</v>
      </c>
      <c r="P451" s="560">
        <v>0</v>
      </c>
      <c r="Q451" s="570">
        <v>54.049047555340593</v>
      </c>
      <c r="R451" s="571">
        <v>437.90842946969775</v>
      </c>
      <c r="S451" s="1075">
        <f t="shared" si="53"/>
        <v>437.90842946969775</v>
      </c>
      <c r="T451" s="1075">
        <f t="shared" si="51"/>
        <v>0</v>
      </c>
    </row>
    <row r="452" spans="1:20" ht="15.75" x14ac:dyDescent="0.25">
      <c r="A452" s="650" t="s">
        <v>887</v>
      </c>
      <c r="B452" s="803" t="s">
        <v>429</v>
      </c>
      <c r="C452" s="653" t="s">
        <v>1120</v>
      </c>
      <c r="D452" s="549">
        <v>0</v>
      </c>
      <c r="E452" s="550">
        <v>106.71419394245939</v>
      </c>
      <c r="F452" s="551">
        <v>0</v>
      </c>
      <c r="G452" s="560">
        <v>0</v>
      </c>
      <c r="H452" s="566">
        <v>106.71419394245939</v>
      </c>
      <c r="I452" s="567">
        <v>76.512063581385974</v>
      </c>
      <c r="J452" s="560">
        <v>0</v>
      </c>
      <c r="K452" s="568">
        <v>0</v>
      </c>
      <c r="L452" s="560">
        <v>0</v>
      </c>
      <c r="M452" s="1057">
        <f t="shared" si="52"/>
        <v>76.512063581385974</v>
      </c>
      <c r="N452" s="1058">
        <f t="shared" si="52"/>
        <v>0</v>
      </c>
      <c r="O452" s="569">
        <v>0</v>
      </c>
      <c r="P452" s="560">
        <v>0</v>
      </c>
      <c r="Q452" s="570">
        <v>0</v>
      </c>
      <c r="R452" s="571">
        <v>183.22625752384536</v>
      </c>
      <c r="S452" s="1075">
        <f t="shared" si="53"/>
        <v>183.22625752384536</v>
      </c>
      <c r="T452" s="1075">
        <f t="shared" si="51"/>
        <v>0</v>
      </c>
    </row>
    <row r="453" spans="1:20" ht="16.5" thickBot="1" x14ac:dyDescent="0.3">
      <c r="A453" s="651" t="s">
        <v>694</v>
      </c>
      <c r="B453" s="651"/>
      <c r="C453" s="823" t="s">
        <v>1120</v>
      </c>
      <c r="D453" s="549">
        <v>0</v>
      </c>
      <c r="E453" s="550">
        <v>96.577386970696821</v>
      </c>
      <c r="F453" s="551">
        <v>4.0095931686252637</v>
      </c>
      <c r="G453" s="560">
        <v>0</v>
      </c>
      <c r="H453" s="566">
        <v>100.58698013932208</v>
      </c>
      <c r="I453" s="567">
        <v>84.392389549160299</v>
      </c>
      <c r="J453" s="560">
        <v>0</v>
      </c>
      <c r="K453" s="568">
        <v>0</v>
      </c>
      <c r="L453" s="560">
        <v>0</v>
      </c>
      <c r="M453" s="1057">
        <f t="shared" si="52"/>
        <v>84.392389549160299</v>
      </c>
      <c r="N453" s="1058">
        <f t="shared" si="52"/>
        <v>0</v>
      </c>
      <c r="O453" s="569">
        <v>4.3741016385002878</v>
      </c>
      <c r="P453" s="560">
        <v>0</v>
      </c>
      <c r="Q453" s="570">
        <v>0</v>
      </c>
      <c r="R453" s="571">
        <v>189.35347132698269</v>
      </c>
      <c r="S453" s="1075">
        <f t="shared" si="53"/>
        <v>189.35347132698269</v>
      </c>
      <c r="T453" s="1075">
        <f t="shared" si="51"/>
        <v>0</v>
      </c>
    </row>
    <row r="454" spans="1:20" ht="15.75" x14ac:dyDescent="0.25">
      <c r="A454" s="638" t="s">
        <v>143</v>
      </c>
      <c r="B454" s="693" t="s">
        <v>429</v>
      </c>
      <c r="C454" s="806" t="s">
        <v>1131</v>
      </c>
      <c r="D454" s="549">
        <v>0</v>
      </c>
      <c r="E454" s="550">
        <v>107.2378189267215</v>
      </c>
      <c r="F454" s="551">
        <v>0</v>
      </c>
      <c r="G454" s="560">
        <v>0</v>
      </c>
      <c r="H454" s="566">
        <v>107.2378189267215</v>
      </c>
      <c r="I454" s="567">
        <v>0</v>
      </c>
      <c r="J454" s="560">
        <v>0</v>
      </c>
      <c r="K454" s="568">
        <v>0</v>
      </c>
      <c r="L454" s="560">
        <v>0</v>
      </c>
      <c r="M454" s="1057">
        <f t="shared" si="52"/>
        <v>0</v>
      </c>
      <c r="N454" s="1058">
        <f t="shared" si="52"/>
        <v>0</v>
      </c>
      <c r="O454" s="569">
        <v>0</v>
      </c>
      <c r="P454" s="560">
        <v>0</v>
      </c>
      <c r="Q454" s="570">
        <v>0</v>
      </c>
      <c r="R454" s="571">
        <v>107.2378189267215</v>
      </c>
      <c r="S454" s="1075">
        <f t="shared" si="53"/>
        <v>107.2378189267215</v>
      </c>
      <c r="T454" s="1075">
        <f t="shared" si="51"/>
        <v>0</v>
      </c>
    </row>
    <row r="455" spans="1:20" ht="15.75" x14ac:dyDescent="0.25">
      <c r="A455" s="639" t="s">
        <v>144</v>
      </c>
      <c r="B455" s="639"/>
      <c r="C455" s="724" t="s">
        <v>1131</v>
      </c>
      <c r="D455" s="549">
        <v>0</v>
      </c>
      <c r="E455" s="550">
        <v>144.38960307508054</v>
      </c>
      <c r="F455" s="551">
        <v>0</v>
      </c>
      <c r="G455" s="560">
        <v>0</v>
      </c>
      <c r="H455" s="566">
        <v>144.38960307508054</v>
      </c>
      <c r="I455" s="567">
        <v>0</v>
      </c>
      <c r="J455" s="560">
        <v>0</v>
      </c>
      <c r="K455" s="568">
        <v>0</v>
      </c>
      <c r="L455" s="560">
        <v>0</v>
      </c>
      <c r="M455" s="1057">
        <f t="shared" si="52"/>
        <v>0</v>
      </c>
      <c r="N455" s="1058">
        <f t="shared" si="52"/>
        <v>0</v>
      </c>
      <c r="O455" s="569">
        <v>0</v>
      </c>
      <c r="P455" s="560">
        <v>0</v>
      </c>
      <c r="Q455" s="570">
        <v>0</v>
      </c>
      <c r="R455" s="571">
        <v>144.38960307508054</v>
      </c>
      <c r="S455" s="1075">
        <f t="shared" si="53"/>
        <v>144.38960307508054</v>
      </c>
      <c r="T455" s="1075">
        <f t="shared" si="51"/>
        <v>0</v>
      </c>
    </row>
    <row r="456" spans="1:20" ht="15.75" x14ac:dyDescent="0.25">
      <c r="A456" s="639" t="s">
        <v>145</v>
      </c>
      <c r="B456" s="639"/>
      <c r="C456" s="724" t="s">
        <v>1131</v>
      </c>
      <c r="D456" s="549">
        <v>0</v>
      </c>
      <c r="E456" s="550">
        <v>129.20648240900042</v>
      </c>
      <c r="F456" s="551">
        <v>0</v>
      </c>
      <c r="G456" s="560">
        <v>0</v>
      </c>
      <c r="H456" s="566">
        <v>129.20648240900042</v>
      </c>
      <c r="I456" s="567">
        <v>0</v>
      </c>
      <c r="J456" s="560">
        <v>0</v>
      </c>
      <c r="K456" s="568">
        <v>0</v>
      </c>
      <c r="L456" s="560">
        <v>0</v>
      </c>
      <c r="M456" s="1057">
        <f t="shared" si="52"/>
        <v>0</v>
      </c>
      <c r="N456" s="1058">
        <f t="shared" si="52"/>
        <v>0</v>
      </c>
      <c r="O456" s="569">
        <v>0</v>
      </c>
      <c r="P456" s="560">
        <v>0</v>
      </c>
      <c r="Q456" s="570">
        <v>0</v>
      </c>
      <c r="R456" s="571">
        <v>129.20648240900042</v>
      </c>
      <c r="S456" s="1075">
        <f t="shared" si="53"/>
        <v>129.20648240900042</v>
      </c>
      <c r="T456" s="1075">
        <f t="shared" si="51"/>
        <v>0</v>
      </c>
    </row>
    <row r="457" spans="1:20" ht="15.75" x14ac:dyDescent="0.25">
      <c r="A457" s="639" t="s">
        <v>146</v>
      </c>
      <c r="B457" s="639"/>
      <c r="C457" s="724" t="s">
        <v>1131</v>
      </c>
      <c r="D457" s="549">
        <v>0</v>
      </c>
      <c r="E457" s="550">
        <v>125.86994478114576</v>
      </c>
      <c r="F457" s="551">
        <v>0</v>
      </c>
      <c r="G457" s="560">
        <v>0</v>
      </c>
      <c r="H457" s="566">
        <v>125.86994478114576</v>
      </c>
      <c r="I457" s="567">
        <v>0</v>
      </c>
      <c r="J457" s="560">
        <v>0</v>
      </c>
      <c r="K457" s="568">
        <v>0</v>
      </c>
      <c r="L457" s="560">
        <v>0</v>
      </c>
      <c r="M457" s="1057">
        <f t="shared" si="52"/>
        <v>0</v>
      </c>
      <c r="N457" s="1058">
        <f t="shared" si="52"/>
        <v>0</v>
      </c>
      <c r="O457" s="569">
        <v>0</v>
      </c>
      <c r="P457" s="560">
        <v>0</v>
      </c>
      <c r="Q457" s="570">
        <v>0</v>
      </c>
      <c r="R457" s="571">
        <v>125.86994478114576</v>
      </c>
      <c r="S457" s="1075">
        <f t="shared" si="53"/>
        <v>125.86994478114576</v>
      </c>
      <c r="T457" s="1075">
        <f t="shared" si="51"/>
        <v>0</v>
      </c>
    </row>
    <row r="458" spans="1:20" ht="15.75" x14ac:dyDescent="0.25">
      <c r="A458" s="639" t="s">
        <v>147</v>
      </c>
      <c r="B458" s="639"/>
      <c r="C458" s="724" t="s">
        <v>1131</v>
      </c>
      <c r="D458" s="549">
        <v>0</v>
      </c>
      <c r="E458" s="550">
        <v>116.66634941442312</v>
      </c>
      <c r="F458" s="551">
        <v>0</v>
      </c>
      <c r="G458" s="560">
        <v>0</v>
      </c>
      <c r="H458" s="566">
        <v>116.66634941442312</v>
      </c>
      <c r="I458" s="567">
        <v>0</v>
      </c>
      <c r="J458" s="560">
        <v>0</v>
      </c>
      <c r="K458" s="568">
        <v>0</v>
      </c>
      <c r="L458" s="560">
        <v>0</v>
      </c>
      <c r="M458" s="1057">
        <f t="shared" si="52"/>
        <v>0</v>
      </c>
      <c r="N458" s="1058">
        <f t="shared" si="52"/>
        <v>0</v>
      </c>
      <c r="O458" s="569">
        <v>0</v>
      </c>
      <c r="P458" s="560">
        <v>0</v>
      </c>
      <c r="Q458" s="570">
        <v>0</v>
      </c>
      <c r="R458" s="571">
        <v>116.66634941442312</v>
      </c>
      <c r="S458" s="1075">
        <f t="shared" si="53"/>
        <v>116.66634941442312</v>
      </c>
      <c r="T458" s="1075">
        <f t="shared" si="51"/>
        <v>0</v>
      </c>
    </row>
    <row r="459" spans="1:20" ht="15.75" x14ac:dyDescent="0.25">
      <c r="A459" s="639" t="s">
        <v>148</v>
      </c>
      <c r="B459" s="639"/>
      <c r="C459" s="724" t="s">
        <v>1131</v>
      </c>
      <c r="D459" s="549">
        <v>0</v>
      </c>
      <c r="E459" s="550">
        <v>99.327600505627913</v>
      </c>
      <c r="F459" s="551">
        <v>0</v>
      </c>
      <c r="G459" s="560">
        <v>0</v>
      </c>
      <c r="H459" s="566">
        <v>99.327600505627913</v>
      </c>
      <c r="I459" s="567">
        <v>0</v>
      </c>
      <c r="J459" s="560">
        <v>0</v>
      </c>
      <c r="K459" s="568">
        <v>0</v>
      </c>
      <c r="L459" s="560">
        <v>0</v>
      </c>
      <c r="M459" s="1057">
        <f t="shared" si="52"/>
        <v>0</v>
      </c>
      <c r="N459" s="1058">
        <f t="shared" si="52"/>
        <v>0</v>
      </c>
      <c r="O459" s="569">
        <v>0</v>
      </c>
      <c r="P459" s="560">
        <v>0</v>
      </c>
      <c r="Q459" s="570">
        <v>0</v>
      </c>
      <c r="R459" s="571">
        <v>99.327600505627913</v>
      </c>
      <c r="S459" s="1075">
        <f t="shared" si="53"/>
        <v>99.327600505627913</v>
      </c>
      <c r="T459" s="1075">
        <f t="shared" si="51"/>
        <v>0</v>
      </c>
    </row>
    <row r="460" spans="1:20" ht="15.75" x14ac:dyDescent="0.25">
      <c r="A460" s="639" t="s">
        <v>149</v>
      </c>
      <c r="B460" s="639"/>
      <c r="C460" s="724" t="s">
        <v>1131</v>
      </c>
      <c r="D460" s="549">
        <v>0</v>
      </c>
      <c r="E460" s="550">
        <v>162.2157114126635</v>
      </c>
      <c r="F460" s="551">
        <v>0</v>
      </c>
      <c r="G460" s="560">
        <v>0</v>
      </c>
      <c r="H460" s="566">
        <v>162.2157114126635</v>
      </c>
      <c r="I460" s="567">
        <v>0</v>
      </c>
      <c r="J460" s="560">
        <v>0</v>
      </c>
      <c r="K460" s="568">
        <v>0</v>
      </c>
      <c r="L460" s="560">
        <v>0</v>
      </c>
      <c r="M460" s="1057">
        <f t="shared" si="52"/>
        <v>0</v>
      </c>
      <c r="N460" s="1058">
        <f t="shared" si="52"/>
        <v>0</v>
      </c>
      <c r="O460" s="569">
        <v>0</v>
      </c>
      <c r="P460" s="560">
        <v>0</v>
      </c>
      <c r="Q460" s="570">
        <v>0</v>
      </c>
      <c r="R460" s="571">
        <v>162.2157114126635</v>
      </c>
      <c r="S460" s="1075">
        <f t="shared" si="53"/>
        <v>162.2157114126635</v>
      </c>
      <c r="T460" s="1075">
        <f t="shared" si="51"/>
        <v>0</v>
      </c>
    </row>
    <row r="461" spans="1:20" ht="16.5" thickBot="1" x14ac:dyDescent="0.3">
      <c r="A461" s="640" t="s">
        <v>150</v>
      </c>
      <c r="B461" s="652"/>
      <c r="C461" s="807" t="s">
        <v>1131</v>
      </c>
      <c r="D461" s="549">
        <v>0</v>
      </c>
      <c r="E461" s="550">
        <v>128.92531350777671</v>
      </c>
      <c r="F461" s="551">
        <v>0</v>
      </c>
      <c r="G461" s="560">
        <v>0</v>
      </c>
      <c r="H461" s="566">
        <v>128.92531350777671</v>
      </c>
      <c r="I461" s="567">
        <v>0</v>
      </c>
      <c r="J461" s="560">
        <v>0</v>
      </c>
      <c r="K461" s="568">
        <v>0</v>
      </c>
      <c r="L461" s="560">
        <v>0</v>
      </c>
      <c r="M461" s="1057">
        <f t="shared" si="52"/>
        <v>0</v>
      </c>
      <c r="N461" s="1058">
        <f t="shared" si="52"/>
        <v>0</v>
      </c>
      <c r="O461" s="569">
        <v>0</v>
      </c>
      <c r="P461" s="560">
        <v>0</v>
      </c>
      <c r="Q461" s="570">
        <v>0</v>
      </c>
      <c r="R461" s="571">
        <v>128.92531350777671</v>
      </c>
      <c r="S461" s="1075">
        <f t="shared" si="53"/>
        <v>128.92531350777671</v>
      </c>
      <c r="T461" s="1075">
        <f t="shared" si="51"/>
        <v>0</v>
      </c>
    </row>
    <row r="462" spans="1:20" ht="15.75" x14ac:dyDescent="0.25">
      <c r="A462" s="638" t="s">
        <v>151</v>
      </c>
      <c r="B462" s="693"/>
      <c r="C462" s="806" t="s">
        <v>1133</v>
      </c>
      <c r="D462" s="549">
        <v>0</v>
      </c>
      <c r="E462" s="550">
        <v>424.43668143239574</v>
      </c>
      <c r="F462" s="551">
        <v>0</v>
      </c>
      <c r="G462" s="560">
        <v>42.44847000636247</v>
      </c>
      <c r="H462" s="566">
        <v>466.88515143875821</v>
      </c>
      <c r="I462" s="567">
        <v>41.848237116001009</v>
      </c>
      <c r="J462" s="560">
        <v>4.1896255747229922</v>
      </c>
      <c r="K462" s="568">
        <v>202.90272625778803</v>
      </c>
      <c r="L462" s="560">
        <v>20.287871694217355</v>
      </c>
      <c r="M462" s="1057">
        <f t="shared" si="52"/>
        <v>244.75096337378903</v>
      </c>
      <c r="N462" s="1058">
        <f t="shared" si="52"/>
        <v>24.477497268940347</v>
      </c>
      <c r="O462" s="569">
        <v>0</v>
      </c>
      <c r="P462" s="560">
        <v>0</v>
      </c>
      <c r="Q462" s="570">
        <v>66.925967275302824</v>
      </c>
      <c r="R462" s="571">
        <v>736.11361208148753</v>
      </c>
      <c r="S462" s="1075">
        <f t="shared" si="53"/>
        <v>736.11361208148764</v>
      </c>
      <c r="T462" s="1075">
        <f t="shared" si="51"/>
        <v>0</v>
      </c>
    </row>
    <row r="463" spans="1:20" ht="15.75" x14ac:dyDescent="0.25">
      <c r="A463" s="639" t="s">
        <v>152</v>
      </c>
      <c r="B463" s="639"/>
      <c r="C463" s="724" t="s">
        <v>1133</v>
      </c>
      <c r="D463" s="549">
        <v>0</v>
      </c>
      <c r="E463" s="550">
        <v>184.43956255026947</v>
      </c>
      <c r="F463" s="551">
        <v>0</v>
      </c>
      <c r="G463" s="560">
        <v>18.439154391904058</v>
      </c>
      <c r="H463" s="566">
        <v>202.87871694217353</v>
      </c>
      <c r="I463" s="567">
        <v>0</v>
      </c>
      <c r="J463" s="560">
        <v>0</v>
      </c>
      <c r="K463" s="568">
        <v>176.32441387258254</v>
      </c>
      <c r="L463" s="560">
        <v>17.6348423188197</v>
      </c>
      <c r="M463" s="1057">
        <f t="shared" si="52"/>
        <v>176.32441387258254</v>
      </c>
      <c r="N463" s="1058">
        <f t="shared" si="52"/>
        <v>17.6348423188197</v>
      </c>
      <c r="O463" s="569">
        <v>0</v>
      </c>
      <c r="P463" s="560">
        <v>0</v>
      </c>
      <c r="Q463" s="570">
        <v>36.073996710723762</v>
      </c>
      <c r="R463" s="571">
        <v>396.83797313357576</v>
      </c>
      <c r="S463" s="1075">
        <f t="shared" si="53"/>
        <v>396.83797313357576</v>
      </c>
      <c r="T463" s="1075">
        <f t="shared" si="51"/>
        <v>0</v>
      </c>
    </row>
    <row r="464" spans="1:20" ht="15.75" x14ac:dyDescent="0.25">
      <c r="A464" s="639" t="s">
        <v>153</v>
      </c>
      <c r="B464" s="639" t="s">
        <v>429</v>
      </c>
      <c r="C464" s="724" t="s">
        <v>1133</v>
      </c>
      <c r="D464" s="549">
        <v>0</v>
      </c>
      <c r="E464" s="550">
        <v>199.20529165316142</v>
      </c>
      <c r="F464" s="551">
        <v>0</v>
      </c>
      <c r="G464" s="560">
        <v>19.91572730219325</v>
      </c>
      <c r="H464" s="566">
        <v>219.12101895535469</v>
      </c>
      <c r="I464" s="567">
        <v>34.621433116049026</v>
      </c>
      <c r="J464" s="560">
        <v>3.4573414484820106</v>
      </c>
      <c r="K464" s="568">
        <v>100.02280884983372</v>
      </c>
      <c r="L464" s="560">
        <v>9.999879953421928</v>
      </c>
      <c r="M464" s="1057">
        <f t="shared" si="52"/>
        <v>134.64424196588274</v>
      </c>
      <c r="N464" s="1058">
        <f t="shared" si="52"/>
        <v>13.457221401903938</v>
      </c>
      <c r="O464" s="569">
        <v>0</v>
      </c>
      <c r="P464" s="560">
        <v>0</v>
      </c>
      <c r="Q464" s="570">
        <v>33.37294870409719</v>
      </c>
      <c r="R464" s="571">
        <v>367.22248232314138</v>
      </c>
      <c r="S464" s="1075">
        <f t="shared" si="53"/>
        <v>367.22248232314138</v>
      </c>
      <c r="T464" s="1075">
        <f t="shared" si="51"/>
        <v>0</v>
      </c>
    </row>
    <row r="465" spans="1:20" ht="15.75" x14ac:dyDescent="0.25">
      <c r="A465" s="639" t="s">
        <v>214</v>
      </c>
      <c r="B465" s="639"/>
      <c r="C465" s="724" t="s">
        <v>1133</v>
      </c>
      <c r="D465" s="549">
        <v>0</v>
      </c>
      <c r="E465" s="550">
        <v>192.36263670304078</v>
      </c>
      <c r="F465" s="551">
        <v>0</v>
      </c>
      <c r="G465" s="560">
        <v>19.231461807181184</v>
      </c>
      <c r="H465" s="566">
        <v>211.59409851022195</v>
      </c>
      <c r="I465" s="567">
        <v>99.302529381399978</v>
      </c>
      <c r="J465" s="560">
        <v>9.9278520065785525</v>
      </c>
      <c r="K465" s="568">
        <v>187.34468973961896</v>
      </c>
      <c r="L465" s="560">
        <v>18.979363993229374</v>
      </c>
      <c r="M465" s="1057">
        <f t="shared" si="52"/>
        <v>286.64721912101891</v>
      </c>
      <c r="N465" s="1058">
        <f t="shared" si="52"/>
        <v>28.907215999807924</v>
      </c>
      <c r="O465" s="569">
        <v>0</v>
      </c>
      <c r="P465" s="560">
        <v>0</v>
      </c>
      <c r="Q465" s="570">
        <v>48.138677806989108</v>
      </c>
      <c r="R465" s="571">
        <v>527.14853363104885</v>
      </c>
      <c r="S465" s="1075">
        <f t="shared" si="53"/>
        <v>527.14853363104874</v>
      </c>
      <c r="T465" s="1075">
        <f t="shared" si="51"/>
        <v>0</v>
      </c>
    </row>
    <row r="466" spans="1:20" ht="16.5" thickBot="1" x14ac:dyDescent="0.3">
      <c r="A466" s="640" t="s">
        <v>154</v>
      </c>
      <c r="B466" s="652"/>
      <c r="C466" s="807" t="s">
        <v>1133</v>
      </c>
      <c r="D466" s="549">
        <v>0</v>
      </c>
      <c r="E466" s="550">
        <v>219.25307019123417</v>
      </c>
      <c r="F466" s="551">
        <v>0</v>
      </c>
      <c r="G466" s="560">
        <v>21.92050515600053</v>
      </c>
      <c r="H466" s="566">
        <v>241.1735753472347</v>
      </c>
      <c r="I466" s="567">
        <v>72.724216996194514</v>
      </c>
      <c r="J466" s="560">
        <v>7.2748226311808972</v>
      </c>
      <c r="K466" s="568">
        <v>159.68595815176289</v>
      </c>
      <c r="L466" s="560">
        <v>15.966194883614843</v>
      </c>
      <c r="M466" s="1057">
        <f t="shared" si="52"/>
        <v>232.4101751479574</v>
      </c>
      <c r="N466" s="1058">
        <f t="shared" si="52"/>
        <v>23.24101751479574</v>
      </c>
      <c r="O466" s="569">
        <v>0</v>
      </c>
      <c r="P466" s="560">
        <v>0</v>
      </c>
      <c r="Q466" s="570">
        <v>45.161522670796273</v>
      </c>
      <c r="R466" s="571">
        <v>496.82476800998785</v>
      </c>
      <c r="S466" s="1075">
        <f t="shared" si="53"/>
        <v>496.82476800998785</v>
      </c>
      <c r="T466" s="1075">
        <f t="shared" si="51"/>
        <v>0</v>
      </c>
    </row>
    <row r="467" spans="1:20" ht="15.75" x14ac:dyDescent="0.25">
      <c r="A467" s="638" t="s">
        <v>155</v>
      </c>
      <c r="B467" s="693" t="s">
        <v>429</v>
      </c>
      <c r="C467" s="806" t="s">
        <v>1135</v>
      </c>
      <c r="D467" s="549">
        <v>206.24267029725661</v>
      </c>
      <c r="E467" s="550">
        <v>89.457605060604465</v>
      </c>
      <c r="F467" s="551">
        <v>0</v>
      </c>
      <c r="G467" s="560">
        <v>73.925068839465268</v>
      </c>
      <c r="H467" s="566">
        <v>369.62534419732634</v>
      </c>
      <c r="I467" s="567">
        <v>79.654031903277954</v>
      </c>
      <c r="J467" s="560">
        <v>19.913507975819488</v>
      </c>
      <c r="K467" s="568">
        <v>0</v>
      </c>
      <c r="L467" s="560">
        <v>0</v>
      </c>
      <c r="M467" s="1057">
        <f t="shared" si="52"/>
        <v>79.654031903277954</v>
      </c>
      <c r="N467" s="1058">
        <f t="shared" si="52"/>
        <v>19.913507975819488</v>
      </c>
      <c r="O467" s="569">
        <v>0</v>
      </c>
      <c r="P467" s="560">
        <v>0</v>
      </c>
      <c r="Q467" s="570">
        <v>93.838576815284753</v>
      </c>
      <c r="R467" s="571">
        <v>469.19288407642375</v>
      </c>
      <c r="S467" s="1075">
        <f t="shared" si="53"/>
        <v>469.19288407642375</v>
      </c>
      <c r="T467" s="1075">
        <f t="shared" si="51"/>
        <v>0</v>
      </c>
    </row>
    <row r="468" spans="1:20" ht="15.75" x14ac:dyDescent="0.25">
      <c r="A468" s="639" t="s">
        <v>156</v>
      </c>
      <c r="B468" s="639"/>
      <c r="C468" s="724" t="s">
        <v>1135</v>
      </c>
      <c r="D468" s="549">
        <v>299.37661529185851</v>
      </c>
      <c r="E468" s="550">
        <v>176.21922750294414</v>
      </c>
      <c r="F468" s="551">
        <v>0</v>
      </c>
      <c r="G468" s="560">
        <v>118.89896069870066</v>
      </c>
      <c r="H468" s="566">
        <v>594.49480349350335</v>
      </c>
      <c r="I468" s="567">
        <v>181.61119273947372</v>
      </c>
      <c r="J468" s="560">
        <v>45.402798184868431</v>
      </c>
      <c r="K468" s="568">
        <v>0</v>
      </c>
      <c r="L468" s="560">
        <v>0</v>
      </c>
      <c r="M468" s="1057">
        <f t="shared" si="52"/>
        <v>181.61119273947372</v>
      </c>
      <c r="N468" s="1058">
        <f t="shared" si="52"/>
        <v>45.402798184868431</v>
      </c>
      <c r="O468" s="569">
        <v>0</v>
      </c>
      <c r="P468" s="560">
        <v>0</v>
      </c>
      <c r="Q468" s="570">
        <v>164.30175888356911</v>
      </c>
      <c r="R468" s="571">
        <v>821.50879441784548</v>
      </c>
      <c r="S468" s="1075">
        <f t="shared" si="53"/>
        <v>821.50879441784548</v>
      </c>
      <c r="T468" s="1075">
        <f t="shared" si="51"/>
        <v>0</v>
      </c>
    </row>
    <row r="469" spans="1:20" ht="15.75" x14ac:dyDescent="0.25">
      <c r="A469" s="639" t="s">
        <v>157</v>
      </c>
      <c r="B469" s="639"/>
      <c r="C469" s="724" t="s">
        <v>1135</v>
      </c>
      <c r="D469" s="549">
        <v>202.56633036325914</v>
      </c>
      <c r="E469" s="550">
        <v>118.62323520365085</v>
      </c>
      <c r="F469" s="551">
        <v>0</v>
      </c>
      <c r="G469" s="560">
        <v>80.297391391727501</v>
      </c>
      <c r="H469" s="566">
        <v>401.48695695863751</v>
      </c>
      <c r="I469" s="567">
        <v>125.97591507164574</v>
      </c>
      <c r="J469" s="560">
        <v>31.493978767911436</v>
      </c>
      <c r="K469" s="568">
        <v>0</v>
      </c>
      <c r="L469" s="560">
        <v>0</v>
      </c>
      <c r="M469" s="1057">
        <f t="shared" si="52"/>
        <v>125.97591507164574</v>
      </c>
      <c r="N469" s="1058">
        <f t="shared" si="52"/>
        <v>31.493978767911436</v>
      </c>
      <c r="O469" s="569">
        <v>0</v>
      </c>
      <c r="P469" s="560">
        <v>0</v>
      </c>
      <c r="Q469" s="570">
        <v>111.79137015963894</v>
      </c>
      <c r="R469" s="571">
        <v>558.95685079819475</v>
      </c>
      <c r="S469" s="1075">
        <f t="shared" si="53"/>
        <v>558.95685079819475</v>
      </c>
      <c r="T469" s="1075">
        <f t="shared" si="51"/>
        <v>0</v>
      </c>
    </row>
    <row r="470" spans="1:20" ht="15.75" x14ac:dyDescent="0.25">
      <c r="A470" s="639" t="s">
        <v>158</v>
      </c>
      <c r="B470" s="639"/>
      <c r="C470" s="724" t="s">
        <v>1135</v>
      </c>
      <c r="D470" s="549">
        <v>0</v>
      </c>
      <c r="E470" s="550">
        <v>302.6853212324562</v>
      </c>
      <c r="F470" s="551">
        <v>0</v>
      </c>
      <c r="G470" s="560">
        <v>75.671330308114051</v>
      </c>
      <c r="H470" s="566">
        <v>378.35665154057028</v>
      </c>
      <c r="I470" s="567">
        <v>454.15052651315091</v>
      </c>
      <c r="J470" s="560">
        <v>113.53763162828773</v>
      </c>
      <c r="K470" s="568">
        <v>0</v>
      </c>
      <c r="L470" s="560">
        <v>0</v>
      </c>
      <c r="M470" s="1057">
        <f t="shared" si="52"/>
        <v>454.15052651315091</v>
      </c>
      <c r="N470" s="1058">
        <f t="shared" si="52"/>
        <v>113.53763162828773</v>
      </c>
      <c r="O470" s="569">
        <v>0</v>
      </c>
      <c r="P470" s="560">
        <v>0</v>
      </c>
      <c r="Q470" s="570">
        <v>189.20896193640178</v>
      </c>
      <c r="R470" s="571">
        <v>946.04480968200892</v>
      </c>
      <c r="S470" s="1075">
        <f t="shared" si="53"/>
        <v>946.04480968200892</v>
      </c>
      <c r="T470" s="1075">
        <f t="shared" si="51"/>
        <v>0</v>
      </c>
    </row>
    <row r="471" spans="1:20" ht="16.5" thickBot="1" x14ac:dyDescent="0.3">
      <c r="A471" s="640" t="s">
        <v>159</v>
      </c>
      <c r="B471" s="652"/>
      <c r="C471" s="807" t="s">
        <v>1135</v>
      </c>
      <c r="D471" s="549">
        <v>285.5290682071348</v>
      </c>
      <c r="E471" s="550">
        <v>155.63172387255847</v>
      </c>
      <c r="F471" s="551">
        <v>0</v>
      </c>
      <c r="G471" s="560">
        <v>110.29019801992331</v>
      </c>
      <c r="H471" s="566">
        <v>551.45099009961655</v>
      </c>
      <c r="I471" s="567">
        <v>209.5513762378543</v>
      </c>
      <c r="J471" s="560">
        <v>52.387844059463575</v>
      </c>
      <c r="K471" s="568">
        <v>0</v>
      </c>
      <c r="L471" s="560">
        <v>0</v>
      </c>
      <c r="M471" s="1057">
        <f t="shared" si="52"/>
        <v>209.5513762378543</v>
      </c>
      <c r="N471" s="1058">
        <f t="shared" si="52"/>
        <v>52.387844059463575</v>
      </c>
      <c r="O471" s="569">
        <v>0</v>
      </c>
      <c r="P471" s="560">
        <v>0</v>
      </c>
      <c r="Q471" s="570">
        <v>162.6780420793869</v>
      </c>
      <c r="R471" s="571">
        <v>813.39021039693444</v>
      </c>
      <c r="S471" s="1075">
        <f t="shared" si="53"/>
        <v>813.39021039693444</v>
      </c>
      <c r="T471" s="1075">
        <f t="shared" si="51"/>
        <v>0</v>
      </c>
    </row>
    <row r="472" spans="1:20" ht="15.75" x14ac:dyDescent="0.25">
      <c r="A472" s="547" t="s">
        <v>160</v>
      </c>
      <c r="B472" s="1046"/>
      <c r="C472" s="802" t="s">
        <v>1137</v>
      </c>
      <c r="D472" s="549">
        <v>114.94016953675008</v>
      </c>
      <c r="E472" s="550">
        <v>221.67032696373229</v>
      </c>
      <c r="F472" s="551">
        <v>0</v>
      </c>
      <c r="G472" s="560">
        <v>26.928839720038585</v>
      </c>
      <c r="H472" s="566">
        <v>363.53933622052097</v>
      </c>
      <c r="I472" s="567">
        <v>491.57447507235077</v>
      </c>
      <c r="J472" s="560">
        <v>12.294493134377374</v>
      </c>
      <c r="K472" s="568">
        <v>0</v>
      </c>
      <c r="L472" s="560">
        <v>0</v>
      </c>
      <c r="M472" s="1057">
        <f t="shared" si="52"/>
        <v>491.57447507235077</v>
      </c>
      <c r="N472" s="1058">
        <f t="shared" si="52"/>
        <v>12.294493134377374</v>
      </c>
      <c r="O472" s="569">
        <v>0</v>
      </c>
      <c r="P472" s="560">
        <v>0</v>
      </c>
      <c r="Q472" s="570">
        <v>39.223332854415958</v>
      </c>
      <c r="R472" s="571">
        <v>867.40830442724916</v>
      </c>
      <c r="S472" s="1075">
        <f t="shared" si="53"/>
        <v>867.40830442724916</v>
      </c>
      <c r="T472" s="1075">
        <f t="shared" si="51"/>
        <v>0</v>
      </c>
    </row>
    <row r="473" spans="1:20" ht="15.75" x14ac:dyDescent="0.25">
      <c r="A473" s="547" t="s">
        <v>603</v>
      </c>
      <c r="B473" s="1046"/>
      <c r="C473" s="802" t="s">
        <v>1137</v>
      </c>
      <c r="D473" s="549">
        <v>139.57020586605367</v>
      </c>
      <c r="E473" s="550">
        <v>394.08058126885737</v>
      </c>
      <c r="F473" s="551">
        <v>0</v>
      </c>
      <c r="G473" s="560">
        <v>42.692062970792882</v>
      </c>
      <c r="H473" s="566">
        <v>576.34285010570397</v>
      </c>
      <c r="I473" s="567">
        <v>474.38476221752427</v>
      </c>
      <c r="J473" s="560">
        <v>11.863467498614561</v>
      </c>
      <c r="K473" s="568">
        <v>0</v>
      </c>
      <c r="L473" s="560">
        <v>0</v>
      </c>
      <c r="M473" s="1057">
        <f t="shared" si="52"/>
        <v>474.38476221752427</v>
      </c>
      <c r="N473" s="1058">
        <f t="shared" si="52"/>
        <v>11.863467498614561</v>
      </c>
      <c r="O473" s="569">
        <v>0</v>
      </c>
      <c r="P473" s="560">
        <v>0</v>
      </c>
      <c r="Q473" s="570">
        <v>54.555530469407444</v>
      </c>
      <c r="R473" s="571">
        <v>1062.5910798218426</v>
      </c>
      <c r="S473" s="1075">
        <f t="shared" si="53"/>
        <v>1062.5910798218426</v>
      </c>
      <c r="T473" s="1075">
        <f t="shared" si="51"/>
        <v>0</v>
      </c>
    </row>
    <row r="474" spans="1:20" ht="15.75" x14ac:dyDescent="0.25">
      <c r="A474" s="547" t="s">
        <v>162</v>
      </c>
      <c r="B474" s="1046"/>
      <c r="C474" s="802" t="s">
        <v>1137</v>
      </c>
      <c r="D474" s="549">
        <v>71.837605960468792</v>
      </c>
      <c r="E474" s="550">
        <v>299.66544200652697</v>
      </c>
      <c r="F474" s="551">
        <v>0</v>
      </c>
      <c r="G474" s="560">
        <v>29.720243837359661</v>
      </c>
      <c r="H474" s="566">
        <v>401.22329180435543</v>
      </c>
      <c r="I474" s="567">
        <v>359.18802980234398</v>
      </c>
      <c r="J474" s="560">
        <v>8.9797007450585991</v>
      </c>
      <c r="K474" s="568">
        <v>0</v>
      </c>
      <c r="L474" s="560">
        <v>0</v>
      </c>
      <c r="M474" s="1057">
        <f t="shared" si="52"/>
        <v>359.18802980234398</v>
      </c>
      <c r="N474" s="1058">
        <f t="shared" si="52"/>
        <v>8.9797007450585991</v>
      </c>
      <c r="O474" s="569">
        <v>0</v>
      </c>
      <c r="P474" s="560">
        <v>0</v>
      </c>
      <c r="Q474" s="570">
        <v>38.699944582418262</v>
      </c>
      <c r="R474" s="571">
        <v>769.39102235175801</v>
      </c>
      <c r="S474" s="1075">
        <f t="shared" si="53"/>
        <v>769.39102235175801</v>
      </c>
      <c r="T474" s="1075">
        <f t="shared" si="51"/>
        <v>0</v>
      </c>
    </row>
    <row r="475" spans="1:20" ht="15.75" x14ac:dyDescent="0.25">
      <c r="A475" s="547" t="s">
        <v>161</v>
      </c>
      <c r="B475" s="1046"/>
      <c r="C475" s="802" t="s">
        <v>1137</v>
      </c>
      <c r="D475" s="549">
        <v>28.735042384187519</v>
      </c>
      <c r="E475" s="550">
        <v>420.76312062560294</v>
      </c>
      <c r="F475" s="551">
        <v>0</v>
      </c>
      <c r="G475" s="560">
        <v>35.959853040783237</v>
      </c>
      <c r="H475" s="566">
        <v>485.45801605057369</v>
      </c>
      <c r="I475" s="567">
        <v>446.41940846862752</v>
      </c>
      <c r="J475" s="560">
        <v>11.165616469284293</v>
      </c>
      <c r="K475" s="568">
        <v>0</v>
      </c>
      <c r="L475" s="560">
        <v>0</v>
      </c>
      <c r="M475" s="1057">
        <f t="shared" si="52"/>
        <v>446.41940846862752</v>
      </c>
      <c r="N475" s="1058">
        <f t="shared" si="52"/>
        <v>11.165616469284293</v>
      </c>
      <c r="O475" s="569">
        <v>0</v>
      </c>
      <c r="P475" s="560">
        <v>0</v>
      </c>
      <c r="Q475" s="570">
        <v>47.125469510067532</v>
      </c>
      <c r="R475" s="571">
        <v>943.04304098848547</v>
      </c>
      <c r="S475" s="1075">
        <f t="shared" si="53"/>
        <v>943.04304098848547</v>
      </c>
      <c r="T475" s="1075">
        <f t="shared" si="51"/>
        <v>0</v>
      </c>
    </row>
    <row r="476" spans="1:20" ht="16.5" thickBot="1" x14ac:dyDescent="0.3">
      <c r="A476" s="613" t="s">
        <v>163</v>
      </c>
      <c r="B476" s="1046" t="s">
        <v>429</v>
      </c>
      <c r="C476" s="802" t="s">
        <v>1137</v>
      </c>
      <c r="D476" s="549">
        <v>55.417581740933073</v>
      </c>
      <c r="E476" s="550">
        <v>476.18070236653602</v>
      </c>
      <c r="F476" s="551">
        <v>0</v>
      </c>
      <c r="G476" s="560">
        <v>42.527862728597526</v>
      </c>
      <c r="H476" s="566">
        <v>574.1261468360666</v>
      </c>
      <c r="I476" s="567">
        <v>447.2711972250159</v>
      </c>
      <c r="J476" s="560">
        <v>11.186141499558714</v>
      </c>
      <c r="K476" s="568">
        <v>0</v>
      </c>
      <c r="L476" s="560">
        <v>0</v>
      </c>
      <c r="M476" s="1057">
        <f t="shared" si="52"/>
        <v>447.2711972250159</v>
      </c>
      <c r="N476" s="1058">
        <f t="shared" si="52"/>
        <v>11.186141499558714</v>
      </c>
      <c r="O476" s="569">
        <v>0</v>
      </c>
      <c r="P476" s="560">
        <v>0</v>
      </c>
      <c r="Q476" s="570">
        <v>53.714004228156242</v>
      </c>
      <c r="R476" s="571">
        <v>1032.5834855606413</v>
      </c>
      <c r="S476" s="1075">
        <f t="shared" si="53"/>
        <v>1032.5834855606413</v>
      </c>
      <c r="T476" s="1075">
        <f t="shared" si="51"/>
        <v>0</v>
      </c>
    </row>
    <row r="477" spans="1:20" ht="15.75" x14ac:dyDescent="0.25">
      <c r="A477" s="693" t="s">
        <v>928</v>
      </c>
      <c r="B477" s="693" t="s">
        <v>429</v>
      </c>
      <c r="C477" s="806" t="s">
        <v>1145</v>
      </c>
      <c r="D477" s="549">
        <v>232.95649194929769</v>
      </c>
      <c r="E477" s="550">
        <v>0</v>
      </c>
      <c r="F477" s="551">
        <v>0</v>
      </c>
      <c r="G477" s="560">
        <v>18.636519355943815</v>
      </c>
      <c r="H477" s="566">
        <v>251.5930113052415</v>
      </c>
      <c r="I477" s="567">
        <v>0</v>
      </c>
      <c r="J477" s="560">
        <v>0</v>
      </c>
      <c r="K477" s="568">
        <v>116.47824597464884</v>
      </c>
      <c r="L477" s="560">
        <v>9.3182596779719074</v>
      </c>
      <c r="M477" s="1057">
        <f t="shared" si="52"/>
        <v>116.47824597464884</v>
      </c>
      <c r="N477" s="1058">
        <f t="shared" si="52"/>
        <v>9.3182596779719074</v>
      </c>
      <c r="O477" s="569">
        <v>12.649221282314807</v>
      </c>
      <c r="P477" s="560">
        <v>0</v>
      </c>
      <c r="Q477" s="570">
        <v>27.95477903391572</v>
      </c>
      <c r="R477" s="571">
        <v>390.03873824017705</v>
      </c>
      <c r="S477" s="1075">
        <f t="shared" si="53"/>
        <v>390.03873824017705</v>
      </c>
      <c r="T477" s="1075">
        <f t="shared" si="51"/>
        <v>0</v>
      </c>
    </row>
    <row r="478" spans="1:20" ht="15.75" x14ac:dyDescent="0.25">
      <c r="A478" s="639" t="s">
        <v>929</v>
      </c>
      <c r="B478" s="639"/>
      <c r="C478" s="724" t="s">
        <v>1145</v>
      </c>
      <c r="D478" s="549">
        <v>341.52897462249979</v>
      </c>
      <c r="E478" s="550">
        <v>0</v>
      </c>
      <c r="F478" s="551">
        <v>14.135504782986796</v>
      </c>
      <c r="G478" s="560">
        <v>18.763011568766963</v>
      </c>
      <c r="H478" s="566">
        <v>374.42749097425354</v>
      </c>
      <c r="I478" s="567">
        <v>0</v>
      </c>
      <c r="J478" s="560">
        <v>0</v>
      </c>
      <c r="K478" s="568">
        <v>120.69465306875378</v>
      </c>
      <c r="L478" s="560">
        <v>6.5775950668037</v>
      </c>
      <c r="M478" s="1057">
        <f t="shared" si="52"/>
        <v>120.69465306875378</v>
      </c>
      <c r="N478" s="1058">
        <f t="shared" si="52"/>
        <v>6.5775950668037</v>
      </c>
      <c r="O478" s="569">
        <v>12.649221282314807</v>
      </c>
      <c r="P478" s="560">
        <v>0</v>
      </c>
      <c r="Q478" s="570">
        <v>25.340606635570662</v>
      </c>
      <c r="R478" s="571">
        <v>514.34896039212583</v>
      </c>
      <c r="S478" s="1075">
        <f t="shared" si="53"/>
        <v>514.34896039212583</v>
      </c>
      <c r="T478" s="1075">
        <f t="shared" si="51"/>
        <v>0</v>
      </c>
    </row>
    <row r="479" spans="1:20" ht="16.5" thickBot="1" x14ac:dyDescent="0.3">
      <c r="A479" s="652" t="s">
        <v>930</v>
      </c>
      <c r="B479" s="652"/>
      <c r="C479" s="807" t="s">
        <v>1145</v>
      </c>
      <c r="D479" s="549">
        <v>120.69465306875378</v>
      </c>
      <c r="E479" s="550">
        <v>0</v>
      </c>
      <c r="F479" s="551">
        <v>0</v>
      </c>
      <c r="G479" s="560">
        <v>9.6555722455003021</v>
      </c>
      <c r="H479" s="566">
        <v>130.35022531425409</v>
      </c>
      <c r="I479" s="567">
        <v>0</v>
      </c>
      <c r="J479" s="560">
        <v>0</v>
      </c>
      <c r="K479" s="568">
        <v>98.558515824702866</v>
      </c>
      <c r="L479" s="560">
        <v>7.88468126597623</v>
      </c>
      <c r="M479" s="1057">
        <f t="shared" si="52"/>
        <v>98.558515824702866</v>
      </c>
      <c r="N479" s="1058">
        <f t="shared" si="52"/>
        <v>7.88468126597623</v>
      </c>
      <c r="O479" s="569">
        <v>12.649221282314807</v>
      </c>
      <c r="P479" s="560">
        <v>0</v>
      </c>
      <c r="Q479" s="570">
        <v>17.540253511476532</v>
      </c>
      <c r="R479" s="571">
        <v>249.44264368724799</v>
      </c>
      <c r="S479" s="1075">
        <f t="shared" si="53"/>
        <v>249.44264368724799</v>
      </c>
      <c r="T479" s="1075">
        <f t="shared" si="51"/>
        <v>0</v>
      </c>
    </row>
    <row r="480" spans="1:20" ht="15.75" x14ac:dyDescent="0.25">
      <c r="A480" s="690" t="s">
        <v>746</v>
      </c>
      <c r="B480" s="693" t="s">
        <v>429</v>
      </c>
      <c r="C480" s="806" t="s">
        <v>1147</v>
      </c>
      <c r="D480" s="549">
        <v>4.9608404483911857</v>
      </c>
      <c r="E480" s="550">
        <v>176.33031771559337</v>
      </c>
      <c r="F480" s="551">
        <v>0</v>
      </c>
      <c r="G480" s="560">
        <v>31.739457188806806</v>
      </c>
      <c r="H480" s="566">
        <v>213.03061535279136</v>
      </c>
      <c r="I480" s="567">
        <v>132.24773828669504</v>
      </c>
      <c r="J480" s="560">
        <v>23.804592891605107</v>
      </c>
      <c r="K480" s="568">
        <v>0</v>
      </c>
      <c r="L480" s="560">
        <v>0</v>
      </c>
      <c r="M480" s="1057">
        <f t="shared" si="52"/>
        <v>132.24773828669504</v>
      </c>
      <c r="N480" s="1058">
        <f t="shared" si="52"/>
        <v>23.804592891605107</v>
      </c>
      <c r="O480" s="569">
        <v>0</v>
      </c>
      <c r="P480" s="560">
        <v>0</v>
      </c>
      <c r="Q480" s="570">
        <v>55.544050080411914</v>
      </c>
      <c r="R480" s="571">
        <v>369.08294653109152</v>
      </c>
      <c r="S480" s="1075">
        <f t="shared" si="53"/>
        <v>369.08294653109152</v>
      </c>
      <c r="T480" s="1075">
        <f t="shared" si="51"/>
        <v>0</v>
      </c>
    </row>
    <row r="481" spans="1:20" ht="15.75" x14ac:dyDescent="0.25">
      <c r="A481" s="639" t="s">
        <v>747</v>
      </c>
      <c r="B481" s="639"/>
      <c r="C481" s="724" t="s">
        <v>1147</v>
      </c>
      <c r="D481" s="549">
        <v>4.9608404483911857</v>
      </c>
      <c r="E481" s="550">
        <v>176.33031771559337</v>
      </c>
      <c r="F481" s="551">
        <v>0</v>
      </c>
      <c r="G481" s="560">
        <v>31.739457188806806</v>
      </c>
      <c r="H481" s="566">
        <v>213.03061535279136</v>
      </c>
      <c r="I481" s="567">
        <v>132.24773828669504</v>
      </c>
      <c r="J481" s="560">
        <v>23.804592891605107</v>
      </c>
      <c r="K481" s="568">
        <v>0</v>
      </c>
      <c r="L481" s="560">
        <v>0</v>
      </c>
      <c r="M481" s="1057">
        <f t="shared" si="52"/>
        <v>132.24773828669504</v>
      </c>
      <c r="N481" s="1058">
        <f t="shared" si="52"/>
        <v>23.804592891605107</v>
      </c>
      <c r="O481" s="569">
        <v>0</v>
      </c>
      <c r="P481" s="560">
        <v>0</v>
      </c>
      <c r="Q481" s="570">
        <v>55.544050080411914</v>
      </c>
      <c r="R481" s="571">
        <v>369.08294653109152</v>
      </c>
      <c r="S481" s="1075">
        <f t="shared" si="53"/>
        <v>369.08294653109152</v>
      </c>
      <c r="T481" s="1075">
        <f t="shared" si="51"/>
        <v>0</v>
      </c>
    </row>
    <row r="482" spans="1:20" ht="15.75" x14ac:dyDescent="0.25">
      <c r="A482" s="639" t="s">
        <v>748</v>
      </c>
      <c r="B482" s="639"/>
      <c r="C482" s="724" t="s">
        <v>1147</v>
      </c>
      <c r="D482" s="549">
        <v>4.9608404483911857</v>
      </c>
      <c r="E482" s="550">
        <v>176.33031771559337</v>
      </c>
      <c r="F482" s="551">
        <v>0</v>
      </c>
      <c r="G482" s="560">
        <v>31.739457188806806</v>
      </c>
      <c r="H482" s="566">
        <v>213.03061535279136</v>
      </c>
      <c r="I482" s="567">
        <v>132.24773828669504</v>
      </c>
      <c r="J482" s="560">
        <v>23.804592891605107</v>
      </c>
      <c r="K482" s="568">
        <v>0</v>
      </c>
      <c r="L482" s="560">
        <v>0</v>
      </c>
      <c r="M482" s="1057">
        <f t="shared" si="52"/>
        <v>132.24773828669504</v>
      </c>
      <c r="N482" s="1058">
        <f t="shared" si="52"/>
        <v>23.804592891605107</v>
      </c>
      <c r="O482" s="569">
        <v>0</v>
      </c>
      <c r="P482" s="560">
        <v>0</v>
      </c>
      <c r="Q482" s="570">
        <v>55.544050080411914</v>
      </c>
      <c r="R482" s="571">
        <v>369.08294653109152</v>
      </c>
      <c r="S482" s="1075">
        <f t="shared" si="53"/>
        <v>369.08294653109152</v>
      </c>
      <c r="T482" s="1075">
        <f t="shared" si="51"/>
        <v>0</v>
      </c>
    </row>
    <row r="483" spans="1:20" ht="16.5" thickBot="1" x14ac:dyDescent="0.3">
      <c r="A483" s="652" t="s">
        <v>749</v>
      </c>
      <c r="B483" s="652"/>
      <c r="C483" s="807" t="s">
        <v>1147</v>
      </c>
      <c r="D483" s="549">
        <v>4.9608404483911857</v>
      </c>
      <c r="E483" s="550">
        <v>176.33031771559337</v>
      </c>
      <c r="F483" s="551">
        <v>0</v>
      </c>
      <c r="G483" s="560">
        <v>31.739457188806806</v>
      </c>
      <c r="H483" s="566">
        <v>213.03061535279136</v>
      </c>
      <c r="I483" s="567">
        <v>132.24773828669504</v>
      </c>
      <c r="J483" s="560">
        <v>23.804592891605107</v>
      </c>
      <c r="K483" s="568">
        <v>0</v>
      </c>
      <c r="L483" s="560">
        <v>0</v>
      </c>
      <c r="M483" s="1057">
        <f t="shared" si="52"/>
        <v>132.24773828669504</v>
      </c>
      <c r="N483" s="1058">
        <f t="shared" si="52"/>
        <v>23.804592891605107</v>
      </c>
      <c r="O483" s="569">
        <v>0</v>
      </c>
      <c r="P483" s="560">
        <v>0</v>
      </c>
      <c r="Q483" s="570">
        <v>55.544050080411914</v>
      </c>
      <c r="R483" s="571">
        <v>369.08294653109152</v>
      </c>
      <c r="S483" s="1075">
        <f t="shared" si="53"/>
        <v>369.08294653109152</v>
      </c>
      <c r="T483" s="1075">
        <f t="shared" si="51"/>
        <v>0</v>
      </c>
    </row>
    <row r="484" spans="1:20" ht="15.75" x14ac:dyDescent="0.25">
      <c r="A484" s="663" t="s">
        <v>165</v>
      </c>
      <c r="B484" s="1046"/>
      <c r="C484" s="802" t="s">
        <v>1149</v>
      </c>
      <c r="D484" s="549">
        <v>35.247053735538977</v>
      </c>
      <c r="E484" s="550">
        <v>410.66601794788625</v>
      </c>
      <c r="F484" s="551">
        <v>0</v>
      </c>
      <c r="G484" s="560">
        <v>0</v>
      </c>
      <c r="H484" s="566">
        <v>445.91307168342524</v>
      </c>
      <c r="I484" s="567">
        <v>0</v>
      </c>
      <c r="J484" s="560">
        <v>0</v>
      </c>
      <c r="K484" s="568">
        <v>354.11936425559514</v>
      </c>
      <c r="L484" s="560">
        <v>0</v>
      </c>
      <c r="M484" s="1057">
        <f t="shared" si="52"/>
        <v>354.11936425559514</v>
      </c>
      <c r="N484" s="1058">
        <f t="shared" si="52"/>
        <v>0</v>
      </c>
      <c r="O484" s="569">
        <v>0</v>
      </c>
      <c r="P484" s="560">
        <v>0</v>
      </c>
      <c r="Q484" s="570">
        <v>0</v>
      </c>
      <c r="R484" s="571">
        <v>800.03243593902039</v>
      </c>
      <c r="S484" s="1075">
        <f t="shared" si="53"/>
        <v>800.03243593902039</v>
      </c>
      <c r="T484" s="1075">
        <f t="shared" si="51"/>
        <v>0</v>
      </c>
    </row>
    <row r="485" spans="1:20" ht="15.75" x14ac:dyDescent="0.25">
      <c r="A485" s="547" t="s">
        <v>166</v>
      </c>
      <c r="B485" s="1046" t="s">
        <v>429</v>
      </c>
      <c r="C485" s="802" t="s">
        <v>1149</v>
      </c>
      <c r="D485" s="549">
        <v>46.559087468915564</v>
      </c>
      <c r="E485" s="550">
        <v>346.22661909395612</v>
      </c>
      <c r="F485" s="551">
        <v>0</v>
      </c>
      <c r="G485" s="560">
        <v>0</v>
      </c>
      <c r="H485" s="566">
        <v>392.78570656287167</v>
      </c>
      <c r="I485" s="567">
        <v>0</v>
      </c>
      <c r="J485" s="560">
        <v>0</v>
      </c>
      <c r="K485" s="568">
        <v>555.80333008973946</v>
      </c>
      <c r="L485" s="560">
        <v>0</v>
      </c>
      <c r="M485" s="1057">
        <f t="shared" si="52"/>
        <v>555.80333008973946</v>
      </c>
      <c r="N485" s="1058">
        <f t="shared" si="52"/>
        <v>0</v>
      </c>
      <c r="O485" s="569">
        <v>0</v>
      </c>
      <c r="P485" s="560">
        <v>0</v>
      </c>
      <c r="Q485" s="570">
        <v>0</v>
      </c>
      <c r="R485" s="571">
        <v>948.58903665261118</v>
      </c>
      <c r="S485" s="1075">
        <f t="shared" si="53"/>
        <v>948.58903665261118</v>
      </c>
      <c r="T485" s="1075">
        <f t="shared" si="51"/>
        <v>0</v>
      </c>
    </row>
    <row r="486" spans="1:20" ht="15.75" x14ac:dyDescent="0.25">
      <c r="A486" s="547" t="s">
        <v>167</v>
      </c>
      <c r="B486" s="1046" t="s">
        <v>429</v>
      </c>
      <c r="C486" s="802" t="s">
        <v>1149</v>
      </c>
      <c r="D486" s="549">
        <v>42.301870472483515</v>
      </c>
      <c r="E486" s="550">
        <v>346.98345767109959</v>
      </c>
      <c r="F486" s="551">
        <v>0</v>
      </c>
      <c r="G486" s="560">
        <v>0</v>
      </c>
      <c r="H486" s="566">
        <v>389.28532814358311</v>
      </c>
      <c r="I486" s="567">
        <v>0</v>
      </c>
      <c r="J486" s="560">
        <v>0</v>
      </c>
      <c r="K486" s="568">
        <v>264.71780733052219</v>
      </c>
      <c r="L486" s="560">
        <v>0</v>
      </c>
      <c r="M486" s="1057">
        <f t="shared" si="52"/>
        <v>264.71780733052219</v>
      </c>
      <c r="N486" s="1058">
        <f t="shared" si="52"/>
        <v>0</v>
      </c>
      <c r="O486" s="569">
        <v>0</v>
      </c>
      <c r="P486" s="560">
        <v>0</v>
      </c>
      <c r="Q486" s="570">
        <v>0</v>
      </c>
      <c r="R486" s="571">
        <v>654.00313547410531</v>
      </c>
      <c r="S486" s="1075">
        <f t="shared" si="53"/>
        <v>654.00313547410531</v>
      </c>
      <c r="T486" s="1075">
        <f t="shared" si="51"/>
        <v>0</v>
      </c>
    </row>
    <row r="487" spans="1:20" ht="15.75" x14ac:dyDescent="0.25">
      <c r="A487" s="547" t="s">
        <v>168</v>
      </c>
      <c r="B487" s="1046"/>
      <c r="C487" s="802" t="s">
        <v>1149</v>
      </c>
      <c r="D487" s="549">
        <v>43.031679100443291</v>
      </c>
      <c r="E487" s="550">
        <v>476.26770461671526</v>
      </c>
      <c r="F487" s="551">
        <v>0</v>
      </c>
      <c r="G487" s="560">
        <v>0</v>
      </c>
      <c r="H487" s="566">
        <v>519.29938371715855</v>
      </c>
      <c r="I487" s="567">
        <v>0</v>
      </c>
      <c r="J487" s="560">
        <v>0</v>
      </c>
      <c r="K487" s="568">
        <v>447.87274299924314</v>
      </c>
      <c r="L487" s="560">
        <v>0</v>
      </c>
      <c r="M487" s="1057">
        <f t="shared" si="52"/>
        <v>447.87274299924314</v>
      </c>
      <c r="N487" s="1058">
        <f t="shared" si="52"/>
        <v>0</v>
      </c>
      <c r="O487" s="569">
        <v>0</v>
      </c>
      <c r="P487" s="560">
        <v>0</v>
      </c>
      <c r="Q487" s="570">
        <v>0</v>
      </c>
      <c r="R487" s="571">
        <v>967.17212671640164</v>
      </c>
      <c r="S487" s="1075">
        <f t="shared" si="53"/>
        <v>967.17212671640164</v>
      </c>
      <c r="T487" s="1075">
        <f t="shared" si="51"/>
        <v>0</v>
      </c>
    </row>
    <row r="488" spans="1:20" ht="16.5" thickBot="1" x14ac:dyDescent="0.3">
      <c r="A488" s="547" t="s">
        <v>169</v>
      </c>
      <c r="B488" s="1046"/>
      <c r="C488" s="802" t="s">
        <v>1149</v>
      </c>
      <c r="D488" s="549">
        <v>32.530543842577572</v>
      </c>
      <c r="E488" s="550">
        <v>364.36371499621583</v>
      </c>
      <c r="F488" s="551">
        <v>0</v>
      </c>
      <c r="G488" s="560">
        <v>0</v>
      </c>
      <c r="H488" s="566">
        <v>396.89425883879341</v>
      </c>
      <c r="I488" s="567">
        <v>0</v>
      </c>
      <c r="J488" s="560">
        <v>0</v>
      </c>
      <c r="K488" s="568">
        <v>527.09752405665472</v>
      </c>
      <c r="L488" s="560">
        <v>0</v>
      </c>
      <c r="M488" s="1057">
        <f t="shared" si="52"/>
        <v>527.09752405665472</v>
      </c>
      <c r="N488" s="1058">
        <f t="shared" si="52"/>
        <v>0</v>
      </c>
      <c r="O488" s="569">
        <v>0</v>
      </c>
      <c r="P488" s="560">
        <v>0</v>
      </c>
      <c r="Q488" s="570">
        <v>0</v>
      </c>
      <c r="R488" s="571">
        <v>923.99178289544807</v>
      </c>
      <c r="S488" s="1075">
        <f t="shared" si="53"/>
        <v>923.99178289544807</v>
      </c>
      <c r="T488" s="1075">
        <f t="shared" si="51"/>
        <v>0</v>
      </c>
    </row>
    <row r="489" spans="1:20" ht="15.75" x14ac:dyDescent="0.25">
      <c r="A489" s="638" t="s">
        <v>170</v>
      </c>
      <c r="B489" s="693"/>
      <c r="C489" s="806" t="s">
        <v>1151</v>
      </c>
      <c r="D489" s="549" t="s">
        <v>5</v>
      </c>
      <c r="E489" s="550">
        <v>269.10000000000002</v>
      </c>
      <c r="F489" s="551" t="s">
        <v>5</v>
      </c>
      <c r="G489" s="560" t="s">
        <v>5</v>
      </c>
      <c r="H489" s="566">
        <v>269.10000000000002</v>
      </c>
      <c r="I489" s="567" t="s">
        <v>5</v>
      </c>
      <c r="J489" s="560" t="s">
        <v>5</v>
      </c>
      <c r="K489" s="568">
        <v>427.87</v>
      </c>
      <c r="L489" s="560" t="s">
        <v>5</v>
      </c>
      <c r="M489" s="1057">
        <f t="shared" ref="M489:M495" si="54">K489</f>
        <v>427.87</v>
      </c>
      <c r="N489" s="1077" t="s">
        <v>5</v>
      </c>
      <c r="O489" s="569" t="s">
        <v>5</v>
      </c>
      <c r="P489" s="560" t="s">
        <v>5</v>
      </c>
      <c r="Q489" s="570" t="s">
        <v>5</v>
      </c>
      <c r="R489" s="571">
        <v>696.97</v>
      </c>
      <c r="S489" s="1075">
        <f>H489+M489</f>
        <v>696.97</v>
      </c>
      <c r="T489" s="1075">
        <f t="shared" si="51"/>
        <v>0</v>
      </c>
    </row>
    <row r="490" spans="1:20" ht="15.75" x14ac:dyDescent="0.25">
      <c r="A490" s="639" t="s">
        <v>171</v>
      </c>
      <c r="B490" s="639" t="s">
        <v>429</v>
      </c>
      <c r="C490" s="724" t="s">
        <v>1151</v>
      </c>
      <c r="D490" s="549">
        <v>121.92</v>
      </c>
      <c r="E490" s="550">
        <v>259.12</v>
      </c>
      <c r="F490" s="551">
        <v>47.32</v>
      </c>
      <c r="G490" s="560" t="s">
        <v>5</v>
      </c>
      <c r="H490" s="566">
        <v>428.36</v>
      </c>
      <c r="I490" s="567" t="s">
        <v>5</v>
      </c>
      <c r="J490" s="560" t="s">
        <v>5</v>
      </c>
      <c r="K490" s="568">
        <v>588.34</v>
      </c>
      <c r="L490" s="560" t="s">
        <v>5</v>
      </c>
      <c r="M490" s="1057">
        <f t="shared" si="54"/>
        <v>588.34</v>
      </c>
      <c r="N490" s="1077" t="s">
        <v>5</v>
      </c>
      <c r="O490" s="569">
        <v>334.2</v>
      </c>
      <c r="P490" s="560" t="s">
        <v>5</v>
      </c>
      <c r="Q490" s="570" t="s">
        <v>5</v>
      </c>
      <c r="R490" s="571">
        <v>1350.9</v>
      </c>
      <c r="S490" s="1075">
        <f>H490+M490+O490</f>
        <v>1350.9</v>
      </c>
      <c r="T490" s="1075">
        <f t="shared" si="51"/>
        <v>0</v>
      </c>
    </row>
    <row r="491" spans="1:20" ht="15.75" x14ac:dyDescent="0.25">
      <c r="A491" s="639" t="s">
        <v>172</v>
      </c>
      <c r="B491" s="639"/>
      <c r="C491" s="724" t="s">
        <v>1151</v>
      </c>
      <c r="D491" s="549" t="s">
        <v>5</v>
      </c>
      <c r="E491" s="550">
        <v>408.34</v>
      </c>
      <c r="F491" s="551" t="s">
        <v>5</v>
      </c>
      <c r="G491" s="560" t="s">
        <v>5</v>
      </c>
      <c r="H491" s="566">
        <v>408.34</v>
      </c>
      <c r="I491" s="567" t="s">
        <v>5</v>
      </c>
      <c r="J491" s="560" t="s">
        <v>5</v>
      </c>
      <c r="K491" s="568">
        <v>332.24</v>
      </c>
      <c r="L491" s="560" t="s">
        <v>5</v>
      </c>
      <c r="M491" s="1057">
        <f t="shared" si="54"/>
        <v>332.24</v>
      </c>
      <c r="N491" s="1077" t="s">
        <v>5</v>
      </c>
      <c r="O491" s="569" t="s">
        <v>5</v>
      </c>
      <c r="P491" s="560" t="s">
        <v>5</v>
      </c>
      <c r="Q491" s="570" t="s">
        <v>5</v>
      </c>
      <c r="R491" s="571">
        <v>740.57999999999993</v>
      </c>
      <c r="S491" s="1075">
        <f>H491+M491</f>
        <v>740.57999999999993</v>
      </c>
      <c r="T491" s="1075">
        <f t="shared" ref="T491:T495" si="55">R491-S491</f>
        <v>0</v>
      </c>
    </row>
    <row r="492" spans="1:20" ht="15.75" x14ac:dyDescent="0.25">
      <c r="A492" s="639" t="s">
        <v>173</v>
      </c>
      <c r="B492" s="639"/>
      <c r="C492" s="724" t="s">
        <v>1151</v>
      </c>
      <c r="D492" s="549" t="s">
        <v>5</v>
      </c>
      <c r="E492" s="550">
        <v>205.11</v>
      </c>
      <c r="F492" s="551" t="s">
        <v>5</v>
      </c>
      <c r="G492" s="560" t="s">
        <v>5</v>
      </c>
      <c r="H492" s="566">
        <v>205.11</v>
      </c>
      <c r="I492" s="567" t="s">
        <v>5</v>
      </c>
      <c r="J492" s="560" t="s">
        <v>5</v>
      </c>
      <c r="K492" s="568">
        <v>205.11</v>
      </c>
      <c r="L492" s="560" t="s">
        <v>5</v>
      </c>
      <c r="M492" s="1057">
        <f t="shared" si="54"/>
        <v>205.11</v>
      </c>
      <c r="N492" s="1077" t="s">
        <v>5</v>
      </c>
      <c r="O492" s="569" t="s">
        <v>5</v>
      </c>
      <c r="P492" s="560" t="s">
        <v>5</v>
      </c>
      <c r="Q492" s="570" t="s">
        <v>5</v>
      </c>
      <c r="R492" s="571">
        <v>410.22</v>
      </c>
      <c r="S492" s="1075">
        <f>H492+M492</f>
        <v>410.22</v>
      </c>
      <c r="T492" s="1075">
        <f t="shared" si="55"/>
        <v>0</v>
      </c>
    </row>
    <row r="493" spans="1:20" ht="15.75" x14ac:dyDescent="0.25">
      <c r="A493" s="639" t="s">
        <v>174</v>
      </c>
      <c r="B493" s="639"/>
      <c r="C493" s="724" t="s">
        <v>1151</v>
      </c>
      <c r="D493" s="549">
        <v>184.68</v>
      </c>
      <c r="E493" s="550">
        <v>120.99</v>
      </c>
      <c r="F493" s="551" t="s">
        <v>5</v>
      </c>
      <c r="G493" s="560" t="s">
        <v>5</v>
      </c>
      <c r="H493" s="566">
        <v>305.67</v>
      </c>
      <c r="I493" s="567" t="s">
        <v>5</v>
      </c>
      <c r="J493" s="560" t="s">
        <v>5</v>
      </c>
      <c r="K493" s="568">
        <v>362.52</v>
      </c>
      <c r="L493" s="560" t="s">
        <v>5</v>
      </c>
      <c r="M493" s="1057">
        <f t="shared" si="54"/>
        <v>362.52</v>
      </c>
      <c r="N493" s="1077" t="s">
        <v>5</v>
      </c>
      <c r="O493" s="569">
        <v>16.670000000000002</v>
      </c>
      <c r="P493" s="560" t="s">
        <v>5</v>
      </c>
      <c r="Q493" s="570" t="s">
        <v>5</v>
      </c>
      <c r="R493" s="571">
        <v>684.86</v>
      </c>
      <c r="S493" s="1075">
        <f>H493+M493+O493</f>
        <v>684.86</v>
      </c>
      <c r="T493" s="1075">
        <f t="shared" si="55"/>
        <v>0</v>
      </c>
    </row>
    <row r="494" spans="1:20" ht="15.75" x14ac:dyDescent="0.25">
      <c r="A494" s="639" t="s">
        <v>175</v>
      </c>
      <c r="B494" s="639"/>
      <c r="C494" s="724" t="s">
        <v>1151</v>
      </c>
      <c r="D494" s="549">
        <v>38.4</v>
      </c>
      <c r="E494" s="550">
        <v>93.57</v>
      </c>
      <c r="F494" s="551" t="s">
        <v>5</v>
      </c>
      <c r="G494" s="560" t="s">
        <v>5</v>
      </c>
      <c r="H494" s="566">
        <v>131.97</v>
      </c>
      <c r="I494" s="567" t="s">
        <v>5</v>
      </c>
      <c r="J494" s="560" t="s">
        <v>5</v>
      </c>
      <c r="K494" s="568">
        <v>248.71</v>
      </c>
      <c r="L494" s="560" t="s">
        <v>5</v>
      </c>
      <c r="M494" s="1057">
        <f t="shared" si="54"/>
        <v>248.71</v>
      </c>
      <c r="N494" s="1077" t="s">
        <v>5</v>
      </c>
      <c r="O494" s="569" t="s">
        <v>5</v>
      </c>
      <c r="P494" s="560" t="s">
        <v>5</v>
      </c>
      <c r="Q494" s="570" t="s">
        <v>5</v>
      </c>
      <c r="R494" s="571">
        <v>380.68</v>
      </c>
      <c r="S494" s="1075">
        <f>H494+M494</f>
        <v>380.68</v>
      </c>
      <c r="T494" s="1075">
        <f t="shared" si="55"/>
        <v>0</v>
      </c>
    </row>
    <row r="495" spans="1:20" ht="16.5" thickBot="1" x14ac:dyDescent="0.3">
      <c r="A495" s="714" t="s">
        <v>212</v>
      </c>
      <c r="B495" s="1053"/>
      <c r="C495" s="807" t="s">
        <v>1151</v>
      </c>
      <c r="D495" s="716">
        <v>48</v>
      </c>
      <c r="E495" s="717">
        <v>249.32</v>
      </c>
      <c r="F495" s="718" t="s">
        <v>5</v>
      </c>
      <c r="G495" s="719" t="s">
        <v>5</v>
      </c>
      <c r="H495" s="566">
        <v>297.32</v>
      </c>
      <c r="I495" s="567" t="s">
        <v>5</v>
      </c>
      <c r="J495" s="560" t="s">
        <v>5</v>
      </c>
      <c r="K495" s="720">
        <v>308.33</v>
      </c>
      <c r="L495" s="560" t="s">
        <v>5</v>
      </c>
      <c r="M495" s="1057">
        <f t="shared" si="54"/>
        <v>308.33</v>
      </c>
      <c r="N495" s="1077" t="s">
        <v>5</v>
      </c>
      <c r="O495" s="721">
        <v>12.36</v>
      </c>
      <c r="P495" s="560" t="s">
        <v>5</v>
      </c>
      <c r="Q495" s="570" t="s">
        <v>5</v>
      </c>
      <c r="R495" s="571">
        <v>618.01</v>
      </c>
      <c r="S495" s="1075">
        <f>H495+M495+O495</f>
        <v>618.01</v>
      </c>
      <c r="T495" s="1075">
        <f t="shared" si="55"/>
        <v>0</v>
      </c>
    </row>
    <row r="499" spans="1:8" ht="63.75" thickBot="1" x14ac:dyDescent="0.3">
      <c r="A499" s="1059" t="s">
        <v>58</v>
      </c>
      <c r="B499" s="1060" t="s">
        <v>1022</v>
      </c>
      <c r="C499" s="1061" t="s">
        <v>1294</v>
      </c>
      <c r="D499" s="1062" t="s">
        <v>1295</v>
      </c>
      <c r="E499" s="1063" t="s">
        <v>1194</v>
      </c>
      <c r="F499" s="1064" t="s">
        <v>1195</v>
      </c>
      <c r="G499" s="1065" t="s">
        <v>1196</v>
      </c>
      <c r="H499" s="1093" t="s">
        <v>1203</v>
      </c>
    </row>
    <row r="500" spans="1:8" ht="15.75" x14ac:dyDescent="0.25">
      <c r="A500" s="1094" t="s">
        <v>108</v>
      </c>
      <c r="B500" s="805" t="s">
        <v>1074</v>
      </c>
      <c r="C500" s="625">
        <v>0.60023289036146021</v>
      </c>
      <c r="D500" s="550">
        <v>47.022244630916795</v>
      </c>
      <c r="E500" s="551">
        <v>0.96037262457833639</v>
      </c>
      <c r="F500" s="560">
        <v>4.861886411927828</v>
      </c>
      <c r="G500" s="566">
        <v>53.444736557784417</v>
      </c>
      <c r="H500" s="1096">
        <f t="shared" ref="H500:H531" si="56">SUM(C500:F500)</f>
        <v>53.444736557784417</v>
      </c>
    </row>
    <row r="501" spans="1:8" ht="15.75" x14ac:dyDescent="0.25">
      <c r="A501" s="781" t="s">
        <v>526</v>
      </c>
      <c r="B501" s="1083" t="s">
        <v>1026</v>
      </c>
      <c r="C501" s="625">
        <v>52.78568919107235</v>
      </c>
      <c r="D501" s="593">
        <v>0</v>
      </c>
      <c r="E501" s="594">
        <v>0</v>
      </c>
      <c r="F501" s="595">
        <v>10.557137838214471</v>
      </c>
      <c r="G501" s="566">
        <v>63.342827029286823</v>
      </c>
      <c r="H501" s="1096">
        <f t="shared" si="56"/>
        <v>63.342827029286823</v>
      </c>
    </row>
    <row r="502" spans="1:8" ht="15.75" x14ac:dyDescent="0.25">
      <c r="A502" s="1090" t="s">
        <v>82</v>
      </c>
      <c r="B502" s="805" t="s">
        <v>1048</v>
      </c>
      <c r="C502" s="625">
        <v>27.510121600805885</v>
      </c>
      <c r="D502" s="593">
        <v>52.525452762322999</v>
      </c>
      <c r="E502" s="594">
        <v>3.3713384314713095</v>
      </c>
      <c r="F502" s="595">
        <v>0</v>
      </c>
      <c r="G502" s="566">
        <v>83.406912794600203</v>
      </c>
      <c r="H502" s="1096">
        <f t="shared" si="56"/>
        <v>83.406912794600203</v>
      </c>
    </row>
    <row r="503" spans="1:8" ht="15.75" x14ac:dyDescent="0.25">
      <c r="A503" s="1090" t="s">
        <v>468</v>
      </c>
      <c r="B503" s="805" t="s">
        <v>1044</v>
      </c>
      <c r="C503" s="625">
        <v>91.359877940742194</v>
      </c>
      <c r="D503" s="593">
        <v>0</v>
      </c>
      <c r="E503" s="594">
        <v>0</v>
      </c>
      <c r="F503" s="595">
        <v>0</v>
      </c>
      <c r="G503" s="566">
        <v>91.359877940742194</v>
      </c>
      <c r="H503" s="1096">
        <f t="shared" si="56"/>
        <v>91.359877940742194</v>
      </c>
    </row>
    <row r="504" spans="1:8" ht="15.75" x14ac:dyDescent="0.25">
      <c r="A504" s="1090" t="s">
        <v>83</v>
      </c>
      <c r="B504" s="805" t="s">
        <v>1048</v>
      </c>
      <c r="C504" s="625">
        <v>14.442813840423089</v>
      </c>
      <c r="D504" s="593">
        <v>77.675637461098972</v>
      </c>
      <c r="E504" s="594">
        <v>3.3713384314713095</v>
      </c>
      <c r="F504" s="595">
        <v>0</v>
      </c>
      <c r="G504" s="566">
        <v>95.489789732993373</v>
      </c>
      <c r="H504" s="1096">
        <f t="shared" si="56"/>
        <v>95.489789732993373</v>
      </c>
    </row>
    <row r="505" spans="1:8" ht="15.75" x14ac:dyDescent="0.25">
      <c r="A505" s="1087" t="s">
        <v>148</v>
      </c>
      <c r="B505" s="805" t="s">
        <v>1131</v>
      </c>
      <c r="C505" s="625">
        <v>0</v>
      </c>
      <c r="D505" s="550">
        <v>99.327600505627913</v>
      </c>
      <c r="E505" s="551">
        <v>0</v>
      </c>
      <c r="F505" s="560">
        <v>0</v>
      </c>
      <c r="G505" s="566">
        <v>99.327600505627913</v>
      </c>
      <c r="H505" s="1096">
        <f t="shared" si="56"/>
        <v>99.327600505627913</v>
      </c>
    </row>
    <row r="506" spans="1:8" ht="15.75" x14ac:dyDescent="0.25">
      <c r="A506" s="1087" t="s">
        <v>1307</v>
      </c>
      <c r="B506" s="805" t="s">
        <v>1120</v>
      </c>
      <c r="C506" s="625">
        <v>0</v>
      </c>
      <c r="D506" s="550">
        <v>96.577386970696821</v>
      </c>
      <c r="E506" s="551">
        <v>4.0095931686252637</v>
      </c>
      <c r="F506" s="560">
        <v>0</v>
      </c>
      <c r="G506" s="566">
        <v>100.58698013932208</v>
      </c>
      <c r="H506" s="1096">
        <f t="shared" si="56"/>
        <v>100.58698013932208</v>
      </c>
    </row>
    <row r="507" spans="1:8" ht="15.75" x14ac:dyDescent="0.25">
      <c r="A507" s="1090" t="s">
        <v>79</v>
      </c>
      <c r="B507" s="805" t="s">
        <v>1044</v>
      </c>
      <c r="C507" s="625">
        <v>101.51097548971356</v>
      </c>
      <c r="D507" s="593">
        <v>0</v>
      </c>
      <c r="E507" s="594">
        <v>0</v>
      </c>
      <c r="F507" s="595">
        <v>0</v>
      </c>
      <c r="G507" s="566">
        <v>101.51097548971356</v>
      </c>
      <c r="H507" s="1096">
        <f t="shared" si="56"/>
        <v>101.51097548971356</v>
      </c>
    </row>
    <row r="508" spans="1:8" ht="15.75" x14ac:dyDescent="0.25">
      <c r="A508" s="502" t="s">
        <v>887</v>
      </c>
      <c r="B508" s="804" t="s">
        <v>1120</v>
      </c>
      <c r="C508" s="625">
        <v>0</v>
      </c>
      <c r="D508" s="550">
        <v>106.71419394245939</v>
      </c>
      <c r="E508" s="551">
        <v>0</v>
      </c>
      <c r="F508" s="560">
        <v>0</v>
      </c>
      <c r="G508" s="566">
        <v>106.71419394245939</v>
      </c>
      <c r="H508" s="1096">
        <f t="shared" si="56"/>
        <v>106.71419394245939</v>
      </c>
    </row>
    <row r="509" spans="1:8" ht="15.75" x14ac:dyDescent="0.25">
      <c r="A509" s="1087" t="s">
        <v>143</v>
      </c>
      <c r="B509" s="805" t="s">
        <v>1131</v>
      </c>
      <c r="C509" s="625">
        <v>0</v>
      </c>
      <c r="D509" s="550">
        <v>107.2378189267215</v>
      </c>
      <c r="E509" s="551">
        <v>0</v>
      </c>
      <c r="F509" s="560">
        <v>0</v>
      </c>
      <c r="G509" s="566">
        <v>107.2378189267215</v>
      </c>
      <c r="H509" s="1096">
        <f t="shared" si="56"/>
        <v>107.2378189267215</v>
      </c>
    </row>
    <row r="510" spans="1:8" ht="15.75" x14ac:dyDescent="0.25">
      <c r="A510" s="1090" t="s">
        <v>84</v>
      </c>
      <c r="B510" s="805" t="s">
        <v>1046</v>
      </c>
      <c r="C510" s="625">
        <v>0</v>
      </c>
      <c r="D510" s="593">
        <v>113.95744452081885</v>
      </c>
      <c r="E510" s="594">
        <v>0</v>
      </c>
      <c r="F510" s="595">
        <v>0</v>
      </c>
      <c r="G510" s="566">
        <v>113.95744452081885</v>
      </c>
      <c r="H510" s="1096">
        <f t="shared" si="56"/>
        <v>113.95744452081885</v>
      </c>
    </row>
    <row r="511" spans="1:8" ht="15.75" x14ac:dyDescent="0.25">
      <c r="A511" s="781" t="s">
        <v>621</v>
      </c>
      <c r="B511" s="1083" t="s">
        <v>1092</v>
      </c>
      <c r="C511" s="625">
        <v>114.8934439564015</v>
      </c>
      <c r="D511" s="550">
        <v>0</v>
      </c>
      <c r="E511" s="551">
        <v>0</v>
      </c>
      <c r="F511" s="560">
        <v>0</v>
      </c>
      <c r="G511" s="566">
        <v>114.8934439564015</v>
      </c>
      <c r="H511" s="1096">
        <f t="shared" si="56"/>
        <v>114.8934439564015</v>
      </c>
    </row>
    <row r="512" spans="1:8" ht="15.75" x14ac:dyDescent="0.25">
      <c r="A512" s="1087" t="s">
        <v>147</v>
      </c>
      <c r="B512" s="805" t="s">
        <v>1131</v>
      </c>
      <c r="C512" s="625">
        <v>0</v>
      </c>
      <c r="D512" s="550">
        <v>116.66634941442312</v>
      </c>
      <c r="E512" s="551">
        <v>0</v>
      </c>
      <c r="F512" s="560">
        <v>0</v>
      </c>
      <c r="G512" s="566">
        <v>116.66634941442312</v>
      </c>
      <c r="H512" s="1096">
        <f t="shared" si="56"/>
        <v>116.66634941442312</v>
      </c>
    </row>
    <row r="513" spans="1:8" ht="15.75" x14ac:dyDescent="0.25">
      <c r="A513" s="781" t="s">
        <v>623</v>
      </c>
      <c r="B513" s="1083" t="s">
        <v>1092</v>
      </c>
      <c r="C513" s="625">
        <v>122.01073694485115</v>
      </c>
      <c r="D513" s="550">
        <v>0</v>
      </c>
      <c r="E513" s="551">
        <v>0</v>
      </c>
      <c r="F513" s="560">
        <v>0</v>
      </c>
      <c r="G513" s="566">
        <v>122.01073694485115</v>
      </c>
      <c r="H513" s="1096">
        <f t="shared" si="56"/>
        <v>122.01073694485115</v>
      </c>
    </row>
    <row r="514" spans="1:8" ht="15.75" x14ac:dyDescent="0.25">
      <c r="A514" s="1085" t="s">
        <v>81</v>
      </c>
      <c r="B514" s="805" t="s">
        <v>1044</v>
      </c>
      <c r="C514" s="625">
        <v>123.35121567083374</v>
      </c>
      <c r="D514" s="593">
        <v>0</v>
      </c>
      <c r="E514" s="594">
        <v>0</v>
      </c>
      <c r="F514" s="595">
        <v>0</v>
      </c>
      <c r="G514" s="566">
        <v>123.35121567083374</v>
      </c>
      <c r="H514" s="1096">
        <f t="shared" si="56"/>
        <v>123.35121567083374</v>
      </c>
    </row>
    <row r="515" spans="1:8" ht="15.75" x14ac:dyDescent="0.25">
      <c r="A515" s="1085" t="s">
        <v>78</v>
      </c>
      <c r="B515" s="805" t="s">
        <v>1044</v>
      </c>
      <c r="C515" s="625">
        <v>125.19686977064671</v>
      </c>
      <c r="D515" s="593">
        <v>0</v>
      </c>
      <c r="E515" s="594">
        <v>0</v>
      </c>
      <c r="F515" s="595">
        <v>0</v>
      </c>
      <c r="G515" s="566">
        <v>125.19686977064671</v>
      </c>
      <c r="H515" s="1096">
        <f t="shared" si="56"/>
        <v>125.19686977064671</v>
      </c>
    </row>
    <row r="516" spans="1:8" ht="15.75" x14ac:dyDescent="0.25">
      <c r="A516" s="479" t="s">
        <v>146</v>
      </c>
      <c r="B516" s="805" t="s">
        <v>1131</v>
      </c>
      <c r="C516" s="625">
        <v>0</v>
      </c>
      <c r="D516" s="550">
        <v>125.86994478114576</v>
      </c>
      <c r="E516" s="551">
        <v>0</v>
      </c>
      <c r="F516" s="560">
        <v>0</v>
      </c>
      <c r="G516" s="566">
        <v>125.86994478114576</v>
      </c>
      <c r="H516" s="1096">
        <f t="shared" si="56"/>
        <v>125.86994478114576</v>
      </c>
    </row>
    <row r="517" spans="1:8" ht="15.75" x14ac:dyDescent="0.25">
      <c r="A517" s="479" t="s">
        <v>150</v>
      </c>
      <c r="B517" s="805" t="s">
        <v>1131</v>
      </c>
      <c r="C517" s="625">
        <v>0</v>
      </c>
      <c r="D517" s="550">
        <v>128.92531350777671</v>
      </c>
      <c r="E517" s="551">
        <v>0</v>
      </c>
      <c r="F517" s="560">
        <v>0</v>
      </c>
      <c r="G517" s="566">
        <v>128.92531350777671</v>
      </c>
      <c r="H517" s="1096">
        <f t="shared" si="56"/>
        <v>128.92531350777671</v>
      </c>
    </row>
    <row r="518" spans="1:8" ht="15.75" x14ac:dyDescent="0.25">
      <c r="A518" s="479" t="s">
        <v>145</v>
      </c>
      <c r="B518" s="805" t="s">
        <v>1131</v>
      </c>
      <c r="C518" s="625">
        <v>0</v>
      </c>
      <c r="D518" s="550">
        <v>129.20648240900042</v>
      </c>
      <c r="E518" s="551">
        <v>0</v>
      </c>
      <c r="F518" s="560">
        <v>0</v>
      </c>
      <c r="G518" s="566">
        <v>129.20648240900042</v>
      </c>
      <c r="H518" s="1096">
        <f t="shared" si="56"/>
        <v>129.20648240900042</v>
      </c>
    </row>
    <row r="519" spans="1:8" ht="15.75" x14ac:dyDescent="0.25">
      <c r="A519" s="479" t="s">
        <v>930</v>
      </c>
      <c r="B519" s="805" t="s">
        <v>1145</v>
      </c>
      <c r="C519" s="625">
        <v>120.69465306875378</v>
      </c>
      <c r="D519" s="550">
        <v>0</v>
      </c>
      <c r="E519" s="551">
        <v>0</v>
      </c>
      <c r="F519" s="560">
        <v>9.6555722455003021</v>
      </c>
      <c r="G519" s="566">
        <v>130.35022531425409</v>
      </c>
      <c r="H519" s="1096">
        <f t="shared" si="56"/>
        <v>130.35022531425409</v>
      </c>
    </row>
    <row r="520" spans="1:8" ht="15.75" x14ac:dyDescent="0.25">
      <c r="A520" s="479" t="s">
        <v>175</v>
      </c>
      <c r="B520" s="805" t="s">
        <v>1151</v>
      </c>
      <c r="C520" s="625">
        <v>38.4</v>
      </c>
      <c r="D520" s="550">
        <v>93.57</v>
      </c>
      <c r="E520" s="551" t="s">
        <v>5</v>
      </c>
      <c r="F520" s="560" t="s">
        <v>5</v>
      </c>
      <c r="G520" s="566">
        <v>131.97</v>
      </c>
      <c r="H520" s="1096">
        <f t="shared" si="56"/>
        <v>131.97</v>
      </c>
    </row>
    <row r="521" spans="1:8" ht="15.75" x14ac:dyDescent="0.25">
      <c r="A521" s="1086" t="s">
        <v>620</v>
      </c>
      <c r="B521" s="1083" t="s">
        <v>1092</v>
      </c>
      <c r="C521" s="625">
        <v>141.32910362778591</v>
      </c>
      <c r="D521" s="550">
        <v>0</v>
      </c>
      <c r="E521" s="551">
        <v>0</v>
      </c>
      <c r="F521" s="560">
        <v>0</v>
      </c>
      <c r="G521" s="566">
        <v>141.32910362778591</v>
      </c>
      <c r="H521" s="1096">
        <f t="shared" si="56"/>
        <v>141.32910362778591</v>
      </c>
    </row>
    <row r="522" spans="1:8" ht="15.75" x14ac:dyDescent="0.25">
      <c r="A522" s="479" t="s">
        <v>144</v>
      </c>
      <c r="B522" s="805" t="s">
        <v>1131</v>
      </c>
      <c r="C522" s="625">
        <v>0</v>
      </c>
      <c r="D522" s="550">
        <v>144.38960307508054</v>
      </c>
      <c r="E522" s="551">
        <v>0</v>
      </c>
      <c r="F522" s="560">
        <v>0</v>
      </c>
      <c r="G522" s="566">
        <v>144.38960307508054</v>
      </c>
      <c r="H522" s="1096">
        <f t="shared" si="56"/>
        <v>144.38960307508054</v>
      </c>
    </row>
    <row r="523" spans="1:8" ht="15.75" x14ac:dyDescent="0.25">
      <c r="A523" s="791" t="s">
        <v>869</v>
      </c>
      <c r="B523" s="804" t="s">
        <v>1118</v>
      </c>
      <c r="C523" s="625">
        <v>0</v>
      </c>
      <c r="D523" s="550">
        <v>135.32844161323851</v>
      </c>
      <c r="E523" s="551">
        <v>0</v>
      </c>
      <c r="F523" s="560">
        <v>12.179559745191469</v>
      </c>
      <c r="G523" s="566">
        <v>147.50800135842996</v>
      </c>
      <c r="H523" s="1096">
        <f t="shared" si="56"/>
        <v>147.50800135842996</v>
      </c>
    </row>
    <row r="524" spans="1:8" ht="15.75" x14ac:dyDescent="0.25">
      <c r="A524" s="791" t="s">
        <v>191</v>
      </c>
      <c r="B524" s="804" t="s">
        <v>1118</v>
      </c>
      <c r="C524" s="625">
        <v>0</v>
      </c>
      <c r="D524" s="550">
        <v>146.64869148202655</v>
      </c>
      <c r="E524" s="551">
        <v>0</v>
      </c>
      <c r="F524" s="560">
        <v>13.198382233382388</v>
      </c>
      <c r="G524" s="566">
        <v>159.84707371540892</v>
      </c>
      <c r="H524" s="1096">
        <f t="shared" si="56"/>
        <v>159.84707371540892</v>
      </c>
    </row>
    <row r="525" spans="1:8" ht="15.75" x14ac:dyDescent="0.25">
      <c r="A525" s="479" t="s">
        <v>149</v>
      </c>
      <c r="B525" s="805" t="s">
        <v>1131</v>
      </c>
      <c r="C525" s="625">
        <v>0</v>
      </c>
      <c r="D525" s="550">
        <v>162.2157114126635</v>
      </c>
      <c r="E525" s="551">
        <v>0</v>
      </c>
      <c r="F525" s="560">
        <v>0</v>
      </c>
      <c r="G525" s="566">
        <v>162.2157114126635</v>
      </c>
      <c r="H525" s="1096">
        <f t="shared" si="56"/>
        <v>162.2157114126635</v>
      </c>
    </row>
    <row r="526" spans="1:8" ht="15.75" x14ac:dyDescent="0.25">
      <c r="A526" s="1085" t="s">
        <v>80</v>
      </c>
      <c r="B526" s="805" t="s">
        <v>1044</v>
      </c>
      <c r="C526" s="625">
        <v>120.27512550447879</v>
      </c>
      <c r="D526" s="593">
        <v>0</v>
      </c>
      <c r="E526" s="594">
        <v>42.757653312333893</v>
      </c>
      <c r="F526" s="595">
        <v>0</v>
      </c>
      <c r="G526" s="566">
        <v>163.03277881681268</v>
      </c>
      <c r="H526" s="1096">
        <f t="shared" si="56"/>
        <v>163.03277881681268</v>
      </c>
    </row>
    <row r="527" spans="1:8" ht="15.75" x14ac:dyDescent="0.25">
      <c r="A527" s="479" t="s">
        <v>110</v>
      </c>
      <c r="B527" s="805" t="s">
        <v>1074</v>
      </c>
      <c r="C527" s="625">
        <v>22.028547076265593</v>
      </c>
      <c r="D527" s="550">
        <v>126.15694889617171</v>
      </c>
      <c r="E527" s="551">
        <v>0.96037262457833639</v>
      </c>
      <c r="F527" s="560">
        <v>14.909784996578672</v>
      </c>
      <c r="G527" s="566">
        <v>164.05565359359431</v>
      </c>
      <c r="H527" s="1096">
        <f t="shared" si="56"/>
        <v>164.05565359359431</v>
      </c>
    </row>
    <row r="528" spans="1:8" ht="15.75" x14ac:dyDescent="0.25">
      <c r="A528" s="1085" t="s">
        <v>73</v>
      </c>
      <c r="B528" s="805" t="s">
        <v>1036</v>
      </c>
      <c r="C528" s="625">
        <v>143.36741582687893</v>
      </c>
      <c r="D528" s="593">
        <v>0</v>
      </c>
      <c r="E528" s="594">
        <v>0</v>
      </c>
      <c r="F528" s="595">
        <v>28.673483165375785</v>
      </c>
      <c r="G528" s="566">
        <v>172.04089899225471</v>
      </c>
      <c r="H528" s="1096">
        <f t="shared" si="56"/>
        <v>172.04089899225471</v>
      </c>
    </row>
    <row r="529" spans="1:8" ht="15.75" x14ac:dyDescent="0.25">
      <c r="A529" s="791" t="s">
        <v>219</v>
      </c>
      <c r="B529" s="804" t="s">
        <v>1118</v>
      </c>
      <c r="C529" s="625">
        <v>0</v>
      </c>
      <c r="D529" s="550">
        <v>158.48349816303218</v>
      </c>
      <c r="E529" s="551">
        <v>0</v>
      </c>
      <c r="F529" s="560">
        <v>14.263514834672897</v>
      </c>
      <c r="G529" s="566">
        <v>172.74701299770507</v>
      </c>
      <c r="H529" s="1096">
        <f t="shared" si="56"/>
        <v>172.74701299770507</v>
      </c>
    </row>
    <row r="530" spans="1:8" ht="15.75" x14ac:dyDescent="0.25">
      <c r="A530" s="502" t="s">
        <v>867</v>
      </c>
      <c r="B530" s="804" t="s">
        <v>1118</v>
      </c>
      <c r="C530" s="625">
        <v>0</v>
      </c>
      <c r="D530" s="550">
        <v>162.59995266077328</v>
      </c>
      <c r="E530" s="551">
        <v>0</v>
      </c>
      <c r="F530" s="560">
        <v>14.633995739469595</v>
      </c>
      <c r="G530" s="566">
        <v>177.23394840024287</v>
      </c>
      <c r="H530" s="1096">
        <f t="shared" si="56"/>
        <v>177.23394840024287</v>
      </c>
    </row>
    <row r="531" spans="1:8" ht="15.75" x14ac:dyDescent="0.25">
      <c r="A531" s="1087" t="s">
        <v>102</v>
      </c>
      <c r="B531" s="805" t="s">
        <v>1066</v>
      </c>
      <c r="C531" s="625">
        <v>6.5670679389832856</v>
      </c>
      <c r="D531" s="550">
        <v>133.19558972714333</v>
      </c>
      <c r="E531" s="551">
        <v>0</v>
      </c>
      <c r="F531" s="560">
        <v>37.735917569854188</v>
      </c>
      <c r="G531" s="566">
        <v>177.49857523598081</v>
      </c>
      <c r="H531" s="1096">
        <f t="shared" si="56"/>
        <v>177.49857523598081</v>
      </c>
    </row>
    <row r="532" spans="1:8" ht="15.75" x14ac:dyDescent="0.25">
      <c r="A532" s="502" t="s">
        <v>520</v>
      </c>
      <c r="B532" s="804" t="s">
        <v>1118</v>
      </c>
      <c r="C532" s="625">
        <v>0</v>
      </c>
      <c r="D532" s="550">
        <v>164.1436230974262</v>
      </c>
      <c r="E532" s="551">
        <v>0</v>
      </c>
      <c r="F532" s="560">
        <v>14.772926078768357</v>
      </c>
      <c r="G532" s="566">
        <v>178.91654917619456</v>
      </c>
      <c r="H532" s="1096">
        <f t="shared" ref="H532:H563" si="57">SUM(C532:F532)</f>
        <v>178.91654917619456</v>
      </c>
    </row>
    <row r="533" spans="1:8" ht="15.75" x14ac:dyDescent="0.25">
      <c r="A533" s="502" t="s">
        <v>189</v>
      </c>
      <c r="B533" s="804" t="s">
        <v>1118</v>
      </c>
      <c r="C533" s="625">
        <v>0</v>
      </c>
      <c r="D533" s="550">
        <v>164.65817990964382</v>
      </c>
      <c r="E533" s="551">
        <v>0</v>
      </c>
      <c r="F533" s="560">
        <v>14.819236191867946</v>
      </c>
      <c r="G533" s="566">
        <v>179.47741610151178</v>
      </c>
      <c r="H533" s="1096">
        <f t="shared" si="57"/>
        <v>179.47741610151178</v>
      </c>
    </row>
    <row r="534" spans="1:8" ht="15.75" x14ac:dyDescent="0.25">
      <c r="A534" s="502" t="s">
        <v>514</v>
      </c>
      <c r="B534" s="804" t="s">
        <v>1118</v>
      </c>
      <c r="C534" s="625">
        <v>0</v>
      </c>
      <c r="D534" s="550">
        <v>164.65817990964382</v>
      </c>
      <c r="E534" s="551">
        <v>0</v>
      </c>
      <c r="F534" s="560">
        <v>14.819236191867946</v>
      </c>
      <c r="G534" s="566">
        <v>179.47741610151178</v>
      </c>
      <c r="H534" s="1096">
        <f t="shared" si="57"/>
        <v>179.47741610151178</v>
      </c>
    </row>
    <row r="535" spans="1:8" ht="15.75" x14ac:dyDescent="0.25">
      <c r="A535" s="502" t="s">
        <v>868</v>
      </c>
      <c r="B535" s="804" t="s">
        <v>1118</v>
      </c>
      <c r="C535" s="625">
        <v>0</v>
      </c>
      <c r="D535" s="550">
        <v>165.17273672186147</v>
      </c>
      <c r="E535" s="551">
        <v>0</v>
      </c>
      <c r="F535" s="560">
        <v>14.865546304967532</v>
      </c>
      <c r="G535" s="566">
        <v>180.03828302682899</v>
      </c>
      <c r="H535" s="1096">
        <f t="shared" si="57"/>
        <v>180.03828302682899</v>
      </c>
    </row>
    <row r="536" spans="1:8" ht="15.75" x14ac:dyDescent="0.25">
      <c r="A536" s="479" t="s">
        <v>112</v>
      </c>
      <c r="B536" s="805" t="s">
        <v>1076</v>
      </c>
      <c r="C536" s="686">
        <v>66.571407420741423</v>
      </c>
      <c r="D536" s="550">
        <v>102.67973880575155</v>
      </c>
      <c r="E536" s="551">
        <v>0</v>
      </c>
      <c r="F536" s="560">
        <v>13.49180523727026</v>
      </c>
      <c r="G536" s="566">
        <v>182.74295146376323</v>
      </c>
      <c r="H536" s="1096">
        <f t="shared" si="57"/>
        <v>182.74295146376323</v>
      </c>
    </row>
    <row r="537" spans="1:8" ht="15.75" x14ac:dyDescent="0.25">
      <c r="A537" s="479" t="s">
        <v>132</v>
      </c>
      <c r="B537" s="805" t="s">
        <v>1114</v>
      </c>
      <c r="C537" s="686">
        <v>0</v>
      </c>
      <c r="D537" s="550">
        <v>169.61333908293804</v>
      </c>
      <c r="E537" s="551">
        <v>0</v>
      </c>
      <c r="F537" s="560">
        <v>13.569067126635044</v>
      </c>
      <c r="G537" s="566">
        <v>183.18240620957309</v>
      </c>
      <c r="H537" s="1096">
        <f t="shared" si="57"/>
        <v>183.18240620957309</v>
      </c>
    </row>
    <row r="538" spans="1:8" ht="15.75" x14ac:dyDescent="0.25">
      <c r="A538" s="479" t="s">
        <v>113</v>
      </c>
      <c r="B538" s="805" t="s">
        <v>1076</v>
      </c>
      <c r="C538" s="686">
        <v>90.537114092208327</v>
      </c>
      <c r="D538" s="550">
        <v>79.530641398645741</v>
      </c>
      <c r="E538" s="551">
        <v>0</v>
      </c>
      <c r="F538" s="560">
        <v>13.562814738519052</v>
      </c>
      <c r="G538" s="566">
        <v>183.63057022937312</v>
      </c>
      <c r="H538" s="1096">
        <f t="shared" si="57"/>
        <v>183.63057022937312</v>
      </c>
    </row>
    <row r="539" spans="1:8" ht="15.75" x14ac:dyDescent="0.25">
      <c r="A539" s="791" t="s">
        <v>860</v>
      </c>
      <c r="B539" s="804" t="s">
        <v>1118</v>
      </c>
      <c r="C539" s="686">
        <v>0</v>
      </c>
      <c r="D539" s="550">
        <v>170.31830484403784</v>
      </c>
      <c r="E539" s="551">
        <v>0</v>
      </c>
      <c r="F539" s="560">
        <v>15.328647435963404</v>
      </c>
      <c r="G539" s="566">
        <v>185.64695228000124</v>
      </c>
      <c r="H539" s="1096">
        <f t="shared" si="57"/>
        <v>185.64695228000124</v>
      </c>
    </row>
    <row r="540" spans="1:8" ht="15.75" x14ac:dyDescent="0.25">
      <c r="A540" s="1085" t="s">
        <v>74</v>
      </c>
      <c r="B540" s="805" t="s">
        <v>1036</v>
      </c>
      <c r="C540" s="686">
        <v>157.97419877499416</v>
      </c>
      <c r="D540" s="593">
        <v>0</v>
      </c>
      <c r="E540" s="594">
        <v>0</v>
      </c>
      <c r="F540" s="595">
        <v>31.59483975499883</v>
      </c>
      <c r="G540" s="566">
        <v>189.56903852999301</v>
      </c>
      <c r="H540" s="1096">
        <f t="shared" si="57"/>
        <v>189.56903852999301</v>
      </c>
    </row>
    <row r="541" spans="1:8" ht="15.75" x14ac:dyDescent="0.25">
      <c r="A541" s="479" t="s">
        <v>139</v>
      </c>
      <c r="B541" s="805" t="s">
        <v>1116</v>
      </c>
      <c r="C541" s="625">
        <v>40.743808597735921</v>
      </c>
      <c r="D541" s="550">
        <v>133.46778550077431</v>
      </c>
      <c r="E541" s="551">
        <v>6.4344965846748536</v>
      </c>
      <c r="F541" s="560">
        <v>10.840205999927971</v>
      </c>
      <c r="G541" s="566">
        <v>191.48629668311307</v>
      </c>
      <c r="H541" s="1096">
        <f t="shared" si="57"/>
        <v>191.48629668311307</v>
      </c>
    </row>
    <row r="542" spans="1:8" ht="15.75" x14ac:dyDescent="0.25">
      <c r="A542" s="479" t="s">
        <v>114</v>
      </c>
      <c r="B542" s="805" t="s">
        <v>1076</v>
      </c>
      <c r="C542" s="625">
        <v>86.27654401728087</v>
      </c>
      <c r="D542" s="550">
        <v>91.602256610940188</v>
      </c>
      <c r="E542" s="551">
        <v>0</v>
      </c>
      <c r="F542" s="560">
        <v>14.210776437414268</v>
      </c>
      <c r="G542" s="566">
        <v>192.08957706563532</v>
      </c>
      <c r="H542" s="1096">
        <f t="shared" si="57"/>
        <v>192.08957706563532</v>
      </c>
    </row>
    <row r="543" spans="1:8" ht="15.75" x14ac:dyDescent="0.25">
      <c r="A543" s="791" t="s">
        <v>517</v>
      </c>
      <c r="B543" s="804" t="s">
        <v>1118</v>
      </c>
      <c r="C543" s="625">
        <v>0</v>
      </c>
      <c r="D543" s="550">
        <v>177.00754340286713</v>
      </c>
      <c r="E543" s="551">
        <v>0</v>
      </c>
      <c r="F543" s="560">
        <v>15.930678906258041</v>
      </c>
      <c r="G543" s="566">
        <v>192.93822230912517</v>
      </c>
      <c r="H543" s="1096">
        <f t="shared" si="57"/>
        <v>192.93822230912517</v>
      </c>
    </row>
    <row r="544" spans="1:8" ht="15.75" x14ac:dyDescent="0.25">
      <c r="A544" s="502" t="s">
        <v>865</v>
      </c>
      <c r="B544" s="804" t="s">
        <v>1118</v>
      </c>
      <c r="C544" s="625">
        <v>0</v>
      </c>
      <c r="D544" s="550">
        <v>178.55121383952002</v>
      </c>
      <c r="E544" s="551">
        <v>0</v>
      </c>
      <c r="F544" s="560">
        <v>16.069609245556801</v>
      </c>
      <c r="G544" s="566">
        <v>194.62082308507681</v>
      </c>
      <c r="H544" s="1096">
        <f t="shared" si="57"/>
        <v>194.62082308507681</v>
      </c>
    </row>
    <row r="545" spans="1:8" ht="15.75" x14ac:dyDescent="0.25">
      <c r="A545" s="502" t="s">
        <v>769</v>
      </c>
      <c r="B545" s="804" t="s">
        <v>1118</v>
      </c>
      <c r="C545" s="625">
        <v>0</v>
      </c>
      <c r="D545" s="550">
        <v>179.06577065173767</v>
      </c>
      <c r="E545" s="551">
        <v>0</v>
      </c>
      <c r="F545" s="560">
        <v>16.115919358656392</v>
      </c>
      <c r="G545" s="566">
        <v>195.18169001039405</v>
      </c>
      <c r="H545" s="1096">
        <f t="shared" si="57"/>
        <v>195.18169001039405</v>
      </c>
    </row>
    <row r="546" spans="1:8" ht="15.75" x14ac:dyDescent="0.25">
      <c r="A546" s="502" t="s">
        <v>875</v>
      </c>
      <c r="B546" s="804" t="s">
        <v>1118</v>
      </c>
      <c r="C546" s="625">
        <v>0</v>
      </c>
      <c r="D546" s="550">
        <v>180.09488427617293</v>
      </c>
      <c r="E546" s="551">
        <v>0</v>
      </c>
      <c r="F546" s="560">
        <v>16.208539584855565</v>
      </c>
      <c r="G546" s="566">
        <v>196.30342386102851</v>
      </c>
      <c r="H546" s="1096">
        <f t="shared" si="57"/>
        <v>196.30342386102851</v>
      </c>
    </row>
    <row r="547" spans="1:8" ht="15.75" x14ac:dyDescent="0.25">
      <c r="A547" s="502" t="s">
        <v>863</v>
      </c>
      <c r="B547" s="804" t="s">
        <v>1118</v>
      </c>
      <c r="C547" s="625">
        <v>0</v>
      </c>
      <c r="D547" s="550">
        <v>183.18222514947877</v>
      </c>
      <c r="E547" s="551">
        <v>0</v>
      </c>
      <c r="F547" s="560">
        <v>16.486400263453088</v>
      </c>
      <c r="G547" s="566">
        <v>199.66862541293185</v>
      </c>
      <c r="H547" s="1096">
        <f t="shared" si="57"/>
        <v>199.66862541293185</v>
      </c>
    </row>
    <row r="548" spans="1:8" ht="15.75" x14ac:dyDescent="0.25">
      <c r="A548" s="502" t="s">
        <v>864</v>
      </c>
      <c r="B548" s="804" t="s">
        <v>1118</v>
      </c>
      <c r="C548" s="625">
        <v>0</v>
      </c>
      <c r="D548" s="550">
        <v>183.18222514947877</v>
      </c>
      <c r="E548" s="551">
        <v>0</v>
      </c>
      <c r="F548" s="560">
        <v>16.486400263453088</v>
      </c>
      <c r="G548" s="566">
        <v>199.66862541293185</v>
      </c>
      <c r="H548" s="1096">
        <f t="shared" si="57"/>
        <v>199.66862541293185</v>
      </c>
    </row>
    <row r="549" spans="1:8" ht="15.75" x14ac:dyDescent="0.25">
      <c r="A549" s="502" t="s">
        <v>771</v>
      </c>
      <c r="B549" s="804" t="s">
        <v>1118</v>
      </c>
      <c r="C549" s="625">
        <v>0</v>
      </c>
      <c r="D549" s="550">
        <v>183.69678196169639</v>
      </c>
      <c r="E549" s="551">
        <v>0</v>
      </c>
      <c r="F549" s="560">
        <v>16.532710376552679</v>
      </c>
      <c r="G549" s="566">
        <v>200.22949233824906</v>
      </c>
      <c r="H549" s="1096">
        <f t="shared" si="57"/>
        <v>200.22949233824906</v>
      </c>
    </row>
    <row r="550" spans="1:8" ht="15.75" x14ac:dyDescent="0.25">
      <c r="A550" s="1087" t="s">
        <v>152</v>
      </c>
      <c r="B550" s="805" t="s">
        <v>1133</v>
      </c>
      <c r="C550" s="625">
        <v>0</v>
      </c>
      <c r="D550" s="550">
        <v>184.43956255026947</v>
      </c>
      <c r="E550" s="551">
        <v>0</v>
      </c>
      <c r="F550" s="560">
        <v>18.439154391904058</v>
      </c>
      <c r="G550" s="566">
        <v>202.87871694217353</v>
      </c>
      <c r="H550" s="1096">
        <f t="shared" si="57"/>
        <v>202.87871694217353</v>
      </c>
    </row>
    <row r="551" spans="1:8" ht="15.75" x14ac:dyDescent="0.25">
      <c r="A551" s="1087" t="s">
        <v>173</v>
      </c>
      <c r="B551" s="805" t="s">
        <v>1151</v>
      </c>
      <c r="C551" s="625" t="s">
        <v>5</v>
      </c>
      <c r="D551" s="550">
        <v>205.11</v>
      </c>
      <c r="E551" s="551" t="s">
        <v>5</v>
      </c>
      <c r="F551" s="560" t="s">
        <v>5</v>
      </c>
      <c r="G551" s="566">
        <v>205.11</v>
      </c>
      <c r="H551" s="1096">
        <f t="shared" si="57"/>
        <v>205.11</v>
      </c>
    </row>
    <row r="552" spans="1:8" ht="15.75" x14ac:dyDescent="0.25">
      <c r="A552" s="502" t="s">
        <v>598</v>
      </c>
      <c r="B552" s="804" t="s">
        <v>1118</v>
      </c>
      <c r="C552" s="625">
        <v>0</v>
      </c>
      <c r="D552" s="550">
        <v>188.84235008387276</v>
      </c>
      <c r="E552" s="551">
        <v>0</v>
      </c>
      <c r="F552" s="560">
        <v>16.995811507548549</v>
      </c>
      <c r="G552" s="566">
        <v>205.83816159142131</v>
      </c>
      <c r="H552" s="1096">
        <f t="shared" si="57"/>
        <v>205.83816159142131</v>
      </c>
    </row>
    <row r="553" spans="1:8" ht="15.75" x14ac:dyDescent="0.25">
      <c r="A553" s="791" t="s">
        <v>871</v>
      </c>
      <c r="B553" s="804" t="s">
        <v>1118</v>
      </c>
      <c r="C553" s="625">
        <v>0</v>
      </c>
      <c r="D553" s="550">
        <v>189.87146370830803</v>
      </c>
      <c r="E553" s="551">
        <v>0</v>
      </c>
      <c r="F553" s="560">
        <v>17.088431733747726</v>
      </c>
      <c r="G553" s="566">
        <v>206.95989544205577</v>
      </c>
      <c r="H553" s="1096">
        <f t="shared" si="57"/>
        <v>206.95989544205577</v>
      </c>
    </row>
    <row r="554" spans="1:8" ht="15.75" x14ac:dyDescent="0.25">
      <c r="A554" s="791" t="s">
        <v>186</v>
      </c>
      <c r="B554" s="804" t="s">
        <v>1106</v>
      </c>
      <c r="C554" s="625">
        <v>84.560809594122517</v>
      </c>
      <c r="D554" s="550">
        <v>110.80299156072556</v>
      </c>
      <c r="E554" s="551">
        <v>0</v>
      </c>
      <c r="F554" s="560">
        <v>11.716546019855704</v>
      </c>
      <c r="G554" s="566">
        <v>207.0803471747038</v>
      </c>
      <c r="H554" s="1096">
        <f t="shared" si="57"/>
        <v>207.0803471747038</v>
      </c>
    </row>
    <row r="555" spans="1:8" ht="15.75" x14ac:dyDescent="0.25">
      <c r="A555" s="479" t="s">
        <v>130</v>
      </c>
      <c r="B555" s="805" t="s">
        <v>1114</v>
      </c>
      <c r="C555" s="625">
        <v>0</v>
      </c>
      <c r="D555" s="550">
        <v>192.03679747017392</v>
      </c>
      <c r="E555" s="551">
        <v>0</v>
      </c>
      <c r="F555" s="560">
        <v>15.362943797613914</v>
      </c>
      <c r="G555" s="566">
        <v>207.39974126778785</v>
      </c>
      <c r="H555" s="1096">
        <f t="shared" si="57"/>
        <v>207.39974126778785</v>
      </c>
    </row>
    <row r="556" spans="1:8" ht="15.75" x14ac:dyDescent="0.25">
      <c r="A556" s="791" t="s">
        <v>515</v>
      </c>
      <c r="B556" s="804" t="s">
        <v>1118</v>
      </c>
      <c r="C556" s="625">
        <v>0</v>
      </c>
      <c r="D556" s="550">
        <v>190.90057733274332</v>
      </c>
      <c r="E556" s="551">
        <v>0</v>
      </c>
      <c r="F556" s="560">
        <v>17.181051959946899</v>
      </c>
      <c r="G556" s="566">
        <v>208.08162929269022</v>
      </c>
      <c r="H556" s="1096">
        <f t="shared" si="57"/>
        <v>208.08162929269022</v>
      </c>
    </row>
    <row r="557" spans="1:8" ht="15.75" x14ac:dyDescent="0.25">
      <c r="A557" s="1086" t="s">
        <v>624</v>
      </c>
      <c r="B557" s="1083" t="s">
        <v>1092</v>
      </c>
      <c r="C557" s="625">
        <v>208.43500894745404</v>
      </c>
      <c r="D557" s="550">
        <v>0</v>
      </c>
      <c r="E557" s="551">
        <v>0</v>
      </c>
      <c r="F557" s="560">
        <v>0</v>
      </c>
      <c r="G557" s="566">
        <v>208.43500894745404</v>
      </c>
      <c r="H557" s="1096">
        <f t="shared" si="57"/>
        <v>208.43500894745404</v>
      </c>
    </row>
    <row r="558" spans="1:8" ht="15.75" x14ac:dyDescent="0.25">
      <c r="A558" s="791" t="s">
        <v>190</v>
      </c>
      <c r="B558" s="804" t="s">
        <v>1118</v>
      </c>
      <c r="C558" s="625">
        <v>0</v>
      </c>
      <c r="D558" s="550">
        <v>191.41513414496094</v>
      </c>
      <c r="E558" s="551">
        <v>0</v>
      </c>
      <c r="F558" s="560">
        <v>17.227362073046486</v>
      </c>
      <c r="G558" s="566">
        <v>208.64249621800744</v>
      </c>
      <c r="H558" s="1096">
        <f t="shared" si="57"/>
        <v>208.64249621800744</v>
      </c>
    </row>
    <row r="559" spans="1:8" ht="15.75" x14ac:dyDescent="0.25">
      <c r="A559" s="479" t="s">
        <v>131</v>
      </c>
      <c r="B559" s="805" t="s">
        <v>1114</v>
      </c>
      <c r="C559" s="625">
        <v>0</v>
      </c>
      <c r="D559" s="550">
        <v>194.33663935604429</v>
      </c>
      <c r="E559" s="551">
        <v>0</v>
      </c>
      <c r="F559" s="560">
        <v>15.546931148483541</v>
      </c>
      <c r="G559" s="566">
        <v>209.88357050452782</v>
      </c>
      <c r="H559" s="1096">
        <f t="shared" si="57"/>
        <v>209.88357050452782</v>
      </c>
    </row>
    <row r="560" spans="1:8" ht="15.75" x14ac:dyDescent="0.25">
      <c r="A560" s="479" t="s">
        <v>133</v>
      </c>
      <c r="B560" s="805" t="s">
        <v>1116</v>
      </c>
      <c r="C560" s="625">
        <v>68.426549501206466</v>
      </c>
      <c r="D560" s="550">
        <v>124.47629680315961</v>
      </c>
      <c r="E560" s="551">
        <v>5.4261053288675996</v>
      </c>
      <c r="F560" s="560">
        <v>11.896615886964142</v>
      </c>
      <c r="G560" s="566">
        <v>210.22556752019784</v>
      </c>
      <c r="H560" s="1096">
        <f t="shared" si="57"/>
        <v>210.22556752019784</v>
      </c>
    </row>
    <row r="561" spans="1:8" ht="15.75" x14ac:dyDescent="0.25">
      <c r="A561" s="1086" t="s">
        <v>889</v>
      </c>
      <c r="B561" s="1083" t="s">
        <v>1092</v>
      </c>
      <c r="C561" s="625">
        <v>211.48527737107531</v>
      </c>
      <c r="D561" s="550">
        <v>0</v>
      </c>
      <c r="E561" s="551">
        <v>0</v>
      </c>
      <c r="F561" s="560">
        <v>0</v>
      </c>
      <c r="G561" s="566">
        <v>211.48527737107531</v>
      </c>
      <c r="H561" s="1096">
        <f t="shared" si="57"/>
        <v>211.48527737107531</v>
      </c>
    </row>
    <row r="562" spans="1:8" ht="15.75" x14ac:dyDescent="0.25">
      <c r="A562" s="479" t="s">
        <v>111</v>
      </c>
      <c r="B562" s="805" t="s">
        <v>1074</v>
      </c>
      <c r="C562" s="625">
        <v>10.372024345446034</v>
      </c>
      <c r="D562" s="550">
        <v>180.92219781275136</v>
      </c>
      <c r="E562" s="551">
        <v>0.96037262457833639</v>
      </c>
      <c r="F562" s="560">
        <v>19.231461807181184</v>
      </c>
      <c r="G562" s="566">
        <v>211.48605658995689</v>
      </c>
      <c r="H562" s="1096">
        <f t="shared" si="57"/>
        <v>211.48605658995689</v>
      </c>
    </row>
    <row r="563" spans="1:8" ht="15.75" x14ac:dyDescent="0.25">
      <c r="A563" s="479" t="s">
        <v>214</v>
      </c>
      <c r="B563" s="805" t="s">
        <v>1133</v>
      </c>
      <c r="C563" s="625">
        <v>0</v>
      </c>
      <c r="D563" s="550">
        <v>192.36263670304078</v>
      </c>
      <c r="E563" s="551">
        <v>0</v>
      </c>
      <c r="F563" s="560">
        <v>19.231461807181184</v>
      </c>
      <c r="G563" s="566">
        <v>211.59409851022195</v>
      </c>
      <c r="H563" s="1096">
        <f t="shared" si="57"/>
        <v>211.59409851022195</v>
      </c>
    </row>
    <row r="564" spans="1:8" ht="15.75" x14ac:dyDescent="0.25">
      <c r="A564" s="479" t="s">
        <v>746</v>
      </c>
      <c r="B564" s="805" t="s">
        <v>1147</v>
      </c>
      <c r="C564" s="625">
        <v>4.9608404483911857</v>
      </c>
      <c r="D564" s="550">
        <v>176.33031771559337</v>
      </c>
      <c r="E564" s="551">
        <v>0</v>
      </c>
      <c r="F564" s="560">
        <v>31.739457188806806</v>
      </c>
      <c r="G564" s="566">
        <v>213.03061535279136</v>
      </c>
      <c r="H564" s="1096">
        <f t="shared" ref="H564:H595" si="58">SUM(C564:F564)</f>
        <v>213.03061535279136</v>
      </c>
    </row>
    <row r="565" spans="1:8" ht="15.75" x14ac:dyDescent="0.25">
      <c r="A565" s="479" t="s">
        <v>747</v>
      </c>
      <c r="B565" s="805" t="s">
        <v>1147</v>
      </c>
      <c r="C565" s="625">
        <v>4.9608404483911857</v>
      </c>
      <c r="D565" s="550">
        <v>176.33031771559337</v>
      </c>
      <c r="E565" s="551">
        <v>0</v>
      </c>
      <c r="F565" s="560">
        <v>31.739457188806806</v>
      </c>
      <c r="G565" s="566">
        <v>213.03061535279136</v>
      </c>
      <c r="H565" s="1096">
        <f t="shared" si="58"/>
        <v>213.03061535279136</v>
      </c>
    </row>
    <row r="566" spans="1:8" ht="15.75" x14ac:dyDescent="0.25">
      <c r="A566" s="479" t="s">
        <v>748</v>
      </c>
      <c r="B566" s="805" t="s">
        <v>1147</v>
      </c>
      <c r="C566" s="625">
        <v>4.9608404483911857</v>
      </c>
      <c r="D566" s="550">
        <v>176.33031771559337</v>
      </c>
      <c r="E566" s="551">
        <v>0</v>
      </c>
      <c r="F566" s="560">
        <v>31.739457188806806</v>
      </c>
      <c r="G566" s="566">
        <v>213.03061535279136</v>
      </c>
      <c r="H566" s="1096">
        <f t="shared" si="58"/>
        <v>213.03061535279136</v>
      </c>
    </row>
    <row r="567" spans="1:8" ht="15.75" x14ac:dyDescent="0.25">
      <c r="A567" s="479" t="s">
        <v>749</v>
      </c>
      <c r="B567" s="805" t="s">
        <v>1147</v>
      </c>
      <c r="C567" s="625">
        <v>4.9608404483911857</v>
      </c>
      <c r="D567" s="550">
        <v>176.33031771559337</v>
      </c>
      <c r="E567" s="551">
        <v>0</v>
      </c>
      <c r="F567" s="560">
        <v>31.739457188806806</v>
      </c>
      <c r="G567" s="566">
        <v>213.03061535279136</v>
      </c>
      <c r="H567" s="1096">
        <f t="shared" si="58"/>
        <v>213.03061535279136</v>
      </c>
    </row>
    <row r="568" spans="1:8" ht="15.75" x14ac:dyDescent="0.25">
      <c r="A568" s="791" t="s">
        <v>874</v>
      </c>
      <c r="B568" s="804" t="s">
        <v>1118</v>
      </c>
      <c r="C568" s="625">
        <v>0</v>
      </c>
      <c r="D568" s="550">
        <v>196.0461454549197</v>
      </c>
      <c r="E568" s="551">
        <v>0</v>
      </c>
      <c r="F568" s="560">
        <v>17.644153090942773</v>
      </c>
      <c r="G568" s="566">
        <v>213.69029854586248</v>
      </c>
      <c r="H568" s="1096">
        <f t="shared" si="58"/>
        <v>213.69029854586248</v>
      </c>
    </row>
    <row r="569" spans="1:8" ht="15.75" x14ac:dyDescent="0.25">
      <c r="A569" s="479" t="s">
        <v>613</v>
      </c>
      <c r="B569" s="805" t="s">
        <v>1066</v>
      </c>
      <c r="C569" s="625">
        <v>0</v>
      </c>
      <c r="D569" s="550">
        <v>168.27145848359524</v>
      </c>
      <c r="E569" s="551">
        <v>0</v>
      </c>
      <c r="F569" s="560">
        <v>45.433293790570715</v>
      </c>
      <c r="G569" s="566">
        <v>213.70475227416597</v>
      </c>
      <c r="H569" s="1096">
        <f t="shared" si="58"/>
        <v>213.70475227416597</v>
      </c>
    </row>
    <row r="570" spans="1:8" ht="15.75" x14ac:dyDescent="0.25">
      <c r="A570" s="791" t="s">
        <v>873</v>
      </c>
      <c r="B570" s="804" t="s">
        <v>1118</v>
      </c>
      <c r="C570" s="625">
        <v>0</v>
      </c>
      <c r="D570" s="550">
        <v>196.56070226713732</v>
      </c>
      <c r="E570" s="551">
        <v>0</v>
      </c>
      <c r="F570" s="560">
        <v>17.690463204042359</v>
      </c>
      <c r="G570" s="566">
        <v>214.25116547117966</v>
      </c>
      <c r="H570" s="1096">
        <f t="shared" si="58"/>
        <v>214.25116547117966</v>
      </c>
    </row>
    <row r="571" spans="1:8" ht="15.75" x14ac:dyDescent="0.25">
      <c r="A571" s="791" t="s">
        <v>185</v>
      </c>
      <c r="B571" s="804" t="s">
        <v>1106</v>
      </c>
      <c r="C571" s="625">
        <v>54.020960132531421</v>
      </c>
      <c r="D571" s="550">
        <v>151.25868837108797</v>
      </c>
      <c r="E571" s="551">
        <v>0</v>
      </c>
      <c r="F571" s="560">
        <v>12.316778910217163</v>
      </c>
      <c r="G571" s="566">
        <v>217.59642741383655</v>
      </c>
      <c r="H571" s="1096">
        <f t="shared" si="58"/>
        <v>217.59642741383655</v>
      </c>
    </row>
    <row r="572" spans="1:8" ht="15.75" x14ac:dyDescent="0.25">
      <c r="A572" s="1085" t="s">
        <v>75</v>
      </c>
      <c r="B572" s="805" t="s">
        <v>1036</v>
      </c>
      <c r="C572" s="625">
        <v>181.66419128748359</v>
      </c>
      <c r="D572" s="593">
        <v>0</v>
      </c>
      <c r="E572" s="594">
        <v>0</v>
      </c>
      <c r="F572" s="595">
        <v>36.332838257496718</v>
      </c>
      <c r="G572" s="566">
        <v>217.99702954498031</v>
      </c>
      <c r="H572" s="1096">
        <f t="shared" si="58"/>
        <v>217.99702954498031</v>
      </c>
    </row>
    <row r="573" spans="1:8" ht="15.75" x14ac:dyDescent="0.25">
      <c r="A573" s="791" t="s">
        <v>861</v>
      </c>
      <c r="B573" s="804" t="s">
        <v>1118</v>
      </c>
      <c r="C573" s="625">
        <v>0</v>
      </c>
      <c r="D573" s="550">
        <v>200.16259995266077</v>
      </c>
      <c r="E573" s="551">
        <v>0</v>
      </c>
      <c r="F573" s="560">
        <v>18.014633995739469</v>
      </c>
      <c r="G573" s="566">
        <v>218.17723394840024</v>
      </c>
      <c r="H573" s="1096">
        <f t="shared" si="58"/>
        <v>218.17723394840024</v>
      </c>
    </row>
    <row r="574" spans="1:8" ht="15.75" x14ac:dyDescent="0.25">
      <c r="A574" s="479" t="s">
        <v>137</v>
      </c>
      <c r="B574" s="805" t="s">
        <v>1116</v>
      </c>
      <c r="C574" s="625">
        <v>67.190069747061855</v>
      </c>
      <c r="D574" s="550">
        <v>134.9083444376418</v>
      </c>
      <c r="E574" s="551">
        <v>4.1055929700723874</v>
      </c>
      <c r="F574" s="560">
        <v>12.37680219925331</v>
      </c>
      <c r="G574" s="566">
        <v>218.58080935402936</v>
      </c>
      <c r="H574" s="1096">
        <f t="shared" si="58"/>
        <v>218.58080935402936</v>
      </c>
    </row>
    <row r="575" spans="1:8" ht="15.75" x14ac:dyDescent="0.25">
      <c r="A575" s="479" t="s">
        <v>153</v>
      </c>
      <c r="B575" s="805" t="s">
        <v>1133</v>
      </c>
      <c r="C575" s="549">
        <v>0</v>
      </c>
      <c r="D575" s="550">
        <v>199.20529165316142</v>
      </c>
      <c r="E575" s="551">
        <v>0</v>
      </c>
      <c r="F575" s="560">
        <v>19.91572730219325</v>
      </c>
      <c r="G575" s="566">
        <v>219.12101895535469</v>
      </c>
      <c r="H575" s="1096">
        <f t="shared" si="58"/>
        <v>219.12101895535469</v>
      </c>
    </row>
    <row r="576" spans="1:8" ht="15.75" x14ac:dyDescent="0.25">
      <c r="A576" s="479" t="s">
        <v>119</v>
      </c>
      <c r="B576" s="805" t="s">
        <v>1076</v>
      </c>
      <c r="C576" s="549">
        <v>84.146258979817148</v>
      </c>
      <c r="D576" s="550">
        <v>121.35523763418355</v>
      </c>
      <c r="E576" s="551">
        <v>0</v>
      </c>
      <c r="F576" s="560">
        <v>16.403194788470685</v>
      </c>
      <c r="G576" s="566">
        <v>221.90469140247137</v>
      </c>
      <c r="H576" s="1096">
        <f t="shared" si="58"/>
        <v>221.90469140247137</v>
      </c>
    </row>
    <row r="577" spans="1:8" ht="15.75" x14ac:dyDescent="0.25">
      <c r="A577" s="479" t="s">
        <v>115</v>
      </c>
      <c r="B577" s="805" t="s">
        <v>1076</v>
      </c>
      <c r="C577" s="549">
        <v>90.537114092208327</v>
      </c>
      <c r="D577" s="550">
        <v>117.16567706050489</v>
      </c>
      <c r="E577" s="551">
        <v>0</v>
      </c>
      <c r="F577" s="560">
        <v>16.607347104560958</v>
      </c>
      <c r="G577" s="566">
        <v>224.31013825727416</v>
      </c>
      <c r="H577" s="1096">
        <f t="shared" si="58"/>
        <v>224.31013825727416</v>
      </c>
    </row>
    <row r="578" spans="1:8" ht="15.75" x14ac:dyDescent="0.25">
      <c r="A578" s="791" t="s">
        <v>218</v>
      </c>
      <c r="B578" s="804" t="s">
        <v>1118</v>
      </c>
      <c r="C578" s="549">
        <v>0</v>
      </c>
      <c r="D578" s="550">
        <v>206.85183851149006</v>
      </c>
      <c r="E578" s="551">
        <v>0</v>
      </c>
      <c r="F578" s="560">
        <v>18.616665466034107</v>
      </c>
      <c r="G578" s="566">
        <v>225.46850397752416</v>
      </c>
      <c r="H578" s="1096">
        <f t="shared" si="58"/>
        <v>225.46850397752416</v>
      </c>
    </row>
    <row r="579" spans="1:8" ht="15.75" x14ac:dyDescent="0.25">
      <c r="A579" s="791" t="s">
        <v>872</v>
      </c>
      <c r="B579" s="804" t="s">
        <v>1118</v>
      </c>
      <c r="C579" s="549">
        <v>0</v>
      </c>
      <c r="D579" s="550">
        <v>207.36639532370771</v>
      </c>
      <c r="E579" s="551">
        <v>0</v>
      </c>
      <c r="F579" s="560">
        <v>18.662975579133693</v>
      </c>
      <c r="G579" s="566">
        <v>226.02937090284141</v>
      </c>
      <c r="H579" s="1096">
        <f t="shared" si="58"/>
        <v>226.02937090284141</v>
      </c>
    </row>
    <row r="580" spans="1:8" ht="15.75" x14ac:dyDescent="0.25">
      <c r="A580" s="791" t="s">
        <v>866</v>
      </c>
      <c r="B580" s="804" t="s">
        <v>1118</v>
      </c>
      <c r="C580" s="549">
        <v>0</v>
      </c>
      <c r="D580" s="550">
        <v>209.42462257257824</v>
      </c>
      <c r="E580" s="551">
        <v>0</v>
      </c>
      <c r="F580" s="560">
        <v>18.848216031532044</v>
      </c>
      <c r="G580" s="566">
        <v>228.27283860411029</v>
      </c>
      <c r="H580" s="1096">
        <f t="shared" si="58"/>
        <v>228.27283860411029</v>
      </c>
    </row>
    <row r="581" spans="1:8" ht="15.75" x14ac:dyDescent="0.25">
      <c r="A581" s="791" t="s">
        <v>513</v>
      </c>
      <c r="B581" s="804" t="s">
        <v>1118</v>
      </c>
      <c r="C581" s="549">
        <v>0</v>
      </c>
      <c r="D581" s="550">
        <v>210.45373619701351</v>
      </c>
      <c r="E581" s="551">
        <v>0</v>
      </c>
      <c r="F581" s="560">
        <v>18.940836257731217</v>
      </c>
      <c r="G581" s="566">
        <v>229.39457245474472</v>
      </c>
      <c r="H581" s="1096">
        <f t="shared" si="58"/>
        <v>229.39457245474472</v>
      </c>
    </row>
    <row r="582" spans="1:8" ht="15.75" x14ac:dyDescent="0.25">
      <c r="A582" s="791" t="s">
        <v>597</v>
      </c>
      <c r="B582" s="804" t="s">
        <v>1118</v>
      </c>
      <c r="C582" s="549">
        <v>0</v>
      </c>
      <c r="D582" s="550">
        <v>210.96829300923116</v>
      </c>
      <c r="E582" s="551">
        <v>0</v>
      </c>
      <c r="F582" s="560">
        <v>18.987146370830803</v>
      </c>
      <c r="G582" s="566">
        <v>229.95543938006196</v>
      </c>
      <c r="H582" s="1096">
        <f t="shared" si="58"/>
        <v>229.95543938006196</v>
      </c>
    </row>
    <row r="583" spans="1:8" ht="15.75" x14ac:dyDescent="0.25">
      <c r="A583" s="791" t="s">
        <v>862</v>
      </c>
      <c r="B583" s="804" t="s">
        <v>1118</v>
      </c>
      <c r="C583" s="549">
        <v>0</v>
      </c>
      <c r="D583" s="550">
        <v>212.51196344588408</v>
      </c>
      <c r="E583" s="551">
        <v>0</v>
      </c>
      <c r="F583" s="560">
        <v>19.126076710129567</v>
      </c>
      <c r="G583" s="566">
        <v>231.63804015601363</v>
      </c>
      <c r="H583" s="1096">
        <f t="shared" si="58"/>
        <v>231.63804015601363</v>
      </c>
    </row>
    <row r="584" spans="1:8" ht="15.75" x14ac:dyDescent="0.25">
      <c r="A584" s="479" t="s">
        <v>109</v>
      </c>
      <c r="B584" s="805" t="s">
        <v>1074</v>
      </c>
      <c r="C584" s="549">
        <v>13.013049063036458</v>
      </c>
      <c r="D584" s="550">
        <v>197.45261161330595</v>
      </c>
      <c r="E584" s="551">
        <v>0.96037262457833639</v>
      </c>
      <c r="F584" s="560">
        <v>21.140202398530629</v>
      </c>
      <c r="G584" s="566">
        <v>232.56623569945134</v>
      </c>
      <c r="H584" s="1096">
        <f t="shared" si="58"/>
        <v>232.56623569945134</v>
      </c>
    </row>
    <row r="585" spans="1:8" ht="15.75" x14ac:dyDescent="0.25">
      <c r="A585" s="1086" t="s">
        <v>622</v>
      </c>
      <c r="B585" s="1083" t="s">
        <v>1092</v>
      </c>
      <c r="C585" s="549">
        <v>233.85391247763135</v>
      </c>
      <c r="D585" s="550">
        <v>0</v>
      </c>
      <c r="E585" s="551">
        <v>0</v>
      </c>
      <c r="F585" s="560">
        <v>0</v>
      </c>
      <c r="G585" s="566">
        <v>233.85391247763135</v>
      </c>
      <c r="H585" s="1096">
        <f t="shared" si="58"/>
        <v>233.85391247763135</v>
      </c>
    </row>
    <row r="586" spans="1:8" ht="15.75" x14ac:dyDescent="0.25">
      <c r="A586" s="791" t="s">
        <v>870</v>
      </c>
      <c r="B586" s="804" t="s">
        <v>1118</v>
      </c>
      <c r="C586" s="549">
        <v>0</v>
      </c>
      <c r="D586" s="550">
        <v>217.1429747558428</v>
      </c>
      <c r="E586" s="551">
        <v>0</v>
      </c>
      <c r="F586" s="560">
        <v>19.54286772802585</v>
      </c>
      <c r="G586" s="566">
        <v>236.68584248386864</v>
      </c>
      <c r="H586" s="1096">
        <f t="shared" si="58"/>
        <v>236.68584248386864</v>
      </c>
    </row>
    <row r="587" spans="1:8" ht="15.75" x14ac:dyDescent="0.25">
      <c r="A587" s="479" t="s">
        <v>138</v>
      </c>
      <c r="B587" s="805" t="s">
        <v>1116</v>
      </c>
      <c r="C587" s="549">
        <v>56.181798537832677</v>
      </c>
      <c r="D587" s="550">
        <v>163.26334617831719</v>
      </c>
      <c r="E587" s="551">
        <v>5.8342636943133934</v>
      </c>
      <c r="F587" s="560">
        <v>13.517244690940084</v>
      </c>
      <c r="G587" s="566">
        <v>238.79665310140334</v>
      </c>
      <c r="H587" s="1096">
        <f t="shared" si="58"/>
        <v>238.79665310140334</v>
      </c>
    </row>
    <row r="588" spans="1:8" ht="15.75" x14ac:dyDescent="0.25">
      <c r="A588" s="479" t="s">
        <v>154</v>
      </c>
      <c r="B588" s="805" t="s">
        <v>1133</v>
      </c>
      <c r="C588" s="549">
        <v>0</v>
      </c>
      <c r="D588" s="550">
        <v>219.25307019123417</v>
      </c>
      <c r="E588" s="551">
        <v>0</v>
      </c>
      <c r="F588" s="560">
        <v>21.92050515600053</v>
      </c>
      <c r="G588" s="566">
        <v>241.1735753472347</v>
      </c>
      <c r="H588" s="1096">
        <f t="shared" si="58"/>
        <v>241.1735753472347</v>
      </c>
    </row>
    <row r="589" spans="1:8" ht="15.75" x14ac:dyDescent="0.25">
      <c r="A589" s="479" t="s">
        <v>104</v>
      </c>
      <c r="B589" s="805" t="s">
        <v>1066</v>
      </c>
      <c r="C589" s="549">
        <v>0</v>
      </c>
      <c r="D589" s="550">
        <v>192.46917234817835</v>
      </c>
      <c r="E589" s="551">
        <v>0</v>
      </c>
      <c r="F589" s="560">
        <v>51.966676534008158</v>
      </c>
      <c r="G589" s="566">
        <v>244.43584888218652</v>
      </c>
      <c r="H589" s="1096">
        <f t="shared" si="58"/>
        <v>244.43584888218652</v>
      </c>
    </row>
    <row r="590" spans="1:8" ht="15.75" x14ac:dyDescent="0.25">
      <c r="A590" s="479" t="s">
        <v>118</v>
      </c>
      <c r="B590" s="805" t="s">
        <v>1076</v>
      </c>
      <c r="C590" s="549">
        <v>124.62167469162793</v>
      </c>
      <c r="D590" s="550">
        <v>102.60872930450277</v>
      </c>
      <c r="E590" s="551">
        <v>0</v>
      </c>
      <c r="F590" s="560">
        <v>18.15180375672216</v>
      </c>
      <c r="G590" s="566">
        <v>245.38220775285285</v>
      </c>
      <c r="H590" s="1096">
        <f t="shared" si="58"/>
        <v>245.38220775285285</v>
      </c>
    </row>
    <row r="591" spans="1:8" ht="15.75" x14ac:dyDescent="0.25">
      <c r="A591" s="479" t="s">
        <v>103</v>
      </c>
      <c r="B591" s="805" t="s">
        <v>1066</v>
      </c>
      <c r="C591" s="549">
        <v>4.7553297840520141</v>
      </c>
      <c r="D591" s="550">
        <v>189.2088162655302</v>
      </c>
      <c r="E591" s="551">
        <v>0</v>
      </c>
      <c r="F591" s="560">
        <v>52.370319433387195</v>
      </c>
      <c r="G591" s="566">
        <v>246.33446548296939</v>
      </c>
      <c r="H591" s="1096">
        <f t="shared" si="58"/>
        <v>246.33446548296939</v>
      </c>
    </row>
    <row r="592" spans="1:8" ht="15.75" x14ac:dyDescent="0.25">
      <c r="A592" s="479" t="s">
        <v>928</v>
      </c>
      <c r="B592" s="805" t="s">
        <v>1145</v>
      </c>
      <c r="C592" s="549">
        <v>232.95649194929769</v>
      </c>
      <c r="D592" s="550">
        <v>0</v>
      </c>
      <c r="E592" s="551">
        <v>0</v>
      </c>
      <c r="F592" s="560">
        <v>18.636519355943815</v>
      </c>
      <c r="G592" s="566">
        <v>251.5930113052415</v>
      </c>
      <c r="H592" s="1096">
        <f t="shared" si="58"/>
        <v>251.5930113052415</v>
      </c>
    </row>
    <row r="593" spans="1:8" ht="15.75" x14ac:dyDescent="0.25">
      <c r="A593" s="479" t="s">
        <v>135</v>
      </c>
      <c r="B593" s="805" t="s">
        <v>1116</v>
      </c>
      <c r="C593" s="549">
        <v>49.963385793687948</v>
      </c>
      <c r="D593" s="550">
        <v>189.39748622465518</v>
      </c>
      <c r="E593" s="551">
        <v>4.8979003853495158</v>
      </c>
      <c r="F593" s="560">
        <v>14.65768718262686</v>
      </c>
      <c r="G593" s="566">
        <v>258.91645958631949</v>
      </c>
      <c r="H593" s="1096">
        <f t="shared" si="58"/>
        <v>258.91645958631949</v>
      </c>
    </row>
    <row r="594" spans="1:8" ht="15.75" x14ac:dyDescent="0.25">
      <c r="A594" s="479" t="s">
        <v>134</v>
      </c>
      <c r="B594" s="805" t="s">
        <v>1116</v>
      </c>
      <c r="C594" s="549">
        <v>58.630748730507442</v>
      </c>
      <c r="D594" s="550">
        <v>180.8621745237152</v>
      </c>
      <c r="E594" s="551">
        <v>5.450114644482059</v>
      </c>
      <c r="F594" s="560">
        <v>14.693701156048547</v>
      </c>
      <c r="G594" s="566">
        <v>259.63673905475321</v>
      </c>
      <c r="H594" s="1096">
        <f t="shared" si="58"/>
        <v>259.63673905475321</v>
      </c>
    </row>
    <row r="595" spans="1:8" ht="15.75" x14ac:dyDescent="0.25">
      <c r="A595" s="502" t="s">
        <v>516</v>
      </c>
      <c r="B595" s="804" t="s">
        <v>1118</v>
      </c>
      <c r="C595" s="549">
        <v>0</v>
      </c>
      <c r="D595" s="550">
        <v>238.75436086898355</v>
      </c>
      <c r="E595" s="551">
        <v>0</v>
      </c>
      <c r="F595" s="560">
        <v>21.487892478208519</v>
      </c>
      <c r="G595" s="566">
        <v>260.24225334719205</v>
      </c>
      <c r="H595" s="1096">
        <f t="shared" si="58"/>
        <v>260.24225334719205</v>
      </c>
    </row>
    <row r="596" spans="1:8" ht="15.75" x14ac:dyDescent="0.25">
      <c r="A596" s="1087" t="s">
        <v>891</v>
      </c>
      <c r="B596" s="805" t="s">
        <v>1114</v>
      </c>
      <c r="C596" s="549">
        <v>0</v>
      </c>
      <c r="D596" s="550">
        <v>241.48339801638639</v>
      </c>
      <c r="E596" s="551">
        <v>0</v>
      </c>
      <c r="F596" s="560">
        <v>19.318671841310913</v>
      </c>
      <c r="G596" s="566">
        <v>260.80206985769729</v>
      </c>
      <c r="H596" s="1096">
        <f t="shared" ref="H596:H627" si="59">SUM(C596:F596)</f>
        <v>260.80206985769729</v>
      </c>
    </row>
    <row r="597" spans="1:8" ht="15.75" x14ac:dyDescent="0.25">
      <c r="A597" s="1090" t="s">
        <v>77</v>
      </c>
      <c r="B597" s="805" t="s">
        <v>1036</v>
      </c>
      <c r="C597" s="549">
        <v>222.17039610158466</v>
      </c>
      <c r="D597" s="593">
        <v>0</v>
      </c>
      <c r="E597" s="594">
        <v>0</v>
      </c>
      <c r="F597" s="595">
        <v>44.434079220316931</v>
      </c>
      <c r="G597" s="566">
        <v>266.60447532190159</v>
      </c>
      <c r="H597" s="1096">
        <f t="shared" si="59"/>
        <v>266.60447532190159</v>
      </c>
    </row>
    <row r="598" spans="1:8" ht="15.75" x14ac:dyDescent="0.25">
      <c r="A598" s="1087" t="s">
        <v>170</v>
      </c>
      <c r="B598" s="805" t="s">
        <v>1151</v>
      </c>
      <c r="C598" s="549" t="s">
        <v>5</v>
      </c>
      <c r="D598" s="550">
        <v>269.10000000000002</v>
      </c>
      <c r="E598" s="551" t="s">
        <v>5</v>
      </c>
      <c r="F598" s="560" t="s">
        <v>5</v>
      </c>
      <c r="G598" s="566">
        <v>269.10000000000002</v>
      </c>
      <c r="H598" s="1096">
        <f t="shared" si="59"/>
        <v>269.10000000000002</v>
      </c>
    </row>
    <row r="599" spans="1:8" ht="15.75" x14ac:dyDescent="0.25">
      <c r="A599" s="1087" t="s">
        <v>129</v>
      </c>
      <c r="B599" s="805" t="s">
        <v>1114</v>
      </c>
      <c r="C599" s="549">
        <v>0</v>
      </c>
      <c r="D599" s="550">
        <v>257.58229121747883</v>
      </c>
      <c r="E599" s="551">
        <v>0</v>
      </c>
      <c r="F599" s="560">
        <v>20.606583297398306</v>
      </c>
      <c r="G599" s="566">
        <v>278.18887451487711</v>
      </c>
      <c r="H599" s="1096">
        <f t="shared" si="59"/>
        <v>278.18887451487711</v>
      </c>
    </row>
    <row r="600" spans="1:8" ht="15.75" x14ac:dyDescent="0.25">
      <c r="A600" s="1087" t="s">
        <v>136</v>
      </c>
      <c r="B600" s="805" t="s">
        <v>1116</v>
      </c>
      <c r="C600" s="549">
        <v>45.749750903350495</v>
      </c>
      <c r="D600" s="550">
        <v>210.83780506836652</v>
      </c>
      <c r="E600" s="551">
        <v>6.0023289036146021</v>
      </c>
      <c r="F600" s="560">
        <v>15.750111043084715</v>
      </c>
      <c r="G600" s="566">
        <v>278.33999591841632</v>
      </c>
      <c r="H600" s="1096">
        <f t="shared" si="59"/>
        <v>278.33999591841632</v>
      </c>
    </row>
    <row r="601" spans="1:8" ht="15.75" x14ac:dyDescent="0.25">
      <c r="A601" s="1087" t="s">
        <v>128</v>
      </c>
      <c r="B601" s="805" t="s">
        <v>1114</v>
      </c>
      <c r="C601" s="549">
        <v>0</v>
      </c>
      <c r="D601" s="550">
        <v>274.2561448900388</v>
      </c>
      <c r="E601" s="551">
        <v>0</v>
      </c>
      <c r="F601" s="560">
        <v>21.940491591203102</v>
      </c>
      <c r="G601" s="566">
        <v>296.19663648124191</v>
      </c>
      <c r="H601" s="1096">
        <f t="shared" si="59"/>
        <v>296.19663648124191</v>
      </c>
    </row>
    <row r="602" spans="1:8" ht="15.75" x14ac:dyDescent="0.25">
      <c r="A602" s="1088" t="s">
        <v>212</v>
      </c>
      <c r="B602" s="805" t="s">
        <v>1151</v>
      </c>
      <c r="C602" s="549">
        <v>48</v>
      </c>
      <c r="D602" s="550">
        <v>249.32</v>
      </c>
      <c r="E602" s="551" t="s">
        <v>5</v>
      </c>
      <c r="F602" s="560" t="s">
        <v>5</v>
      </c>
      <c r="G602" s="566">
        <v>297.32</v>
      </c>
      <c r="H602" s="1096">
        <f t="shared" si="59"/>
        <v>297.32</v>
      </c>
    </row>
    <row r="603" spans="1:8" ht="15.75" x14ac:dyDescent="0.25">
      <c r="A603" s="1087" t="s">
        <v>174</v>
      </c>
      <c r="B603" s="805" t="s">
        <v>1151</v>
      </c>
      <c r="C603" s="549">
        <v>184.68</v>
      </c>
      <c r="D603" s="550">
        <v>120.99</v>
      </c>
      <c r="E603" s="551" t="s">
        <v>5</v>
      </c>
      <c r="F603" s="560" t="s">
        <v>5</v>
      </c>
      <c r="G603" s="566">
        <v>305.67</v>
      </c>
      <c r="H603" s="1096">
        <f t="shared" si="59"/>
        <v>305.67</v>
      </c>
    </row>
    <row r="604" spans="1:8" ht="15.75" x14ac:dyDescent="0.25">
      <c r="A604" s="1090" t="s">
        <v>76</v>
      </c>
      <c r="B604" s="805" t="s">
        <v>1036</v>
      </c>
      <c r="C604" s="549">
        <v>257.76675790791586</v>
      </c>
      <c r="D604" s="593">
        <v>0</v>
      </c>
      <c r="E604" s="594">
        <v>0</v>
      </c>
      <c r="F604" s="595">
        <v>51.553351581583179</v>
      </c>
      <c r="G604" s="566">
        <v>309.32010948949903</v>
      </c>
      <c r="H604" s="1096">
        <f t="shared" si="59"/>
        <v>309.32010948949903</v>
      </c>
    </row>
    <row r="605" spans="1:8" ht="15.75" x14ac:dyDescent="0.25">
      <c r="A605" s="1087" t="s">
        <v>116</v>
      </c>
      <c r="B605" s="805" t="s">
        <v>1076</v>
      </c>
      <c r="C605" s="549">
        <v>140.59881247260589</v>
      </c>
      <c r="D605" s="550">
        <v>149.11995262246077</v>
      </c>
      <c r="E605" s="551">
        <v>0</v>
      </c>
      <c r="F605" s="560">
        <v>23.095840281169224</v>
      </c>
      <c r="G605" s="566">
        <v>312.81460537623587</v>
      </c>
      <c r="H605" s="1096">
        <f t="shared" si="59"/>
        <v>312.81460537623587</v>
      </c>
    </row>
    <row r="606" spans="1:8" ht="15.75" x14ac:dyDescent="0.25">
      <c r="A606" s="502" t="s">
        <v>183</v>
      </c>
      <c r="B606" s="804" t="s">
        <v>1106</v>
      </c>
      <c r="C606" s="549">
        <v>70.827481062652311</v>
      </c>
      <c r="D606" s="550">
        <v>216.08384053012568</v>
      </c>
      <c r="E606" s="551">
        <v>9.4116517208676953</v>
      </c>
      <c r="F606" s="560">
        <v>17.778898212506451</v>
      </c>
      <c r="G606" s="566">
        <v>314.10187152615214</v>
      </c>
      <c r="H606" s="1096">
        <f t="shared" si="59"/>
        <v>314.10187152615214</v>
      </c>
    </row>
    <row r="607" spans="1:8" ht="15.75" x14ac:dyDescent="0.25">
      <c r="A607" s="479" t="s">
        <v>86</v>
      </c>
      <c r="B607" s="805" t="s">
        <v>1050</v>
      </c>
      <c r="C607" s="549">
        <v>57.622357474700181</v>
      </c>
      <c r="D607" s="593">
        <v>250.41716185880119</v>
      </c>
      <c r="E607" s="594">
        <v>0</v>
      </c>
      <c r="F607" s="595">
        <v>15.401975966675069</v>
      </c>
      <c r="G607" s="566">
        <v>323.44149530017648</v>
      </c>
      <c r="H607" s="1096">
        <f t="shared" si="59"/>
        <v>323.44149530017648</v>
      </c>
    </row>
    <row r="608" spans="1:8" ht="15.75" x14ac:dyDescent="0.25">
      <c r="A608" s="479" t="s">
        <v>107</v>
      </c>
      <c r="B608" s="805" t="s">
        <v>1074</v>
      </c>
      <c r="C608" s="549">
        <v>30.419802883518805</v>
      </c>
      <c r="D608" s="550">
        <v>265.27892822415095</v>
      </c>
      <c r="E608" s="551">
        <v>0.96037262457833639</v>
      </c>
      <c r="F608" s="560">
        <v>29.663509441663365</v>
      </c>
      <c r="G608" s="566">
        <v>326.32261317391146</v>
      </c>
      <c r="H608" s="1096">
        <f t="shared" si="59"/>
        <v>326.32261317391146</v>
      </c>
    </row>
    <row r="609" spans="1:8" ht="15.75" x14ac:dyDescent="0.25">
      <c r="A609" s="479" t="s">
        <v>127</v>
      </c>
      <c r="B609" s="805" t="s">
        <v>1112</v>
      </c>
      <c r="C609" s="549">
        <v>38.609050458665287</v>
      </c>
      <c r="D609" s="550">
        <v>213.03226073783748</v>
      </c>
      <c r="E609" s="551">
        <v>11.894707464538293</v>
      </c>
      <c r="F609" s="560">
        <v>65.884004665260264</v>
      </c>
      <c r="G609" s="566">
        <v>329.4200233263013</v>
      </c>
      <c r="H609" s="1096">
        <f t="shared" si="59"/>
        <v>329.4200233263013</v>
      </c>
    </row>
    <row r="610" spans="1:8" ht="15.75" x14ac:dyDescent="0.25">
      <c r="A610" s="479" t="s">
        <v>878</v>
      </c>
      <c r="B610" s="805" t="s">
        <v>1050</v>
      </c>
      <c r="C610" s="549">
        <v>50.419562790362662</v>
      </c>
      <c r="D610" s="593">
        <v>264.10247175904249</v>
      </c>
      <c r="E610" s="594">
        <v>0</v>
      </c>
      <c r="F610" s="595">
        <v>15.726101727470258</v>
      </c>
      <c r="G610" s="566">
        <v>330.24813627687541</v>
      </c>
      <c r="H610" s="1096">
        <f t="shared" si="59"/>
        <v>330.24813627687541</v>
      </c>
    </row>
    <row r="611" spans="1:8" ht="15.75" x14ac:dyDescent="0.25">
      <c r="A611" s="479" t="s">
        <v>105</v>
      </c>
      <c r="B611" s="805" t="s">
        <v>1066</v>
      </c>
      <c r="C611" s="549">
        <v>0</v>
      </c>
      <c r="D611" s="550">
        <v>262.68271755933142</v>
      </c>
      <c r="E611" s="551">
        <v>0</v>
      </c>
      <c r="F611" s="560">
        <v>70.924333741019481</v>
      </c>
      <c r="G611" s="566">
        <v>333.60705130035092</v>
      </c>
      <c r="H611" s="1096">
        <f t="shared" si="59"/>
        <v>333.60705130035092</v>
      </c>
    </row>
    <row r="612" spans="1:8" ht="15.75" x14ac:dyDescent="0.25">
      <c r="A612" s="1085" t="s">
        <v>552</v>
      </c>
      <c r="B612" s="805" t="s">
        <v>1040</v>
      </c>
      <c r="C612" s="549">
        <v>167.65400488235434</v>
      </c>
      <c r="D612" s="593">
        <v>166.31811639723597</v>
      </c>
      <c r="E612" s="594">
        <v>0</v>
      </c>
      <c r="F612" s="595">
        <v>0</v>
      </c>
      <c r="G612" s="566">
        <v>333.97212127959028</v>
      </c>
      <c r="H612" s="1096">
        <f t="shared" si="59"/>
        <v>333.97212127959028</v>
      </c>
    </row>
    <row r="613" spans="1:8" ht="15.75" x14ac:dyDescent="0.25">
      <c r="A613" s="479" t="s">
        <v>126</v>
      </c>
      <c r="B613" s="805" t="s">
        <v>1112</v>
      </c>
      <c r="C613" s="549">
        <v>37.536576834813467</v>
      </c>
      <c r="D613" s="550">
        <v>238.13789329618675</v>
      </c>
      <c r="E613" s="551">
        <v>0</v>
      </c>
      <c r="F613" s="560">
        <v>64.226545428398367</v>
      </c>
      <c r="G613" s="566">
        <v>339.90101555939856</v>
      </c>
      <c r="H613" s="1096">
        <f t="shared" si="59"/>
        <v>339.90101555939856</v>
      </c>
    </row>
    <row r="614" spans="1:8" ht="15.75" x14ac:dyDescent="0.25">
      <c r="A614" s="479" t="s">
        <v>912</v>
      </c>
      <c r="B614" s="805" t="s">
        <v>1052</v>
      </c>
      <c r="C614" s="549">
        <v>0</v>
      </c>
      <c r="D614" s="593">
        <v>303.07189309007362</v>
      </c>
      <c r="E614" s="594">
        <v>0</v>
      </c>
      <c r="F614" s="595">
        <v>45.498385935358449</v>
      </c>
      <c r="G614" s="566">
        <v>348.57027902543206</v>
      </c>
      <c r="H614" s="1096">
        <f t="shared" si="59"/>
        <v>348.57027902543206</v>
      </c>
    </row>
    <row r="615" spans="1:8" ht="15.75" x14ac:dyDescent="0.25">
      <c r="A615" s="479" t="s">
        <v>913</v>
      </c>
      <c r="B615" s="805" t="s">
        <v>1052</v>
      </c>
      <c r="C615" s="549">
        <v>0</v>
      </c>
      <c r="D615" s="593">
        <v>305.04599661206231</v>
      </c>
      <c r="E615" s="594">
        <v>0</v>
      </c>
      <c r="F615" s="595">
        <v>45.780400724213976</v>
      </c>
      <c r="G615" s="566">
        <v>350.82639733627627</v>
      </c>
      <c r="H615" s="1096">
        <f t="shared" si="59"/>
        <v>350.82639733627627</v>
      </c>
    </row>
    <row r="616" spans="1:8" ht="15.75" x14ac:dyDescent="0.25">
      <c r="A616" s="502" t="s">
        <v>182</v>
      </c>
      <c r="B616" s="804" t="s">
        <v>1106</v>
      </c>
      <c r="C616" s="549">
        <v>50.599632657471098</v>
      </c>
      <c r="D616" s="550">
        <v>283.30992425060924</v>
      </c>
      <c r="E616" s="551">
        <v>0</v>
      </c>
      <c r="F616" s="560">
        <v>20.035773880265545</v>
      </c>
      <c r="G616" s="566">
        <v>353.94533078834587</v>
      </c>
      <c r="H616" s="1096">
        <f t="shared" si="59"/>
        <v>353.94533078834587</v>
      </c>
    </row>
    <row r="617" spans="1:8" ht="15.75" x14ac:dyDescent="0.25">
      <c r="A617" s="1087" t="s">
        <v>879</v>
      </c>
      <c r="B617" s="805" t="s">
        <v>1050</v>
      </c>
      <c r="C617" s="549">
        <v>79.230741527712752</v>
      </c>
      <c r="D617" s="593">
        <v>264.10247175904249</v>
      </c>
      <c r="E617" s="594">
        <v>0</v>
      </c>
      <c r="F617" s="595">
        <v>17.166660664337762</v>
      </c>
      <c r="G617" s="566">
        <v>360.49987395109304</v>
      </c>
      <c r="H617" s="1096">
        <f t="shared" si="59"/>
        <v>360.49987395109304</v>
      </c>
    </row>
    <row r="618" spans="1:8" ht="15.75" x14ac:dyDescent="0.25">
      <c r="A618" s="502" t="s">
        <v>184</v>
      </c>
      <c r="B618" s="804" t="s">
        <v>1106</v>
      </c>
      <c r="C618" s="549">
        <v>73.444496464628273</v>
      </c>
      <c r="D618" s="550">
        <v>244.89501926747576</v>
      </c>
      <c r="E618" s="551">
        <v>22.088570365301734</v>
      </c>
      <c r="F618" s="560">
        <v>20.419922930096877</v>
      </c>
      <c r="G618" s="566">
        <v>360.84800902750266</v>
      </c>
      <c r="H618" s="1096">
        <f t="shared" si="59"/>
        <v>360.84800902750266</v>
      </c>
    </row>
    <row r="619" spans="1:8" ht="15.75" x14ac:dyDescent="0.25">
      <c r="A619" s="1087" t="s">
        <v>631</v>
      </c>
      <c r="B619" s="805" t="s">
        <v>1058</v>
      </c>
      <c r="C619" s="549">
        <v>13.145100298915978</v>
      </c>
      <c r="D619" s="593">
        <v>223.28663521446322</v>
      </c>
      <c r="E619" s="594">
        <v>105.640988703617</v>
      </c>
      <c r="F619" s="595">
        <v>18.799294126120934</v>
      </c>
      <c r="G619" s="566">
        <v>360.87201834311708</v>
      </c>
      <c r="H619" s="1096">
        <f t="shared" si="59"/>
        <v>360.87201834311708</v>
      </c>
    </row>
    <row r="620" spans="1:8" ht="15.75" x14ac:dyDescent="0.25">
      <c r="A620" s="1087" t="s">
        <v>160</v>
      </c>
      <c r="B620" s="805" t="s">
        <v>1137</v>
      </c>
      <c r="C620" s="549">
        <v>114.94016953675008</v>
      </c>
      <c r="D620" s="550">
        <v>221.67032696373229</v>
      </c>
      <c r="E620" s="551">
        <v>0</v>
      </c>
      <c r="F620" s="560">
        <v>26.928839720038585</v>
      </c>
      <c r="G620" s="566">
        <v>363.53933622052097</v>
      </c>
      <c r="H620" s="1096">
        <f t="shared" si="59"/>
        <v>363.53933622052097</v>
      </c>
    </row>
    <row r="621" spans="1:8" ht="15.75" x14ac:dyDescent="0.25">
      <c r="A621" s="1087" t="s">
        <v>155</v>
      </c>
      <c r="B621" s="805" t="s">
        <v>1135</v>
      </c>
      <c r="C621" s="549">
        <v>206.24267029725661</v>
      </c>
      <c r="D621" s="550">
        <v>89.457605060604465</v>
      </c>
      <c r="E621" s="551">
        <v>0</v>
      </c>
      <c r="F621" s="560">
        <v>73.925068839465268</v>
      </c>
      <c r="G621" s="566">
        <v>369.62534419732634</v>
      </c>
      <c r="H621" s="1096">
        <f t="shared" si="59"/>
        <v>369.62534419732634</v>
      </c>
    </row>
    <row r="622" spans="1:8" ht="15.75" x14ac:dyDescent="0.25">
      <c r="A622" s="1087" t="s">
        <v>85</v>
      </c>
      <c r="B622" s="805" t="s">
        <v>1050</v>
      </c>
      <c r="C622" s="549">
        <v>79.230741527712752</v>
      </c>
      <c r="D622" s="593">
        <v>273.70619800482586</v>
      </c>
      <c r="E622" s="594">
        <v>0</v>
      </c>
      <c r="F622" s="595">
        <v>17.646846976626929</v>
      </c>
      <c r="G622" s="566">
        <v>370.58378650916558</v>
      </c>
      <c r="H622" s="1096">
        <f t="shared" si="59"/>
        <v>370.58378650916558</v>
      </c>
    </row>
    <row r="623" spans="1:8" ht="15.75" x14ac:dyDescent="0.25">
      <c r="A623" s="1087" t="s">
        <v>929</v>
      </c>
      <c r="B623" s="1089" t="s">
        <v>1145</v>
      </c>
      <c r="C623" s="549">
        <v>341.52897462249979</v>
      </c>
      <c r="D623" s="550">
        <v>0</v>
      </c>
      <c r="E623" s="551">
        <v>14.135504782986796</v>
      </c>
      <c r="F623" s="560">
        <v>18.763011568766963</v>
      </c>
      <c r="G623" s="566">
        <v>374.42749097425354</v>
      </c>
      <c r="H623" s="1096">
        <f t="shared" si="59"/>
        <v>374.42749097425354</v>
      </c>
    </row>
    <row r="624" spans="1:8" ht="15.75" x14ac:dyDescent="0.25">
      <c r="A624" s="1087" t="s">
        <v>125</v>
      </c>
      <c r="B624" s="1089" t="s">
        <v>1112</v>
      </c>
      <c r="C624" s="549">
        <v>299.6832546649556</v>
      </c>
      <c r="D624" s="550">
        <v>0</v>
      </c>
      <c r="E624" s="551">
        <v>0</v>
      </c>
      <c r="F624" s="560">
        <v>74.859877664883683</v>
      </c>
      <c r="G624" s="566">
        <v>374.5431323298393</v>
      </c>
      <c r="H624" s="1096">
        <f t="shared" si="59"/>
        <v>374.5431323298393</v>
      </c>
    </row>
    <row r="625" spans="1:8" ht="15.75" x14ac:dyDescent="0.25">
      <c r="A625" s="1087" t="s">
        <v>630</v>
      </c>
      <c r="B625" s="1089" t="s">
        <v>1058</v>
      </c>
      <c r="C625" s="549">
        <v>32.040431687494745</v>
      </c>
      <c r="D625" s="593">
        <v>240.0931561445841</v>
      </c>
      <c r="E625" s="594">
        <v>84.032604650604426</v>
      </c>
      <c r="F625" s="595">
        <v>19.591601541398063</v>
      </c>
      <c r="G625" s="566">
        <v>375.75779402408131</v>
      </c>
      <c r="H625" s="1096">
        <f t="shared" si="59"/>
        <v>375.75779402408131</v>
      </c>
    </row>
    <row r="626" spans="1:8" ht="15.75" x14ac:dyDescent="0.25">
      <c r="A626" s="1090" t="s">
        <v>71</v>
      </c>
      <c r="B626" s="1089" t="s">
        <v>1032</v>
      </c>
      <c r="C626" s="549">
        <v>0</v>
      </c>
      <c r="D626" s="593">
        <v>354.86968943950251</v>
      </c>
      <c r="E626" s="594">
        <v>0</v>
      </c>
      <c r="F626" s="595">
        <v>21.296262950024605</v>
      </c>
      <c r="G626" s="566">
        <v>376.16595238952709</v>
      </c>
      <c r="H626" s="1096">
        <f t="shared" si="59"/>
        <v>376.16595238952709</v>
      </c>
    </row>
    <row r="627" spans="1:8" ht="15.75" x14ac:dyDescent="0.25">
      <c r="A627" s="1087" t="s">
        <v>117</v>
      </c>
      <c r="B627" s="1089" t="s">
        <v>1076</v>
      </c>
      <c r="C627" s="549">
        <v>133.14281484148285</v>
      </c>
      <c r="D627" s="550">
        <v>215.26530303570945</v>
      </c>
      <c r="E627" s="551">
        <v>0</v>
      </c>
      <c r="F627" s="560">
        <v>27.809095926557713</v>
      </c>
      <c r="G627" s="566">
        <v>376.21721380374998</v>
      </c>
      <c r="H627" s="1096">
        <f t="shared" si="59"/>
        <v>376.21721380374998</v>
      </c>
    </row>
    <row r="628" spans="1:8" ht="15.75" x14ac:dyDescent="0.25">
      <c r="A628" s="479" t="s">
        <v>158</v>
      </c>
      <c r="B628" s="1089" t="s">
        <v>1135</v>
      </c>
      <c r="C628" s="549">
        <v>0</v>
      </c>
      <c r="D628" s="550">
        <v>302.6853212324562</v>
      </c>
      <c r="E628" s="551">
        <v>0</v>
      </c>
      <c r="F628" s="560">
        <v>75.671330308114051</v>
      </c>
      <c r="G628" s="566">
        <v>378.35665154057028</v>
      </c>
      <c r="H628" s="1096">
        <f t="shared" ref="H628:H659" si="60">SUM(C628:F628)</f>
        <v>378.35665154057028</v>
      </c>
    </row>
    <row r="629" spans="1:8" ht="15.75" x14ac:dyDescent="0.25">
      <c r="A629" s="791" t="s">
        <v>180</v>
      </c>
      <c r="B629" s="263" t="s">
        <v>1028</v>
      </c>
      <c r="C629" s="549">
        <v>70.200070200070201</v>
      </c>
      <c r="D629" s="593">
        <v>312.00031200031202</v>
      </c>
      <c r="E629" s="594">
        <v>0</v>
      </c>
      <c r="F629" s="595">
        <v>0</v>
      </c>
      <c r="G629" s="566">
        <v>382.20038220038225</v>
      </c>
      <c r="H629" s="1096">
        <f t="shared" si="60"/>
        <v>382.20038220038225</v>
      </c>
    </row>
    <row r="630" spans="1:8" ht="15.75" x14ac:dyDescent="0.25">
      <c r="A630" s="1085" t="s">
        <v>940</v>
      </c>
      <c r="B630" s="1089" t="s">
        <v>1040</v>
      </c>
      <c r="C630" s="549">
        <v>87.214433957013028</v>
      </c>
      <c r="D630" s="593">
        <v>301.62453581851003</v>
      </c>
      <c r="E630" s="594">
        <v>0</v>
      </c>
      <c r="F630" s="595">
        <v>0</v>
      </c>
      <c r="G630" s="566">
        <v>388.83896977552308</v>
      </c>
      <c r="H630" s="1096">
        <f t="shared" si="60"/>
        <v>388.83896977552308</v>
      </c>
    </row>
    <row r="631" spans="1:8" ht="15.75" x14ac:dyDescent="0.25">
      <c r="A631" s="479" t="s">
        <v>167</v>
      </c>
      <c r="B631" s="1089" t="s">
        <v>1149</v>
      </c>
      <c r="C631" s="549">
        <v>42.301870472483515</v>
      </c>
      <c r="D631" s="550">
        <v>346.98345767109959</v>
      </c>
      <c r="E631" s="551">
        <v>0</v>
      </c>
      <c r="F631" s="560">
        <v>0</v>
      </c>
      <c r="G631" s="566">
        <v>389.28532814358311</v>
      </c>
      <c r="H631" s="1096">
        <f t="shared" si="60"/>
        <v>389.28532814358311</v>
      </c>
    </row>
    <row r="632" spans="1:8" ht="15.75" x14ac:dyDescent="0.25">
      <c r="A632" s="479" t="s">
        <v>166</v>
      </c>
      <c r="B632" s="1089" t="s">
        <v>1149</v>
      </c>
      <c r="C632" s="549">
        <v>46.559087468915564</v>
      </c>
      <c r="D632" s="550">
        <v>346.22661909395612</v>
      </c>
      <c r="E632" s="551">
        <v>0</v>
      </c>
      <c r="F632" s="560">
        <v>0</v>
      </c>
      <c r="G632" s="566">
        <v>392.78570656287167</v>
      </c>
      <c r="H632" s="1096">
        <f t="shared" si="60"/>
        <v>392.78570656287167</v>
      </c>
    </row>
    <row r="633" spans="1:8" ht="15.75" x14ac:dyDescent="0.25">
      <c r="A633" s="479" t="s">
        <v>91</v>
      </c>
      <c r="B633" s="1089" t="s">
        <v>1056</v>
      </c>
      <c r="C633" s="549">
        <v>47.44240765416982</v>
      </c>
      <c r="D633" s="593">
        <v>271.30526644338005</v>
      </c>
      <c r="E633" s="594">
        <v>0</v>
      </c>
      <c r="F633" s="595">
        <v>76.493679547664485</v>
      </c>
      <c r="G633" s="566">
        <v>395.24135364521436</v>
      </c>
      <c r="H633" s="1096">
        <f t="shared" si="60"/>
        <v>395.24135364521436</v>
      </c>
    </row>
    <row r="634" spans="1:8" ht="15.75" x14ac:dyDescent="0.25">
      <c r="A634" s="479" t="s">
        <v>92</v>
      </c>
      <c r="B634" s="1089" t="s">
        <v>1056</v>
      </c>
      <c r="C634" s="549">
        <v>47.44240765416982</v>
      </c>
      <c r="D634" s="593">
        <v>271.30526644338005</v>
      </c>
      <c r="E634" s="594">
        <v>0</v>
      </c>
      <c r="F634" s="595">
        <v>76.493679547664485</v>
      </c>
      <c r="G634" s="566">
        <v>395.24135364521436</v>
      </c>
      <c r="H634" s="1096">
        <f t="shared" si="60"/>
        <v>395.24135364521436</v>
      </c>
    </row>
    <row r="635" spans="1:8" ht="15.75" x14ac:dyDescent="0.25">
      <c r="A635" s="479" t="s">
        <v>195</v>
      </c>
      <c r="B635" s="805" t="s">
        <v>1056</v>
      </c>
      <c r="C635" s="549">
        <v>47.44240765416982</v>
      </c>
      <c r="D635" s="593">
        <v>271.30526644338005</v>
      </c>
      <c r="E635" s="594">
        <v>0</v>
      </c>
      <c r="F635" s="595">
        <v>76.493679547664485</v>
      </c>
      <c r="G635" s="566">
        <v>395.24135364521436</v>
      </c>
      <c r="H635" s="1096">
        <f t="shared" si="60"/>
        <v>395.24135364521436</v>
      </c>
    </row>
    <row r="636" spans="1:8" ht="15.75" x14ac:dyDescent="0.25">
      <c r="A636" s="479" t="s">
        <v>169</v>
      </c>
      <c r="B636" s="805" t="s">
        <v>1149</v>
      </c>
      <c r="C636" s="549">
        <v>32.530543842577572</v>
      </c>
      <c r="D636" s="550">
        <v>364.36371499621583</v>
      </c>
      <c r="E636" s="551">
        <v>0</v>
      </c>
      <c r="F636" s="560">
        <v>0</v>
      </c>
      <c r="G636" s="566">
        <v>396.89425883879341</v>
      </c>
      <c r="H636" s="1096">
        <f t="shared" si="60"/>
        <v>396.89425883879341</v>
      </c>
    </row>
    <row r="637" spans="1:8" ht="15.75" x14ac:dyDescent="0.25">
      <c r="A637" s="479" t="s">
        <v>162</v>
      </c>
      <c r="B637" s="805" t="s">
        <v>1137</v>
      </c>
      <c r="C637" s="549">
        <v>71.837605960468792</v>
      </c>
      <c r="D637" s="550">
        <v>299.66544200652697</v>
      </c>
      <c r="E637" s="551">
        <v>0</v>
      </c>
      <c r="F637" s="560">
        <v>29.720243837359661</v>
      </c>
      <c r="G637" s="566">
        <v>401.22329180435543</v>
      </c>
      <c r="H637" s="1096">
        <f t="shared" si="60"/>
        <v>401.22329180435543</v>
      </c>
    </row>
    <row r="638" spans="1:8" ht="15.75" x14ac:dyDescent="0.25">
      <c r="A638" s="479" t="s">
        <v>157</v>
      </c>
      <c r="B638" s="805" t="s">
        <v>1135</v>
      </c>
      <c r="C638" s="549">
        <v>202.56633036325914</v>
      </c>
      <c r="D638" s="550">
        <v>118.62323520365085</v>
      </c>
      <c r="E638" s="551">
        <v>0</v>
      </c>
      <c r="F638" s="560">
        <v>80.297391391727501</v>
      </c>
      <c r="G638" s="566">
        <v>401.48695695863751</v>
      </c>
      <c r="H638" s="1096">
        <f t="shared" si="60"/>
        <v>401.48695695863751</v>
      </c>
    </row>
    <row r="639" spans="1:8" ht="15.75" x14ac:dyDescent="0.25">
      <c r="A639" s="479" t="s">
        <v>100</v>
      </c>
      <c r="B639" s="805" t="s">
        <v>1058</v>
      </c>
      <c r="C639" s="549">
        <v>49.447185507977089</v>
      </c>
      <c r="D639" s="593">
        <v>247.2959508289216</v>
      </c>
      <c r="E639" s="594">
        <v>84.032604650604426</v>
      </c>
      <c r="F639" s="595">
        <v>20.876099926771587</v>
      </c>
      <c r="G639" s="566">
        <v>401.65184091427471</v>
      </c>
      <c r="H639" s="1096">
        <f t="shared" si="60"/>
        <v>401.65184091427471</v>
      </c>
    </row>
    <row r="640" spans="1:8" ht="15.75" x14ac:dyDescent="0.25">
      <c r="A640" s="479" t="s">
        <v>101</v>
      </c>
      <c r="B640" s="805" t="s">
        <v>1058</v>
      </c>
      <c r="C640" s="549">
        <v>24.741599740699389</v>
      </c>
      <c r="D640" s="593">
        <v>244.89501926747576</v>
      </c>
      <c r="E640" s="594">
        <v>115.24471494940036</v>
      </c>
      <c r="F640" s="595">
        <v>21.248244318795692</v>
      </c>
      <c r="G640" s="566">
        <v>406.12957827637121</v>
      </c>
      <c r="H640" s="1096">
        <f t="shared" si="60"/>
        <v>406.12957827637121</v>
      </c>
    </row>
    <row r="641" spans="1:8" ht="15.75" x14ac:dyDescent="0.25">
      <c r="A641" s="479" t="s">
        <v>172</v>
      </c>
      <c r="B641" s="805" t="s">
        <v>1151</v>
      </c>
      <c r="C641" s="549" t="s">
        <v>5</v>
      </c>
      <c r="D641" s="550">
        <v>408.34</v>
      </c>
      <c r="E641" s="551" t="s">
        <v>5</v>
      </c>
      <c r="F641" s="560" t="s">
        <v>5</v>
      </c>
      <c r="G641" s="566">
        <v>408.34</v>
      </c>
      <c r="H641" s="1096">
        <f t="shared" si="60"/>
        <v>408.34</v>
      </c>
    </row>
    <row r="642" spans="1:8" ht="15.75" x14ac:dyDescent="0.25">
      <c r="A642" s="1085" t="s">
        <v>549</v>
      </c>
      <c r="B642" s="805" t="s">
        <v>1040</v>
      </c>
      <c r="C642" s="549">
        <v>142.60609578638508</v>
      </c>
      <c r="D642" s="593">
        <v>283.60594470375878</v>
      </c>
      <c r="E642" s="594">
        <v>0</v>
      </c>
      <c r="F642" s="595">
        <v>0</v>
      </c>
      <c r="G642" s="566">
        <v>426.21204049014386</v>
      </c>
      <c r="H642" s="1096">
        <f t="shared" si="60"/>
        <v>426.21204049014386</v>
      </c>
    </row>
    <row r="643" spans="1:8" ht="15.75" x14ac:dyDescent="0.25">
      <c r="A643" s="1085" t="s">
        <v>548</v>
      </c>
      <c r="B643" s="805" t="s">
        <v>1040</v>
      </c>
      <c r="C643" s="549">
        <v>148.76072487853753</v>
      </c>
      <c r="D643" s="593">
        <v>278.24648732893871</v>
      </c>
      <c r="E643" s="594">
        <v>0</v>
      </c>
      <c r="F643" s="595">
        <v>0</v>
      </c>
      <c r="G643" s="566">
        <v>427.00721220747624</v>
      </c>
      <c r="H643" s="1096">
        <f t="shared" si="60"/>
        <v>427.00721220747624</v>
      </c>
    </row>
    <row r="644" spans="1:8" ht="15.75" x14ac:dyDescent="0.25">
      <c r="A644" s="479" t="s">
        <v>171</v>
      </c>
      <c r="B644" s="805" t="s">
        <v>1151</v>
      </c>
      <c r="C644" s="549">
        <v>121.92</v>
      </c>
      <c r="D644" s="550">
        <v>259.12</v>
      </c>
      <c r="E644" s="551">
        <v>47.32</v>
      </c>
      <c r="F644" s="560" t="s">
        <v>5</v>
      </c>
      <c r="G644" s="566">
        <v>428.36</v>
      </c>
      <c r="H644" s="1096">
        <f t="shared" si="60"/>
        <v>428.36</v>
      </c>
    </row>
    <row r="645" spans="1:8" ht="15.75" x14ac:dyDescent="0.25">
      <c r="A645" s="479" t="s">
        <v>93</v>
      </c>
      <c r="B645" s="805" t="s">
        <v>1056</v>
      </c>
      <c r="C645" s="549">
        <v>50.347534843519284</v>
      </c>
      <c r="D645" s="593">
        <v>295.31458205783844</v>
      </c>
      <c r="E645" s="594">
        <v>0</v>
      </c>
      <c r="F645" s="595">
        <v>82.964190105761034</v>
      </c>
      <c r="G645" s="566">
        <v>428.62630700711873</v>
      </c>
      <c r="H645" s="1096">
        <f t="shared" si="60"/>
        <v>428.62630700711873</v>
      </c>
    </row>
    <row r="646" spans="1:8" ht="15.75" x14ac:dyDescent="0.25">
      <c r="A646" s="479" t="s">
        <v>911</v>
      </c>
      <c r="B646" s="805" t="s">
        <v>1052</v>
      </c>
      <c r="C646" s="549">
        <v>0</v>
      </c>
      <c r="D646" s="593">
        <v>379.49790086992158</v>
      </c>
      <c r="E646" s="594">
        <v>0</v>
      </c>
      <c r="F646" s="595">
        <v>56.966987348816566</v>
      </c>
      <c r="G646" s="566">
        <v>436.46488821873817</v>
      </c>
      <c r="H646" s="1096">
        <f t="shared" si="60"/>
        <v>436.46488821873817</v>
      </c>
    </row>
    <row r="647" spans="1:8" ht="15.75" x14ac:dyDescent="0.25">
      <c r="A647" s="1085" t="s">
        <v>67</v>
      </c>
      <c r="B647" s="805" t="s">
        <v>1032</v>
      </c>
      <c r="C647" s="549">
        <v>0</v>
      </c>
      <c r="D647" s="593">
        <v>414.25673161186535</v>
      </c>
      <c r="E647" s="594">
        <v>0</v>
      </c>
      <c r="F647" s="595">
        <v>24.849641660964451</v>
      </c>
      <c r="G647" s="566">
        <v>439.10637327282979</v>
      </c>
      <c r="H647" s="1096">
        <f t="shared" si="60"/>
        <v>439.10637327282979</v>
      </c>
    </row>
    <row r="648" spans="1:8" ht="15.75" x14ac:dyDescent="0.25">
      <c r="A648" s="1085" t="s">
        <v>69</v>
      </c>
      <c r="B648" s="805" t="s">
        <v>1032</v>
      </c>
      <c r="C648" s="549">
        <v>0</v>
      </c>
      <c r="D648" s="593">
        <v>414.25673161186535</v>
      </c>
      <c r="E648" s="594">
        <v>0</v>
      </c>
      <c r="F648" s="595">
        <v>24.849641660964451</v>
      </c>
      <c r="G648" s="566">
        <v>439.10637327282979</v>
      </c>
      <c r="H648" s="1096">
        <f t="shared" si="60"/>
        <v>439.10637327282979</v>
      </c>
    </row>
    <row r="649" spans="1:8" ht="15.75" x14ac:dyDescent="0.25">
      <c r="A649" s="1085" t="s">
        <v>70</v>
      </c>
      <c r="B649" s="805" t="s">
        <v>1032</v>
      </c>
      <c r="C649" s="549">
        <v>0</v>
      </c>
      <c r="D649" s="593">
        <v>414.25673161186535</v>
      </c>
      <c r="E649" s="594">
        <v>0</v>
      </c>
      <c r="F649" s="595">
        <v>24.849641660964451</v>
      </c>
      <c r="G649" s="566">
        <v>439.10637327282979</v>
      </c>
      <c r="H649" s="1096">
        <f t="shared" si="60"/>
        <v>439.10637327282979</v>
      </c>
    </row>
    <row r="650" spans="1:8" ht="15.75" x14ac:dyDescent="0.25">
      <c r="A650" s="1085" t="s">
        <v>547</v>
      </c>
      <c r="B650" s="805" t="s">
        <v>1030</v>
      </c>
      <c r="C650" s="549">
        <v>44.009075521302258</v>
      </c>
      <c r="D650" s="593">
        <v>356.77843003085195</v>
      </c>
      <c r="E650" s="594">
        <v>0</v>
      </c>
      <c r="F650" s="595">
        <v>40.083552418338314</v>
      </c>
      <c r="G650" s="566">
        <v>440.87105797049253</v>
      </c>
      <c r="H650" s="1096">
        <f t="shared" si="60"/>
        <v>440.87105797049253</v>
      </c>
    </row>
    <row r="651" spans="1:8" ht="15.75" x14ac:dyDescent="0.25">
      <c r="A651" s="479" t="s">
        <v>97</v>
      </c>
      <c r="B651" s="805" t="s">
        <v>1058</v>
      </c>
      <c r="C651" s="549">
        <v>66.409766989591958</v>
      </c>
      <c r="D651" s="593">
        <v>259.3006086361508</v>
      </c>
      <c r="E651" s="594">
        <v>93.63633089638779</v>
      </c>
      <c r="F651" s="595">
        <v>22.976915043036698</v>
      </c>
      <c r="G651" s="566">
        <v>442.32362156516723</v>
      </c>
      <c r="H651" s="1096">
        <f t="shared" si="60"/>
        <v>442.32362156516723</v>
      </c>
    </row>
    <row r="652" spans="1:8" ht="15.75" x14ac:dyDescent="0.25">
      <c r="A652" s="479" t="s">
        <v>165</v>
      </c>
      <c r="B652" s="805" t="s">
        <v>1149</v>
      </c>
      <c r="C652" s="549">
        <v>35.247053735538977</v>
      </c>
      <c r="D652" s="550">
        <v>410.66601794788625</v>
      </c>
      <c r="E652" s="551">
        <v>0</v>
      </c>
      <c r="F652" s="560">
        <v>0</v>
      </c>
      <c r="G652" s="566">
        <v>445.91307168342524</v>
      </c>
      <c r="H652" s="1096">
        <f t="shared" si="60"/>
        <v>445.91307168342524</v>
      </c>
    </row>
    <row r="653" spans="1:8" ht="15.75" x14ac:dyDescent="0.25">
      <c r="A653" s="791" t="s">
        <v>179</v>
      </c>
      <c r="B653" s="804" t="s">
        <v>1028</v>
      </c>
      <c r="C653" s="549">
        <v>184.32978432978433</v>
      </c>
      <c r="D653" s="593">
        <v>267.22826722826727</v>
      </c>
      <c r="E653" s="594">
        <v>0</v>
      </c>
      <c r="F653" s="595">
        <v>0</v>
      </c>
      <c r="G653" s="566">
        <v>451.5580515580516</v>
      </c>
      <c r="H653" s="1096">
        <f t="shared" si="60"/>
        <v>451.5580515580516</v>
      </c>
    </row>
    <row r="654" spans="1:8" ht="15.75" x14ac:dyDescent="0.25">
      <c r="A654" s="762" t="s">
        <v>99</v>
      </c>
      <c r="B654" s="805" t="s">
        <v>1058</v>
      </c>
      <c r="C654" s="549">
        <v>44.801382936579394</v>
      </c>
      <c r="D654" s="593">
        <v>273.70619800482581</v>
      </c>
      <c r="E654" s="594">
        <v>110.44285182650869</v>
      </c>
      <c r="F654" s="595">
        <v>23.553138617783702</v>
      </c>
      <c r="G654" s="566">
        <v>452.50357138569757</v>
      </c>
      <c r="H654" s="1096">
        <f t="shared" si="60"/>
        <v>452.50357138569757</v>
      </c>
    </row>
    <row r="655" spans="1:8" ht="15.75" x14ac:dyDescent="0.25">
      <c r="A655" s="762" t="s">
        <v>98</v>
      </c>
      <c r="B655" s="805" t="s">
        <v>1058</v>
      </c>
      <c r="C655" s="549">
        <v>27.178545275566918</v>
      </c>
      <c r="D655" s="593">
        <v>283.30992425060924</v>
      </c>
      <c r="E655" s="594">
        <v>120.04657807229205</v>
      </c>
      <c r="F655" s="595">
        <v>23.709199169277678</v>
      </c>
      <c r="G655" s="566">
        <v>454.24424676774589</v>
      </c>
      <c r="H655" s="1096">
        <f t="shared" si="60"/>
        <v>454.24424676774589</v>
      </c>
    </row>
    <row r="656" spans="1:8" ht="15.75" x14ac:dyDescent="0.25">
      <c r="A656" s="797" t="s">
        <v>94</v>
      </c>
      <c r="B656" s="805" t="s">
        <v>1056</v>
      </c>
      <c r="C656" s="549">
        <v>96.817565215303546</v>
      </c>
      <c r="D656" s="593">
        <v>276.10712956627168</v>
      </c>
      <c r="E656" s="594">
        <v>0</v>
      </c>
      <c r="F656" s="595">
        <v>89.506728610700947</v>
      </c>
      <c r="G656" s="566">
        <v>462.4314233922762</v>
      </c>
      <c r="H656" s="1096">
        <f t="shared" si="60"/>
        <v>462.4314233922762</v>
      </c>
    </row>
    <row r="657" spans="1:8" ht="15.75" x14ac:dyDescent="0.25">
      <c r="A657" s="797" t="s">
        <v>939</v>
      </c>
      <c r="B657" s="805" t="s">
        <v>1062</v>
      </c>
      <c r="C657" s="549">
        <v>26.290200597831955</v>
      </c>
      <c r="D657" s="550">
        <v>406.71780650892543</v>
      </c>
      <c r="E657" s="551">
        <v>0</v>
      </c>
      <c r="F657" s="560">
        <v>30.311760963253743</v>
      </c>
      <c r="G657" s="566">
        <v>463.31976807001115</v>
      </c>
      <c r="H657" s="1096">
        <f t="shared" si="60"/>
        <v>463.31976807001115</v>
      </c>
    </row>
    <row r="658" spans="1:8" ht="15.75" x14ac:dyDescent="0.25">
      <c r="A658" s="457" t="s">
        <v>178</v>
      </c>
      <c r="B658" s="804" t="s">
        <v>1028</v>
      </c>
      <c r="C658" s="549">
        <v>129.72192972192974</v>
      </c>
      <c r="D658" s="593">
        <v>336.16473616473621</v>
      </c>
      <c r="E658" s="594">
        <v>0</v>
      </c>
      <c r="F658" s="595">
        <v>0</v>
      </c>
      <c r="G658" s="566">
        <v>465.88666588666592</v>
      </c>
      <c r="H658" s="1096">
        <f t="shared" si="60"/>
        <v>465.88666588666592</v>
      </c>
    </row>
    <row r="659" spans="1:8" ht="15.75" x14ac:dyDescent="0.25">
      <c r="A659" s="797" t="s">
        <v>151</v>
      </c>
      <c r="B659" s="805" t="s">
        <v>1133</v>
      </c>
      <c r="C659" s="549">
        <v>0</v>
      </c>
      <c r="D659" s="550">
        <v>424.43668143239574</v>
      </c>
      <c r="E659" s="551">
        <v>0</v>
      </c>
      <c r="F659" s="560">
        <v>42.44847000636247</v>
      </c>
      <c r="G659" s="566">
        <v>466.88515143875821</v>
      </c>
      <c r="H659" s="1096">
        <f t="shared" si="60"/>
        <v>466.88515143875821</v>
      </c>
    </row>
    <row r="660" spans="1:8" ht="15.75" x14ac:dyDescent="0.25">
      <c r="A660" s="797" t="s">
        <v>915</v>
      </c>
      <c r="B660" s="805" t="s">
        <v>1052</v>
      </c>
      <c r="C660" s="549">
        <v>0</v>
      </c>
      <c r="D660" s="593">
        <v>408.54542412204091</v>
      </c>
      <c r="E660" s="594">
        <v>0</v>
      </c>
      <c r="F660" s="595">
        <v>61.29121411126799</v>
      </c>
      <c r="G660" s="566">
        <v>469.83663823330892</v>
      </c>
      <c r="H660" s="1096">
        <f t="shared" ref="H660:H691" si="61">SUM(C660:F660)</f>
        <v>469.83663823330892</v>
      </c>
    </row>
    <row r="661" spans="1:8" ht="15.75" x14ac:dyDescent="0.25">
      <c r="A661" s="797" t="s">
        <v>634</v>
      </c>
      <c r="B661" s="805" t="s">
        <v>1058</v>
      </c>
      <c r="C661" s="549">
        <v>22.712812571277656</v>
      </c>
      <c r="D661" s="593">
        <v>338.53135016386358</v>
      </c>
      <c r="E661" s="594">
        <v>88.834467773496115</v>
      </c>
      <c r="F661" s="595">
        <v>24.741599740699389</v>
      </c>
      <c r="G661" s="566">
        <v>474.8202302493367</v>
      </c>
      <c r="H661" s="1096">
        <f t="shared" si="61"/>
        <v>474.8202302493367</v>
      </c>
    </row>
    <row r="662" spans="1:8" ht="15.75" x14ac:dyDescent="0.25">
      <c r="A662" s="797" t="s">
        <v>161</v>
      </c>
      <c r="B662" s="805" t="s">
        <v>1137</v>
      </c>
      <c r="C662" s="549">
        <v>28.735042384187519</v>
      </c>
      <c r="D662" s="550">
        <v>420.76312062560294</v>
      </c>
      <c r="E662" s="551">
        <v>0</v>
      </c>
      <c r="F662" s="560">
        <v>35.959853040783237</v>
      </c>
      <c r="G662" s="566">
        <v>485.45801605057369</v>
      </c>
      <c r="H662" s="1096">
        <f t="shared" si="61"/>
        <v>485.45801605057369</v>
      </c>
    </row>
    <row r="663" spans="1:8" ht="15.75" x14ac:dyDescent="0.25">
      <c r="A663" s="457" t="s">
        <v>544</v>
      </c>
      <c r="B663" s="804" t="s">
        <v>1028</v>
      </c>
      <c r="C663" s="549">
        <v>79.154479154479162</v>
      </c>
      <c r="D663" s="593">
        <v>407.1604071604072</v>
      </c>
      <c r="E663" s="594">
        <v>0</v>
      </c>
      <c r="F663" s="595">
        <v>0</v>
      </c>
      <c r="G663" s="566">
        <v>486.31488631488639</v>
      </c>
      <c r="H663" s="1096">
        <f t="shared" si="61"/>
        <v>486.31488631488639</v>
      </c>
    </row>
    <row r="664" spans="1:8" ht="15.75" x14ac:dyDescent="0.25">
      <c r="A664" s="797" t="s">
        <v>914</v>
      </c>
      <c r="B664" s="805" t="s">
        <v>1052</v>
      </c>
      <c r="C664" s="549">
        <v>0</v>
      </c>
      <c r="D664" s="593">
        <v>423.58621286100242</v>
      </c>
      <c r="E664" s="594">
        <v>0</v>
      </c>
      <c r="F664" s="595">
        <v>63.547332422112213</v>
      </c>
      <c r="G664" s="566">
        <v>487.13354528311464</v>
      </c>
      <c r="H664" s="1096">
        <f t="shared" si="61"/>
        <v>487.13354528311464</v>
      </c>
    </row>
    <row r="665" spans="1:8" ht="15.75" x14ac:dyDescent="0.25">
      <c r="A665" s="1084" t="s">
        <v>723</v>
      </c>
      <c r="B665" s="805" t="s">
        <v>1040</v>
      </c>
      <c r="C665" s="549">
        <v>489.8257778767325</v>
      </c>
      <c r="D665" s="593">
        <v>0</v>
      </c>
      <c r="E665" s="594">
        <v>0</v>
      </c>
      <c r="F665" s="595">
        <v>0</v>
      </c>
      <c r="G665" s="566">
        <v>489.8257778767325</v>
      </c>
      <c r="H665" s="1096">
        <f t="shared" si="61"/>
        <v>489.8257778767325</v>
      </c>
    </row>
    <row r="666" spans="1:8" ht="15.75" x14ac:dyDescent="0.25">
      <c r="A666" s="797" t="s">
        <v>632</v>
      </c>
      <c r="B666" s="805" t="s">
        <v>1058</v>
      </c>
      <c r="C666" s="549">
        <v>49.147069062796362</v>
      </c>
      <c r="D666" s="593">
        <v>343.33321328675527</v>
      </c>
      <c r="E666" s="594">
        <v>98.438194019279479</v>
      </c>
      <c r="F666" s="595">
        <v>27.034489381880167</v>
      </c>
      <c r="G666" s="566">
        <v>517.95296575071131</v>
      </c>
      <c r="H666" s="1096">
        <f t="shared" si="61"/>
        <v>517.95296575071131</v>
      </c>
    </row>
    <row r="667" spans="1:8" ht="15.75" x14ac:dyDescent="0.25">
      <c r="A667" s="797" t="s">
        <v>168</v>
      </c>
      <c r="B667" s="805" t="s">
        <v>1149</v>
      </c>
      <c r="C667" s="549">
        <v>43.031679100443291</v>
      </c>
      <c r="D667" s="550">
        <v>476.26770461671526</v>
      </c>
      <c r="E667" s="551">
        <v>0</v>
      </c>
      <c r="F667" s="560">
        <v>0</v>
      </c>
      <c r="G667" s="566">
        <v>519.29938371715855</v>
      </c>
      <c r="H667" s="1096">
        <f t="shared" si="61"/>
        <v>519.29938371715855</v>
      </c>
    </row>
    <row r="668" spans="1:8" ht="15.75" x14ac:dyDescent="0.25">
      <c r="A668" s="797" t="s">
        <v>635</v>
      </c>
      <c r="B668" s="805" t="s">
        <v>1058</v>
      </c>
      <c r="C668" s="549">
        <v>14.837757049735297</v>
      </c>
      <c r="D668" s="593">
        <v>388.95091295422623</v>
      </c>
      <c r="E668" s="594">
        <v>91.23539933494196</v>
      </c>
      <c r="F668" s="595">
        <v>27.226563906795835</v>
      </c>
      <c r="G668" s="566">
        <v>522.25063324569931</v>
      </c>
      <c r="H668" s="1096">
        <f t="shared" si="61"/>
        <v>522.25063324569931</v>
      </c>
    </row>
    <row r="669" spans="1:8" ht="15.75" x14ac:dyDescent="0.25">
      <c r="A669" s="1084" t="s">
        <v>216</v>
      </c>
      <c r="B669" s="805" t="s">
        <v>1032</v>
      </c>
      <c r="C669" s="549">
        <v>0</v>
      </c>
      <c r="D669" s="593">
        <v>518.03699835536179</v>
      </c>
      <c r="E669" s="594">
        <v>0</v>
      </c>
      <c r="F669" s="595">
        <v>31.080059062916412</v>
      </c>
      <c r="G669" s="566">
        <v>549.11705741827825</v>
      </c>
      <c r="H669" s="1096">
        <f t="shared" si="61"/>
        <v>549.11705741827825</v>
      </c>
    </row>
    <row r="670" spans="1:8" ht="15.75" x14ac:dyDescent="0.25">
      <c r="A670" s="797" t="s">
        <v>159</v>
      </c>
      <c r="B670" s="805" t="s">
        <v>1135</v>
      </c>
      <c r="C670" s="549">
        <v>285.5290682071348</v>
      </c>
      <c r="D670" s="550">
        <v>155.63172387255847</v>
      </c>
      <c r="E670" s="551">
        <v>0</v>
      </c>
      <c r="F670" s="560">
        <v>110.29019801992331</v>
      </c>
      <c r="G670" s="566">
        <v>551.45099009961655</v>
      </c>
      <c r="H670" s="1096">
        <f t="shared" si="61"/>
        <v>551.45099009961655</v>
      </c>
    </row>
    <row r="671" spans="1:8" ht="15.75" x14ac:dyDescent="0.25">
      <c r="A671" s="797" t="s">
        <v>633</v>
      </c>
      <c r="B671" s="805" t="s">
        <v>1058</v>
      </c>
      <c r="C671" s="549">
        <v>36.458145760555098</v>
      </c>
      <c r="D671" s="593">
        <v>362.54066577832197</v>
      </c>
      <c r="E671" s="594">
        <v>124.84844119518372</v>
      </c>
      <c r="F671" s="595">
        <v>28.763160106121177</v>
      </c>
      <c r="G671" s="566">
        <v>552.61041284018199</v>
      </c>
      <c r="H671" s="1096">
        <f t="shared" si="61"/>
        <v>552.61041284018199</v>
      </c>
    </row>
    <row r="672" spans="1:8" ht="15.75" x14ac:dyDescent="0.25">
      <c r="A672" s="797" t="s">
        <v>163</v>
      </c>
      <c r="B672" s="805" t="s">
        <v>1137</v>
      </c>
      <c r="C672" s="549">
        <v>55.417581740933073</v>
      </c>
      <c r="D672" s="550">
        <v>476.18070236653602</v>
      </c>
      <c r="E672" s="551">
        <v>0</v>
      </c>
      <c r="F672" s="560">
        <v>42.527862728597526</v>
      </c>
      <c r="G672" s="566">
        <v>574.1261468360666</v>
      </c>
      <c r="H672" s="1096">
        <f t="shared" si="61"/>
        <v>574.1261468360666</v>
      </c>
    </row>
    <row r="673" spans="1:8" ht="15.75" x14ac:dyDescent="0.25">
      <c r="A673" s="797" t="s">
        <v>603</v>
      </c>
      <c r="B673" s="805" t="s">
        <v>1137</v>
      </c>
      <c r="C673" s="549">
        <v>139.57020586605367</v>
      </c>
      <c r="D673" s="550">
        <v>394.08058126885737</v>
      </c>
      <c r="E673" s="551">
        <v>0</v>
      </c>
      <c r="F673" s="560">
        <v>42.692062970792882</v>
      </c>
      <c r="G673" s="566">
        <v>576.34285010570397</v>
      </c>
      <c r="H673" s="1096">
        <f t="shared" si="61"/>
        <v>576.34285010570397</v>
      </c>
    </row>
    <row r="674" spans="1:8" ht="15.75" x14ac:dyDescent="0.25">
      <c r="A674" s="479" t="s">
        <v>89</v>
      </c>
      <c r="B674" s="805" t="s">
        <v>1054</v>
      </c>
      <c r="C674" s="549">
        <v>106.77430066379313</v>
      </c>
      <c r="D674" s="593">
        <v>156.48624861776929</v>
      </c>
      <c r="E674" s="594">
        <v>201.4913584386193</v>
      </c>
      <c r="F674" s="595">
        <v>116.18797693004542</v>
      </c>
      <c r="G674" s="566">
        <f>SUM(C674:F674)</f>
        <v>580.93988465022721</v>
      </c>
      <c r="H674" s="1096">
        <f t="shared" si="61"/>
        <v>580.93988465022721</v>
      </c>
    </row>
    <row r="675" spans="1:8" ht="15.75" x14ac:dyDescent="0.25">
      <c r="A675" s="479" t="s">
        <v>95</v>
      </c>
      <c r="B675" s="805" t="s">
        <v>1056</v>
      </c>
      <c r="C675" s="549">
        <v>129.72233226491878</v>
      </c>
      <c r="D675" s="593">
        <v>338.84347126685151</v>
      </c>
      <c r="E675" s="594">
        <v>0</v>
      </c>
      <c r="F675" s="595">
        <v>112.45963433812319</v>
      </c>
      <c r="G675" s="566">
        <v>581.02543786989349</v>
      </c>
      <c r="H675" s="1096">
        <f t="shared" si="61"/>
        <v>581.02543786989349</v>
      </c>
    </row>
    <row r="676" spans="1:8" ht="15.75" x14ac:dyDescent="0.25">
      <c r="A676" s="479" t="s">
        <v>156</v>
      </c>
      <c r="B676" s="805" t="s">
        <v>1135</v>
      </c>
      <c r="C676" s="549">
        <v>299.37661529185851</v>
      </c>
      <c r="D676" s="550">
        <v>176.21922750294414</v>
      </c>
      <c r="E676" s="551">
        <v>0</v>
      </c>
      <c r="F676" s="560">
        <v>118.89896069870066</v>
      </c>
      <c r="G676" s="566">
        <v>594.49480349350335</v>
      </c>
      <c r="H676" s="1096">
        <f t="shared" si="61"/>
        <v>594.49480349350335</v>
      </c>
    </row>
    <row r="677" spans="1:8" ht="15.75" x14ac:dyDescent="0.25">
      <c r="A677" s="1085" t="s">
        <v>68</v>
      </c>
      <c r="B677" s="805" t="s">
        <v>1032</v>
      </c>
      <c r="C677" s="549">
        <v>28.81117873735009</v>
      </c>
      <c r="D677" s="593">
        <v>548.51682452791681</v>
      </c>
      <c r="E677" s="594">
        <v>0</v>
      </c>
      <c r="F677" s="595">
        <v>34.645442431663483</v>
      </c>
      <c r="G677" s="566">
        <v>611.97344569693041</v>
      </c>
      <c r="H677" s="1096">
        <f t="shared" si="61"/>
        <v>611.97344569693041</v>
      </c>
    </row>
    <row r="678" spans="1:8" ht="15.75" x14ac:dyDescent="0.25">
      <c r="A678" s="479" t="s">
        <v>87</v>
      </c>
      <c r="B678" s="805" t="s">
        <v>1054</v>
      </c>
      <c r="C678" s="549">
        <v>161.19308675089545</v>
      </c>
      <c r="D678" s="593">
        <v>164.48142572061369</v>
      </c>
      <c r="E678" s="594">
        <v>201.4913584386193</v>
      </c>
      <c r="F678" s="595">
        <v>131.79146772753211</v>
      </c>
      <c r="G678" s="566">
        <v>658.95733863766054</v>
      </c>
      <c r="H678" s="1096">
        <f t="shared" si="61"/>
        <v>658.95733863766054</v>
      </c>
    </row>
    <row r="679" spans="1:8" ht="15.75" x14ac:dyDescent="0.25">
      <c r="A679" s="797" t="s">
        <v>88</v>
      </c>
      <c r="B679" s="805" t="s">
        <v>1054</v>
      </c>
      <c r="C679" s="549">
        <v>61.898145312343843</v>
      </c>
      <c r="D679" s="593">
        <v>268.67663699639252</v>
      </c>
      <c r="E679" s="594">
        <v>201.4913584386193</v>
      </c>
      <c r="F679" s="595">
        <v>133.01653518683892</v>
      </c>
      <c r="G679" s="566">
        <f>SUM(C679:F679)</f>
        <v>665.08267593419464</v>
      </c>
      <c r="H679" s="1096">
        <f t="shared" si="61"/>
        <v>665.08267593419464</v>
      </c>
    </row>
    <row r="680" spans="1:8" ht="15.75" x14ac:dyDescent="0.25">
      <c r="A680" s="797" t="s">
        <v>1305</v>
      </c>
      <c r="B680" s="805" t="s">
        <v>1084</v>
      </c>
      <c r="C680" s="549">
        <v>0</v>
      </c>
      <c r="D680" s="550">
        <v>680.71517096752939</v>
      </c>
      <c r="E680" s="551">
        <v>0</v>
      </c>
      <c r="F680" s="560">
        <v>0</v>
      </c>
      <c r="G680" s="566">
        <v>680.71517096752939</v>
      </c>
      <c r="H680" s="1096">
        <f t="shared" si="61"/>
        <v>680.71517096752939</v>
      </c>
    </row>
    <row r="681" spans="1:8" ht="15.75" x14ac:dyDescent="0.25">
      <c r="A681" s="1090" t="s">
        <v>629</v>
      </c>
      <c r="B681" s="805" t="s">
        <v>1032</v>
      </c>
      <c r="C681" s="549">
        <v>62.904406909881033</v>
      </c>
      <c r="D681" s="593">
        <v>581.86576391639949</v>
      </c>
      <c r="E681" s="594">
        <v>6.2184127441447279</v>
      </c>
      <c r="F681" s="595">
        <v>39.063156504723828</v>
      </c>
      <c r="G681" s="566">
        <v>690.05174007514904</v>
      </c>
      <c r="H681" s="1096">
        <f t="shared" si="61"/>
        <v>690.05174007514904</v>
      </c>
    </row>
    <row r="682" spans="1:8" ht="15.75" x14ac:dyDescent="0.25">
      <c r="A682" s="502" t="s">
        <v>176</v>
      </c>
      <c r="B682" s="804" t="s">
        <v>1028</v>
      </c>
      <c r="C682" s="549">
        <v>149.97854997854998</v>
      </c>
      <c r="D682" s="593">
        <v>548.74614874614872</v>
      </c>
      <c r="E682" s="594">
        <v>0</v>
      </c>
      <c r="F682" s="595">
        <v>0</v>
      </c>
      <c r="G682" s="566">
        <v>698.72469872469867</v>
      </c>
      <c r="H682" s="1096">
        <f t="shared" si="61"/>
        <v>698.72469872469867</v>
      </c>
    </row>
    <row r="683" spans="1:8" ht="15.75" x14ac:dyDescent="0.25">
      <c r="A683" s="1087" t="s">
        <v>213</v>
      </c>
      <c r="B683" s="805" t="s">
        <v>1054</v>
      </c>
      <c r="C683" s="549">
        <v>88.720674947692842</v>
      </c>
      <c r="D683" s="593">
        <v>273.06108895601687</v>
      </c>
      <c r="E683" s="594">
        <v>201.4913584386193</v>
      </c>
      <c r="F683" s="595">
        <v>140.81828058558224</v>
      </c>
      <c r="G683" s="566">
        <v>704.09140292791119</v>
      </c>
      <c r="H683" s="1096">
        <f t="shared" si="61"/>
        <v>704.09140292791119</v>
      </c>
    </row>
    <row r="684" spans="1:8" ht="15.75" x14ac:dyDescent="0.25">
      <c r="A684" s="1087" t="s">
        <v>90</v>
      </c>
      <c r="B684" s="805" t="s">
        <v>1054</v>
      </c>
      <c r="C684" s="549">
        <v>77.372681640429803</v>
      </c>
      <c r="D684" s="593">
        <v>306.3313420614017</v>
      </c>
      <c r="E684" s="594">
        <v>201.4913584386193</v>
      </c>
      <c r="F684" s="595">
        <v>146.29884553511269</v>
      </c>
      <c r="G684" s="566">
        <v>731.49422767556348</v>
      </c>
      <c r="H684" s="1096">
        <f t="shared" si="61"/>
        <v>731.49422767556348</v>
      </c>
    </row>
    <row r="685" spans="1:8" ht="15.75" x14ac:dyDescent="0.25">
      <c r="A685" s="1090" t="s">
        <v>72</v>
      </c>
      <c r="B685" s="805" t="s">
        <v>1032</v>
      </c>
      <c r="C685" s="549">
        <v>67.430162903206437</v>
      </c>
      <c r="D685" s="593">
        <v>623.75001500582232</v>
      </c>
      <c r="E685" s="594">
        <v>6.2184127441447279</v>
      </c>
      <c r="F685" s="595">
        <v>41.848237116001009</v>
      </c>
      <c r="G685" s="566">
        <v>739.2468277691745</v>
      </c>
      <c r="H685" s="1096">
        <f t="shared" si="61"/>
        <v>739.2468277691745</v>
      </c>
    </row>
    <row r="686" spans="1:8" ht="15.75" x14ac:dyDescent="0.25">
      <c r="A686" s="1085" t="s">
        <v>722</v>
      </c>
      <c r="B686" s="805" t="s">
        <v>1040</v>
      </c>
      <c r="C686" s="549">
        <v>190.84121215976592</v>
      </c>
      <c r="D686" s="593">
        <v>573.31880819663002</v>
      </c>
      <c r="E686" s="594">
        <v>0</v>
      </c>
      <c r="F686" s="595">
        <v>0</v>
      </c>
      <c r="G686" s="566">
        <v>764.16002035639599</v>
      </c>
      <c r="H686" s="1096">
        <f t="shared" si="61"/>
        <v>764.16002035639599</v>
      </c>
    </row>
    <row r="687" spans="1:8" ht="15.75" x14ac:dyDescent="0.25">
      <c r="A687" s="1086" t="s">
        <v>1306</v>
      </c>
      <c r="B687" s="1083" t="s">
        <v>1088</v>
      </c>
      <c r="C687" s="549">
        <v>70.827481062652311</v>
      </c>
      <c r="D687" s="550">
        <v>789.11417630040455</v>
      </c>
      <c r="E687" s="551">
        <v>0</v>
      </c>
      <c r="F687" s="560">
        <v>0</v>
      </c>
      <c r="G687" s="566">
        <v>859.94165736305683</v>
      </c>
      <c r="H687" s="1096">
        <f t="shared" si="61"/>
        <v>859.94165736305683</v>
      </c>
    </row>
    <row r="688" spans="1:8" ht="15.75" x14ac:dyDescent="0.25">
      <c r="A688" s="1086" t="s">
        <v>217</v>
      </c>
      <c r="B688" s="1083" t="s">
        <v>1024</v>
      </c>
      <c r="C688" s="549" t="s">
        <v>5</v>
      </c>
      <c r="D688" s="593" t="s">
        <v>5</v>
      </c>
      <c r="E688" s="594" t="s">
        <v>5</v>
      </c>
      <c r="F688" s="595" t="s">
        <v>5</v>
      </c>
      <c r="G688" s="566" t="s">
        <v>5</v>
      </c>
      <c r="H688" s="1096">
        <f t="shared" si="61"/>
        <v>0</v>
      </c>
    </row>
    <row r="689" spans="1:8" ht="15.75" x14ac:dyDescent="0.25">
      <c r="A689" s="1086" t="s">
        <v>1303</v>
      </c>
      <c r="B689" s="1083" t="s">
        <v>1024</v>
      </c>
      <c r="C689" s="549" t="s">
        <v>5</v>
      </c>
      <c r="D689" s="593" t="s">
        <v>5</v>
      </c>
      <c r="E689" s="594" t="s">
        <v>5</v>
      </c>
      <c r="F689" s="595" t="s">
        <v>5</v>
      </c>
      <c r="G689" s="566" t="s">
        <v>5</v>
      </c>
      <c r="H689" s="1096">
        <f t="shared" si="61"/>
        <v>0</v>
      </c>
    </row>
    <row r="690" spans="1:8" ht="15.75" x14ac:dyDescent="0.25">
      <c r="A690" s="1086" t="s">
        <v>1301</v>
      </c>
      <c r="B690" s="1083" t="s">
        <v>1024</v>
      </c>
      <c r="C690" s="549" t="s">
        <v>5</v>
      </c>
      <c r="D690" s="593" t="s">
        <v>5</v>
      </c>
      <c r="E690" s="594" t="s">
        <v>5</v>
      </c>
      <c r="F690" s="595" t="s">
        <v>5</v>
      </c>
      <c r="G690" s="566" t="s">
        <v>5</v>
      </c>
      <c r="H690" s="1096">
        <f t="shared" si="61"/>
        <v>0</v>
      </c>
    </row>
    <row r="691" spans="1:8" ht="15.75" x14ac:dyDescent="0.25">
      <c r="A691" s="781" t="s">
        <v>1299</v>
      </c>
      <c r="B691" s="1083" t="s">
        <v>1024</v>
      </c>
      <c r="C691" s="549" t="s">
        <v>5</v>
      </c>
      <c r="D691" s="593" t="s">
        <v>5</v>
      </c>
      <c r="E691" s="594" t="s">
        <v>5</v>
      </c>
      <c r="F691" s="595" t="s">
        <v>5</v>
      </c>
      <c r="G691" s="566" t="s">
        <v>5</v>
      </c>
      <c r="H691" s="1096">
        <f t="shared" si="61"/>
        <v>0</v>
      </c>
    </row>
    <row r="692" spans="1:8" ht="15.75" x14ac:dyDescent="0.25">
      <c r="A692" s="781" t="s">
        <v>1300</v>
      </c>
      <c r="B692" s="1083" t="s">
        <v>1024</v>
      </c>
      <c r="C692" s="549" t="s">
        <v>5</v>
      </c>
      <c r="D692" s="593" t="s">
        <v>5</v>
      </c>
      <c r="E692" s="594" t="s">
        <v>5</v>
      </c>
      <c r="F692" s="595" t="s">
        <v>5</v>
      </c>
      <c r="G692" s="566" t="s">
        <v>5</v>
      </c>
      <c r="H692" s="1096">
        <f t="shared" ref="H692:H697" si="62">SUM(C692:F692)</f>
        <v>0</v>
      </c>
    </row>
    <row r="693" spans="1:8" ht="15.75" x14ac:dyDescent="0.25">
      <c r="A693" s="781" t="s">
        <v>1298</v>
      </c>
      <c r="B693" s="1083" t="s">
        <v>1024</v>
      </c>
      <c r="C693" s="549" t="s">
        <v>5</v>
      </c>
      <c r="D693" s="593" t="s">
        <v>5</v>
      </c>
      <c r="E693" s="594" t="s">
        <v>5</v>
      </c>
      <c r="F693" s="595" t="s">
        <v>5</v>
      </c>
      <c r="G693" s="566" t="s">
        <v>5</v>
      </c>
      <c r="H693" s="1096">
        <f t="shared" si="62"/>
        <v>0</v>
      </c>
    </row>
    <row r="694" spans="1:8" ht="15.75" x14ac:dyDescent="0.25">
      <c r="A694" s="781" t="s">
        <v>1302</v>
      </c>
      <c r="B694" s="1083" t="s">
        <v>1024</v>
      </c>
      <c r="C694" s="549" t="s">
        <v>5</v>
      </c>
      <c r="D694" s="593" t="s">
        <v>5</v>
      </c>
      <c r="E694" s="594" t="s">
        <v>5</v>
      </c>
      <c r="F694" s="595" t="s">
        <v>5</v>
      </c>
      <c r="G694" s="566" t="s">
        <v>5</v>
      </c>
      <c r="H694" s="1096">
        <f t="shared" si="62"/>
        <v>0</v>
      </c>
    </row>
    <row r="695" spans="1:8" ht="15.75" x14ac:dyDescent="0.25">
      <c r="A695" s="502" t="s">
        <v>1308</v>
      </c>
      <c r="B695" s="804" t="s">
        <v>1034</v>
      </c>
      <c r="C695" s="549" t="s">
        <v>5</v>
      </c>
      <c r="D695" s="593" t="s">
        <v>5</v>
      </c>
      <c r="E695" s="594" t="s">
        <v>5</v>
      </c>
      <c r="F695" s="595" t="s">
        <v>5</v>
      </c>
      <c r="G695" s="566" t="s">
        <v>5</v>
      </c>
      <c r="H695" s="1096">
        <f t="shared" si="62"/>
        <v>0</v>
      </c>
    </row>
    <row r="696" spans="1:8" ht="15.75" x14ac:dyDescent="0.25">
      <c r="A696" s="502" t="s">
        <v>1304</v>
      </c>
      <c r="B696" s="804" t="s">
        <v>1034</v>
      </c>
      <c r="C696" s="549" t="s">
        <v>5</v>
      </c>
      <c r="D696" s="593" t="s">
        <v>5</v>
      </c>
      <c r="E696" s="594" t="s">
        <v>5</v>
      </c>
      <c r="F696" s="595" t="s">
        <v>5</v>
      </c>
      <c r="G696" s="566" t="s">
        <v>5</v>
      </c>
      <c r="H696" s="1096">
        <f t="shared" si="62"/>
        <v>0</v>
      </c>
    </row>
    <row r="697" spans="1:8" ht="16.5" thickBot="1" x14ac:dyDescent="0.3">
      <c r="A697" s="785" t="s">
        <v>933</v>
      </c>
      <c r="B697" s="1095" t="s">
        <v>1034</v>
      </c>
      <c r="C697" s="716" t="s">
        <v>5</v>
      </c>
      <c r="D697" s="717" t="s">
        <v>5</v>
      </c>
      <c r="E697" s="718" t="s">
        <v>5</v>
      </c>
      <c r="F697" s="719" t="s">
        <v>5</v>
      </c>
      <c r="G697" s="566" t="s">
        <v>5</v>
      </c>
      <c r="H697" s="1096">
        <f t="shared" si="62"/>
        <v>0</v>
      </c>
    </row>
  </sheetData>
  <sortState ref="A500:H697">
    <sortCondition ref="G500:G697"/>
  </sortState>
  <mergeCells count="586">
    <mergeCell ref="AF290:AF293"/>
    <mergeCell ref="AG290:AG293"/>
    <mergeCell ref="AG283:AG289"/>
    <mergeCell ref="A290:A293"/>
    <mergeCell ref="E290:E293"/>
    <mergeCell ref="U290:U293"/>
    <mergeCell ref="V290:V293"/>
    <mergeCell ref="W290:W293"/>
    <mergeCell ref="Y290:Y293"/>
    <mergeCell ref="Z290:Z293"/>
    <mergeCell ref="AB290:AB293"/>
    <mergeCell ref="AD290:AD293"/>
    <mergeCell ref="AA283:AA289"/>
    <mergeCell ref="AB283:AB289"/>
    <mergeCell ref="AC283:AC289"/>
    <mergeCell ref="AD283:AD289"/>
    <mergeCell ref="AE283:AE289"/>
    <mergeCell ref="AF283:AF289"/>
    <mergeCell ref="AP278:AP282"/>
    <mergeCell ref="A283:A289"/>
    <mergeCell ref="E283:E289"/>
    <mergeCell ref="U283:U289"/>
    <mergeCell ref="V283:V289"/>
    <mergeCell ref="W283:W289"/>
    <mergeCell ref="X283:X289"/>
    <mergeCell ref="Y283:Y289"/>
    <mergeCell ref="Z283:Z289"/>
    <mergeCell ref="AA278:AA282"/>
    <mergeCell ref="AB278:AB282"/>
    <mergeCell ref="AC278:AC282"/>
    <mergeCell ref="AD278:AD282"/>
    <mergeCell ref="AE278:AE282"/>
    <mergeCell ref="AF278:AF282"/>
    <mergeCell ref="A278:A282"/>
    <mergeCell ref="E278:E282"/>
    <mergeCell ref="U278:U282"/>
    <mergeCell ref="V278:V282"/>
    <mergeCell ref="W278:W282"/>
    <mergeCell ref="X278:X282"/>
    <mergeCell ref="Y278:Y282"/>
    <mergeCell ref="Z278:Z282"/>
    <mergeCell ref="AG278:AG282"/>
    <mergeCell ref="AE271:AE273"/>
    <mergeCell ref="AF271:AF273"/>
    <mergeCell ref="AG271:AG273"/>
    <mergeCell ref="AA271:AA273"/>
    <mergeCell ref="AB271:AB273"/>
    <mergeCell ref="AC271:AC273"/>
    <mergeCell ref="AD271:AD273"/>
    <mergeCell ref="AF274:AF277"/>
    <mergeCell ref="AG274:AG277"/>
    <mergeCell ref="AA274:AA277"/>
    <mergeCell ref="AB274:AB277"/>
    <mergeCell ref="AC274:AC277"/>
    <mergeCell ref="AD274:AD277"/>
    <mergeCell ref="AE274:AE277"/>
    <mergeCell ref="Y274:Y277"/>
    <mergeCell ref="Y271:Y273"/>
    <mergeCell ref="Z271:Z273"/>
    <mergeCell ref="A271:A273"/>
    <mergeCell ref="E271:E273"/>
    <mergeCell ref="U271:U273"/>
    <mergeCell ref="V271:V273"/>
    <mergeCell ref="W271:W273"/>
    <mergeCell ref="X271:X273"/>
    <mergeCell ref="Z274:Z277"/>
    <mergeCell ref="U258:U262"/>
    <mergeCell ref="V258:V262"/>
    <mergeCell ref="W258:W262"/>
    <mergeCell ref="X258:X262"/>
    <mergeCell ref="A274:A277"/>
    <mergeCell ref="E274:E277"/>
    <mergeCell ref="U274:U277"/>
    <mergeCell ref="V274:V277"/>
    <mergeCell ref="W274:W277"/>
    <mergeCell ref="X274:X277"/>
    <mergeCell ref="AB263:AB267"/>
    <mergeCell ref="AC263:AC267"/>
    <mergeCell ref="AD263:AD267"/>
    <mergeCell ref="AE263:AE267"/>
    <mergeCell ref="AF263:AF267"/>
    <mergeCell ref="AG263:AG267"/>
    <mergeCell ref="AG258:AG262"/>
    <mergeCell ref="A263:A267"/>
    <mergeCell ref="E263:E267"/>
    <mergeCell ref="U263:U267"/>
    <mergeCell ref="V263:V267"/>
    <mergeCell ref="W263:W267"/>
    <mergeCell ref="X263:X267"/>
    <mergeCell ref="Y263:Y267"/>
    <mergeCell ref="Z263:Z267"/>
    <mergeCell ref="AA263:AA267"/>
    <mergeCell ref="AA258:AA262"/>
    <mergeCell ref="AB258:AB262"/>
    <mergeCell ref="AC258:AC262"/>
    <mergeCell ref="AD258:AD262"/>
    <mergeCell ref="AE258:AE262"/>
    <mergeCell ref="AF258:AF262"/>
    <mergeCell ref="A258:A262"/>
    <mergeCell ref="E258:E262"/>
    <mergeCell ref="A245:A252"/>
    <mergeCell ref="E245:E252"/>
    <mergeCell ref="U245:U252"/>
    <mergeCell ref="V245:V252"/>
    <mergeCell ref="W245:W252"/>
    <mergeCell ref="AA253:AA257"/>
    <mergeCell ref="AB253:AB257"/>
    <mergeCell ref="AC253:AC257"/>
    <mergeCell ref="AD253:AD257"/>
    <mergeCell ref="AD225:AD226"/>
    <mergeCell ref="AE225:AE226"/>
    <mergeCell ref="AF225:AF226"/>
    <mergeCell ref="A225:A226"/>
    <mergeCell ref="E225:E226"/>
    <mergeCell ref="U225:U226"/>
    <mergeCell ref="Y258:Y262"/>
    <mergeCell ref="Z258:Z262"/>
    <mergeCell ref="Z253:Z257"/>
    <mergeCell ref="AE245:AE252"/>
    <mergeCell ref="AF245:AF252"/>
    <mergeCell ref="A253:A257"/>
    <mergeCell ref="E253:E257"/>
    <mergeCell ref="U253:U257"/>
    <mergeCell ref="V253:V257"/>
    <mergeCell ref="W253:W257"/>
    <mergeCell ref="X253:X257"/>
    <mergeCell ref="Y253:Y257"/>
    <mergeCell ref="Y245:Y252"/>
    <mergeCell ref="Z245:Z252"/>
    <mergeCell ref="AA245:AA252"/>
    <mergeCell ref="AB245:AB252"/>
    <mergeCell ref="AC245:AC252"/>
    <mergeCell ref="AD245:AD252"/>
    <mergeCell ref="A227:A235"/>
    <mergeCell ref="E227:E235"/>
    <mergeCell ref="A236:A238"/>
    <mergeCell ref="E236:E238"/>
    <mergeCell ref="A240:A242"/>
    <mergeCell ref="E240:E242"/>
    <mergeCell ref="U240:U242"/>
    <mergeCell ref="V240:V242"/>
    <mergeCell ref="W240:W242"/>
    <mergeCell ref="Y240:Y242"/>
    <mergeCell ref="Z240:Z242"/>
    <mergeCell ref="AB240:AB242"/>
    <mergeCell ref="AD240:AD242"/>
    <mergeCell ref="X245:X252"/>
    <mergeCell ref="AF253:AF257"/>
    <mergeCell ref="AG253:AG257"/>
    <mergeCell ref="AF240:AF242"/>
    <mergeCell ref="AG240:AG242"/>
    <mergeCell ref="AG245:AG252"/>
    <mergeCell ref="AE253:AE257"/>
    <mergeCell ref="V225:V226"/>
    <mergeCell ref="W225:W226"/>
    <mergeCell ref="X225:X226"/>
    <mergeCell ref="Y225:Y226"/>
    <mergeCell ref="Z225:Z226"/>
    <mergeCell ref="Z184:Z224"/>
    <mergeCell ref="AE177:AE183"/>
    <mergeCell ref="AF177:AF183"/>
    <mergeCell ref="AG177:AG183"/>
    <mergeCell ref="AA177:AA183"/>
    <mergeCell ref="AB177:AB183"/>
    <mergeCell ref="AC177:AC183"/>
    <mergeCell ref="AD177:AD183"/>
    <mergeCell ref="AF184:AF224"/>
    <mergeCell ref="AG184:AG224"/>
    <mergeCell ref="AA184:AA224"/>
    <mergeCell ref="AB184:AB224"/>
    <mergeCell ref="AC184:AC224"/>
    <mergeCell ref="AD184:AD224"/>
    <mergeCell ref="AE184:AE224"/>
    <mergeCell ref="AG225:AG226"/>
    <mergeCell ref="AA225:AA226"/>
    <mergeCell ref="AB225:AB226"/>
    <mergeCell ref="AC225:AC226"/>
    <mergeCell ref="A184:A224"/>
    <mergeCell ref="E184:E224"/>
    <mergeCell ref="U184:U224"/>
    <mergeCell ref="V184:V224"/>
    <mergeCell ref="W184:W224"/>
    <mergeCell ref="X184:X224"/>
    <mergeCell ref="Y184:Y224"/>
    <mergeCell ref="Y177:Y183"/>
    <mergeCell ref="Z177:Z183"/>
    <mergeCell ref="A177:A183"/>
    <mergeCell ref="E177:E183"/>
    <mergeCell ref="U177:U183"/>
    <mergeCell ref="V177:V183"/>
    <mergeCell ref="W177:W183"/>
    <mergeCell ref="X177:X183"/>
    <mergeCell ref="AB171:AB176"/>
    <mergeCell ref="AC171:AC176"/>
    <mergeCell ref="AD171:AD176"/>
    <mergeCell ref="AE171:AE176"/>
    <mergeCell ref="AF171:AF176"/>
    <mergeCell ref="AG171:AG176"/>
    <mergeCell ref="AG168:AG170"/>
    <mergeCell ref="A171:A176"/>
    <mergeCell ref="E171:E176"/>
    <mergeCell ref="U171:U176"/>
    <mergeCell ref="V171:V176"/>
    <mergeCell ref="W171:W176"/>
    <mergeCell ref="X171:X176"/>
    <mergeCell ref="Y171:Y176"/>
    <mergeCell ref="Z171:Z176"/>
    <mergeCell ref="AA171:AA176"/>
    <mergeCell ref="AA168:AA170"/>
    <mergeCell ref="AB168:AB170"/>
    <mergeCell ref="AC168:AC170"/>
    <mergeCell ref="AD168:AD170"/>
    <mergeCell ref="AE168:AE170"/>
    <mergeCell ref="AF168:AF170"/>
    <mergeCell ref="AF162:AF166"/>
    <mergeCell ref="AG162:AG166"/>
    <mergeCell ref="A168:A170"/>
    <mergeCell ref="E168:E170"/>
    <mergeCell ref="U168:U170"/>
    <mergeCell ref="V168:V170"/>
    <mergeCell ref="W168:W170"/>
    <mergeCell ref="X168:X170"/>
    <mergeCell ref="Y168:Y170"/>
    <mergeCell ref="Z168:Z170"/>
    <mergeCell ref="A162:A166"/>
    <mergeCell ref="E162:E166"/>
    <mergeCell ref="U162:U166"/>
    <mergeCell ref="V162:V166"/>
    <mergeCell ref="W162:W166"/>
    <mergeCell ref="Y162:Y166"/>
    <mergeCell ref="Z162:Z166"/>
    <mergeCell ref="AB162:AB166"/>
    <mergeCell ref="AD162:AD166"/>
    <mergeCell ref="AF151:AF155"/>
    <mergeCell ref="AG151:AG155"/>
    <mergeCell ref="A157:A161"/>
    <mergeCell ref="E157:E161"/>
    <mergeCell ref="U157:U161"/>
    <mergeCell ref="V157:V161"/>
    <mergeCell ref="W157:W161"/>
    <mergeCell ref="X157:X161"/>
    <mergeCell ref="Y157:Y161"/>
    <mergeCell ref="Z157:Z161"/>
    <mergeCell ref="AG157:AG161"/>
    <mergeCell ref="AA157:AA161"/>
    <mergeCell ref="AB157:AB161"/>
    <mergeCell ref="AC157:AC161"/>
    <mergeCell ref="AD157:AD161"/>
    <mergeCell ref="AE157:AE161"/>
    <mergeCell ref="AF157:AF161"/>
    <mergeCell ref="A151:A155"/>
    <mergeCell ref="E151:E155"/>
    <mergeCell ref="U151:U155"/>
    <mergeCell ref="V151:V155"/>
    <mergeCell ref="W151:W155"/>
    <mergeCell ref="Y151:Y155"/>
    <mergeCell ref="Z151:Z155"/>
    <mergeCell ref="AB151:AB155"/>
    <mergeCell ref="AD151:AD155"/>
    <mergeCell ref="A145:A150"/>
    <mergeCell ref="E145:E150"/>
    <mergeCell ref="U145:U150"/>
    <mergeCell ref="V145:V150"/>
    <mergeCell ref="W145:W150"/>
    <mergeCell ref="X145:X150"/>
    <mergeCell ref="Y145:Y150"/>
    <mergeCell ref="Z145:Z150"/>
    <mergeCell ref="AG145:AG150"/>
    <mergeCell ref="AA145:AA150"/>
    <mergeCell ref="AB145:AB150"/>
    <mergeCell ref="AC145:AC150"/>
    <mergeCell ref="AD145:AD150"/>
    <mergeCell ref="AE145:AE150"/>
    <mergeCell ref="AF145:AF150"/>
    <mergeCell ref="AG126:AG133"/>
    <mergeCell ref="A135:A139"/>
    <mergeCell ref="E135:E139"/>
    <mergeCell ref="U135:U139"/>
    <mergeCell ref="V135:V139"/>
    <mergeCell ref="W135:W139"/>
    <mergeCell ref="Y135:Y139"/>
    <mergeCell ref="Z135:Z139"/>
    <mergeCell ref="AB135:AB139"/>
    <mergeCell ref="AD135:AD139"/>
    <mergeCell ref="AA126:AA133"/>
    <mergeCell ref="AB126:AB133"/>
    <mergeCell ref="AC126:AC133"/>
    <mergeCell ref="AD126:AD133"/>
    <mergeCell ref="AE126:AE133"/>
    <mergeCell ref="AF126:AF133"/>
    <mergeCell ref="AF135:AF139"/>
    <mergeCell ref="AG135:AG139"/>
    <mergeCell ref="A126:A133"/>
    <mergeCell ref="E126:E133"/>
    <mergeCell ref="U126:U133"/>
    <mergeCell ref="V126:V133"/>
    <mergeCell ref="W126:W133"/>
    <mergeCell ref="X126:X133"/>
    <mergeCell ref="Y126:Y133"/>
    <mergeCell ref="Z126:Z133"/>
    <mergeCell ref="Z121:Z125"/>
    <mergeCell ref="AD115:AD119"/>
    <mergeCell ref="AF115:AF119"/>
    <mergeCell ref="AG115:AG119"/>
    <mergeCell ref="A121:A125"/>
    <mergeCell ref="E121:E125"/>
    <mergeCell ref="U121:U125"/>
    <mergeCell ref="V121:V125"/>
    <mergeCell ref="W121:W125"/>
    <mergeCell ref="X121:X125"/>
    <mergeCell ref="Y121:Y125"/>
    <mergeCell ref="AF121:AF125"/>
    <mergeCell ref="AG121:AG125"/>
    <mergeCell ref="AA121:AA125"/>
    <mergeCell ref="AB121:AB125"/>
    <mergeCell ref="AC121:AC125"/>
    <mergeCell ref="AD121:AD125"/>
    <mergeCell ref="AE121:AE125"/>
    <mergeCell ref="A115:A119"/>
    <mergeCell ref="E115:E119"/>
    <mergeCell ref="U115:U119"/>
    <mergeCell ref="V115:V119"/>
    <mergeCell ref="W115:W119"/>
    <mergeCell ref="Y115:Y119"/>
    <mergeCell ref="Z115:Z119"/>
    <mergeCell ref="AB115:AB119"/>
    <mergeCell ref="Z109:Z113"/>
    <mergeCell ref="AA109:AA113"/>
    <mergeCell ref="AB109:AB113"/>
    <mergeCell ref="AC91:AC101"/>
    <mergeCell ref="AD91:AD101"/>
    <mergeCell ref="AE91:AE101"/>
    <mergeCell ref="AD104:AD108"/>
    <mergeCell ref="Z91:Z101"/>
    <mergeCell ref="AA91:AA101"/>
    <mergeCell ref="AB91:AB101"/>
    <mergeCell ref="AF104:AF108"/>
    <mergeCell ref="AG104:AG108"/>
    <mergeCell ref="A109:A113"/>
    <mergeCell ref="E109:E113"/>
    <mergeCell ref="U109:U113"/>
    <mergeCell ref="V109:V113"/>
    <mergeCell ref="W109:W113"/>
    <mergeCell ref="X109:X113"/>
    <mergeCell ref="Y109:Y113"/>
    <mergeCell ref="AF109:AF113"/>
    <mergeCell ref="AG109:AG113"/>
    <mergeCell ref="AC109:AC113"/>
    <mergeCell ref="AD109:AD113"/>
    <mergeCell ref="AE109:AE113"/>
    <mergeCell ref="A104:A108"/>
    <mergeCell ref="E104:E108"/>
    <mergeCell ref="U104:U108"/>
    <mergeCell ref="V104:V108"/>
    <mergeCell ref="W104:W108"/>
    <mergeCell ref="Y104:Y108"/>
    <mergeCell ref="Z104:Z108"/>
    <mergeCell ref="AB104:AB108"/>
    <mergeCell ref="AE85:AE90"/>
    <mergeCell ref="AF85:AF90"/>
    <mergeCell ref="AG85:AG90"/>
    <mergeCell ref="A91:A101"/>
    <mergeCell ref="E91:E101"/>
    <mergeCell ref="U91:U101"/>
    <mergeCell ref="V91:V101"/>
    <mergeCell ref="W91:W101"/>
    <mergeCell ref="X91:X101"/>
    <mergeCell ref="Y91:Y101"/>
    <mergeCell ref="Y85:Y90"/>
    <mergeCell ref="Z85:Z90"/>
    <mergeCell ref="AA85:AA90"/>
    <mergeCell ref="AB85:AB90"/>
    <mergeCell ref="AC85:AC90"/>
    <mergeCell ref="AD85:AD90"/>
    <mergeCell ref="A85:A90"/>
    <mergeCell ref="E85:E90"/>
    <mergeCell ref="U85:U90"/>
    <mergeCell ref="V85:V90"/>
    <mergeCell ref="W85:W90"/>
    <mergeCell ref="X85:X90"/>
    <mergeCell ref="AF91:AF101"/>
    <mergeCell ref="AG91:AG101"/>
    <mergeCell ref="AB80:AB84"/>
    <mergeCell ref="AC80:AC84"/>
    <mergeCell ref="AD80:AD84"/>
    <mergeCell ref="AE80:AE84"/>
    <mergeCell ref="AF80:AF84"/>
    <mergeCell ref="AG80:AG84"/>
    <mergeCell ref="AG75:AG79"/>
    <mergeCell ref="A80:A84"/>
    <mergeCell ref="E80:E84"/>
    <mergeCell ref="U80:U84"/>
    <mergeCell ref="V80:V84"/>
    <mergeCell ref="W80:W84"/>
    <mergeCell ref="X80:X84"/>
    <mergeCell ref="Y80:Y84"/>
    <mergeCell ref="Z80:Z84"/>
    <mergeCell ref="AA80:AA84"/>
    <mergeCell ref="AA75:AA79"/>
    <mergeCell ref="AB75:AB79"/>
    <mergeCell ref="AC75:AC79"/>
    <mergeCell ref="AD75:AD79"/>
    <mergeCell ref="AE75:AE79"/>
    <mergeCell ref="AF75:AF79"/>
    <mergeCell ref="A75:A79"/>
    <mergeCell ref="E75:E79"/>
    <mergeCell ref="U75:U79"/>
    <mergeCell ref="V75:V79"/>
    <mergeCell ref="W75:W79"/>
    <mergeCell ref="X75:X79"/>
    <mergeCell ref="Y75:Y79"/>
    <mergeCell ref="Z75:Z79"/>
    <mergeCell ref="Z71:Z74"/>
    <mergeCell ref="AE69:AE70"/>
    <mergeCell ref="AF69:AF70"/>
    <mergeCell ref="V69:V70"/>
    <mergeCell ref="W69:W70"/>
    <mergeCell ref="X69:X70"/>
    <mergeCell ref="AG69:AG70"/>
    <mergeCell ref="A71:A74"/>
    <mergeCell ref="E71:E74"/>
    <mergeCell ref="U71:U74"/>
    <mergeCell ref="V71:V74"/>
    <mergeCell ref="W71:W74"/>
    <mergeCell ref="X71:X74"/>
    <mergeCell ref="Y71:Y74"/>
    <mergeCell ref="Y69:Y70"/>
    <mergeCell ref="Z69:Z70"/>
    <mergeCell ref="AA69:AA70"/>
    <mergeCell ref="AB69:AB70"/>
    <mergeCell ref="AC69:AC70"/>
    <mergeCell ref="AD69:AD70"/>
    <mergeCell ref="AF71:AF74"/>
    <mergeCell ref="AG71:AG74"/>
    <mergeCell ref="AA71:AA74"/>
    <mergeCell ref="AB71:AB74"/>
    <mergeCell ref="AC71:AC74"/>
    <mergeCell ref="AD71:AD74"/>
    <mergeCell ref="AE71:AE74"/>
    <mergeCell ref="A69:A70"/>
    <mergeCell ref="E69:E70"/>
    <mergeCell ref="U69:U70"/>
    <mergeCell ref="X63:X67"/>
    <mergeCell ref="Y63:Y67"/>
    <mergeCell ref="Z63:Z67"/>
    <mergeCell ref="Z57:Z62"/>
    <mergeCell ref="AB57:AB62"/>
    <mergeCell ref="AD57:AD62"/>
    <mergeCell ref="AF57:AF62"/>
    <mergeCell ref="AG57:AG62"/>
    <mergeCell ref="A63:A67"/>
    <mergeCell ref="E63:E67"/>
    <mergeCell ref="U63:U67"/>
    <mergeCell ref="V63:V67"/>
    <mergeCell ref="W63:W67"/>
    <mergeCell ref="A57:A62"/>
    <mergeCell ref="E57:E62"/>
    <mergeCell ref="U57:U62"/>
    <mergeCell ref="V57:V62"/>
    <mergeCell ref="W57:W62"/>
    <mergeCell ref="Y57:Y62"/>
    <mergeCell ref="AD63:AD67"/>
    <mergeCell ref="AE63:AE67"/>
    <mergeCell ref="AF63:AF67"/>
    <mergeCell ref="AG63:AG67"/>
    <mergeCell ref="AA63:AA67"/>
    <mergeCell ref="AB63:AB67"/>
    <mergeCell ref="AC63:AC67"/>
    <mergeCell ref="AC51:AC56"/>
    <mergeCell ref="AD51:AD56"/>
    <mergeCell ref="AE51:AE56"/>
    <mergeCell ref="AF51:AF56"/>
    <mergeCell ref="AG51:AG56"/>
    <mergeCell ref="AG45:AG49"/>
    <mergeCell ref="A51:A56"/>
    <mergeCell ref="E51:E56"/>
    <mergeCell ref="U51:U56"/>
    <mergeCell ref="V51:V56"/>
    <mergeCell ref="W51:W56"/>
    <mergeCell ref="X51:X56"/>
    <mergeCell ref="Y51:Y56"/>
    <mergeCell ref="Z51:Z56"/>
    <mergeCell ref="AA51:AA56"/>
    <mergeCell ref="AA45:AA49"/>
    <mergeCell ref="AB45:AB49"/>
    <mergeCell ref="AC45:AC49"/>
    <mergeCell ref="AD45:AD49"/>
    <mergeCell ref="AE45:AE49"/>
    <mergeCell ref="AF45:AF49"/>
    <mergeCell ref="A45:A49"/>
    <mergeCell ref="E45:E49"/>
    <mergeCell ref="U45:U49"/>
    <mergeCell ref="V45:V49"/>
    <mergeCell ref="W45:W49"/>
    <mergeCell ref="X45:X49"/>
    <mergeCell ref="Y45:Y49"/>
    <mergeCell ref="Z45:Z49"/>
    <mergeCell ref="AB51:AB56"/>
    <mergeCell ref="AA29:AA36"/>
    <mergeCell ref="AB29:AB36"/>
    <mergeCell ref="V37:V39"/>
    <mergeCell ref="W37:W39"/>
    <mergeCell ref="X37:X39"/>
    <mergeCell ref="Y37:Y39"/>
    <mergeCell ref="Z37:Z39"/>
    <mergeCell ref="Z29:Z36"/>
    <mergeCell ref="AC29:AC36"/>
    <mergeCell ref="AD29:AD36"/>
    <mergeCell ref="AE29:AE36"/>
    <mergeCell ref="AG37:AG39"/>
    <mergeCell ref="A40:A44"/>
    <mergeCell ref="E40:E44"/>
    <mergeCell ref="U40:U44"/>
    <mergeCell ref="V40:V44"/>
    <mergeCell ref="W40:W44"/>
    <mergeCell ref="Y40:Y44"/>
    <mergeCell ref="Z40:Z44"/>
    <mergeCell ref="AB40:AB44"/>
    <mergeCell ref="AD40:AD44"/>
    <mergeCell ref="AA37:AA39"/>
    <mergeCell ref="AB37:AB39"/>
    <mergeCell ref="AC37:AC39"/>
    <mergeCell ref="AD37:AD39"/>
    <mergeCell ref="AE37:AE39"/>
    <mergeCell ref="AF37:AF39"/>
    <mergeCell ref="AF40:AF44"/>
    <mergeCell ref="AG40:AG44"/>
    <mergeCell ref="A37:A39"/>
    <mergeCell ref="E37:E39"/>
    <mergeCell ref="U37:U39"/>
    <mergeCell ref="AE24:AE28"/>
    <mergeCell ref="AF24:AF28"/>
    <mergeCell ref="AG24:AG28"/>
    <mergeCell ref="A29:A36"/>
    <mergeCell ref="E29:E36"/>
    <mergeCell ref="U29:U36"/>
    <mergeCell ref="V29:V36"/>
    <mergeCell ref="W29:W36"/>
    <mergeCell ref="X29:X36"/>
    <mergeCell ref="Y29:Y36"/>
    <mergeCell ref="Y24:Y28"/>
    <mergeCell ref="Z24:Z28"/>
    <mergeCell ref="AA24:AA28"/>
    <mergeCell ref="AB24:AB28"/>
    <mergeCell ref="AC24:AC28"/>
    <mergeCell ref="AD24:AD28"/>
    <mergeCell ref="A24:A28"/>
    <mergeCell ref="E24:E28"/>
    <mergeCell ref="U24:U28"/>
    <mergeCell ref="V24:V28"/>
    <mergeCell ref="W24:W28"/>
    <mergeCell ref="X24:X28"/>
    <mergeCell ref="AF29:AF36"/>
    <mergeCell ref="AG29:AG36"/>
    <mergeCell ref="AB15:AB23"/>
    <mergeCell ref="AC15:AC23"/>
    <mergeCell ref="AD15:AD23"/>
    <mergeCell ref="AE15:AE23"/>
    <mergeCell ref="AF15:AF23"/>
    <mergeCell ref="AG15:AG23"/>
    <mergeCell ref="AG7:AG13"/>
    <mergeCell ref="A15:A23"/>
    <mergeCell ref="E15:E23"/>
    <mergeCell ref="U15:U23"/>
    <mergeCell ref="V15:V23"/>
    <mergeCell ref="W15:W23"/>
    <mergeCell ref="X15:X23"/>
    <mergeCell ref="Y15:Y23"/>
    <mergeCell ref="Z15:Z23"/>
    <mergeCell ref="AA15:AA23"/>
    <mergeCell ref="AA7:AA13"/>
    <mergeCell ref="AB7:AB13"/>
    <mergeCell ref="AC7:AC13"/>
    <mergeCell ref="AD7:AD13"/>
    <mergeCell ref="AE7:AE13"/>
    <mergeCell ref="AF7:AF13"/>
    <mergeCell ref="U4:AG4"/>
    <mergeCell ref="AI4:AO4"/>
    <mergeCell ref="A7:A13"/>
    <mergeCell ref="E7:E13"/>
    <mergeCell ref="U7:U13"/>
    <mergeCell ref="V7:V13"/>
    <mergeCell ref="W7:W13"/>
    <mergeCell ref="X7:X13"/>
    <mergeCell ref="Y7:Y13"/>
    <mergeCell ref="Z7:Z13"/>
  </mergeCells>
  <pageMargins left="0.7" right="0.7" top="0.75" bottom="0.75" header="0.3" footer="0.3"/>
  <pageSetup paperSize="9" orientation="portrait" r:id="rId1"/>
  <drawing r:id="rId2"/>
  <legacyDrawing r:id="rId3"/>
  <tableParts count="1">
    <tablePart r:id="rId4"/>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AI429"/>
  <sheetViews>
    <sheetView workbookViewId="0">
      <selection activeCell="E7" sqref="E7"/>
    </sheetView>
  </sheetViews>
  <sheetFormatPr defaultRowHeight="15" x14ac:dyDescent="0.25"/>
  <cols>
    <col min="1" max="1" width="24.42578125" bestFit="1" customWidth="1"/>
    <col min="2" max="2" width="11.28515625" bestFit="1" customWidth="1"/>
    <col min="3" max="3" width="29.5703125" customWidth="1"/>
    <col min="4" max="5" width="25" customWidth="1"/>
    <col min="6" max="6" width="16.28515625" customWidth="1"/>
    <col min="7" max="7" width="19.140625" bestFit="1" customWidth="1"/>
    <col min="8" max="8" width="22.28515625" customWidth="1"/>
    <col min="9" max="9" width="19.7109375" customWidth="1"/>
    <col min="10" max="10" width="15.42578125" customWidth="1"/>
    <col min="11" max="12" width="15.7109375" customWidth="1"/>
    <col min="13" max="14" width="19.85546875" customWidth="1"/>
    <col min="15" max="15" width="17.28515625" customWidth="1"/>
    <col min="16" max="16" width="32.42578125" bestFit="1" customWidth="1"/>
    <col min="17" max="17" width="13.28515625" customWidth="1"/>
    <col min="18" max="18" width="20.140625" bestFit="1" customWidth="1"/>
    <col min="19" max="19" width="16.42578125" customWidth="1"/>
    <col min="20" max="20" width="22" bestFit="1" customWidth="1"/>
    <col min="21" max="21" width="23.28515625" bestFit="1" customWidth="1"/>
    <col min="22" max="22" width="14.140625" customWidth="1"/>
    <col min="23" max="23" width="19.85546875" customWidth="1"/>
    <col min="24" max="24" width="14.42578125" customWidth="1"/>
    <col min="25" max="25" width="15.28515625" customWidth="1"/>
    <col min="26" max="26" width="25.42578125" customWidth="1"/>
    <col min="27" max="27" width="3.7109375" customWidth="1"/>
    <col min="28" max="28" width="13.5703125" customWidth="1"/>
    <col min="30" max="30" width="11.140625" customWidth="1"/>
    <col min="31" max="31" width="10.7109375" customWidth="1"/>
    <col min="35" max="36" width="75.28515625" customWidth="1"/>
  </cols>
  <sheetData>
    <row r="1" spans="1:35" ht="18.75" x14ac:dyDescent="0.3">
      <c r="A1" s="1432" t="s">
        <v>1366</v>
      </c>
      <c r="B1" s="1632"/>
      <c r="C1" s="254"/>
      <c r="D1" s="24"/>
    </row>
    <row r="2" spans="1:35" ht="16.5" thickBot="1" x14ac:dyDescent="0.3">
      <c r="A2" s="530" t="s">
        <v>1191</v>
      </c>
      <c r="B2" s="854"/>
      <c r="C2" s="531"/>
      <c r="D2" s="25"/>
    </row>
    <row r="4" spans="1:35" ht="23.25" x14ac:dyDescent="0.35">
      <c r="R4" s="1754" t="s">
        <v>1314</v>
      </c>
      <c r="S4" s="1754"/>
      <c r="T4" s="1754"/>
      <c r="U4" s="1754"/>
      <c r="V4" s="1754"/>
      <c r="W4" s="1754"/>
      <c r="X4" s="1754"/>
      <c r="Y4" s="1754"/>
      <c r="Z4" s="1754"/>
      <c r="AB4" s="1755" t="s">
        <v>248</v>
      </c>
      <c r="AC4" s="1755"/>
      <c r="AD4" s="1755"/>
      <c r="AE4" s="1755"/>
      <c r="AF4" s="1755"/>
      <c r="AG4" s="1755"/>
      <c r="AH4" s="1755"/>
    </row>
    <row r="5" spans="1:35" ht="64.5" customHeight="1" x14ac:dyDescent="0.3">
      <c r="D5" s="89" t="s">
        <v>215</v>
      </c>
      <c r="F5" s="111" t="s">
        <v>196</v>
      </c>
      <c r="G5" s="82" t="s">
        <v>197</v>
      </c>
      <c r="H5" s="1220" t="s">
        <v>198</v>
      </c>
      <c r="I5" s="1221" t="s">
        <v>200</v>
      </c>
      <c r="J5" s="1222" t="s">
        <v>1316</v>
      </c>
      <c r="K5" s="1223" t="s">
        <v>201</v>
      </c>
      <c r="L5" s="1223"/>
      <c r="M5" s="84" t="s">
        <v>199</v>
      </c>
      <c r="N5" s="1224" t="s">
        <v>1317</v>
      </c>
      <c r="O5" s="1225" t="s">
        <v>1318</v>
      </c>
      <c r="P5" s="85" t="s">
        <v>202</v>
      </c>
      <c r="R5" s="110" t="s">
        <v>240</v>
      </c>
      <c r="S5" s="109" t="s">
        <v>241</v>
      </c>
      <c r="T5" s="108" t="s">
        <v>242</v>
      </c>
      <c r="U5" s="107" t="s">
        <v>243</v>
      </c>
      <c r="V5" s="106" t="s">
        <v>244</v>
      </c>
      <c r="W5" s="105" t="s">
        <v>245</v>
      </c>
      <c r="X5" s="104" t="s">
        <v>246</v>
      </c>
      <c r="Y5" s="103" t="s">
        <v>1319</v>
      </c>
      <c r="Z5" s="102" t="s">
        <v>247</v>
      </c>
      <c r="AB5" s="112" t="s">
        <v>249</v>
      </c>
      <c r="AC5" s="112" t="s">
        <v>250</v>
      </c>
      <c r="AD5" s="112" t="s">
        <v>251</v>
      </c>
      <c r="AE5" s="112" t="s">
        <v>252</v>
      </c>
      <c r="AF5" s="112" t="s">
        <v>438</v>
      </c>
      <c r="AG5" s="112" t="s">
        <v>253</v>
      </c>
      <c r="AH5" s="112" t="s">
        <v>254</v>
      </c>
    </row>
    <row r="6" spans="1:35" ht="16.5" thickBot="1" x14ac:dyDescent="0.3">
      <c r="A6" s="42" t="s">
        <v>3</v>
      </c>
      <c r="B6" s="250"/>
      <c r="C6" s="250" t="s">
        <v>58</v>
      </c>
      <c r="D6" s="91" t="s">
        <v>1320</v>
      </c>
      <c r="F6" s="7" t="s">
        <v>1322</v>
      </c>
      <c r="G6" s="3" t="s">
        <v>1323</v>
      </c>
      <c r="H6" s="33" t="s">
        <v>1324</v>
      </c>
      <c r="I6" s="68" t="s">
        <v>1325</v>
      </c>
      <c r="J6" s="34" t="s">
        <v>1326</v>
      </c>
      <c r="K6" s="69" t="s">
        <v>1327</v>
      </c>
      <c r="L6" s="69" t="s">
        <v>1328</v>
      </c>
      <c r="M6" s="66" t="s">
        <v>1329</v>
      </c>
      <c r="N6" s="72" t="s">
        <v>1330</v>
      </c>
      <c r="O6" s="67" t="s">
        <v>1331</v>
      </c>
      <c r="P6" s="70" t="s">
        <v>1332</v>
      </c>
      <c r="R6" s="93" t="s">
        <v>1333</v>
      </c>
      <c r="S6" s="94" t="s">
        <v>1334</v>
      </c>
      <c r="T6" s="95" t="s">
        <v>1335</v>
      </c>
      <c r="U6" s="96" t="s">
        <v>1336</v>
      </c>
      <c r="V6" s="97" t="s">
        <v>1337</v>
      </c>
      <c r="W6" s="98" t="s">
        <v>1338</v>
      </c>
      <c r="X6" s="99" t="s">
        <v>1339</v>
      </c>
      <c r="Y6" s="100" t="s">
        <v>1340</v>
      </c>
      <c r="Z6" s="101" t="s">
        <v>1341</v>
      </c>
      <c r="AB6" s="113"/>
      <c r="AC6" s="113"/>
      <c r="AD6" s="113"/>
      <c r="AE6" s="113"/>
      <c r="AF6" s="113"/>
      <c r="AG6" s="113"/>
      <c r="AH6" s="113"/>
    </row>
    <row r="7" spans="1:35" ht="19.5" thickBot="1" x14ac:dyDescent="0.35">
      <c r="A7" s="270" t="s">
        <v>33</v>
      </c>
      <c r="B7" s="1616"/>
      <c r="C7" s="1049" t="s">
        <v>217</v>
      </c>
      <c r="D7" s="1226">
        <v>17400</v>
      </c>
      <c r="F7" s="310" t="e">
        <f>159.6/E7</f>
        <v>#DIV/0!</v>
      </c>
      <c r="G7" s="311">
        <v>0</v>
      </c>
      <c r="H7" s="312">
        <v>0</v>
      </c>
      <c r="I7" s="313" t="e">
        <f>Tabel6689172627[[#This Row],[Fix.ch. 2015]]+Tabel6689172627[[#This Row],[Var. ch. 2015]]+Tabel6689172627[[#This Row],[Oth. ch. DW 2015]]</f>
        <v>#DIV/0!</v>
      </c>
      <c r="J7" s="314">
        <v>0</v>
      </c>
      <c r="K7" s="315">
        <v>0</v>
      </c>
      <c r="L7" s="315"/>
      <c r="M7" s="316">
        <v>0</v>
      </c>
      <c r="N7" s="1227">
        <f>Tabel6689172627[[#This Row],[Sew. 2015]]+Tabel6689172627[[#This Row],[WW 2015]]+Tabel6689172627[[#This Row],[Other ch. 2015]]</f>
        <v>0</v>
      </c>
      <c r="O7" s="317" t="e">
        <f>35.56/E7</f>
        <v>#DIV/0!</v>
      </c>
      <c r="P7" s="318" t="e">
        <f>Tabel6689172627[[#This Row],[Total. ch. DW 2015]]+Tabel6689172627[[#This Row],[Sew. 2015]]+Tabel6689172627[[#This Row],[WW 2015]]+Tabel6689172627[[#This Row],[Other ch. 2015]]+Tabel6689172627[[#This Row],[VAT 2015]]</f>
        <v>#DIV/0!</v>
      </c>
      <c r="Q7" s="397"/>
      <c r="R7" s="1228" t="e">
        <f>Tabel6689172627[[#This Row],[Fix.ch. 2015]]</f>
        <v>#DIV/0!</v>
      </c>
      <c r="S7" s="1229">
        <v>0</v>
      </c>
      <c r="T7" s="1230">
        <v>0</v>
      </c>
      <c r="U7" s="1231" t="e">
        <f>Tabel6689172627[[#This Row],[Total. ch. DW 2015]]</f>
        <v>#DIV/0!</v>
      </c>
      <c r="V7" s="1232">
        <v>0</v>
      </c>
      <c r="W7" s="1233">
        <v>0</v>
      </c>
      <c r="X7" s="1234">
        <v>0</v>
      </c>
      <c r="Y7" s="1235" t="e">
        <f>Tabel6689172627[[#This Row],[VAT 2015]]</f>
        <v>#DIV/0!</v>
      </c>
      <c r="Z7" s="1236" t="e">
        <f>Tabel6689172627[[#This Row],[total charge 2015]]</f>
        <v>#DIV/0!</v>
      </c>
      <c r="AA7" s="397"/>
      <c r="AB7" s="396" t="s">
        <v>429</v>
      </c>
      <c r="AC7" s="396" t="s">
        <v>429</v>
      </c>
      <c r="AD7" s="396"/>
      <c r="AE7" s="396"/>
      <c r="AF7" s="396" t="s">
        <v>429</v>
      </c>
      <c r="AG7" s="396"/>
      <c r="AH7" s="396"/>
      <c r="AI7" s="397"/>
    </row>
    <row r="8" spans="1:35" ht="15.6" customHeight="1" x14ac:dyDescent="0.25">
      <c r="A8" s="2150" t="s">
        <v>524</v>
      </c>
      <c r="B8" s="1617"/>
      <c r="C8" s="1237" t="s">
        <v>526</v>
      </c>
      <c r="D8" s="2210">
        <v>5400</v>
      </c>
      <c r="F8" s="310">
        <f>0</f>
        <v>0</v>
      </c>
      <c r="G8" s="311" t="e">
        <f>25746/E8</f>
        <v>#DIV/0!</v>
      </c>
      <c r="H8" s="312">
        <f>0</f>
        <v>0</v>
      </c>
      <c r="I8" s="313" t="e">
        <f>Tabel6689172627[[#This Row],[Fix.ch. 2015]]+Tabel6689172627[[#This Row],[Var. ch. 2015]]+Tabel6689172627[[#This Row],[Oth. ch. DW 2015]]</f>
        <v>#DIV/0!</v>
      </c>
      <c r="J8" s="314" t="e">
        <f>3500/E8</f>
        <v>#DIV/0!</v>
      </c>
      <c r="K8" s="315" t="e">
        <f>1940/E8</f>
        <v>#DIV/0!</v>
      </c>
      <c r="L8" s="315"/>
      <c r="M8" s="316">
        <v>0</v>
      </c>
      <c r="N8" s="1227" t="e">
        <f>Tabel6689172627[[#This Row],[Sew. 2015]]+Tabel6689172627[[#This Row],[WW 2015]]+Tabel6689172627[[#This Row],[Other ch. 2015]]</f>
        <v>#DIV/0!</v>
      </c>
      <c r="O8" s="317" t="e">
        <f>6237/E8</f>
        <v>#DIV/0!</v>
      </c>
      <c r="P8" s="318" t="e">
        <f>Tabel6689172627[[#This Row],[Total. ch. DW 2015]]+Tabel6689172627[[#This Row],[Sew. 2015]]+Tabel6689172627[[#This Row],[WW 2015]]+Tabel6689172627[[#This Row],[Other ch. 2015]]+Tabel6689172627[[#This Row],[VAT 2015]]</f>
        <v>#DIV/0!</v>
      </c>
      <c r="Q8" s="397"/>
      <c r="R8" s="2211">
        <f t="shared" ref="R8:W8" si="0">MEDIAN(F8:F11)</f>
        <v>0</v>
      </c>
      <c r="S8" s="2212" t="e">
        <f t="shared" si="0"/>
        <v>#DIV/0!</v>
      </c>
      <c r="T8" s="2213">
        <f t="shared" si="0"/>
        <v>0</v>
      </c>
      <c r="U8" s="2214" t="e">
        <f t="shared" si="0"/>
        <v>#DIV/0!</v>
      </c>
      <c r="V8" s="2215" t="e">
        <f t="shared" si="0"/>
        <v>#DIV/0!</v>
      </c>
      <c r="W8" s="2216" t="e">
        <f t="shared" si="0"/>
        <v>#DIV/0!</v>
      </c>
      <c r="X8" s="2217">
        <f>MEDIAN(M8:M11)</f>
        <v>0</v>
      </c>
      <c r="Y8" s="2218" t="e">
        <f t="shared" ref="Y8:Z8" si="1">MEDIAN(O8:O11)</f>
        <v>#DIV/0!</v>
      </c>
      <c r="Z8" s="2219" t="e">
        <f t="shared" si="1"/>
        <v>#DIV/0!</v>
      </c>
      <c r="AA8" s="397"/>
      <c r="AB8" s="398"/>
      <c r="AC8" s="396" t="s">
        <v>429</v>
      </c>
      <c r="AD8" s="398"/>
      <c r="AE8" s="398"/>
      <c r="AF8" s="398"/>
      <c r="AG8" s="398"/>
      <c r="AH8" s="398"/>
      <c r="AI8" s="397"/>
    </row>
    <row r="9" spans="1:35" ht="15.6" customHeight="1" x14ac:dyDescent="0.25">
      <c r="A9" s="2151"/>
      <c r="B9" s="1617"/>
      <c r="C9" s="1237" t="s">
        <v>1342</v>
      </c>
      <c r="D9" s="1837"/>
      <c r="F9" s="310">
        <f>0</f>
        <v>0</v>
      </c>
      <c r="G9" s="311" t="e">
        <f>20320/E9</f>
        <v>#DIV/0!</v>
      </c>
      <c r="H9" s="312">
        <f>0</f>
        <v>0</v>
      </c>
      <c r="I9" s="313" t="e">
        <f>Tabel6689172627[[#This Row],[Fix.ch. 2015]]+Tabel6689172627[[#This Row],[Var. ch. 2015]]+Tabel6689172627[[#This Row],[Oth. ch. DW 2015]]</f>
        <v>#DIV/0!</v>
      </c>
      <c r="J9" s="314" t="e">
        <f>3598/E9</f>
        <v>#DIV/0!</v>
      </c>
      <c r="K9" s="315">
        <v>0</v>
      </c>
      <c r="L9" s="315"/>
      <c r="M9" s="316">
        <v>0</v>
      </c>
      <c r="N9" s="1227" t="e">
        <f>Tabel6689172627[[#This Row],[Sew. 2015]]+Tabel6689172627[[#This Row],[WW 2015]]+Tabel6689172627[[#This Row],[Other ch. 2015]]</f>
        <v>#DIV/0!</v>
      </c>
      <c r="O9" s="317" t="e">
        <f>4784/E9</f>
        <v>#DIV/0!</v>
      </c>
      <c r="P9" s="318" t="e">
        <f>Tabel6689172627[[#This Row],[Total. ch. DW 2015]]+Tabel6689172627[[#This Row],[Sew. 2015]]+Tabel6689172627[[#This Row],[WW 2015]]+Tabel6689172627[[#This Row],[Other ch. 2015]]+Tabel6689172627[[#This Row],[VAT 2015]]</f>
        <v>#DIV/0!</v>
      </c>
      <c r="Q9" s="397"/>
      <c r="R9" s="1840"/>
      <c r="S9" s="1843"/>
      <c r="T9" s="1846"/>
      <c r="U9" s="1849"/>
      <c r="V9" s="1852"/>
      <c r="W9" s="1855"/>
      <c r="X9" s="1858"/>
      <c r="Y9" s="1873"/>
      <c r="Z9" s="1876"/>
      <c r="AA9" s="397"/>
      <c r="AB9" s="398"/>
      <c r="AC9" s="396" t="s">
        <v>429</v>
      </c>
      <c r="AD9" s="398"/>
      <c r="AE9" s="398"/>
      <c r="AF9" s="398"/>
      <c r="AG9" s="398"/>
      <c r="AH9" s="398"/>
      <c r="AI9" s="397"/>
    </row>
    <row r="10" spans="1:35" ht="15.6" customHeight="1" x14ac:dyDescent="0.25">
      <c r="A10" s="2151"/>
      <c r="B10" s="1617"/>
      <c r="C10" s="1237" t="s">
        <v>1343</v>
      </c>
      <c r="D10" s="1837"/>
      <c r="F10" s="310">
        <f>0</f>
        <v>0</v>
      </c>
      <c r="G10" s="311" t="e">
        <f>20363/E10</f>
        <v>#DIV/0!</v>
      </c>
      <c r="H10" s="312">
        <f>0</f>
        <v>0</v>
      </c>
      <c r="I10" s="313" t="e">
        <f>Tabel6689172627[[#This Row],[Fix.ch. 2015]]+Tabel6689172627[[#This Row],[Var. ch. 2015]]+Tabel6689172627[[#This Row],[Oth. ch. DW 2015]]</f>
        <v>#DIV/0!</v>
      </c>
      <c r="J10" s="314" t="e">
        <f>4772/E10</f>
        <v>#DIV/0!</v>
      </c>
      <c r="K10" s="315">
        <v>0</v>
      </c>
      <c r="L10" s="315"/>
      <c r="M10" s="316">
        <v>0</v>
      </c>
      <c r="N10" s="1227" t="e">
        <f>Tabel6689172627[[#This Row],[Sew. 2015]]+Tabel6689172627[[#This Row],[WW 2015]]+Tabel6689172627[[#This Row],[Other ch. 2015]]</f>
        <v>#DIV/0!</v>
      </c>
      <c r="O10" s="317" t="e">
        <f>5027/E10</f>
        <v>#DIV/0!</v>
      </c>
      <c r="P10" s="318" t="e">
        <f>Tabel6689172627[[#This Row],[Total. ch. DW 2015]]+Tabel6689172627[[#This Row],[Sew. 2015]]+Tabel6689172627[[#This Row],[WW 2015]]+Tabel6689172627[[#This Row],[Other ch. 2015]]+Tabel6689172627[[#This Row],[VAT 2015]]</f>
        <v>#DIV/0!</v>
      </c>
      <c r="Q10" s="397"/>
      <c r="R10" s="1840"/>
      <c r="S10" s="1843"/>
      <c r="T10" s="1846"/>
      <c r="U10" s="1849"/>
      <c r="V10" s="1852"/>
      <c r="W10" s="1855"/>
      <c r="X10" s="1858"/>
      <c r="Y10" s="1873"/>
      <c r="Z10" s="1876"/>
      <c r="AA10" s="397"/>
      <c r="AB10" s="398"/>
      <c r="AC10" s="396" t="s">
        <v>429</v>
      </c>
      <c r="AD10" s="398"/>
      <c r="AE10" s="398"/>
      <c r="AF10" s="398"/>
      <c r="AG10" s="398"/>
      <c r="AH10" s="398"/>
      <c r="AI10" s="397"/>
    </row>
    <row r="11" spans="1:35" ht="16.149999999999999" customHeight="1" thickBot="1" x14ac:dyDescent="0.3">
      <c r="A11" s="2152"/>
      <c r="B11" s="1617"/>
      <c r="C11" s="1237" t="s">
        <v>1344</v>
      </c>
      <c r="D11" s="2221"/>
      <c r="F11" s="310">
        <f>0</f>
        <v>0</v>
      </c>
      <c r="G11" s="311" t="e">
        <f>21453/E11</f>
        <v>#DIV/0!</v>
      </c>
      <c r="H11" s="312">
        <f>0</f>
        <v>0</v>
      </c>
      <c r="I11" s="313" t="e">
        <f>Tabel6689172627[[#This Row],[Fix.ch. 2015]]+Tabel6689172627[[#This Row],[Var. ch. 2015]]+Tabel6689172627[[#This Row],[Oth. ch. DW 2015]]</f>
        <v>#DIV/0!</v>
      </c>
      <c r="J11" s="314" t="e">
        <f>3517/E11</f>
        <v>#DIV/0!</v>
      </c>
      <c r="K11" s="315">
        <v>0</v>
      </c>
      <c r="L11" s="315"/>
      <c r="M11" s="316">
        <v>0</v>
      </c>
      <c r="N11" s="1227" t="e">
        <f>Tabel6689172627[[#This Row],[Sew. 2015]]+Tabel6689172627[[#This Row],[WW 2015]]+Tabel6689172627[[#This Row],[Other ch. 2015]]</f>
        <v>#DIV/0!</v>
      </c>
      <c r="O11" s="317" t="e">
        <f>4994/E11</f>
        <v>#DIV/0!</v>
      </c>
      <c r="P11" s="318" t="e">
        <f>Tabel6689172627[[#This Row],[Total. ch. DW 2015]]+Tabel6689172627[[#This Row],[Sew. 2015]]+Tabel6689172627[[#This Row],[WW 2015]]+Tabel6689172627[[#This Row],[Other ch. 2015]]+Tabel6689172627[[#This Row],[VAT 2015]]</f>
        <v>#DIV/0!</v>
      </c>
      <c r="Q11" s="397"/>
      <c r="R11" s="2223"/>
      <c r="S11" s="2225"/>
      <c r="T11" s="2227"/>
      <c r="U11" s="2234"/>
      <c r="V11" s="2236"/>
      <c r="W11" s="2238"/>
      <c r="X11" s="2240"/>
      <c r="Y11" s="2242"/>
      <c r="Z11" s="2244"/>
      <c r="AA11" s="397"/>
      <c r="AB11" s="398"/>
      <c r="AC11" s="396" t="s">
        <v>429</v>
      </c>
      <c r="AD11" s="398"/>
      <c r="AE11" s="398"/>
      <c r="AF11" s="398"/>
      <c r="AG11" s="398"/>
      <c r="AH11" s="398"/>
      <c r="AI11" s="397"/>
    </row>
    <row r="12" spans="1:35" ht="15.75" x14ac:dyDescent="0.25">
      <c r="A12" s="2334" t="s">
        <v>34</v>
      </c>
      <c r="B12" s="1618"/>
      <c r="C12" s="809" t="s">
        <v>176</v>
      </c>
      <c r="D12" s="1759">
        <v>65400</v>
      </c>
      <c r="F12" s="625"/>
      <c r="G12" s="593"/>
      <c r="H12" s="594"/>
      <c r="I12" s="313"/>
      <c r="J12" s="596"/>
      <c r="K12" s="626"/>
      <c r="L12" s="626"/>
      <c r="M12" s="597"/>
      <c r="N12" s="1238">
        <f>Tabel6689172627[[#This Row],[Sew. 2015]]+Tabel6689172627[[#This Row],[WW 2015]]+Tabel6689172627[[#This Row],[Other ch. 2015]]</f>
        <v>0</v>
      </c>
      <c r="O12" s="570"/>
      <c r="P12" s="571"/>
      <c r="Q12" s="397"/>
      <c r="R12" s="1762" t="e">
        <f t="shared" ref="R12:W12" si="2">SUM(F12:F20)/5</f>
        <v>#DIV/0!</v>
      </c>
      <c r="S12" s="1765" t="e">
        <f t="shared" si="2"/>
        <v>#DIV/0!</v>
      </c>
      <c r="T12" s="1768">
        <f t="shared" si="2"/>
        <v>0</v>
      </c>
      <c r="U12" s="1774" t="e">
        <f t="shared" si="2"/>
        <v>#DIV/0!</v>
      </c>
      <c r="V12" s="1777">
        <f t="shared" si="2"/>
        <v>0</v>
      </c>
      <c r="W12" s="1810" t="e">
        <f t="shared" si="2"/>
        <v>#DIV/0!</v>
      </c>
      <c r="X12" s="1812">
        <f>SUM(M12:M20)/5</f>
        <v>0</v>
      </c>
      <c r="Y12" s="1814">
        <f t="shared" ref="Y12:Z12" si="3">SUM(O12:O20)/5</f>
        <v>0</v>
      </c>
      <c r="Z12" s="1793" t="e">
        <f t="shared" si="3"/>
        <v>#DIV/0!</v>
      </c>
      <c r="AA12" s="397"/>
      <c r="AB12" s="398"/>
      <c r="AC12" s="398"/>
      <c r="AD12" s="398"/>
      <c r="AE12" s="396"/>
      <c r="AF12" s="396"/>
      <c r="AG12" s="396"/>
      <c r="AH12" s="398"/>
      <c r="AI12" s="397"/>
    </row>
    <row r="13" spans="1:35" ht="15.75" x14ac:dyDescent="0.25">
      <c r="A13" s="2335"/>
      <c r="B13" s="1618"/>
      <c r="C13" s="261" t="s">
        <v>177</v>
      </c>
      <c r="D13" s="1760"/>
      <c r="F13" s="625"/>
      <c r="G13" s="593"/>
      <c r="H13" s="594"/>
      <c r="I13" s="313"/>
      <c r="J13" s="596"/>
      <c r="K13" s="626"/>
      <c r="L13" s="626"/>
      <c r="M13" s="597"/>
      <c r="N13" s="1238">
        <f>Tabel6689172627[[#This Row],[Sew. 2015]]+Tabel6689172627[[#This Row],[WW 2015]]+Tabel6689172627[[#This Row],[Other ch. 2015]]</f>
        <v>0</v>
      </c>
      <c r="O13" s="570"/>
      <c r="P13" s="571"/>
      <c r="Q13" s="397"/>
      <c r="R13" s="1763"/>
      <c r="S13" s="1766"/>
      <c r="T13" s="1769"/>
      <c r="U13" s="1775"/>
      <c r="V13" s="1778"/>
      <c r="W13" s="1781"/>
      <c r="X13" s="1785"/>
      <c r="Y13" s="1788"/>
      <c r="Z13" s="1791"/>
      <c r="AA13" s="397"/>
      <c r="AB13" s="398"/>
      <c r="AC13" s="398"/>
      <c r="AD13" s="398"/>
      <c r="AE13" s="396"/>
      <c r="AF13" s="396"/>
      <c r="AG13" s="396"/>
      <c r="AH13" s="398"/>
      <c r="AI13" s="397"/>
    </row>
    <row r="14" spans="1:35" ht="15.75" x14ac:dyDescent="0.25">
      <c r="A14" s="2335"/>
      <c r="B14" s="1618"/>
      <c r="C14" s="631" t="s">
        <v>178</v>
      </c>
      <c r="D14" s="1760"/>
      <c r="F14" s="625" t="e">
        <f>156/E14</f>
        <v>#DIV/0!</v>
      </c>
      <c r="G14" s="593" t="e">
        <f>435/E14</f>
        <v>#DIV/0!</v>
      </c>
      <c r="H14" s="594">
        <v>0</v>
      </c>
      <c r="I14" s="566" t="e">
        <f>Tabel6689172627[[#This Row],[Fix.ch. 2015]]+Tabel6689172627[[#This Row],[Var. ch. 2015]]+Tabel6689172627[[#This Row],[Oth. ch. DW 2015]]</f>
        <v>#DIV/0!</v>
      </c>
      <c r="J14" s="596">
        <v>0</v>
      </c>
      <c r="K14" s="626" t="e">
        <f>603/E14</f>
        <v>#DIV/0!</v>
      </c>
      <c r="L14" s="626"/>
      <c r="M14" s="597">
        <v>0</v>
      </c>
      <c r="N14" s="1238" t="e">
        <f>Tabel6689172627[[#This Row],[Sew. 2015]]+Tabel6689172627[[#This Row],[WW 2015]]+Tabel6689172627[[#This Row],[Other ch. 2015]]</f>
        <v>#DIV/0!</v>
      </c>
      <c r="O14" s="570">
        <v>0</v>
      </c>
      <c r="P14" s="571" t="e">
        <f>Tabel6689172627[[#This Row],[Total. ch. DW 2015]]+Tabel6689172627[[#This Row],[Sew. 2015]]+Tabel6689172627[[#This Row],[WW 2015]]+Tabel6689172627[[#This Row],[Other ch. 2015]]+Tabel6689172627[[#This Row],[VAT 2015]]</f>
        <v>#DIV/0!</v>
      </c>
      <c r="Q14" s="397"/>
      <c r="R14" s="1763"/>
      <c r="S14" s="1766"/>
      <c r="T14" s="1769"/>
      <c r="U14" s="1775"/>
      <c r="V14" s="1778"/>
      <c r="W14" s="1781"/>
      <c r="X14" s="1785"/>
      <c r="Y14" s="1788"/>
      <c r="Z14" s="1791"/>
      <c r="AA14" s="397"/>
      <c r="AB14" s="398"/>
      <c r="AC14" s="398"/>
      <c r="AD14" s="398"/>
      <c r="AE14" s="591" t="s">
        <v>429</v>
      </c>
      <c r="AF14" s="591" t="s">
        <v>429</v>
      </c>
      <c r="AG14" s="591" t="s">
        <v>429</v>
      </c>
      <c r="AH14" s="398"/>
      <c r="AI14" s="397"/>
    </row>
    <row r="15" spans="1:35" ht="15.75" x14ac:dyDescent="0.25">
      <c r="A15" s="2335"/>
      <c r="B15" s="1618"/>
      <c r="C15" s="631" t="s">
        <v>179</v>
      </c>
      <c r="D15" s="1760"/>
      <c r="F15" s="625" t="e">
        <f>216/E15</f>
        <v>#DIV/0!</v>
      </c>
      <c r="G15" s="593" t="e">
        <f>315/E15</f>
        <v>#DIV/0!</v>
      </c>
      <c r="H15" s="594">
        <v>0</v>
      </c>
      <c r="I15" s="566" t="e">
        <f>Tabel6689172627[[#This Row],[Fix.ch. 2015]]+Tabel6689172627[[#This Row],[Var. ch. 2015]]+Tabel6689172627[[#This Row],[Oth. ch. DW 2015]]</f>
        <v>#DIV/0!</v>
      </c>
      <c r="J15" s="596">
        <v>0</v>
      </c>
      <c r="K15" s="626" t="e">
        <f>720/E15</f>
        <v>#DIV/0!</v>
      </c>
      <c r="L15" s="626"/>
      <c r="M15" s="597">
        <v>0</v>
      </c>
      <c r="N15" s="1238" t="e">
        <f>Tabel6689172627[[#This Row],[Sew. 2015]]+Tabel6689172627[[#This Row],[WW 2015]]+Tabel6689172627[[#This Row],[Other ch. 2015]]</f>
        <v>#DIV/0!</v>
      </c>
      <c r="O15" s="570">
        <v>0</v>
      </c>
      <c r="P15" s="571" t="e">
        <f>Tabel6689172627[[#This Row],[Total. ch. DW 2015]]+Tabel6689172627[[#This Row],[Sew. 2015]]+Tabel6689172627[[#This Row],[WW 2015]]+Tabel6689172627[[#This Row],[Other ch. 2015]]+Tabel6689172627[[#This Row],[VAT 2015]]</f>
        <v>#DIV/0!</v>
      </c>
      <c r="Q15" s="397"/>
      <c r="R15" s="1763"/>
      <c r="S15" s="1766"/>
      <c r="T15" s="1769"/>
      <c r="U15" s="1775"/>
      <c r="V15" s="1778"/>
      <c r="W15" s="1781"/>
      <c r="X15" s="1785"/>
      <c r="Y15" s="1788"/>
      <c r="Z15" s="1791"/>
      <c r="AA15" s="397"/>
      <c r="AB15" s="398"/>
      <c r="AC15" s="398"/>
      <c r="AD15" s="398"/>
      <c r="AE15" s="591" t="s">
        <v>429</v>
      </c>
      <c r="AF15" s="591" t="s">
        <v>429</v>
      </c>
      <c r="AG15" s="591" t="s">
        <v>429</v>
      </c>
      <c r="AH15" s="398"/>
      <c r="AI15" s="397"/>
    </row>
    <row r="16" spans="1:35" ht="15.75" x14ac:dyDescent="0.25">
      <c r="A16" s="2335"/>
      <c r="B16" s="1618"/>
      <c r="C16" s="631" t="s">
        <v>180</v>
      </c>
      <c r="D16" s="1760"/>
      <c r="F16" s="625" t="e">
        <f>114/E16</f>
        <v>#DIV/0!</v>
      </c>
      <c r="G16" s="593" t="e">
        <f>446/E16</f>
        <v>#DIV/0!</v>
      </c>
      <c r="H16" s="594">
        <v>0</v>
      </c>
      <c r="I16" s="566" t="e">
        <f>Tabel6689172627[[#This Row],[Fix.ch. 2015]]+Tabel6689172627[[#This Row],[Var. ch. 2015]]+Tabel6689172627[[#This Row],[Oth. ch. DW 2015]]</f>
        <v>#DIV/0!</v>
      </c>
      <c r="J16" s="596">
        <v>0</v>
      </c>
      <c r="K16" s="626" t="e">
        <f>592/E16</f>
        <v>#DIV/0!</v>
      </c>
      <c r="L16" s="626"/>
      <c r="M16" s="597">
        <v>0</v>
      </c>
      <c r="N16" s="1238" t="e">
        <f>Tabel6689172627[[#This Row],[Sew. 2015]]+Tabel6689172627[[#This Row],[WW 2015]]+Tabel6689172627[[#This Row],[Other ch. 2015]]</f>
        <v>#DIV/0!</v>
      </c>
      <c r="O16" s="570">
        <v>0</v>
      </c>
      <c r="P16" s="571" t="e">
        <f>Tabel6689172627[[#This Row],[Total. ch. DW 2015]]+Tabel6689172627[[#This Row],[Sew. 2015]]+Tabel6689172627[[#This Row],[WW 2015]]+Tabel6689172627[[#This Row],[Other ch. 2015]]+Tabel6689172627[[#This Row],[VAT 2015]]</f>
        <v>#DIV/0!</v>
      </c>
      <c r="Q16" s="397"/>
      <c r="R16" s="1763"/>
      <c r="S16" s="1766"/>
      <c r="T16" s="1769"/>
      <c r="U16" s="1775"/>
      <c r="V16" s="1778"/>
      <c r="W16" s="1781"/>
      <c r="X16" s="1785"/>
      <c r="Y16" s="1788"/>
      <c r="Z16" s="1791"/>
      <c r="AA16" s="397"/>
      <c r="AB16" s="398"/>
      <c r="AC16" s="396"/>
      <c r="AD16" s="396"/>
      <c r="AE16" s="591" t="s">
        <v>429</v>
      </c>
      <c r="AF16" s="591" t="s">
        <v>429</v>
      </c>
      <c r="AG16" s="591" t="s">
        <v>429</v>
      </c>
      <c r="AH16" s="398"/>
      <c r="AI16" s="397"/>
    </row>
    <row r="17" spans="1:35" ht="15.75" x14ac:dyDescent="0.25">
      <c r="A17" s="2335"/>
      <c r="B17" s="1618"/>
      <c r="C17" s="631" t="s">
        <v>544</v>
      </c>
      <c r="D17" s="1760"/>
      <c r="F17" s="625" t="e">
        <f>103/E17</f>
        <v>#DIV/0!</v>
      </c>
      <c r="G17" s="593" t="e">
        <f>528/E17</f>
        <v>#DIV/0!</v>
      </c>
      <c r="H17" s="594">
        <v>0</v>
      </c>
      <c r="I17" s="566" t="e">
        <f>Tabel6689172627[[#This Row],[Fix.ch. 2015]]+Tabel6689172627[[#This Row],[Var. ch. 2015]]+Tabel6689172627[[#This Row],[Oth. ch. DW 2015]]</f>
        <v>#DIV/0!</v>
      </c>
      <c r="J17" s="596">
        <v>0</v>
      </c>
      <c r="K17" s="626" t="e">
        <f>505/E17</f>
        <v>#DIV/0!</v>
      </c>
      <c r="L17" s="626"/>
      <c r="M17" s="597">
        <v>0</v>
      </c>
      <c r="N17" s="1238" t="e">
        <f>Tabel6689172627[[#This Row],[Sew. 2015]]+Tabel6689172627[[#This Row],[WW 2015]]+Tabel6689172627[[#This Row],[Other ch. 2015]]</f>
        <v>#DIV/0!</v>
      </c>
      <c r="O17" s="570">
        <v>0</v>
      </c>
      <c r="P17" s="571" t="e">
        <f>Tabel6689172627[[#This Row],[Total. ch. DW 2015]]+Tabel6689172627[[#This Row],[Sew. 2015]]+Tabel6689172627[[#This Row],[WW 2015]]+Tabel6689172627[[#This Row],[Other ch. 2015]]+Tabel6689172627[[#This Row],[VAT 2015]]</f>
        <v>#DIV/0!</v>
      </c>
      <c r="Q17" s="397"/>
      <c r="R17" s="1763"/>
      <c r="S17" s="1766"/>
      <c r="T17" s="1769"/>
      <c r="U17" s="1775"/>
      <c r="V17" s="1778"/>
      <c r="W17" s="1781"/>
      <c r="X17" s="1785"/>
      <c r="Y17" s="1788"/>
      <c r="Z17" s="1791"/>
      <c r="AA17" s="397"/>
      <c r="AB17" s="396"/>
      <c r="AC17" s="396"/>
      <c r="AD17" s="396"/>
      <c r="AE17" s="591" t="s">
        <v>429</v>
      </c>
      <c r="AF17" s="591" t="s">
        <v>429</v>
      </c>
      <c r="AG17" s="591" t="s">
        <v>429</v>
      </c>
      <c r="AH17" s="396"/>
      <c r="AI17" s="399"/>
    </row>
    <row r="18" spans="1:35" ht="15.75" x14ac:dyDescent="0.25">
      <c r="A18" s="2335"/>
      <c r="B18" s="1618"/>
      <c r="C18" s="261" t="s">
        <v>545</v>
      </c>
      <c r="D18" s="1760"/>
      <c r="F18" s="625"/>
      <c r="G18" s="593"/>
      <c r="H18" s="594"/>
      <c r="I18" s="566"/>
      <c r="J18" s="596"/>
      <c r="K18" s="626"/>
      <c r="L18" s="626"/>
      <c r="M18" s="597"/>
      <c r="N18" s="1238">
        <f>Tabel6689172627[[#This Row],[Sew. 2015]]+Tabel6689172627[[#This Row],[WW 2015]]+Tabel6689172627[[#This Row],[Other ch. 2015]]</f>
        <v>0</v>
      </c>
      <c r="O18" s="570"/>
      <c r="P18" s="571"/>
      <c r="Q18" s="397"/>
      <c r="R18" s="1763"/>
      <c r="S18" s="1766"/>
      <c r="T18" s="1769"/>
      <c r="U18" s="1775"/>
      <c r="V18" s="1778"/>
      <c r="W18" s="1781"/>
      <c r="X18" s="1785"/>
      <c r="Y18" s="1788"/>
      <c r="Z18" s="1791"/>
      <c r="AA18" s="397"/>
      <c r="AB18" s="396"/>
      <c r="AC18" s="396"/>
      <c r="AD18" s="396"/>
      <c r="AE18" s="591"/>
      <c r="AF18" s="591"/>
      <c r="AG18" s="591"/>
      <c r="AH18" s="396"/>
      <c r="AI18" s="399"/>
    </row>
    <row r="19" spans="1:35" ht="15.75" x14ac:dyDescent="0.25">
      <c r="A19" s="2335"/>
      <c r="B19" s="1618"/>
      <c r="C19" s="631" t="s">
        <v>779</v>
      </c>
      <c r="D19" s="1760"/>
      <c r="F19" s="625" t="e">
        <f>222/E19</f>
        <v>#DIV/0!</v>
      </c>
      <c r="G19" s="593" t="e">
        <f>666/E19</f>
        <v>#DIV/0!</v>
      </c>
      <c r="H19" s="594">
        <v>0</v>
      </c>
      <c r="I19" s="566" t="e">
        <f>Tabel6689172627[[#This Row],[Fix.ch. 2015]]+Tabel6689172627[[#This Row],[Var. ch. 2015]]+Tabel6689172627[[#This Row],[Oth. ch. DW 2015]]</f>
        <v>#DIV/0!</v>
      </c>
      <c r="J19" s="596">
        <v>0</v>
      </c>
      <c r="K19" s="626" t="e">
        <f>630/E19</f>
        <v>#DIV/0!</v>
      </c>
      <c r="L19" s="626"/>
      <c r="M19" s="597">
        <v>0</v>
      </c>
      <c r="N19" s="1238" t="e">
        <f>Tabel6689172627[[#This Row],[Sew. 2015]]+Tabel6689172627[[#This Row],[WW 2015]]+Tabel6689172627[[#This Row],[Other ch. 2015]]</f>
        <v>#DIV/0!</v>
      </c>
      <c r="O19" s="570">
        <v>0</v>
      </c>
      <c r="P19" s="571" t="e">
        <f>Tabel6689172627[[#This Row],[Total. ch. DW 2015]]+Tabel6689172627[[#This Row],[Sew. 2015]]+Tabel6689172627[[#This Row],[WW 2015]]+Tabel6689172627[[#This Row],[Other ch. 2015]]+Tabel6689172627[[#This Row],[VAT 2015]]</f>
        <v>#DIV/0!</v>
      </c>
      <c r="Q19" s="397"/>
      <c r="R19" s="1763"/>
      <c r="S19" s="1766"/>
      <c r="T19" s="1769"/>
      <c r="U19" s="1775"/>
      <c r="V19" s="1778"/>
      <c r="W19" s="1781"/>
      <c r="X19" s="1785"/>
      <c r="Y19" s="1788"/>
      <c r="Z19" s="1791"/>
      <c r="AA19" s="397"/>
      <c r="AB19" s="396"/>
      <c r="AC19" s="396"/>
      <c r="AD19" s="396"/>
      <c r="AE19" s="591" t="s">
        <v>429</v>
      </c>
      <c r="AF19" s="591" t="s">
        <v>429</v>
      </c>
      <c r="AG19" s="591" t="s">
        <v>429</v>
      </c>
      <c r="AH19" s="396"/>
      <c r="AI19" s="399"/>
    </row>
    <row r="20" spans="1:35" ht="16.5" thickBot="1" x14ac:dyDescent="0.3">
      <c r="A20" s="2336"/>
      <c r="B20" s="1618"/>
      <c r="C20" s="800" t="s">
        <v>546</v>
      </c>
      <c r="D20" s="1761"/>
      <c r="F20" s="625"/>
      <c r="G20" s="593"/>
      <c r="H20" s="594"/>
      <c r="I20" s="313"/>
      <c r="J20" s="596"/>
      <c r="K20" s="626"/>
      <c r="L20" s="626"/>
      <c r="M20" s="597"/>
      <c r="N20" s="1238">
        <f>Tabel6689172627[[#This Row],[Sew. 2015]]+Tabel6689172627[[#This Row],[WW 2015]]+Tabel6689172627[[#This Row],[Other ch. 2015]]</f>
        <v>0</v>
      </c>
      <c r="O20" s="570"/>
      <c r="P20" s="571"/>
      <c r="Q20" s="397"/>
      <c r="R20" s="1764"/>
      <c r="S20" s="1767"/>
      <c r="T20" s="1770"/>
      <c r="U20" s="1776"/>
      <c r="V20" s="1779"/>
      <c r="W20" s="1811"/>
      <c r="X20" s="1813"/>
      <c r="Y20" s="1815"/>
      <c r="Z20" s="1794"/>
      <c r="AA20" s="397"/>
      <c r="AB20" s="396"/>
      <c r="AC20" s="396"/>
      <c r="AD20" s="396"/>
      <c r="AE20" s="396"/>
      <c r="AF20" s="396"/>
      <c r="AG20" s="396"/>
      <c r="AH20" s="396"/>
      <c r="AI20" s="399"/>
    </row>
    <row r="21" spans="1:35" ht="15.75" customHeight="1" x14ac:dyDescent="0.25">
      <c r="A21" s="2331" t="s">
        <v>4</v>
      </c>
      <c r="B21" s="1619"/>
      <c r="C21" s="452" t="s">
        <v>59</v>
      </c>
      <c r="D21" s="1837">
        <v>42600</v>
      </c>
      <c r="F21" s="310" t="e">
        <f>61.2/E21</f>
        <v>#DIV/0!</v>
      </c>
      <c r="G21" s="311" t="e">
        <f>325.6/E21</f>
        <v>#DIV/0!</v>
      </c>
      <c r="H21" s="312">
        <v>0</v>
      </c>
      <c r="I21" s="313" t="e">
        <f>Tabel6689172627[[#This Row],[Fix.ch. 2015]]+Tabel6689172627[[#This Row],[Var. ch. 2015]]+Tabel6689172627[[#This Row],[Oth. ch. DW 2015]]</f>
        <v>#DIV/0!</v>
      </c>
      <c r="J21" s="314">
        <v>0</v>
      </c>
      <c r="K21" s="315" t="e">
        <f>220/E21</f>
        <v>#DIV/0!</v>
      </c>
      <c r="L21" s="315"/>
      <c r="M21" s="316">
        <v>0</v>
      </c>
      <c r="N21" s="1227" t="e">
        <f>Tabel6689172627[[#This Row],[Sew. 2015]]+Tabel6689172627[[#This Row],[WW 2015]]+Tabel6689172627[[#This Row],[Other ch. 2015]]</f>
        <v>#DIV/0!</v>
      </c>
      <c r="O21" s="317" t="e">
        <f>60.68/E21</f>
        <v>#DIV/0!</v>
      </c>
      <c r="P21" s="318" t="e">
        <f>Tabel6689172627[[#This Row],[Total. ch. DW 2015]]+Tabel6689172627[[#This Row],[Sew. 2015]]+Tabel6689172627[[#This Row],[WW 2015]]+Tabel6689172627[[#This Row],[Other ch. 2015]]+Tabel6689172627[[#This Row],[VAT 2015]]</f>
        <v>#DIV/0!</v>
      </c>
      <c r="Q21" s="397"/>
      <c r="R21" s="2211" t="e">
        <f t="shared" ref="R21:W21" si="4">SUM(F21:F25)/5</f>
        <v>#DIV/0!</v>
      </c>
      <c r="S21" s="2212" t="e">
        <f t="shared" si="4"/>
        <v>#DIV/0!</v>
      </c>
      <c r="T21" s="2213">
        <f t="shared" si="4"/>
        <v>0</v>
      </c>
      <c r="U21" s="2214" t="e">
        <f t="shared" si="4"/>
        <v>#DIV/0!</v>
      </c>
      <c r="V21" s="2215">
        <f t="shared" si="4"/>
        <v>0</v>
      </c>
      <c r="W21" s="2216" t="e">
        <f t="shared" si="4"/>
        <v>#DIV/0!</v>
      </c>
      <c r="X21" s="2217">
        <f>SUM(M21:M25)/5</f>
        <v>0</v>
      </c>
      <c r="Y21" s="2218" t="e">
        <f t="shared" ref="Y21" si="5">SUM(O21:O25)/5</f>
        <v>#DIV/0!</v>
      </c>
      <c r="Z21" s="2219" t="e">
        <f>SUM(P21:P25)/5</f>
        <v>#DIV/0!</v>
      </c>
      <c r="AA21" s="397"/>
      <c r="AB21" s="398"/>
      <c r="AC21" s="396" t="s">
        <v>429</v>
      </c>
      <c r="AD21" s="398"/>
      <c r="AE21" s="398"/>
      <c r="AF21" s="396" t="s">
        <v>429</v>
      </c>
      <c r="AG21" s="396"/>
      <c r="AH21" s="398"/>
      <c r="AI21" s="397"/>
    </row>
    <row r="22" spans="1:35" ht="15.75" customHeight="1" x14ac:dyDescent="0.25">
      <c r="A22" s="2332"/>
      <c r="B22" s="1619"/>
      <c r="C22" s="452" t="s">
        <v>60</v>
      </c>
      <c r="D22" s="1837"/>
      <c r="F22" s="310" t="e">
        <f>17.52/E22</f>
        <v>#DIV/0!</v>
      </c>
      <c r="G22" s="311" t="e">
        <f>262/E22</f>
        <v>#DIV/0!</v>
      </c>
      <c r="H22" s="312">
        <v>0</v>
      </c>
      <c r="I22" s="313" t="e">
        <f>Tabel6689172627[[#This Row],[Fix.ch. 2015]]+Tabel6689172627[[#This Row],[Var. ch. 2015]]+Tabel6689172627[[#This Row],[Oth. ch. DW 2015]]</f>
        <v>#DIV/0!</v>
      </c>
      <c r="J22" s="314">
        <v>0</v>
      </c>
      <c r="K22" s="315" t="e">
        <f>382.6/E22</f>
        <v>#DIV/0!</v>
      </c>
      <c r="L22" s="315"/>
      <c r="M22" s="316">
        <v>0</v>
      </c>
      <c r="N22" s="1227" t="e">
        <f>Tabel6689172627[[#This Row],[Sew. 2015]]+Tabel6689172627[[#This Row],[WW 2015]]+Tabel6689172627[[#This Row],[Other ch. 2015]]</f>
        <v>#DIV/0!</v>
      </c>
      <c r="O22" s="317" t="e">
        <f>66.21/E22</f>
        <v>#DIV/0!</v>
      </c>
      <c r="P22" s="318" t="e">
        <f>Tabel6689172627[[#This Row],[Total. ch. DW 2015]]+Tabel6689172627[[#This Row],[Sew. 2015]]+Tabel6689172627[[#This Row],[WW 2015]]+Tabel6689172627[[#This Row],[Other ch. 2015]]+Tabel6689172627[[#This Row],[VAT 2015]]</f>
        <v>#DIV/0!</v>
      </c>
      <c r="Q22" s="397"/>
      <c r="R22" s="1840"/>
      <c r="S22" s="1843"/>
      <c r="T22" s="1846"/>
      <c r="U22" s="1849"/>
      <c r="V22" s="1852"/>
      <c r="W22" s="1855"/>
      <c r="X22" s="1858"/>
      <c r="Y22" s="1873"/>
      <c r="Z22" s="1876"/>
      <c r="AA22" s="397"/>
      <c r="AB22" s="398"/>
      <c r="AC22" s="396" t="s">
        <v>429</v>
      </c>
      <c r="AD22" s="398"/>
      <c r="AE22" s="398"/>
      <c r="AF22" s="396" t="s">
        <v>429</v>
      </c>
      <c r="AG22" s="396"/>
      <c r="AH22" s="398"/>
      <c r="AI22" s="397"/>
    </row>
    <row r="23" spans="1:35" ht="15.75" customHeight="1" x14ac:dyDescent="0.25">
      <c r="A23" s="2332"/>
      <c r="B23" s="1619"/>
      <c r="C23" s="452" t="s">
        <v>61</v>
      </c>
      <c r="D23" s="1837"/>
      <c r="F23" s="310" t="e">
        <f>62.59/E23</f>
        <v>#DIV/0!</v>
      </c>
      <c r="G23" s="311" t="e">
        <f>165.58/E23</f>
        <v>#DIV/0!</v>
      </c>
      <c r="H23" s="312">
        <v>0</v>
      </c>
      <c r="I23" s="313" t="e">
        <f>Tabel6689172627[[#This Row],[Fix.ch. 2015]]+Tabel6689172627[[#This Row],[Var. ch. 2015]]+Tabel6689172627[[#This Row],[Oth. ch. DW 2015]]</f>
        <v>#DIV/0!</v>
      </c>
      <c r="J23" s="314">
        <f>0</f>
        <v>0</v>
      </c>
      <c r="K23" s="315" t="e">
        <f>192.04/E23</f>
        <v>#DIV/0!</v>
      </c>
      <c r="L23" s="315"/>
      <c r="M23" s="316">
        <v>0</v>
      </c>
      <c r="N23" s="1227" t="e">
        <f>Tabel6689172627[[#This Row],[Sew. 2015]]+Tabel6689172627[[#This Row],[WW 2015]]+Tabel6689172627[[#This Row],[Other ch. 2015]]</f>
        <v>#DIV/0!</v>
      </c>
      <c r="O23" s="317" t="e">
        <f>42.02/E23</f>
        <v>#DIV/0!</v>
      </c>
      <c r="P23" s="318" t="e">
        <f>Tabel6689172627[[#This Row],[Total. ch. DW 2015]]+Tabel6689172627[[#This Row],[Sew. 2015]]+Tabel6689172627[[#This Row],[WW 2015]]+Tabel6689172627[[#This Row],[Other ch. 2015]]+Tabel6689172627[[#This Row],[VAT 2015]]</f>
        <v>#DIV/0!</v>
      </c>
      <c r="Q23" s="397"/>
      <c r="R23" s="1840"/>
      <c r="S23" s="1843"/>
      <c r="T23" s="1846"/>
      <c r="U23" s="1849"/>
      <c r="V23" s="1852"/>
      <c r="W23" s="1855"/>
      <c r="X23" s="1858"/>
      <c r="Y23" s="1873"/>
      <c r="Z23" s="1876"/>
      <c r="AA23" s="397"/>
      <c r="AB23" s="398"/>
      <c r="AC23" s="396" t="s">
        <v>429</v>
      </c>
      <c r="AD23" s="398"/>
      <c r="AE23" s="398"/>
      <c r="AF23" s="396" t="s">
        <v>429</v>
      </c>
      <c r="AG23" s="396"/>
      <c r="AH23" s="398"/>
      <c r="AI23" s="397"/>
    </row>
    <row r="24" spans="1:35" ht="16.5" customHeight="1" x14ac:dyDescent="0.25">
      <c r="A24" s="2332"/>
      <c r="B24" s="1619"/>
      <c r="C24" s="452" t="s">
        <v>62</v>
      </c>
      <c r="D24" s="1837"/>
      <c r="F24" s="310" t="e">
        <f>23.4/E24</f>
        <v>#DIV/0!</v>
      </c>
      <c r="G24" s="311" t="e">
        <f>293.62/E24</f>
        <v>#DIV/0!</v>
      </c>
      <c r="H24" s="312">
        <v>0</v>
      </c>
      <c r="I24" s="313" t="e">
        <f>Tabel6689172627[[#This Row],[Fix.ch. 2015]]+Tabel6689172627[[#This Row],[Var. ch. 2015]]+Tabel6689172627[[#This Row],[Oth. ch. DW 2015]]</f>
        <v>#DIV/0!</v>
      </c>
      <c r="J24" s="314">
        <v>0</v>
      </c>
      <c r="K24" s="315" t="e">
        <f>496/E24</f>
        <v>#DIV/0!</v>
      </c>
      <c r="L24" s="315"/>
      <c r="M24" s="316">
        <v>0</v>
      </c>
      <c r="N24" s="1227" t="e">
        <f>Tabel6689172627[[#This Row],[Sew. 2015]]+Tabel6689172627[[#This Row],[WW 2015]]+Tabel6689172627[[#This Row],[Other ch. 2015]]</f>
        <v>#DIV/0!</v>
      </c>
      <c r="O24" s="317" t="e">
        <f>81.3/E24</f>
        <v>#DIV/0!</v>
      </c>
      <c r="P24" s="318" t="e">
        <f>Tabel6689172627[[#This Row],[Total. ch. DW 2015]]+Tabel6689172627[[#This Row],[Sew. 2015]]+Tabel6689172627[[#This Row],[WW 2015]]+Tabel6689172627[[#This Row],[Other ch. 2015]]+Tabel6689172627[[#This Row],[VAT 2015]]</f>
        <v>#DIV/0!</v>
      </c>
      <c r="Q24" s="397"/>
      <c r="R24" s="1840"/>
      <c r="S24" s="1843"/>
      <c r="T24" s="1846"/>
      <c r="U24" s="1849"/>
      <c r="V24" s="1852"/>
      <c r="W24" s="1855"/>
      <c r="X24" s="1858"/>
      <c r="Y24" s="1873"/>
      <c r="Z24" s="1876"/>
      <c r="AA24" s="397"/>
      <c r="AB24" s="398"/>
      <c r="AC24" s="396" t="s">
        <v>429</v>
      </c>
      <c r="AD24" s="398"/>
      <c r="AE24" s="398"/>
      <c r="AF24" s="396" t="s">
        <v>429</v>
      </c>
      <c r="AG24" s="396"/>
      <c r="AH24" s="398"/>
      <c r="AI24" s="397"/>
    </row>
    <row r="25" spans="1:35" ht="16.5" customHeight="1" thickBot="1" x14ac:dyDescent="0.3">
      <c r="A25" s="2333"/>
      <c r="B25" s="1619"/>
      <c r="C25" s="801" t="s">
        <v>63</v>
      </c>
      <c r="D25" s="2221"/>
      <c r="F25" s="310" t="e">
        <f>21.72/E25</f>
        <v>#DIV/0!</v>
      </c>
      <c r="G25" s="311" t="e">
        <f>311.4/E25</f>
        <v>#DIV/0!</v>
      </c>
      <c r="H25" s="312">
        <v>0</v>
      </c>
      <c r="I25" s="313" t="e">
        <f>Tabel6689172627[[#This Row],[Fix.ch. 2015]]+Tabel6689172627[[#This Row],[Var. ch. 2015]]+Tabel6689172627[[#This Row],[Oth. ch. DW 2015]]</f>
        <v>#DIV/0!</v>
      </c>
      <c r="J25" s="314">
        <v>0</v>
      </c>
      <c r="K25" s="315" t="e">
        <f>354.6/E25</f>
        <v>#DIV/0!</v>
      </c>
      <c r="L25" s="315"/>
      <c r="M25" s="316">
        <v>0</v>
      </c>
      <c r="N25" s="1227" t="e">
        <f>Tabel6689172627[[#This Row],[Sew. 2015]]+Tabel6689172627[[#This Row],[WW 2015]]+Tabel6689172627[[#This Row],[Other ch. 2015]]</f>
        <v>#DIV/0!</v>
      </c>
      <c r="O25" s="317" t="e">
        <f>68.77/E25</f>
        <v>#DIV/0!</v>
      </c>
      <c r="P25" s="318" t="e">
        <f>Tabel6689172627[[#This Row],[Total. ch. DW 2015]]+Tabel6689172627[[#This Row],[Sew. 2015]]+Tabel6689172627[[#This Row],[WW 2015]]+Tabel6689172627[[#This Row],[Other ch. 2015]]+Tabel6689172627[[#This Row],[VAT 2015]]</f>
        <v>#DIV/0!</v>
      </c>
      <c r="Q25" s="397"/>
      <c r="R25" s="2223"/>
      <c r="S25" s="2225"/>
      <c r="T25" s="2227"/>
      <c r="U25" s="2234"/>
      <c r="V25" s="2236"/>
      <c r="W25" s="2238"/>
      <c r="X25" s="2240"/>
      <c r="Y25" s="2242"/>
      <c r="Z25" s="2244"/>
      <c r="AA25" s="397"/>
      <c r="AB25" s="398"/>
      <c r="AC25" s="396" t="s">
        <v>429</v>
      </c>
      <c r="AD25" s="398"/>
      <c r="AE25" s="398"/>
      <c r="AF25" s="396" t="s">
        <v>429</v>
      </c>
      <c r="AG25" s="396"/>
      <c r="AH25" s="398"/>
      <c r="AI25" s="397"/>
    </row>
    <row r="26" spans="1:35" ht="15.75" customHeight="1" x14ac:dyDescent="0.25">
      <c r="A26" s="1818" t="s">
        <v>6</v>
      </c>
      <c r="B26" s="1213"/>
      <c r="C26" s="735" t="s">
        <v>67</v>
      </c>
      <c r="D26" s="2209">
        <v>44100</v>
      </c>
      <c r="F26" s="625" t="e">
        <f>53.19/E26</f>
        <v>#DIV/0!</v>
      </c>
      <c r="G26" s="593" t="e">
        <f>255/E26</f>
        <v>#DIV/0!</v>
      </c>
      <c r="H26" s="594">
        <v>0</v>
      </c>
      <c r="I26" s="566" t="e">
        <f>Tabel6689172627[[#This Row],[Fix.ch. 2015]]+Tabel6689172627[[#This Row],[Var. ch. 2015]]+Tabel6689172627[[#This Row],[Oth. ch. DW 2015]]</f>
        <v>#DIV/0!</v>
      </c>
      <c r="J26" s="596" t="e">
        <f>338.46/E26</f>
        <v>#DIV/0!</v>
      </c>
      <c r="K26" s="626" t="e">
        <f>241.76/E26</f>
        <v>#DIV/0!</v>
      </c>
      <c r="L26" s="626"/>
      <c r="M26" s="597">
        <v>0</v>
      </c>
      <c r="N26" s="1238" t="e">
        <f>Tabel6689172627[[#This Row],[Sew. 2015]]+Tabel6689172627[[#This Row],[WW 2015]]+Tabel6689172627[[#This Row],[Other ch. 2015]]</f>
        <v>#DIV/0!</v>
      </c>
      <c r="O26" s="570" t="e">
        <f>53.3/E26</f>
        <v>#DIV/0!</v>
      </c>
      <c r="P26" s="571" t="e">
        <f>Tabel6689172627[[#This Row],[Total. ch. DW 2015]]+Tabel6689172627[[#This Row],[Sew. 2015]]+Tabel6689172627[[#This Row],[WW 2015]]+Tabel6689172627[[#This Row],[Other ch. 2015]]+Tabel6689172627[[#This Row],[VAT 2015]]</f>
        <v>#DIV/0!</v>
      </c>
      <c r="Q26" s="397"/>
      <c r="R26" s="1762" t="e">
        <f t="shared" ref="R26:W26" si="6">SUM(F26:F33)/7</f>
        <v>#DIV/0!</v>
      </c>
      <c r="S26" s="1765" t="e">
        <f t="shared" si="6"/>
        <v>#DIV/0!</v>
      </c>
      <c r="T26" s="1768">
        <f t="shared" si="6"/>
        <v>0</v>
      </c>
      <c r="U26" s="1774" t="e">
        <f t="shared" si="6"/>
        <v>#DIV/0!</v>
      </c>
      <c r="V26" s="1777" t="e">
        <f t="shared" si="6"/>
        <v>#DIV/0!</v>
      </c>
      <c r="W26" s="1810" t="e">
        <f t="shared" si="6"/>
        <v>#DIV/0!</v>
      </c>
      <c r="X26" s="1812" t="e">
        <f>SUM(M26:M33)/7</f>
        <v>#DIV/0!</v>
      </c>
      <c r="Y26" s="1814" t="e">
        <f t="shared" ref="Y26:Z26" si="7">SUM(O26:O33)/7</f>
        <v>#DIV/0!</v>
      </c>
      <c r="Z26" s="1793" t="e">
        <f t="shared" si="7"/>
        <v>#DIV/0!</v>
      </c>
      <c r="AA26" s="397"/>
      <c r="AB26" s="398"/>
      <c r="AC26" s="398"/>
      <c r="AD26" s="398"/>
      <c r="AE26" s="591" t="s">
        <v>429</v>
      </c>
      <c r="AF26" s="591" t="s">
        <v>429</v>
      </c>
      <c r="AG26" s="614"/>
      <c r="AH26" s="614"/>
      <c r="AI26" s="397"/>
    </row>
    <row r="27" spans="1:35" ht="15.75" customHeight="1" x14ac:dyDescent="0.25">
      <c r="A27" s="2294"/>
      <c r="B27" s="1213"/>
      <c r="C27" s="735" t="s">
        <v>71</v>
      </c>
      <c r="D27" s="1822"/>
      <c r="F27" s="625" t="e">
        <f>67.84/E27</f>
        <v>#DIV/0!</v>
      </c>
      <c r="G27" s="593" t="e">
        <f>179.86/E27</f>
        <v>#DIV/0!</v>
      </c>
      <c r="H27" s="594">
        <v>0</v>
      </c>
      <c r="I27" s="566" t="e">
        <f>Tabel6689172627[[#This Row],[Fix.ch. 2015]]+Tabel6689172627[[#This Row],[Var. ch. 2015]]+Tabel6689172627[[#This Row],[Oth. ch. DW 2015]]</f>
        <v>#DIV/0!</v>
      </c>
      <c r="J27" s="596" t="e">
        <f>192/E27</f>
        <v>#DIV/0!</v>
      </c>
      <c r="K27" s="626" t="e">
        <f>266.64/E27</f>
        <v>#DIV/0!</v>
      </c>
      <c r="L27" s="626"/>
      <c r="M27" s="597">
        <v>0</v>
      </c>
      <c r="N27" s="1238" t="e">
        <f>Tabel6689172627[[#This Row],[Sew. 2015]]+Tabel6689172627[[#This Row],[WW 2015]]+Tabel6689172627[[#This Row],[Other ch. 2015]]</f>
        <v>#DIV/0!</v>
      </c>
      <c r="O27" s="570" t="e">
        <f>42.38/E27</f>
        <v>#DIV/0!</v>
      </c>
      <c r="P27" s="571" t="e">
        <f>Tabel6689172627[[#This Row],[Total. ch. DW 2015]]+Tabel6689172627[[#This Row],[Sew. 2015]]+Tabel6689172627[[#This Row],[WW 2015]]+Tabel6689172627[[#This Row],[Other ch. 2015]]+Tabel6689172627[[#This Row],[VAT 2015]]</f>
        <v>#DIV/0!</v>
      </c>
      <c r="Q27" s="397"/>
      <c r="R27" s="1763"/>
      <c r="S27" s="1766"/>
      <c r="T27" s="1769"/>
      <c r="U27" s="1775"/>
      <c r="V27" s="1778"/>
      <c r="W27" s="1781"/>
      <c r="X27" s="1785"/>
      <c r="Y27" s="1788"/>
      <c r="Z27" s="1791"/>
      <c r="AA27" s="397"/>
      <c r="AB27" s="398"/>
      <c r="AC27" s="398"/>
      <c r="AD27" s="398"/>
      <c r="AE27" s="591" t="s">
        <v>429</v>
      </c>
      <c r="AF27" s="591" t="s">
        <v>429</v>
      </c>
      <c r="AG27" s="614"/>
      <c r="AH27" s="614"/>
      <c r="AI27" s="397"/>
    </row>
    <row r="28" spans="1:35" ht="15.75" customHeight="1" x14ac:dyDescent="0.25">
      <c r="A28" s="2294"/>
      <c r="B28" s="1213"/>
      <c r="C28" s="735" t="s">
        <v>68</v>
      </c>
      <c r="D28" s="1822"/>
      <c r="F28" s="625" t="e">
        <f>23.8/E28</f>
        <v>#DIV/0!</v>
      </c>
      <c r="G28" s="593" t="e">
        <f>374.08/E28</f>
        <v>#DIV/0!</v>
      </c>
      <c r="H28" s="594">
        <v>0</v>
      </c>
      <c r="I28" s="566" t="e">
        <f>Tabel6689172627[[#This Row],[Fix.ch. 2015]]+Tabel6689172627[[#This Row],[Var. ch. 2015]]+Tabel6689172627[[#This Row],[Oth. ch. DW 2015]]</f>
        <v>#DIV/0!</v>
      </c>
      <c r="J28" s="596" t="e">
        <f>188.25/E28</f>
        <v>#DIV/0!</v>
      </c>
      <c r="K28" s="626" t="e">
        <f>102/E28</f>
        <v>#DIV/0!</v>
      </c>
      <c r="L28" s="626"/>
      <c r="M28" s="597">
        <v>0</v>
      </c>
      <c r="N28" s="1238" t="e">
        <f>Tabel6689172627[[#This Row],[Sew. 2015]]+Tabel6689172627[[#This Row],[WW 2015]]+Tabel6689172627[[#This Row],[Other ch. 2015]]</f>
        <v>#DIV/0!</v>
      </c>
      <c r="O28" s="570" t="e">
        <f>41.29/E28</f>
        <v>#DIV/0!</v>
      </c>
      <c r="P28" s="571" t="e">
        <f>Tabel6689172627[[#This Row],[Total. ch. DW 2015]]+Tabel6689172627[[#This Row],[Sew. 2015]]+Tabel6689172627[[#This Row],[WW 2015]]+Tabel6689172627[[#This Row],[Other ch. 2015]]+Tabel6689172627[[#This Row],[VAT 2015]]</f>
        <v>#DIV/0!</v>
      </c>
      <c r="Q28" s="397"/>
      <c r="R28" s="1763"/>
      <c r="S28" s="1766"/>
      <c r="T28" s="1769"/>
      <c r="U28" s="1775"/>
      <c r="V28" s="1778"/>
      <c r="W28" s="1781"/>
      <c r="X28" s="1785"/>
      <c r="Y28" s="1788"/>
      <c r="Z28" s="1791"/>
      <c r="AA28" s="397"/>
      <c r="AB28" s="398"/>
      <c r="AC28" s="398"/>
      <c r="AD28" s="398"/>
      <c r="AE28" s="591" t="s">
        <v>429</v>
      </c>
      <c r="AF28" s="591" t="s">
        <v>429</v>
      </c>
      <c r="AG28" s="614"/>
      <c r="AH28" s="614"/>
      <c r="AI28" s="397"/>
    </row>
    <row r="29" spans="1:35" ht="15.75" customHeight="1" x14ac:dyDescent="0.25">
      <c r="A29" s="2294"/>
      <c r="B29" s="1213"/>
      <c r="C29" s="735" t="s">
        <v>72</v>
      </c>
      <c r="D29" s="1822"/>
      <c r="F29" s="625" t="e">
        <f>105.08/E29</f>
        <v>#DIV/0!</v>
      </c>
      <c r="G29" s="593" t="e">
        <f>487.77/E29</f>
        <v>#DIV/0!</v>
      </c>
      <c r="H29" s="594">
        <v>0</v>
      </c>
      <c r="I29" s="566" t="e">
        <f>Tabel6689172627[[#This Row],[Fix.ch. 2015]]+Tabel6689172627[[#This Row],[Var. ch. 2015]]+Tabel6689172627[[#This Row],[Oth. ch. DW 2015]]</f>
        <v>#DIV/0!</v>
      </c>
      <c r="J29" s="596">
        <v>0</v>
      </c>
      <c r="K29" s="626" t="e">
        <f>349/E29</f>
        <v>#DIV/0!</v>
      </c>
      <c r="L29" s="626"/>
      <c r="M29" s="597" t="e">
        <f>2.5/E29</f>
        <v>#DIV/0!</v>
      </c>
      <c r="N29" s="1238" t="e">
        <f>Tabel6689172627[[#This Row],[Sew. 2015]]+Tabel6689172627[[#This Row],[WW 2015]]+Tabel6689172627[[#This Row],[Other ch. 2015]]</f>
        <v>#DIV/0!</v>
      </c>
      <c r="O29" s="570" t="e">
        <f>56.51/E29</f>
        <v>#DIV/0!</v>
      </c>
      <c r="P29" s="571" t="e">
        <f>Tabel6689172627[[#This Row],[Total. ch. DW 2015]]+Tabel6689172627[[#This Row],[Sew. 2015]]+Tabel6689172627[[#This Row],[WW 2015]]+Tabel6689172627[[#This Row],[Other ch. 2015]]+Tabel6689172627[[#This Row],[VAT 2015]]</f>
        <v>#DIV/0!</v>
      </c>
      <c r="Q29" s="397"/>
      <c r="R29" s="1763"/>
      <c r="S29" s="1766"/>
      <c r="T29" s="1769"/>
      <c r="U29" s="1775"/>
      <c r="V29" s="1778"/>
      <c r="W29" s="1781"/>
      <c r="X29" s="1785"/>
      <c r="Y29" s="1788"/>
      <c r="Z29" s="1791"/>
      <c r="AA29" s="397"/>
      <c r="AB29" s="398"/>
      <c r="AC29" s="398"/>
      <c r="AD29" s="398"/>
      <c r="AE29" s="591" t="s">
        <v>429</v>
      </c>
      <c r="AF29" s="591" t="s">
        <v>429</v>
      </c>
      <c r="AG29" s="591" t="s">
        <v>429</v>
      </c>
      <c r="AH29" s="614"/>
      <c r="AI29" s="397"/>
    </row>
    <row r="30" spans="1:35" ht="15.75" customHeight="1" x14ac:dyDescent="0.25">
      <c r="A30" s="2294"/>
      <c r="B30" s="1213"/>
      <c r="C30" s="735" t="s">
        <v>69</v>
      </c>
      <c r="D30" s="1822"/>
      <c r="F30" s="625" t="e">
        <f>53.19/E30</f>
        <v>#DIV/0!</v>
      </c>
      <c r="G30" s="593" t="e">
        <f>268.75/E30</f>
        <v>#DIV/0!</v>
      </c>
      <c r="H30" s="594">
        <v>0</v>
      </c>
      <c r="I30" s="566" t="e">
        <f>Tabel6689172627[[#This Row],[Fix.ch. 2015]]+Tabel6689172627[[#This Row],[Var. ch. 2015]]+Tabel6689172627[[#This Row],[Oth. ch. DW 2015]]</f>
        <v>#DIV/0!</v>
      </c>
      <c r="J30" s="596" t="e">
        <f>338.46/E30</f>
        <v>#DIV/0!</v>
      </c>
      <c r="K30" s="626" t="e">
        <f>241.76/E30</f>
        <v>#DIV/0!</v>
      </c>
      <c r="L30" s="626"/>
      <c r="M30" s="597">
        <v>0</v>
      </c>
      <c r="N30" s="1238" t="e">
        <f>Tabel6689172627[[#This Row],[Sew. 2015]]+Tabel6689172627[[#This Row],[WW 2015]]+Tabel6689172627[[#This Row],[Other ch. 2015]]</f>
        <v>#DIV/0!</v>
      </c>
      <c r="O30" s="570" t="e">
        <f>54.13/E30</f>
        <v>#DIV/0!</v>
      </c>
      <c r="P30" s="571" t="e">
        <f>Tabel6689172627[[#This Row],[Total. ch. DW 2015]]+Tabel6689172627[[#This Row],[Sew. 2015]]+Tabel6689172627[[#This Row],[WW 2015]]+Tabel6689172627[[#This Row],[Other ch. 2015]]+Tabel6689172627[[#This Row],[VAT 2015]]</f>
        <v>#DIV/0!</v>
      </c>
      <c r="Q30" s="397"/>
      <c r="R30" s="1763"/>
      <c r="S30" s="1766"/>
      <c r="T30" s="1769"/>
      <c r="U30" s="1775"/>
      <c r="V30" s="1778"/>
      <c r="W30" s="1781"/>
      <c r="X30" s="1785"/>
      <c r="Y30" s="1788"/>
      <c r="Z30" s="1791"/>
      <c r="AA30" s="397"/>
      <c r="AB30" s="398"/>
      <c r="AC30" s="398"/>
      <c r="AD30" s="398"/>
      <c r="AE30" s="591" t="s">
        <v>429</v>
      </c>
      <c r="AF30" s="591" t="s">
        <v>429</v>
      </c>
      <c r="AG30" s="614"/>
      <c r="AH30" s="614"/>
      <c r="AI30" s="397"/>
    </row>
    <row r="31" spans="1:35" ht="15.75" customHeight="1" x14ac:dyDescent="0.25">
      <c r="A31" s="2294"/>
      <c r="B31" s="1213"/>
      <c r="C31" s="735" t="s">
        <v>70</v>
      </c>
      <c r="D31" s="1822"/>
      <c r="F31" s="625" t="e">
        <f>53.19/E31</f>
        <v>#DIV/0!</v>
      </c>
      <c r="G31" s="593" t="e">
        <f>197.5/E31</f>
        <v>#DIV/0!</v>
      </c>
      <c r="H31" s="594">
        <v>0</v>
      </c>
      <c r="I31" s="566" t="e">
        <f>Tabel6689172627[[#This Row],[Fix.ch. 2015]]+Tabel6689172627[[#This Row],[Var. ch. 2015]]+Tabel6689172627[[#This Row],[Oth. ch. DW 2015]]</f>
        <v>#DIV/0!</v>
      </c>
      <c r="J31" s="596" t="e">
        <f>338.46/E31</f>
        <v>#DIV/0!</v>
      </c>
      <c r="K31" s="626" t="e">
        <f>241.76/E31</f>
        <v>#DIV/0!</v>
      </c>
      <c r="L31" s="626"/>
      <c r="M31" s="597">
        <v>0</v>
      </c>
      <c r="N31" s="1238" t="e">
        <f>Tabel6689172627[[#This Row],[Sew. 2015]]+Tabel6689172627[[#This Row],[WW 2015]]+Tabel6689172627[[#This Row],[Other ch. 2015]]</f>
        <v>#DIV/0!</v>
      </c>
      <c r="O31" s="570" t="e">
        <f>49.85/E31</f>
        <v>#DIV/0!</v>
      </c>
      <c r="P31" s="571" t="e">
        <f>Tabel6689172627[[#This Row],[Total. ch. DW 2015]]+Tabel6689172627[[#This Row],[Sew. 2015]]+Tabel6689172627[[#This Row],[WW 2015]]+Tabel6689172627[[#This Row],[Other ch. 2015]]+Tabel6689172627[[#This Row],[VAT 2015]]</f>
        <v>#DIV/0!</v>
      </c>
      <c r="Q31" s="397"/>
      <c r="R31" s="1763"/>
      <c r="S31" s="1766"/>
      <c r="T31" s="1769"/>
      <c r="U31" s="1775"/>
      <c r="V31" s="1778"/>
      <c r="W31" s="1781"/>
      <c r="X31" s="1785"/>
      <c r="Y31" s="1788"/>
      <c r="Z31" s="1791"/>
      <c r="AA31" s="397"/>
      <c r="AB31" s="398"/>
      <c r="AC31" s="398"/>
      <c r="AD31" s="398"/>
      <c r="AE31" s="591" t="s">
        <v>429</v>
      </c>
      <c r="AF31" s="591" t="s">
        <v>429</v>
      </c>
      <c r="AG31" s="614"/>
      <c r="AH31" s="614"/>
      <c r="AI31" s="397"/>
    </row>
    <row r="32" spans="1:35" ht="16.5" customHeight="1" x14ac:dyDescent="0.25">
      <c r="A32" s="2294"/>
      <c r="B32" s="1213"/>
      <c r="C32" s="735" t="s">
        <v>216</v>
      </c>
      <c r="D32" s="1822"/>
      <c r="F32" s="625"/>
      <c r="G32" s="593"/>
      <c r="H32" s="594"/>
      <c r="I32" s="566"/>
      <c r="J32" s="596"/>
      <c r="K32" s="626"/>
      <c r="L32" s="626"/>
      <c r="M32" s="597"/>
      <c r="N32" s="1238">
        <f>Tabel6689172627[[#This Row],[Sew. 2015]]+Tabel6689172627[[#This Row],[WW 2015]]+Tabel6689172627[[#This Row],[Other ch. 2015]]</f>
        <v>0</v>
      </c>
      <c r="O32" s="570"/>
      <c r="P32" s="571"/>
      <c r="Q32" s="397"/>
      <c r="R32" s="1763"/>
      <c r="S32" s="1766"/>
      <c r="T32" s="1769"/>
      <c r="U32" s="1775"/>
      <c r="V32" s="1778"/>
      <c r="W32" s="1781"/>
      <c r="X32" s="1785"/>
      <c r="Y32" s="1788"/>
      <c r="Z32" s="1791"/>
      <c r="AA32" s="397"/>
      <c r="AB32" s="398"/>
      <c r="AC32" s="398"/>
      <c r="AD32" s="398"/>
      <c r="AE32" s="591" t="s">
        <v>429</v>
      </c>
      <c r="AF32" s="591" t="s">
        <v>429</v>
      </c>
      <c r="AG32" s="614"/>
      <c r="AH32" s="614"/>
      <c r="AI32" s="397"/>
    </row>
    <row r="33" spans="1:35" ht="17.25" customHeight="1" thickBot="1" x14ac:dyDescent="0.3">
      <c r="A33" s="2295"/>
      <c r="B33" s="1213"/>
      <c r="C33" s="736" t="s">
        <v>629</v>
      </c>
      <c r="D33" s="1823"/>
      <c r="F33" s="625" t="e">
        <f>104.75/E33</f>
        <v>#DIV/0!</v>
      </c>
      <c r="G33" s="593" t="e">
        <f>484.7/E33</f>
        <v>#DIV/0!</v>
      </c>
      <c r="H33" s="594">
        <v>0</v>
      </c>
      <c r="I33" s="566" t="e">
        <f>Tabel6689172627[[#This Row],[Fix.ch. 2015]]+Tabel6689172627[[#This Row],[Var. ch. 2015]]+Tabel6689172627[[#This Row],[Oth. ch. DW 2015]]</f>
        <v>#DIV/0!</v>
      </c>
      <c r="J33" s="596" t="e">
        <f>0/E33</f>
        <v>#DIV/0!</v>
      </c>
      <c r="K33" s="626" t="e">
        <f>349/E33</f>
        <v>#DIV/0!</v>
      </c>
      <c r="L33" s="626"/>
      <c r="M33" s="597" t="e">
        <f>2.5/E33</f>
        <v>#DIV/0!</v>
      </c>
      <c r="N33" s="1238" t="e">
        <f>Tabel6689172627[[#This Row],[Sew. 2015]]+Tabel6689172627[[#This Row],[WW 2015]]+Tabel6689172627[[#This Row],[Other ch. 2015]]</f>
        <v>#DIV/0!</v>
      </c>
      <c r="O33" s="570" t="e">
        <f>56.31/E33</f>
        <v>#DIV/0!</v>
      </c>
      <c r="P33" s="571" t="e">
        <f>Tabel6689172627[[#This Row],[Total. ch. DW 2015]]+Tabel6689172627[[#This Row],[Sew. 2015]]+Tabel6689172627[[#This Row],[WW 2015]]+Tabel6689172627[[#This Row],[Other ch. 2015]]+Tabel6689172627[[#This Row],[VAT 2015]]</f>
        <v>#DIV/0!</v>
      </c>
      <c r="Q33" s="397"/>
      <c r="R33" s="1764"/>
      <c r="S33" s="1767"/>
      <c r="T33" s="1770"/>
      <c r="U33" s="1776"/>
      <c r="V33" s="1779"/>
      <c r="W33" s="1811"/>
      <c r="X33" s="1813"/>
      <c r="Y33" s="1815"/>
      <c r="Z33" s="1794"/>
      <c r="AA33" s="397"/>
      <c r="AB33" s="398"/>
      <c r="AC33" s="398"/>
      <c r="AD33" s="398"/>
      <c r="AE33" s="591" t="s">
        <v>429</v>
      </c>
      <c r="AF33" s="591" t="s">
        <v>429</v>
      </c>
      <c r="AG33" s="591" t="s">
        <v>429</v>
      </c>
      <c r="AH33" s="614"/>
      <c r="AI33" s="397"/>
    </row>
    <row r="34" spans="1:35" ht="15.75" x14ac:dyDescent="0.25">
      <c r="A34" s="1878" t="s">
        <v>1345</v>
      </c>
      <c r="B34" s="1213"/>
      <c r="C34" s="1433" t="s">
        <v>459</v>
      </c>
      <c r="D34" s="2318">
        <v>15800</v>
      </c>
      <c r="F34" s="625" t="s">
        <v>5</v>
      </c>
      <c r="G34" s="593" t="s">
        <v>5</v>
      </c>
      <c r="H34" s="594" t="s">
        <v>5</v>
      </c>
      <c r="I34" s="566" t="s">
        <v>5</v>
      </c>
      <c r="J34" s="596" t="s">
        <v>5</v>
      </c>
      <c r="K34" s="626" t="s">
        <v>5</v>
      </c>
      <c r="L34" s="626"/>
      <c r="M34" s="597" t="s">
        <v>5</v>
      </c>
      <c r="N34" s="1238" t="e">
        <f>Tabel6689172627[[#This Row],[Sew. 2015]]+Tabel6689172627[[#This Row],[WW 2015]]+Tabel6689172627[[#This Row],[Other ch. 2015]]</f>
        <v>#VALUE!</v>
      </c>
      <c r="O34" s="570" t="s">
        <v>5</v>
      </c>
      <c r="P34" s="571" t="e">
        <f>536/E34</f>
        <v>#DIV/0!</v>
      </c>
      <c r="Q34" s="397"/>
      <c r="R34" s="2328" t="s">
        <v>5</v>
      </c>
      <c r="S34" s="2329" t="s">
        <v>5</v>
      </c>
      <c r="T34" s="2330" t="s">
        <v>5</v>
      </c>
      <c r="U34" s="2326" t="s">
        <v>5</v>
      </c>
      <c r="V34" s="2322" t="s">
        <v>5</v>
      </c>
      <c r="W34" s="2323" t="s">
        <v>5</v>
      </c>
      <c r="X34" s="2324" t="s">
        <v>5</v>
      </c>
      <c r="Y34" s="2325" t="s">
        <v>5</v>
      </c>
      <c r="Z34" s="2317" t="e">
        <f>Tabel6689172627[[#This Row],[total charge 2015]]</f>
        <v>#DIV/0!</v>
      </c>
      <c r="AA34" s="397"/>
      <c r="AB34" s="591" t="s">
        <v>429</v>
      </c>
      <c r="AC34" s="614"/>
      <c r="AD34" s="614"/>
      <c r="AE34" s="614"/>
      <c r="AF34" s="614"/>
      <c r="AG34" s="614"/>
      <c r="AH34" s="614"/>
      <c r="AI34" s="397"/>
    </row>
    <row r="35" spans="1:35" ht="15.75" x14ac:dyDescent="0.25">
      <c r="A35" s="1757"/>
      <c r="B35" s="1213"/>
      <c r="C35" s="633" t="s">
        <v>462</v>
      </c>
      <c r="D35" s="1880"/>
      <c r="F35" s="625" t="s">
        <v>5</v>
      </c>
      <c r="G35" s="593" t="s">
        <v>5</v>
      </c>
      <c r="H35" s="594" t="s">
        <v>5</v>
      </c>
      <c r="I35" s="566" t="s">
        <v>5</v>
      </c>
      <c r="J35" s="596" t="s">
        <v>5</v>
      </c>
      <c r="K35" s="626" t="s">
        <v>5</v>
      </c>
      <c r="L35" s="626"/>
      <c r="M35" s="597" t="s">
        <v>5</v>
      </c>
      <c r="N35" s="1238" t="e">
        <f>Tabel6689172627[[#This Row],[Sew. 2015]]+Tabel6689172627[[#This Row],[WW 2015]]+Tabel6689172627[[#This Row],[Other ch. 2015]]</f>
        <v>#VALUE!</v>
      </c>
      <c r="O35" s="570" t="s">
        <v>5</v>
      </c>
      <c r="P35" s="571" t="e">
        <f>436/E35</f>
        <v>#DIV/0!</v>
      </c>
      <c r="Q35" s="397"/>
      <c r="R35" s="1882"/>
      <c r="S35" s="1896"/>
      <c r="T35" s="1899"/>
      <c r="U35" s="1902"/>
      <c r="V35" s="1905"/>
      <c r="W35" s="1864"/>
      <c r="X35" s="1867"/>
      <c r="Y35" s="1870"/>
      <c r="Z35" s="1832"/>
      <c r="AA35" s="397"/>
      <c r="AB35" s="591" t="s">
        <v>429</v>
      </c>
      <c r="AC35" s="614"/>
      <c r="AD35" s="614"/>
      <c r="AE35" s="614"/>
      <c r="AF35" s="614"/>
      <c r="AG35" s="614"/>
      <c r="AH35" s="614"/>
      <c r="AI35" s="397"/>
    </row>
    <row r="36" spans="1:35" ht="16.5" thickBot="1" x14ac:dyDescent="0.3">
      <c r="A36" s="1758"/>
      <c r="B36" s="1213"/>
      <c r="C36" s="634" t="s">
        <v>1346</v>
      </c>
      <c r="D36" s="1761"/>
      <c r="F36" s="625" t="s">
        <v>5</v>
      </c>
      <c r="G36" s="593" t="s">
        <v>5</v>
      </c>
      <c r="H36" s="594" t="s">
        <v>5</v>
      </c>
      <c r="I36" s="566" t="s">
        <v>5</v>
      </c>
      <c r="J36" s="596" t="s">
        <v>5</v>
      </c>
      <c r="K36" s="626" t="s">
        <v>5</v>
      </c>
      <c r="L36" s="626"/>
      <c r="M36" s="597" t="s">
        <v>5</v>
      </c>
      <c r="N36" s="1238" t="e">
        <f>Tabel6689172627[[#This Row],[Sew. 2015]]+Tabel6689172627[[#This Row],[WW 2015]]+Tabel6689172627[[#This Row],[Other ch. 2015]]</f>
        <v>#VALUE!</v>
      </c>
      <c r="O36" s="570" t="s">
        <v>5</v>
      </c>
      <c r="P36" s="571" t="e">
        <f>842/E36</f>
        <v>#DIV/0!</v>
      </c>
      <c r="Q36" s="397"/>
      <c r="R36" s="2189"/>
      <c r="S36" s="2230"/>
      <c r="T36" s="2232"/>
      <c r="U36" s="2255"/>
      <c r="V36" s="2246"/>
      <c r="W36" s="2248"/>
      <c r="X36" s="2250"/>
      <c r="Y36" s="2252"/>
      <c r="Z36" s="1794"/>
      <c r="AA36" s="397"/>
      <c r="AB36" s="591" t="s">
        <v>429</v>
      </c>
      <c r="AC36" s="614"/>
      <c r="AD36" s="614"/>
      <c r="AE36" s="614"/>
      <c r="AF36" s="614"/>
      <c r="AG36" s="614"/>
      <c r="AH36" s="614"/>
      <c r="AI36" s="397"/>
    </row>
    <row r="37" spans="1:35" ht="18.75" customHeight="1" x14ac:dyDescent="0.25">
      <c r="A37" s="1833" t="s">
        <v>487</v>
      </c>
      <c r="B37" s="1617"/>
      <c r="C37" s="503" t="s">
        <v>481</v>
      </c>
      <c r="D37" s="2327">
        <v>11600</v>
      </c>
      <c r="F37" s="310" t="e">
        <f>132.88/E37</f>
        <v>#DIV/0!</v>
      </c>
      <c r="G37" s="311">
        <v>0</v>
      </c>
      <c r="H37" s="312">
        <v>0</v>
      </c>
      <c r="I37" s="313" t="e">
        <f>Tabel6689172627[[#This Row],[Fix.ch. 2015]]+Tabel6689172627[[#This Row],[Var. ch. 2015]]+Tabel6689172627[[#This Row],[Oth. ch. DW 2015]]</f>
        <v>#DIV/0!</v>
      </c>
      <c r="J37" s="314" t="e">
        <f>132.88/E37</f>
        <v>#DIV/0!</v>
      </c>
      <c r="K37" s="315">
        <v>0</v>
      </c>
      <c r="L37" s="315"/>
      <c r="M37" s="316">
        <v>0</v>
      </c>
      <c r="N37" s="1227" t="e">
        <f>Tabel6689172627[[#This Row],[Sew. 2015]]+Tabel6689172627[[#This Row],[WW 2015]]+Tabel6689172627[[#This Row],[Other ch. 2015]]</f>
        <v>#DIV/0!</v>
      </c>
      <c r="O37" s="317">
        <v>0</v>
      </c>
      <c r="P37" s="318" t="e">
        <f>Tabel6689172627[[#This Row],[Total. ch. DW 2015]]+Tabel6689172627[[#This Row],[Sew. 2015]]+Tabel6689172627[[#This Row],[WW 2015]]+Tabel6689172627[[#This Row],[Other ch. 2015]]+Tabel6689172627[[#This Row],[VAT 2015]]</f>
        <v>#DIV/0!</v>
      </c>
      <c r="Q37" s="397"/>
      <c r="R37" s="2309" t="e">
        <f t="shared" ref="R37:W37" si="8">SUM(F37:F41)/5</f>
        <v>#DIV/0!</v>
      </c>
      <c r="S37" s="2310">
        <f t="shared" si="8"/>
        <v>0</v>
      </c>
      <c r="T37" s="2311">
        <f t="shared" si="8"/>
        <v>0</v>
      </c>
      <c r="U37" s="2308" t="e">
        <f t="shared" si="8"/>
        <v>#DIV/0!</v>
      </c>
      <c r="V37" s="2303" t="e">
        <f t="shared" si="8"/>
        <v>#DIV/0!</v>
      </c>
      <c r="W37" s="2304">
        <f t="shared" si="8"/>
        <v>0</v>
      </c>
      <c r="X37" s="2305">
        <f>SUM(M37:M41)/5</f>
        <v>0</v>
      </c>
      <c r="Y37" s="2306">
        <f t="shared" ref="Y37:Z37" si="9">SUM(O37:O41)/5</f>
        <v>0</v>
      </c>
      <c r="Z37" s="2307" t="e">
        <f t="shared" si="9"/>
        <v>#DIV/0!</v>
      </c>
      <c r="AA37" s="397"/>
      <c r="AB37" s="396"/>
      <c r="AC37" s="398"/>
      <c r="AD37" s="398"/>
      <c r="AE37" s="398"/>
      <c r="AF37" s="398"/>
      <c r="AG37" s="398"/>
      <c r="AH37" s="398"/>
      <c r="AI37" s="397"/>
    </row>
    <row r="38" spans="1:35" ht="18.75" customHeight="1" x14ac:dyDescent="0.25">
      <c r="A38" s="2297"/>
      <c r="B38" s="1617"/>
      <c r="C38" s="503" t="s">
        <v>482</v>
      </c>
      <c r="D38" s="1837"/>
      <c r="F38" s="310" t="e">
        <f>83.04/E38</f>
        <v>#DIV/0!</v>
      </c>
      <c r="G38" s="311">
        <v>0</v>
      </c>
      <c r="H38" s="312">
        <v>0</v>
      </c>
      <c r="I38" s="313" t="e">
        <f>Tabel6689172627[[#This Row],[Fix.ch. 2015]]+Tabel6689172627[[#This Row],[Var. ch. 2015]]+Tabel6689172627[[#This Row],[Oth. ch. DW 2015]]</f>
        <v>#DIV/0!</v>
      </c>
      <c r="J38" s="314" t="e">
        <f>83.04/E38</f>
        <v>#DIV/0!</v>
      </c>
      <c r="K38" s="315">
        <v>0</v>
      </c>
      <c r="L38" s="315"/>
      <c r="M38" s="316">
        <v>0</v>
      </c>
      <c r="N38" s="1227" t="e">
        <f>Tabel6689172627[[#This Row],[Sew. 2015]]+Tabel6689172627[[#This Row],[WW 2015]]+Tabel6689172627[[#This Row],[Other ch. 2015]]</f>
        <v>#DIV/0!</v>
      </c>
      <c r="O38" s="317">
        <v>0</v>
      </c>
      <c r="P38" s="318" t="e">
        <f>Tabel6689172627[[#This Row],[Total. ch. DW 2015]]+Tabel6689172627[[#This Row],[Sew. 2015]]+Tabel6689172627[[#This Row],[WW 2015]]+Tabel6689172627[[#This Row],[Other ch. 2015]]+Tabel6689172627[[#This Row],[VAT 2015]]</f>
        <v>#DIV/0!</v>
      </c>
      <c r="Q38" s="397"/>
      <c r="R38" s="1840"/>
      <c r="S38" s="1843"/>
      <c r="T38" s="1846"/>
      <c r="U38" s="1849"/>
      <c r="V38" s="1852"/>
      <c r="W38" s="1855"/>
      <c r="X38" s="1858"/>
      <c r="Y38" s="1873"/>
      <c r="Z38" s="1876"/>
      <c r="AA38" s="397"/>
      <c r="AB38" s="396"/>
      <c r="AC38" s="398"/>
      <c r="AD38" s="398"/>
      <c r="AE38" s="398"/>
      <c r="AF38" s="398"/>
      <c r="AG38" s="398"/>
      <c r="AH38" s="398"/>
      <c r="AI38" s="397"/>
    </row>
    <row r="39" spans="1:35" ht="18.75" customHeight="1" x14ac:dyDescent="0.25">
      <c r="A39" s="2297"/>
      <c r="B39" s="1617"/>
      <c r="C39" s="503" t="s">
        <v>483</v>
      </c>
      <c r="D39" s="1837"/>
      <c r="F39" s="310" t="e">
        <f>371.52/E39</f>
        <v>#DIV/0!</v>
      </c>
      <c r="G39" s="311">
        <v>0</v>
      </c>
      <c r="H39" s="312">
        <v>0</v>
      </c>
      <c r="I39" s="313" t="e">
        <f>Tabel6689172627[[#This Row],[Fix.ch. 2015]]+Tabel6689172627[[#This Row],[Var. ch. 2015]]+Tabel6689172627[[#This Row],[Oth. ch. DW 2015]]</f>
        <v>#DIV/0!</v>
      </c>
      <c r="J39" s="314" t="e">
        <f>371.52/E39</f>
        <v>#DIV/0!</v>
      </c>
      <c r="K39" s="315">
        <v>0</v>
      </c>
      <c r="L39" s="315"/>
      <c r="M39" s="316">
        <v>0</v>
      </c>
      <c r="N39" s="1227" t="e">
        <f>Tabel6689172627[[#This Row],[Sew. 2015]]+Tabel6689172627[[#This Row],[WW 2015]]+Tabel6689172627[[#This Row],[Other ch. 2015]]</f>
        <v>#DIV/0!</v>
      </c>
      <c r="O39" s="317">
        <v>0</v>
      </c>
      <c r="P39" s="318" t="e">
        <f>Tabel6689172627[[#This Row],[Total. ch. DW 2015]]+Tabel6689172627[[#This Row],[Sew. 2015]]+Tabel6689172627[[#This Row],[WW 2015]]+Tabel6689172627[[#This Row],[Other ch. 2015]]+Tabel6689172627[[#This Row],[VAT 2015]]</f>
        <v>#DIV/0!</v>
      </c>
      <c r="Q39" s="397"/>
      <c r="R39" s="1840"/>
      <c r="S39" s="1843"/>
      <c r="T39" s="1846"/>
      <c r="U39" s="1849"/>
      <c r="V39" s="1852"/>
      <c r="W39" s="1855"/>
      <c r="X39" s="1858"/>
      <c r="Y39" s="1873"/>
      <c r="Z39" s="1876"/>
      <c r="AA39" s="397"/>
      <c r="AB39" s="396"/>
      <c r="AC39" s="398"/>
      <c r="AD39" s="398"/>
      <c r="AE39" s="396" t="s">
        <v>429</v>
      </c>
      <c r="AF39" s="398"/>
      <c r="AG39" s="398"/>
      <c r="AH39" s="398" t="s">
        <v>486</v>
      </c>
      <c r="AI39" s="397"/>
    </row>
    <row r="40" spans="1:35" ht="18.75" customHeight="1" x14ac:dyDescent="0.25">
      <c r="A40" s="2297"/>
      <c r="B40" s="1617"/>
      <c r="C40" s="503" t="s">
        <v>484</v>
      </c>
      <c r="D40" s="1837"/>
      <c r="F40" s="310" t="e">
        <f>420.12/E40</f>
        <v>#DIV/0!</v>
      </c>
      <c r="G40" s="311">
        <v>0</v>
      </c>
      <c r="H40" s="312">
        <v>0</v>
      </c>
      <c r="I40" s="313" t="e">
        <f>Tabel6689172627[[#This Row],[Fix.ch. 2015]]+Tabel6689172627[[#This Row],[Var. ch. 2015]]+Tabel6689172627[[#This Row],[Oth. ch. DW 2015]]</f>
        <v>#DIV/0!</v>
      </c>
      <c r="J40" s="314" t="e">
        <f>420.12/E40</f>
        <v>#DIV/0!</v>
      </c>
      <c r="K40" s="315">
        <v>0</v>
      </c>
      <c r="L40" s="315"/>
      <c r="M40" s="316">
        <v>0</v>
      </c>
      <c r="N40" s="1227" t="e">
        <f>Tabel6689172627[[#This Row],[Sew. 2015]]+Tabel6689172627[[#This Row],[WW 2015]]+Tabel6689172627[[#This Row],[Other ch. 2015]]</f>
        <v>#DIV/0!</v>
      </c>
      <c r="O40" s="317">
        <v>0</v>
      </c>
      <c r="P40" s="318" t="e">
        <f>Tabel6689172627[[#This Row],[Total. ch. DW 2015]]+Tabel6689172627[[#This Row],[Sew. 2015]]+Tabel6689172627[[#This Row],[WW 2015]]+Tabel6689172627[[#This Row],[Other ch. 2015]]+Tabel6689172627[[#This Row],[VAT 2015]]</f>
        <v>#DIV/0!</v>
      </c>
      <c r="Q40" s="397"/>
      <c r="R40" s="1840"/>
      <c r="S40" s="1843"/>
      <c r="T40" s="1846"/>
      <c r="U40" s="1849"/>
      <c r="V40" s="1852"/>
      <c r="W40" s="1855"/>
      <c r="X40" s="1858"/>
      <c r="Y40" s="1873"/>
      <c r="Z40" s="1876"/>
      <c r="AA40" s="397"/>
      <c r="AB40" s="396"/>
      <c r="AC40" s="398"/>
      <c r="AD40" s="398"/>
      <c r="AE40" s="398"/>
      <c r="AF40" s="398"/>
      <c r="AG40" s="398"/>
      <c r="AH40" s="398"/>
      <c r="AI40" s="397"/>
    </row>
    <row r="41" spans="1:35" ht="19.5" customHeight="1" thickBot="1" x14ac:dyDescent="0.3">
      <c r="A41" s="2298"/>
      <c r="B41" s="1617"/>
      <c r="C41" s="503" t="s">
        <v>485</v>
      </c>
      <c r="D41" s="2221"/>
      <c r="F41" s="310" t="e">
        <f>838.76/E41</f>
        <v>#DIV/0!</v>
      </c>
      <c r="G41" s="311">
        <v>0</v>
      </c>
      <c r="H41" s="312">
        <v>0</v>
      </c>
      <c r="I41" s="313" t="e">
        <f>Tabel6689172627[[#This Row],[Fix.ch. 2015]]+Tabel6689172627[[#This Row],[Var. ch. 2015]]+Tabel6689172627[[#This Row],[Oth. ch. DW 2015]]</f>
        <v>#DIV/0!</v>
      </c>
      <c r="J41" s="314" t="e">
        <f>838.76/E41</f>
        <v>#DIV/0!</v>
      </c>
      <c r="K41" s="315">
        <v>0</v>
      </c>
      <c r="L41" s="315"/>
      <c r="M41" s="316">
        <v>0</v>
      </c>
      <c r="N41" s="1227" t="e">
        <f>Tabel6689172627[[#This Row],[Sew. 2015]]+Tabel6689172627[[#This Row],[WW 2015]]+Tabel6689172627[[#This Row],[Other ch. 2015]]</f>
        <v>#DIV/0!</v>
      </c>
      <c r="O41" s="317">
        <v>0</v>
      </c>
      <c r="P41" s="318" t="e">
        <f>Tabel6689172627[[#This Row],[Total. ch. DW 2015]]+Tabel6689172627[[#This Row],[Sew. 2015]]+Tabel6689172627[[#This Row],[WW 2015]]+Tabel6689172627[[#This Row],[Other ch. 2015]]+Tabel6689172627[[#This Row],[VAT 2015]]</f>
        <v>#DIV/0!</v>
      </c>
      <c r="Q41" s="397"/>
      <c r="R41" s="2223"/>
      <c r="S41" s="2225"/>
      <c r="T41" s="2227"/>
      <c r="U41" s="2234"/>
      <c r="V41" s="2236"/>
      <c r="W41" s="2238"/>
      <c r="X41" s="2240"/>
      <c r="Y41" s="2242"/>
      <c r="Z41" s="2244"/>
      <c r="AA41" s="397"/>
      <c r="AB41" s="396"/>
      <c r="AC41" s="398"/>
      <c r="AD41" s="398"/>
      <c r="AE41" s="398"/>
      <c r="AF41" s="398"/>
      <c r="AG41" s="398"/>
      <c r="AH41" s="398"/>
      <c r="AI41" s="397"/>
    </row>
    <row r="42" spans="1:35" ht="15.75" customHeight="1" x14ac:dyDescent="0.25">
      <c r="A42" s="1833" t="s">
        <v>7</v>
      </c>
      <c r="B42" s="1617"/>
      <c r="C42" s="1434" t="s">
        <v>73</v>
      </c>
      <c r="D42" s="2210">
        <v>14400</v>
      </c>
      <c r="F42" s="310">
        <v>0</v>
      </c>
      <c r="G42" s="311" t="e">
        <f>232/E42</f>
        <v>#DIV/0!</v>
      </c>
      <c r="H42" s="312">
        <v>0</v>
      </c>
      <c r="I42" s="313" t="e">
        <f>Tabel6689172627[[#This Row],[Fix.ch. 2015]]+Tabel6689172627[[#This Row],[Var. ch. 2015]]+Tabel6689172627[[#This Row],[Oth. ch. DW 2015]]</f>
        <v>#DIV/0!</v>
      </c>
      <c r="J42" s="314" t="e">
        <f>46/E42</f>
        <v>#DIV/0!</v>
      </c>
      <c r="K42" s="315" t="e">
        <f>68/E42</f>
        <v>#DIV/0!</v>
      </c>
      <c r="L42" s="315"/>
      <c r="M42" s="316">
        <v>0</v>
      </c>
      <c r="N42" s="1227" t="e">
        <f>Tabel6689172627[[#This Row],[Sew. 2015]]+Tabel6689172627[[#This Row],[WW 2015]]+Tabel6689172627[[#This Row],[Other ch. 2015]]</f>
        <v>#DIV/0!</v>
      </c>
      <c r="O42" s="317" t="e">
        <f>69.2/E42</f>
        <v>#DIV/0!</v>
      </c>
      <c r="P42" s="318" t="e">
        <f>Tabel6689172627[[#This Row],[Total. ch. DW 2015]]+Tabel6689172627[[#This Row],[Sew. 2015]]+Tabel6689172627[[#This Row],[WW 2015]]+Tabel6689172627[[#This Row],[Other ch. 2015]]+Tabel6689172627[[#This Row],[VAT 2015]]</f>
        <v>#DIV/0!</v>
      </c>
      <c r="Q42" s="397"/>
      <c r="R42" s="2211">
        <f t="shared" ref="R42:W42" si="10">SUM(F42:F46)/5</f>
        <v>0</v>
      </c>
      <c r="S42" s="2212" t="e">
        <f t="shared" si="10"/>
        <v>#DIV/0!</v>
      </c>
      <c r="T42" s="2213">
        <f t="shared" si="10"/>
        <v>0</v>
      </c>
      <c r="U42" s="2214" t="e">
        <f t="shared" si="10"/>
        <v>#DIV/0!</v>
      </c>
      <c r="V42" s="2215" t="e">
        <f t="shared" si="10"/>
        <v>#DIV/0!</v>
      </c>
      <c r="W42" s="2216" t="e">
        <f t="shared" si="10"/>
        <v>#DIV/0!</v>
      </c>
      <c r="X42" s="2217">
        <f>SUM(M42:M46)/5</f>
        <v>0</v>
      </c>
      <c r="Y42" s="2218" t="e">
        <f t="shared" ref="Y42:Z42" si="11">SUM(O42:O46)/5</f>
        <v>#DIV/0!</v>
      </c>
      <c r="Z42" s="2219" t="e">
        <f t="shared" si="11"/>
        <v>#DIV/0!</v>
      </c>
      <c r="AA42" s="397"/>
      <c r="AB42" s="396" t="s">
        <v>429</v>
      </c>
      <c r="AC42" s="396" t="s">
        <v>429</v>
      </c>
      <c r="AD42" s="396"/>
      <c r="AE42" s="396"/>
      <c r="AF42" s="396"/>
      <c r="AG42" s="396" t="s">
        <v>429</v>
      </c>
      <c r="AH42" s="398"/>
      <c r="AI42" s="397"/>
    </row>
    <row r="43" spans="1:35" ht="15.75" customHeight="1" x14ac:dyDescent="0.25">
      <c r="A43" s="2297"/>
      <c r="B43" s="1617"/>
      <c r="C43" s="1242" t="s">
        <v>74</v>
      </c>
      <c r="D43" s="2157"/>
      <c r="F43" s="310">
        <v>0</v>
      </c>
      <c r="G43" s="311" t="e">
        <f>254/E43</f>
        <v>#DIV/0!</v>
      </c>
      <c r="H43" s="312">
        <v>0</v>
      </c>
      <c r="I43" s="313" t="e">
        <f>Tabel6689172627[[#This Row],[Fix.ch. 2015]]+Tabel6689172627[[#This Row],[Var. ch. 2015]]+Tabel6689172627[[#This Row],[Oth. ch. DW 2015]]</f>
        <v>#DIV/0!</v>
      </c>
      <c r="J43" s="314" t="e">
        <f>48/E43</f>
        <v>#DIV/0!</v>
      </c>
      <c r="K43" s="315" t="e">
        <f>122/E43</f>
        <v>#DIV/0!</v>
      </c>
      <c r="L43" s="315"/>
      <c r="M43" s="316">
        <v>0</v>
      </c>
      <c r="N43" s="1227" t="e">
        <f>Tabel6689172627[[#This Row],[Sew. 2015]]+Tabel6689172627[[#This Row],[WW 2015]]+Tabel6689172627[[#This Row],[Other ch. 2015]]</f>
        <v>#DIV/0!</v>
      </c>
      <c r="O43" s="317" t="e">
        <f>84.8/E43</f>
        <v>#DIV/0!</v>
      </c>
      <c r="P43" s="318" t="e">
        <f>Tabel6689172627[[#This Row],[Total. ch. DW 2015]]+Tabel6689172627[[#This Row],[Sew. 2015]]+Tabel6689172627[[#This Row],[WW 2015]]+Tabel6689172627[[#This Row],[Other ch. 2015]]+Tabel6689172627[[#This Row],[VAT 2015]]</f>
        <v>#DIV/0!</v>
      </c>
      <c r="Q43" s="397"/>
      <c r="R43" s="2158"/>
      <c r="S43" s="2159"/>
      <c r="T43" s="2160"/>
      <c r="U43" s="2141"/>
      <c r="V43" s="2142"/>
      <c r="W43" s="2143"/>
      <c r="X43" s="2144"/>
      <c r="Y43" s="2145"/>
      <c r="Z43" s="2146"/>
      <c r="AA43" s="397"/>
      <c r="AB43" s="396" t="s">
        <v>429</v>
      </c>
      <c r="AC43" s="396" t="s">
        <v>429</v>
      </c>
      <c r="AD43" s="396"/>
      <c r="AE43" s="396"/>
      <c r="AF43" s="396"/>
      <c r="AG43" s="396" t="s">
        <v>429</v>
      </c>
      <c r="AH43" s="398"/>
      <c r="AI43" s="397"/>
    </row>
    <row r="44" spans="1:35" ht="15.75" customHeight="1" x14ac:dyDescent="0.25">
      <c r="A44" s="2297"/>
      <c r="B44" s="1617"/>
      <c r="C44" s="1242" t="s">
        <v>75</v>
      </c>
      <c r="D44" s="2157"/>
      <c r="F44" s="310">
        <v>0</v>
      </c>
      <c r="G44" s="311" t="e">
        <f>334/E44</f>
        <v>#DIV/0!</v>
      </c>
      <c r="H44" s="312">
        <v>0</v>
      </c>
      <c r="I44" s="313" t="e">
        <f>Tabel6689172627[[#This Row],[Fix.ch. 2015]]+Tabel6689172627[[#This Row],[Var. ch. 2015]]+Tabel6689172627[[#This Row],[Oth. ch. DW 2015]]</f>
        <v>#DIV/0!</v>
      </c>
      <c r="J44" s="314" t="e">
        <f>24/E44</f>
        <v>#DIV/0!</v>
      </c>
      <c r="K44" s="315" t="e">
        <f>38/E44</f>
        <v>#DIV/0!</v>
      </c>
      <c r="L44" s="315"/>
      <c r="M44" s="316">
        <v>0</v>
      </c>
      <c r="N44" s="1227" t="e">
        <f>Tabel6689172627[[#This Row],[Sew. 2015]]+Tabel6689172627[[#This Row],[WW 2015]]+Tabel6689172627[[#This Row],[Other ch. 2015]]</f>
        <v>#DIV/0!</v>
      </c>
      <c r="O44" s="317" t="e">
        <f>79.2/E44</f>
        <v>#DIV/0!</v>
      </c>
      <c r="P44" s="318" t="e">
        <f>Tabel6689172627[[#This Row],[Total. ch. DW 2015]]+Tabel6689172627[[#This Row],[Sew. 2015]]+Tabel6689172627[[#This Row],[WW 2015]]+Tabel6689172627[[#This Row],[Other ch. 2015]]+Tabel6689172627[[#This Row],[VAT 2015]]</f>
        <v>#DIV/0!</v>
      </c>
      <c r="Q44" s="397"/>
      <c r="R44" s="2158"/>
      <c r="S44" s="2159"/>
      <c r="T44" s="2160"/>
      <c r="U44" s="2141"/>
      <c r="V44" s="2142"/>
      <c r="W44" s="2143"/>
      <c r="X44" s="2144"/>
      <c r="Y44" s="2145"/>
      <c r="Z44" s="2146"/>
      <c r="AA44" s="397"/>
      <c r="AB44" s="396" t="s">
        <v>429</v>
      </c>
      <c r="AC44" s="396" t="s">
        <v>429</v>
      </c>
      <c r="AD44" s="396"/>
      <c r="AE44" s="396"/>
      <c r="AF44" s="396"/>
      <c r="AG44" s="396" t="s">
        <v>429</v>
      </c>
      <c r="AH44" s="398"/>
      <c r="AI44" s="397"/>
    </row>
    <row r="45" spans="1:35" ht="15.75" customHeight="1" x14ac:dyDescent="0.25">
      <c r="A45" s="2297"/>
      <c r="B45" s="1617"/>
      <c r="C45" s="1242" t="s">
        <v>76</v>
      </c>
      <c r="D45" s="2157"/>
      <c r="F45" s="310">
        <v>0</v>
      </c>
      <c r="G45" s="311" t="e">
        <f>476/E45</f>
        <v>#DIV/0!</v>
      </c>
      <c r="H45" s="312">
        <v>0</v>
      </c>
      <c r="I45" s="313" t="e">
        <f>Tabel6689172627[[#This Row],[Fix.ch. 2015]]+Tabel6689172627[[#This Row],[Var. ch. 2015]]+Tabel6689172627[[#This Row],[Oth. ch. DW 2015]]</f>
        <v>#DIV/0!</v>
      </c>
      <c r="J45" s="314" t="e">
        <f>26/E45</f>
        <v>#DIV/0!</v>
      </c>
      <c r="K45" s="315" t="e">
        <f>36/E45</f>
        <v>#DIV/0!</v>
      </c>
      <c r="L45" s="315"/>
      <c r="M45" s="316">
        <v>0</v>
      </c>
      <c r="N45" s="1227" t="e">
        <f>Tabel6689172627[[#This Row],[Sew. 2015]]+Tabel6689172627[[#This Row],[WW 2015]]+Tabel6689172627[[#This Row],[Other ch. 2015]]</f>
        <v>#DIV/0!</v>
      </c>
      <c r="O45" s="317" t="e">
        <f>107.6/E45</f>
        <v>#DIV/0!</v>
      </c>
      <c r="P45" s="318" t="e">
        <f>Tabel6689172627[[#This Row],[Total. ch. DW 2015]]+Tabel6689172627[[#This Row],[Sew. 2015]]+Tabel6689172627[[#This Row],[WW 2015]]+Tabel6689172627[[#This Row],[Other ch. 2015]]+Tabel6689172627[[#This Row],[VAT 2015]]</f>
        <v>#DIV/0!</v>
      </c>
      <c r="Q45" s="397"/>
      <c r="R45" s="2158"/>
      <c r="S45" s="2159"/>
      <c r="T45" s="2160"/>
      <c r="U45" s="2141"/>
      <c r="V45" s="2142"/>
      <c r="W45" s="2143"/>
      <c r="X45" s="2144"/>
      <c r="Y45" s="2145"/>
      <c r="Z45" s="2146"/>
      <c r="AA45" s="397"/>
      <c r="AB45" s="396" t="s">
        <v>429</v>
      </c>
      <c r="AC45" s="396" t="s">
        <v>429</v>
      </c>
      <c r="AD45" s="396"/>
      <c r="AE45" s="396"/>
      <c r="AF45" s="396"/>
      <c r="AG45" s="396" t="s">
        <v>429</v>
      </c>
      <c r="AH45" s="398"/>
      <c r="AI45" s="397"/>
    </row>
    <row r="46" spans="1:35" ht="16.5" customHeight="1" thickBot="1" x14ac:dyDescent="0.3">
      <c r="A46" s="2298"/>
      <c r="B46" s="1617"/>
      <c r="C46" s="1242" t="s">
        <v>77</v>
      </c>
      <c r="D46" s="2221"/>
      <c r="F46" s="310">
        <v>0</v>
      </c>
      <c r="G46" s="311" t="e">
        <f>420/E46</f>
        <v>#DIV/0!</v>
      </c>
      <c r="H46" s="312">
        <v>0</v>
      </c>
      <c r="I46" s="313" t="e">
        <f>Tabel6689172627[[#This Row],[Fix.ch. 2015]]+Tabel6689172627[[#This Row],[Var. ch. 2015]]+Tabel6689172627[[#This Row],[Oth. ch. DW 2015]]</f>
        <v>#DIV/0!</v>
      </c>
      <c r="J46" s="314" t="e">
        <f>12/E46</f>
        <v>#DIV/0!</v>
      </c>
      <c r="K46" s="315" t="e">
        <f>76/E46</f>
        <v>#DIV/0!</v>
      </c>
      <c r="L46" s="315"/>
      <c r="M46" s="316">
        <v>0</v>
      </c>
      <c r="N46" s="1227" t="e">
        <f>Tabel6689172627[[#This Row],[Sew. 2015]]+Tabel6689172627[[#This Row],[WW 2015]]+Tabel6689172627[[#This Row],[Other ch. 2015]]</f>
        <v>#DIV/0!</v>
      </c>
      <c r="O46" s="317" t="e">
        <f>108/E46</f>
        <v>#DIV/0!</v>
      </c>
      <c r="P46" s="318" t="e">
        <f>Tabel6689172627[[#This Row],[Total. ch. DW 2015]]+Tabel6689172627[[#This Row],[Sew. 2015]]+Tabel6689172627[[#This Row],[WW 2015]]+Tabel6689172627[[#This Row],[Other ch. 2015]]+Tabel6689172627[[#This Row],[VAT 2015]]</f>
        <v>#DIV/0!</v>
      </c>
      <c r="Q46" s="397"/>
      <c r="R46" s="2223"/>
      <c r="S46" s="2225"/>
      <c r="T46" s="2227"/>
      <c r="U46" s="2234"/>
      <c r="V46" s="2236"/>
      <c r="W46" s="2238"/>
      <c r="X46" s="2240"/>
      <c r="Y46" s="2242"/>
      <c r="Z46" s="2244"/>
      <c r="AA46" s="397"/>
      <c r="AB46" s="396" t="s">
        <v>429</v>
      </c>
      <c r="AC46" s="396" t="s">
        <v>429</v>
      </c>
      <c r="AD46" s="396"/>
      <c r="AE46" s="396"/>
      <c r="AF46" s="396"/>
      <c r="AG46" s="396" t="s">
        <v>429</v>
      </c>
      <c r="AH46" s="398"/>
      <c r="AI46" s="397"/>
    </row>
    <row r="47" spans="1:35" ht="16.5" customHeight="1" thickBot="1" x14ac:dyDescent="0.3">
      <c r="A47" s="1205" t="s">
        <v>501</v>
      </c>
      <c r="B47" s="1617"/>
      <c r="C47" s="1045" t="s">
        <v>504</v>
      </c>
      <c r="D47" s="1243">
        <v>1500</v>
      </c>
      <c r="F47" s="310" t="e">
        <f>12000/E47</f>
        <v>#DIV/0!</v>
      </c>
      <c r="G47" s="311" t="e">
        <f>64348/E47</f>
        <v>#DIV/0!</v>
      </c>
      <c r="H47" s="312">
        <v>0</v>
      </c>
      <c r="I47" s="313" t="e">
        <f>Tabel6689172627[[#This Row],[Fix.ch. 2015]]+Tabel6689172627[[#This Row],[Var. ch. 2015]]+Tabel6689172627[[#This Row],[Oth. ch. DW 2015]]</f>
        <v>#DIV/0!</v>
      </c>
      <c r="J47" s="314" t="e">
        <f>12000/E47</f>
        <v>#DIV/0!</v>
      </c>
      <c r="K47" s="315">
        <v>0</v>
      </c>
      <c r="L47" s="315"/>
      <c r="M47" s="316">
        <v>0</v>
      </c>
      <c r="N47" s="1227" t="e">
        <f>Tabel6689172627[[#This Row],[Sew. 2015]]+Tabel6689172627[[#This Row],[WW 2015]]+Tabel6689172627[[#This Row],[Other ch. 2015]]</f>
        <v>#DIV/0!</v>
      </c>
      <c r="O47" s="317" t="e">
        <f>15903/E47</f>
        <v>#DIV/0!</v>
      </c>
      <c r="P47" s="318" t="e">
        <f>Tabel6689172627[[#This Row],[Total. ch. DW 2015]]+Tabel6689172627[[#This Row],[Sew. 2015]]+Tabel6689172627[[#This Row],[WW 2015]]+Tabel6689172627[[#This Row],[Other ch. 2015]]+Tabel6689172627[[#This Row],[VAT 2015]]</f>
        <v>#DIV/0!</v>
      </c>
      <c r="Q47" s="397"/>
      <c r="R47" s="1183" t="e">
        <f>Tabel6689172627[[#This Row],[Fix.ch. 2015]]</f>
        <v>#DIV/0!</v>
      </c>
      <c r="S47" s="1184" t="e">
        <f>Tabel6689172627[[#This Row],[Var. ch. 2015]]</f>
        <v>#DIV/0!</v>
      </c>
      <c r="T47" s="1185">
        <v>0</v>
      </c>
      <c r="U47" s="1186" t="e">
        <f>Tabel6689172627[[#This Row],[Total. ch. DW 2015]]</f>
        <v>#DIV/0!</v>
      </c>
      <c r="V47" s="1187" t="e">
        <f>Tabel6689172627[[#This Row],[Sew. 2015]]</f>
        <v>#DIV/0!</v>
      </c>
      <c r="W47" s="1188">
        <v>0</v>
      </c>
      <c r="X47" s="1189">
        <v>0</v>
      </c>
      <c r="Y47" s="1192" t="e">
        <f>Tabel6689172627[[#This Row],[VAT 2015]]</f>
        <v>#DIV/0!</v>
      </c>
      <c r="Z47" s="1193" t="e">
        <f>Tabel6689172627[[#This Row],[total charge 2015]]</f>
        <v>#DIV/0!</v>
      </c>
      <c r="AA47" s="397"/>
      <c r="AB47" s="396"/>
      <c r="AC47" s="396"/>
      <c r="AD47" s="396"/>
      <c r="AE47" s="396" t="s">
        <v>429</v>
      </c>
      <c r="AF47" s="396" t="s">
        <v>429</v>
      </c>
      <c r="AG47" s="396"/>
      <c r="AH47" s="398"/>
      <c r="AI47" s="397"/>
    </row>
    <row r="48" spans="1:35" ht="16.5" customHeight="1" x14ac:dyDescent="0.25">
      <c r="A48" s="1878" t="s">
        <v>343</v>
      </c>
      <c r="B48" s="1213"/>
      <c r="C48" s="806" t="s">
        <v>548</v>
      </c>
      <c r="D48" s="1759">
        <v>45900</v>
      </c>
      <c r="F48" s="625" t="e">
        <f>189.6/E48</f>
        <v>#DIV/0!</v>
      </c>
      <c r="G48" s="593" t="e">
        <f>353.96/E48</f>
        <v>#DIV/0!</v>
      </c>
      <c r="H48" s="594">
        <v>0</v>
      </c>
      <c r="I48" s="566" t="e">
        <f>Tabel6689172627[[#This Row],[Fix.ch. 2015]]+Tabel6689172627[[#This Row],[Var. ch. 2015]]+Tabel6689172627[[#This Row],[Oth. ch. DW 2015]]</f>
        <v>#DIV/0!</v>
      </c>
      <c r="J48" s="596">
        <v>0</v>
      </c>
      <c r="K48" s="626" t="e">
        <f>467.8/E48</f>
        <v>#DIV/0!</v>
      </c>
      <c r="L48" s="626"/>
      <c r="M48" s="597">
        <v>0</v>
      </c>
      <c r="N48" s="1238" t="e">
        <f>Tabel6689172627[[#This Row],[Sew. 2015]]+Tabel6689172627[[#This Row],[WW 2015]]+Tabel6689172627[[#This Row],[Other ch. 2015]]</f>
        <v>#DIV/0!</v>
      </c>
      <c r="O48" s="570">
        <v>0</v>
      </c>
      <c r="P48" s="571" t="e">
        <f>Tabel6689172627[[#This Row],[Total. ch. DW 2015]]+Tabel6689172627[[#This Row],[Sew. 2015]]+Tabel6689172627[[#This Row],[WW 2015]]+Tabel6689172627[[#This Row],[Other ch. 2015]]+Tabel6689172627[[#This Row],[VAT 2015]]</f>
        <v>#DIV/0!</v>
      </c>
      <c r="Q48" s="397"/>
      <c r="R48" s="1762" t="e">
        <f t="shared" ref="R48:W48" si="12">SUM(F48:F52)/5</f>
        <v>#DIV/0!</v>
      </c>
      <c r="S48" s="1765" t="e">
        <f t="shared" si="12"/>
        <v>#DIV/0!</v>
      </c>
      <c r="T48" s="1768">
        <f t="shared" si="12"/>
        <v>0</v>
      </c>
      <c r="U48" s="1774" t="e">
        <f t="shared" si="12"/>
        <v>#DIV/0!</v>
      </c>
      <c r="V48" s="1777">
        <f t="shared" si="12"/>
        <v>0</v>
      </c>
      <c r="W48" s="1810" t="e">
        <f t="shared" si="12"/>
        <v>#DIV/0!</v>
      </c>
      <c r="X48" s="1812">
        <f>SUM(M48:M52)/5</f>
        <v>0</v>
      </c>
      <c r="Y48" s="1814">
        <f t="shared" ref="Y48" si="13">SUM(O48:O52)/5</f>
        <v>0</v>
      </c>
      <c r="Z48" s="1793" t="e">
        <f>SUM(P48:P52)/5</f>
        <v>#DIV/0!</v>
      </c>
      <c r="AA48" s="397"/>
      <c r="AB48" s="591"/>
      <c r="AC48" s="591" t="s">
        <v>429</v>
      </c>
      <c r="AD48" s="591"/>
      <c r="AE48" s="591"/>
      <c r="AF48" s="591" t="s">
        <v>429</v>
      </c>
      <c r="AG48" s="591" t="s">
        <v>429</v>
      </c>
      <c r="AH48" s="614"/>
      <c r="AI48" s="397"/>
    </row>
    <row r="49" spans="1:35" ht="16.5" customHeight="1" x14ac:dyDescent="0.25">
      <c r="A49" s="1757"/>
      <c r="B49" s="1213"/>
      <c r="C49" s="724" t="s">
        <v>549</v>
      </c>
      <c r="D49" s="1760"/>
      <c r="F49" s="625" t="e">
        <f>130.2/E49</f>
        <v>#DIV/0!</v>
      </c>
      <c r="G49" s="593" t="e">
        <f>290/E49</f>
        <v>#DIV/0!</v>
      </c>
      <c r="H49" s="594">
        <v>0</v>
      </c>
      <c r="I49" s="566" t="e">
        <f>Tabel6689172627[[#This Row],[Fix.ch. 2015]]+Tabel6689172627[[#This Row],[Var. ch. 2015]]+Tabel6689172627[[#This Row],[Oth. ch. DW 2015]]</f>
        <v>#DIV/0!</v>
      </c>
      <c r="J49" s="596">
        <v>0</v>
      </c>
      <c r="K49" s="626" t="e">
        <f>456/E49</f>
        <v>#DIV/0!</v>
      </c>
      <c r="L49" s="626"/>
      <c r="M49" s="597">
        <v>0</v>
      </c>
      <c r="N49" s="1238" t="e">
        <f>Tabel6689172627[[#This Row],[Sew. 2015]]+Tabel6689172627[[#This Row],[WW 2015]]+Tabel6689172627[[#This Row],[Other ch. 2015]]</f>
        <v>#DIV/0!</v>
      </c>
      <c r="O49" s="570">
        <v>0</v>
      </c>
      <c r="P49" s="571" t="e">
        <f>Tabel6689172627[[#This Row],[Total. ch. DW 2015]]+Tabel6689172627[[#This Row],[Sew. 2015]]+Tabel6689172627[[#This Row],[WW 2015]]+Tabel6689172627[[#This Row],[Other ch. 2015]]+Tabel6689172627[[#This Row],[VAT 2015]]</f>
        <v>#DIV/0!</v>
      </c>
      <c r="Q49" s="397"/>
      <c r="R49" s="1763"/>
      <c r="S49" s="1766"/>
      <c r="T49" s="1769"/>
      <c r="U49" s="1775"/>
      <c r="V49" s="1778"/>
      <c r="W49" s="1781"/>
      <c r="X49" s="1785"/>
      <c r="Y49" s="1788"/>
      <c r="Z49" s="1791"/>
      <c r="AA49" s="397"/>
      <c r="AB49" s="591"/>
      <c r="AC49" s="591"/>
      <c r="AD49" s="591" t="s">
        <v>429</v>
      </c>
      <c r="AE49" s="591"/>
      <c r="AF49" s="591" t="s">
        <v>429</v>
      </c>
      <c r="AG49" s="591" t="s">
        <v>429</v>
      </c>
      <c r="AH49" s="614"/>
      <c r="AI49" s="397"/>
    </row>
    <row r="50" spans="1:35" ht="16.5" customHeight="1" x14ac:dyDescent="0.25">
      <c r="A50" s="1757"/>
      <c r="B50" s="1213"/>
      <c r="C50" s="724" t="s">
        <v>722</v>
      </c>
      <c r="D50" s="1760"/>
      <c r="F50" s="625" t="e">
        <f>105.6/E50</f>
        <v>#DIV/0!</v>
      </c>
      <c r="G50" s="593" t="e">
        <f>290/E50</f>
        <v>#DIV/0!</v>
      </c>
      <c r="H50" s="594">
        <v>0</v>
      </c>
      <c r="I50" s="566" t="e">
        <f>Tabel6689172627[[#This Row],[Fix.ch. 2015]]+Tabel6689172627[[#This Row],[Var. ch. 2015]]+Tabel6689172627[[#This Row],[Oth. ch. DW 2015]]</f>
        <v>#DIV/0!</v>
      </c>
      <c r="J50" s="596">
        <v>0</v>
      </c>
      <c r="K50" s="626" t="e">
        <f>285.6/E50</f>
        <v>#DIV/0!</v>
      </c>
      <c r="L50" s="626"/>
      <c r="M50" s="597">
        <v>0</v>
      </c>
      <c r="N50" s="1238" t="e">
        <f>Tabel6689172627[[#This Row],[Sew. 2015]]+Tabel6689172627[[#This Row],[WW 2015]]+Tabel6689172627[[#This Row],[Other ch. 2015]]</f>
        <v>#DIV/0!</v>
      </c>
      <c r="O50" s="570">
        <v>0</v>
      </c>
      <c r="P50" s="571" t="e">
        <f>Tabel6689172627[[#This Row],[Total. ch. DW 2015]]+Tabel6689172627[[#This Row],[Sew. 2015]]+Tabel6689172627[[#This Row],[WW 2015]]+Tabel6689172627[[#This Row],[Other ch. 2015]]+Tabel6689172627[[#This Row],[VAT 2015]]</f>
        <v>#DIV/0!</v>
      </c>
      <c r="Q50" s="397"/>
      <c r="R50" s="1763"/>
      <c r="S50" s="1766"/>
      <c r="T50" s="1769"/>
      <c r="U50" s="1775"/>
      <c r="V50" s="1778"/>
      <c r="W50" s="1781"/>
      <c r="X50" s="1785"/>
      <c r="Y50" s="1788"/>
      <c r="Z50" s="1791"/>
      <c r="AA50" s="397"/>
      <c r="AB50" s="591"/>
      <c r="AC50" s="591"/>
      <c r="AD50" s="591"/>
      <c r="AE50" s="591" t="s">
        <v>429</v>
      </c>
      <c r="AF50" s="591" t="s">
        <v>429</v>
      </c>
      <c r="AG50" s="591" t="s">
        <v>429</v>
      </c>
      <c r="AH50" s="614"/>
      <c r="AI50" s="397"/>
    </row>
    <row r="51" spans="1:35" ht="16.5" customHeight="1" x14ac:dyDescent="0.25">
      <c r="A51" s="1757"/>
      <c r="B51" s="1213"/>
      <c r="C51" s="724" t="s">
        <v>723</v>
      </c>
      <c r="D51" s="1760"/>
      <c r="F51" s="625" t="e">
        <f>568/E51</f>
        <v>#DIV/0!</v>
      </c>
      <c r="G51" s="593">
        <f>0</f>
        <v>0</v>
      </c>
      <c r="H51" s="594">
        <v>0</v>
      </c>
      <c r="I51" s="566" t="e">
        <f>Tabel6689172627[[#This Row],[Fix.ch. 2015]]+Tabel6689172627[[#This Row],[Var. ch. 2015]]+Tabel6689172627[[#This Row],[Oth. ch. DW 2015]]</f>
        <v>#DIV/0!</v>
      </c>
      <c r="J51" s="596">
        <v>0</v>
      </c>
      <c r="K51" s="626" t="e">
        <f>314/E51</f>
        <v>#DIV/0!</v>
      </c>
      <c r="L51" s="626"/>
      <c r="M51" s="597">
        <v>0</v>
      </c>
      <c r="N51" s="1238" t="e">
        <f>Tabel6689172627[[#This Row],[Sew. 2015]]+Tabel6689172627[[#This Row],[WW 2015]]+Tabel6689172627[[#This Row],[Other ch. 2015]]</f>
        <v>#DIV/0!</v>
      </c>
      <c r="O51" s="570">
        <v>0</v>
      </c>
      <c r="P51" s="571" t="e">
        <f>Tabel6689172627[[#This Row],[Total. ch. DW 2015]]+Tabel6689172627[[#This Row],[Sew. 2015]]+Tabel6689172627[[#This Row],[WW 2015]]+Tabel6689172627[[#This Row],[Other ch. 2015]]+Tabel6689172627[[#This Row],[VAT 2015]]</f>
        <v>#DIV/0!</v>
      </c>
      <c r="Q51" s="397"/>
      <c r="R51" s="1763"/>
      <c r="S51" s="1766"/>
      <c r="T51" s="1769"/>
      <c r="U51" s="1775"/>
      <c r="V51" s="1778"/>
      <c r="W51" s="1781"/>
      <c r="X51" s="1785"/>
      <c r="Y51" s="1788"/>
      <c r="Z51" s="1791"/>
      <c r="AA51" s="397"/>
      <c r="AB51" s="591" t="s">
        <v>429</v>
      </c>
      <c r="AC51" s="591"/>
      <c r="AD51" s="591"/>
      <c r="AE51" s="591"/>
      <c r="AF51" s="591" t="s">
        <v>429</v>
      </c>
      <c r="AG51" s="591" t="s">
        <v>429</v>
      </c>
      <c r="AH51" s="614"/>
      <c r="AI51" s="397"/>
    </row>
    <row r="52" spans="1:35" ht="16.5" customHeight="1" thickBot="1" x14ac:dyDescent="0.3">
      <c r="A52" s="1758"/>
      <c r="B52" s="1213"/>
      <c r="C52" s="807" t="s">
        <v>552</v>
      </c>
      <c r="D52" s="1761"/>
      <c r="F52" s="625" t="e">
        <f>190.32/E52</f>
        <v>#DIV/0!</v>
      </c>
      <c r="G52" s="593" t="e">
        <f>188.8/E52</f>
        <v>#DIV/0!</v>
      </c>
      <c r="H52" s="594">
        <v>0</v>
      </c>
      <c r="I52" s="566" t="e">
        <f>Tabel6689172627[[#This Row],[Fix.ch. 2015]]+Tabel6689172627[[#This Row],[Var. ch. 2015]]+Tabel6689172627[[#This Row],[Oth. ch. DW 2015]]</f>
        <v>#DIV/0!</v>
      </c>
      <c r="J52" s="596">
        <v>0</v>
      </c>
      <c r="K52" s="626" t="e">
        <f>395.69/E52</f>
        <v>#DIV/0!</v>
      </c>
      <c r="L52" s="626"/>
      <c r="M52" s="597">
        <v>0</v>
      </c>
      <c r="N52" s="1238" t="e">
        <f>Tabel6689172627[[#This Row],[Sew. 2015]]+Tabel6689172627[[#This Row],[WW 2015]]+Tabel6689172627[[#This Row],[Other ch. 2015]]</f>
        <v>#DIV/0!</v>
      </c>
      <c r="O52" s="570">
        <v>0</v>
      </c>
      <c r="P52" s="571" t="e">
        <f>Tabel6689172627[[#This Row],[Total. ch. DW 2015]]+Tabel6689172627[[#This Row],[Sew. 2015]]+Tabel6689172627[[#This Row],[WW 2015]]+Tabel6689172627[[#This Row],[Other ch. 2015]]+Tabel6689172627[[#This Row],[VAT 2015]]</f>
        <v>#DIV/0!</v>
      </c>
      <c r="Q52" s="397"/>
      <c r="R52" s="1764"/>
      <c r="S52" s="1767"/>
      <c r="T52" s="1770"/>
      <c r="U52" s="1776"/>
      <c r="V52" s="1779"/>
      <c r="W52" s="1811"/>
      <c r="X52" s="1813"/>
      <c r="Y52" s="1815"/>
      <c r="Z52" s="1794"/>
      <c r="AA52" s="397"/>
      <c r="AB52" s="591"/>
      <c r="AC52" s="591"/>
      <c r="AD52" s="591" t="s">
        <v>429</v>
      </c>
      <c r="AE52" s="591"/>
      <c r="AF52" s="591" t="s">
        <v>429</v>
      </c>
      <c r="AG52" s="591" t="s">
        <v>429</v>
      </c>
      <c r="AH52" s="614"/>
      <c r="AI52" s="397"/>
    </row>
    <row r="53" spans="1:35" ht="16.5" customHeight="1" x14ac:dyDescent="0.25">
      <c r="A53" s="1818" t="s">
        <v>489</v>
      </c>
      <c r="B53" s="1213"/>
      <c r="C53" s="735" t="s">
        <v>728</v>
      </c>
      <c r="D53" s="1760">
        <v>23800</v>
      </c>
      <c r="F53" s="625" t="e">
        <f>10990/E53</f>
        <v>#DIV/0!</v>
      </c>
      <c r="G53" s="593" t="e">
        <f>284335/E53</f>
        <v>#DIV/0!</v>
      </c>
      <c r="H53" s="594">
        <v>0</v>
      </c>
      <c r="I53" s="566" t="e">
        <f>Tabel6689172627[[#This Row],[Fix.ch. 2015]]+Tabel6689172627[[#This Row],[Var. ch. 2015]]+Tabel6689172627[[#This Row],[Oth. ch. DW 2015]]</f>
        <v>#DIV/0!</v>
      </c>
      <c r="J53" s="596" t="e">
        <f>64761/E53</f>
        <v>#DIV/0!</v>
      </c>
      <c r="K53" s="626">
        <v>0</v>
      </c>
      <c r="L53" s="626"/>
      <c r="M53" s="597">
        <v>0</v>
      </c>
      <c r="N53" s="1238" t="e">
        <f>Tabel6689172627[[#This Row],[Sew. 2015]]+Tabel6689172627[[#This Row],[WW 2015]]+Tabel6689172627[[#This Row],[Other ch. 2015]]</f>
        <v>#DIV/0!</v>
      </c>
      <c r="O53" s="570">
        <v>0</v>
      </c>
      <c r="P53" s="571" t="e">
        <f>Tabel6689172627[[#This Row],[Total. ch. DW 2015]]+Tabel6689172627[[#This Row],[Sew. 2015]]+Tabel6689172627[[#This Row],[WW 2015]]+Tabel6689172627[[#This Row],[Other ch. 2015]]+Tabel6689172627[[#This Row],[VAT 2015]]</f>
        <v>#DIV/0!</v>
      </c>
      <c r="Q53" s="397"/>
      <c r="R53" s="1762" t="e">
        <f t="shared" ref="R53:W53" si="14">SUM(F53:F58)/6</f>
        <v>#DIV/0!</v>
      </c>
      <c r="S53" s="1765" t="e">
        <f t="shared" si="14"/>
        <v>#DIV/0!</v>
      </c>
      <c r="T53" s="1768">
        <f t="shared" si="14"/>
        <v>0</v>
      </c>
      <c r="U53" s="1774" t="e">
        <f t="shared" si="14"/>
        <v>#DIV/0!</v>
      </c>
      <c r="V53" s="1777" t="e">
        <f t="shared" si="14"/>
        <v>#DIV/0!</v>
      </c>
      <c r="W53" s="1810">
        <f t="shared" si="14"/>
        <v>0</v>
      </c>
      <c r="X53" s="1812">
        <f>SUM(M53:M58)/6</f>
        <v>0</v>
      </c>
      <c r="Y53" s="1814">
        <f t="shared" ref="Y53:Z53" si="15">SUM(O53:O58)/6</f>
        <v>0</v>
      </c>
      <c r="Z53" s="1793" t="e">
        <f t="shared" si="15"/>
        <v>#DIV/0!</v>
      </c>
      <c r="AA53" s="397"/>
      <c r="AB53" s="396"/>
      <c r="AC53" s="396"/>
      <c r="AD53" s="396"/>
      <c r="AE53" s="396"/>
      <c r="AF53" s="396"/>
      <c r="AG53" s="396"/>
      <c r="AH53" s="398"/>
      <c r="AI53" s="397"/>
    </row>
    <row r="54" spans="1:35" ht="16.5" customHeight="1" x14ac:dyDescent="0.25">
      <c r="A54" s="2294"/>
      <c r="B54" s="1213"/>
      <c r="C54" s="735" t="s">
        <v>492</v>
      </c>
      <c r="D54" s="1760"/>
      <c r="F54" s="625" t="e">
        <f>12717/E54</f>
        <v>#DIV/0!</v>
      </c>
      <c r="G54" s="593" t="e">
        <f>135129/E54</f>
        <v>#DIV/0!</v>
      </c>
      <c r="H54" s="594">
        <v>0</v>
      </c>
      <c r="I54" s="566" t="e">
        <f>Tabel6689172627[[#This Row],[Fix.ch. 2015]]+Tabel6689172627[[#This Row],[Var. ch. 2015]]+Tabel6689172627[[#This Row],[Oth. ch. DW 2015]]</f>
        <v>#DIV/0!</v>
      </c>
      <c r="J54" s="596" t="e">
        <f>99461/E54</f>
        <v>#DIV/0!</v>
      </c>
      <c r="K54" s="626">
        <v>0</v>
      </c>
      <c r="L54" s="626"/>
      <c r="M54" s="597">
        <v>0</v>
      </c>
      <c r="N54" s="1238" t="e">
        <f>Tabel6689172627[[#This Row],[Sew. 2015]]+Tabel6689172627[[#This Row],[WW 2015]]+Tabel6689172627[[#This Row],[Other ch. 2015]]</f>
        <v>#DIV/0!</v>
      </c>
      <c r="O54" s="570">
        <v>0</v>
      </c>
      <c r="P54" s="571" t="e">
        <f>Tabel6689172627[[#This Row],[Total. ch. DW 2015]]+Tabel6689172627[[#This Row],[Sew. 2015]]+Tabel6689172627[[#This Row],[WW 2015]]+Tabel6689172627[[#This Row],[Other ch. 2015]]+Tabel6689172627[[#This Row],[VAT 2015]]</f>
        <v>#DIV/0!</v>
      </c>
      <c r="Q54" s="397"/>
      <c r="R54" s="1763"/>
      <c r="S54" s="1766"/>
      <c r="T54" s="1769"/>
      <c r="U54" s="1775"/>
      <c r="V54" s="1778"/>
      <c r="W54" s="1781"/>
      <c r="X54" s="1785"/>
      <c r="Y54" s="1788"/>
      <c r="Z54" s="1791"/>
      <c r="AA54" s="397"/>
      <c r="AB54" s="396"/>
      <c r="AC54" s="396"/>
      <c r="AD54" s="396"/>
      <c r="AE54" s="396"/>
      <c r="AF54" s="396"/>
      <c r="AG54" s="396"/>
      <c r="AH54" s="398"/>
      <c r="AI54" s="397"/>
    </row>
    <row r="55" spans="1:35" ht="16.5" customHeight="1" x14ac:dyDescent="0.25">
      <c r="A55" s="2294"/>
      <c r="B55" s="1213"/>
      <c r="C55" s="735" t="s">
        <v>729</v>
      </c>
      <c r="D55" s="1760"/>
      <c r="F55" s="625" t="e">
        <f>12717/E55</f>
        <v>#DIV/0!</v>
      </c>
      <c r="G55" s="593" t="e">
        <f>135129/E55</f>
        <v>#DIV/0!</v>
      </c>
      <c r="H55" s="594">
        <v>0</v>
      </c>
      <c r="I55" s="566" t="e">
        <f>Tabel6689172627[[#This Row],[Fix.ch. 2015]]+Tabel6689172627[[#This Row],[Var. ch. 2015]]+Tabel6689172627[[#This Row],[Oth. ch. DW 2015]]</f>
        <v>#DIV/0!</v>
      </c>
      <c r="J55" s="596" t="e">
        <f>99461/E55</f>
        <v>#DIV/0!</v>
      </c>
      <c r="K55" s="626">
        <v>0</v>
      </c>
      <c r="L55" s="626"/>
      <c r="M55" s="597">
        <v>0</v>
      </c>
      <c r="N55" s="1238" t="e">
        <f>Tabel6689172627[[#This Row],[Sew. 2015]]+Tabel6689172627[[#This Row],[WW 2015]]+Tabel6689172627[[#This Row],[Other ch. 2015]]</f>
        <v>#DIV/0!</v>
      </c>
      <c r="O55" s="570">
        <v>0</v>
      </c>
      <c r="P55" s="571" t="e">
        <f>Tabel6689172627[[#This Row],[Total. ch. DW 2015]]+Tabel6689172627[[#This Row],[Sew. 2015]]+Tabel6689172627[[#This Row],[WW 2015]]+Tabel6689172627[[#This Row],[Other ch. 2015]]+Tabel6689172627[[#This Row],[VAT 2015]]</f>
        <v>#DIV/0!</v>
      </c>
      <c r="Q55" s="397"/>
      <c r="R55" s="1763"/>
      <c r="S55" s="1766"/>
      <c r="T55" s="1769"/>
      <c r="U55" s="1775"/>
      <c r="V55" s="1778"/>
      <c r="W55" s="1781"/>
      <c r="X55" s="1785"/>
      <c r="Y55" s="1788"/>
      <c r="Z55" s="1791"/>
      <c r="AA55" s="397"/>
      <c r="AB55" s="396"/>
      <c r="AC55" s="396"/>
      <c r="AD55" s="396"/>
      <c r="AE55" s="396"/>
      <c r="AF55" s="396"/>
      <c r="AG55" s="396"/>
      <c r="AH55" s="398"/>
      <c r="AI55" s="397"/>
    </row>
    <row r="56" spans="1:35" ht="16.5" customHeight="1" x14ac:dyDescent="0.25">
      <c r="A56" s="2294"/>
      <c r="B56" s="1213"/>
      <c r="C56" s="735" t="s">
        <v>493</v>
      </c>
      <c r="D56" s="1760"/>
      <c r="F56" s="625" t="e">
        <f>7685/E56</f>
        <v>#DIV/0!</v>
      </c>
      <c r="G56" s="593" t="e">
        <f>81904/E56</f>
        <v>#DIV/0!</v>
      </c>
      <c r="H56" s="594">
        <v>0</v>
      </c>
      <c r="I56" s="566" t="e">
        <f>Tabel6689172627[[#This Row],[Fix.ch. 2015]]+Tabel6689172627[[#This Row],[Var. ch. 2015]]+Tabel6689172627[[#This Row],[Oth. ch. DW 2015]]</f>
        <v>#DIV/0!</v>
      </c>
      <c r="J56" s="596" t="e">
        <f>104035/E56</f>
        <v>#DIV/0!</v>
      </c>
      <c r="K56" s="626">
        <v>0</v>
      </c>
      <c r="L56" s="626"/>
      <c r="M56" s="597">
        <v>0</v>
      </c>
      <c r="N56" s="1238" t="e">
        <f>Tabel6689172627[[#This Row],[Sew. 2015]]+Tabel6689172627[[#This Row],[WW 2015]]+Tabel6689172627[[#This Row],[Other ch. 2015]]</f>
        <v>#DIV/0!</v>
      </c>
      <c r="O56" s="570">
        <v>0</v>
      </c>
      <c r="P56" s="571" t="e">
        <f>Tabel6689172627[[#This Row],[Total. ch. DW 2015]]+Tabel6689172627[[#This Row],[Sew. 2015]]+Tabel6689172627[[#This Row],[WW 2015]]+Tabel6689172627[[#This Row],[Other ch. 2015]]+Tabel6689172627[[#This Row],[VAT 2015]]</f>
        <v>#DIV/0!</v>
      </c>
      <c r="Q56" s="397"/>
      <c r="R56" s="1763"/>
      <c r="S56" s="1766"/>
      <c r="T56" s="1769"/>
      <c r="U56" s="1775"/>
      <c r="V56" s="1778"/>
      <c r="W56" s="1781"/>
      <c r="X56" s="1785"/>
      <c r="Y56" s="1788"/>
      <c r="Z56" s="1791"/>
      <c r="AA56" s="397"/>
      <c r="AB56" s="396"/>
      <c r="AC56" s="396"/>
      <c r="AD56" s="396"/>
      <c r="AE56" s="396"/>
      <c r="AF56" s="396"/>
      <c r="AG56" s="396"/>
      <c r="AH56" s="398"/>
      <c r="AI56" s="397"/>
    </row>
    <row r="57" spans="1:35" ht="16.5" customHeight="1" x14ac:dyDescent="0.25">
      <c r="A57" s="2294"/>
      <c r="B57" s="1213"/>
      <c r="C57" s="735" t="s">
        <v>730</v>
      </c>
      <c r="D57" s="1760"/>
      <c r="F57" s="625" t="e">
        <f>12923/E57</f>
        <v>#DIV/0!</v>
      </c>
      <c r="G57" s="593" t="e">
        <f>85474/E57</f>
        <v>#DIV/0!</v>
      </c>
      <c r="H57" s="594">
        <v>0</v>
      </c>
      <c r="I57" s="566" t="e">
        <f>Tabel6689172627[[#This Row],[Fix.ch. 2015]]+Tabel6689172627[[#This Row],[Var. ch. 2015]]+Tabel6689172627[[#This Row],[Oth. ch. DW 2015]]</f>
        <v>#DIV/0!</v>
      </c>
      <c r="J57" s="596" t="e">
        <f>139941/E57</f>
        <v>#DIV/0!</v>
      </c>
      <c r="K57" s="626">
        <v>0</v>
      </c>
      <c r="L57" s="626"/>
      <c r="M57" s="597">
        <v>0</v>
      </c>
      <c r="N57" s="1238" t="e">
        <f>Tabel6689172627[[#This Row],[Sew. 2015]]+Tabel6689172627[[#This Row],[WW 2015]]+Tabel6689172627[[#This Row],[Other ch. 2015]]</f>
        <v>#DIV/0!</v>
      </c>
      <c r="O57" s="570">
        <v>0</v>
      </c>
      <c r="P57" s="571" t="e">
        <f>Tabel6689172627[[#This Row],[Total. ch. DW 2015]]+Tabel6689172627[[#This Row],[Sew. 2015]]+Tabel6689172627[[#This Row],[WW 2015]]+Tabel6689172627[[#This Row],[Other ch. 2015]]+Tabel6689172627[[#This Row],[VAT 2015]]</f>
        <v>#DIV/0!</v>
      </c>
      <c r="Q57" s="397"/>
      <c r="R57" s="1763"/>
      <c r="S57" s="1766"/>
      <c r="T57" s="1769"/>
      <c r="U57" s="1775"/>
      <c r="V57" s="1778"/>
      <c r="W57" s="1781"/>
      <c r="X57" s="1785"/>
      <c r="Y57" s="1788"/>
      <c r="Z57" s="1791"/>
      <c r="AA57" s="397"/>
      <c r="AB57" s="396"/>
      <c r="AC57" s="396"/>
      <c r="AD57" s="396"/>
      <c r="AE57" s="396"/>
      <c r="AF57" s="396"/>
      <c r="AG57" s="396"/>
      <c r="AH57" s="398"/>
      <c r="AI57" s="397"/>
    </row>
    <row r="58" spans="1:35" ht="16.5" customHeight="1" thickBot="1" x14ac:dyDescent="0.3">
      <c r="A58" s="2295"/>
      <c r="B58" s="1213"/>
      <c r="C58" s="735" t="s">
        <v>731</v>
      </c>
      <c r="D58" s="1761"/>
      <c r="F58" s="625" t="e">
        <f>7300/E58</f>
        <v>#DIV/0!</v>
      </c>
      <c r="G58" s="593" t="e">
        <f>67207/E58</f>
        <v>#DIV/0!</v>
      </c>
      <c r="H58" s="594">
        <v>0</v>
      </c>
      <c r="I58" s="566" t="e">
        <f>Tabel6689172627[[#This Row],[Fix.ch. 2015]]+Tabel6689172627[[#This Row],[Var. ch. 2015]]+Tabel6689172627[[#This Row],[Oth. ch. DW 2015]]</f>
        <v>#DIV/0!</v>
      </c>
      <c r="J58" s="596" t="e">
        <f>90496/E58</f>
        <v>#DIV/0!</v>
      </c>
      <c r="K58" s="626">
        <v>0</v>
      </c>
      <c r="L58" s="626"/>
      <c r="M58" s="597">
        <v>0</v>
      </c>
      <c r="N58" s="1238" t="e">
        <f>Tabel6689172627[[#This Row],[Sew. 2015]]+Tabel6689172627[[#This Row],[WW 2015]]+Tabel6689172627[[#This Row],[Other ch. 2015]]</f>
        <v>#DIV/0!</v>
      </c>
      <c r="O58" s="570">
        <v>0</v>
      </c>
      <c r="P58" s="571" t="e">
        <f>Tabel6689172627[[#This Row],[Total. ch. DW 2015]]+Tabel6689172627[[#This Row],[Sew. 2015]]+Tabel6689172627[[#This Row],[WW 2015]]+Tabel6689172627[[#This Row],[Other ch. 2015]]+Tabel6689172627[[#This Row],[VAT 2015]]</f>
        <v>#DIV/0!</v>
      </c>
      <c r="Q58" s="397"/>
      <c r="R58" s="1764"/>
      <c r="S58" s="1767"/>
      <c r="T58" s="1770"/>
      <c r="U58" s="1776"/>
      <c r="V58" s="1779"/>
      <c r="W58" s="1811"/>
      <c r="X58" s="1813"/>
      <c r="Y58" s="1815"/>
      <c r="Z58" s="1794"/>
      <c r="AA58" s="397"/>
      <c r="AB58" s="396"/>
      <c r="AC58" s="396"/>
      <c r="AD58" s="396"/>
      <c r="AE58" s="396"/>
      <c r="AF58" s="396"/>
      <c r="AG58" s="396"/>
      <c r="AH58" s="398"/>
      <c r="AI58" s="397"/>
    </row>
    <row r="59" spans="1:35" ht="15.75" x14ac:dyDescent="0.25">
      <c r="A59" s="1818" t="s">
        <v>8</v>
      </c>
      <c r="B59" s="1213"/>
      <c r="C59" s="1435" t="s">
        <v>78</v>
      </c>
      <c r="D59" s="2318">
        <v>14300</v>
      </c>
      <c r="F59" s="686"/>
      <c r="G59" s="593"/>
      <c r="H59" s="594"/>
      <c r="I59" s="566">
        <f>Tabel6689172627[[#This Row],[Fix.ch. 2015]]+Tabel6689172627[[#This Row],[Var. ch. 2015]]+Tabel6689172627[[#This Row],[Oth. ch. DW 2015]]</f>
        <v>0</v>
      </c>
      <c r="J59" s="596"/>
      <c r="K59" s="626"/>
      <c r="L59" s="626"/>
      <c r="M59" s="597"/>
      <c r="N59" s="1238">
        <f>Tabel6689172627[[#This Row],[Sew. 2015]]+Tabel6689172627[[#This Row],[WW 2015]]+Tabel6689172627[[#This Row],[Other ch. 2015]]</f>
        <v>0</v>
      </c>
      <c r="O59" s="570"/>
      <c r="P59" s="571">
        <f>Tabel6689172627[[#This Row],[Total. ch. DW 2015]]+Tabel6689172627[[#This Row],[Sew. 2015]]+Tabel6689172627[[#This Row],[WW 2015]]+Tabel6689172627[[#This Row],[Other ch. 2015]]+Tabel6689172627[[#This Row],[VAT 2015]]</f>
        <v>0</v>
      </c>
      <c r="Q59" s="430"/>
      <c r="R59" s="2319"/>
      <c r="S59" s="2320"/>
      <c r="T59" s="2321"/>
      <c r="U59" s="2312"/>
      <c r="V59" s="2313"/>
      <c r="W59" s="2314"/>
      <c r="X59" s="2315"/>
      <c r="Y59" s="2316"/>
      <c r="Z59" s="2317"/>
      <c r="AA59" s="397"/>
      <c r="AB59" s="398"/>
      <c r="AC59" s="398"/>
      <c r="AD59" s="398"/>
      <c r="AE59" s="591" t="s">
        <v>429</v>
      </c>
      <c r="AF59" s="591"/>
      <c r="AG59" s="591" t="s">
        <v>429</v>
      </c>
      <c r="AH59" s="398"/>
      <c r="AI59" s="397"/>
    </row>
    <row r="60" spans="1:35" ht="15.75" x14ac:dyDescent="0.25">
      <c r="A60" s="2294"/>
      <c r="B60" s="1213"/>
      <c r="C60" s="735" t="s">
        <v>79</v>
      </c>
      <c r="D60" s="1880"/>
      <c r="F60" s="686"/>
      <c r="G60" s="593"/>
      <c r="H60" s="594"/>
      <c r="I60" s="566">
        <f>Tabel6689172627[[#This Row],[Fix.ch. 2015]]+Tabel6689172627[[#This Row],[Var. ch. 2015]]+Tabel6689172627[[#This Row],[Oth. ch. DW 2015]]</f>
        <v>0</v>
      </c>
      <c r="J60" s="596"/>
      <c r="K60" s="626"/>
      <c r="L60" s="626"/>
      <c r="M60" s="597"/>
      <c r="N60" s="1238">
        <f>Tabel6689172627[[#This Row],[Sew. 2015]]+Tabel6689172627[[#This Row],[WW 2015]]+Tabel6689172627[[#This Row],[Other ch. 2015]]</f>
        <v>0</v>
      </c>
      <c r="O60" s="570"/>
      <c r="P60" s="571">
        <f>Tabel6689172627[[#This Row],[Total. ch. DW 2015]]+Tabel6689172627[[#This Row],[Sew. 2015]]+Tabel6689172627[[#This Row],[WW 2015]]+Tabel6689172627[[#This Row],[Other ch. 2015]]+Tabel6689172627[[#This Row],[VAT 2015]]</f>
        <v>0</v>
      </c>
      <c r="Q60" s="430"/>
      <c r="R60" s="1886"/>
      <c r="S60" s="1888"/>
      <c r="T60" s="1890"/>
      <c r="U60" s="1892"/>
      <c r="V60" s="1894"/>
      <c r="W60" s="1911"/>
      <c r="X60" s="1913"/>
      <c r="Y60" s="1915"/>
      <c r="Z60" s="1832"/>
      <c r="AA60" s="397"/>
      <c r="AB60" s="398"/>
      <c r="AC60" s="398"/>
      <c r="AD60" s="398"/>
      <c r="AE60" s="591" t="s">
        <v>429</v>
      </c>
      <c r="AF60" s="591"/>
      <c r="AG60" s="591" t="s">
        <v>429</v>
      </c>
      <c r="AH60" s="398"/>
      <c r="AI60" s="397"/>
    </row>
    <row r="61" spans="1:35" ht="15.75" x14ac:dyDescent="0.25">
      <c r="A61" s="2294"/>
      <c r="B61" s="1213"/>
      <c r="C61" s="735" t="s">
        <v>80</v>
      </c>
      <c r="D61" s="1880"/>
      <c r="F61" s="686"/>
      <c r="G61" s="593"/>
      <c r="H61" s="594"/>
      <c r="I61" s="566">
        <f>Tabel6689172627[[#This Row],[Fix.ch. 2015]]+Tabel6689172627[[#This Row],[Var. ch. 2015]]+Tabel6689172627[[#This Row],[Oth. ch. DW 2015]]</f>
        <v>0</v>
      </c>
      <c r="J61" s="596"/>
      <c r="K61" s="626"/>
      <c r="L61" s="626"/>
      <c r="M61" s="597"/>
      <c r="N61" s="1238">
        <f>Tabel6689172627[[#This Row],[Sew. 2015]]+Tabel6689172627[[#This Row],[WW 2015]]+Tabel6689172627[[#This Row],[Other ch. 2015]]</f>
        <v>0</v>
      </c>
      <c r="O61" s="570"/>
      <c r="P61" s="571">
        <f>Tabel6689172627[[#This Row],[Total. ch. DW 2015]]+Tabel6689172627[[#This Row],[Sew. 2015]]+Tabel6689172627[[#This Row],[WW 2015]]+Tabel6689172627[[#This Row],[Other ch. 2015]]+Tabel6689172627[[#This Row],[VAT 2015]]</f>
        <v>0</v>
      </c>
      <c r="Q61" s="430"/>
      <c r="R61" s="1886"/>
      <c r="S61" s="1888"/>
      <c r="T61" s="1890"/>
      <c r="U61" s="1892"/>
      <c r="V61" s="1894"/>
      <c r="W61" s="1911"/>
      <c r="X61" s="1913"/>
      <c r="Y61" s="1915"/>
      <c r="Z61" s="1832"/>
      <c r="AA61" s="397"/>
      <c r="AB61" s="398"/>
      <c r="AC61" s="398"/>
      <c r="AD61" s="398"/>
      <c r="AE61" s="591" t="s">
        <v>429</v>
      </c>
      <c r="AF61" s="591"/>
      <c r="AG61" s="591" t="s">
        <v>429</v>
      </c>
      <c r="AH61" s="398"/>
      <c r="AI61" s="397"/>
    </row>
    <row r="62" spans="1:35" ht="15.75" x14ac:dyDescent="0.25">
      <c r="A62" s="2294"/>
      <c r="B62" s="1213"/>
      <c r="C62" s="735" t="s">
        <v>81</v>
      </c>
      <c r="D62" s="1880"/>
      <c r="F62" s="686"/>
      <c r="G62" s="593"/>
      <c r="H62" s="594"/>
      <c r="I62" s="566">
        <f>Tabel6689172627[[#This Row],[Fix.ch. 2015]]+Tabel6689172627[[#This Row],[Var. ch. 2015]]+Tabel6689172627[[#This Row],[Oth. ch. DW 2015]]</f>
        <v>0</v>
      </c>
      <c r="J62" s="596"/>
      <c r="K62" s="626"/>
      <c r="L62" s="626"/>
      <c r="M62" s="597"/>
      <c r="N62" s="1238">
        <f>Tabel6689172627[[#This Row],[Sew. 2015]]+Tabel6689172627[[#This Row],[WW 2015]]+Tabel6689172627[[#This Row],[Other ch. 2015]]</f>
        <v>0</v>
      </c>
      <c r="O62" s="570"/>
      <c r="P62" s="571">
        <f>Tabel6689172627[[#This Row],[Total. ch. DW 2015]]+Tabel6689172627[[#This Row],[Sew. 2015]]+Tabel6689172627[[#This Row],[WW 2015]]+Tabel6689172627[[#This Row],[Other ch. 2015]]+Tabel6689172627[[#This Row],[VAT 2015]]</f>
        <v>0</v>
      </c>
      <c r="Q62" s="430"/>
      <c r="R62" s="1886"/>
      <c r="S62" s="1888"/>
      <c r="T62" s="1890"/>
      <c r="U62" s="1892"/>
      <c r="V62" s="1894"/>
      <c r="W62" s="1911"/>
      <c r="X62" s="1913"/>
      <c r="Y62" s="1915"/>
      <c r="Z62" s="1832"/>
      <c r="AA62" s="397"/>
      <c r="AB62" s="398"/>
      <c r="AC62" s="398"/>
      <c r="AD62" s="398"/>
      <c r="AE62" s="591" t="s">
        <v>429</v>
      </c>
      <c r="AF62" s="591"/>
      <c r="AG62" s="591" t="s">
        <v>429</v>
      </c>
      <c r="AH62" s="398"/>
      <c r="AI62" s="397"/>
    </row>
    <row r="63" spans="1:35" ht="16.5" thickBot="1" x14ac:dyDescent="0.3">
      <c r="A63" s="2295"/>
      <c r="B63" s="1213"/>
      <c r="C63" s="736" t="s">
        <v>468</v>
      </c>
      <c r="D63" s="1923"/>
      <c r="F63" s="686"/>
      <c r="G63" s="593"/>
      <c r="H63" s="594"/>
      <c r="I63" s="566">
        <f>Tabel6689172627[[#This Row],[Fix.ch. 2015]]+Tabel6689172627[[#This Row],[Var. ch. 2015]]+Tabel6689172627[[#This Row],[Oth. ch. DW 2015]]</f>
        <v>0</v>
      </c>
      <c r="J63" s="596"/>
      <c r="K63" s="626"/>
      <c r="L63" s="626"/>
      <c r="M63" s="597"/>
      <c r="N63" s="1238">
        <f>Tabel6689172627[[#This Row],[Sew. 2015]]+Tabel6689172627[[#This Row],[WW 2015]]+Tabel6689172627[[#This Row],[Other ch. 2015]]</f>
        <v>0</v>
      </c>
      <c r="O63" s="570"/>
      <c r="P63" s="571">
        <f>Tabel6689172627[[#This Row],[Total. ch. DW 2015]]+Tabel6689172627[[#This Row],[Sew. 2015]]+Tabel6689172627[[#This Row],[WW 2015]]+Tabel6689172627[[#This Row],[Other ch. 2015]]+Tabel6689172627[[#This Row],[VAT 2015]]</f>
        <v>0</v>
      </c>
      <c r="Q63" s="430"/>
      <c r="R63" s="1970"/>
      <c r="S63" s="1973"/>
      <c r="T63" s="1976"/>
      <c r="U63" s="1979"/>
      <c r="V63" s="1982"/>
      <c r="W63" s="1956"/>
      <c r="X63" s="1959"/>
      <c r="Y63" s="1962"/>
      <c r="Z63" s="1965"/>
      <c r="AA63" s="397"/>
      <c r="AB63" s="398"/>
      <c r="AC63" s="398"/>
      <c r="AD63" s="398"/>
      <c r="AE63" s="591" t="s">
        <v>429</v>
      </c>
      <c r="AF63" s="591"/>
      <c r="AG63" s="591" t="s">
        <v>429</v>
      </c>
      <c r="AH63" s="398"/>
      <c r="AI63" s="397"/>
    </row>
    <row r="64" spans="1:35" ht="19.5" thickBot="1" x14ac:dyDescent="0.3">
      <c r="A64" s="694" t="s">
        <v>585</v>
      </c>
      <c r="B64" s="1620"/>
      <c r="C64" s="735" t="s">
        <v>84</v>
      </c>
      <c r="D64" s="1436">
        <v>57000</v>
      </c>
      <c r="F64" s="625">
        <f>0</f>
        <v>0</v>
      </c>
      <c r="G64" s="593" t="e">
        <f>890.28/E64</f>
        <v>#DIV/0!</v>
      </c>
      <c r="H64" s="594">
        <v>0</v>
      </c>
      <c r="I64" s="566" t="e">
        <f>Tabel6689172627[[#This Row],[Fix.ch. 2015]]+Tabel6689172627[[#This Row],[Var. ch. 2015]]+Tabel6689172627[[#This Row],[Oth. ch. DW 2015]]</f>
        <v>#DIV/0!</v>
      </c>
      <c r="J64" s="596">
        <v>0</v>
      </c>
      <c r="K64" s="626" t="e">
        <f>434/E64</f>
        <v>#DIV/0!</v>
      </c>
      <c r="L64" s="626"/>
      <c r="M64" s="597">
        <v>0</v>
      </c>
      <c r="N64" s="1238" t="e">
        <f>Tabel6689172627[[#This Row],[Sew. 2015]]+Tabel6689172627[[#This Row],[WW 2015]]+Tabel6689172627[[#This Row],[Other ch. 2015]]</f>
        <v>#DIV/0!</v>
      </c>
      <c r="O64" s="570">
        <v>0</v>
      </c>
      <c r="P64" s="571" t="e">
        <f>Tabel6689172627[[#This Row],[Total. ch. DW 2015]]+Tabel6689172627[[#This Row],[Sew. 2015]]+Tabel6689172627[[#This Row],[WW 2015]]+Tabel6689172627[[#This Row],[Other ch. 2015]]+Tabel6689172627[[#This Row],[VAT 2015]]</f>
        <v>#DIV/0!</v>
      </c>
      <c r="Q64" s="397"/>
      <c r="R64" s="1437">
        <f>Tabel6689172627[[#This Row],[Fix.ch. 2015]]</f>
        <v>0</v>
      </c>
      <c r="S64" s="1438" t="e">
        <f>Tabel6689172627[[#This Row],[Var. ch. 2015]]</f>
        <v>#DIV/0!</v>
      </c>
      <c r="T64" s="1439">
        <f>Tabel6689172627[[#This Row],[Oth. ch. DW 2015]]</f>
        <v>0</v>
      </c>
      <c r="U64" s="1440" t="e">
        <f>SUM(R64:T64)</f>
        <v>#DIV/0!</v>
      </c>
      <c r="V64" s="1441">
        <f>Tabel6689172627[[#This Row],[Sew. 2015]]</f>
        <v>0</v>
      </c>
      <c r="W64" s="1442" t="e">
        <f>Tabel6689172627[[#This Row],[WW 2015]]</f>
        <v>#DIV/0!</v>
      </c>
      <c r="X64" s="1443">
        <f>Tabel6689172627[[#This Row],[Other ch. 2015]]</f>
        <v>0</v>
      </c>
      <c r="Y64" s="1444">
        <f>Tabel6689172627[[#This Row],[VAT 2015]]</f>
        <v>0</v>
      </c>
      <c r="Z64" s="1445" t="e">
        <f>SUM(U64:Y64)</f>
        <v>#DIV/0!</v>
      </c>
      <c r="AA64" s="397"/>
      <c r="AB64" s="398"/>
      <c r="AC64" s="396"/>
      <c r="AD64" s="398"/>
      <c r="AE64" s="398"/>
      <c r="AF64" s="398"/>
      <c r="AG64" s="398"/>
      <c r="AH64" s="398"/>
      <c r="AI64" s="397"/>
    </row>
    <row r="65" spans="1:35" ht="15.75" x14ac:dyDescent="0.25">
      <c r="A65" s="1818" t="s">
        <v>9</v>
      </c>
      <c r="B65" s="1213"/>
      <c r="C65" s="1435" t="s">
        <v>82</v>
      </c>
      <c r="D65" s="1759">
        <v>47500</v>
      </c>
      <c r="F65" s="625" t="e">
        <f>780/E65</f>
        <v>#DIV/0!</v>
      </c>
      <c r="G65" s="593" t="e">
        <f>956/E65</f>
        <v>#DIV/0!</v>
      </c>
      <c r="H65" s="594">
        <v>0</v>
      </c>
      <c r="I65" s="566" t="e">
        <f>Tabel6689172627[[#This Row],[Fix.ch. 2015]]+Tabel6689172627[[#This Row],[Var. ch. 2015]]+Tabel6689172627[[#This Row],[Oth. ch. DW 2015]]</f>
        <v>#DIV/0!</v>
      </c>
      <c r="J65" s="596" t="e">
        <f>1000/E65</f>
        <v>#DIV/0!</v>
      </c>
      <c r="K65" s="626">
        <v>0</v>
      </c>
      <c r="L65" s="626"/>
      <c r="M65" s="597" t="e">
        <f>40/E65</f>
        <v>#DIV/0!</v>
      </c>
      <c r="N65" s="1238" t="e">
        <f>Tabel6689172627[[#This Row],[Sew. 2015]]+Tabel6689172627[[#This Row],[WW 2015]]+Tabel6689172627[[#This Row],[Other ch. 2015]]</f>
        <v>#DIV/0!</v>
      </c>
      <c r="O65" s="570" t="e">
        <f>87/E65</f>
        <v>#DIV/0!</v>
      </c>
      <c r="P65" s="571" t="e">
        <f>Tabel6689172627[[#This Row],[Total. ch. DW 2015]]+Tabel6689172627[[#This Row],[Sew. 2015]]+Tabel6689172627[[#This Row],[WW 2015]]+Tabel6689172627[[#This Row],[Other ch. 2015]]+Tabel6689172627[[#This Row],[VAT 2015]]</f>
        <v>#DIV/0!</v>
      </c>
      <c r="Q65" s="397"/>
      <c r="R65" s="1762" t="e">
        <f t="shared" ref="R65:W65" si="16">SUM(F65:F66)/2</f>
        <v>#DIV/0!</v>
      </c>
      <c r="S65" s="1765" t="e">
        <f t="shared" si="16"/>
        <v>#DIV/0!</v>
      </c>
      <c r="T65" s="1768" t="e">
        <f t="shared" si="16"/>
        <v>#DIV/0!</v>
      </c>
      <c r="U65" s="1774" t="e">
        <f t="shared" si="16"/>
        <v>#DIV/0!</v>
      </c>
      <c r="V65" s="1777" t="e">
        <f t="shared" si="16"/>
        <v>#DIV/0!</v>
      </c>
      <c r="W65" s="1810">
        <f t="shared" si="16"/>
        <v>0</v>
      </c>
      <c r="X65" s="1812" t="e">
        <f>SUM(M65:M66)/2</f>
        <v>#DIV/0!</v>
      </c>
      <c r="Y65" s="1814" t="e">
        <f t="shared" ref="Y65:Z65" si="17">SUM(O65:O66)/2</f>
        <v>#DIV/0!</v>
      </c>
      <c r="Z65" s="1793" t="e">
        <f t="shared" si="17"/>
        <v>#DIV/0!</v>
      </c>
      <c r="AA65" s="397"/>
      <c r="AB65" s="398"/>
      <c r="AC65" s="398"/>
      <c r="AD65" s="398"/>
      <c r="AE65" s="591" t="s">
        <v>429</v>
      </c>
      <c r="AF65" s="591" t="s">
        <v>429</v>
      </c>
      <c r="AG65" s="591" t="s">
        <v>429</v>
      </c>
      <c r="AH65" s="398"/>
      <c r="AI65" s="397"/>
    </row>
    <row r="66" spans="1:35" ht="16.5" thickBot="1" x14ac:dyDescent="0.3">
      <c r="A66" s="2295"/>
      <c r="B66" s="1213"/>
      <c r="C66" s="735" t="s">
        <v>83</v>
      </c>
      <c r="D66" s="1923"/>
      <c r="F66" s="625" t="e">
        <f>944/E66</f>
        <v>#DIV/0!</v>
      </c>
      <c r="G66" s="593" t="e">
        <f>1560/E66</f>
        <v>#DIV/0!</v>
      </c>
      <c r="H66" s="594" t="e">
        <f>78/E66</f>
        <v>#DIV/0!</v>
      </c>
      <c r="I66" s="566" t="e">
        <f>Tabel6689172627[[#This Row],[Fix.ch. 2015]]+Tabel6689172627[[#This Row],[Var. ch. 2015]]+Tabel6689172627[[#This Row],[Oth. ch. DW 2015]]</f>
        <v>#DIV/0!</v>
      </c>
      <c r="J66" s="596" t="e">
        <f>1000/E66</f>
        <v>#DIV/0!</v>
      </c>
      <c r="K66" s="626">
        <v>0</v>
      </c>
      <c r="L66" s="626"/>
      <c r="M66" s="597" t="e">
        <f>800/E66</f>
        <v>#DIV/0!</v>
      </c>
      <c r="N66" s="1238" t="e">
        <f>Tabel6689172627[[#This Row],[Sew. 2015]]+Tabel6689172627[[#This Row],[WW 2015]]+Tabel6689172627[[#This Row],[Other ch. 2015]]</f>
        <v>#DIV/0!</v>
      </c>
      <c r="O66" s="570" t="e">
        <f>110/E66</f>
        <v>#DIV/0!</v>
      </c>
      <c r="P66" s="571" t="e">
        <f>Tabel6689172627[[#This Row],[Total. ch. DW 2015]]+Tabel6689172627[[#This Row],[Sew. 2015]]+Tabel6689172627[[#This Row],[WW 2015]]+Tabel6689172627[[#This Row],[Other ch. 2015]]+Tabel6689172627[[#This Row],[VAT 2015]]</f>
        <v>#DIV/0!</v>
      </c>
      <c r="Q66" s="397"/>
      <c r="R66" s="1970"/>
      <c r="S66" s="1973"/>
      <c r="T66" s="1976"/>
      <c r="U66" s="1979"/>
      <c r="V66" s="1982"/>
      <c r="W66" s="1956"/>
      <c r="X66" s="1959"/>
      <c r="Y66" s="1962"/>
      <c r="Z66" s="1965"/>
      <c r="AA66" s="397"/>
      <c r="AB66" s="398"/>
      <c r="AC66" s="398"/>
      <c r="AD66" s="398"/>
      <c r="AE66" s="591" t="s">
        <v>429</v>
      </c>
      <c r="AF66" s="591" t="s">
        <v>429</v>
      </c>
      <c r="AG66" s="591" t="s">
        <v>429</v>
      </c>
      <c r="AH66" s="398"/>
      <c r="AI66" s="397"/>
    </row>
    <row r="67" spans="1:35" ht="15.75" x14ac:dyDescent="0.25">
      <c r="A67" s="1878" t="s">
        <v>10</v>
      </c>
      <c r="B67" s="1213"/>
      <c r="C67" s="693" t="s">
        <v>85</v>
      </c>
      <c r="D67" s="1759">
        <v>31000</v>
      </c>
      <c r="F67" s="625" t="e">
        <f>66/E67</f>
        <v>#DIV/0!</v>
      </c>
      <c r="G67" s="593" t="e">
        <f>228/E67</f>
        <v>#DIV/0!</v>
      </c>
      <c r="H67" s="594">
        <v>0</v>
      </c>
      <c r="I67" s="566" t="e">
        <f>Tabel6689172627[[#This Row],[Fix.ch. 2015]]+Tabel6689172627[[#This Row],[Var. ch. 2015]]+Tabel6689172627[[#This Row],[Oth. ch. DW 2015]]</f>
        <v>#DIV/0!</v>
      </c>
      <c r="J67" s="596" t="e">
        <f>100/E67</f>
        <v>#DIV/0!</v>
      </c>
      <c r="K67" s="626" t="e">
        <f>160/E67</f>
        <v>#DIV/0!</v>
      </c>
      <c r="L67" s="626"/>
      <c r="M67" s="597" t="e">
        <f>40/E67</f>
        <v>#DIV/0!</v>
      </c>
      <c r="N67" s="1238" t="e">
        <f>Tabel6689172627[[#This Row],[Sew. 2015]]+Tabel6689172627[[#This Row],[WW 2015]]+Tabel6689172627[[#This Row],[Other ch. 2015]]</f>
        <v>#DIV/0!</v>
      </c>
      <c r="O67" s="570" t="e">
        <f>14.7/E67</f>
        <v>#DIV/0!</v>
      </c>
      <c r="P67" s="571" t="e">
        <f>Tabel6689172627[[#This Row],[Total. ch. DW 2015]]+Tabel6689172627[[#This Row],[Sew. 2015]]+Tabel6689172627[[#This Row],[WW 2015]]+Tabel6689172627[[#This Row],[Other ch. 2015]]+Tabel6689172627[[#This Row],[VAT 2015]]</f>
        <v>#DIV/0!</v>
      </c>
      <c r="Q67" s="397"/>
      <c r="R67" s="1762" t="e">
        <f t="shared" ref="R67:W67" si="18">SUM(F67:F70)/4</f>
        <v>#DIV/0!</v>
      </c>
      <c r="S67" s="1765" t="e">
        <f t="shared" si="18"/>
        <v>#DIV/0!</v>
      </c>
      <c r="T67" s="1768">
        <f t="shared" si="18"/>
        <v>0</v>
      </c>
      <c r="U67" s="1774" t="e">
        <f t="shared" si="18"/>
        <v>#DIV/0!</v>
      </c>
      <c r="V67" s="1777" t="e">
        <f t="shared" si="18"/>
        <v>#DIV/0!</v>
      </c>
      <c r="W67" s="1810" t="e">
        <f t="shared" si="18"/>
        <v>#DIV/0!</v>
      </c>
      <c r="X67" s="1812" t="e">
        <f>SUM(M67:M70)/4</f>
        <v>#DIV/0!</v>
      </c>
      <c r="Y67" s="1814" t="e">
        <f t="shared" ref="Y67:Z67" si="19">SUM(O67:O70)/4</f>
        <v>#DIV/0!</v>
      </c>
      <c r="Z67" s="1793" t="e">
        <f t="shared" si="19"/>
        <v>#DIV/0!</v>
      </c>
      <c r="AA67" s="397"/>
      <c r="AB67" s="398"/>
      <c r="AC67" s="398"/>
      <c r="AD67" s="398"/>
      <c r="AE67" s="591" t="s">
        <v>429</v>
      </c>
      <c r="AF67" s="591" t="s">
        <v>429</v>
      </c>
      <c r="AG67" s="591" t="s">
        <v>429</v>
      </c>
      <c r="AH67" s="398"/>
      <c r="AI67" s="397"/>
    </row>
    <row r="68" spans="1:35" ht="15.75" x14ac:dyDescent="0.25">
      <c r="A68" s="1757"/>
      <c r="B68" s="1213"/>
      <c r="C68" s="639" t="s">
        <v>1347</v>
      </c>
      <c r="D68" s="1760"/>
      <c r="F68" s="625" t="e">
        <f>42/E68</f>
        <v>#DIV/0!</v>
      </c>
      <c r="G68" s="593" t="e">
        <f>220/E68</f>
        <v>#DIV/0!</v>
      </c>
      <c r="H68" s="594">
        <f>0</f>
        <v>0</v>
      </c>
      <c r="I68" s="566" t="e">
        <f>Tabel6689172627[[#This Row],[Fix.ch. 2015]]+Tabel6689172627[[#This Row],[Var. ch. 2015]]+Tabel6689172627[[#This Row],[Oth. ch. DW 2015]]</f>
        <v>#DIV/0!</v>
      </c>
      <c r="J68" s="596" t="e">
        <f>110/E68</f>
        <v>#DIV/0!</v>
      </c>
      <c r="K68" s="626" t="e">
        <f>225.12/E68</f>
        <v>#DIV/0!</v>
      </c>
      <c r="L68" s="626"/>
      <c r="M68" s="597">
        <f>0</f>
        <v>0</v>
      </c>
      <c r="N68" s="1238" t="e">
        <f>Tabel6689172627[[#This Row],[Sew. 2015]]+Tabel6689172627[[#This Row],[WW 2015]]+Tabel6689172627[[#This Row],[Other ch. 2015]]</f>
        <v>#DIV/0!</v>
      </c>
      <c r="O68" s="570" t="e">
        <f>13.1/E68</f>
        <v>#DIV/0!</v>
      </c>
      <c r="P68" s="571" t="e">
        <f>Tabel6689172627[[#This Row],[Total. ch. DW 2015]]+Tabel6689172627[[#This Row],[Sew. 2015]]+Tabel6689172627[[#This Row],[WW 2015]]+Tabel6689172627[[#This Row],[Other ch. 2015]]+Tabel6689172627[[#This Row],[VAT 2015]]</f>
        <v>#DIV/0!</v>
      </c>
      <c r="Q68" s="397"/>
      <c r="R68" s="1763"/>
      <c r="S68" s="1766"/>
      <c r="T68" s="1769"/>
      <c r="U68" s="1775"/>
      <c r="V68" s="1778"/>
      <c r="W68" s="1781"/>
      <c r="X68" s="1785"/>
      <c r="Y68" s="1788"/>
      <c r="Z68" s="1791"/>
      <c r="AA68" s="397"/>
      <c r="AB68" s="398"/>
      <c r="AC68" s="398"/>
      <c r="AD68" s="398"/>
      <c r="AE68" s="591" t="s">
        <v>429</v>
      </c>
      <c r="AF68" s="591" t="s">
        <v>429</v>
      </c>
      <c r="AG68" s="591" t="s">
        <v>429</v>
      </c>
      <c r="AH68" s="398"/>
      <c r="AI68" s="397"/>
    </row>
    <row r="69" spans="1:35" ht="15.75" x14ac:dyDescent="0.25">
      <c r="A69" s="1757"/>
      <c r="B69" s="1213"/>
      <c r="C69" s="639" t="s">
        <v>1348</v>
      </c>
      <c r="D69" s="1760"/>
      <c r="F69" s="625" t="e">
        <f>66/E69</f>
        <v>#DIV/0!</v>
      </c>
      <c r="G69" s="593" t="e">
        <f>220/E69</f>
        <v>#DIV/0!</v>
      </c>
      <c r="H69" s="594">
        <v>0</v>
      </c>
      <c r="I69" s="566" t="e">
        <f>Tabel6689172627[[#This Row],[Fix.ch. 2015]]+Tabel6689172627[[#This Row],[Var. ch. 2015]]+Tabel6689172627[[#This Row],[Oth. ch. DW 2015]]</f>
        <v>#DIV/0!</v>
      </c>
      <c r="J69" s="596" t="e">
        <f>120/E69</f>
        <v>#DIV/0!</v>
      </c>
      <c r="K69" s="626" t="e">
        <f>157.05/E69</f>
        <v>#DIV/0!</v>
      </c>
      <c r="L69" s="626"/>
      <c r="M69" s="597" t="e">
        <f>36/E69</f>
        <v>#DIV/0!</v>
      </c>
      <c r="N69" s="1238" t="e">
        <f>Tabel6689172627[[#This Row],[Sew. 2015]]+Tabel6689172627[[#This Row],[WW 2015]]+Tabel6689172627[[#This Row],[Other ch. 2015]]</f>
        <v>#DIV/0!</v>
      </c>
      <c r="O69" s="570" t="e">
        <f>14.3/E69</f>
        <v>#DIV/0!</v>
      </c>
      <c r="P69" s="571" t="e">
        <f>Tabel6689172627[[#This Row],[Total. ch. DW 2015]]+Tabel6689172627[[#This Row],[Sew. 2015]]+Tabel6689172627[[#This Row],[WW 2015]]+Tabel6689172627[[#This Row],[Other ch. 2015]]+Tabel6689172627[[#This Row],[VAT 2015]]</f>
        <v>#DIV/0!</v>
      </c>
      <c r="Q69" s="397"/>
      <c r="R69" s="1763"/>
      <c r="S69" s="1766"/>
      <c r="T69" s="1769"/>
      <c r="U69" s="1775"/>
      <c r="V69" s="1778"/>
      <c r="W69" s="1781"/>
      <c r="X69" s="1785"/>
      <c r="Y69" s="1788"/>
      <c r="Z69" s="1791"/>
      <c r="AA69" s="397"/>
      <c r="AB69" s="398"/>
      <c r="AC69" s="398"/>
      <c r="AD69" s="398"/>
      <c r="AE69" s="591" t="s">
        <v>429</v>
      </c>
      <c r="AF69" s="591" t="s">
        <v>429</v>
      </c>
      <c r="AG69" s="591" t="s">
        <v>429</v>
      </c>
      <c r="AH69" s="398"/>
      <c r="AI69" s="397"/>
    </row>
    <row r="70" spans="1:35" ht="16.5" thickBot="1" x14ac:dyDescent="0.3">
      <c r="A70" s="1758"/>
      <c r="B70" s="1213"/>
      <c r="C70" s="1168" t="s">
        <v>86</v>
      </c>
      <c r="D70" s="1923"/>
      <c r="F70" s="625" t="e">
        <f>48/E70</f>
        <v>#DIV/0!</v>
      </c>
      <c r="G70" s="593" t="e">
        <f>208.6/E70</f>
        <v>#DIV/0!</v>
      </c>
      <c r="H70" s="594">
        <v>0</v>
      </c>
      <c r="I70" s="566" t="e">
        <f>Tabel6689172627[[#This Row],[Fix.ch. 2015]]+Tabel6689172627[[#This Row],[Var. ch. 2015]]+Tabel6689172627[[#This Row],[Oth. ch. DW 2015]]</f>
        <v>#DIV/0!</v>
      </c>
      <c r="J70" s="596" t="e">
        <f>86/E70</f>
        <v>#DIV/0!</v>
      </c>
      <c r="K70" s="626" t="e">
        <f>132/E70</f>
        <v>#DIV/0!</v>
      </c>
      <c r="L70" s="626"/>
      <c r="M70" s="597" t="e">
        <f>33/E70</f>
        <v>#DIV/0!</v>
      </c>
      <c r="N70" s="1238" t="e">
        <f>Tabel6689172627[[#This Row],[Sew. 2015]]+Tabel6689172627[[#This Row],[WW 2015]]+Tabel6689172627[[#This Row],[Other ch. 2015]]</f>
        <v>#DIV/0!</v>
      </c>
      <c r="O70" s="570" t="e">
        <f>12.83/E70</f>
        <v>#DIV/0!</v>
      </c>
      <c r="P70" s="571" t="e">
        <f>Tabel6689172627[[#This Row],[Total. ch. DW 2015]]+Tabel6689172627[[#This Row],[Sew. 2015]]+Tabel6689172627[[#This Row],[WW 2015]]+Tabel6689172627[[#This Row],[Other ch. 2015]]+Tabel6689172627[[#This Row],[VAT 2015]]</f>
        <v>#DIV/0!</v>
      </c>
      <c r="Q70" s="397"/>
      <c r="R70" s="1970"/>
      <c r="S70" s="1973"/>
      <c r="T70" s="1976"/>
      <c r="U70" s="1979"/>
      <c r="V70" s="1982"/>
      <c r="W70" s="1956"/>
      <c r="X70" s="1959"/>
      <c r="Y70" s="1962"/>
      <c r="Z70" s="1965"/>
      <c r="AA70" s="397"/>
      <c r="AB70" s="398"/>
      <c r="AC70" s="398"/>
      <c r="AD70" s="398"/>
      <c r="AE70" s="591" t="s">
        <v>429</v>
      </c>
      <c r="AF70" s="591" t="s">
        <v>429</v>
      </c>
      <c r="AG70" s="591" t="s">
        <v>429</v>
      </c>
      <c r="AH70" s="398"/>
      <c r="AI70" s="397"/>
    </row>
    <row r="71" spans="1:35" ht="15.75" x14ac:dyDescent="0.25">
      <c r="A71" s="1818" t="s">
        <v>11</v>
      </c>
      <c r="B71" s="1213"/>
      <c r="C71" s="543" t="s">
        <v>87</v>
      </c>
      <c r="D71" s="1759">
        <v>45800</v>
      </c>
      <c r="F71" s="625" t="e">
        <f>975.04/E71</f>
        <v>#DIV/0!</v>
      </c>
      <c r="G71" s="593" t="e">
        <f>879.6/E71</f>
        <v>#DIV/0!</v>
      </c>
      <c r="H71" s="594" t="e">
        <f>1306/E71</f>
        <v>#DIV/0!</v>
      </c>
      <c r="I71" s="566" t="e">
        <f>Tabel6689172627[[#This Row],[Fix.ch. 2015]]+Tabel6689172627[[#This Row],[Var. ch. 2015]]+Tabel6689172627[[#This Row],[Oth. ch. DW 2015]]</f>
        <v>#DIV/0!</v>
      </c>
      <c r="J71" s="596">
        <v>0</v>
      </c>
      <c r="K71" s="626" t="e">
        <f>4536/E71</f>
        <v>#DIV/0!</v>
      </c>
      <c r="L71" s="626"/>
      <c r="M71" s="597" t="e">
        <f>116/E71</f>
        <v>#DIV/0!</v>
      </c>
      <c r="N71" s="1238" t="e">
        <f>Tabel6689172627[[#This Row],[Sew. 2015]]+Tabel6689172627[[#This Row],[WW 2015]]+Tabel6689172627[[#This Row],[Other ch. 2015]]</f>
        <v>#DIV/0!</v>
      </c>
      <c r="O71" s="570" t="e">
        <f>1953.16/E71</f>
        <v>#DIV/0!</v>
      </c>
      <c r="P71" s="571" t="e">
        <f>Tabel6689172627[[#This Row],[Total. ch. DW 2015]]+Tabel6689172627[[#This Row],[Sew. 2015]]+Tabel6689172627[[#This Row],[WW 2015]]+Tabel6689172627[[#This Row],[Other ch. 2015]]+Tabel6689172627[[#This Row],[VAT 2015]]</f>
        <v>#DIV/0!</v>
      </c>
      <c r="Q71" s="397"/>
      <c r="R71" s="1762" t="e">
        <f t="shared" ref="R71:W71" si="20">SUM(F71:F75)/5</f>
        <v>#DIV/0!</v>
      </c>
      <c r="S71" s="1765" t="e">
        <f t="shared" si="20"/>
        <v>#DIV/0!</v>
      </c>
      <c r="T71" s="1768" t="e">
        <f t="shared" si="20"/>
        <v>#DIV/0!</v>
      </c>
      <c r="U71" s="1774" t="e">
        <f t="shared" si="20"/>
        <v>#DIV/0!</v>
      </c>
      <c r="V71" s="1777">
        <f t="shared" si="20"/>
        <v>0</v>
      </c>
      <c r="W71" s="1810" t="e">
        <f t="shared" si="20"/>
        <v>#DIV/0!</v>
      </c>
      <c r="X71" s="1812" t="e">
        <f>SUM(M71:M75)/5</f>
        <v>#DIV/0!</v>
      </c>
      <c r="Y71" s="1814" t="e">
        <f t="shared" ref="Y71:Z71" si="21">SUM(O71:O75)/5</f>
        <v>#DIV/0!</v>
      </c>
      <c r="Z71" s="1793" t="e">
        <f t="shared" si="21"/>
        <v>#DIV/0!</v>
      </c>
      <c r="AA71" s="397"/>
      <c r="AB71" s="396"/>
      <c r="AC71" s="591" t="s">
        <v>429</v>
      </c>
      <c r="AD71" s="591"/>
      <c r="AE71" s="591"/>
      <c r="AF71" s="591" t="s">
        <v>429</v>
      </c>
      <c r="AG71" s="591" t="s">
        <v>429</v>
      </c>
      <c r="AH71" s="396"/>
      <c r="AI71" s="397"/>
    </row>
    <row r="72" spans="1:35" ht="15.75" x14ac:dyDescent="0.25">
      <c r="A72" s="2294"/>
      <c r="B72" s="1213"/>
      <c r="C72" s="543" t="s">
        <v>213</v>
      </c>
      <c r="D72" s="1880"/>
      <c r="F72" s="625" t="e">
        <f>550/E72</f>
        <v>#DIV/0!</v>
      </c>
      <c r="G72" s="593" t="e">
        <f>2142/E72</f>
        <v>#DIV/0!</v>
      </c>
      <c r="H72" s="594" t="e">
        <f t="shared" ref="H72:H75" si="22">1306/E72</f>
        <v>#DIV/0!</v>
      </c>
      <c r="I72" s="566" t="e">
        <f>Tabel6689172627[[#This Row],[Fix.ch. 2015]]+Tabel6689172627[[#This Row],[Var. ch. 2015]]+Tabel6689172627[[#This Row],[Oth. ch. DW 2015]]</f>
        <v>#DIV/0!</v>
      </c>
      <c r="J72" s="596">
        <v>0</v>
      </c>
      <c r="K72" s="626" t="e">
        <f>5374.4/E72</f>
        <v>#DIV/0!</v>
      </c>
      <c r="L72" s="626"/>
      <c r="M72" s="597" t="e">
        <f>100/E72</f>
        <v>#DIV/0!</v>
      </c>
      <c r="N72" s="1238" t="e">
        <f>Tabel6689172627[[#This Row],[Sew. 2015]]+Tabel6689172627[[#This Row],[WW 2015]]+Tabel6689172627[[#This Row],[Other ch. 2015]]</f>
        <v>#DIV/0!</v>
      </c>
      <c r="O72" s="570" t="e">
        <f>2368.1/E72</f>
        <v>#DIV/0!</v>
      </c>
      <c r="P72" s="571" t="e">
        <f>Tabel6689172627[[#This Row],[Total. ch. DW 2015]]+Tabel6689172627[[#This Row],[Sew. 2015]]+Tabel6689172627[[#This Row],[WW 2015]]+Tabel6689172627[[#This Row],[Other ch. 2015]]+Tabel6689172627[[#This Row],[VAT 2015]]</f>
        <v>#DIV/0!</v>
      </c>
      <c r="Q72" s="397"/>
      <c r="R72" s="1886"/>
      <c r="S72" s="1888"/>
      <c r="T72" s="1890"/>
      <c r="U72" s="1892"/>
      <c r="V72" s="1894"/>
      <c r="W72" s="1911"/>
      <c r="X72" s="1913"/>
      <c r="Y72" s="1915"/>
      <c r="Z72" s="1832"/>
      <c r="AA72" s="397"/>
      <c r="AB72" s="396"/>
      <c r="AC72" s="591" t="s">
        <v>429</v>
      </c>
      <c r="AD72" s="591"/>
      <c r="AE72" s="591"/>
      <c r="AF72" s="591" t="s">
        <v>429</v>
      </c>
      <c r="AG72" s="591" t="s">
        <v>429</v>
      </c>
      <c r="AH72" s="396"/>
      <c r="AI72" s="397"/>
    </row>
    <row r="73" spans="1:35" ht="15.75" x14ac:dyDescent="0.25">
      <c r="A73" s="2294"/>
      <c r="B73" s="1213"/>
      <c r="C73" s="543" t="s">
        <v>88</v>
      </c>
      <c r="D73" s="1880"/>
      <c r="F73" s="625" t="e">
        <f>384/E73</f>
        <v>#DIV/0!</v>
      </c>
      <c r="G73" s="593" t="e">
        <f>1734/E73</f>
        <v>#DIV/0!</v>
      </c>
      <c r="H73" s="594" t="e">
        <f t="shared" si="22"/>
        <v>#DIV/0!</v>
      </c>
      <c r="I73" s="566" t="e">
        <f>Tabel6689172627[[#This Row],[Fix.ch. 2015]]+Tabel6689172627[[#This Row],[Var. ch. 2015]]+Tabel6689172627[[#This Row],[Oth. ch. DW 2015]]</f>
        <v>#DIV/0!</v>
      </c>
      <c r="J73" s="596">
        <v>0</v>
      </c>
      <c r="K73" s="626" t="e">
        <f>2846.4/E73</f>
        <v>#DIV/0!</v>
      </c>
      <c r="L73" s="626"/>
      <c r="M73" s="597" t="e">
        <f>112/E73</f>
        <v>#DIV/0!</v>
      </c>
      <c r="N73" s="1238" t="e">
        <f>Tabel6689172627[[#This Row],[Sew. 2015]]+Tabel6689172627[[#This Row],[WW 2015]]+Tabel6689172627[[#This Row],[Other ch. 2015]]</f>
        <v>#DIV/0!</v>
      </c>
      <c r="O73" s="570" t="e">
        <f>1595.6/E73</f>
        <v>#DIV/0!</v>
      </c>
      <c r="P73" s="571" t="e">
        <f>Tabel6689172627[[#This Row],[Total. ch. DW 2015]]+Tabel6689172627[[#This Row],[Sew. 2015]]+Tabel6689172627[[#This Row],[WW 2015]]+Tabel6689172627[[#This Row],[Other ch. 2015]]+Tabel6689172627[[#This Row],[VAT 2015]]</f>
        <v>#DIV/0!</v>
      </c>
      <c r="Q73" s="397"/>
      <c r="R73" s="1886"/>
      <c r="S73" s="1888"/>
      <c r="T73" s="1890"/>
      <c r="U73" s="1892"/>
      <c r="V73" s="1894"/>
      <c r="W73" s="1911"/>
      <c r="X73" s="1913"/>
      <c r="Y73" s="1915"/>
      <c r="Z73" s="1832"/>
      <c r="AA73" s="397"/>
      <c r="AB73" s="396"/>
      <c r="AC73" s="591" t="s">
        <v>429</v>
      </c>
      <c r="AD73" s="591"/>
      <c r="AE73" s="591"/>
      <c r="AF73" s="591" t="s">
        <v>429</v>
      </c>
      <c r="AG73" s="591" t="s">
        <v>429</v>
      </c>
      <c r="AH73" s="396"/>
      <c r="AI73" s="397"/>
    </row>
    <row r="74" spans="1:35" ht="15.75" x14ac:dyDescent="0.25">
      <c r="A74" s="2294"/>
      <c r="B74" s="1213"/>
      <c r="C74" s="543" t="s">
        <v>89</v>
      </c>
      <c r="D74" s="1880"/>
      <c r="F74" s="625" t="e">
        <f>662/E74</f>
        <v>#DIV/0!</v>
      </c>
      <c r="G74" s="593" t="e">
        <f>970.8/E74</f>
        <v>#DIV/0!</v>
      </c>
      <c r="H74" s="594" t="e">
        <f t="shared" si="22"/>
        <v>#DIV/0!</v>
      </c>
      <c r="I74" s="566" t="e">
        <f>Tabel6689172627[[#This Row],[Fix.ch. 2015]]+Tabel6689172627[[#This Row],[Var. ch. 2015]]+Tabel6689172627[[#This Row],[Oth. ch. DW 2015]]</f>
        <v>#DIV/0!</v>
      </c>
      <c r="J74" s="596">
        <v>0</v>
      </c>
      <c r="K74" s="626" t="e">
        <f>5169.04/E74</f>
        <v>#DIV/0!</v>
      </c>
      <c r="L74" s="626"/>
      <c r="M74" s="597" t="e">
        <f>92/E74</f>
        <v>#DIV/0!</v>
      </c>
      <c r="N74" s="1238" t="e">
        <f>Tabel6689172627[[#This Row],[Sew. 2015]]+Tabel6689172627[[#This Row],[WW 2015]]+Tabel6689172627[[#This Row],[Other ch. 2015]]</f>
        <v>#DIV/0!</v>
      </c>
      <c r="O74" s="570" t="e">
        <f>2049.96/E74</f>
        <v>#DIV/0!</v>
      </c>
      <c r="P74" s="571" t="e">
        <f>Tabel6689172627[[#This Row],[Total. ch. DW 2015]]+Tabel6689172627[[#This Row],[Sew. 2015]]+Tabel6689172627[[#This Row],[WW 2015]]+Tabel6689172627[[#This Row],[Other ch. 2015]]+Tabel6689172627[[#This Row],[VAT 2015]]</f>
        <v>#DIV/0!</v>
      </c>
      <c r="Q74" s="397"/>
      <c r="R74" s="1886"/>
      <c r="S74" s="1888"/>
      <c r="T74" s="1890"/>
      <c r="U74" s="1892"/>
      <c r="V74" s="1894"/>
      <c r="W74" s="1911"/>
      <c r="X74" s="1913"/>
      <c r="Y74" s="1915"/>
      <c r="Z74" s="1832"/>
      <c r="AA74" s="397"/>
      <c r="AB74" s="396"/>
      <c r="AC74" s="591" t="s">
        <v>429</v>
      </c>
      <c r="AD74" s="591"/>
      <c r="AE74" s="591"/>
      <c r="AF74" s="591" t="s">
        <v>429</v>
      </c>
      <c r="AG74" s="591" t="s">
        <v>429</v>
      </c>
      <c r="AH74" s="396"/>
      <c r="AI74" s="397"/>
    </row>
    <row r="75" spans="1:35" ht="16.5" thickBot="1" x14ac:dyDescent="0.3">
      <c r="A75" s="2295"/>
      <c r="B75" s="1213"/>
      <c r="C75" s="544" t="s">
        <v>90</v>
      </c>
      <c r="D75" s="1923"/>
      <c r="F75" s="625" t="e">
        <f>480/E75</f>
        <v>#DIV/0!</v>
      </c>
      <c r="G75" s="593" t="e">
        <f>1750/E75</f>
        <v>#DIV/0!</v>
      </c>
      <c r="H75" s="594" t="e">
        <f t="shared" si="22"/>
        <v>#DIV/0!</v>
      </c>
      <c r="I75" s="566" t="e">
        <f>Tabel6689172627[[#This Row],[Fix.ch. 2015]]+Tabel6689172627[[#This Row],[Var. ch. 2015]]+Tabel6689172627[[#This Row],[Oth. ch. DW 2015]]</f>
        <v>#DIV/0!</v>
      </c>
      <c r="J75" s="596">
        <v>0</v>
      </c>
      <c r="K75" s="626" t="e">
        <f>6228.8/E75</f>
        <v>#DIV/0!</v>
      </c>
      <c r="L75" s="626"/>
      <c r="M75" s="597" t="e">
        <f>102/E75</f>
        <v>#DIV/0!</v>
      </c>
      <c r="N75" s="1238" t="e">
        <f>Tabel6689172627[[#This Row],[Sew. 2015]]+Tabel6689172627[[#This Row],[WW 2015]]+Tabel6689172627[[#This Row],[Other ch. 2015]]</f>
        <v>#DIV/0!</v>
      </c>
      <c r="O75" s="570" t="e">
        <f>2466.7/E75</f>
        <v>#DIV/0!</v>
      </c>
      <c r="P75" s="571" t="e">
        <f>Tabel6689172627[[#This Row],[Total. ch. DW 2015]]+Tabel6689172627[[#This Row],[Sew. 2015]]+Tabel6689172627[[#This Row],[WW 2015]]+Tabel6689172627[[#This Row],[Other ch. 2015]]+Tabel6689172627[[#This Row],[VAT 2015]]</f>
        <v>#DIV/0!</v>
      </c>
      <c r="Q75" s="397"/>
      <c r="R75" s="1970"/>
      <c r="S75" s="1973"/>
      <c r="T75" s="1976"/>
      <c r="U75" s="1979"/>
      <c r="V75" s="1982"/>
      <c r="W75" s="1956"/>
      <c r="X75" s="1959"/>
      <c r="Y75" s="1962"/>
      <c r="Z75" s="1965"/>
      <c r="AA75" s="397"/>
      <c r="AB75" s="396"/>
      <c r="AC75" s="591" t="s">
        <v>429</v>
      </c>
      <c r="AD75" s="591"/>
      <c r="AE75" s="591"/>
      <c r="AF75" s="591" t="s">
        <v>429</v>
      </c>
      <c r="AG75" s="591" t="s">
        <v>429</v>
      </c>
      <c r="AH75" s="396"/>
      <c r="AI75" s="397"/>
    </row>
    <row r="76" spans="1:35" ht="15.75" x14ac:dyDescent="0.25">
      <c r="A76" s="1818" t="s">
        <v>12</v>
      </c>
      <c r="B76" s="1213"/>
      <c r="C76" s="1446" t="s">
        <v>91</v>
      </c>
      <c r="D76" s="1759">
        <v>41200</v>
      </c>
      <c r="F76" s="625" t="e">
        <f>38.59/E76</f>
        <v>#DIV/0!</v>
      </c>
      <c r="G76" s="593" t="e">
        <f>216/E76</f>
        <v>#DIV/0!</v>
      </c>
      <c r="H76" s="594">
        <v>0</v>
      </c>
      <c r="I76" s="566" t="e">
        <f>Tabel6689172627[[#This Row],[Fix.ch. 2015]]+Tabel6689172627[[#This Row],[Var. ch. 2015]]+Tabel6689172627[[#This Row],[Oth. ch. DW 2015]]</f>
        <v>#DIV/0!</v>
      </c>
      <c r="J76" s="596">
        <f>0</f>
        <v>0</v>
      </c>
      <c r="K76" s="626" t="e">
        <f>268/E76</f>
        <v>#DIV/0!</v>
      </c>
      <c r="L76" s="626"/>
      <c r="M76" s="597" t="e">
        <f>57.89/E76</f>
        <v>#DIV/0!</v>
      </c>
      <c r="N76" s="1238" t="e">
        <f>Tabel6689172627[[#This Row],[Sew. 2015]]+Tabel6689172627[[#This Row],[WW 2015]]+Tabel6689172627[[#This Row],[Other ch. 2015]]</f>
        <v>#DIV/0!</v>
      </c>
      <c r="O76" s="570" t="e">
        <f>139.32/E76</f>
        <v>#DIV/0!</v>
      </c>
      <c r="P76" s="571" t="e">
        <f>Tabel6689172627[[#This Row],[Total. ch. DW 2015]]+Tabel6689172627[[#This Row],[Sew. 2015]]+Tabel6689172627[[#This Row],[WW 2015]]+Tabel6689172627[[#This Row],[Other ch. 2015]]+Tabel6689172627[[#This Row],[VAT 2015]]</f>
        <v>#DIV/0!</v>
      </c>
      <c r="Q76" s="397"/>
      <c r="R76" s="1762" t="e">
        <f t="shared" ref="R76:W76" si="23">SUM(F76:F81)/6</f>
        <v>#DIV/0!</v>
      </c>
      <c r="S76" s="1765" t="e">
        <f t="shared" si="23"/>
        <v>#DIV/0!</v>
      </c>
      <c r="T76" s="1768">
        <f t="shared" si="23"/>
        <v>0</v>
      </c>
      <c r="U76" s="1774" t="e">
        <f t="shared" si="23"/>
        <v>#DIV/0!</v>
      </c>
      <c r="V76" s="1777">
        <f t="shared" si="23"/>
        <v>0</v>
      </c>
      <c r="W76" s="1810" t="e">
        <f t="shared" si="23"/>
        <v>#DIV/0!</v>
      </c>
      <c r="X76" s="1812" t="e">
        <f>SUM(M76:M81)/6</f>
        <v>#DIV/0!</v>
      </c>
      <c r="Y76" s="1814" t="e">
        <f t="shared" ref="Y76:Z76" si="24">SUM(O76:O81)/6</f>
        <v>#DIV/0!</v>
      </c>
      <c r="Z76" s="1793" t="e">
        <f t="shared" si="24"/>
        <v>#DIV/0!</v>
      </c>
      <c r="AA76" s="397"/>
      <c r="AB76" s="400"/>
      <c r="AC76" s="662" t="s">
        <v>429</v>
      </c>
      <c r="AD76" s="662"/>
      <c r="AE76" s="662"/>
      <c r="AF76" s="662" t="s">
        <v>429</v>
      </c>
      <c r="AG76" s="662" t="s">
        <v>429</v>
      </c>
      <c r="AH76" s="400"/>
      <c r="AI76" s="397"/>
    </row>
    <row r="77" spans="1:35" ht="15.75" x14ac:dyDescent="0.25">
      <c r="A77" s="2294"/>
      <c r="B77" s="1213"/>
      <c r="C77" s="543" t="s">
        <v>92</v>
      </c>
      <c r="D77" s="1880"/>
      <c r="F77" s="625" t="e">
        <f>38.59/E77</f>
        <v>#DIV/0!</v>
      </c>
      <c r="G77" s="593" t="e">
        <f>216/E77</f>
        <v>#DIV/0!</v>
      </c>
      <c r="H77" s="594">
        <v>0</v>
      </c>
      <c r="I77" s="566" t="e">
        <f>Tabel6689172627[[#This Row],[Fix.ch. 2015]]+Tabel6689172627[[#This Row],[Var. ch. 2015]]+Tabel6689172627[[#This Row],[Oth. ch. DW 2015]]</f>
        <v>#DIV/0!</v>
      </c>
      <c r="J77" s="596">
        <v>0</v>
      </c>
      <c r="K77" s="626" t="e">
        <f>268/E77</f>
        <v>#DIV/0!</v>
      </c>
      <c r="L77" s="626"/>
      <c r="M77" s="597" t="e">
        <f>57.89/E77</f>
        <v>#DIV/0!</v>
      </c>
      <c r="N77" s="1238" t="e">
        <f>Tabel6689172627[[#This Row],[Sew. 2015]]+Tabel6689172627[[#This Row],[WW 2015]]+Tabel6689172627[[#This Row],[Other ch. 2015]]</f>
        <v>#DIV/0!</v>
      </c>
      <c r="O77" s="570" t="e">
        <f>139.32/E77</f>
        <v>#DIV/0!</v>
      </c>
      <c r="P77" s="571" t="e">
        <f>Tabel6689172627[[#This Row],[Total. ch. DW 2015]]+Tabel6689172627[[#This Row],[Sew. 2015]]+Tabel6689172627[[#This Row],[WW 2015]]+Tabel6689172627[[#This Row],[Other ch. 2015]]+Tabel6689172627[[#This Row],[VAT 2015]]</f>
        <v>#DIV/0!</v>
      </c>
      <c r="Q77" s="397"/>
      <c r="R77" s="1886"/>
      <c r="S77" s="1888"/>
      <c r="T77" s="1890"/>
      <c r="U77" s="1892"/>
      <c r="V77" s="1894"/>
      <c r="W77" s="1911"/>
      <c r="X77" s="1913"/>
      <c r="Y77" s="1915"/>
      <c r="Z77" s="1832"/>
      <c r="AA77" s="397"/>
      <c r="AB77" s="400"/>
      <c r="AC77" s="662" t="s">
        <v>429</v>
      </c>
      <c r="AD77" s="662"/>
      <c r="AE77" s="662"/>
      <c r="AF77" s="662" t="s">
        <v>429</v>
      </c>
      <c r="AG77" s="662" t="s">
        <v>429</v>
      </c>
      <c r="AH77" s="400"/>
      <c r="AI77" s="397"/>
    </row>
    <row r="78" spans="1:35" ht="15.75" x14ac:dyDescent="0.25">
      <c r="A78" s="2294"/>
      <c r="B78" s="1213"/>
      <c r="C78" s="543" t="s">
        <v>93</v>
      </c>
      <c r="D78" s="1880"/>
      <c r="F78" s="625" t="e">
        <f>41.94/E78</f>
        <v>#DIV/0!</v>
      </c>
      <c r="G78" s="593" t="e">
        <f>246/E78</f>
        <v>#DIV/0!</v>
      </c>
      <c r="H78" s="594">
        <v>0</v>
      </c>
      <c r="I78" s="566" t="e">
        <f>Tabel6689172627[[#This Row],[Fix.ch. 2015]]+Tabel6689172627[[#This Row],[Var. ch. 2015]]+Tabel6689172627[[#This Row],[Oth. ch. DW 2015]]</f>
        <v>#DIV/0!</v>
      </c>
      <c r="J78" s="596">
        <v>0</v>
      </c>
      <c r="K78" s="626" t="e">
        <f>336/E78</f>
        <v>#DIV/0!</v>
      </c>
      <c r="L78" s="626"/>
      <c r="M78" s="597" t="e">
        <f>41.94/E78</f>
        <v>#DIV/0!</v>
      </c>
      <c r="N78" s="1238" t="e">
        <f>Tabel6689172627[[#This Row],[Sew. 2015]]+Tabel6689172627[[#This Row],[WW 2015]]+Tabel6689172627[[#This Row],[Other ch. 2015]]</f>
        <v>#DIV/0!</v>
      </c>
      <c r="O78" s="570" t="e">
        <f>159.81/E78</f>
        <v>#DIV/0!</v>
      </c>
      <c r="P78" s="571" t="e">
        <f>Tabel6689172627[[#This Row],[Total. ch. DW 2015]]+Tabel6689172627[[#This Row],[Sew. 2015]]+Tabel6689172627[[#This Row],[WW 2015]]+Tabel6689172627[[#This Row],[Other ch. 2015]]+Tabel6689172627[[#This Row],[VAT 2015]]</f>
        <v>#DIV/0!</v>
      </c>
      <c r="Q78" s="397"/>
      <c r="R78" s="1886"/>
      <c r="S78" s="1888"/>
      <c r="T78" s="1890"/>
      <c r="U78" s="1892"/>
      <c r="V78" s="1894"/>
      <c r="W78" s="1911"/>
      <c r="X78" s="1913"/>
      <c r="Y78" s="1915"/>
      <c r="Z78" s="1832"/>
      <c r="AA78" s="397"/>
      <c r="AB78" s="400"/>
      <c r="AC78" s="662" t="s">
        <v>429</v>
      </c>
      <c r="AD78" s="662"/>
      <c r="AE78" s="662"/>
      <c r="AF78" s="662" t="s">
        <v>429</v>
      </c>
      <c r="AG78" s="662" t="s">
        <v>429</v>
      </c>
      <c r="AH78" s="400"/>
      <c r="AI78" s="397"/>
    </row>
    <row r="79" spans="1:35" ht="15.75" x14ac:dyDescent="0.25">
      <c r="A79" s="2294"/>
      <c r="B79" s="1213"/>
      <c r="C79" s="543" t="s">
        <v>94</v>
      </c>
      <c r="D79" s="1880"/>
      <c r="F79" s="625" t="e">
        <f>76.92/E79</f>
        <v>#DIV/0!</v>
      </c>
      <c r="G79" s="593" t="e">
        <f>218/E79</f>
        <v>#DIV/0!</v>
      </c>
      <c r="H79" s="594">
        <v>0</v>
      </c>
      <c r="I79" s="566" t="e">
        <f>Tabel6689172627[[#This Row],[Fix.ch. 2015]]+Tabel6689172627[[#This Row],[Var. ch. 2015]]+Tabel6689172627[[#This Row],[Oth. ch. DW 2015]]</f>
        <v>#DIV/0!</v>
      </c>
      <c r="J79" s="596">
        <v>0</v>
      </c>
      <c r="K79" s="626" t="e">
        <f>320/E79</f>
        <v>#DIV/0!</v>
      </c>
      <c r="L79" s="626"/>
      <c r="M79" s="597" t="e">
        <f>76.92/E79</f>
        <v>#DIV/0!</v>
      </c>
      <c r="N79" s="1238" t="e">
        <f>Tabel6689172627[[#This Row],[Sew. 2015]]+Tabel6689172627[[#This Row],[WW 2015]]+Tabel6689172627[[#This Row],[Other ch. 2015]]</f>
        <v>#DIV/0!</v>
      </c>
      <c r="O79" s="570" t="e">
        <f>166.04/E79</f>
        <v>#DIV/0!</v>
      </c>
      <c r="P79" s="571" t="e">
        <f>Tabel6689172627[[#This Row],[Total. ch. DW 2015]]+Tabel6689172627[[#This Row],[Sew. 2015]]+Tabel6689172627[[#This Row],[WW 2015]]+Tabel6689172627[[#This Row],[Other ch. 2015]]+Tabel6689172627[[#This Row],[VAT 2015]]</f>
        <v>#DIV/0!</v>
      </c>
      <c r="Q79" s="397"/>
      <c r="R79" s="1886"/>
      <c r="S79" s="1888"/>
      <c r="T79" s="1890"/>
      <c r="U79" s="1892"/>
      <c r="V79" s="1894"/>
      <c r="W79" s="1911"/>
      <c r="X79" s="1913"/>
      <c r="Y79" s="1915"/>
      <c r="Z79" s="1832"/>
      <c r="AA79" s="397"/>
      <c r="AB79" s="400"/>
      <c r="AC79" s="662" t="s">
        <v>429</v>
      </c>
      <c r="AD79" s="662"/>
      <c r="AE79" s="662"/>
      <c r="AF79" s="662" t="s">
        <v>429</v>
      </c>
      <c r="AG79" s="662" t="s">
        <v>429</v>
      </c>
      <c r="AH79" s="400"/>
      <c r="AI79" s="397"/>
    </row>
    <row r="80" spans="1:35" ht="15.75" x14ac:dyDescent="0.25">
      <c r="A80" s="2294"/>
      <c r="B80" s="1213"/>
      <c r="C80" s="543" t="s">
        <v>95</v>
      </c>
      <c r="D80" s="1880"/>
      <c r="F80" s="625" t="e">
        <f>108/E80</f>
        <v>#DIV/0!</v>
      </c>
      <c r="G80" s="593" t="e">
        <f>254/E80</f>
        <v>#DIV/0!</v>
      </c>
      <c r="H80" s="594">
        <v>0</v>
      </c>
      <c r="I80" s="566" t="e">
        <f>Tabel6689172627[[#This Row],[Fix.ch. 2015]]+Tabel6689172627[[#This Row],[Var. ch. 2015]]+Tabel6689172627[[#This Row],[Oth. ch. DW 2015]]</f>
        <v>#DIV/0!</v>
      </c>
      <c r="J80" s="596">
        <v>0</v>
      </c>
      <c r="K80" s="626" t="e">
        <f>316/E80</f>
        <v>#DIV/0!</v>
      </c>
      <c r="L80" s="626"/>
      <c r="M80" s="597" t="e">
        <f>60/E80</f>
        <v>#DIV/0!</v>
      </c>
      <c r="N80" s="1238" t="e">
        <f>Tabel6689172627[[#This Row],[Sew. 2015]]+Tabel6689172627[[#This Row],[WW 2015]]+Tabel6689172627[[#This Row],[Other ch. 2015]]</f>
        <v>#DIV/0!</v>
      </c>
      <c r="O80" s="570" t="e">
        <f>177.12/E80</f>
        <v>#DIV/0!</v>
      </c>
      <c r="P80" s="571" t="e">
        <f>Tabel6689172627[[#This Row],[Total. ch. DW 2015]]+Tabel6689172627[[#This Row],[Sew. 2015]]+Tabel6689172627[[#This Row],[WW 2015]]+Tabel6689172627[[#This Row],[Other ch. 2015]]+Tabel6689172627[[#This Row],[VAT 2015]]</f>
        <v>#DIV/0!</v>
      </c>
      <c r="Q80" s="397"/>
      <c r="R80" s="1886"/>
      <c r="S80" s="1888"/>
      <c r="T80" s="1890"/>
      <c r="U80" s="1892"/>
      <c r="V80" s="1894"/>
      <c r="W80" s="1911"/>
      <c r="X80" s="1913"/>
      <c r="Y80" s="1915"/>
      <c r="Z80" s="1832"/>
      <c r="AA80" s="397"/>
      <c r="AB80" s="400"/>
      <c r="AC80" s="662" t="s">
        <v>429</v>
      </c>
      <c r="AD80" s="662"/>
      <c r="AE80" s="662"/>
      <c r="AF80" s="662" t="s">
        <v>429</v>
      </c>
      <c r="AG80" s="662" t="s">
        <v>429</v>
      </c>
      <c r="AH80" s="400"/>
      <c r="AI80" s="397"/>
    </row>
    <row r="81" spans="1:35" ht="16.5" thickBot="1" x14ac:dyDescent="0.3">
      <c r="A81" s="2295"/>
      <c r="B81" s="1213"/>
      <c r="C81" s="544" t="s">
        <v>195</v>
      </c>
      <c r="D81" s="1923"/>
      <c r="F81" s="625" t="e">
        <f>38.59/E81</f>
        <v>#DIV/0!</v>
      </c>
      <c r="G81" s="593" t="e">
        <f>216/E81</f>
        <v>#DIV/0!</v>
      </c>
      <c r="H81" s="594">
        <v>0</v>
      </c>
      <c r="I81" s="566" t="e">
        <f>Tabel6689172627[[#This Row],[Fix.ch. 2015]]+Tabel6689172627[[#This Row],[Var. ch. 2015]]+Tabel6689172627[[#This Row],[Oth. ch. DW 2015]]</f>
        <v>#DIV/0!</v>
      </c>
      <c r="J81" s="596">
        <v>0</v>
      </c>
      <c r="K81" s="626" t="e">
        <f>268/E81</f>
        <v>#DIV/0!</v>
      </c>
      <c r="L81" s="626"/>
      <c r="M81" s="597" t="e">
        <f>57.89/E81</f>
        <v>#DIV/0!</v>
      </c>
      <c r="N81" s="1238" t="e">
        <f>Tabel6689172627[[#This Row],[Sew. 2015]]+Tabel6689172627[[#This Row],[WW 2015]]+Tabel6689172627[[#This Row],[Other ch. 2015]]</f>
        <v>#DIV/0!</v>
      </c>
      <c r="O81" s="570" t="e">
        <f>139.32/E81</f>
        <v>#DIV/0!</v>
      </c>
      <c r="P81" s="571" t="e">
        <f>Tabel6689172627[[#This Row],[Total. ch. DW 2015]]+Tabel6689172627[[#This Row],[Sew. 2015]]+Tabel6689172627[[#This Row],[WW 2015]]+Tabel6689172627[[#This Row],[Other ch. 2015]]+Tabel6689172627[[#This Row],[VAT 2015]]</f>
        <v>#DIV/0!</v>
      </c>
      <c r="Q81" s="397"/>
      <c r="R81" s="1970"/>
      <c r="S81" s="1973"/>
      <c r="T81" s="1976"/>
      <c r="U81" s="1979"/>
      <c r="V81" s="1982"/>
      <c r="W81" s="1956"/>
      <c r="X81" s="1959"/>
      <c r="Y81" s="1962"/>
      <c r="Z81" s="1965"/>
      <c r="AA81" s="397"/>
      <c r="AB81" s="400"/>
      <c r="AC81" s="662" t="s">
        <v>429</v>
      </c>
      <c r="AD81" s="662"/>
      <c r="AE81" s="662"/>
      <c r="AF81" s="662" t="s">
        <v>429</v>
      </c>
      <c r="AG81" s="662" t="s">
        <v>429</v>
      </c>
      <c r="AH81" s="400"/>
      <c r="AI81" s="397"/>
    </row>
    <row r="82" spans="1:35" ht="15.75" customHeight="1" x14ac:dyDescent="0.25">
      <c r="A82" s="1878" t="s">
        <v>13</v>
      </c>
      <c r="B82" s="1213"/>
      <c r="C82" s="1446" t="s">
        <v>97</v>
      </c>
      <c r="D82" s="1759">
        <v>41400</v>
      </c>
      <c r="F82" s="625" t="e">
        <f>54.91/E82</f>
        <v>#DIV/0!</v>
      </c>
      <c r="G82" s="593" t="e">
        <f>(1.07*200)/E82</f>
        <v>#DIV/0!</v>
      </c>
      <c r="H82" s="594" t="e">
        <f>(0.4*200)/E82</f>
        <v>#DIV/0!</v>
      </c>
      <c r="I82" s="566" t="e">
        <f>Tabel6689172627[[#This Row],[Fix.ch. 2015]]+Tabel6689172627[[#This Row],[Var. ch. 2015]]+Tabel6689172627[[#This Row],[Oth. ch. DW 2015]]</f>
        <v>#DIV/0!</v>
      </c>
      <c r="J82" s="596" t="e">
        <f>(1.1*200)/E82</f>
        <v>#DIV/0!</v>
      </c>
      <c r="K82" s="626" t="e">
        <f>(0*200)/E82</f>
        <v>#DIV/0!</v>
      </c>
      <c r="L82" s="626"/>
      <c r="M82" s="597" t="e">
        <f>(0.235*200)/E82</f>
        <v>#DIV/0!</v>
      </c>
      <c r="N82" s="1238" t="e">
        <f>Tabel6689172627[[#This Row],[Sew. 2015]]+Tabel6689172627[[#This Row],[WW 2015]]+Tabel6689172627[[#This Row],[Other ch. 2015]]</f>
        <v>#DIV/0!</v>
      </c>
      <c r="O82" s="570" t="e">
        <f>(19.13+26.62)/E82</f>
        <v>#DIV/0!</v>
      </c>
      <c r="P82" s="571" t="e">
        <f>Tabel6689172627[[#This Row],[Total. ch. DW 2015]]+Tabel6689172627[[#This Row],[Sew. 2015]]+Tabel6689172627[[#This Row],[WW 2015]]+Tabel6689172627[[#This Row],[Other ch. 2015]]+Tabel6689172627[[#This Row],[VAT 2015]]</f>
        <v>#DIV/0!</v>
      </c>
      <c r="Q82" s="397"/>
      <c r="R82" s="1762" t="e">
        <f t="shared" ref="R82:W82" si="25">SUM(F82:F92)/11</f>
        <v>#DIV/0!</v>
      </c>
      <c r="S82" s="1765" t="e">
        <f t="shared" si="25"/>
        <v>#DIV/0!</v>
      </c>
      <c r="T82" s="1768" t="e">
        <f t="shared" si="25"/>
        <v>#DIV/0!</v>
      </c>
      <c r="U82" s="1774" t="e">
        <f t="shared" si="25"/>
        <v>#DIV/0!</v>
      </c>
      <c r="V82" s="1777" t="e">
        <f t="shared" si="25"/>
        <v>#DIV/0!</v>
      </c>
      <c r="W82" s="1810" t="e">
        <f t="shared" si="25"/>
        <v>#DIV/0!</v>
      </c>
      <c r="X82" s="1812" t="e">
        <f>SUM(M82:M92)/11</f>
        <v>#DIV/0!</v>
      </c>
      <c r="Y82" s="1814" t="e">
        <f t="shared" ref="Y82:Z82" si="26">SUM(O82:O92)/11</f>
        <v>#DIV/0!</v>
      </c>
      <c r="Z82" s="2260" t="e">
        <f t="shared" si="26"/>
        <v>#DIV/0!</v>
      </c>
      <c r="AA82" s="397"/>
      <c r="AB82" s="398"/>
      <c r="AC82" s="591" t="s">
        <v>429</v>
      </c>
      <c r="AD82" s="396"/>
      <c r="AE82" s="591" t="s">
        <v>429</v>
      </c>
      <c r="AF82" s="591" t="s">
        <v>429</v>
      </c>
      <c r="AG82" s="396"/>
      <c r="AH82" s="398"/>
      <c r="AI82" t="s">
        <v>1349</v>
      </c>
    </row>
    <row r="83" spans="1:35" ht="15.75" customHeight="1" x14ac:dyDescent="0.25">
      <c r="A83" s="1757"/>
      <c r="B83" s="1213"/>
      <c r="C83" s="543" t="s">
        <v>98</v>
      </c>
      <c r="D83" s="1880"/>
      <c r="F83" s="625" t="e">
        <f>0/E83</f>
        <v>#DIV/0!</v>
      </c>
      <c r="G83" s="593" t="e">
        <f>(1.48*200)/E83</f>
        <v>#DIV/0!</v>
      </c>
      <c r="H83" s="594" t="e">
        <f>(0.48*200)/E83</f>
        <v>#DIV/0!</v>
      </c>
      <c r="I83" s="566" t="e">
        <f>Tabel6689172627[[#This Row],[Fix.ch. 2015]]+Tabel6689172627[[#This Row],[Var. ch. 2015]]+Tabel6689172627[[#This Row],[Oth. ch. DW 2015]]</f>
        <v>#DIV/0!</v>
      </c>
      <c r="J83" s="596" t="e">
        <f>(1.78*200)/E83</f>
        <v>#DIV/0!</v>
      </c>
      <c r="K83" s="626" t="e">
        <f>(0*200)/E83</f>
        <v>#DIV/0!</v>
      </c>
      <c r="L83" s="626"/>
      <c r="M83" s="597" t="e">
        <f>(0.2999*200)/E83</f>
        <v>#DIV/0!</v>
      </c>
      <c r="N83" s="1238" t="e">
        <f>Tabel6689172627[[#This Row],[Sew. 2015]]+Tabel6689172627[[#This Row],[WW 2015]]+Tabel6689172627[[#This Row],[Other ch. 2015]]</f>
        <v>#DIV/0!</v>
      </c>
      <c r="O83" s="570" t="e">
        <f>(21.46+41.67)/E83</f>
        <v>#DIV/0!</v>
      </c>
      <c r="P83" s="571" t="e">
        <f>Tabel6689172627[[#This Row],[Total. ch. DW 2015]]+Tabel6689172627[[#This Row],[Sew. 2015]]+Tabel6689172627[[#This Row],[WW 2015]]+Tabel6689172627[[#This Row],[Other ch. 2015]]+Tabel6689172627[[#This Row],[VAT 2015]]</f>
        <v>#DIV/0!</v>
      </c>
      <c r="Q83" s="397"/>
      <c r="R83" s="1886"/>
      <c r="S83" s="1888"/>
      <c r="T83" s="1890"/>
      <c r="U83" s="1892"/>
      <c r="V83" s="1894"/>
      <c r="W83" s="1911"/>
      <c r="X83" s="1913"/>
      <c r="Y83" s="1915"/>
      <c r="Z83" s="2053"/>
      <c r="AA83" s="397"/>
      <c r="AB83" s="398"/>
      <c r="AC83" s="591" t="s">
        <v>429</v>
      </c>
      <c r="AD83" s="396"/>
      <c r="AE83" s="396"/>
      <c r="AF83" s="591" t="s">
        <v>429</v>
      </c>
      <c r="AG83" s="396"/>
      <c r="AH83" s="398"/>
      <c r="AI83" t="s">
        <v>1349</v>
      </c>
    </row>
    <row r="84" spans="1:35" ht="15.75" customHeight="1" x14ac:dyDescent="0.25">
      <c r="A84" s="1757"/>
      <c r="B84" s="1213"/>
      <c r="C84" s="543" t="s">
        <v>99</v>
      </c>
      <c r="D84" s="1880"/>
      <c r="F84" s="625" t="e">
        <f>18.41/E84</f>
        <v>#DIV/0!</v>
      </c>
      <c r="G84" s="593" t="e">
        <f>(1.12*200)/E84</f>
        <v>#DIV/0!</v>
      </c>
      <c r="H84" s="594" t="e">
        <f>(0.45*200)/E84</f>
        <v>#DIV/0!</v>
      </c>
      <c r="I84" s="566" t="e">
        <f>Tabel6689172627[[#This Row],[Fix.ch. 2015]]+Tabel6689172627[[#This Row],[Var. ch. 2015]]+Tabel6689172627[[#This Row],[Oth. ch. DW 2015]]</f>
        <v>#DIV/0!</v>
      </c>
      <c r="J84" s="596" t="e">
        <f>(1.46*200)/E84</f>
        <v>#DIV/0!</v>
      </c>
      <c r="K84" s="626" t="e">
        <f>(0*200)/E84</f>
        <v>#DIV/0!</v>
      </c>
      <c r="L84" s="626"/>
      <c r="M84" s="597" t="e">
        <f>(0.2616*200)/E84</f>
        <v>#DIV/0!</v>
      </c>
      <c r="N84" s="1238" t="e">
        <f>Tabel6689172627[[#This Row],[Sew. 2015]]+Tabel6689172627[[#This Row],[WW 2015]]+Tabel6689172627[[#This Row],[Other ch. 2015]]</f>
        <v>#DIV/0!</v>
      </c>
      <c r="O84" s="570" t="e">
        <f>(18.3+34.49)/E84</f>
        <v>#DIV/0!</v>
      </c>
      <c r="P84" s="571" t="e">
        <f>Tabel6689172627[[#This Row],[Total. ch. DW 2015]]+Tabel6689172627[[#This Row],[Sew. 2015]]+Tabel6689172627[[#This Row],[WW 2015]]+Tabel6689172627[[#This Row],[Other ch. 2015]]+Tabel6689172627[[#This Row],[VAT 2015]]</f>
        <v>#DIV/0!</v>
      </c>
      <c r="Q84" s="397"/>
      <c r="R84" s="1886"/>
      <c r="S84" s="1888"/>
      <c r="T84" s="1890"/>
      <c r="U84" s="1892"/>
      <c r="V84" s="1894"/>
      <c r="W84" s="1911"/>
      <c r="X84" s="1913"/>
      <c r="Y84" s="1915"/>
      <c r="Z84" s="2053"/>
      <c r="AA84" s="397"/>
      <c r="AB84" s="398"/>
      <c r="AC84" s="591" t="s">
        <v>429</v>
      </c>
      <c r="AD84" s="591" t="s">
        <v>429</v>
      </c>
      <c r="AE84" s="396"/>
      <c r="AF84" s="591" t="s">
        <v>429</v>
      </c>
      <c r="AG84" s="396"/>
      <c r="AH84" s="398"/>
      <c r="AI84" t="s">
        <v>1349</v>
      </c>
    </row>
    <row r="85" spans="1:35" ht="15.75" customHeight="1" x14ac:dyDescent="0.25">
      <c r="A85" s="1757"/>
      <c r="B85" s="1213"/>
      <c r="C85" s="543" t="s">
        <v>100</v>
      </c>
      <c r="D85" s="1880"/>
      <c r="F85" s="625" t="e">
        <f>60.96/E85</f>
        <v>#DIV/0!</v>
      </c>
      <c r="G85" s="593" t="e">
        <f>(1.18*200)/E85</f>
        <v>#DIV/0!</v>
      </c>
      <c r="H85" s="594" t="e">
        <f>(0.35*200)/E85</f>
        <v>#DIV/0!</v>
      </c>
      <c r="I85" s="566" t="e">
        <f>Tabel6689172627[[#This Row],[Fix.ch. 2015]]+Tabel6689172627[[#This Row],[Var. ch. 2015]]+Tabel6689172627[[#This Row],[Oth. ch. DW 2015]]</f>
        <v>#DIV/0!</v>
      </c>
      <c r="J85" s="596" t="e">
        <f>(0.96*200)/E85</f>
        <v>#DIV/0!</v>
      </c>
      <c r="K85" s="626">
        <v>0</v>
      </c>
      <c r="L85" s="626"/>
      <c r="M85" s="597" t="e">
        <f>(0.1764*200)/E85</f>
        <v>#DIV/0!</v>
      </c>
      <c r="N85" s="1238" t="e">
        <f>Tabel6689172627[[#This Row],[Sew. 2015]]+Tabel6689172627[[#This Row],[WW 2015]]+Tabel6689172627[[#This Row],[Other ch. 2015]]</f>
        <v>#DIV/0!</v>
      </c>
      <c r="O85" s="570" t="e">
        <f>(20.18+22.78)/E85</f>
        <v>#DIV/0!</v>
      </c>
      <c r="P85" s="571" t="e">
        <f>Tabel6689172627[[#This Row],[Total. ch. DW 2015]]+Tabel6689172627[[#This Row],[Sew. 2015]]+Tabel6689172627[[#This Row],[WW 2015]]+Tabel6689172627[[#This Row],[Other ch. 2015]]+Tabel6689172627[[#This Row],[VAT 2015]]</f>
        <v>#DIV/0!</v>
      </c>
      <c r="Q85" s="397"/>
      <c r="R85" s="1886"/>
      <c r="S85" s="1888"/>
      <c r="T85" s="1890"/>
      <c r="U85" s="1892"/>
      <c r="V85" s="1894"/>
      <c r="W85" s="1911"/>
      <c r="X85" s="1913"/>
      <c r="Y85" s="1915"/>
      <c r="Z85" s="2053"/>
      <c r="AA85" s="397"/>
      <c r="AB85" s="398"/>
      <c r="AC85" s="591" t="s">
        <v>429</v>
      </c>
      <c r="AD85" s="396"/>
      <c r="AE85" s="396"/>
      <c r="AF85" s="591" t="s">
        <v>429</v>
      </c>
      <c r="AG85" s="396"/>
      <c r="AH85" s="398"/>
      <c r="AI85" t="s">
        <v>1349</v>
      </c>
    </row>
    <row r="86" spans="1:35" ht="15.75" customHeight="1" x14ac:dyDescent="0.25">
      <c r="A86" s="1757"/>
      <c r="B86" s="1213"/>
      <c r="C86" s="543" t="s">
        <v>101</v>
      </c>
      <c r="D86" s="1880"/>
      <c r="F86" s="625" t="e">
        <f>21.02/E86</f>
        <v>#DIV/0!</v>
      </c>
      <c r="G86" s="593" t="e">
        <f>(0.99*200)/E86</f>
        <v>#DIV/0!</v>
      </c>
      <c r="H86" s="594" t="e">
        <f>(0.49*200)/E86</f>
        <v>#DIV/0!</v>
      </c>
      <c r="I86" s="566" t="e">
        <f>Tabel6689172627[[#This Row],[Fix.ch. 2015]]+Tabel6689172627[[#This Row],[Var. ch. 2015]]+Tabel6689172627[[#This Row],[Oth. ch. DW 2015]]</f>
        <v>#DIV/0!</v>
      </c>
      <c r="J86" s="596" t="e">
        <f>(0.29*200)/E86</f>
        <v>#DIV/0!</v>
      </c>
      <c r="K86" s="626" t="e">
        <f>(0.97*200)/E86</f>
        <v>#DIV/0!</v>
      </c>
      <c r="L86" s="626"/>
      <c r="M86" s="597" t="e">
        <f>(0.3*200)/E86</f>
        <v>#DIV/0!</v>
      </c>
      <c r="N86" s="1238" t="e">
        <f>Tabel6689172627[[#This Row],[Sew. 2015]]+Tabel6689172627[[#This Row],[WW 2015]]+Tabel6689172627[[#This Row],[Other ch. 2015]]</f>
        <v>#DIV/0!</v>
      </c>
      <c r="O86" s="570" t="e">
        <f>(17.4+31.08)/E86</f>
        <v>#DIV/0!</v>
      </c>
      <c r="P86" s="571" t="e">
        <f>Tabel6689172627[[#This Row],[Total. ch. DW 2015]]+Tabel6689172627[[#This Row],[Sew. 2015]]+Tabel6689172627[[#This Row],[WW 2015]]+Tabel6689172627[[#This Row],[Other ch. 2015]]+Tabel6689172627[[#This Row],[VAT 2015]]</f>
        <v>#DIV/0!</v>
      </c>
      <c r="Q86" s="397"/>
      <c r="R86" s="1886"/>
      <c r="S86" s="1888"/>
      <c r="T86" s="1890"/>
      <c r="U86" s="1892"/>
      <c r="V86" s="1894"/>
      <c r="W86" s="1911"/>
      <c r="X86" s="1913"/>
      <c r="Y86" s="1915"/>
      <c r="Z86" s="2053"/>
      <c r="AA86" s="397"/>
      <c r="AB86" s="398"/>
      <c r="AC86" s="591" t="s">
        <v>429</v>
      </c>
      <c r="AD86" s="396"/>
      <c r="AE86" s="396"/>
      <c r="AF86" s="591" t="s">
        <v>429</v>
      </c>
      <c r="AG86" s="396"/>
      <c r="AH86" s="398"/>
      <c r="AI86" t="s">
        <v>1349</v>
      </c>
    </row>
    <row r="87" spans="1:35" ht="15.75" customHeight="1" x14ac:dyDescent="0.25">
      <c r="A87" s="1757"/>
      <c r="B87" s="1213"/>
      <c r="C87" s="543" t="s">
        <v>630</v>
      </c>
      <c r="D87" s="1880"/>
      <c r="F87" s="625" t="e">
        <f>28.36/E87</f>
        <v>#DIV/0!</v>
      </c>
      <c r="G87" s="593" t="e">
        <f>(1*200)/E87</f>
        <v>#DIV/0!</v>
      </c>
      <c r="H87" s="594" t="e">
        <f>(0.4*200)/E87</f>
        <v>#DIV/0!</v>
      </c>
      <c r="I87" s="566" t="e">
        <f>Tabel6689172627[[#This Row],[Fix.ch. 2015]]+Tabel6689172627[[#This Row],[Var. ch. 2015]]+Tabel6689172627[[#This Row],[Oth. ch. DW 2015]]</f>
        <v>#DIV/0!</v>
      </c>
      <c r="J87" s="596" t="e">
        <f>(0.5*200)/E87</f>
        <v>#DIV/0!</v>
      </c>
      <c r="K87" s="626" t="e">
        <f>(0.46*200)/E87</f>
        <v>#DIV/0!</v>
      </c>
      <c r="L87" s="626"/>
      <c r="M87" s="597" t="e">
        <f>(0.4*200)/E87</f>
        <v>#DIV/0!</v>
      </c>
      <c r="N87" s="1238" t="e">
        <f>Tabel6689172627[[#This Row],[Sew. 2015]]+Tabel6689172627[[#This Row],[WW 2015]]+Tabel6689172627[[#This Row],[Other ch. 2015]]</f>
        <v>#DIV/0!</v>
      </c>
      <c r="O87" s="570" t="e">
        <f>(16.9+27.18)/E87</f>
        <v>#DIV/0!</v>
      </c>
      <c r="P87" s="571" t="e">
        <f>Tabel6689172627[[#This Row],[Total. ch. DW 2015]]+Tabel6689172627[[#This Row],[Sew. 2015]]+Tabel6689172627[[#This Row],[WW 2015]]+Tabel6689172627[[#This Row],[Other ch. 2015]]+Tabel6689172627[[#This Row],[VAT 2015]]</f>
        <v>#DIV/0!</v>
      </c>
      <c r="Q87" s="397"/>
      <c r="R87" s="1886"/>
      <c r="S87" s="1888"/>
      <c r="T87" s="1890"/>
      <c r="U87" s="1892"/>
      <c r="V87" s="1894"/>
      <c r="W87" s="1911"/>
      <c r="X87" s="1913"/>
      <c r="Y87" s="1915"/>
      <c r="Z87" s="2053"/>
      <c r="AA87" s="397"/>
      <c r="AB87" s="398"/>
      <c r="AC87" s="591" t="s">
        <v>429</v>
      </c>
      <c r="AD87" s="396"/>
      <c r="AE87" s="396"/>
      <c r="AF87" s="591" t="s">
        <v>429</v>
      </c>
      <c r="AG87" s="396"/>
      <c r="AH87" s="398"/>
      <c r="AI87" t="s">
        <v>1349</v>
      </c>
    </row>
    <row r="88" spans="1:35" ht="15.75" customHeight="1" x14ac:dyDescent="0.25">
      <c r="A88" s="1757"/>
      <c r="B88" s="1213"/>
      <c r="C88" s="543" t="s">
        <v>631</v>
      </c>
      <c r="D88" s="1880"/>
      <c r="F88" s="625" t="e">
        <f>10.95/E88</f>
        <v>#DIV/0!</v>
      </c>
      <c r="G88" s="593" t="e">
        <f>(0.93*200)/E88</f>
        <v>#DIV/0!</v>
      </c>
      <c r="H88" s="594" t="e">
        <f>(0.44*200)/E88</f>
        <v>#DIV/0!</v>
      </c>
      <c r="I88" s="566" t="e">
        <f>Tabel6689172627[[#This Row],[Fix.ch. 2015]]+Tabel6689172627[[#This Row],[Var. ch. 2015]]+Tabel6689172627[[#This Row],[Oth. ch. DW 2015]]</f>
        <v>#DIV/0!</v>
      </c>
      <c r="J88" s="596" t="e">
        <f>(1.16*200)/E88</f>
        <v>#DIV/0!</v>
      </c>
      <c r="K88" s="626" t="e">
        <f>(0*200)/E88</f>
        <v>#DIV/0!</v>
      </c>
      <c r="L88" s="626"/>
      <c r="M88" s="597" t="e">
        <f>(0.3*200)/E88</f>
        <v>#DIV/0!</v>
      </c>
      <c r="N88" s="1238" t="e">
        <f>Tabel6689172627[[#This Row],[Sew. 2015]]+Tabel6689172627[[#This Row],[WW 2015]]+Tabel6689172627[[#This Row],[Other ch. 2015]]</f>
        <v>#DIV/0!</v>
      </c>
      <c r="O88" s="570" t="e">
        <f>(15.66+29.2)/E88</f>
        <v>#DIV/0!</v>
      </c>
      <c r="P88" s="571" t="e">
        <f>Tabel6689172627[[#This Row],[Total. ch. DW 2015]]+Tabel6689172627[[#This Row],[Sew. 2015]]+Tabel6689172627[[#This Row],[WW 2015]]+Tabel6689172627[[#This Row],[Other ch. 2015]]+Tabel6689172627[[#This Row],[VAT 2015]]</f>
        <v>#DIV/0!</v>
      </c>
      <c r="Q88" s="397"/>
      <c r="R88" s="1886"/>
      <c r="S88" s="1888"/>
      <c r="T88" s="1890"/>
      <c r="U88" s="1892"/>
      <c r="V88" s="1894"/>
      <c r="W88" s="1911"/>
      <c r="X88" s="1913"/>
      <c r="Y88" s="1915"/>
      <c r="Z88" s="2053"/>
      <c r="AA88" s="397"/>
      <c r="AB88" s="398"/>
      <c r="AC88" s="591" t="s">
        <v>429</v>
      </c>
      <c r="AD88" s="396"/>
      <c r="AE88" s="396"/>
      <c r="AF88" s="591"/>
      <c r="AG88" s="396"/>
      <c r="AH88" s="398"/>
      <c r="AI88" t="s">
        <v>1349</v>
      </c>
    </row>
    <row r="89" spans="1:35" ht="15.75" customHeight="1" x14ac:dyDescent="0.25">
      <c r="A89" s="1757"/>
      <c r="B89" s="1213"/>
      <c r="C89" s="543" t="s">
        <v>632</v>
      </c>
      <c r="D89" s="1880"/>
      <c r="F89" s="625" t="e">
        <f>42.15/E89</f>
        <v>#DIV/0!</v>
      </c>
      <c r="G89" s="593" t="e">
        <f>(1.48*200)/E89</f>
        <v>#DIV/0!</v>
      </c>
      <c r="H89" s="594" t="e">
        <f>(0.46*200)/E89</f>
        <v>#DIV/0!</v>
      </c>
      <c r="I89" s="566" t="e">
        <f>Tabel6689172627[[#This Row],[Fix.ch. 2015]]+Tabel6689172627[[#This Row],[Var. ch. 2015]]+Tabel6689172627[[#This Row],[Oth. ch. DW 2015]]</f>
        <v>#DIV/0!</v>
      </c>
      <c r="J89" s="596" t="e">
        <f>(1*200)/E89</f>
        <v>#DIV/0!</v>
      </c>
      <c r="K89" s="626">
        <v>0</v>
      </c>
      <c r="L89" s="626"/>
      <c r="M89" s="597" t="e">
        <f>(0.2966*200)/E89</f>
        <v>#DIV/0!</v>
      </c>
      <c r="N89" s="1238" t="e">
        <f>Tabel6689172627[[#This Row],[Sew. 2015]]+Tabel6689172627[[#This Row],[WW 2015]]+Tabel6689172627[[#This Row],[Other ch. 2015]]</f>
        <v>#DIV/0!</v>
      </c>
      <c r="O89" s="570" t="e">
        <f>(23.6+25.84)/E89</f>
        <v>#DIV/0!</v>
      </c>
      <c r="P89" s="571" t="e">
        <f>Tabel6689172627[[#This Row],[Total. ch. DW 2015]]+Tabel6689172627[[#This Row],[Sew. 2015]]+Tabel6689172627[[#This Row],[WW 2015]]+Tabel6689172627[[#This Row],[Other ch. 2015]]+Tabel6689172627[[#This Row],[VAT 2015]]</f>
        <v>#DIV/0!</v>
      </c>
      <c r="Q89" s="397"/>
      <c r="R89" s="1886"/>
      <c r="S89" s="1888"/>
      <c r="T89" s="1890"/>
      <c r="U89" s="1892"/>
      <c r="V89" s="1894"/>
      <c r="W89" s="1911"/>
      <c r="X89" s="1913"/>
      <c r="Y89" s="1915"/>
      <c r="Z89" s="2053"/>
      <c r="AA89" s="397"/>
      <c r="AB89" s="398"/>
      <c r="AC89" s="591" t="s">
        <v>429</v>
      </c>
      <c r="AD89" s="396"/>
      <c r="AE89" s="396"/>
      <c r="AF89" s="591" t="s">
        <v>429</v>
      </c>
      <c r="AG89" s="396"/>
      <c r="AH89" s="398"/>
      <c r="AI89" t="s">
        <v>1349</v>
      </c>
    </row>
    <row r="90" spans="1:35" ht="15.75" customHeight="1" x14ac:dyDescent="0.25">
      <c r="A90" s="1757"/>
      <c r="B90" s="1213"/>
      <c r="C90" s="543" t="s">
        <v>633</v>
      </c>
      <c r="D90" s="1880"/>
      <c r="F90" s="625" t="e">
        <f>30.37/E90</f>
        <v>#DIV/0!</v>
      </c>
      <c r="G90" s="593" t="e">
        <f>(1.51*200)/E90</f>
        <v>#DIV/0!</v>
      </c>
      <c r="H90" s="594" t="e">
        <f>(0.52*200)/E90</f>
        <v>#DIV/0!</v>
      </c>
      <c r="I90" s="566" t="e">
        <f>Tabel6689172627[[#This Row],[Fix.ch. 2015]]+Tabel6689172627[[#This Row],[Var. ch. 2015]]+Tabel6689172627[[#This Row],[Oth. ch. DW 2015]]</f>
        <v>#DIV/0!</v>
      </c>
      <c r="J90" s="596" t="e">
        <f>(2.01*200)/E90</f>
        <v>#DIV/0!</v>
      </c>
      <c r="K90" s="626" t="e">
        <f>(0*200)/E90</f>
        <v>#DIV/0!</v>
      </c>
      <c r="L90" s="626"/>
      <c r="M90" s="597" t="e">
        <f>(0.3*200)/E90</f>
        <v>#DIV/0!</v>
      </c>
      <c r="N90" s="1238" t="e">
        <f>Tabel6689172627[[#This Row],[Sew. 2015]]+Tabel6689172627[[#This Row],[WW 2015]]+Tabel6689172627[[#This Row],[Other ch. 2015]]</f>
        <v>#DIV/0!</v>
      </c>
      <c r="O90" s="570" t="e">
        <f>(23.98+46.26)/E90</f>
        <v>#DIV/0!</v>
      </c>
      <c r="P90" s="571" t="e">
        <f>Tabel6689172627[[#This Row],[Total. ch. DW 2015]]+Tabel6689172627[[#This Row],[Sew. 2015]]+Tabel6689172627[[#This Row],[WW 2015]]+Tabel6689172627[[#This Row],[Other ch. 2015]]+Tabel6689172627[[#This Row],[VAT 2015]]</f>
        <v>#DIV/0!</v>
      </c>
      <c r="Q90" s="397"/>
      <c r="R90" s="1886"/>
      <c r="S90" s="1888"/>
      <c r="T90" s="1890"/>
      <c r="U90" s="1892"/>
      <c r="V90" s="1894"/>
      <c r="W90" s="1911"/>
      <c r="X90" s="1913"/>
      <c r="Y90" s="1915"/>
      <c r="Z90" s="2053"/>
      <c r="AA90" s="397"/>
      <c r="AB90" s="398"/>
      <c r="AC90" s="591" t="s">
        <v>429</v>
      </c>
      <c r="AD90" s="396"/>
      <c r="AE90" s="396"/>
      <c r="AF90" s="591" t="s">
        <v>429</v>
      </c>
      <c r="AG90" s="396"/>
      <c r="AH90" s="398"/>
      <c r="AI90" t="s">
        <v>1349</v>
      </c>
    </row>
    <row r="91" spans="1:35" ht="15.75" customHeight="1" x14ac:dyDescent="0.25">
      <c r="A91" s="1757"/>
      <c r="B91" s="1213"/>
      <c r="C91" s="543" t="s">
        <v>634</v>
      </c>
      <c r="D91" s="1880"/>
      <c r="F91" s="625" t="e">
        <f>19/E91</f>
        <v>#DIV/0!</v>
      </c>
      <c r="G91" s="593" t="e">
        <f>(1.42*200)/E91</f>
        <v>#DIV/0!</v>
      </c>
      <c r="H91" s="594" t="e">
        <f>(0.34*200)/E91</f>
        <v>#DIV/0!</v>
      </c>
      <c r="I91" s="566" t="e">
        <f>Tabel6689172627[[#This Row],[Fix.ch. 2015]]+Tabel6689172627[[#This Row],[Var. ch. 2015]]+Tabel6689172627[[#This Row],[Oth. ch. DW 2015]]</f>
        <v>#DIV/0!</v>
      </c>
      <c r="J91" s="596" t="e">
        <f>(1.25*200)/E91</f>
        <v>#DIV/0!</v>
      </c>
      <c r="K91" s="626" t="e">
        <f>(0*200)/E91</f>
        <v>#DIV/0!</v>
      </c>
      <c r="L91" s="626"/>
      <c r="M91" s="597" t="e">
        <f>(0.155*200)/E91</f>
        <v>#DIV/0!</v>
      </c>
      <c r="N91" s="1238" t="e">
        <f>Tabel6689172627[[#This Row],[Sew. 2015]]+Tabel6689172627[[#This Row],[WW 2015]]+Tabel6689172627[[#This Row],[Other ch. 2015]]</f>
        <v>#DIV/0!</v>
      </c>
      <c r="O91" s="570" t="e">
        <f>(20.4+28.09)/E91</f>
        <v>#DIV/0!</v>
      </c>
      <c r="P91" s="571" t="e">
        <f>Tabel6689172627[[#This Row],[Total. ch. DW 2015]]+Tabel6689172627[[#This Row],[Sew. 2015]]+Tabel6689172627[[#This Row],[WW 2015]]+Tabel6689172627[[#This Row],[Other ch. 2015]]+Tabel6689172627[[#This Row],[VAT 2015]]</f>
        <v>#DIV/0!</v>
      </c>
      <c r="Q91" s="397"/>
      <c r="R91" s="1886"/>
      <c r="S91" s="1888"/>
      <c r="T91" s="1890"/>
      <c r="U91" s="1892"/>
      <c r="V91" s="1894"/>
      <c r="W91" s="1911"/>
      <c r="X91" s="1913"/>
      <c r="Y91" s="1915"/>
      <c r="Z91" s="2053"/>
      <c r="AA91" s="397"/>
      <c r="AB91" s="398"/>
      <c r="AC91" s="591" t="s">
        <v>429</v>
      </c>
      <c r="AD91" s="396"/>
      <c r="AE91" s="396"/>
      <c r="AF91" s="396"/>
      <c r="AG91" s="396"/>
      <c r="AH91" s="398"/>
      <c r="AI91" t="s">
        <v>1349</v>
      </c>
    </row>
    <row r="92" spans="1:35" ht="16.5" customHeight="1" thickBot="1" x14ac:dyDescent="0.3">
      <c r="A92" s="1758"/>
      <c r="B92" s="1213"/>
      <c r="C92" s="543" t="s">
        <v>635</v>
      </c>
      <c r="D92" s="1923"/>
      <c r="F92" s="625" t="e">
        <f>6.14/E92</f>
        <v>#DIV/0!</v>
      </c>
      <c r="G92" s="593" t="e">
        <f>(1.32*200)/E92</f>
        <v>#DIV/0!</v>
      </c>
      <c r="H92" s="594" t="e">
        <f>(0.38*200)/E92</f>
        <v>#DIV/0!</v>
      </c>
      <c r="I92" s="566" t="e">
        <f>Tabel6689172627[[#This Row],[Fix.ch. 2015]]+Tabel6689172627[[#This Row],[Var. ch. 2015]]+Tabel6689172627[[#This Row],[Oth. ch. DW 2015]]</f>
        <v>#DIV/0!</v>
      </c>
      <c r="J92" s="596" t="e">
        <f>(2.04*200)/E92</f>
        <v>#DIV/0!</v>
      </c>
      <c r="K92" s="626" t="e">
        <f>(0*200)/E92</f>
        <v>#DIV/0!</v>
      </c>
      <c r="L92" s="626"/>
      <c r="M92" s="597" t="e">
        <f>(0.209*200)/E92</f>
        <v>#DIV/0!</v>
      </c>
      <c r="N92" s="1238" t="e">
        <f>Tabel6689172627[[#This Row],[Sew. 2015]]+Tabel6689172627[[#This Row],[WW 2015]]+Tabel6689172627[[#This Row],[Other ch. 2015]]</f>
        <v>#DIV/0!</v>
      </c>
      <c r="O92" s="570" t="e">
        <f>(18.96+44.96)/E92</f>
        <v>#DIV/0!</v>
      </c>
      <c r="P92" s="571" t="e">
        <f>Tabel6689172627[[#This Row],[Total. ch. DW 2015]]+Tabel6689172627[[#This Row],[Sew. 2015]]+Tabel6689172627[[#This Row],[WW 2015]]+Tabel6689172627[[#This Row],[Other ch. 2015]]+Tabel6689172627[[#This Row],[VAT 2015]]</f>
        <v>#DIV/0!</v>
      </c>
      <c r="Q92" s="397"/>
      <c r="R92" s="1970"/>
      <c r="S92" s="1973"/>
      <c r="T92" s="1976"/>
      <c r="U92" s="1979"/>
      <c r="V92" s="1982"/>
      <c r="W92" s="1956"/>
      <c r="X92" s="1959"/>
      <c r="Y92" s="1962"/>
      <c r="Z92" s="2261"/>
      <c r="AA92" s="397"/>
      <c r="AB92" s="398"/>
      <c r="AC92" s="591" t="s">
        <v>429</v>
      </c>
      <c r="AD92" s="396"/>
      <c r="AE92" s="396"/>
      <c r="AF92" s="396"/>
      <c r="AG92" s="396"/>
      <c r="AH92" s="398"/>
      <c r="AI92" t="s">
        <v>1349</v>
      </c>
    </row>
    <row r="93" spans="1:35" ht="19.5" thickBot="1" x14ac:dyDescent="0.3">
      <c r="A93" s="1206" t="s">
        <v>521</v>
      </c>
      <c r="B93" s="1617"/>
      <c r="C93" s="1047" t="s">
        <v>522</v>
      </c>
      <c r="D93" s="1256">
        <v>16000</v>
      </c>
      <c r="F93" s="319" t="e">
        <f>3396/E93</f>
        <v>#DIV/0!</v>
      </c>
      <c r="G93" s="320" t="e">
        <f>74524/E93</f>
        <v>#DIV/0!</v>
      </c>
      <c r="H93" s="321">
        <v>0</v>
      </c>
      <c r="I93" s="313" t="e">
        <f>Tabel6689172627[[#This Row],[Fix.ch. 2015]]+Tabel6689172627[[#This Row],[Var. ch. 2015]]+Tabel6689172627[[#This Row],[Oth. ch. DW 2015]]</f>
        <v>#DIV/0!</v>
      </c>
      <c r="J93" s="322">
        <v>0</v>
      </c>
      <c r="K93" s="323">
        <v>0</v>
      </c>
      <c r="L93" s="323"/>
      <c r="M93" s="324">
        <v>0</v>
      </c>
      <c r="N93" s="1257">
        <f>Tabel6689172627[[#This Row],[Sew. 2015]]+Tabel6689172627[[#This Row],[WW 2015]]+Tabel6689172627[[#This Row],[Other ch. 2015]]</f>
        <v>0</v>
      </c>
      <c r="O93" s="1258" t="e">
        <f>7792/E93</f>
        <v>#DIV/0!</v>
      </c>
      <c r="P93" s="318" t="e">
        <f>Tabel6689172627[[#This Row],[Total. ch. DW 2015]]+Tabel6689172627[[#This Row],[Sew. 2015]]+Tabel6689172627[[#This Row],[WW 2015]]+Tabel6689172627[[#This Row],[Other ch. 2015]]+Tabel6689172627[[#This Row],[VAT 2015]]</f>
        <v>#DIV/0!</v>
      </c>
      <c r="Q93" s="397"/>
      <c r="R93" s="1259" t="e">
        <f>Tabel6689172627[[#This Row],[Fix.ch. 2015]]</f>
        <v>#DIV/0!</v>
      </c>
      <c r="S93" s="1260" t="e">
        <f>Tabel6689172627[[#This Row],[Var. ch. 2015]]</f>
        <v>#DIV/0!</v>
      </c>
      <c r="T93" s="1261">
        <v>0</v>
      </c>
      <c r="U93" s="1262" t="e">
        <f>Tabel6689172627[[#This Row],[Total. ch. DW 2015]]</f>
        <v>#DIV/0!</v>
      </c>
      <c r="V93" s="1263">
        <v>0</v>
      </c>
      <c r="W93" s="1264">
        <v>0</v>
      </c>
      <c r="X93" s="1265">
        <v>0</v>
      </c>
      <c r="Y93" s="1266" t="e">
        <f>Tabel6689172627[[#This Row],[VAT 2015]]</f>
        <v>#DIV/0!</v>
      </c>
      <c r="Z93" s="1267" t="e">
        <f>Tabel6689172627[[#This Row],[total charge 2015]]</f>
        <v>#DIV/0!</v>
      </c>
      <c r="AA93" s="397"/>
      <c r="AB93" s="398"/>
      <c r="AC93" s="398"/>
      <c r="AD93" s="398"/>
      <c r="AE93" s="396" t="s">
        <v>429</v>
      </c>
      <c r="AF93" s="398"/>
      <c r="AG93" s="398"/>
      <c r="AH93" s="398"/>
      <c r="AI93" s="397"/>
    </row>
    <row r="94" spans="1:35" ht="19.5" thickBot="1" x14ac:dyDescent="0.35">
      <c r="A94" s="669" t="s">
        <v>14</v>
      </c>
      <c r="B94" s="1621"/>
      <c r="C94" s="544" t="s">
        <v>96</v>
      </c>
      <c r="D94" s="1268">
        <v>47400</v>
      </c>
      <c r="F94" s="319"/>
      <c r="G94" s="320"/>
      <c r="H94" s="321"/>
      <c r="I94" s="313"/>
      <c r="J94" s="322"/>
      <c r="K94" s="323"/>
      <c r="L94" s="323"/>
      <c r="M94" s="324"/>
      <c r="N94" s="1257">
        <f>Tabel6689172627[[#This Row],[Sew. 2015]]+Tabel6689172627[[#This Row],[WW 2015]]+Tabel6689172627[[#This Row],[Other ch. 2015]]</f>
        <v>0</v>
      </c>
      <c r="O94" s="1258"/>
      <c r="P94" s="318"/>
      <c r="Q94" s="397"/>
      <c r="R94" s="1228"/>
      <c r="S94" s="1229"/>
      <c r="T94" s="1230"/>
      <c r="U94" s="1231"/>
      <c r="V94" s="1232"/>
      <c r="W94" s="1233"/>
      <c r="X94" s="1234"/>
      <c r="Y94" s="1235"/>
      <c r="Z94" s="1236"/>
      <c r="AA94" s="397"/>
      <c r="AB94" s="398"/>
      <c r="AC94" s="398"/>
      <c r="AD94" s="398"/>
      <c r="AE94" s="398"/>
      <c r="AF94" s="398"/>
      <c r="AG94" s="398"/>
      <c r="AH94" s="398"/>
      <c r="AI94" s="397"/>
    </row>
    <row r="95" spans="1:35" ht="15.6" customHeight="1" x14ac:dyDescent="0.25">
      <c r="A95" s="1878" t="s">
        <v>35</v>
      </c>
      <c r="B95" s="1213"/>
      <c r="C95" s="1269" t="s">
        <v>712</v>
      </c>
      <c r="D95" s="1759">
        <v>25600</v>
      </c>
      <c r="F95" s="549" t="e">
        <f>79.5/E95</f>
        <v>#DIV/0!</v>
      </c>
      <c r="G95" s="550" t="e">
        <f>74.92/E95</f>
        <v>#DIV/0!</v>
      </c>
      <c r="H95" s="551" t="e">
        <f>59.93/E95</f>
        <v>#DIV/0!</v>
      </c>
      <c r="I95" s="566" t="e">
        <f>Tabel6689172627[[#This Row],[Fix.ch. 2015]]+Tabel6689172627[[#This Row],[Var. ch. 2015]]+Tabel6689172627[[#This Row],[Oth. ch. DW 2015]]</f>
        <v>#DIV/0!</v>
      </c>
      <c r="J95" s="567" t="e">
        <f>67.42/E95</f>
        <v>#DIV/0!</v>
      </c>
      <c r="K95" s="568">
        <v>0</v>
      </c>
      <c r="L95" s="568"/>
      <c r="M95" s="569" t="e">
        <f>13.25/E95</f>
        <v>#DIV/0!</v>
      </c>
      <c r="N95" s="1270" t="e">
        <f>Tabel6689172627[[#This Row],[Sew. 2015]]+Tabel6689172627[[#This Row],[WW 2015]]+Tabel6689172627[[#This Row],[Other ch. 2015]]</f>
        <v>#DIV/0!</v>
      </c>
      <c r="O95" s="1271" t="e">
        <f>60.36/E95</f>
        <v>#DIV/0!</v>
      </c>
      <c r="P95" s="571" t="e">
        <f>Tabel6689172627[[#This Row],[Total. ch. DW 2015]]+Tabel6689172627[[#This Row],[Sew. 2015]]+Tabel6689172627[[#This Row],[WW 2015]]+Tabel6689172627[[#This Row],[Other ch. 2015]]+Tabel6689172627[[#This Row],[VAT 2015]]</f>
        <v>#DIV/0!</v>
      </c>
      <c r="Q95" s="397"/>
      <c r="R95" s="2258" t="e">
        <f t="shared" ref="R95:W95" si="27">SUM(F95:F99)/5</f>
        <v>#DIV/0!</v>
      </c>
      <c r="S95" s="1765" t="e">
        <f t="shared" si="27"/>
        <v>#DIV/0!</v>
      </c>
      <c r="T95" s="1768" t="e">
        <f t="shared" si="27"/>
        <v>#DIV/0!</v>
      </c>
      <c r="U95" s="1774" t="e">
        <f t="shared" si="27"/>
        <v>#DIV/0!</v>
      </c>
      <c r="V95" s="1777" t="e">
        <f t="shared" si="27"/>
        <v>#DIV/0!</v>
      </c>
      <c r="W95" s="1810">
        <f t="shared" si="27"/>
        <v>0</v>
      </c>
      <c r="X95" s="1812" t="e">
        <f>SUM(M95:M99)/5</f>
        <v>#DIV/0!</v>
      </c>
      <c r="Y95" s="1814" t="e">
        <f t="shared" ref="Y95:Z95" si="28">SUM(O95:O99)/5</f>
        <v>#DIV/0!</v>
      </c>
      <c r="Z95" s="1793" t="e">
        <f t="shared" si="28"/>
        <v>#DIV/0!</v>
      </c>
      <c r="AA95" s="397"/>
      <c r="AB95" s="398"/>
      <c r="AC95" s="398"/>
      <c r="AD95" s="591" t="s">
        <v>429</v>
      </c>
      <c r="AE95" s="591" t="s">
        <v>429</v>
      </c>
      <c r="AF95" s="591" t="s">
        <v>429</v>
      </c>
      <c r="AG95" s="591" t="s">
        <v>429</v>
      </c>
      <c r="AH95" s="398"/>
      <c r="AI95" s="397"/>
    </row>
    <row r="96" spans="1:35" ht="15.6" customHeight="1" x14ac:dyDescent="0.25">
      <c r="A96" s="1757"/>
      <c r="B96" s="1213"/>
      <c r="C96" s="754" t="s">
        <v>713</v>
      </c>
      <c r="D96" s="1760"/>
      <c r="F96" s="549" t="e">
        <f>51/E96</f>
        <v>#DIV/0!</v>
      </c>
      <c r="G96" s="550" t="e">
        <f>170/E96</f>
        <v>#DIV/0!</v>
      </c>
      <c r="H96" s="551" t="e">
        <f>0/E96</f>
        <v>#DIV/0!</v>
      </c>
      <c r="I96" s="566" t="e">
        <f>Tabel6689172627[[#This Row],[Fix.ch. 2015]]+Tabel6689172627[[#This Row],[Var. ch. 2015]]+Tabel6689172627[[#This Row],[Oth. ch. DW 2015]]</f>
        <v>#DIV/0!</v>
      </c>
      <c r="J96" s="567" t="e">
        <f>93.5/E96</f>
        <v>#DIV/0!</v>
      </c>
      <c r="K96" s="568">
        <v>0</v>
      </c>
      <c r="L96" s="568"/>
      <c r="M96" s="569" t="e">
        <f>12/E96</f>
        <v>#DIV/0!</v>
      </c>
      <c r="N96" s="1270" t="e">
        <f>Tabel6689172627[[#This Row],[Sew. 2015]]+Tabel6689172627[[#This Row],[WW 2015]]+Tabel6689172627[[#This Row],[Other ch. 2015]]</f>
        <v>#DIV/0!</v>
      </c>
      <c r="O96" s="1271" t="e">
        <f>58.1/E96</f>
        <v>#DIV/0!</v>
      </c>
      <c r="P96" s="571" t="e">
        <f>Tabel6689172627[[#This Row],[Total. ch. DW 2015]]+Tabel6689172627[[#This Row],[Sew. 2015]]+Tabel6689172627[[#This Row],[WW 2015]]+Tabel6689172627[[#This Row],[Other ch. 2015]]+Tabel6689172627[[#This Row],[VAT 2015]]</f>
        <v>#DIV/0!</v>
      </c>
      <c r="Q96" s="397"/>
      <c r="R96" s="2081"/>
      <c r="S96" s="1766"/>
      <c r="T96" s="1769"/>
      <c r="U96" s="1775"/>
      <c r="V96" s="1778"/>
      <c r="W96" s="1781"/>
      <c r="X96" s="1785"/>
      <c r="Y96" s="1788"/>
      <c r="Z96" s="1791"/>
      <c r="AA96" s="397"/>
      <c r="AB96" s="398"/>
      <c r="AC96" s="398"/>
      <c r="AD96" s="591" t="s">
        <v>429</v>
      </c>
      <c r="AE96" s="591" t="s">
        <v>429</v>
      </c>
      <c r="AF96" s="591" t="s">
        <v>429</v>
      </c>
      <c r="AG96" s="591" t="s">
        <v>429</v>
      </c>
      <c r="AH96" s="398"/>
      <c r="AI96" s="397"/>
    </row>
    <row r="97" spans="1:35" ht="15.6" customHeight="1" x14ac:dyDescent="0.25">
      <c r="A97" s="1757"/>
      <c r="B97" s="1213"/>
      <c r="C97" s="754" t="s">
        <v>714</v>
      </c>
      <c r="D97" s="1760"/>
      <c r="F97" s="549" t="e">
        <f>48.8/E97</f>
        <v>#DIV/0!</v>
      </c>
      <c r="G97" s="550" t="e">
        <f>100/E97</f>
        <v>#DIV/0!</v>
      </c>
      <c r="H97" s="551" t="e">
        <f>80/E97</f>
        <v>#DIV/0!</v>
      </c>
      <c r="I97" s="566" t="e">
        <f>Tabel6689172627[[#This Row],[Fix.ch. 2015]]+Tabel6689172627[[#This Row],[Var. ch. 2015]]+Tabel6689172627[[#This Row],[Oth. ch. DW 2015]]</f>
        <v>#DIV/0!</v>
      </c>
      <c r="J97" s="567" t="e">
        <f>118/E97</f>
        <v>#DIV/0!</v>
      </c>
      <c r="K97" s="568">
        <v>0</v>
      </c>
      <c r="L97" s="568"/>
      <c r="M97" s="569" t="e">
        <f>0/E97</f>
        <v>#DIV/0!</v>
      </c>
      <c r="N97" s="1270" t="e">
        <f>Tabel6689172627[[#This Row],[Sew. 2015]]+Tabel6689172627[[#This Row],[WW 2015]]+Tabel6689172627[[#This Row],[Other ch. 2015]]</f>
        <v>#DIV/0!</v>
      </c>
      <c r="O97" s="1271" t="e">
        <f>69.76/E97</f>
        <v>#DIV/0!</v>
      </c>
      <c r="P97" s="571" t="e">
        <f>Tabel6689172627[[#This Row],[Total. ch. DW 2015]]+Tabel6689172627[[#This Row],[Sew. 2015]]+Tabel6689172627[[#This Row],[WW 2015]]+Tabel6689172627[[#This Row],[Other ch. 2015]]+Tabel6689172627[[#This Row],[VAT 2015]]</f>
        <v>#DIV/0!</v>
      </c>
      <c r="Q97" s="397"/>
      <c r="R97" s="2081"/>
      <c r="S97" s="1766"/>
      <c r="T97" s="1769"/>
      <c r="U97" s="1775"/>
      <c r="V97" s="1778"/>
      <c r="W97" s="1781"/>
      <c r="X97" s="1785"/>
      <c r="Y97" s="1788"/>
      <c r="Z97" s="1791"/>
      <c r="AA97" s="397"/>
      <c r="AB97" s="398"/>
      <c r="AC97" s="398"/>
      <c r="AD97" s="591" t="s">
        <v>429</v>
      </c>
      <c r="AE97" s="591" t="s">
        <v>429</v>
      </c>
      <c r="AF97" s="591" t="s">
        <v>429</v>
      </c>
      <c r="AG97" s="591" t="s">
        <v>429</v>
      </c>
      <c r="AH97" s="398"/>
      <c r="AI97" s="397"/>
    </row>
    <row r="98" spans="1:35" ht="15.6" customHeight="1" x14ac:dyDescent="0.25">
      <c r="A98" s="1757"/>
      <c r="B98" s="1213"/>
      <c r="C98" s="754" t="s">
        <v>715</v>
      </c>
      <c r="D98" s="1760"/>
      <c r="F98" s="549" t="e">
        <f>12/E98</f>
        <v>#DIV/0!</v>
      </c>
      <c r="G98" s="550" t="e">
        <f>437.92/E98</f>
        <v>#DIV/0!</v>
      </c>
      <c r="H98" s="551" t="e">
        <f>0/E98</f>
        <v>#DIV/0!</v>
      </c>
      <c r="I98" s="566" t="e">
        <f>Tabel6689172627[[#This Row],[Fix.ch. 2015]]+Tabel6689172627[[#This Row],[Var. ch. 2015]]+Tabel6689172627[[#This Row],[Oth. ch. DW 2015]]</f>
        <v>#DIV/0!</v>
      </c>
      <c r="J98" s="567" t="e">
        <f>328.44/E98</f>
        <v>#DIV/0!</v>
      </c>
      <c r="K98" s="568">
        <v>0</v>
      </c>
      <c r="L98" s="568"/>
      <c r="M98" s="569" t="e">
        <f>0/E98</f>
        <v>#DIV/0!</v>
      </c>
      <c r="N98" s="1270" t="e">
        <f>Tabel6689172627[[#This Row],[Sew. 2015]]+Tabel6689172627[[#This Row],[WW 2015]]+Tabel6689172627[[#This Row],[Other ch. 2015]]</f>
        <v>#DIV/0!</v>
      </c>
      <c r="O98" s="1271" t="e">
        <f>135.23/E98</f>
        <v>#DIV/0!</v>
      </c>
      <c r="P98" s="571" t="e">
        <f>Tabel6689172627[[#This Row],[Total. ch. DW 2015]]+Tabel6689172627[[#This Row],[Sew. 2015]]+Tabel6689172627[[#This Row],[WW 2015]]+Tabel6689172627[[#This Row],[Other ch. 2015]]+Tabel6689172627[[#This Row],[VAT 2015]]</f>
        <v>#DIV/0!</v>
      </c>
      <c r="Q98" s="397"/>
      <c r="R98" s="2081"/>
      <c r="S98" s="1766"/>
      <c r="T98" s="1769"/>
      <c r="U98" s="1775"/>
      <c r="V98" s="1778"/>
      <c r="W98" s="1781"/>
      <c r="X98" s="1785"/>
      <c r="Y98" s="1788"/>
      <c r="Z98" s="1791"/>
      <c r="AA98" s="397"/>
      <c r="AB98" s="398"/>
      <c r="AC98" s="398"/>
      <c r="AD98" s="591" t="s">
        <v>429</v>
      </c>
      <c r="AE98" s="591" t="s">
        <v>429</v>
      </c>
      <c r="AF98" s="591" t="s">
        <v>429</v>
      </c>
      <c r="AG98" s="591" t="s">
        <v>429</v>
      </c>
      <c r="AH98" s="398"/>
      <c r="AI98" s="397"/>
    </row>
    <row r="99" spans="1:35" ht="16.149999999999999" customHeight="1" thickBot="1" x14ac:dyDescent="0.3">
      <c r="A99" s="1758"/>
      <c r="B99" s="1213"/>
      <c r="C99" s="1272" t="s">
        <v>716</v>
      </c>
      <c r="D99" s="1923"/>
      <c r="F99" s="549" t="e">
        <f>24/E99</f>
        <v>#DIV/0!</v>
      </c>
      <c r="G99" s="550" t="e">
        <f>132.6/E99</f>
        <v>#DIV/0!</v>
      </c>
      <c r="H99" s="551" t="e">
        <f>0/E99</f>
        <v>#DIV/0!</v>
      </c>
      <c r="I99" s="566" t="e">
        <f>Tabel6689172627[[#This Row],[Fix.ch. 2015]]+Tabel6689172627[[#This Row],[Var. ch. 2015]]+Tabel6689172627[[#This Row],[Oth. ch. DW 2015]]</f>
        <v>#DIV/0!</v>
      </c>
      <c r="J99" s="567" t="e">
        <f>106.08/E99</f>
        <v>#DIV/0!</v>
      </c>
      <c r="K99" s="568">
        <v>0</v>
      </c>
      <c r="L99" s="568"/>
      <c r="M99" s="569" t="e">
        <f>14/E99</f>
        <v>#DIV/0!</v>
      </c>
      <c r="N99" s="1270" t="e">
        <f>Tabel6689172627[[#This Row],[Sew. 2015]]+Tabel6689172627[[#This Row],[WW 2015]]+Tabel6689172627[[#This Row],[Other ch. 2015]]</f>
        <v>#DIV/0!</v>
      </c>
      <c r="O99" s="1271" t="e">
        <f>48.98/E99</f>
        <v>#DIV/0!</v>
      </c>
      <c r="P99" s="571" t="e">
        <f>Tabel6689172627[[#This Row],[Total. ch. DW 2015]]+Tabel6689172627[[#This Row],[Sew. 2015]]+Tabel6689172627[[#This Row],[WW 2015]]+Tabel6689172627[[#This Row],[Other ch. 2015]]+Tabel6689172627[[#This Row],[VAT 2015]]</f>
        <v>#DIV/0!</v>
      </c>
      <c r="Q99" s="397"/>
      <c r="R99" s="2259"/>
      <c r="S99" s="1973"/>
      <c r="T99" s="1976"/>
      <c r="U99" s="1979"/>
      <c r="V99" s="1982"/>
      <c r="W99" s="1956"/>
      <c r="X99" s="1959"/>
      <c r="Y99" s="1962"/>
      <c r="Z99" s="1965"/>
      <c r="AA99" s="397"/>
      <c r="AB99" s="398"/>
      <c r="AC99" s="398"/>
      <c r="AD99" s="591" t="s">
        <v>429</v>
      </c>
      <c r="AE99" s="591" t="s">
        <v>429</v>
      </c>
      <c r="AF99" s="591" t="s">
        <v>429</v>
      </c>
      <c r="AG99" s="591" t="s">
        <v>429</v>
      </c>
      <c r="AH99" s="398"/>
      <c r="AI99" s="397"/>
    </row>
    <row r="100" spans="1:35" ht="15.75" customHeight="1" x14ac:dyDescent="0.25">
      <c r="A100" s="1818" t="s">
        <v>45</v>
      </c>
      <c r="B100" s="1213"/>
      <c r="C100" s="1446" t="s">
        <v>102</v>
      </c>
      <c r="D100" s="1759">
        <v>26000</v>
      </c>
      <c r="F100" s="549" t="e">
        <f>1700/E100</f>
        <v>#DIV/0!</v>
      </c>
      <c r="G100" s="550" t="e">
        <f>34480/E100</f>
        <v>#DIV/0!</v>
      </c>
      <c r="H100" s="551">
        <v>0</v>
      </c>
      <c r="I100" s="566" t="e">
        <f>Tabel6689172627[[#This Row],[Fix.ch. 2015]]+Tabel6689172627[[#This Row],[Var. ch. 2015]]+Tabel6689172627[[#This Row],[Oth. ch. DW 2015]]</f>
        <v>#DIV/0!</v>
      </c>
      <c r="J100" s="567" t="e">
        <f>914/E100</f>
        <v>#DIV/0!</v>
      </c>
      <c r="K100" s="568" t="e">
        <f>59132/E100</f>
        <v>#DIV/0!</v>
      </c>
      <c r="L100" s="568"/>
      <c r="M100" s="569">
        <v>0</v>
      </c>
      <c r="N100" s="1270" t="e">
        <f>Tabel6689172627[[#This Row],[Sew. 2015]]+Tabel6689172627[[#This Row],[WW 2015]]+Tabel6689172627[[#This Row],[Other ch. 2015]]</f>
        <v>#DIV/0!</v>
      </c>
      <c r="O100" s="1271" t="e">
        <f>26440/E100</f>
        <v>#DIV/0!</v>
      </c>
      <c r="P100" s="571" t="e">
        <f>Tabel6689172627[[#This Row],[Total. ch. DW 2015]]+Tabel6689172627[[#This Row],[Sew. 2015]]+Tabel6689172627[[#This Row],[WW 2015]]+Tabel6689172627[[#This Row],[Other ch. 2015]]+Tabel6689172627[[#This Row],[VAT 2015]]</f>
        <v>#DIV/0!</v>
      </c>
      <c r="Q100" s="397"/>
      <c r="R100" s="1762" t="e">
        <f t="shared" ref="R100:W100" si="29">SUM(F100:F104)/5</f>
        <v>#DIV/0!</v>
      </c>
      <c r="S100" s="1765" t="e">
        <f t="shared" si="29"/>
        <v>#DIV/0!</v>
      </c>
      <c r="T100" s="1768">
        <f t="shared" si="29"/>
        <v>0</v>
      </c>
      <c r="U100" s="1774" t="e">
        <f t="shared" si="29"/>
        <v>#DIV/0!</v>
      </c>
      <c r="V100" s="1777" t="e">
        <f t="shared" si="29"/>
        <v>#DIV/0!</v>
      </c>
      <c r="W100" s="1810" t="e">
        <f t="shared" si="29"/>
        <v>#DIV/0!</v>
      </c>
      <c r="X100" s="1812" t="e">
        <f>SUM(M100:M104)/5</f>
        <v>#DIV/0!</v>
      </c>
      <c r="Y100" s="1814" t="e">
        <f t="shared" ref="Y100:Z100" si="30">SUM(O100:O104)/5</f>
        <v>#DIV/0!</v>
      </c>
      <c r="Z100" s="1793" t="e">
        <f t="shared" si="30"/>
        <v>#DIV/0!</v>
      </c>
      <c r="AA100" s="397"/>
      <c r="AB100" s="398"/>
      <c r="AC100" s="398"/>
      <c r="AD100" s="398"/>
      <c r="AE100" s="398"/>
      <c r="AF100" s="591" t="s">
        <v>429</v>
      </c>
      <c r="AG100" s="398"/>
      <c r="AH100" s="398"/>
      <c r="AI100" s="397"/>
    </row>
    <row r="101" spans="1:35" ht="15.75" customHeight="1" x14ac:dyDescent="0.25">
      <c r="A101" s="2294"/>
      <c r="B101" s="1213"/>
      <c r="C101" s="543" t="s">
        <v>103</v>
      </c>
      <c r="D101" s="1760"/>
      <c r="F101" s="549" t="e">
        <f>1231/E101</f>
        <v>#DIV/0!</v>
      </c>
      <c r="G101" s="550" t="e">
        <f>48980/E101</f>
        <v>#DIV/0!</v>
      </c>
      <c r="H101" s="551">
        <v>0</v>
      </c>
      <c r="I101" s="566" t="e">
        <f>Tabel6689172627[[#This Row],[Fix.ch. 2015]]+Tabel6689172627[[#This Row],[Var. ch. 2015]]+Tabel6689172627[[#This Row],[Oth. ch. DW 2015]]</f>
        <v>#DIV/0!</v>
      </c>
      <c r="J101" s="567" t="e">
        <f>854/E101</f>
        <v>#DIV/0!</v>
      </c>
      <c r="K101" s="568" t="e">
        <f>38940/E101</f>
        <v>#DIV/0!</v>
      </c>
      <c r="L101" s="568"/>
      <c r="M101" s="569" t="e">
        <f>1231/E101</f>
        <v>#DIV/0!</v>
      </c>
      <c r="N101" s="1270" t="e">
        <f>Tabel6689172627[[#This Row],[Sew. 2015]]+Tabel6689172627[[#This Row],[WW 2015]]+Tabel6689172627[[#This Row],[Other ch. 2015]]</f>
        <v>#DIV/0!</v>
      </c>
      <c r="O101" s="1271" t="e">
        <f>24634/E101</f>
        <v>#DIV/0!</v>
      </c>
      <c r="P101" s="571" t="e">
        <f>Tabel6689172627[[#This Row],[Total. ch. DW 2015]]+Tabel6689172627[[#This Row],[Sew. 2015]]+Tabel6689172627[[#This Row],[WW 2015]]+Tabel6689172627[[#This Row],[Other ch. 2015]]+Tabel6689172627[[#This Row],[VAT 2015]]</f>
        <v>#DIV/0!</v>
      </c>
      <c r="Q101" s="397"/>
      <c r="R101" s="1763"/>
      <c r="S101" s="1766"/>
      <c r="T101" s="1769"/>
      <c r="U101" s="1775"/>
      <c r="V101" s="1778"/>
      <c r="W101" s="1781"/>
      <c r="X101" s="1785"/>
      <c r="Y101" s="1788"/>
      <c r="Z101" s="1791"/>
      <c r="AA101" s="397"/>
      <c r="AB101" s="398"/>
      <c r="AC101" s="398"/>
      <c r="AD101" s="398"/>
      <c r="AE101" s="398"/>
      <c r="AF101" s="591" t="s">
        <v>429</v>
      </c>
      <c r="AG101" s="398"/>
      <c r="AH101" s="398"/>
      <c r="AI101" s="397"/>
    </row>
    <row r="102" spans="1:35" ht="15.75" customHeight="1" x14ac:dyDescent="0.25">
      <c r="A102" s="2294"/>
      <c r="B102" s="1213"/>
      <c r="C102" s="543" t="s">
        <v>104</v>
      </c>
      <c r="D102" s="1760"/>
      <c r="F102" s="549">
        <v>0</v>
      </c>
      <c r="G102" s="550" t="e">
        <f>49824/E102</f>
        <v>#DIV/0!</v>
      </c>
      <c r="H102" s="551">
        <v>0</v>
      </c>
      <c r="I102" s="566" t="e">
        <f>Tabel6689172627[[#This Row],[Fix.ch. 2015]]+Tabel6689172627[[#This Row],[Var. ch. 2015]]+Tabel6689172627[[#This Row],[Oth. ch. DW 2015]]</f>
        <v>#DIV/0!</v>
      </c>
      <c r="J102" s="567">
        <v>0</v>
      </c>
      <c r="K102" s="568" t="e">
        <f>38322/E102</f>
        <v>#DIV/0!</v>
      </c>
      <c r="L102" s="568"/>
      <c r="M102" s="569">
        <v>0</v>
      </c>
      <c r="N102" s="1270" t="e">
        <f>Tabel6689172627[[#This Row],[Sew. 2015]]+Tabel6689172627[[#This Row],[WW 2015]]+Tabel6689172627[[#This Row],[Other ch. 2015]]</f>
        <v>#DIV/0!</v>
      </c>
      <c r="O102" s="1271" t="e">
        <f>23799/E102</f>
        <v>#DIV/0!</v>
      </c>
      <c r="P102" s="571" t="e">
        <f>Tabel6689172627[[#This Row],[Total. ch. DW 2015]]+Tabel6689172627[[#This Row],[Sew. 2015]]+Tabel6689172627[[#This Row],[WW 2015]]+Tabel6689172627[[#This Row],[Other ch. 2015]]+Tabel6689172627[[#This Row],[VAT 2015]]</f>
        <v>#DIV/0!</v>
      </c>
      <c r="Q102" s="397"/>
      <c r="R102" s="1763"/>
      <c r="S102" s="1766"/>
      <c r="T102" s="1769"/>
      <c r="U102" s="1775"/>
      <c r="V102" s="1778"/>
      <c r="W102" s="1781"/>
      <c r="X102" s="1785"/>
      <c r="Y102" s="1788"/>
      <c r="Z102" s="1791"/>
      <c r="AA102" s="397"/>
      <c r="AB102" s="398"/>
      <c r="AC102" s="398"/>
      <c r="AD102" s="398"/>
      <c r="AE102" s="398"/>
      <c r="AF102" s="398"/>
      <c r="AG102" s="398"/>
      <c r="AH102" s="398"/>
      <c r="AI102" s="397"/>
    </row>
    <row r="103" spans="1:35" ht="16.5" customHeight="1" x14ac:dyDescent="0.25">
      <c r="A103" s="2294"/>
      <c r="B103" s="1213"/>
      <c r="C103" s="543" t="s">
        <v>105</v>
      </c>
      <c r="D103" s="1760"/>
      <c r="F103" s="549">
        <v>0</v>
      </c>
      <c r="G103" s="550" t="e">
        <f>68000/E103</f>
        <v>#DIV/0!</v>
      </c>
      <c r="H103" s="551">
        <v>0</v>
      </c>
      <c r="I103" s="566" t="e">
        <f>Tabel6689172627[[#This Row],[Fix.ch. 2015]]+Tabel6689172627[[#This Row],[Var. ch. 2015]]+Tabel6689172627[[#This Row],[Oth. ch. DW 2015]]</f>
        <v>#DIV/0!</v>
      </c>
      <c r="J103" s="567">
        <v>0</v>
      </c>
      <c r="K103" s="568" t="e">
        <f>49600/E103</f>
        <v>#DIV/0!</v>
      </c>
      <c r="L103" s="568"/>
      <c r="M103" s="569">
        <v>0</v>
      </c>
      <c r="N103" s="1270" t="e">
        <f>Tabel6689172627[[#This Row],[Sew. 2015]]+Tabel6689172627[[#This Row],[WW 2015]]+Tabel6689172627[[#This Row],[Other ch. 2015]]</f>
        <v>#DIV/0!</v>
      </c>
      <c r="O103" s="1271" t="e">
        <f>31752/E103</f>
        <v>#DIV/0!</v>
      </c>
      <c r="P103" s="571" t="e">
        <f>Tabel6689172627[[#This Row],[Total. ch. DW 2015]]+Tabel6689172627[[#This Row],[Sew. 2015]]+Tabel6689172627[[#This Row],[WW 2015]]+Tabel6689172627[[#This Row],[Other ch. 2015]]+Tabel6689172627[[#This Row],[VAT 2015]]</f>
        <v>#DIV/0!</v>
      </c>
      <c r="Q103" s="397"/>
      <c r="R103" s="1763"/>
      <c r="S103" s="1766"/>
      <c r="T103" s="1769"/>
      <c r="U103" s="1775"/>
      <c r="V103" s="1778"/>
      <c r="W103" s="1781"/>
      <c r="X103" s="1785"/>
      <c r="Y103" s="1788"/>
      <c r="Z103" s="1791"/>
      <c r="AA103" s="397"/>
      <c r="AB103" s="398"/>
      <c r="AC103" s="398"/>
      <c r="AD103" s="398"/>
      <c r="AE103" s="398"/>
      <c r="AF103" s="398"/>
      <c r="AG103" s="398"/>
      <c r="AH103" s="398"/>
      <c r="AI103" s="397"/>
    </row>
    <row r="104" spans="1:35" ht="17.25" customHeight="1" thickBot="1" x14ac:dyDescent="0.3">
      <c r="A104" s="2295"/>
      <c r="B104" s="1213"/>
      <c r="C104" s="544" t="s">
        <v>613</v>
      </c>
      <c r="D104" s="1761"/>
      <c r="F104" s="549">
        <v>0</v>
      </c>
      <c r="G104" s="550" t="e">
        <f>43560/E104</f>
        <v>#DIV/0!</v>
      </c>
      <c r="H104" s="551">
        <v>0</v>
      </c>
      <c r="I104" s="566" t="e">
        <f>Tabel6689172627[[#This Row],[Fix.ch. 2015]]+Tabel6689172627[[#This Row],[Var. ch. 2015]]+Tabel6689172627[[#This Row],[Oth. ch. DW 2015]]</f>
        <v>#DIV/0!</v>
      </c>
      <c r="J104" s="567" t="e">
        <f>1260/E104</f>
        <v>#DIV/0!</v>
      </c>
      <c r="K104" s="568" t="e">
        <f>26460/E104</f>
        <v>#DIV/0!</v>
      </c>
      <c r="L104" s="568"/>
      <c r="M104" s="569">
        <v>0</v>
      </c>
      <c r="N104" s="1270" t="e">
        <f>Tabel6689172627[[#This Row],[Sew. 2015]]+Tabel6689172627[[#This Row],[WW 2015]]+Tabel6689172627[[#This Row],[Other ch. 2015]]</f>
        <v>#DIV/0!</v>
      </c>
      <c r="O104" s="1271" t="e">
        <f>19246/E104</f>
        <v>#DIV/0!</v>
      </c>
      <c r="P104" s="571" t="e">
        <f>Tabel6689172627[[#This Row],[Total. ch. DW 2015]]+Tabel6689172627[[#This Row],[Sew. 2015]]+Tabel6689172627[[#This Row],[WW 2015]]+Tabel6689172627[[#This Row],[Other ch. 2015]]+Tabel6689172627[[#This Row],[VAT 2015]]</f>
        <v>#DIV/0!</v>
      </c>
      <c r="Q104" s="397"/>
      <c r="R104" s="1764"/>
      <c r="S104" s="1767"/>
      <c r="T104" s="1770"/>
      <c r="U104" s="1776"/>
      <c r="V104" s="1779"/>
      <c r="W104" s="1811"/>
      <c r="X104" s="1813"/>
      <c r="Y104" s="1815"/>
      <c r="Z104" s="1794"/>
      <c r="AA104" s="397"/>
      <c r="AB104" s="398"/>
      <c r="AC104" s="398"/>
      <c r="AD104" s="398"/>
      <c r="AE104" s="398"/>
      <c r="AF104" s="398"/>
      <c r="AG104" s="398"/>
      <c r="AH104" s="398"/>
      <c r="AI104" s="397"/>
    </row>
    <row r="105" spans="1:35" ht="17.25" customHeight="1" thickBot="1" x14ac:dyDescent="0.3">
      <c r="A105" s="1447" t="s">
        <v>754</v>
      </c>
      <c r="B105" s="1213"/>
      <c r="C105" s="543" t="s">
        <v>755</v>
      </c>
      <c r="D105" s="1171">
        <v>46600</v>
      </c>
      <c r="F105" s="549"/>
      <c r="G105" s="550"/>
      <c r="H105" s="551"/>
      <c r="I105" s="566">
        <f>Tabel6689172627[[#This Row],[Fix.ch. 2015]]+Tabel6689172627[[#This Row],[Var. ch. 2015]]+Tabel6689172627[[#This Row],[Oth. ch. DW 2015]]</f>
        <v>0</v>
      </c>
      <c r="J105" s="567"/>
      <c r="K105" s="568"/>
      <c r="L105" s="568"/>
      <c r="M105" s="569"/>
      <c r="N105" s="1270">
        <f>Tabel6689172627[[#This Row],[Sew. 2015]]+Tabel6689172627[[#This Row],[WW 2015]]+Tabel6689172627[[#This Row],[Other ch. 2015]]</f>
        <v>0</v>
      </c>
      <c r="O105" s="1271"/>
      <c r="P105" s="571">
        <f>Tabel6689172627[[#This Row],[Total. ch. DW 2015]]+Tabel6689172627[[#This Row],[Sew. 2015]]+Tabel6689172627[[#This Row],[WW 2015]]+Tabel6689172627[[#This Row],[Other ch. 2015]]+Tabel6689172627[[#This Row],[VAT 2015]]</f>
        <v>0</v>
      </c>
      <c r="Q105" s="397"/>
      <c r="R105" s="1173"/>
      <c r="S105" s="1174"/>
      <c r="T105" s="1175"/>
      <c r="U105" s="1176"/>
      <c r="V105" s="1177"/>
      <c r="W105" s="1178"/>
      <c r="X105" s="1179"/>
      <c r="Y105" s="1180"/>
      <c r="Z105" s="1181"/>
      <c r="AA105" s="397"/>
      <c r="AB105" s="398"/>
      <c r="AC105" s="398"/>
      <c r="AD105" s="398"/>
      <c r="AE105" s="398"/>
      <c r="AF105" s="398"/>
      <c r="AG105" s="398"/>
      <c r="AH105" s="398"/>
      <c r="AI105" s="397"/>
    </row>
    <row r="106" spans="1:35" ht="18" customHeight="1" x14ac:dyDescent="0.25">
      <c r="A106" s="1833" t="s">
        <v>466</v>
      </c>
      <c r="B106" s="1617"/>
      <c r="C106" s="1448" t="s">
        <v>606</v>
      </c>
      <c r="D106" s="2210">
        <v>12800</v>
      </c>
      <c r="F106" s="319">
        <f>0</f>
        <v>0</v>
      </c>
      <c r="G106" s="320" t="e">
        <f>466512/E106</f>
        <v>#DIV/0!</v>
      </c>
      <c r="H106" s="321">
        <v>0</v>
      </c>
      <c r="I106" s="313" t="e">
        <f>Tabel6689172627[[#This Row],[Fix.ch. 2015]]+Tabel6689172627[[#This Row],[Var. ch. 2015]]+Tabel6689172627[[#This Row],[Oth. ch. DW 2015]]</f>
        <v>#DIV/0!</v>
      </c>
      <c r="J106" s="322" t="e">
        <f>71496/E106</f>
        <v>#DIV/0!</v>
      </c>
      <c r="K106" s="323">
        <v>0</v>
      </c>
      <c r="L106" s="323"/>
      <c r="M106" s="324">
        <v>0</v>
      </c>
      <c r="N106" s="1257" t="e">
        <f>Tabel6689172627[[#This Row],[Sew. 2015]]+Tabel6689172627[[#This Row],[WW 2015]]+Tabel6689172627[[#This Row],[Other ch. 2015]]</f>
        <v>#DIV/0!</v>
      </c>
      <c r="O106" s="1258" t="e">
        <f>32280/E106</f>
        <v>#DIV/0!</v>
      </c>
      <c r="P106" s="318" t="e">
        <f>Tabel6689172627[[#This Row],[Total. ch. DW 2015]]+Tabel6689172627[[#This Row],[Sew. 2015]]+Tabel6689172627[[#This Row],[WW 2015]]+Tabel6689172627[[#This Row],[Other ch. 2015]]+Tabel6689172627[[#This Row],[VAT 2015]]</f>
        <v>#DIV/0!</v>
      </c>
      <c r="Q106" s="397"/>
      <c r="R106" s="2211">
        <f t="shared" ref="R106:W106" si="31">SUM(F106:F110)/5</f>
        <v>0</v>
      </c>
      <c r="S106" s="2212" t="e">
        <f t="shared" si="31"/>
        <v>#DIV/0!</v>
      </c>
      <c r="T106" s="2213">
        <f t="shared" si="31"/>
        <v>0</v>
      </c>
      <c r="U106" s="2214" t="e">
        <f t="shared" si="31"/>
        <v>#DIV/0!</v>
      </c>
      <c r="V106" s="2215" t="e">
        <f t="shared" si="31"/>
        <v>#DIV/0!</v>
      </c>
      <c r="W106" s="2216">
        <f t="shared" si="31"/>
        <v>0</v>
      </c>
      <c r="X106" s="2217">
        <f>SUM(M106:M110)/5</f>
        <v>0</v>
      </c>
      <c r="Y106" s="2218" t="e">
        <f t="shared" ref="Y106:Z106" si="32">SUM(O106:O110)/5</f>
        <v>#DIV/0!</v>
      </c>
      <c r="Z106" s="2219" t="e">
        <f t="shared" si="32"/>
        <v>#DIV/0!</v>
      </c>
      <c r="AA106" s="397"/>
      <c r="AB106" s="398"/>
      <c r="AC106" s="398"/>
      <c r="AD106" s="398"/>
      <c r="AE106" s="396" t="s">
        <v>429</v>
      </c>
      <c r="AF106" s="398"/>
      <c r="AG106" s="398"/>
      <c r="AH106" s="398"/>
      <c r="AI106" s="397"/>
    </row>
    <row r="107" spans="1:35" ht="15.75" x14ac:dyDescent="0.25">
      <c r="A107" s="2297"/>
      <c r="B107" s="1617"/>
      <c r="C107" s="298" t="s">
        <v>607</v>
      </c>
      <c r="D107" s="1837"/>
      <c r="F107" s="319">
        <f>0</f>
        <v>0</v>
      </c>
      <c r="G107" s="320" t="e">
        <f>408600/E107</f>
        <v>#DIV/0!</v>
      </c>
      <c r="H107" s="321">
        <v>0</v>
      </c>
      <c r="I107" s="313" t="e">
        <f>Tabel6689172627[[#This Row],[Fix.ch. 2015]]+Tabel6689172627[[#This Row],[Var. ch. 2015]]+Tabel6689172627[[#This Row],[Oth. ch. DW 2015]]</f>
        <v>#DIV/0!</v>
      </c>
      <c r="J107" s="322" t="e">
        <f>71496/E107</f>
        <v>#DIV/0!</v>
      </c>
      <c r="K107" s="323">
        <v>0</v>
      </c>
      <c r="L107" s="323"/>
      <c r="M107" s="324">
        <v>0</v>
      </c>
      <c r="N107" s="1257" t="e">
        <f>Tabel6689172627[[#This Row],[Sew. 2015]]+Tabel6689172627[[#This Row],[WW 2015]]+Tabel6689172627[[#This Row],[Other ch. 2015]]</f>
        <v>#DIV/0!</v>
      </c>
      <c r="O107" s="1258" t="e">
        <f>28800/E107</f>
        <v>#DIV/0!</v>
      </c>
      <c r="P107" s="318" t="e">
        <f>Tabel6689172627[[#This Row],[Total. ch. DW 2015]]+Tabel6689172627[[#This Row],[Sew. 2015]]+Tabel6689172627[[#This Row],[WW 2015]]+Tabel6689172627[[#This Row],[Other ch. 2015]]+Tabel6689172627[[#This Row],[VAT 2015]]</f>
        <v>#DIV/0!</v>
      </c>
      <c r="Q107" s="397"/>
      <c r="R107" s="1840"/>
      <c r="S107" s="1843"/>
      <c r="T107" s="1846"/>
      <c r="U107" s="1849"/>
      <c r="V107" s="1852"/>
      <c r="W107" s="1855"/>
      <c r="X107" s="1858"/>
      <c r="Y107" s="1873"/>
      <c r="Z107" s="1876"/>
      <c r="AA107" s="397"/>
      <c r="AB107" s="398"/>
      <c r="AC107" s="398"/>
      <c r="AD107" s="398"/>
      <c r="AE107" s="396" t="s">
        <v>429</v>
      </c>
      <c r="AF107" s="398"/>
      <c r="AG107" s="398"/>
      <c r="AH107" s="398"/>
      <c r="AI107" s="397"/>
    </row>
    <row r="108" spans="1:35" ht="15.75" x14ac:dyDescent="0.25">
      <c r="A108" s="2297"/>
      <c r="B108" s="1617"/>
      <c r="C108" s="298" t="s">
        <v>608</v>
      </c>
      <c r="D108" s="1837"/>
      <c r="F108" s="319">
        <f>0</f>
        <v>0</v>
      </c>
      <c r="G108" s="320" t="e">
        <f>366780/E108</f>
        <v>#DIV/0!</v>
      </c>
      <c r="H108" s="321">
        <v>0</v>
      </c>
      <c r="I108" s="313" t="e">
        <f>Tabel6689172627[[#This Row],[Fix.ch. 2015]]+Tabel6689172627[[#This Row],[Var. ch. 2015]]+Tabel6689172627[[#This Row],[Oth. ch. DW 2015]]</f>
        <v>#DIV/0!</v>
      </c>
      <c r="J108" s="322" t="e">
        <f t="shared" ref="J108:J110" si="33">71496/E108</f>
        <v>#DIV/0!</v>
      </c>
      <c r="K108" s="323">
        <v>0</v>
      </c>
      <c r="L108" s="323"/>
      <c r="M108" s="324">
        <v>0</v>
      </c>
      <c r="N108" s="1257" t="e">
        <f>Tabel6689172627[[#This Row],[Sew. 2015]]+Tabel6689172627[[#This Row],[WW 2015]]+Tabel6689172627[[#This Row],[Other ch. 2015]]</f>
        <v>#DIV/0!</v>
      </c>
      <c r="O108" s="1258" t="e">
        <f>26292/E108</f>
        <v>#DIV/0!</v>
      </c>
      <c r="P108" s="318" t="e">
        <f>Tabel6689172627[[#This Row],[Total. ch. DW 2015]]+Tabel6689172627[[#This Row],[Sew. 2015]]+Tabel6689172627[[#This Row],[WW 2015]]+Tabel6689172627[[#This Row],[Other ch. 2015]]+Tabel6689172627[[#This Row],[VAT 2015]]</f>
        <v>#DIV/0!</v>
      </c>
      <c r="Q108" s="397"/>
      <c r="R108" s="1840"/>
      <c r="S108" s="1843"/>
      <c r="T108" s="1846"/>
      <c r="U108" s="1849"/>
      <c r="V108" s="1852"/>
      <c r="W108" s="1855"/>
      <c r="X108" s="1858"/>
      <c r="Y108" s="1873"/>
      <c r="Z108" s="1876"/>
      <c r="AA108" s="397"/>
      <c r="AB108" s="398"/>
      <c r="AC108" s="398"/>
      <c r="AD108" s="398"/>
      <c r="AE108" s="396" t="s">
        <v>429</v>
      </c>
      <c r="AF108" s="398"/>
      <c r="AG108" s="398"/>
      <c r="AH108" s="398"/>
      <c r="AI108" s="397"/>
    </row>
    <row r="109" spans="1:35" ht="15.75" x14ac:dyDescent="0.25">
      <c r="A109" s="2297"/>
      <c r="B109" s="1617"/>
      <c r="C109" s="298" t="s">
        <v>609</v>
      </c>
      <c r="D109" s="1837"/>
      <c r="F109" s="319">
        <f>0</f>
        <v>0</v>
      </c>
      <c r="G109" s="320" t="e">
        <f>418248/E109</f>
        <v>#DIV/0!</v>
      </c>
      <c r="H109" s="321">
        <v>0</v>
      </c>
      <c r="I109" s="313" t="e">
        <f>Tabel6689172627[[#This Row],[Fix.ch. 2015]]+Tabel6689172627[[#This Row],[Var. ch. 2015]]+Tabel6689172627[[#This Row],[Oth. ch. DW 2015]]</f>
        <v>#DIV/0!</v>
      </c>
      <c r="J109" s="322" t="e">
        <f t="shared" si="33"/>
        <v>#DIV/0!</v>
      </c>
      <c r="K109" s="323">
        <v>0</v>
      </c>
      <c r="L109" s="323"/>
      <c r="M109" s="324">
        <v>0</v>
      </c>
      <c r="N109" s="1257" t="e">
        <f>Tabel6689172627[[#This Row],[Sew. 2015]]+Tabel6689172627[[#This Row],[WW 2015]]+Tabel6689172627[[#This Row],[Other ch. 2015]]</f>
        <v>#DIV/0!</v>
      </c>
      <c r="O109" s="1258" t="e">
        <f>29388/E109</f>
        <v>#DIV/0!</v>
      </c>
      <c r="P109" s="318" t="e">
        <f>Tabel6689172627[[#This Row],[Total. ch. DW 2015]]+Tabel6689172627[[#This Row],[Sew. 2015]]+Tabel6689172627[[#This Row],[WW 2015]]+Tabel6689172627[[#This Row],[Other ch. 2015]]+Tabel6689172627[[#This Row],[VAT 2015]]</f>
        <v>#DIV/0!</v>
      </c>
      <c r="Q109" s="397"/>
      <c r="R109" s="1840"/>
      <c r="S109" s="1843"/>
      <c r="T109" s="1846"/>
      <c r="U109" s="1849"/>
      <c r="V109" s="1852"/>
      <c r="W109" s="1855"/>
      <c r="X109" s="1858"/>
      <c r="Y109" s="1873"/>
      <c r="Z109" s="1876"/>
      <c r="AA109" s="397"/>
      <c r="AB109" s="398"/>
      <c r="AC109" s="398"/>
      <c r="AD109" s="398"/>
      <c r="AE109" s="396" t="s">
        <v>429</v>
      </c>
      <c r="AF109" s="398"/>
      <c r="AG109" s="398"/>
      <c r="AH109" s="398"/>
      <c r="AI109" s="397"/>
    </row>
    <row r="110" spans="1:35" ht="16.5" thickBot="1" x14ac:dyDescent="0.3">
      <c r="A110" s="2298"/>
      <c r="B110" s="1617"/>
      <c r="C110" s="293" t="s">
        <v>610</v>
      </c>
      <c r="D110" s="2008"/>
      <c r="F110" s="319">
        <f>0</f>
        <v>0</v>
      </c>
      <c r="G110" s="320" t="e">
        <f>421464/E110</f>
        <v>#DIV/0!</v>
      </c>
      <c r="H110" s="321">
        <v>0</v>
      </c>
      <c r="I110" s="313" t="e">
        <f>Tabel6689172627[[#This Row],[Fix.ch. 2015]]+Tabel6689172627[[#This Row],[Var. ch. 2015]]+Tabel6689172627[[#This Row],[Oth. ch. DW 2015]]</f>
        <v>#DIV/0!</v>
      </c>
      <c r="J110" s="322" t="e">
        <f t="shared" si="33"/>
        <v>#DIV/0!</v>
      </c>
      <c r="K110" s="323">
        <v>0</v>
      </c>
      <c r="L110" s="323"/>
      <c r="M110" s="324">
        <v>0</v>
      </c>
      <c r="N110" s="1257" t="e">
        <f>Tabel6689172627[[#This Row],[Sew. 2015]]+Tabel6689172627[[#This Row],[WW 2015]]+Tabel6689172627[[#This Row],[Other ch. 2015]]</f>
        <v>#DIV/0!</v>
      </c>
      <c r="O110" s="1258" t="e">
        <f>29568/E110</f>
        <v>#DIV/0!</v>
      </c>
      <c r="P110" s="318" t="e">
        <f>Tabel6689172627[[#This Row],[Total. ch. DW 2015]]+Tabel6689172627[[#This Row],[Sew. 2015]]+Tabel6689172627[[#This Row],[WW 2015]]+Tabel6689172627[[#This Row],[Other ch. 2015]]+Tabel6689172627[[#This Row],[VAT 2015]]</f>
        <v>#DIV/0!</v>
      </c>
      <c r="Q110" s="397"/>
      <c r="R110" s="2088"/>
      <c r="S110" s="2013"/>
      <c r="T110" s="2015"/>
      <c r="U110" s="2017"/>
      <c r="V110" s="2019"/>
      <c r="W110" s="2021"/>
      <c r="X110" s="2030"/>
      <c r="Y110" s="1993"/>
      <c r="Z110" s="1995"/>
      <c r="AA110" s="397"/>
      <c r="AB110" s="398"/>
      <c r="AC110" s="398"/>
      <c r="AD110" s="398"/>
      <c r="AE110" s="396" t="s">
        <v>429</v>
      </c>
      <c r="AF110" s="398"/>
      <c r="AG110" s="398"/>
      <c r="AH110" s="398"/>
      <c r="AI110" s="397"/>
    </row>
    <row r="111" spans="1:35" ht="19.5" thickBot="1" x14ac:dyDescent="0.35">
      <c r="A111" s="267" t="s">
        <v>16</v>
      </c>
      <c r="B111" s="1616"/>
      <c r="C111" s="296" t="s">
        <v>106</v>
      </c>
      <c r="D111" s="1256">
        <v>34900</v>
      </c>
      <c r="F111" s="319">
        <v>0</v>
      </c>
      <c r="G111" s="320" t="e">
        <f>1632.16/E111</f>
        <v>#DIV/0!</v>
      </c>
      <c r="H111" s="321">
        <v>0</v>
      </c>
      <c r="I111" s="313" t="e">
        <f>Tabel6689172627[[#This Row],[Fix.ch. 2015]]+Tabel6689172627[[#This Row],[Var. ch. 2015]]+Tabel6689172627[[#This Row],[Oth. ch. DW 2015]]</f>
        <v>#DIV/0!</v>
      </c>
      <c r="J111" s="322">
        <v>0</v>
      </c>
      <c r="K111" s="323">
        <v>0</v>
      </c>
      <c r="L111" s="323"/>
      <c r="M111" s="324">
        <v>0</v>
      </c>
      <c r="N111" s="1257">
        <f>Tabel6689172627[[#This Row],[Sew. 2015]]+Tabel6689172627[[#This Row],[WW 2015]]+Tabel6689172627[[#This Row],[Other ch. 2015]]</f>
        <v>0</v>
      </c>
      <c r="O111" s="1258" t="e">
        <f>282.84/E111</f>
        <v>#DIV/0!</v>
      </c>
      <c r="P111" s="318" t="e">
        <f>Tabel6689172627[[#This Row],[Total. ch. DW 2015]]+Tabel6689172627[[#This Row],[Sew. 2015]]+Tabel6689172627[[#This Row],[WW 2015]]+Tabel6689172627[[#This Row],[Other ch. 2015]]+Tabel6689172627[[#This Row],[VAT 2015]]</f>
        <v>#DIV/0!</v>
      </c>
      <c r="Q111" s="397"/>
      <c r="R111" s="1228">
        <v>0</v>
      </c>
      <c r="S111" s="1229" t="e">
        <f>Tabel6689172627[[#This Row],[Var. ch. 2015]]</f>
        <v>#DIV/0!</v>
      </c>
      <c r="T111" s="1230">
        <v>0</v>
      </c>
      <c r="U111" s="1231" t="e">
        <f>Tabel6689172627[[#This Row],[Total. ch. DW 2015]]</f>
        <v>#DIV/0!</v>
      </c>
      <c r="V111" s="1232">
        <v>0</v>
      </c>
      <c r="W111" s="1233">
        <v>0</v>
      </c>
      <c r="X111" s="1234">
        <v>0</v>
      </c>
      <c r="Y111" s="1235" t="e">
        <f>Tabel6689172627[[#This Row],[VAT 2015]]</f>
        <v>#DIV/0!</v>
      </c>
      <c r="Z111" s="1236" t="e">
        <f>Tabel6689172627[[#This Row],[total charge 2015]]</f>
        <v>#DIV/0!</v>
      </c>
      <c r="AA111" s="397"/>
      <c r="AB111" s="398"/>
      <c r="AC111" s="398"/>
      <c r="AD111" s="398"/>
      <c r="AE111" s="396" t="s">
        <v>429</v>
      </c>
      <c r="AF111" s="398"/>
      <c r="AG111" s="398"/>
      <c r="AH111" s="398" t="s">
        <v>590</v>
      </c>
      <c r="AI111" s="397"/>
    </row>
    <row r="112" spans="1:35" ht="15.75" x14ac:dyDescent="0.25">
      <c r="A112" s="1833" t="s">
        <v>17</v>
      </c>
      <c r="B112" s="1617"/>
      <c r="C112" s="1448" t="s">
        <v>107</v>
      </c>
      <c r="D112" s="2210">
        <v>29600</v>
      </c>
      <c r="F112" s="319" t="e">
        <f>17.62/E112</f>
        <v>#DIV/0!</v>
      </c>
      <c r="G112" s="320" t="e">
        <f>172.8/E112</f>
        <v>#DIV/0!</v>
      </c>
      <c r="H112" s="321">
        <v>0</v>
      </c>
      <c r="I112" s="313" t="e">
        <f>Tabel6689172627[[#This Row],[Fix.ch. 2015]]+Tabel6689172627[[#This Row],[Var. ch. 2015]]+Tabel6689172627[[#This Row],[Oth. ch. DW 2015]]</f>
        <v>#DIV/0!</v>
      </c>
      <c r="J112" s="322" t="e">
        <f>34.3/E112</f>
        <v>#DIV/0!</v>
      </c>
      <c r="K112" s="323" t="e">
        <f>92.42/E112</f>
        <v>#DIV/0!</v>
      </c>
      <c r="L112" s="323"/>
      <c r="M112" s="324">
        <v>0</v>
      </c>
      <c r="N112" s="1257" t="e">
        <f>Tabel6689172627[[#This Row],[Sew. 2015]]+Tabel6689172627[[#This Row],[WW 2015]]+Tabel6689172627[[#This Row],[Other ch. 2015]]</f>
        <v>#DIV/0!</v>
      </c>
      <c r="O112" s="1258" t="e">
        <f>31.71/E112</f>
        <v>#DIV/0!</v>
      </c>
      <c r="P112" s="318" t="e">
        <f>Tabel6689172627[[#This Row],[Total. ch. DW 2015]]+Tabel6689172627[[#This Row],[Sew. 2015]]+Tabel6689172627[[#This Row],[WW 2015]]+Tabel6689172627[[#This Row],[Other ch. 2015]]+Tabel6689172627[[#This Row],[VAT 2015]]</f>
        <v>#DIV/0!</v>
      </c>
      <c r="Q112" s="397"/>
      <c r="R112" s="2309" t="e">
        <f t="shared" ref="R112:W112" si="34">SUM(F112:F116)/5</f>
        <v>#DIV/0!</v>
      </c>
      <c r="S112" s="2310" t="e">
        <f t="shared" si="34"/>
        <v>#DIV/0!</v>
      </c>
      <c r="T112" s="2311" t="e">
        <f t="shared" si="34"/>
        <v>#DIV/0!</v>
      </c>
      <c r="U112" s="2308" t="e">
        <f t="shared" si="34"/>
        <v>#DIV/0!</v>
      </c>
      <c r="V112" s="2303" t="e">
        <f t="shared" si="34"/>
        <v>#DIV/0!</v>
      </c>
      <c r="W112" s="2304" t="e">
        <f t="shared" si="34"/>
        <v>#DIV/0!</v>
      </c>
      <c r="X112" s="2305">
        <f>SUM(M112:M116)/5</f>
        <v>0</v>
      </c>
      <c r="Y112" s="2306" t="e">
        <f t="shared" ref="Y112:Z112" si="35">SUM(O112:O116)/5</f>
        <v>#DIV/0!</v>
      </c>
      <c r="Z112" s="2307" t="e">
        <f t="shared" si="35"/>
        <v>#DIV/0!</v>
      </c>
      <c r="AA112" s="397"/>
      <c r="AB112" s="398"/>
      <c r="AC112" s="398"/>
      <c r="AD112" s="398"/>
      <c r="AE112" s="396" t="s">
        <v>429</v>
      </c>
      <c r="AF112" s="396"/>
      <c r="AG112" s="398"/>
      <c r="AH112" s="398"/>
      <c r="AI112" s="397"/>
    </row>
    <row r="113" spans="1:35" ht="15.75" x14ac:dyDescent="0.25">
      <c r="A113" s="2297"/>
      <c r="B113" s="1617"/>
      <c r="C113" s="298" t="s">
        <v>108</v>
      </c>
      <c r="D113" s="1837"/>
      <c r="F113" s="319" t="e">
        <f>2.79/E113</f>
        <v>#DIV/0!</v>
      </c>
      <c r="G113" s="320" t="e">
        <f>30.35/E113</f>
        <v>#DIV/0!</v>
      </c>
      <c r="H113" s="321">
        <v>0</v>
      </c>
      <c r="I113" s="313" t="e">
        <f>Tabel6689172627[[#This Row],[Fix.ch. 2015]]+Tabel6689172627[[#This Row],[Var. ch. 2015]]+Tabel6689172627[[#This Row],[Oth. ch. DW 2015]]</f>
        <v>#DIV/0!</v>
      </c>
      <c r="J113" s="322" t="e">
        <f>21.6/E113</f>
        <v>#DIV/0!</v>
      </c>
      <c r="K113" s="323" t="e">
        <f>55.4/E113</f>
        <v>#DIV/0!</v>
      </c>
      <c r="L113" s="323"/>
      <c r="M113" s="324">
        <v>0</v>
      </c>
      <c r="N113" s="1257" t="e">
        <f>Tabel6689172627[[#This Row],[Sew. 2015]]+Tabel6689172627[[#This Row],[WW 2015]]+Tabel6689172627[[#This Row],[Other ch. 2015]]</f>
        <v>#DIV/0!</v>
      </c>
      <c r="O113" s="1258" t="e">
        <f>11.01/E113</f>
        <v>#DIV/0!</v>
      </c>
      <c r="P113" s="318" t="e">
        <f>Tabel6689172627[[#This Row],[Total. ch. DW 2015]]+Tabel6689172627[[#This Row],[Sew. 2015]]+Tabel6689172627[[#This Row],[WW 2015]]+Tabel6689172627[[#This Row],[Other ch. 2015]]+Tabel6689172627[[#This Row],[VAT 2015]]</f>
        <v>#DIV/0!</v>
      </c>
      <c r="Q113" s="397"/>
      <c r="R113" s="1840"/>
      <c r="S113" s="1843"/>
      <c r="T113" s="1846"/>
      <c r="U113" s="1849"/>
      <c r="V113" s="1852"/>
      <c r="W113" s="1855"/>
      <c r="X113" s="1858"/>
      <c r="Y113" s="1873"/>
      <c r="Z113" s="1876"/>
      <c r="AA113" s="397"/>
      <c r="AB113" s="398"/>
      <c r="AC113" s="398"/>
      <c r="AD113" s="398"/>
      <c r="AE113" s="396" t="s">
        <v>429</v>
      </c>
      <c r="AF113" s="396"/>
      <c r="AG113" s="398"/>
      <c r="AH113" s="398"/>
      <c r="AI113" s="397"/>
    </row>
    <row r="114" spans="1:35" ht="15.75" x14ac:dyDescent="0.25">
      <c r="A114" s="2297"/>
      <c r="B114" s="1617"/>
      <c r="C114" s="298" t="s">
        <v>109</v>
      </c>
      <c r="D114" s="1837"/>
      <c r="F114" s="319" t="e">
        <f>8.79/E114</f>
        <v>#DIV/0!</v>
      </c>
      <c r="G114" s="320" t="e">
        <f>133.39/E114</f>
        <v>#DIV/0!</v>
      </c>
      <c r="H114" s="321">
        <v>0</v>
      </c>
      <c r="I114" s="313" t="e">
        <f>Tabel6689172627[[#This Row],[Fix.ch. 2015]]+Tabel6689172627[[#This Row],[Var. ch. 2015]]+Tabel6689172627[[#This Row],[Oth. ch. DW 2015]]</f>
        <v>#DIV/0!</v>
      </c>
      <c r="J114" s="322" t="e">
        <f>20.49/E114</f>
        <v>#DIV/0!</v>
      </c>
      <c r="K114" s="323" t="e">
        <f>72.64/E114</f>
        <v>#DIV/0!</v>
      </c>
      <c r="L114" s="323"/>
      <c r="M114" s="324">
        <v>0</v>
      </c>
      <c r="N114" s="1257" t="e">
        <f>Tabel6689172627[[#This Row],[Sew. 2015]]+Tabel6689172627[[#This Row],[WW 2015]]+Tabel6689172627[[#This Row],[Other ch. 2015]]</f>
        <v>#DIV/0!</v>
      </c>
      <c r="O114" s="1258" t="e">
        <f>23.53/E114</f>
        <v>#DIV/0!</v>
      </c>
      <c r="P114" s="318" t="e">
        <f>Tabel6689172627[[#This Row],[Total. ch. DW 2015]]+Tabel6689172627[[#This Row],[Sew. 2015]]+Tabel6689172627[[#This Row],[WW 2015]]+Tabel6689172627[[#This Row],[Other ch. 2015]]+Tabel6689172627[[#This Row],[VAT 2015]]</f>
        <v>#DIV/0!</v>
      </c>
      <c r="Q114" s="397"/>
      <c r="R114" s="1840"/>
      <c r="S114" s="1843"/>
      <c r="T114" s="1846"/>
      <c r="U114" s="1849"/>
      <c r="V114" s="1852"/>
      <c r="W114" s="1855"/>
      <c r="X114" s="1858"/>
      <c r="Y114" s="1873"/>
      <c r="Z114" s="1876"/>
      <c r="AA114" s="397"/>
      <c r="AB114" s="398"/>
      <c r="AC114" s="398"/>
      <c r="AD114" s="398"/>
      <c r="AE114" s="396" t="s">
        <v>429</v>
      </c>
      <c r="AF114" s="396" t="s">
        <v>429</v>
      </c>
      <c r="AG114" s="398"/>
      <c r="AH114" s="398"/>
      <c r="AI114" s="397"/>
    </row>
    <row r="115" spans="1:35" ht="15.75" x14ac:dyDescent="0.25">
      <c r="A115" s="2297"/>
      <c r="B115" s="1617"/>
      <c r="C115" s="298" t="s">
        <v>110</v>
      </c>
      <c r="D115" s="1837"/>
      <c r="F115" s="319" t="e">
        <f>22.66/E115</f>
        <v>#DIV/0!</v>
      </c>
      <c r="G115" s="320" t="e">
        <f>83.91/E115</f>
        <v>#DIV/0!</v>
      </c>
      <c r="H115" s="321" t="e">
        <f>2.52/E115</f>
        <v>#DIV/0!</v>
      </c>
      <c r="I115" s="313" t="e">
        <f>Tabel6689172627[[#This Row],[Fix.ch. 2015]]+Tabel6689172627[[#This Row],[Var. ch. 2015]]+Tabel6689172627[[#This Row],[Oth. ch. DW 2015]]</f>
        <v>#DIV/0!</v>
      </c>
      <c r="J115" s="322" t="e">
        <f>32.46/E115</f>
        <v>#DIV/0!</v>
      </c>
      <c r="K115" s="323" t="e">
        <f>93.64/E115</f>
        <v>#DIV/0!</v>
      </c>
      <c r="L115" s="323"/>
      <c r="M115" s="324">
        <v>0</v>
      </c>
      <c r="N115" s="1257" t="e">
        <f>Tabel6689172627[[#This Row],[Sew. 2015]]+Tabel6689172627[[#This Row],[WW 2015]]+Tabel6689172627[[#This Row],[Other ch. 2015]]</f>
        <v>#DIV/0!</v>
      </c>
      <c r="O115" s="1258" t="e">
        <f>23.52/E115</f>
        <v>#DIV/0!</v>
      </c>
      <c r="P115" s="318" t="e">
        <f>Tabel6689172627[[#This Row],[Total. ch. DW 2015]]+Tabel6689172627[[#This Row],[Sew. 2015]]+Tabel6689172627[[#This Row],[WW 2015]]+Tabel6689172627[[#This Row],[Other ch. 2015]]+Tabel6689172627[[#This Row],[VAT 2015]]</f>
        <v>#DIV/0!</v>
      </c>
      <c r="Q115" s="397"/>
      <c r="R115" s="1840"/>
      <c r="S115" s="1843"/>
      <c r="T115" s="1846"/>
      <c r="U115" s="1849"/>
      <c r="V115" s="1852"/>
      <c r="W115" s="1855"/>
      <c r="X115" s="1858"/>
      <c r="Y115" s="1873"/>
      <c r="Z115" s="1876"/>
      <c r="AA115" s="397"/>
      <c r="AB115" s="398"/>
      <c r="AC115" s="398"/>
      <c r="AD115" s="398"/>
      <c r="AE115" s="396" t="s">
        <v>429</v>
      </c>
      <c r="AF115" s="396" t="s">
        <v>429</v>
      </c>
      <c r="AG115" s="398"/>
      <c r="AH115" s="398"/>
      <c r="AI115" s="397"/>
    </row>
    <row r="116" spans="1:35" ht="16.5" thickBot="1" x14ac:dyDescent="0.3">
      <c r="A116" s="2298"/>
      <c r="B116" s="1617"/>
      <c r="C116" s="293" t="s">
        <v>111</v>
      </c>
      <c r="D116" s="2221"/>
      <c r="F116" s="319" t="e">
        <f>7.26/E116</f>
        <v>#DIV/0!</v>
      </c>
      <c r="G116" s="320" t="e">
        <f>126.64/E116</f>
        <v>#DIV/0!</v>
      </c>
      <c r="H116" s="321">
        <v>0</v>
      </c>
      <c r="I116" s="313" t="e">
        <f>Tabel6689172627[[#This Row],[Fix.ch. 2015]]+Tabel6689172627[[#This Row],[Var. ch. 2015]]+Tabel6689172627[[#This Row],[Oth. ch. DW 2015]]</f>
        <v>#DIV/0!</v>
      </c>
      <c r="J116" s="322" t="e">
        <f>44.6/E116</f>
        <v>#DIV/0!</v>
      </c>
      <c r="K116" s="323" t="e">
        <f>119.32/E116</f>
        <v>#DIV/0!</v>
      </c>
      <c r="L116" s="323"/>
      <c r="M116" s="324">
        <v>0</v>
      </c>
      <c r="N116" s="1257" t="e">
        <f>Tabel6689172627[[#This Row],[Sew. 2015]]+Tabel6689172627[[#This Row],[WW 2015]]+Tabel6689172627[[#This Row],[Other ch. 2015]]</f>
        <v>#DIV/0!</v>
      </c>
      <c r="O116" s="1258" t="e">
        <f>29.78/E116</f>
        <v>#DIV/0!</v>
      </c>
      <c r="P116" s="318" t="e">
        <f>Tabel6689172627[[#This Row],[Total. ch. DW 2015]]+Tabel6689172627[[#This Row],[Sew. 2015]]+Tabel6689172627[[#This Row],[WW 2015]]+Tabel6689172627[[#This Row],[Other ch. 2015]]+Tabel6689172627[[#This Row],[VAT 2015]]</f>
        <v>#DIV/0!</v>
      </c>
      <c r="Q116" s="397"/>
      <c r="R116" s="2223"/>
      <c r="S116" s="2225"/>
      <c r="T116" s="2227"/>
      <c r="U116" s="2234"/>
      <c r="V116" s="2236"/>
      <c r="W116" s="2238"/>
      <c r="X116" s="2240"/>
      <c r="Y116" s="2242"/>
      <c r="Z116" s="2244"/>
      <c r="AA116" s="397"/>
      <c r="AB116" s="398"/>
      <c r="AC116" s="398"/>
      <c r="AD116" s="398"/>
      <c r="AE116" s="396" t="s">
        <v>429</v>
      </c>
      <c r="AF116" s="396" t="s">
        <v>429</v>
      </c>
      <c r="AG116" s="398"/>
      <c r="AH116" s="398"/>
      <c r="AI116" s="397"/>
    </row>
    <row r="117" spans="1:35" ht="15.75" x14ac:dyDescent="0.25">
      <c r="A117" s="1818" t="s">
        <v>18</v>
      </c>
      <c r="B117" s="1213"/>
      <c r="C117" s="1446" t="s">
        <v>112</v>
      </c>
      <c r="D117" s="1759">
        <v>38200</v>
      </c>
      <c r="F117" s="549" t="e">
        <f>7500/E117</f>
        <v>#DIV/0!</v>
      </c>
      <c r="G117" s="550" t="e">
        <f>11568/E117</f>
        <v>#DIV/0!</v>
      </c>
      <c r="H117" s="551">
        <f>0</f>
        <v>0</v>
      </c>
      <c r="I117" s="566" t="e">
        <f>Tabel6689172627[[#This Row],[Fix.ch. 2015]]+Tabel6689172627[[#This Row],[Var. ch. 2015]]+Tabel6689172627[[#This Row],[Oth. ch. DW 2015]]</f>
        <v>#DIV/0!</v>
      </c>
      <c r="J117" s="567" t="e">
        <f>14496/E117</f>
        <v>#DIV/0!</v>
      </c>
      <c r="K117" s="568">
        <v>0</v>
      </c>
      <c r="L117" s="568"/>
      <c r="M117" s="569">
        <v>0</v>
      </c>
      <c r="N117" s="1270" t="e">
        <f>Tabel6689172627[[#This Row],[Sew. 2015]]+Tabel6689172627[[#This Row],[WW 2015]]+Tabel6689172627[[#This Row],[Other ch. 2015]]</f>
        <v>#DIV/0!</v>
      </c>
      <c r="O117" s="1271" t="e">
        <f>2676/E117</f>
        <v>#DIV/0!</v>
      </c>
      <c r="P117" s="571" t="e">
        <f>Tabel6689172627[[#This Row],[Total. ch. DW 2015]]+Tabel6689172627[[#This Row],[Sew. 2015]]+Tabel6689172627[[#This Row],[WW 2015]]+Tabel6689172627[[#This Row],[Other ch. 2015]]+Tabel6689172627[[#This Row],[VAT 2015]]</f>
        <v>#DIV/0!</v>
      </c>
      <c r="Q117" s="397"/>
      <c r="R117" s="1762" t="e">
        <f t="shared" ref="R117:W117" si="36">SUM(F117:F124)/8</f>
        <v>#DIV/0!</v>
      </c>
      <c r="S117" s="1765" t="e">
        <f t="shared" si="36"/>
        <v>#DIV/0!</v>
      </c>
      <c r="T117" s="1768">
        <f t="shared" si="36"/>
        <v>0</v>
      </c>
      <c r="U117" s="1774" t="e">
        <f t="shared" si="36"/>
        <v>#DIV/0!</v>
      </c>
      <c r="V117" s="1777" t="e">
        <f t="shared" si="36"/>
        <v>#DIV/0!</v>
      </c>
      <c r="W117" s="1810">
        <f t="shared" si="36"/>
        <v>0</v>
      </c>
      <c r="X117" s="1812">
        <f>SUM(M117:M124)/8</f>
        <v>0</v>
      </c>
      <c r="Y117" s="1814" t="e">
        <f t="shared" ref="Y117:Z117" si="37">SUM(O117:O124)/8</f>
        <v>#DIV/0!</v>
      </c>
      <c r="Z117" s="1793" t="e">
        <f t="shared" si="37"/>
        <v>#DIV/0!</v>
      </c>
      <c r="AA117" s="397"/>
      <c r="AB117" s="396"/>
      <c r="AC117" s="591" t="s">
        <v>429</v>
      </c>
      <c r="AD117" s="398"/>
      <c r="AE117" s="591" t="s">
        <v>429</v>
      </c>
      <c r="AF117" s="398"/>
      <c r="AG117" s="398"/>
      <c r="AH117" s="398"/>
      <c r="AI117" s="397"/>
    </row>
    <row r="118" spans="1:35" ht="15.75" x14ac:dyDescent="0.25">
      <c r="A118" s="2294"/>
      <c r="B118" s="1213"/>
      <c r="C118" s="543" t="s">
        <v>113</v>
      </c>
      <c r="D118" s="1880"/>
      <c r="F118" s="549" t="e">
        <f>10200/E118</f>
        <v>#DIV/0!</v>
      </c>
      <c r="G118" s="550" t="e">
        <f>8960/E118</f>
        <v>#DIV/0!</v>
      </c>
      <c r="H118" s="551">
        <v>0</v>
      </c>
      <c r="I118" s="566" t="e">
        <f>Tabel6689172627[[#This Row],[Fix.ch. 2015]]+Tabel6689172627[[#This Row],[Var. ch. 2015]]+Tabel6689172627[[#This Row],[Oth. ch. DW 2015]]</f>
        <v>#DIV/0!</v>
      </c>
      <c r="J118" s="567" t="e">
        <f>11480/E118</f>
        <v>#DIV/0!</v>
      </c>
      <c r="K118" s="568">
        <v>0</v>
      </c>
      <c r="L118" s="568"/>
      <c r="M118" s="569">
        <v>0</v>
      </c>
      <c r="N118" s="1270" t="e">
        <f>Tabel6689172627[[#This Row],[Sew. 2015]]+Tabel6689172627[[#This Row],[WW 2015]]+Tabel6689172627[[#This Row],[Other ch. 2015]]</f>
        <v>#DIV/0!</v>
      </c>
      <c r="O118" s="1271" t="e">
        <f>2444/E118</f>
        <v>#DIV/0!</v>
      </c>
      <c r="P118" s="571" t="e">
        <f>Tabel6689172627[[#This Row],[Total. ch. DW 2015]]+Tabel6689172627[[#This Row],[Sew. 2015]]+Tabel6689172627[[#This Row],[WW 2015]]+Tabel6689172627[[#This Row],[Other ch. 2015]]+Tabel6689172627[[#This Row],[VAT 2015]]</f>
        <v>#DIV/0!</v>
      </c>
      <c r="Q118" s="397"/>
      <c r="R118" s="1886"/>
      <c r="S118" s="1888"/>
      <c r="T118" s="1890"/>
      <c r="U118" s="1892"/>
      <c r="V118" s="1894"/>
      <c r="W118" s="1911"/>
      <c r="X118" s="1913"/>
      <c r="Y118" s="1915"/>
      <c r="Z118" s="1832"/>
      <c r="AA118" s="397"/>
      <c r="AB118" s="396"/>
      <c r="AC118" s="591" t="s">
        <v>429</v>
      </c>
      <c r="AD118" s="398"/>
      <c r="AE118" s="591" t="s">
        <v>429</v>
      </c>
      <c r="AF118" s="398"/>
      <c r="AG118" s="398"/>
      <c r="AH118" s="398"/>
      <c r="AI118" s="397"/>
    </row>
    <row r="119" spans="1:35" ht="15.75" x14ac:dyDescent="0.25">
      <c r="A119" s="2294"/>
      <c r="B119" s="1213"/>
      <c r="C119" s="543" t="s">
        <v>114</v>
      </c>
      <c r="D119" s="1880"/>
      <c r="F119" s="549" t="e">
        <f>9720/E119</f>
        <v>#DIV/0!</v>
      </c>
      <c r="G119" s="550" t="e">
        <f>10320/E119</f>
        <v>#DIV/0!</v>
      </c>
      <c r="H119" s="551">
        <v>0</v>
      </c>
      <c r="I119" s="566" t="e">
        <f>Tabel6689172627[[#This Row],[Fix.ch. 2015]]+Tabel6689172627[[#This Row],[Var. ch. 2015]]+Tabel6689172627[[#This Row],[Oth. ch. DW 2015]]</f>
        <v>#DIV/0!</v>
      </c>
      <c r="J119" s="567" t="e">
        <f>18180/E119</f>
        <v>#DIV/0!</v>
      </c>
      <c r="K119" s="568">
        <v>0</v>
      </c>
      <c r="L119" s="568"/>
      <c r="M119" s="569">
        <v>0</v>
      </c>
      <c r="N119" s="1270" t="e">
        <f>Tabel6689172627[[#This Row],[Sew. 2015]]+Tabel6689172627[[#This Row],[WW 2015]]+Tabel6689172627[[#This Row],[Other ch. 2015]]</f>
        <v>#DIV/0!</v>
      </c>
      <c r="O119" s="1271" t="e">
        <f>3054/E119</f>
        <v>#DIV/0!</v>
      </c>
      <c r="P119" s="571" t="e">
        <f>Tabel6689172627[[#This Row],[Total. ch. DW 2015]]+Tabel6689172627[[#This Row],[Sew. 2015]]+Tabel6689172627[[#This Row],[WW 2015]]+Tabel6689172627[[#This Row],[Other ch. 2015]]+Tabel6689172627[[#This Row],[VAT 2015]]</f>
        <v>#DIV/0!</v>
      </c>
      <c r="Q119" s="397"/>
      <c r="R119" s="1886"/>
      <c r="S119" s="1888"/>
      <c r="T119" s="1890"/>
      <c r="U119" s="1892"/>
      <c r="V119" s="1894"/>
      <c r="W119" s="1911"/>
      <c r="X119" s="1913"/>
      <c r="Y119" s="1915"/>
      <c r="Z119" s="1832"/>
      <c r="AA119" s="397"/>
      <c r="AB119" s="396"/>
      <c r="AC119" s="591" t="s">
        <v>429</v>
      </c>
      <c r="AD119" s="398"/>
      <c r="AE119" s="591" t="s">
        <v>429</v>
      </c>
      <c r="AF119" s="398"/>
      <c r="AG119" s="398"/>
      <c r="AH119" s="398"/>
      <c r="AI119" s="397"/>
    </row>
    <row r="120" spans="1:35" ht="15.75" x14ac:dyDescent="0.25">
      <c r="A120" s="2294"/>
      <c r="B120" s="1213"/>
      <c r="C120" s="543" t="s">
        <v>115</v>
      </c>
      <c r="D120" s="1880"/>
      <c r="F120" s="549" t="e">
        <f>10200/E120</f>
        <v>#DIV/0!</v>
      </c>
      <c r="G120" s="550" t="e">
        <f>13200/E120</f>
        <v>#DIV/0!</v>
      </c>
      <c r="H120" s="551">
        <v>0</v>
      </c>
      <c r="I120" s="566" t="e">
        <f>Tabel6689172627[[#This Row],[Fix.ch. 2015]]+Tabel6689172627[[#This Row],[Var. ch. 2015]]+Tabel6689172627[[#This Row],[Oth. ch. DW 2015]]</f>
        <v>#DIV/0!</v>
      </c>
      <c r="J120" s="567" t="e">
        <f>21624/E120</f>
        <v>#DIV/0!</v>
      </c>
      <c r="K120" s="568">
        <v>0</v>
      </c>
      <c r="L120" s="568"/>
      <c r="M120" s="569">
        <v>0</v>
      </c>
      <c r="N120" s="1270" t="e">
        <f>Tabel6689172627[[#This Row],[Sew. 2015]]+Tabel6689172627[[#This Row],[WW 2015]]+Tabel6689172627[[#This Row],[Other ch. 2015]]</f>
        <v>#DIV/0!</v>
      </c>
      <c r="O120" s="1271" t="e">
        <f>3600/E120</f>
        <v>#DIV/0!</v>
      </c>
      <c r="P120" s="571" t="e">
        <f>Tabel6689172627[[#This Row],[Total. ch. DW 2015]]+Tabel6689172627[[#This Row],[Sew. 2015]]+Tabel6689172627[[#This Row],[WW 2015]]+Tabel6689172627[[#This Row],[Other ch. 2015]]+Tabel6689172627[[#This Row],[VAT 2015]]</f>
        <v>#DIV/0!</v>
      </c>
      <c r="Q120" s="397"/>
      <c r="R120" s="1886"/>
      <c r="S120" s="1888"/>
      <c r="T120" s="1890"/>
      <c r="U120" s="1892"/>
      <c r="V120" s="1894"/>
      <c r="W120" s="1911"/>
      <c r="X120" s="1913"/>
      <c r="Y120" s="1915"/>
      <c r="Z120" s="1832"/>
      <c r="AA120" s="397"/>
      <c r="AB120" s="396"/>
      <c r="AC120" s="591" t="s">
        <v>429</v>
      </c>
      <c r="AD120" s="398"/>
      <c r="AE120" s="591" t="s">
        <v>429</v>
      </c>
      <c r="AF120" s="398"/>
      <c r="AG120" s="398"/>
      <c r="AH120" s="398"/>
      <c r="AI120" s="397"/>
    </row>
    <row r="121" spans="1:35" ht="15.75" x14ac:dyDescent="0.25">
      <c r="A121" s="2294"/>
      <c r="B121" s="1213"/>
      <c r="C121" s="543" t="s">
        <v>116</v>
      </c>
      <c r="D121" s="1880"/>
      <c r="F121" s="549" t="e">
        <f>15840/E121</f>
        <v>#DIV/0!</v>
      </c>
      <c r="G121" s="550" t="e">
        <f>16800/E121</f>
        <v>#DIV/0!</v>
      </c>
      <c r="H121" s="551">
        <v>0</v>
      </c>
      <c r="I121" s="566" t="e">
        <f>Tabel6689172627[[#This Row],[Fix.ch. 2015]]+Tabel6689172627[[#This Row],[Var. ch. 2015]]+Tabel6689172627[[#This Row],[Oth. ch. DW 2015]]</f>
        <v>#DIV/0!</v>
      </c>
      <c r="J121" s="567" t="e">
        <f>12828/E121</f>
        <v>#DIV/0!</v>
      </c>
      <c r="K121" s="568">
        <v>0</v>
      </c>
      <c r="L121" s="568"/>
      <c r="M121" s="569">
        <v>0</v>
      </c>
      <c r="N121" s="1270" t="e">
        <f>Tabel6689172627[[#This Row],[Sew. 2015]]+Tabel6689172627[[#This Row],[WW 2015]]+Tabel6689172627[[#This Row],[Other ch. 2015]]</f>
        <v>#DIV/0!</v>
      </c>
      <c r="O121" s="1271" t="e">
        <f>3624/E121</f>
        <v>#DIV/0!</v>
      </c>
      <c r="P121" s="571" t="e">
        <f>Tabel6689172627[[#This Row],[Total. ch. DW 2015]]+Tabel6689172627[[#This Row],[Sew. 2015]]+Tabel6689172627[[#This Row],[WW 2015]]+Tabel6689172627[[#This Row],[Other ch. 2015]]+Tabel6689172627[[#This Row],[VAT 2015]]</f>
        <v>#DIV/0!</v>
      </c>
      <c r="Q121" s="397"/>
      <c r="R121" s="1886"/>
      <c r="S121" s="1888"/>
      <c r="T121" s="1890"/>
      <c r="U121" s="1892"/>
      <c r="V121" s="1894"/>
      <c r="W121" s="1911"/>
      <c r="X121" s="1913"/>
      <c r="Y121" s="1915"/>
      <c r="Z121" s="1832"/>
      <c r="AA121" s="397"/>
      <c r="AB121" s="396"/>
      <c r="AC121" s="591" t="s">
        <v>429</v>
      </c>
      <c r="AD121" s="398"/>
      <c r="AE121" s="591" t="s">
        <v>429</v>
      </c>
      <c r="AF121" s="398"/>
      <c r="AG121" s="398"/>
      <c r="AH121" s="398"/>
      <c r="AI121" s="397"/>
    </row>
    <row r="122" spans="1:35" ht="15.75" x14ac:dyDescent="0.25">
      <c r="A122" s="2294"/>
      <c r="B122" s="1213"/>
      <c r="C122" s="543" t="s">
        <v>117</v>
      </c>
      <c r="D122" s="1880"/>
      <c r="F122" s="549" t="e">
        <f>15000/E122</f>
        <v>#DIV/0!</v>
      </c>
      <c r="G122" s="550" t="e">
        <f>24252/E122</f>
        <v>#DIV/0!</v>
      </c>
      <c r="H122" s="551">
        <v>0</v>
      </c>
      <c r="I122" s="566" t="e">
        <f>Tabel6689172627[[#This Row],[Fix.ch. 2015]]+Tabel6689172627[[#This Row],[Var. ch. 2015]]+Tabel6689172627[[#This Row],[Oth. ch. DW 2015]]</f>
        <v>#DIV/0!</v>
      </c>
      <c r="J122" s="567" t="e">
        <f>16668/E122</f>
        <v>#DIV/0!</v>
      </c>
      <c r="K122" s="568">
        <v>0</v>
      </c>
      <c r="L122" s="568"/>
      <c r="M122" s="569">
        <v>0</v>
      </c>
      <c r="N122" s="1270" t="e">
        <f>Tabel6689172627[[#This Row],[Sew. 2015]]+Tabel6689172627[[#This Row],[WW 2015]]+Tabel6689172627[[#This Row],[Other ch. 2015]]</f>
        <v>#DIV/0!</v>
      </c>
      <c r="O122" s="1271" t="e">
        <f>4464/E122</f>
        <v>#DIV/0!</v>
      </c>
      <c r="P122" s="571" t="e">
        <f>Tabel6689172627[[#This Row],[Total. ch. DW 2015]]+Tabel6689172627[[#This Row],[Sew. 2015]]+Tabel6689172627[[#This Row],[WW 2015]]+Tabel6689172627[[#This Row],[Other ch. 2015]]+Tabel6689172627[[#This Row],[VAT 2015]]</f>
        <v>#DIV/0!</v>
      </c>
      <c r="Q122" s="397"/>
      <c r="R122" s="1886"/>
      <c r="S122" s="1888"/>
      <c r="T122" s="1890"/>
      <c r="U122" s="1892"/>
      <c r="V122" s="1894"/>
      <c r="W122" s="1911"/>
      <c r="X122" s="1913"/>
      <c r="Y122" s="1915"/>
      <c r="Z122" s="1832"/>
      <c r="AA122" s="397"/>
      <c r="AB122" s="396"/>
      <c r="AC122" s="591" t="s">
        <v>429</v>
      </c>
      <c r="AD122" s="398"/>
      <c r="AE122" s="591" t="s">
        <v>429</v>
      </c>
      <c r="AF122" s="398"/>
      <c r="AG122" s="398"/>
      <c r="AH122" s="398"/>
      <c r="AI122" s="397"/>
    </row>
    <row r="123" spans="1:35" ht="15.75" x14ac:dyDescent="0.25">
      <c r="A123" s="2294"/>
      <c r="B123" s="1213"/>
      <c r="C123" s="543" t="s">
        <v>118</v>
      </c>
      <c r="D123" s="1880"/>
      <c r="F123" s="549" t="e">
        <f>14040/E123</f>
        <v>#DIV/0!</v>
      </c>
      <c r="G123" s="550" t="e">
        <f>11560/E123</f>
        <v>#DIV/0!</v>
      </c>
      <c r="H123" s="551">
        <v>0</v>
      </c>
      <c r="I123" s="566" t="e">
        <f>Tabel6689172627[[#This Row],[Fix.ch. 2015]]+Tabel6689172627[[#This Row],[Var. ch. 2015]]+Tabel6689172627[[#This Row],[Oth. ch. DW 2015]]</f>
        <v>#DIV/0!</v>
      </c>
      <c r="J123" s="567" t="e">
        <f>18160/E123</f>
        <v>#DIV/0!</v>
      </c>
      <c r="K123" s="568">
        <v>0</v>
      </c>
      <c r="L123" s="568"/>
      <c r="M123" s="569">
        <v>0</v>
      </c>
      <c r="N123" s="1270" t="e">
        <f>Tabel6689172627[[#This Row],[Sew. 2015]]+Tabel6689172627[[#This Row],[WW 2015]]+Tabel6689172627[[#This Row],[Other ch. 2015]]</f>
        <v>#DIV/0!</v>
      </c>
      <c r="O123" s="1271" t="e">
        <f>3496/E123</f>
        <v>#DIV/0!</v>
      </c>
      <c r="P123" s="571" t="e">
        <f>Tabel6689172627[[#This Row],[Total. ch. DW 2015]]+Tabel6689172627[[#This Row],[Sew. 2015]]+Tabel6689172627[[#This Row],[WW 2015]]+Tabel6689172627[[#This Row],[Other ch. 2015]]+Tabel6689172627[[#This Row],[VAT 2015]]</f>
        <v>#DIV/0!</v>
      </c>
      <c r="Q123" s="397"/>
      <c r="R123" s="1886"/>
      <c r="S123" s="1888"/>
      <c r="T123" s="1890"/>
      <c r="U123" s="1892"/>
      <c r="V123" s="1894"/>
      <c r="W123" s="1911"/>
      <c r="X123" s="1913"/>
      <c r="Y123" s="1915"/>
      <c r="Z123" s="1832"/>
      <c r="AA123" s="397"/>
      <c r="AB123" s="396"/>
      <c r="AC123" s="591" t="s">
        <v>429</v>
      </c>
      <c r="AD123" s="398"/>
      <c r="AE123" s="591" t="s">
        <v>429</v>
      </c>
      <c r="AF123" s="398"/>
      <c r="AG123" s="398"/>
      <c r="AH123" s="398"/>
      <c r="AI123" s="397"/>
    </row>
    <row r="124" spans="1:35" ht="16.5" thickBot="1" x14ac:dyDescent="0.3">
      <c r="A124" s="2295"/>
      <c r="B124" s="1213"/>
      <c r="C124" s="544" t="s">
        <v>119</v>
      </c>
      <c r="D124" s="1761"/>
      <c r="F124" s="549" t="e">
        <f>9480/E124</f>
        <v>#DIV/0!</v>
      </c>
      <c r="G124" s="550" t="e">
        <f>13672/E124</f>
        <v>#DIV/0!</v>
      </c>
      <c r="H124" s="551">
        <v>0</v>
      </c>
      <c r="I124" s="566" t="e">
        <f>Tabel6689172627[[#This Row],[Fix.ch. 2015]]+Tabel6689172627[[#This Row],[Var. ch. 2015]]+Tabel6689172627[[#This Row],[Oth. ch. DW 2015]]</f>
        <v>#DIV/0!</v>
      </c>
      <c r="J124" s="567" t="e">
        <f>17480/E124</f>
        <v>#DIV/0!</v>
      </c>
      <c r="K124" s="568">
        <v>0</v>
      </c>
      <c r="L124" s="568"/>
      <c r="M124" s="569">
        <v>0</v>
      </c>
      <c r="N124" s="1270" t="e">
        <f>Tabel6689172627[[#This Row],[Sew. 2015]]+Tabel6689172627[[#This Row],[WW 2015]]+Tabel6689172627[[#This Row],[Other ch. 2015]]</f>
        <v>#DIV/0!</v>
      </c>
      <c r="O124" s="1271" t="e">
        <f>3244/E124</f>
        <v>#DIV/0!</v>
      </c>
      <c r="P124" s="571" t="e">
        <f>Tabel6689172627[[#This Row],[Total. ch. DW 2015]]+Tabel6689172627[[#This Row],[Sew. 2015]]+Tabel6689172627[[#This Row],[WW 2015]]+Tabel6689172627[[#This Row],[Other ch. 2015]]+Tabel6689172627[[#This Row],[VAT 2015]]</f>
        <v>#DIV/0!</v>
      </c>
      <c r="Q124" s="397"/>
      <c r="R124" s="1764"/>
      <c r="S124" s="1767"/>
      <c r="T124" s="1770"/>
      <c r="U124" s="1776"/>
      <c r="V124" s="1779"/>
      <c r="W124" s="1811"/>
      <c r="X124" s="1813"/>
      <c r="Y124" s="1815"/>
      <c r="Z124" s="1794"/>
      <c r="AA124" s="397"/>
      <c r="AB124" s="396"/>
      <c r="AC124" s="591" t="s">
        <v>429</v>
      </c>
      <c r="AD124" s="398"/>
      <c r="AE124" s="591" t="s">
        <v>429</v>
      </c>
      <c r="AF124" s="398"/>
      <c r="AG124" s="398"/>
      <c r="AH124" s="398"/>
      <c r="AI124" s="397"/>
    </row>
    <row r="125" spans="1:35" ht="19.5" thickBot="1" x14ac:dyDescent="0.3">
      <c r="A125" s="1447" t="s">
        <v>742</v>
      </c>
      <c r="B125" s="1213"/>
      <c r="C125" s="751" t="s">
        <v>743</v>
      </c>
      <c r="D125" s="1194">
        <v>3300</v>
      </c>
      <c r="F125" s="549" t="e">
        <f>600/E125</f>
        <v>#DIV/0!</v>
      </c>
      <c r="G125" s="550" t="e">
        <f>4603.08/E125</f>
        <v>#DIV/0!</v>
      </c>
      <c r="H125" s="551">
        <f>0</f>
        <v>0</v>
      </c>
      <c r="I125" s="566" t="e">
        <f>Tabel6689172627[[#This Row],[Fix.ch. 2015]]+Tabel6689172627[[#This Row],[Var. ch. 2015]]+Tabel6689172627[[#This Row],[Oth. ch. DW 2015]]</f>
        <v>#DIV/0!</v>
      </c>
      <c r="J125" s="567">
        <f>0</f>
        <v>0</v>
      </c>
      <c r="K125" s="568" t="e">
        <f>3452.31/E125</f>
        <v>#DIV/0!</v>
      </c>
      <c r="L125" s="568"/>
      <c r="M125" s="569">
        <f>0</f>
        <v>0</v>
      </c>
      <c r="N125" s="1270" t="e">
        <f>Tabel6689172627[[#This Row],[Sew. 2015]]+Tabel6689172627[[#This Row],[WW 2015]]+Tabel6689172627[[#This Row],[Other ch. 2015]]</f>
        <v>#DIV/0!</v>
      </c>
      <c r="O125" s="1271">
        <v>0</v>
      </c>
      <c r="P125" s="571" t="e">
        <f>Tabel6689172627[[#This Row],[Total. ch. DW 2015]]+Tabel6689172627[[#This Row],[Sew. 2015]]+Tabel6689172627[[#This Row],[WW 2015]]+Tabel6689172627[[#This Row],[Other ch. 2015]]+Tabel6689172627[[#This Row],[VAT 2015]]</f>
        <v>#DIV/0!</v>
      </c>
      <c r="Q125" s="397"/>
      <c r="R125" s="1195" t="e">
        <f>Tabel6689172627[[#This Row],[Fix.ch. 2015]]</f>
        <v>#DIV/0!</v>
      </c>
      <c r="S125" s="1196" t="e">
        <f>Tabel6689172627[[#This Row],[Var. ch. 2015]]</f>
        <v>#DIV/0!</v>
      </c>
      <c r="T125" s="1197">
        <f>Tabel6689172627[[#This Row],[Oth. ch. DW 2015]]</f>
        <v>0</v>
      </c>
      <c r="U125" s="1198" t="e">
        <f>SUM(R125:T125)</f>
        <v>#DIV/0!</v>
      </c>
      <c r="V125" s="1199">
        <f>Tabel6689172627[[#This Row],[Sew. 2015]]</f>
        <v>0</v>
      </c>
      <c r="W125" s="1201" t="e">
        <f>Tabel6689172627[[#This Row],[WW 2015]]</f>
        <v>#DIV/0!</v>
      </c>
      <c r="X125" s="1202">
        <f>Tabel6689172627[[#This Row],[Other ch. 2015]]</f>
        <v>0</v>
      </c>
      <c r="Y125" s="1203">
        <f>Tabel6689172627[[#This Row],[VAT 2015]]</f>
        <v>0</v>
      </c>
      <c r="Z125" s="1182" t="e">
        <f>SUM(U125:Y125)</f>
        <v>#DIV/0!</v>
      </c>
      <c r="AA125" s="397"/>
      <c r="AB125" s="396"/>
      <c r="AC125" s="591" t="s">
        <v>429</v>
      </c>
      <c r="AD125" s="398"/>
      <c r="AE125" s="591" t="s">
        <v>429</v>
      </c>
      <c r="AF125" s="591" t="s">
        <v>429</v>
      </c>
      <c r="AG125" s="398"/>
      <c r="AH125" s="614" t="s">
        <v>745</v>
      </c>
      <c r="AI125" s="397"/>
    </row>
    <row r="126" spans="1:35" ht="18.75" customHeight="1" x14ac:dyDescent="0.25">
      <c r="A126" s="1833" t="s">
        <v>19</v>
      </c>
      <c r="B126" s="1617"/>
      <c r="C126" s="1448" t="s">
        <v>120</v>
      </c>
      <c r="D126" s="2262">
        <v>18700</v>
      </c>
      <c r="F126" s="319" t="e">
        <f>39/E126</f>
        <v>#DIV/0!</v>
      </c>
      <c r="G126" s="320" t="e">
        <f>364/E126</f>
        <v>#DIV/0!</v>
      </c>
      <c r="H126" s="321">
        <v>0</v>
      </c>
      <c r="I126" s="313" t="e">
        <f>Tabel6689172627[[#This Row],[Fix.ch. 2015]]+Tabel6689172627[[#This Row],[Var. ch. 2015]]+Tabel6689172627[[#This Row],[Oth. ch. DW 2015]]</f>
        <v>#DIV/0!</v>
      </c>
      <c r="J126" s="322" t="e">
        <f>398/E126</f>
        <v>#DIV/0!</v>
      </c>
      <c r="K126" s="323">
        <v>0</v>
      </c>
      <c r="L126" s="323"/>
      <c r="M126" s="324">
        <v>0</v>
      </c>
      <c r="N126" s="1257" t="e">
        <f>Tabel6689172627[[#This Row],[Sew. 2015]]+Tabel6689172627[[#This Row],[WW 2015]]+Tabel6689172627[[#This Row],[Other ch. 2015]]</f>
        <v>#DIV/0!</v>
      </c>
      <c r="O126" s="1258" t="e">
        <f>168.21/E126</f>
        <v>#DIV/0!</v>
      </c>
      <c r="P126" s="318" t="e">
        <f>Tabel6689172627[[#This Row],[Total. ch. DW 2015]]+Tabel6689172627[[#This Row],[Sew. 2015]]+Tabel6689172627[[#This Row],[WW 2015]]+Tabel6689172627[[#This Row],[Other ch. 2015]]+Tabel6689172627[[#This Row],[VAT 2015]]</f>
        <v>#DIV/0!</v>
      </c>
      <c r="Q126" s="397"/>
      <c r="R126" s="2211" t="e">
        <f t="shared" ref="R126:W126" si="38">SUM(F126:F130)/5</f>
        <v>#DIV/0!</v>
      </c>
      <c r="S126" s="2212" t="e">
        <f t="shared" si="38"/>
        <v>#DIV/0!</v>
      </c>
      <c r="T126" s="2213">
        <f t="shared" si="38"/>
        <v>0</v>
      </c>
      <c r="U126" s="2214" t="e">
        <f t="shared" si="38"/>
        <v>#DIV/0!</v>
      </c>
      <c r="V126" s="2215" t="e">
        <f t="shared" si="38"/>
        <v>#DIV/0!</v>
      </c>
      <c r="W126" s="2216">
        <f t="shared" si="38"/>
        <v>0</v>
      </c>
      <c r="X126" s="2217">
        <f>SUM(M126:M130)/5</f>
        <v>0</v>
      </c>
      <c r="Y126" s="2218" t="e">
        <f t="shared" ref="Y126:Z126" si="39">SUM(O126:O130)/5</f>
        <v>#DIV/0!</v>
      </c>
      <c r="Z126" s="2265" t="e">
        <f t="shared" si="39"/>
        <v>#DIV/0!</v>
      </c>
      <c r="AA126" s="397"/>
      <c r="AB126" s="398"/>
      <c r="AC126" s="398"/>
      <c r="AD126" s="398"/>
      <c r="AE126" s="398"/>
      <c r="AF126" s="396" t="s">
        <v>429</v>
      </c>
      <c r="AG126" s="398"/>
      <c r="AH126" s="398" t="s">
        <v>444</v>
      </c>
      <c r="AI126" s="397"/>
    </row>
    <row r="127" spans="1:35" ht="18.75" customHeight="1" x14ac:dyDescent="0.25">
      <c r="A127" s="2297"/>
      <c r="B127" s="1617"/>
      <c r="C127" s="298" t="s">
        <v>121</v>
      </c>
      <c r="D127" s="2263"/>
      <c r="F127" s="319" t="e">
        <f>47.04/E127</f>
        <v>#DIV/0!</v>
      </c>
      <c r="G127" s="320" t="e">
        <f>330/E127</f>
        <v>#DIV/0!</v>
      </c>
      <c r="H127" s="321">
        <v>0</v>
      </c>
      <c r="I127" s="313" t="e">
        <f>Tabel6689172627[[#This Row],[Fix.ch. 2015]]+Tabel6689172627[[#This Row],[Var. ch. 2015]]+Tabel6689172627[[#This Row],[Oth. ch. DW 2015]]</f>
        <v>#DIV/0!</v>
      </c>
      <c r="J127" s="322" t="e">
        <f>468/E127</f>
        <v>#DIV/0!</v>
      </c>
      <c r="K127" s="323">
        <v>0</v>
      </c>
      <c r="L127" s="323"/>
      <c r="M127" s="324">
        <v>0</v>
      </c>
      <c r="N127" s="1257" t="e">
        <f>Tabel6689172627[[#This Row],[Sew. 2015]]+Tabel6689172627[[#This Row],[WW 2015]]+Tabel6689172627[[#This Row],[Other ch. 2015]]</f>
        <v>#DIV/0!</v>
      </c>
      <c r="O127" s="1258" t="e">
        <f>177.46/E127</f>
        <v>#DIV/0!</v>
      </c>
      <c r="P127" s="318" t="e">
        <f>Tabel6689172627[[#This Row],[Total. ch. DW 2015]]+Tabel6689172627[[#This Row],[Sew. 2015]]+Tabel6689172627[[#This Row],[WW 2015]]+Tabel6689172627[[#This Row],[Other ch. 2015]]+Tabel6689172627[[#This Row],[VAT 2015]]</f>
        <v>#DIV/0!</v>
      </c>
      <c r="Q127" s="397"/>
      <c r="R127" s="2158"/>
      <c r="S127" s="2159"/>
      <c r="T127" s="2160"/>
      <c r="U127" s="2141"/>
      <c r="V127" s="2142"/>
      <c r="W127" s="2143"/>
      <c r="X127" s="2144"/>
      <c r="Y127" s="2145"/>
      <c r="Z127" s="2266"/>
      <c r="AA127" s="397"/>
      <c r="AB127" s="398"/>
      <c r="AC127" s="398"/>
      <c r="AD127" s="398"/>
      <c r="AE127" s="398"/>
      <c r="AF127" s="396" t="s">
        <v>429</v>
      </c>
      <c r="AG127" s="398"/>
      <c r="AH127" s="398" t="s">
        <v>444</v>
      </c>
      <c r="AI127" s="397"/>
    </row>
    <row r="128" spans="1:35" ht="18.75" customHeight="1" x14ac:dyDescent="0.25">
      <c r="A128" s="2297"/>
      <c r="B128" s="1617"/>
      <c r="C128" s="298" t="s">
        <v>122</v>
      </c>
      <c r="D128" s="2263"/>
      <c r="F128" s="319" t="e">
        <f>30.84/E128</f>
        <v>#DIV/0!</v>
      </c>
      <c r="G128" s="320" t="e">
        <f>334/E128</f>
        <v>#DIV/0!</v>
      </c>
      <c r="H128" s="321">
        <v>0</v>
      </c>
      <c r="I128" s="313" t="e">
        <f>Tabel6689172627[[#This Row],[Fix.ch. 2015]]+Tabel6689172627[[#This Row],[Var. ch. 2015]]+Tabel6689172627[[#This Row],[Oth. ch. DW 2015]]</f>
        <v>#DIV/0!</v>
      </c>
      <c r="J128" s="322" t="e">
        <f>636/E128</f>
        <v>#DIV/0!</v>
      </c>
      <c r="K128" s="323">
        <v>0</v>
      </c>
      <c r="L128" s="323"/>
      <c r="M128" s="324">
        <v>0</v>
      </c>
      <c r="N128" s="1257" t="e">
        <f>Tabel6689172627[[#This Row],[Sew. 2015]]+Tabel6689172627[[#This Row],[WW 2015]]+Tabel6689172627[[#This Row],[Other ch. 2015]]</f>
        <v>#DIV/0!</v>
      </c>
      <c r="O128" s="1258" t="e">
        <f>210.18/E128</f>
        <v>#DIV/0!</v>
      </c>
      <c r="P128" s="318" t="e">
        <f>Tabel6689172627[[#This Row],[Total. ch. DW 2015]]+Tabel6689172627[[#This Row],[Sew. 2015]]+Tabel6689172627[[#This Row],[WW 2015]]+Tabel6689172627[[#This Row],[Other ch. 2015]]+Tabel6689172627[[#This Row],[VAT 2015]]</f>
        <v>#DIV/0!</v>
      </c>
      <c r="Q128" s="397"/>
      <c r="R128" s="2158"/>
      <c r="S128" s="2159"/>
      <c r="T128" s="2160"/>
      <c r="U128" s="2141"/>
      <c r="V128" s="2142"/>
      <c r="W128" s="2143"/>
      <c r="X128" s="2144"/>
      <c r="Y128" s="2145"/>
      <c r="Z128" s="2266"/>
      <c r="AA128" s="397"/>
      <c r="AB128" s="398"/>
      <c r="AC128" s="398"/>
      <c r="AD128" s="398"/>
      <c r="AE128" s="398"/>
      <c r="AF128" s="396" t="s">
        <v>429</v>
      </c>
      <c r="AG128" s="398"/>
      <c r="AH128" s="398" t="s">
        <v>444</v>
      </c>
      <c r="AI128" s="397"/>
    </row>
    <row r="129" spans="1:35" ht="18.75" customHeight="1" x14ac:dyDescent="0.25">
      <c r="A129" s="2297"/>
      <c r="B129" s="1617"/>
      <c r="C129" s="298" t="s">
        <v>123</v>
      </c>
      <c r="D129" s="2263"/>
      <c r="F129" s="319" t="e">
        <f>34.68/E129</f>
        <v>#DIV/0!</v>
      </c>
      <c r="G129" s="320" t="e">
        <f>570/E129</f>
        <v>#DIV/0!</v>
      </c>
      <c r="H129" s="321">
        <v>0</v>
      </c>
      <c r="I129" s="313" t="e">
        <f>Tabel6689172627[[#This Row],[Fix.ch. 2015]]+Tabel6689172627[[#This Row],[Var. ch. 2015]]+Tabel6689172627[[#This Row],[Oth. ch. DW 2015]]</f>
        <v>#DIV/0!</v>
      </c>
      <c r="J129" s="322" t="e">
        <f>526/E129</f>
        <v>#DIV/0!</v>
      </c>
      <c r="K129" s="323">
        <v>0</v>
      </c>
      <c r="L129" s="323"/>
      <c r="M129" s="324">
        <v>0</v>
      </c>
      <c r="N129" s="1257" t="e">
        <f>Tabel6689172627[[#This Row],[Sew. 2015]]+Tabel6689172627[[#This Row],[WW 2015]]+Tabel6689172627[[#This Row],[Other ch. 2015]]</f>
        <v>#DIV/0!</v>
      </c>
      <c r="O129" s="1258" t="e">
        <f>237.44/E129</f>
        <v>#DIV/0!</v>
      </c>
      <c r="P129" s="318" t="e">
        <f>Tabel6689172627[[#This Row],[Total. ch. DW 2015]]+Tabel6689172627[[#This Row],[Sew. 2015]]+Tabel6689172627[[#This Row],[WW 2015]]+Tabel6689172627[[#This Row],[Other ch. 2015]]+Tabel6689172627[[#This Row],[VAT 2015]]</f>
        <v>#DIV/0!</v>
      </c>
      <c r="Q129" s="397"/>
      <c r="R129" s="2158"/>
      <c r="S129" s="2159"/>
      <c r="T129" s="2160"/>
      <c r="U129" s="2141"/>
      <c r="V129" s="2142"/>
      <c r="W129" s="2143"/>
      <c r="X129" s="2144"/>
      <c r="Y129" s="2145"/>
      <c r="Z129" s="2266"/>
      <c r="AA129" s="397"/>
      <c r="AB129" s="398"/>
      <c r="AC129" s="398"/>
      <c r="AD129" s="398"/>
      <c r="AE129" s="398"/>
      <c r="AF129" s="396" t="s">
        <v>429</v>
      </c>
      <c r="AG129" s="398"/>
      <c r="AH129" s="398" t="s">
        <v>444</v>
      </c>
      <c r="AI129" s="397"/>
    </row>
    <row r="130" spans="1:35" ht="19.5" customHeight="1" thickBot="1" x14ac:dyDescent="0.3">
      <c r="A130" s="2298"/>
      <c r="B130" s="1617"/>
      <c r="C130" s="293" t="s">
        <v>124</v>
      </c>
      <c r="D130" s="2264"/>
      <c r="F130" s="319" t="e">
        <f>38.88/E130</f>
        <v>#DIV/0!</v>
      </c>
      <c r="G130" s="320" t="e">
        <f>336/E130</f>
        <v>#DIV/0!</v>
      </c>
      <c r="H130" s="321">
        <v>0</v>
      </c>
      <c r="I130" s="313" t="e">
        <f>Tabel6689172627[[#This Row],[Fix.ch. 2015]]+Tabel6689172627[[#This Row],[Var. ch. 2015]]+Tabel6689172627[[#This Row],[Oth. ch. DW 2015]]</f>
        <v>#DIV/0!</v>
      </c>
      <c r="J130" s="322" t="e">
        <f>386/E130</f>
        <v>#DIV/0!</v>
      </c>
      <c r="K130" s="323">
        <v>0</v>
      </c>
      <c r="L130" s="323"/>
      <c r="M130" s="324">
        <v>0</v>
      </c>
      <c r="N130" s="1257" t="e">
        <f>Tabel6689172627[[#This Row],[Sew. 2015]]+Tabel6689172627[[#This Row],[WW 2015]]+Tabel6689172627[[#This Row],[Other ch. 2015]]</f>
        <v>#DIV/0!</v>
      </c>
      <c r="O130" s="1258" t="e">
        <f>159.78/E130</f>
        <v>#DIV/0!</v>
      </c>
      <c r="P130" s="318" t="e">
        <f>Tabel6689172627[[#This Row],[Total. ch. DW 2015]]+Tabel6689172627[[#This Row],[Sew. 2015]]+Tabel6689172627[[#This Row],[WW 2015]]+Tabel6689172627[[#This Row],[Other ch. 2015]]+Tabel6689172627[[#This Row],[VAT 2015]]</f>
        <v>#DIV/0!</v>
      </c>
      <c r="Q130" s="397"/>
      <c r="R130" s="2223"/>
      <c r="S130" s="2225"/>
      <c r="T130" s="2227"/>
      <c r="U130" s="2234"/>
      <c r="V130" s="2236"/>
      <c r="W130" s="2238"/>
      <c r="X130" s="2240"/>
      <c r="Y130" s="2242"/>
      <c r="Z130" s="2267"/>
      <c r="AA130" s="397"/>
      <c r="AB130" s="398"/>
      <c r="AC130" s="398"/>
      <c r="AD130" s="398"/>
      <c r="AE130" s="398"/>
      <c r="AF130" s="396" t="s">
        <v>429</v>
      </c>
      <c r="AG130" s="398"/>
      <c r="AH130" s="398" t="s">
        <v>444</v>
      </c>
      <c r="AI130" s="397"/>
    </row>
    <row r="131" spans="1:35" ht="16.5" thickBot="1" x14ac:dyDescent="0.3">
      <c r="A131" s="270" t="s">
        <v>50</v>
      </c>
      <c r="B131" s="1616"/>
      <c r="C131" s="297"/>
      <c r="D131" s="1276"/>
      <c r="F131" s="325"/>
      <c r="G131" s="326"/>
      <c r="H131" s="327"/>
      <c r="I131" s="313">
        <f>Tabel6689172627[[#This Row],[Fix.ch. 2015]]+Tabel6689172627[[#This Row],[Var. ch. 2015]]+Tabel6689172627[[#This Row],[Oth. ch. DW 2015]]</f>
        <v>0</v>
      </c>
      <c r="J131" s="328"/>
      <c r="K131" s="329"/>
      <c r="L131" s="329"/>
      <c r="M131" s="330"/>
      <c r="N131" s="1277">
        <f>Tabel6689172627[[#This Row],[Sew. 2015]]+Tabel6689172627[[#This Row],[WW 2015]]+Tabel6689172627[[#This Row],[Other ch. 2015]]</f>
        <v>0</v>
      </c>
      <c r="O131" s="1278"/>
      <c r="P131" s="318">
        <f>Tabel6689172627[[#This Row],[Total. ch. DW 2015]]+Tabel6689172627[[#This Row],[Sew. 2015]]+Tabel6689172627[[#This Row],[WW 2015]]+Tabel6689172627[[#This Row],[Other ch. 2015]]+Tabel6689172627[[#This Row],[VAT 2015]]</f>
        <v>0</v>
      </c>
      <c r="Q131" s="397"/>
      <c r="R131" s="349"/>
      <c r="S131" s="350"/>
      <c r="T131" s="351"/>
      <c r="U131" s="352"/>
      <c r="V131" s="353"/>
      <c r="W131" s="354"/>
      <c r="X131" s="355"/>
      <c r="Y131" s="356"/>
      <c r="Z131" s="357"/>
      <c r="AA131" s="397"/>
      <c r="AB131" s="398"/>
      <c r="AC131" s="398"/>
      <c r="AD131" s="398"/>
      <c r="AE131" s="398"/>
      <c r="AF131" s="398"/>
      <c r="AG131" s="398"/>
      <c r="AH131" s="398"/>
      <c r="AI131" s="397"/>
    </row>
    <row r="132" spans="1:35" ht="19.5" thickBot="1" x14ac:dyDescent="0.35">
      <c r="A132" s="695" t="s">
        <v>586</v>
      </c>
      <c r="B132" s="1621"/>
      <c r="C132" s="1449" t="s">
        <v>587</v>
      </c>
      <c r="D132" s="1279">
        <v>88700</v>
      </c>
      <c r="F132" s="549">
        <f>0</f>
        <v>0</v>
      </c>
      <c r="G132" s="550" t="e">
        <f>11294.63/E132</f>
        <v>#DIV/0!</v>
      </c>
      <c r="H132" s="551">
        <v>0</v>
      </c>
      <c r="I132" s="566" t="e">
        <f>Tabel6689172627[[#This Row],[Fix.ch. 2015]]+Tabel6689172627[[#This Row],[Var. ch. 2015]]+Tabel6689172627[[#This Row],[Oth. ch. DW 2015]]</f>
        <v>#DIV/0!</v>
      </c>
      <c r="J132" s="567">
        <v>0</v>
      </c>
      <c r="K132" s="568">
        <v>0</v>
      </c>
      <c r="L132" s="568"/>
      <c r="M132" s="569">
        <v>0</v>
      </c>
      <c r="N132" s="1270">
        <f>Tabel6689172627[[#This Row],[Sew. 2015]]+Tabel6689172627[[#This Row],[WW 2015]]+Tabel6689172627[[#This Row],[Other ch. 2015]]</f>
        <v>0</v>
      </c>
      <c r="O132" s="1271">
        <v>0</v>
      </c>
      <c r="P132" s="571" t="e">
        <f>Tabel6689172627[[#This Row],[Total. ch. DW 2015]]+Tabel6689172627[[#This Row],[Sew. 2015]]+Tabel6689172627[[#This Row],[WW 2015]]+Tabel6689172627[[#This Row],[Other ch. 2015]]+Tabel6689172627[[#This Row],[VAT 2015]]</f>
        <v>#DIV/0!</v>
      </c>
      <c r="Q132" s="397"/>
      <c r="R132" s="1280">
        <v>0</v>
      </c>
      <c r="S132" s="1281" t="e">
        <f>Tabel6689172627[[#This Row],[Var. ch. 2015]]</f>
        <v>#DIV/0!</v>
      </c>
      <c r="T132" s="1282">
        <v>0</v>
      </c>
      <c r="U132" s="1283" t="e">
        <f>Tabel6689172627[[#This Row],[Total. ch. DW 2015]]</f>
        <v>#DIV/0!</v>
      </c>
      <c r="V132" s="1284">
        <v>0</v>
      </c>
      <c r="W132" s="1285">
        <v>0</v>
      </c>
      <c r="X132" s="1286">
        <v>0</v>
      </c>
      <c r="Y132" s="1287">
        <v>0</v>
      </c>
      <c r="Z132" s="1288" t="e">
        <f>Tabel6689172627[[#This Row],[total charge 2015]]</f>
        <v>#DIV/0!</v>
      </c>
      <c r="AA132" s="397"/>
      <c r="AB132" s="398"/>
      <c r="AC132" s="396"/>
      <c r="AD132" s="398"/>
      <c r="AE132" s="591" t="s">
        <v>429</v>
      </c>
      <c r="AF132" s="398"/>
      <c r="AG132" s="398"/>
      <c r="AH132" s="398"/>
      <c r="AI132" s="397"/>
    </row>
    <row r="133" spans="1:35" ht="19.5" thickBot="1" x14ac:dyDescent="0.35">
      <c r="A133" s="267" t="s">
        <v>36</v>
      </c>
      <c r="B133" s="1616"/>
      <c r="C133" s="261" t="s">
        <v>181</v>
      </c>
      <c r="D133" s="1256">
        <v>900</v>
      </c>
      <c r="F133" s="319" t="e">
        <f>363/E133</f>
        <v>#DIV/0!</v>
      </c>
      <c r="G133" s="320" t="e">
        <f>(124*200)/E133</f>
        <v>#DIV/0!</v>
      </c>
      <c r="H133" s="321">
        <v>0</v>
      </c>
      <c r="I133" s="313" t="e">
        <f>Tabel6689172627[[#This Row],[Fix.ch. 2015]]+Tabel6689172627[[#This Row],[Var. ch. 2015]]+Tabel6689172627[[#This Row],[Oth. ch. DW 2015]]</f>
        <v>#DIV/0!</v>
      </c>
      <c r="J133" s="322">
        <v>0</v>
      </c>
      <c r="K133" s="323">
        <v>0</v>
      </c>
      <c r="L133" s="323"/>
      <c r="M133" s="324">
        <v>0</v>
      </c>
      <c r="N133" s="1257">
        <f>Tabel6689172627[[#This Row],[Sew. 2015]]+Tabel6689172627[[#This Row],[WW 2015]]+Tabel6689172627[[#This Row],[Other ch. 2015]]</f>
        <v>0</v>
      </c>
      <c r="O133" s="1258">
        <v>0</v>
      </c>
      <c r="P133" s="318" t="e">
        <f>Tabel6689172627[[#This Row],[Total. ch. DW 2015]]+Tabel6689172627[[#This Row],[Sew. 2015]]+Tabel6689172627[[#This Row],[WW 2015]]+Tabel6689172627[[#This Row],[Other ch. 2015]]+Tabel6689172627[[#This Row],[VAT 2015]]</f>
        <v>#DIV/0!</v>
      </c>
      <c r="Q133" s="397"/>
      <c r="R133" s="1228" t="e">
        <f>Tabel6689172627[[#This Row],[Fix.ch. 2015]]</f>
        <v>#DIV/0!</v>
      </c>
      <c r="S133" s="1229" t="e">
        <f>Tabel6689172627[[#This Row],[Var. ch. 2015]]</f>
        <v>#DIV/0!</v>
      </c>
      <c r="T133" s="1230">
        <v>0</v>
      </c>
      <c r="U133" s="1231">
        <v>0</v>
      </c>
      <c r="V133" s="1232">
        <v>0</v>
      </c>
      <c r="W133" s="1233">
        <v>0</v>
      </c>
      <c r="X133" s="1234">
        <v>0</v>
      </c>
      <c r="Y133" s="1235">
        <v>0</v>
      </c>
      <c r="Z133" s="1236" t="e">
        <f>Tabel6689172627[[#This Row],[total charge 2015]]</f>
        <v>#DIV/0!</v>
      </c>
      <c r="AA133" s="397"/>
      <c r="AB133" s="398"/>
      <c r="AC133" s="398"/>
      <c r="AD133" s="398"/>
      <c r="AE133" s="396" t="s">
        <v>429</v>
      </c>
      <c r="AF133" s="396" t="s">
        <v>429</v>
      </c>
      <c r="AG133" s="398"/>
      <c r="AH133" s="398"/>
      <c r="AI133" s="397"/>
    </row>
    <row r="134" spans="1:35" ht="19.5" thickBot="1" x14ac:dyDescent="0.35">
      <c r="A134" s="669" t="s">
        <v>774</v>
      </c>
      <c r="B134" s="1621"/>
      <c r="C134" s="751" t="s">
        <v>775</v>
      </c>
      <c r="D134" s="1268">
        <v>34700</v>
      </c>
      <c r="F134" s="549" t="e">
        <f>59/E134</f>
        <v>#DIV/0!</v>
      </c>
      <c r="G134" s="550" t="e">
        <f>657.34/E134</f>
        <v>#DIV/0!</v>
      </c>
      <c r="H134" s="551">
        <v>0</v>
      </c>
      <c r="I134" s="566" t="e">
        <f>[1]!Tabel6689[[#This Row],[Fix.ch. 2015]]+[1]!Tabel6689[[#This Row],[Var. ch. 2015]]+[1]!Tabel6689[[#This Row],[Oth. ch. DW 2015]]</f>
        <v>#REF!</v>
      </c>
      <c r="J134" s="567">
        <v>0</v>
      </c>
      <c r="K134" s="568">
        <v>0</v>
      </c>
      <c r="L134" s="568"/>
      <c r="M134" s="569">
        <v>0</v>
      </c>
      <c r="N134" s="1270">
        <f>Tabel6689172627[[#This Row],[Sew. 2015]]+Tabel6689172627[[#This Row],[WW 2015]]+Tabel6689172627[[#This Row],[Other ch. 2015]]</f>
        <v>0</v>
      </c>
      <c r="O134" s="1271">
        <v>0</v>
      </c>
      <c r="P134" s="571" t="e">
        <f>[1]!Tabel6689[[#This Row],[Total. ch. DW 2015]]+[1]!Tabel6689[[#This Row],[Sew. 2015]]+[1]!Tabel6689[[#This Row],[WW 2015]]+[1]!Tabel6689[[#This Row],[Other ch. 2015]]+[1]!Tabel6689[[#This Row],[VAT 2015]]</f>
        <v>#REF!</v>
      </c>
      <c r="Q134" s="397"/>
      <c r="R134" s="1280" t="e">
        <f>[1]!Tabel6689[[#This Row],[Fix.ch. 2015]]</f>
        <v>#REF!</v>
      </c>
      <c r="S134" s="1281" t="e">
        <f>[1]!Tabel6689[[#This Row],[Var. ch. 2015]]</f>
        <v>#REF!</v>
      </c>
      <c r="T134" s="1282" t="e">
        <f>[1]!Tabel6689[[#This Row],[Oth. ch. DW 2015]]</f>
        <v>#REF!</v>
      </c>
      <c r="U134" s="1283" t="e">
        <f>[1]!Tabel6689[[#This Row],[Total. ch. DW 2015]]</f>
        <v>#REF!</v>
      </c>
      <c r="V134" s="1284" t="e">
        <f>[1]!Tabel6689[[#This Row],[Sew. 2015]]</f>
        <v>#REF!</v>
      </c>
      <c r="W134" s="1285" t="e">
        <f>[1]!Tabel6689[[#This Row],[WW 2015]]</f>
        <v>#REF!</v>
      </c>
      <c r="X134" s="1286" t="e">
        <f>[1]!Tabel6689[[#This Row],[Other ch. 2015]]</f>
        <v>#REF!</v>
      </c>
      <c r="Y134" s="1287" t="e">
        <f>[1]!Tabel6689[[#This Row],[VAT 2015]]</f>
        <v>#REF!</v>
      </c>
      <c r="Z134" s="1288" t="e">
        <f>[1]!Tabel6689[[#This Row],[total charge 2015]]</f>
        <v>#REF!</v>
      </c>
      <c r="AA134" s="397"/>
      <c r="AB134" s="398"/>
      <c r="AC134" s="398"/>
      <c r="AD134" s="398"/>
      <c r="AE134" s="591" t="s">
        <v>429</v>
      </c>
      <c r="AF134" s="591" t="s">
        <v>429</v>
      </c>
      <c r="AG134" s="398"/>
      <c r="AH134" s="398"/>
      <c r="AI134" s="397"/>
    </row>
    <row r="135" spans="1:35" ht="19.5" thickBot="1" x14ac:dyDescent="0.35">
      <c r="A135" s="669" t="s">
        <v>37</v>
      </c>
      <c r="B135" s="1621"/>
      <c r="C135" s="1290" t="s">
        <v>37</v>
      </c>
      <c r="D135" s="1268">
        <v>19500</v>
      </c>
      <c r="F135" s="549" t="e">
        <f>660/E135</f>
        <v>#DIV/0!</v>
      </c>
      <c r="G135" s="550" t="e">
        <f>732/E135</f>
        <v>#DIV/0!</v>
      </c>
      <c r="H135" s="551">
        <v>0</v>
      </c>
      <c r="I135" s="566" t="e">
        <f>Tabel6689172627[[#This Row],[Fix.ch. 2015]]+Tabel6689172627[[#This Row],[Var. ch. 2015]]+Tabel6689172627[[#This Row],[Oth. ch. DW 2015]]</f>
        <v>#DIV/0!</v>
      </c>
      <c r="J135" s="567" t="e">
        <f>7.515/E135</f>
        <v>#DIV/0!</v>
      </c>
      <c r="K135" s="568" t="e">
        <f>1650/E135</f>
        <v>#DIV/0!</v>
      </c>
      <c r="L135" s="568"/>
      <c r="M135" s="569">
        <v>0</v>
      </c>
      <c r="N135" s="1270" t="e">
        <f>Tabel6689172627[[#This Row],[Sew. 2015]]+Tabel6689172627[[#This Row],[WW 2015]]+Tabel6689172627[[#This Row],[Other ch. 2015]]</f>
        <v>#DIV/0!</v>
      </c>
      <c r="O135" s="1271">
        <v>0</v>
      </c>
      <c r="P135" s="571" t="e">
        <f>Tabel6689172627[[#This Row],[Total. ch. DW 2015]]+Tabel6689172627[[#This Row],[Sew. 2015]]+Tabel6689172627[[#This Row],[WW 2015]]+Tabel6689172627[[#This Row],[Other ch. 2015]]+Tabel6689172627[[#This Row],[VAT 2015]]</f>
        <v>#DIV/0!</v>
      </c>
      <c r="Q135" s="397"/>
      <c r="R135" s="1280" t="e">
        <f>Tabel6689172627[[#This Row],[Fix.ch. 2015]]</f>
        <v>#DIV/0!</v>
      </c>
      <c r="S135" s="1281" t="e">
        <f>Tabel6689172627[[#This Row],[Var. ch. 2015]]</f>
        <v>#DIV/0!</v>
      </c>
      <c r="T135" s="1282">
        <v>0</v>
      </c>
      <c r="U135" s="1283" t="e">
        <f>Tabel6689172627[[#This Row],[Total. ch. DW 2015]]</f>
        <v>#DIV/0!</v>
      </c>
      <c r="V135" s="1284" t="e">
        <f>Tabel6689172627[[#This Row],[Sew. 2015]]</f>
        <v>#DIV/0!</v>
      </c>
      <c r="W135" s="1285" t="e">
        <f>Tabel6689172627[[#This Row],[WW 2015]]</f>
        <v>#DIV/0!</v>
      </c>
      <c r="X135" s="1286">
        <v>0</v>
      </c>
      <c r="Y135" s="1287">
        <v>0</v>
      </c>
      <c r="Z135" s="1288" t="e">
        <f>Tabel6689172627[[#This Row],[total charge 2015]]</f>
        <v>#DIV/0!</v>
      </c>
      <c r="AA135" s="397"/>
      <c r="AB135" s="398"/>
      <c r="AC135" s="398"/>
      <c r="AD135" s="398"/>
      <c r="AE135" s="591" t="s">
        <v>429</v>
      </c>
      <c r="AF135" s="398"/>
      <c r="AG135" s="398"/>
      <c r="AH135" s="398"/>
      <c r="AI135" s="397"/>
    </row>
    <row r="136" spans="1:35" ht="15.75" x14ac:dyDescent="0.25">
      <c r="A136" s="1795" t="s">
        <v>38</v>
      </c>
      <c r="B136" s="1618"/>
      <c r="C136" s="752" t="s">
        <v>620</v>
      </c>
      <c r="D136" s="1759">
        <v>18500</v>
      </c>
      <c r="F136" s="549" t="e">
        <f>2.2/E136</f>
        <v>#DIV/0!</v>
      </c>
      <c r="G136" s="550" t="e">
        <f>16.8/E136</f>
        <v>#DIV/0!</v>
      </c>
      <c r="H136" s="551">
        <v>0</v>
      </c>
      <c r="I136" s="566" t="e">
        <f>Tabel6689172627[[#This Row],[Fix.ch. 2015]]+Tabel6689172627[[#This Row],[Var. ch. 2015]]+Tabel6689172627[[#This Row],[Oth. ch. DW 2015]]</f>
        <v>#DIV/0!</v>
      </c>
      <c r="J136" s="567" t="e">
        <f>6/E136</f>
        <v>#DIV/0!</v>
      </c>
      <c r="K136" s="568">
        <v>0</v>
      </c>
      <c r="L136" s="568"/>
      <c r="M136" s="569">
        <v>0</v>
      </c>
      <c r="N136" s="1270" t="e">
        <f>Tabel6689172627[[#This Row],[Sew. 2015]]+Tabel6689172627[[#This Row],[WW 2015]]+Tabel6689172627[[#This Row],[Other ch. 2015]]</f>
        <v>#DIV/0!</v>
      </c>
      <c r="O136" s="1271" t="e">
        <f>1.16/E136</f>
        <v>#DIV/0!</v>
      </c>
      <c r="P136" s="571" t="e">
        <f>Tabel6689172627[[#This Row],[Total. ch. DW 2015]]+Tabel6689172627[[#This Row],[Sew. 2015]]+Tabel6689172627[[#This Row],[WW 2015]]+Tabel6689172627[[#This Row],[Other ch. 2015]]+Tabel6689172627[[#This Row],[VAT 2015]]</f>
        <v>#DIV/0!</v>
      </c>
      <c r="Q136" s="397"/>
      <c r="R136" s="1762" t="e">
        <f t="shared" ref="R136:W136" si="40">SUM(F136:F140)/5</f>
        <v>#DIV/0!</v>
      </c>
      <c r="S136" s="1765" t="e">
        <f t="shared" si="40"/>
        <v>#DIV/0!</v>
      </c>
      <c r="T136" s="1768">
        <f t="shared" si="40"/>
        <v>0</v>
      </c>
      <c r="U136" s="1774" t="e">
        <f t="shared" si="40"/>
        <v>#DIV/0!</v>
      </c>
      <c r="V136" s="1777" t="e">
        <f t="shared" si="40"/>
        <v>#DIV/0!</v>
      </c>
      <c r="W136" s="1810">
        <f t="shared" si="40"/>
        <v>0</v>
      </c>
      <c r="X136" s="1812">
        <f>SUM(M136:M140)/5</f>
        <v>0</v>
      </c>
      <c r="Y136" s="1814" t="e">
        <f t="shared" ref="Y136:Z136" si="41">SUM(O136:O140)/5</f>
        <v>#DIV/0!</v>
      </c>
      <c r="Z136" s="2260" t="e">
        <f t="shared" si="41"/>
        <v>#DIV/0!</v>
      </c>
      <c r="AA136" s="397"/>
      <c r="AB136" s="591" t="s">
        <v>429</v>
      </c>
      <c r="AC136" s="614"/>
      <c r="AD136" s="614"/>
      <c r="AE136" s="591" t="s">
        <v>429</v>
      </c>
      <c r="AF136" s="591" t="s">
        <v>429</v>
      </c>
      <c r="AG136" s="398"/>
      <c r="AH136" s="398"/>
      <c r="AI136" s="397"/>
    </row>
    <row r="137" spans="1:35" ht="15.75" x14ac:dyDescent="0.25">
      <c r="A137" s="2301"/>
      <c r="B137" s="1618"/>
      <c r="C137" s="657" t="s">
        <v>621</v>
      </c>
      <c r="D137" s="1880"/>
      <c r="F137" s="549" t="e">
        <f>0/E137</f>
        <v>#DIV/0!</v>
      </c>
      <c r="G137" s="550" t="e">
        <f>17.2/E137</f>
        <v>#DIV/0!</v>
      </c>
      <c r="H137" s="551">
        <v>0</v>
      </c>
      <c r="I137" s="566" t="e">
        <f>Tabel6689172627[[#This Row],[Fix.ch. 2015]]+Tabel6689172627[[#This Row],[Var. ch. 2015]]+Tabel6689172627[[#This Row],[Oth. ch. DW 2015]]</f>
        <v>#DIV/0!</v>
      </c>
      <c r="J137" s="567" t="e">
        <f>0.8/E137</f>
        <v>#DIV/0!</v>
      </c>
      <c r="K137" s="568">
        <v>0</v>
      </c>
      <c r="L137" s="568"/>
      <c r="M137" s="569">
        <v>0</v>
      </c>
      <c r="N137" s="1270" t="e">
        <f>Tabel6689172627[[#This Row],[Sew. 2015]]+Tabel6689172627[[#This Row],[WW 2015]]+Tabel6689172627[[#This Row],[Other ch. 2015]]</f>
        <v>#DIV/0!</v>
      </c>
      <c r="O137" s="1271" t="e">
        <f>1.16/E137</f>
        <v>#DIV/0!</v>
      </c>
      <c r="P137" s="571" t="e">
        <f>Tabel6689172627[[#This Row],[Total. ch. DW 2015]]+Tabel6689172627[[#This Row],[Sew. 2015]]+Tabel6689172627[[#This Row],[WW 2015]]+Tabel6689172627[[#This Row],[Other ch. 2015]]+Tabel6689172627[[#This Row],[VAT 2015]]</f>
        <v>#DIV/0!</v>
      </c>
      <c r="Q137" s="397"/>
      <c r="R137" s="1886"/>
      <c r="S137" s="1888"/>
      <c r="T137" s="1890"/>
      <c r="U137" s="1892"/>
      <c r="V137" s="1894"/>
      <c r="W137" s="1911"/>
      <c r="X137" s="1913"/>
      <c r="Y137" s="1915"/>
      <c r="Z137" s="2053"/>
      <c r="AA137" s="397"/>
      <c r="AB137" s="591" t="s">
        <v>429</v>
      </c>
      <c r="AC137" s="614"/>
      <c r="AD137" s="614"/>
      <c r="AE137" s="591" t="s">
        <v>429</v>
      </c>
      <c r="AF137" s="591"/>
      <c r="AG137" s="398"/>
      <c r="AH137" s="398"/>
      <c r="AI137" s="397"/>
    </row>
    <row r="138" spans="1:35" ht="15.75" x14ac:dyDescent="0.25">
      <c r="A138" s="2301"/>
      <c r="B138" s="1618"/>
      <c r="C138" s="657" t="s">
        <v>622</v>
      </c>
      <c r="D138" s="1880"/>
      <c r="F138" s="549" t="e">
        <f>6.4/E138</f>
        <v>#DIV/0!</v>
      </c>
      <c r="G138" s="550" t="e">
        <f>36.6/E138</f>
        <v>#DIV/0!</v>
      </c>
      <c r="H138" s="551">
        <v>0</v>
      </c>
      <c r="I138" s="566" t="e">
        <f>Tabel6689172627[[#This Row],[Fix.ch. 2015]]+Tabel6689172627[[#This Row],[Var. ch. 2015]]+Tabel6689172627[[#This Row],[Oth. ch. DW 2015]]</f>
        <v>#DIV/0!</v>
      </c>
      <c r="J138" s="567" t="e">
        <f>4.8/E138</f>
        <v>#DIV/0!</v>
      </c>
      <c r="K138" s="568">
        <v>0</v>
      </c>
      <c r="L138" s="568"/>
      <c r="M138" s="569">
        <v>0</v>
      </c>
      <c r="N138" s="1270" t="e">
        <f>Tabel6689172627[[#This Row],[Sew. 2015]]+Tabel6689172627[[#This Row],[WW 2015]]+Tabel6689172627[[#This Row],[Other ch. 2015]]</f>
        <v>#DIV/0!</v>
      </c>
      <c r="O138" s="1271" t="e">
        <f t="shared" ref="O138:O140" si="42">1.16/E138</f>
        <v>#DIV/0!</v>
      </c>
      <c r="P138" s="571" t="e">
        <f>Tabel6689172627[[#This Row],[Total. ch. DW 2015]]+Tabel6689172627[[#This Row],[Sew. 2015]]+Tabel6689172627[[#This Row],[WW 2015]]+Tabel6689172627[[#This Row],[Other ch. 2015]]+Tabel6689172627[[#This Row],[VAT 2015]]</f>
        <v>#DIV/0!</v>
      </c>
      <c r="Q138" s="397"/>
      <c r="R138" s="1886"/>
      <c r="S138" s="1888"/>
      <c r="T138" s="1890"/>
      <c r="U138" s="1892"/>
      <c r="V138" s="1894"/>
      <c r="W138" s="1911"/>
      <c r="X138" s="1913"/>
      <c r="Y138" s="1915"/>
      <c r="Z138" s="2053"/>
      <c r="AA138" s="397"/>
      <c r="AB138" s="591" t="s">
        <v>429</v>
      </c>
      <c r="AC138" s="614"/>
      <c r="AD138" s="614"/>
      <c r="AE138" s="591" t="s">
        <v>429</v>
      </c>
      <c r="AF138" s="591" t="s">
        <v>429</v>
      </c>
      <c r="AG138" s="396"/>
      <c r="AH138" s="398"/>
      <c r="AI138" s="397"/>
    </row>
    <row r="139" spans="1:35" ht="15.75" x14ac:dyDescent="0.25">
      <c r="A139" s="2301"/>
      <c r="B139" s="1618"/>
      <c r="C139" s="657" t="s">
        <v>623</v>
      </c>
      <c r="D139" s="1880"/>
      <c r="F139" s="549" t="e">
        <f>3.8/E139</f>
        <v>#DIV/0!</v>
      </c>
      <c r="G139" s="550" t="e">
        <f>17.8/E139</f>
        <v>#DIV/0!</v>
      </c>
      <c r="H139" s="551">
        <v>0</v>
      </c>
      <c r="I139" s="566" t="e">
        <f>Tabel6689172627[[#This Row],[Fix.ch. 2015]]+Tabel6689172627[[#This Row],[Var. ch. 2015]]+Tabel6689172627[[#This Row],[Oth. ch. DW 2015]]</f>
        <v>#DIV/0!</v>
      </c>
      <c r="J139" s="567" t="e">
        <f>4.6/E139</f>
        <v>#DIV/0!</v>
      </c>
      <c r="K139" s="568">
        <v>0</v>
      </c>
      <c r="L139" s="568"/>
      <c r="M139" s="569">
        <v>0</v>
      </c>
      <c r="N139" s="1270" t="e">
        <f>Tabel6689172627[[#This Row],[Sew. 2015]]+Tabel6689172627[[#This Row],[WW 2015]]+Tabel6689172627[[#This Row],[Other ch. 2015]]</f>
        <v>#DIV/0!</v>
      </c>
      <c r="O139" s="1271" t="e">
        <f t="shared" si="42"/>
        <v>#DIV/0!</v>
      </c>
      <c r="P139" s="571" t="e">
        <f>Tabel6689172627[[#This Row],[Total. ch. DW 2015]]+Tabel6689172627[[#This Row],[Sew. 2015]]+Tabel6689172627[[#This Row],[WW 2015]]+Tabel6689172627[[#This Row],[Other ch. 2015]]+Tabel6689172627[[#This Row],[VAT 2015]]</f>
        <v>#DIV/0!</v>
      </c>
      <c r="Q139" s="397"/>
      <c r="R139" s="1886"/>
      <c r="S139" s="1888"/>
      <c r="T139" s="1890"/>
      <c r="U139" s="1892"/>
      <c r="V139" s="1894"/>
      <c r="W139" s="1911"/>
      <c r="X139" s="1913"/>
      <c r="Y139" s="1915"/>
      <c r="Z139" s="2053"/>
      <c r="AA139" s="397"/>
      <c r="AB139" s="591" t="s">
        <v>429</v>
      </c>
      <c r="AC139" s="614"/>
      <c r="AD139" s="614"/>
      <c r="AE139" s="591" t="s">
        <v>429</v>
      </c>
      <c r="AF139" s="591" t="s">
        <v>429</v>
      </c>
      <c r="AG139" s="396"/>
      <c r="AH139" s="398"/>
      <c r="AI139" s="397"/>
    </row>
    <row r="140" spans="1:35" ht="16.5" thickBot="1" x14ac:dyDescent="0.3">
      <c r="A140" s="2302"/>
      <c r="B140" s="1618"/>
      <c r="C140" s="657" t="s">
        <v>624</v>
      </c>
      <c r="D140" s="1761"/>
      <c r="F140" s="549" t="e">
        <f>4.8/E140</f>
        <v>#DIV/0!</v>
      </c>
      <c r="G140" s="550" t="e">
        <f>21.8/E140</f>
        <v>#DIV/0!</v>
      </c>
      <c r="H140" s="551">
        <v>0</v>
      </c>
      <c r="I140" s="566" t="e">
        <f>Tabel6689172627[[#This Row],[Fix.ch. 2015]]+Tabel6689172627[[#This Row],[Var. ch. 2015]]+Tabel6689172627[[#This Row],[Oth. ch. DW 2015]]</f>
        <v>#DIV/0!</v>
      </c>
      <c r="J140" s="567" t="e">
        <f>6.8/E140</f>
        <v>#DIV/0!</v>
      </c>
      <c r="K140" s="568">
        <v>0</v>
      </c>
      <c r="L140" s="568"/>
      <c r="M140" s="569">
        <v>0</v>
      </c>
      <c r="N140" s="1270" t="e">
        <f>Tabel6689172627[[#This Row],[Sew. 2015]]+Tabel6689172627[[#This Row],[WW 2015]]+Tabel6689172627[[#This Row],[Other ch. 2015]]</f>
        <v>#DIV/0!</v>
      </c>
      <c r="O140" s="1271" t="e">
        <f t="shared" si="42"/>
        <v>#DIV/0!</v>
      </c>
      <c r="P140" s="571" t="e">
        <f>Tabel6689172627[[#This Row],[Total. ch. DW 2015]]+Tabel6689172627[[#This Row],[Sew. 2015]]+Tabel6689172627[[#This Row],[WW 2015]]+Tabel6689172627[[#This Row],[Other ch. 2015]]+Tabel6689172627[[#This Row],[VAT 2015]]</f>
        <v>#DIV/0!</v>
      </c>
      <c r="Q140" s="397"/>
      <c r="R140" s="1764"/>
      <c r="S140" s="1767"/>
      <c r="T140" s="1770"/>
      <c r="U140" s="1776"/>
      <c r="V140" s="1779"/>
      <c r="W140" s="1811"/>
      <c r="X140" s="1813"/>
      <c r="Y140" s="1815"/>
      <c r="Z140" s="1991"/>
      <c r="AA140" s="397"/>
      <c r="AB140" s="591" t="s">
        <v>429</v>
      </c>
      <c r="AC140" s="614"/>
      <c r="AD140" s="614"/>
      <c r="AE140" s="591" t="s">
        <v>429</v>
      </c>
      <c r="AF140" s="591" t="s">
        <v>429</v>
      </c>
      <c r="AG140" s="396"/>
      <c r="AH140" s="398"/>
      <c r="AI140" s="397"/>
    </row>
    <row r="141" spans="1:35" ht="15.75" x14ac:dyDescent="0.25">
      <c r="A141" s="2082" t="s">
        <v>39</v>
      </c>
      <c r="B141" s="1619"/>
      <c r="C141" s="1051" t="s">
        <v>494</v>
      </c>
      <c r="D141" s="2210">
        <v>5100</v>
      </c>
      <c r="F141" s="319" t="e">
        <f>84/E141</f>
        <v>#DIV/0!</v>
      </c>
      <c r="G141" s="320" t="e">
        <f>1362.08/E141</f>
        <v>#DIV/0!</v>
      </c>
      <c r="H141" s="321">
        <v>0</v>
      </c>
      <c r="I141" s="313" t="e">
        <f>Tabel6689172627[[#This Row],[Fix.ch. 2015]]+Tabel6689172627[[#This Row],[Var. ch. 2015]]+Tabel6689172627[[#This Row],[Oth. ch. DW 2015]]</f>
        <v>#DIV/0!</v>
      </c>
      <c r="J141" s="322" t="e">
        <f>343.44/E141</f>
        <v>#DIV/0!</v>
      </c>
      <c r="K141" s="323">
        <v>0</v>
      </c>
      <c r="L141" s="323"/>
      <c r="M141" s="324">
        <v>0</v>
      </c>
      <c r="N141" s="1257" t="e">
        <f>Tabel6689172627[[#This Row],[Sew. 2015]]+Tabel6689172627[[#This Row],[WW 2015]]+Tabel6689172627[[#This Row],[Other ch. 2015]]</f>
        <v>#DIV/0!</v>
      </c>
      <c r="O141" s="1258" t="e">
        <f>125.27/E141</f>
        <v>#DIV/0!</v>
      </c>
      <c r="P141" s="318" t="e">
        <f>Tabel6689172627[[#This Row],[Total. ch. DW 2015]]+Tabel6689172627[[#This Row],[Sew. 2015]]+Tabel6689172627[[#This Row],[WW 2015]]+Tabel6689172627[[#This Row],[Other ch. 2015]]+Tabel6689172627[[#This Row],[VAT 2015]]</f>
        <v>#DIV/0!</v>
      </c>
      <c r="Q141" s="397"/>
      <c r="R141" s="2211" t="e">
        <f t="shared" ref="R141:W141" si="43">SUM(F141:F145)/5</f>
        <v>#DIV/0!</v>
      </c>
      <c r="S141" s="2212" t="e">
        <f t="shared" si="43"/>
        <v>#DIV/0!</v>
      </c>
      <c r="T141" s="2213">
        <f t="shared" si="43"/>
        <v>0</v>
      </c>
      <c r="U141" s="2214" t="e">
        <f t="shared" si="43"/>
        <v>#DIV/0!</v>
      </c>
      <c r="V141" s="2215" t="e">
        <f t="shared" si="43"/>
        <v>#DIV/0!</v>
      </c>
      <c r="W141" s="2216">
        <f t="shared" si="43"/>
        <v>0</v>
      </c>
      <c r="X141" s="2217">
        <f>SUM(M141:M145)/5</f>
        <v>0</v>
      </c>
      <c r="Y141" s="2218" t="e">
        <f t="shared" ref="Y141:Z141" si="44">SUM(O141:O145)/5</f>
        <v>#DIV/0!</v>
      </c>
      <c r="Z141" s="2219" t="e">
        <f t="shared" si="44"/>
        <v>#DIV/0!</v>
      </c>
      <c r="AA141" s="397"/>
      <c r="AB141" s="398"/>
      <c r="AC141" s="398"/>
      <c r="AD141" s="398"/>
      <c r="AE141" s="396" t="s">
        <v>429</v>
      </c>
      <c r="AF141" s="398"/>
      <c r="AG141" s="398"/>
      <c r="AH141" s="398"/>
      <c r="AI141" s="397"/>
    </row>
    <row r="142" spans="1:35" ht="15.75" x14ac:dyDescent="0.25">
      <c r="A142" s="2299"/>
      <c r="B142" s="1619"/>
      <c r="C142" s="1291" t="s">
        <v>495</v>
      </c>
      <c r="D142" s="2157"/>
      <c r="F142" s="319" t="e">
        <f>102.6/E142</f>
        <v>#DIV/0!</v>
      </c>
      <c r="G142" s="320" t="e">
        <f>1117.04/E142</f>
        <v>#DIV/0!</v>
      </c>
      <c r="H142" s="321">
        <v>0</v>
      </c>
      <c r="I142" s="313" t="e">
        <f>Tabel6689172627[[#This Row],[Fix.ch. 2015]]+Tabel6689172627[[#This Row],[Var. ch. 2015]]+Tabel6689172627[[#This Row],[Oth. ch. DW 2015]]</f>
        <v>#DIV/0!</v>
      </c>
      <c r="J142" s="322" t="e">
        <f>328.8/E142</f>
        <v>#DIV/0!</v>
      </c>
      <c r="K142" s="323">
        <v>0</v>
      </c>
      <c r="L142" s="323"/>
      <c r="M142" s="324">
        <v>0</v>
      </c>
      <c r="N142" s="1257" t="e">
        <f>Tabel6689172627[[#This Row],[Sew. 2015]]+Tabel6689172627[[#This Row],[WW 2015]]+Tabel6689172627[[#This Row],[Other ch. 2015]]</f>
        <v>#DIV/0!</v>
      </c>
      <c r="O142" s="1258" t="e">
        <f>108.39/E142</f>
        <v>#DIV/0!</v>
      </c>
      <c r="P142" s="318" t="e">
        <f>Tabel6689172627[[#This Row],[Total. ch. DW 2015]]+Tabel6689172627[[#This Row],[Sew. 2015]]+Tabel6689172627[[#This Row],[WW 2015]]+Tabel6689172627[[#This Row],[Other ch. 2015]]+Tabel6689172627[[#This Row],[VAT 2015]]</f>
        <v>#DIV/0!</v>
      </c>
      <c r="Q142" s="397"/>
      <c r="R142" s="2158"/>
      <c r="S142" s="2159"/>
      <c r="T142" s="2160"/>
      <c r="U142" s="2141"/>
      <c r="V142" s="2142"/>
      <c r="W142" s="2143"/>
      <c r="X142" s="2144"/>
      <c r="Y142" s="2145"/>
      <c r="Z142" s="2146"/>
      <c r="AA142" s="397"/>
      <c r="AB142" s="398"/>
      <c r="AC142" s="398"/>
      <c r="AD142" s="398"/>
      <c r="AE142" s="396" t="s">
        <v>429</v>
      </c>
      <c r="AF142" s="398"/>
      <c r="AG142" s="398"/>
      <c r="AH142" s="398"/>
      <c r="AI142" s="397"/>
    </row>
    <row r="143" spans="1:35" ht="15.75" x14ac:dyDescent="0.25">
      <c r="A143" s="2299"/>
      <c r="B143" s="1619"/>
      <c r="C143" s="1291" t="s">
        <v>496</v>
      </c>
      <c r="D143" s="2157"/>
      <c r="F143" s="319" t="e">
        <f>72/E143</f>
        <v>#DIV/0!</v>
      </c>
      <c r="G143" s="320" t="e">
        <f>1045.2/E143</f>
        <v>#DIV/0!</v>
      </c>
      <c r="H143" s="321">
        <v>0</v>
      </c>
      <c r="I143" s="313" t="e">
        <f>Tabel6689172627[[#This Row],[Fix.ch. 2015]]+Tabel6689172627[[#This Row],[Var. ch. 2015]]+Tabel6689172627[[#This Row],[Oth. ch. DW 2015]]</f>
        <v>#DIV/0!</v>
      </c>
      <c r="J143" s="322" t="e">
        <f>223.4/E143</f>
        <v>#DIV/0!</v>
      </c>
      <c r="K143" s="323">
        <v>0</v>
      </c>
      <c r="L143" s="323"/>
      <c r="M143" s="324">
        <v>0</v>
      </c>
      <c r="N143" s="1257" t="e">
        <f>Tabel6689172627[[#This Row],[Sew. 2015]]+Tabel6689172627[[#This Row],[WW 2015]]+Tabel6689172627[[#This Row],[Other ch. 2015]]</f>
        <v>#DIV/0!</v>
      </c>
      <c r="O143" s="1258" t="e">
        <f>93.84/E143</f>
        <v>#DIV/0!</v>
      </c>
      <c r="P143" s="318" t="e">
        <f>Tabel6689172627[[#This Row],[Total. ch. DW 2015]]+Tabel6689172627[[#This Row],[Sew. 2015]]+Tabel6689172627[[#This Row],[WW 2015]]+Tabel6689172627[[#This Row],[Other ch. 2015]]+Tabel6689172627[[#This Row],[VAT 2015]]</f>
        <v>#DIV/0!</v>
      </c>
      <c r="Q143" s="397"/>
      <c r="R143" s="2158"/>
      <c r="S143" s="2159"/>
      <c r="T143" s="2160"/>
      <c r="U143" s="2141"/>
      <c r="V143" s="2142"/>
      <c r="W143" s="2143"/>
      <c r="X143" s="2144"/>
      <c r="Y143" s="2145"/>
      <c r="Z143" s="2146"/>
      <c r="AA143" s="397"/>
      <c r="AB143" s="398"/>
      <c r="AC143" s="398"/>
      <c r="AD143" s="398"/>
      <c r="AE143" s="396" t="s">
        <v>429</v>
      </c>
      <c r="AF143" s="398"/>
      <c r="AG143" s="398"/>
      <c r="AH143" s="398"/>
      <c r="AI143" s="397"/>
    </row>
    <row r="144" spans="1:35" ht="15.75" x14ac:dyDescent="0.25">
      <c r="A144" s="2299"/>
      <c r="B144" s="1619"/>
      <c r="C144" s="1291" t="s">
        <v>497</v>
      </c>
      <c r="D144" s="2157"/>
      <c r="F144" s="319" t="e">
        <f>72/E144</f>
        <v>#DIV/0!</v>
      </c>
      <c r="G144" s="320" t="e">
        <f>1074.24/E144</f>
        <v>#DIV/0!</v>
      </c>
      <c r="H144" s="321">
        <v>0</v>
      </c>
      <c r="I144" s="313" t="e">
        <f>Tabel6689172627[[#This Row],[Fix.ch. 2015]]+Tabel6689172627[[#This Row],[Var. ch. 2015]]+Tabel6689172627[[#This Row],[Oth. ch. DW 2015]]</f>
        <v>#DIV/0!</v>
      </c>
      <c r="J144" s="322" t="e">
        <f>233.08/E144</f>
        <v>#DIV/0!</v>
      </c>
      <c r="K144" s="323">
        <v>0</v>
      </c>
      <c r="L144" s="323"/>
      <c r="M144" s="324">
        <v>0</v>
      </c>
      <c r="N144" s="1257" t="e">
        <f>Tabel6689172627[[#This Row],[Sew. 2015]]+Tabel6689172627[[#This Row],[WW 2015]]+Tabel6689172627[[#This Row],[Other ch. 2015]]</f>
        <v>#DIV/0!</v>
      </c>
      <c r="O144" s="1258" t="e">
        <f>96.55/E144</f>
        <v>#DIV/0!</v>
      </c>
      <c r="P144" s="318" t="e">
        <f>Tabel6689172627[[#This Row],[Total. ch. DW 2015]]+Tabel6689172627[[#This Row],[Sew. 2015]]+Tabel6689172627[[#This Row],[WW 2015]]+Tabel6689172627[[#This Row],[Other ch. 2015]]+Tabel6689172627[[#This Row],[VAT 2015]]</f>
        <v>#DIV/0!</v>
      </c>
      <c r="Q144" s="397"/>
      <c r="R144" s="2158"/>
      <c r="S144" s="2159"/>
      <c r="T144" s="2160"/>
      <c r="U144" s="2141"/>
      <c r="V144" s="2142"/>
      <c r="W144" s="2143"/>
      <c r="X144" s="2144"/>
      <c r="Y144" s="2145"/>
      <c r="Z144" s="2146"/>
      <c r="AA144" s="397"/>
      <c r="AB144" s="398"/>
      <c r="AC144" s="398"/>
      <c r="AD144" s="398"/>
      <c r="AE144" s="396" t="s">
        <v>429</v>
      </c>
      <c r="AF144" s="398"/>
      <c r="AG144" s="398"/>
      <c r="AH144" s="398"/>
      <c r="AI144" s="397"/>
    </row>
    <row r="145" spans="1:35" ht="16.5" thickBot="1" x14ac:dyDescent="0.3">
      <c r="A145" s="2300"/>
      <c r="B145" s="1619"/>
      <c r="C145" s="1052" t="s">
        <v>498</v>
      </c>
      <c r="D145" s="2221"/>
      <c r="F145" s="319" t="e">
        <f>72/E145</f>
        <v>#DIV/0!</v>
      </c>
      <c r="G145" s="320" t="e">
        <f>937.76/E145</f>
        <v>#DIV/0!</v>
      </c>
      <c r="H145" s="321">
        <v>0</v>
      </c>
      <c r="I145" s="313" t="e">
        <f>Tabel6689172627[[#This Row],[Fix.ch. 2015]]+Tabel6689172627[[#This Row],[Var. ch. 2015]]+Tabel6689172627[[#This Row],[Oth. ch. DW 2015]]</f>
        <v>#DIV/0!</v>
      </c>
      <c r="J145" s="322" t="e">
        <f>357.12/E145</f>
        <v>#DIV/0!</v>
      </c>
      <c r="K145" s="323">
        <v>0</v>
      </c>
      <c r="L145" s="323"/>
      <c r="M145" s="324">
        <v>0</v>
      </c>
      <c r="N145" s="1257" t="e">
        <f>Tabel6689172627[[#This Row],[Sew. 2015]]+Tabel6689172627[[#This Row],[WW 2015]]+Tabel6689172627[[#This Row],[Other ch. 2015]]</f>
        <v>#DIV/0!</v>
      </c>
      <c r="O145" s="1258" t="e">
        <f>95.68/E145</f>
        <v>#DIV/0!</v>
      </c>
      <c r="P145" s="318" t="e">
        <f>Tabel6689172627[[#This Row],[Total. ch. DW 2015]]+Tabel6689172627[[#This Row],[Sew. 2015]]+Tabel6689172627[[#This Row],[WW 2015]]+Tabel6689172627[[#This Row],[Other ch. 2015]]+Tabel6689172627[[#This Row],[VAT 2015]]</f>
        <v>#DIV/0!</v>
      </c>
      <c r="Q145" s="397"/>
      <c r="R145" s="2223"/>
      <c r="S145" s="2225"/>
      <c r="T145" s="2227"/>
      <c r="U145" s="2234"/>
      <c r="V145" s="2236"/>
      <c r="W145" s="2238"/>
      <c r="X145" s="2240"/>
      <c r="Y145" s="2242"/>
      <c r="Z145" s="2244"/>
      <c r="AA145" s="397"/>
      <c r="AB145" s="398"/>
      <c r="AC145" s="398"/>
      <c r="AD145" s="398"/>
      <c r="AE145" s="396" t="s">
        <v>429</v>
      </c>
      <c r="AF145" s="398"/>
      <c r="AG145" s="398"/>
      <c r="AH145" s="398"/>
      <c r="AI145" s="397"/>
    </row>
    <row r="146" spans="1:35" ht="19.5" thickBot="1" x14ac:dyDescent="0.3">
      <c r="A146" s="1169" t="s">
        <v>734</v>
      </c>
      <c r="B146" s="1213"/>
      <c r="C146" s="751" t="s">
        <v>735</v>
      </c>
      <c r="D146" s="1194">
        <v>11300</v>
      </c>
      <c r="F146" s="319"/>
      <c r="G146" s="320"/>
      <c r="H146" s="321"/>
      <c r="I146" s="313">
        <f>Tabel6689172627[[#This Row],[Fix.ch. 2015]]+Tabel6689172627[[#This Row],[Var. ch. 2015]]+Tabel6689172627[[#This Row],[Oth. ch. DW 2015]]</f>
        <v>0</v>
      </c>
      <c r="J146" s="322"/>
      <c r="K146" s="323"/>
      <c r="L146" s="323"/>
      <c r="M146" s="324"/>
      <c r="N146" s="1257">
        <f>Tabel6689172627[[#This Row],[Sew. 2015]]+Tabel6689172627[[#This Row],[WW 2015]]+Tabel6689172627[[#This Row],[Other ch. 2015]]</f>
        <v>0</v>
      </c>
      <c r="O146" s="1258"/>
      <c r="P146" s="318">
        <f>Tabel6689172627[[#This Row],[Total. ch. DW 2015]]+Tabel6689172627[[#This Row],[Sew. 2015]]+Tabel6689172627[[#This Row],[WW 2015]]+Tabel6689172627[[#This Row],[Other ch. 2015]]+Tabel6689172627[[#This Row],[VAT 2015]]</f>
        <v>0</v>
      </c>
      <c r="Q146" s="397"/>
      <c r="R146" s="1214"/>
      <c r="S146" s="1215"/>
      <c r="T146" s="1216"/>
      <c r="U146" s="1207"/>
      <c r="V146" s="1208"/>
      <c r="W146" s="1209"/>
      <c r="X146" s="1210"/>
      <c r="Y146" s="1211"/>
      <c r="Z146" s="1212"/>
      <c r="AA146" s="397"/>
      <c r="AB146" s="398"/>
      <c r="AC146" s="398"/>
      <c r="AD146" s="398"/>
      <c r="AE146" s="396"/>
      <c r="AF146" s="398"/>
      <c r="AG146" s="398"/>
      <c r="AH146" s="398"/>
      <c r="AI146" s="397"/>
    </row>
    <row r="147" spans="1:35" ht="15.75" customHeight="1" x14ac:dyDescent="0.25">
      <c r="A147" s="2078" t="s">
        <v>20</v>
      </c>
      <c r="B147" s="1213"/>
      <c r="C147" s="727" t="s">
        <v>182</v>
      </c>
      <c r="D147" s="1759">
        <v>49300</v>
      </c>
      <c r="F147" s="549" t="e">
        <f>42.15/E147</f>
        <v>#DIV/0!</v>
      </c>
      <c r="G147" s="550" t="e">
        <f>248/E147</f>
        <v>#DIV/0!</v>
      </c>
      <c r="H147" s="551">
        <v>0</v>
      </c>
      <c r="I147" s="566" t="e">
        <f>Tabel6689172627[[#This Row],[Fix.ch. 2015]]+Tabel6689172627[[#This Row],[Var. ch. 2015]]+Tabel6689172627[[#This Row],[Oth. ch. DW 2015]]</f>
        <v>#DIV/0!</v>
      </c>
      <c r="J147" s="567" t="e">
        <f>149/E147</f>
        <v>#DIV/0!</v>
      </c>
      <c r="K147" s="323" t="e">
        <f>165/E147</f>
        <v>#DIV/0!</v>
      </c>
      <c r="L147" s="323"/>
      <c r="M147" s="569" t="e">
        <f>66.6/E147</f>
        <v>#DIV/0!</v>
      </c>
      <c r="N147" s="1270" t="e">
        <f>Tabel6689172627[[#This Row],[Sew. 2015]]+Tabel6689172627[[#This Row],[WW 2015]]+Tabel6689172627[[#This Row],[Other ch. 2015]]</f>
        <v>#DIV/0!</v>
      </c>
      <c r="O147" s="1271" t="e">
        <f>21.41/E147</f>
        <v>#DIV/0!</v>
      </c>
      <c r="P147" s="571" t="e">
        <f>Tabel6689172627[[#This Row],[Total. ch. DW 2015]]+Tabel6689172627[[#This Row],[Sew. 2015]]+Tabel6689172627[[#This Row],[WW 2015]]+Tabel6689172627[[#This Row],[Other ch. 2015]]+Tabel6689172627[[#This Row],[VAT 2015]]</f>
        <v>#DIV/0!</v>
      </c>
      <c r="Q147" s="397"/>
      <c r="R147" s="2258" t="e">
        <f t="shared" ref="R147:W147" si="45">SUM(F147:F151)/5</f>
        <v>#DIV/0!</v>
      </c>
      <c r="S147" s="1765" t="e">
        <f t="shared" si="45"/>
        <v>#DIV/0!</v>
      </c>
      <c r="T147" s="1768" t="e">
        <f t="shared" si="45"/>
        <v>#DIV/0!</v>
      </c>
      <c r="U147" s="1774" t="e">
        <f t="shared" si="45"/>
        <v>#DIV/0!</v>
      </c>
      <c r="V147" s="1777" t="e">
        <f t="shared" si="45"/>
        <v>#DIV/0!</v>
      </c>
      <c r="W147" s="1810" t="e">
        <f t="shared" si="45"/>
        <v>#DIV/0!</v>
      </c>
      <c r="X147" s="1812" t="e">
        <f>SUM(M147:M151)/5</f>
        <v>#DIV/0!</v>
      </c>
      <c r="Y147" s="1814" t="e">
        <f t="shared" ref="Y147:Z147" si="46">SUM(O147:O151)/5</f>
        <v>#DIV/0!</v>
      </c>
      <c r="Z147" s="1793" t="e">
        <f t="shared" si="46"/>
        <v>#DIV/0!</v>
      </c>
      <c r="AA147" s="397"/>
      <c r="AB147" s="591" t="s">
        <v>429</v>
      </c>
      <c r="AC147" s="591" t="s">
        <v>429</v>
      </c>
      <c r="AD147" s="396"/>
      <c r="AE147" s="396"/>
      <c r="AF147" s="591" t="s">
        <v>429</v>
      </c>
      <c r="AG147" s="396"/>
      <c r="AH147" s="712" t="s">
        <v>1350</v>
      </c>
      <c r="AI147" s="397"/>
    </row>
    <row r="148" spans="1:35" ht="15.75" customHeight="1" x14ac:dyDescent="0.25">
      <c r="A148" s="2079"/>
      <c r="B148" s="1213"/>
      <c r="C148" s="727" t="s">
        <v>183</v>
      </c>
      <c r="D148" s="1880"/>
      <c r="F148" s="549" t="e">
        <f>59.76/E148</f>
        <v>#DIV/0!</v>
      </c>
      <c r="G148" s="550" t="e">
        <f>182.8/E148</f>
        <v>#DIV/0!</v>
      </c>
      <c r="H148" s="551" t="e">
        <f>8.45/E148</f>
        <v>#DIV/0!</v>
      </c>
      <c r="I148" s="566" t="e">
        <f>Tabel6689172627[[#This Row],[Fix.ch. 2015]]+Tabel6689172627[[#This Row],[Var. ch. 2015]]+Tabel6689172627[[#This Row],[Oth. ch. DW 2015]]</f>
        <v>#DIV/0!</v>
      </c>
      <c r="J148" s="567" t="e">
        <f>351/E148</f>
        <v>#DIV/0!</v>
      </c>
      <c r="K148" s="323" t="e">
        <f>190/E148</f>
        <v>#DIV/0!</v>
      </c>
      <c r="L148" s="323"/>
      <c r="M148" s="569" t="e">
        <f>66.6/E148</f>
        <v>#DIV/0!</v>
      </c>
      <c r="N148" s="1270" t="e">
        <f>Tabel6689172627[[#This Row],[Sew. 2015]]+Tabel6689172627[[#This Row],[WW 2015]]+Tabel6689172627[[#This Row],[Other ch. 2015]]</f>
        <v>#DIV/0!</v>
      </c>
      <c r="O148" s="1271" t="e">
        <f>18.55/E148</f>
        <v>#DIV/0!</v>
      </c>
      <c r="P148" s="571" t="e">
        <f>Tabel6689172627[[#This Row],[Total. ch. DW 2015]]+Tabel6689172627[[#This Row],[Sew. 2015]]+Tabel6689172627[[#This Row],[WW 2015]]+Tabel6689172627[[#This Row],[Other ch. 2015]]+Tabel6689172627[[#This Row],[VAT 2015]]</f>
        <v>#DIV/0!</v>
      </c>
      <c r="Q148" s="397"/>
      <c r="R148" s="2269"/>
      <c r="S148" s="1888"/>
      <c r="T148" s="1890"/>
      <c r="U148" s="1892"/>
      <c r="V148" s="1894"/>
      <c r="W148" s="1911"/>
      <c r="X148" s="1913"/>
      <c r="Y148" s="1915"/>
      <c r="Z148" s="1832"/>
      <c r="AA148" s="397"/>
      <c r="AB148" s="591" t="s">
        <v>429</v>
      </c>
      <c r="AC148" s="591" t="s">
        <v>429</v>
      </c>
      <c r="AD148" s="396"/>
      <c r="AE148" s="396"/>
      <c r="AF148" s="591" t="s">
        <v>429</v>
      </c>
      <c r="AG148" s="396"/>
      <c r="AH148" s="712" t="s">
        <v>1350</v>
      </c>
      <c r="AI148" s="397"/>
    </row>
    <row r="149" spans="1:35" ht="15.75" customHeight="1" x14ac:dyDescent="0.25">
      <c r="A149" s="2079"/>
      <c r="B149" s="1213"/>
      <c r="C149" s="727" t="s">
        <v>184</v>
      </c>
      <c r="D149" s="1880"/>
      <c r="F149" s="549" t="e">
        <f>61.18/E149</f>
        <v>#DIV/0!</v>
      </c>
      <c r="G149" s="550" t="e">
        <f>212/E149</f>
        <v>#DIV/0!</v>
      </c>
      <c r="H149" s="551" t="e">
        <f>18.7/E149</f>
        <v>#DIV/0!</v>
      </c>
      <c r="I149" s="566" t="e">
        <f>Tabel6689172627[[#This Row],[Fix.ch. 2015]]+Tabel6689172627[[#This Row],[Var. ch. 2015]]+Tabel6689172627[[#This Row],[Oth. ch. DW 2015]]</f>
        <v>#DIV/0!</v>
      </c>
      <c r="J149" s="567" t="e">
        <f>133/E149</f>
        <v>#DIV/0!</v>
      </c>
      <c r="K149" s="323" t="e">
        <f>255/E149</f>
        <v>#DIV/0!</v>
      </c>
      <c r="L149" s="323"/>
      <c r="M149" s="569" t="e">
        <f>66.6/E149</f>
        <v>#DIV/0!</v>
      </c>
      <c r="N149" s="1270" t="e">
        <f>Tabel6689172627[[#This Row],[Sew. 2015]]+Tabel6689172627[[#This Row],[WW 2015]]+Tabel6689172627[[#This Row],[Other ch. 2015]]</f>
        <v>#DIV/0!</v>
      </c>
      <c r="O149" s="1271" t="e">
        <f>20.39/E149</f>
        <v>#DIV/0!</v>
      </c>
      <c r="P149" s="571" t="e">
        <f>Tabel6689172627[[#This Row],[Total. ch. DW 2015]]+Tabel6689172627[[#This Row],[Sew. 2015]]+Tabel6689172627[[#This Row],[WW 2015]]+Tabel6689172627[[#This Row],[Other ch. 2015]]+Tabel6689172627[[#This Row],[VAT 2015]]</f>
        <v>#DIV/0!</v>
      </c>
      <c r="Q149" s="397"/>
      <c r="R149" s="2269"/>
      <c r="S149" s="1888"/>
      <c r="T149" s="1890"/>
      <c r="U149" s="1892"/>
      <c r="V149" s="1894"/>
      <c r="W149" s="1911"/>
      <c r="X149" s="1913"/>
      <c r="Y149" s="1915"/>
      <c r="Z149" s="1832"/>
      <c r="AA149" s="397"/>
      <c r="AB149" s="614"/>
      <c r="AC149" s="591" t="s">
        <v>429</v>
      </c>
      <c r="AD149" s="396"/>
      <c r="AE149" s="396"/>
      <c r="AF149" s="591" t="s">
        <v>429</v>
      </c>
      <c r="AG149" s="396"/>
      <c r="AH149" s="712" t="s">
        <v>1350</v>
      </c>
      <c r="AI149" s="397"/>
    </row>
    <row r="150" spans="1:35" ht="15.75" customHeight="1" x14ac:dyDescent="0.25">
      <c r="A150" s="2079"/>
      <c r="B150" s="1213"/>
      <c r="C150" s="727" t="s">
        <v>185</v>
      </c>
      <c r="D150" s="1880"/>
      <c r="F150" s="549" t="e">
        <f>45/E150</f>
        <v>#DIV/0!</v>
      </c>
      <c r="G150" s="550" t="e">
        <f>136/E150</f>
        <v>#DIV/0!</v>
      </c>
      <c r="H150" s="551">
        <v>0</v>
      </c>
      <c r="I150" s="566" t="e">
        <f>Tabel6689172627[[#This Row],[Fix.ch. 2015]]+Tabel6689172627[[#This Row],[Var. ch. 2015]]+Tabel6689172627[[#This Row],[Oth. ch. DW 2015]]</f>
        <v>#DIV/0!</v>
      </c>
      <c r="J150" s="567" t="e">
        <f>231/E150</f>
        <v>#DIV/0!</v>
      </c>
      <c r="K150" s="323" t="e">
        <f>165/E150</f>
        <v>#DIV/0!</v>
      </c>
      <c r="L150" s="323"/>
      <c r="M150" s="569" t="e">
        <f>66.6/E150</f>
        <v>#DIV/0!</v>
      </c>
      <c r="N150" s="1270" t="e">
        <f>Tabel6689172627[[#This Row],[Sew. 2015]]+Tabel6689172627[[#This Row],[WW 2015]]+Tabel6689172627[[#This Row],[Other ch. 2015]]</f>
        <v>#DIV/0!</v>
      </c>
      <c r="O150" s="1271" t="e">
        <f>14.86/E150</f>
        <v>#DIV/0!</v>
      </c>
      <c r="P150" s="571" t="e">
        <f>Tabel6689172627[[#This Row],[Total. ch. DW 2015]]+Tabel6689172627[[#This Row],[Sew. 2015]]+Tabel6689172627[[#This Row],[WW 2015]]+Tabel6689172627[[#This Row],[Other ch. 2015]]+Tabel6689172627[[#This Row],[VAT 2015]]</f>
        <v>#DIV/0!</v>
      </c>
      <c r="Q150" s="397"/>
      <c r="R150" s="2269"/>
      <c r="S150" s="1888"/>
      <c r="T150" s="1890"/>
      <c r="U150" s="1892"/>
      <c r="V150" s="1894"/>
      <c r="W150" s="1911"/>
      <c r="X150" s="1913"/>
      <c r="Y150" s="1915"/>
      <c r="Z150" s="1832"/>
      <c r="AA150" s="397"/>
      <c r="AB150" s="614"/>
      <c r="AC150" s="591" t="s">
        <v>429</v>
      </c>
      <c r="AD150" s="396"/>
      <c r="AE150" s="396"/>
      <c r="AF150" s="591" t="s">
        <v>429</v>
      </c>
      <c r="AG150" s="396"/>
      <c r="AH150" s="712" t="s">
        <v>1350</v>
      </c>
      <c r="AI150" s="397"/>
    </row>
    <row r="151" spans="1:35" ht="16.5" customHeight="1" x14ac:dyDescent="0.25">
      <c r="A151" s="2079"/>
      <c r="B151" s="1213"/>
      <c r="C151" s="727" t="s">
        <v>186</v>
      </c>
      <c r="D151" s="1880"/>
      <c r="F151" s="549" t="e">
        <f>70.44/E151</f>
        <v>#DIV/0!</v>
      </c>
      <c r="G151" s="550" t="e">
        <f>92.3/E151</f>
        <v>#DIV/0!</v>
      </c>
      <c r="H151" s="551">
        <v>0</v>
      </c>
      <c r="I151" s="566" t="e">
        <f>Tabel6689172627[[#This Row],[Fix.ch. 2015]]+Tabel6689172627[[#This Row],[Var. ch. 2015]]+Tabel6689172627[[#This Row],[Oth. ch. DW 2015]]</f>
        <v>#DIV/0!</v>
      </c>
      <c r="J151" s="567" t="e">
        <f>144/E151</f>
        <v>#DIV/0!</v>
      </c>
      <c r="K151" s="323" t="e">
        <f>135/E151</f>
        <v>#DIV/0!</v>
      </c>
      <c r="L151" s="323"/>
      <c r="M151" s="569" t="e">
        <f>66.6/E151</f>
        <v>#DIV/0!</v>
      </c>
      <c r="N151" s="1270" t="e">
        <f>Tabel6689172627[[#This Row],[Sew. 2015]]+Tabel6689172627[[#This Row],[WW 2015]]+Tabel6689172627[[#This Row],[Other ch. 2015]]</f>
        <v>#DIV/0!</v>
      </c>
      <c r="O151" s="1271" t="e">
        <f>13.76/E151</f>
        <v>#DIV/0!</v>
      </c>
      <c r="P151" s="571" t="e">
        <f>Tabel6689172627[[#This Row],[Total. ch. DW 2015]]+Tabel6689172627[[#This Row],[Sew. 2015]]+Tabel6689172627[[#This Row],[WW 2015]]+Tabel6689172627[[#This Row],[Other ch. 2015]]+Tabel6689172627[[#This Row],[VAT 2015]]</f>
        <v>#DIV/0!</v>
      </c>
      <c r="Q151" s="397"/>
      <c r="R151" s="2269"/>
      <c r="S151" s="1888"/>
      <c r="T151" s="1890"/>
      <c r="U151" s="1892"/>
      <c r="V151" s="1894"/>
      <c r="W151" s="1911"/>
      <c r="X151" s="1913"/>
      <c r="Y151" s="1915"/>
      <c r="Z151" s="1832"/>
      <c r="AA151" s="397"/>
      <c r="AB151" s="614"/>
      <c r="AC151" s="591" t="s">
        <v>429</v>
      </c>
      <c r="AD151" s="396"/>
      <c r="AE151" s="396"/>
      <c r="AF151" s="591" t="s">
        <v>429</v>
      </c>
      <c r="AG151" s="396"/>
      <c r="AH151" s="712" t="s">
        <v>1350</v>
      </c>
      <c r="AI151" s="397"/>
    </row>
    <row r="152" spans="1:35" ht="16.5" customHeight="1" thickBot="1" x14ac:dyDescent="0.3">
      <c r="A152" s="2268"/>
      <c r="B152" s="1213"/>
      <c r="C152" s="1289" t="s">
        <v>187</v>
      </c>
      <c r="D152" s="1761"/>
      <c r="F152" s="319"/>
      <c r="G152" s="320"/>
      <c r="H152" s="321"/>
      <c r="I152" s="313">
        <f>Tabel6689172627[[#This Row],[Fix.ch. 2015]]+Tabel6689172627[[#This Row],[Var. ch. 2015]]+Tabel6689172627[[#This Row],[Oth. ch. DW 2015]]</f>
        <v>0</v>
      </c>
      <c r="J152" s="322"/>
      <c r="K152" s="323"/>
      <c r="L152" s="323"/>
      <c r="M152" s="324"/>
      <c r="N152" s="1257">
        <f>Tabel6689172627[[#This Row],[Sew. 2015]]+Tabel6689172627[[#This Row],[WW 2015]]+Tabel6689172627[[#This Row],[Other ch. 2015]]</f>
        <v>0</v>
      </c>
      <c r="O152" s="1258"/>
      <c r="P152" s="318">
        <f>Tabel6689172627[[#This Row],[Total. ch. DW 2015]]+Tabel6689172627[[#This Row],[Sew. 2015]]+Tabel6689172627[[#This Row],[WW 2015]]+Tabel6689172627[[#This Row],[Other ch. 2015]]+Tabel6689172627[[#This Row],[VAT 2015]]</f>
        <v>0</v>
      </c>
      <c r="Q152" s="397"/>
      <c r="R152" s="2270"/>
      <c r="S152" s="1767"/>
      <c r="T152" s="1770"/>
      <c r="U152" s="1776"/>
      <c r="V152" s="1779"/>
      <c r="W152" s="1811"/>
      <c r="X152" s="1813"/>
      <c r="Y152" s="1815"/>
      <c r="Z152" s="1794"/>
      <c r="AA152" s="397"/>
      <c r="AB152" s="398"/>
      <c r="AC152" s="396" t="s">
        <v>429</v>
      </c>
      <c r="AD152" s="396"/>
      <c r="AE152" s="396"/>
      <c r="AF152" s="396" t="s">
        <v>429</v>
      </c>
      <c r="AG152" s="398"/>
      <c r="AH152" s="1292" t="s">
        <v>1350</v>
      </c>
      <c r="AI152" s="397"/>
    </row>
    <row r="153" spans="1:35" ht="15.75" x14ac:dyDescent="0.25">
      <c r="A153" s="2004" t="s">
        <v>527</v>
      </c>
      <c r="B153" s="1617"/>
      <c r="C153" s="809" t="s">
        <v>528</v>
      </c>
      <c r="D153" s="2210">
        <v>27900</v>
      </c>
      <c r="F153" s="319" t="e">
        <f>125/E153</f>
        <v>#DIV/0!</v>
      </c>
      <c r="G153" s="320">
        <v>0</v>
      </c>
      <c r="H153" s="321" t="e">
        <f>220/E153</f>
        <v>#DIV/0!</v>
      </c>
      <c r="I153" s="313" t="e">
        <f>Tabel6689172627[[#This Row],[Fix.ch. 2015]]+Tabel6689172627[[#This Row],[Var. ch. 2015]]+Tabel6689172627[[#This Row],[Oth. ch. DW 2015]]</f>
        <v>#DIV/0!</v>
      </c>
      <c r="J153" s="322">
        <v>0</v>
      </c>
      <c r="K153" s="323" t="e">
        <f>280/E153</f>
        <v>#DIV/0!</v>
      </c>
      <c r="L153" s="323"/>
      <c r="M153" s="324">
        <v>0</v>
      </c>
      <c r="N153" s="1257" t="e">
        <f>Tabel6689172627[[#This Row],[Sew. 2015]]+Tabel6689172627[[#This Row],[WW 2015]]+Tabel6689172627[[#This Row],[Other ch. 2015]]</f>
        <v>#DIV/0!</v>
      </c>
      <c r="O153" s="1258">
        <v>0</v>
      </c>
      <c r="P153" s="318" t="e">
        <f>Tabel6689172627[[#This Row],[Total. ch. DW 2015]]+Tabel6689172627[[#This Row],[Sew. 2015]]+Tabel6689172627[[#This Row],[WW 2015]]+Tabel6689172627[[#This Row],[Other ch. 2015]]+Tabel6689172627[[#This Row],[VAT 2015]]</f>
        <v>#DIV/0!</v>
      </c>
      <c r="Q153" s="397"/>
      <c r="R153" s="2211" t="e">
        <f t="shared" ref="R153:W153" si="47">SUM(F153:F157)/5</f>
        <v>#DIV/0!</v>
      </c>
      <c r="S153" s="2212" t="e">
        <f t="shared" si="47"/>
        <v>#DIV/0!</v>
      </c>
      <c r="T153" s="2213" t="e">
        <f t="shared" si="47"/>
        <v>#DIV/0!</v>
      </c>
      <c r="U153" s="2214" t="e">
        <f t="shared" si="47"/>
        <v>#DIV/0!</v>
      </c>
      <c r="V153" s="2215">
        <f t="shared" si="47"/>
        <v>0</v>
      </c>
      <c r="W153" s="2216" t="e">
        <f t="shared" si="47"/>
        <v>#DIV/0!</v>
      </c>
      <c r="X153" s="2217">
        <f>SUM(M153:M157)/5</f>
        <v>0</v>
      </c>
      <c r="Y153" s="2218">
        <f t="shared" ref="Y153:Z153" si="48">SUM(O153:O157)/5</f>
        <v>0</v>
      </c>
      <c r="Z153" s="2219" t="e">
        <f t="shared" si="48"/>
        <v>#DIV/0!</v>
      </c>
      <c r="AA153" s="397"/>
      <c r="AB153" s="398"/>
      <c r="AC153" s="398"/>
      <c r="AD153" s="398"/>
      <c r="AE153" s="398"/>
      <c r="AF153" s="398"/>
      <c r="AG153" s="398"/>
      <c r="AH153" s="398"/>
      <c r="AI153" s="397"/>
    </row>
    <row r="154" spans="1:35" ht="15.75" x14ac:dyDescent="0.25">
      <c r="A154" s="2005"/>
      <c r="B154" s="1617"/>
      <c r="C154" s="1289" t="s">
        <v>529</v>
      </c>
      <c r="D154" s="2157"/>
      <c r="F154" s="319" t="e">
        <f>360/E154</f>
        <v>#DIV/0!</v>
      </c>
      <c r="G154" s="320">
        <v>0</v>
      </c>
      <c r="H154" s="321">
        <v>0</v>
      </c>
      <c r="I154" s="313" t="e">
        <f>Tabel6689172627[[#This Row],[Fix.ch. 2015]]+Tabel6689172627[[#This Row],[Var. ch. 2015]]+Tabel6689172627[[#This Row],[Oth. ch. DW 2015]]</f>
        <v>#DIV/0!</v>
      </c>
      <c r="J154" s="322">
        <v>0</v>
      </c>
      <c r="K154" s="323" t="e">
        <f>310/E154</f>
        <v>#DIV/0!</v>
      </c>
      <c r="L154" s="323"/>
      <c r="M154" s="324">
        <v>0</v>
      </c>
      <c r="N154" s="1257" t="e">
        <f>Tabel6689172627[[#This Row],[Sew. 2015]]+Tabel6689172627[[#This Row],[WW 2015]]+Tabel6689172627[[#This Row],[Other ch. 2015]]</f>
        <v>#DIV/0!</v>
      </c>
      <c r="O154" s="1258">
        <v>0</v>
      </c>
      <c r="P154" s="318" t="e">
        <f>Tabel6689172627[[#This Row],[Total. ch. DW 2015]]+Tabel6689172627[[#This Row],[Sew. 2015]]+Tabel6689172627[[#This Row],[WW 2015]]+Tabel6689172627[[#This Row],[Other ch. 2015]]+Tabel6689172627[[#This Row],[VAT 2015]]</f>
        <v>#DIV/0!</v>
      </c>
      <c r="Q154" s="397"/>
      <c r="R154" s="2158"/>
      <c r="S154" s="2159"/>
      <c r="T154" s="2160"/>
      <c r="U154" s="2141"/>
      <c r="V154" s="2142"/>
      <c r="W154" s="2143"/>
      <c r="X154" s="2144"/>
      <c r="Y154" s="2145"/>
      <c r="Z154" s="2146"/>
      <c r="AA154" s="397"/>
      <c r="AB154" s="398"/>
      <c r="AC154" s="398"/>
      <c r="AD154" s="398"/>
      <c r="AE154" s="398"/>
      <c r="AF154" s="398"/>
      <c r="AG154" s="398"/>
      <c r="AH154" s="398"/>
      <c r="AI154" s="397"/>
    </row>
    <row r="155" spans="1:35" ht="15.75" x14ac:dyDescent="0.25">
      <c r="A155" s="2005"/>
      <c r="B155" s="1617"/>
      <c r="C155" s="1289" t="s">
        <v>530</v>
      </c>
      <c r="D155" s="2157"/>
      <c r="F155" s="319" t="e">
        <f>225/E155</f>
        <v>#DIV/0!</v>
      </c>
      <c r="G155" s="320">
        <v>0</v>
      </c>
      <c r="H155" s="321">
        <v>0</v>
      </c>
      <c r="I155" s="313" t="e">
        <f>Tabel6689172627[[#This Row],[Fix.ch. 2015]]+Tabel6689172627[[#This Row],[Var. ch. 2015]]+Tabel6689172627[[#This Row],[Oth. ch. DW 2015]]</f>
        <v>#DIV/0!</v>
      </c>
      <c r="J155" s="322">
        <v>0</v>
      </c>
      <c r="K155" s="323" t="e">
        <f>125/E155</f>
        <v>#DIV/0!</v>
      </c>
      <c r="L155" s="323"/>
      <c r="M155" s="324">
        <v>0</v>
      </c>
      <c r="N155" s="1257" t="e">
        <f>Tabel6689172627[[#This Row],[Sew. 2015]]+Tabel6689172627[[#This Row],[WW 2015]]+Tabel6689172627[[#This Row],[Other ch. 2015]]</f>
        <v>#DIV/0!</v>
      </c>
      <c r="O155" s="1258">
        <v>0</v>
      </c>
      <c r="P155" s="318" t="e">
        <f>Tabel6689172627[[#This Row],[Total. ch. DW 2015]]+Tabel6689172627[[#This Row],[Sew. 2015]]+Tabel6689172627[[#This Row],[WW 2015]]+Tabel6689172627[[#This Row],[Other ch. 2015]]+Tabel6689172627[[#This Row],[VAT 2015]]</f>
        <v>#DIV/0!</v>
      </c>
      <c r="Q155" s="397"/>
      <c r="R155" s="2158"/>
      <c r="S155" s="2159"/>
      <c r="T155" s="2160"/>
      <c r="U155" s="2141"/>
      <c r="V155" s="2142"/>
      <c r="W155" s="2143"/>
      <c r="X155" s="2144"/>
      <c r="Y155" s="2145"/>
      <c r="Z155" s="2146"/>
      <c r="AA155" s="397"/>
      <c r="AB155" s="398"/>
      <c r="AC155" s="398"/>
      <c r="AD155" s="398"/>
      <c r="AE155" s="398"/>
      <c r="AF155" s="398"/>
      <c r="AG155" s="398"/>
      <c r="AH155" s="398"/>
      <c r="AI155" s="397"/>
    </row>
    <row r="156" spans="1:35" ht="15.75" x14ac:dyDescent="0.25">
      <c r="A156" s="2005"/>
      <c r="B156" s="1617"/>
      <c r="C156" s="1289" t="s">
        <v>531</v>
      </c>
      <c r="D156" s="2157"/>
      <c r="F156" s="319" t="e">
        <f>25/E156</f>
        <v>#DIV/0!</v>
      </c>
      <c r="G156" s="320" t="e">
        <f>280/E156</f>
        <v>#DIV/0!</v>
      </c>
      <c r="H156" s="321">
        <v>0</v>
      </c>
      <c r="I156" s="313" t="e">
        <f>Tabel6689172627[[#This Row],[Fix.ch. 2015]]+Tabel6689172627[[#This Row],[Var. ch. 2015]]+Tabel6689172627[[#This Row],[Oth. ch. DW 2015]]</f>
        <v>#DIV/0!</v>
      </c>
      <c r="J156" s="322">
        <v>0</v>
      </c>
      <c r="K156" s="323" t="e">
        <f>280/E156</f>
        <v>#DIV/0!</v>
      </c>
      <c r="L156" s="323"/>
      <c r="M156" s="324">
        <v>0</v>
      </c>
      <c r="N156" s="1257" t="e">
        <f>Tabel6689172627[[#This Row],[Sew. 2015]]+Tabel6689172627[[#This Row],[WW 2015]]+Tabel6689172627[[#This Row],[Other ch. 2015]]</f>
        <v>#DIV/0!</v>
      </c>
      <c r="O156" s="1258">
        <v>0</v>
      </c>
      <c r="P156" s="318" t="e">
        <f>Tabel6689172627[[#This Row],[Total. ch. DW 2015]]+Tabel6689172627[[#This Row],[Sew. 2015]]+Tabel6689172627[[#This Row],[WW 2015]]+Tabel6689172627[[#This Row],[Other ch. 2015]]+Tabel6689172627[[#This Row],[VAT 2015]]</f>
        <v>#DIV/0!</v>
      </c>
      <c r="Q156" s="397"/>
      <c r="R156" s="2158"/>
      <c r="S156" s="2159"/>
      <c r="T156" s="2160"/>
      <c r="U156" s="2141"/>
      <c r="V156" s="2142"/>
      <c r="W156" s="2143"/>
      <c r="X156" s="2144"/>
      <c r="Y156" s="2145"/>
      <c r="Z156" s="2146"/>
      <c r="AA156" s="397"/>
      <c r="AB156" s="398"/>
      <c r="AC156" s="398"/>
      <c r="AD156" s="398"/>
      <c r="AE156" s="398"/>
      <c r="AF156" s="398"/>
      <c r="AG156" s="398"/>
      <c r="AH156" s="398"/>
      <c r="AI156" s="397"/>
    </row>
    <row r="157" spans="1:35" ht="16.5" thickBot="1" x14ac:dyDescent="0.3">
      <c r="A157" s="2006"/>
      <c r="B157" s="1617"/>
      <c r="C157" s="800" t="s">
        <v>532</v>
      </c>
      <c r="D157" s="2221"/>
      <c r="F157" s="319" t="e">
        <f>25/E157</f>
        <v>#DIV/0!</v>
      </c>
      <c r="G157" s="320" t="e">
        <f>350/E157</f>
        <v>#DIV/0!</v>
      </c>
      <c r="H157" s="321">
        <v>0</v>
      </c>
      <c r="I157" s="313" t="e">
        <f>Tabel6689172627[[#This Row],[Fix.ch. 2015]]+Tabel6689172627[[#This Row],[Var. ch. 2015]]+Tabel6689172627[[#This Row],[Oth. ch. DW 2015]]</f>
        <v>#DIV/0!</v>
      </c>
      <c r="J157" s="322">
        <v>0</v>
      </c>
      <c r="K157" s="323" t="e">
        <f>540/E157</f>
        <v>#DIV/0!</v>
      </c>
      <c r="L157" s="323"/>
      <c r="M157" s="324">
        <v>0</v>
      </c>
      <c r="N157" s="1257" t="e">
        <f>Tabel6689172627[[#This Row],[Sew. 2015]]+Tabel6689172627[[#This Row],[WW 2015]]+Tabel6689172627[[#This Row],[Other ch. 2015]]</f>
        <v>#DIV/0!</v>
      </c>
      <c r="O157" s="1258">
        <v>0</v>
      </c>
      <c r="P157" s="318" t="e">
        <f>Tabel6689172627[[#This Row],[Total. ch. DW 2015]]+Tabel6689172627[[#This Row],[Sew. 2015]]+Tabel6689172627[[#This Row],[WW 2015]]+Tabel6689172627[[#This Row],[Other ch. 2015]]+Tabel6689172627[[#This Row],[VAT 2015]]</f>
        <v>#DIV/0!</v>
      </c>
      <c r="Q157" s="397"/>
      <c r="R157" s="2223"/>
      <c r="S157" s="2225"/>
      <c r="T157" s="2227"/>
      <c r="U157" s="2234"/>
      <c r="V157" s="2236"/>
      <c r="W157" s="2238"/>
      <c r="X157" s="2240"/>
      <c r="Y157" s="2242"/>
      <c r="Z157" s="2244"/>
      <c r="AA157" s="397"/>
      <c r="AB157" s="398"/>
      <c r="AC157" s="398"/>
      <c r="AD157" s="398"/>
      <c r="AE157" s="398"/>
      <c r="AF157" s="398"/>
      <c r="AG157" s="398"/>
      <c r="AH157" s="398"/>
      <c r="AI157" s="397"/>
    </row>
    <row r="158" spans="1:35" ht="19.5" thickBot="1" x14ac:dyDescent="0.35">
      <c r="A158" s="267" t="s">
        <v>46</v>
      </c>
      <c r="B158" s="1616"/>
      <c r="C158" s="293" t="s">
        <v>477</v>
      </c>
      <c r="D158" s="1226">
        <v>39500</v>
      </c>
      <c r="F158" s="319" t="e">
        <f>94/E158</f>
        <v>#DIV/0!</v>
      </c>
      <c r="G158" s="320" t="e">
        <f>208/E158</f>
        <v>#DIV/0!</v>
      </c>
      <c r="H158" s="321">
        <v>0</v>
      </c>
      <c r="I158" s="313" t="e">
        <f>Tabel6689172627[[#This Row],[Fix.ch. 2015]]+Tabel6689172627[[#This Row],[Var. ch. 2015]]+Tabel6689172627[[#This Row],[Oth. ch. DW 2015]]</f>
        <v>#DIV/0!</v>
      </c>
      <c r="J158" s="322">
        <v>0</v>
      </c>
      <c r="K158" s="323" t="e">
        <f>449/E158</f>
        <v>#DIV/0!</v>
      </c>
      <c r="L158" s="323"/>
      <c r="M158" s="324">
        <v>0</v>
      </c>
      <c r="N158" s="1257" t="e">
        <f>Tabel6689172627[[#This Row],[Sew. 2015]]+Tabel6689172627[[#This Row],[WW 2015]]+Tabel6689172627[[#This Row],[Other ch. 2015]]</f>
        <v>#DIV/0!</v>
      </c>
      <c r="O158" s="1258" t="e">
        <f>60/E158</f>
        <v>#DIV/0!</v>
      </c>
      <c r="P158" s="318" t="e">
        <f>Tabel6689172627[[#This Row],[Total. ch. DW 2015]]+Tabel6689172627[[#This Row],[Sew. 2015]]+Tabel6689172627[[#This Row],[WW 2015]]+Tabel6689172627[[#This Row],[Other ch. 2015]]+Tabel6689172627[[#This Row],[VAT 2015]]</f>
        <v>#DIV/0!</v>
      </c>
      <c r="Q158" s="397"/>
      <c r="R158" s="1228" t="e">
        <f>Tabel6689172627[[#This Row],[Fix.ch. 2015]]</f>
        <v>#DIV/0!</v>
      </c>
      <c r="S158" s="1229" t="e">
        <f>Tabel6689172627[[#This Row],[Var. ch. 2015]]</f>
        <v>#DIV/0!</v>
      </c>
      <c r="T158" s="1230">
        <v>0</v>
      </c>
      <c r="U158" s="1231" t="e">
        <f>Tabel6689172627[[#This Row],[Total. ch. DW 2015]]</f>
        <v>#DIV/0!</v>
      </c>
      <c r="V158" s="1232">
        <v>0</v>
      </c>
      <c r="W158" s="1233" t="e">
        <f>Tabel6689172627[[#This Row],[WW 2015]]</f>
        <v>#DIV/0!</v>
      </c>
      <c r="X158" s="1234">
        <v>0</v>
      </c>
      <c r="Y158" s="1235" t="e">
        <f>Tabel6689172627[[#This Row],[VAT 2015]]</f>
        <v>#DIV/0!</v>
      </c>
      <c r="Z158" s="1236" t="e">
        <f>Tabel6689172627[[#This Row],[total charge 2015]]</f>
        <v>#DIV/0!</v>
      </c>
      <c r="AA158" s="397"/>
      <c r="AB158" s="398"/>
      <c r="AC158" s="398"/>
      <c r="AD158" s="398"/>
      <c r="AE158" s="398"/>
      <c r="AF158" s="398"/>
      <c r="AG158" s="398"/>
      <c r="AH158" s="398" t="s">
        <v>476</v>
      </c>
      <c r="AI158" s="397"/>
    </row>
    <row r="159" spans="1:35" ht="15.75" customHeight="1" x14ac:dyDescent="0.25">
      <c r="A159" s="1818" t="s">
        <v>21</v>
      </c>
      <c r="B159" s="1213"/>
      <c r="C159" s="1446" t="s">
        <v>125</v>
      </c>
      <c r="D159" s="1759">
        <v>68400</v>
      </c>
      <c r="F159" s="549">
        <v>277.53010620407883</v>
      </c>
      <c r="G159" s="550">
        <v>0</v>
      </c>
      <c r="H159" s="551">
        <v>0</v>
      </c>
      <c r="I159" s="566">
        <f>Tabel6689172627[[#This Row],[Fix.ch. 2015]]+Tabel6689172627[[#This Row],[Var. ch. 2015]]+Tabel6689172627[[#This Row],[Oth. ch. DW 2015]]</f>
        <v>277.53010620407883</v>
      </c>
      <c r="J159" s="567">
        <v>360.93585995959501</v>
      </c>
      <c r="K159" s="568">
        <v>0</v>
      </c>
      <c r="L159" s="568"/>
      <c r="M159" s="569">
        <v>0</v>
      </c>
      <c r="N159" s="1270">
        <f>Tabel6689172627[[#This Row],[Sew. 2015]]+Tabel6689172627[[#This Row],[WW 2015]]+Tabel6689172627[[#This Row],[Other ch. 2015]]</f>
        <v>360.93585995959501</v>
      </c>
      <c r="O159" s="1271">
        <v>159.58827579201605</v>
      </c>
      <c r="P159" s="571">
        <f>Tabel6689172627[[#This Row],[Total. ch. DW 2015]]+Tabel6689172627[[#This Row],[Sew. 2015]]+Tabel6689172627[[#This Row],[WW 2015]]+Tabel6689172627[[#This Row],[Other ch. 2015]]+Tabel6689172627[[#This Row],[VAT 2015]]</f>
        <v>798.0542419556898</v>
      </c>
      <c r="Q159" s="397"/>
      <c r="R159" s="2258">
        <f t="shared" ref="R159:W159" si="49">SUM(F159:F161)/3</f>
        <v>115.6093285027971</v>
      </c>
      <c r="S159" s="2271">
        <f t="shared" si="49"/>
        <v>137.16616066423634</v>
      </c>
      <c r="T159" s="2272">
        <f t="shared" si="49"/>
        <v>6.9448363298458666</v>
      </c>
      <c r="U159" s="2274">
        <f t="shared" si="49"/>
        <v>259.7203254968793</v>
      </c>
      <c r="V159" s="2276">
        <f t="shared" si="49"/>
        <v>333.59291822323547</v>
      </c>
      <c r="W159" s="2278">
        <f t="shared" si="49"/>
        <v>0</v>
      </c>
      <c r="X159" s="2280">
        <f>SUM(M159:M161)/3</f>
        <v>0</v>
      </c>
      <c r="Y159" s="2282">
        <f t="shared" ref="Y159" si="50">SUM(O159:O161)/3</f>
        <v>148.32078673032137</v>
      </c>
      <c r="Z159" s="1793">
        <f>SUM(P159:P161)/3</f>
        <v>741.63403045043617</v>
      </c>
      <c r="AA159" s="397"/>
      <c r="AB159" s="591" t="s">
        <v>429</v>
      </c>
      <c r="AC159" s="591" t="s">
        <v>429</v>
      </c>
      <c r="AD159" s="591"/>
      <c r="AE159" s="591"/>
      <c r="AF159" s="591" t="s">
        <v>429</v>
      </c>
      <c r="AG159" s="591" t="s">
        <v>429</v>
      </c>
      <c r="AH159" s="614"/>
      <c r="AI159" s="397"/>
    </row>
    <row r="160" spans="1:35" ht="16.5" customHeight="1" x14ac:dyDescent="0.25">
      <c r="A160" s="2294"/>
      <c r="B160" s="1213"/>
      <c r="C160" s="543" t="s">
        <v>126</v>
      </c>
      <c r="D160" s="1760"/>
      <c r="F160" s="549">
        <v>35.438980621423653</v>
      </c>
      <c r="G160" s="550">
        <v>225.04881324560114</v>
      </c>
      <c r="H160" s="551">
        <v>0</v>
      </c>
      <c r="I160" s="566">
        <f>Tabel6689172627[[#This Row],[Fix.ch. 2015]]+Tabel6689172627[[#This Row],[Var. ch. 2015]]+Tabel6689172627[[#This Row],[Oth. ch. DW 2015]]</f>
        <v>260.48779386702478</v>
      </c>
      <c r="J160" s="567">
        <v>337.68608286401138</v>
      </c>
      <c r="K160" s="568">
        <v>0</v>
      </c>
      <c r="L160" s="568"/>
      <c r="M160" s="569">
        <v>0</v>
      </c>
      <c r="N160" s="1270">
        <f>Tabel6689172627[[#This Row],[Sew. 2015]]+Tabel6689172627[[#This Row],[WW 2015]]+Tabel6689172627[[#This Row],[Other ch. 2015]]</f>
        <v>337.68608286401138</v>
      </c>
      <c r="O160" s="1271">
        <v>149.54346918275905</v>
      </c>
      <c r="P160" s="571">
        <f>Tabel6689172627[[#This Row],[Total. ch. DW 2015]]+Tabel6689172627[[#This Row],[Sew. 2015]]+Tabel6689172627[[#This Row],[WW 2015]]+Tabel6689172627[[#This Row],[Other ch. 2015]]+Tabel6689172627[[#This Row],[VAT 2015]]</f>
        <v>747.71734591379527</v>
      </c>
      <c r="Q160" s="397"/>
      <c r="R160" s="2081"/>
      <c r="S160" s="2097"/>
      <c r="T160" s="2100"/>
      <c r="U160" s="2106"/>
      <c r="V160" s="2109"/>
      <c r="W160" s="2120"/>
      <c r="X160" s="2123"/>
      <c r="Y160" s="2126"/>
      <c r="Z160" s="1791"/>
      <c r="AA160" s="397"/>
      <c r="AB160" s="591" t="s">
        <v>429</v>
      </c>
      <c r="AC160" s="591" t="s">
        <v>429</v>
      </c>
      <c r="AD160" s="591"/>
      <c r="AE160" s="591"/>
      <c r="AF160" s="591" t="s">
        <v>429</v>
      </c>
      <c r="AG160" s="591" t="s">
        <v>429</v>
      </c>
      <c r="AH160" s="614"/>
      <c r="AI160" s="397"/>
    </row>
    <row r="161" spans="1:35" ht="18" customHeight="1" thickBot="1" x14ac:dyDescent="0.3">
      <c r="A161" s="2295"/>
      <c r="B161" s="1213"/>
      <c r="C161" s="543" t="s">
        <v>127</v>
      </c>
      <c r="D161" s="1761"/>
      <c r="F161" s="549">
        <v>33.858898682888842</v>
      </c>
      <c r="G161" s="550">
        <v>186.44966874710786</v>
      </c>
      <c r="H161" s="551">
        <v>20.8345089895376</v>
      </c>
      <c r="I161" s="566">
        <f>Tabel6689172627[[#This Row],[Fix.ch. 2015]]+Tabel6689172627[[#This Row],[Var. ch. 2015]]+Tabel6689172627[[#This Row],[Oth. ch. DW 2015]]</f>
        <v>241.14307641953431</v>
      </c>
      <c r="J161" s="567">
        <v>302.15681184609997</v>
      </c>
      <c r="K161" s="568">
        <v>0</v>
      </c>
      <c r="L161" s="568"/>
      <c r="M161" s="569">
        <v>0</v>
      </c>
      <c r="N161" s="1270">
        <f>Tabel6689172627[[#This Row],[Sew. 2015]]+Tabel6689172627[[#This Row],[WW 2015]]+Tabel6689172627[[#This Row],[Other ch. 2015]]</f>
        <v>302.15681184609997</v>
      </c>
      <c r="O161" s="1271">
        <v>135.83061521618907</v>
      </c>
      <c r="P161" s="571">
        <f>Tabel6689172627[[#This Row],[Total. ch. DW 2015]]+Tabel6689172627[[#This Row],[Sew. 2015]]+Tabel6689172627[[#This Row],[WW 2015]]+Tabel6689172627[[#This Row],[Other ch. 2015]]+Tabel6689172627[[#This Row],[VAT 2015]]</f>
        <v>679.13050348182333</v>
      </c>
      <c r="Q161" s="397"/>
      <c r="R161" s="2270"/>
      <c r="S161" s="2132"/>
      <c r="T161" s="2273"/>
      <c r="U161" s="2275"/>
      <c r="V161" s="2277"/>
      <c r="W161" s="2279"/>
      <c r="X161" s="2281"/>
      <c r="Y161" s="2283"/>
      <c r="Z161" s="1794"/>
      <c r="AA161" s="397"/>
      <c r="AB161" s="591" t="s">
        <v>429</v>
      </c>
      <c r="AC161" s="591" t="s">
        <v>429</v>
      </c>
      <c r="AD161" s="591"/>
      <c r="AE161" s="591"/>
      <c r="AF161" s="591" t="s">
        <v>429</v>
      </c>
      <c r="AG161" s="591" t="s">
        <v>429</v>
      </c>
      <c r="AH161" s="614"/>
      <c r="AI161" s="397"/>
    </row>
    <row r="162" spans="1:35" ht="15.75" x14ac:dyDescent="0.25">
      <c r="A162" s="1818" t="s">
        <v>22</v>
      </c>
      <c r="B162" s="1213"/>
      <c r="C162" s="1446" t="s">
        <v>128</v>
      </c>
      <c r="D162" s="1759">
        <v>26400</v>
      </c>
      <c r="F162" s="549">
        <v>0</v>
      </c>
      <c r="G162" s="550" t="e">
        <f>1102/E162</f>
        <v>#DIV/0!</v>
      </c>
      <c r="H162" s="551">
        <v>0</v>
      </c>
      <c r="I162" s="566" t="e">
        <f>Tabel6689172627[[#This Row],[Fix.ch. 2015]]+Tabel6689172627[[#This Row],[Var. ch. 2015]]+Tabel6689172627[[#This Row],[Oth. ch. DW 2015]]</f>
        <v>#DIV/0!</v>
      </c>
      <c r="J162" s="567">
        <v>0</v>
      </c>
      <c r="K162" s="568" t="e">
        <f>1098/E162</f>
        <v>#DIV/0!</v>
      </c>
      <c r="L162" s="568"/>
      <c r="M162" s="569">
        <v>0</v>
      </c>
      <c r="N162" s="1270" t="e">
        <f>Tabel6689172627[[#This Row],[Sew. 2015]]+Tabel6689172627[[#This Row],[WW 2015]]+Tabel6689172627[[#This Row],[Other ch. 2015]]</f>
        <v>#DIV/0!</v>
      </c>
      <c r="O162" s="1271">
        <v>0</v>
      </c>
      <c r="P162" s="571" t="e">
        <f>Tabel6689172627[[#This Row],[Total. ch. DW 2015]]+Tabel6689172627[[#This Row],[Sew. 2015]]+Tabel6689172627[[#This Row],[WW 2015]]+Tabel6689172627[[#This Row],[Other ch. 2015]]+Tabel6689172627[[#This Row],[VAT 2015]]</f>
        <v>#DIV/0!</v>
      </c>
      <c r="Q162" s="397"/>
      <c r="R162" s="1762" t="e">
        <f t="shared" ref="R162:W162" si="51">SUM(F162:F166)/5</f>
        <v>#DIV/0!</v>
      </c>
      <c r="S162" s="1765" t="e">
        <f t="shared" si="51"/>
        <v>#DIV/0!</v>
      </c>
      <c r="T162" s="1768" t="e">
        <f t="shared" si="51"/>
        <v>#DIV/0!</v>
      </c>
      <c r="U162" s="1774" t="e">
        <f t="shared" si="51"/>
        <v>#DIV/0!</v>
      </c>
      <c r="V162" s="1777">
        <f t="shared" si="51"/>
        <v>0</v>
      </c>
      <c r="W162" s="1810" t="e">
        <f t="shared" si="51"/>
        <v>#DIV/0!</v>
      </c>
      <c r="X162" s="1812" t="e">
        <f>SUM(M162:M166)/5</f>
        <v>#DIV/0!</v>
      </c>
      <c r="Y162" s="1814">
        <f t="shared" ref="Y162:Z162" si="52">SUM(O162:O166)/5</f>
        <v>0</v>
      </c>
      <c r="Z162" s="1793" t="e">
        <f t="shared" si="52"/>
        <v>#DIV/0!</v>
      </c>
      <c r="AA162" s="397"/>
      <c r="AB162" s="398"/>
      <c r="AC162" s="591" t="s">
        <v>429</v>
      </c>
      <c r="AD162" s="398"/>
      <c r="AE162" s="398"/>
      <c r="AF162" s="398"/>
      <c r="AG162" s="398"/>
      <c r="AH162" s="398"/>
      <c r="AI162" s="397"/>
    </row>
    <row r="163" spans="1:35" ht="15.75" x14ac:dyDescent="0.25">
      <c r="A163" s="2294"/>
      <c r="B163" s="1213"/>
      <c r="C163" s="543" t="s">
        <v>129</v>
      </c>
      <c r="D163" s="1880"/>
      <c r="F163" s="549">
        <v>0</v>
      </c>
      <c r="G163" s="550" t="e">
        <f>858/E163</f>
        <v>#DIV/0!</v>
      </c>
      <c r="H163" s="551">
        <v>0</v>
      </c>
      <c r="I163" s="566" t="e">
        <f>Tabel6689172627[[#This Row],[Fix.ch. 2015]]+Tabel6689172627[[#This Row],[Var. ch. 2015]]+Tabel6689172627[[#This Row],[Oth. ch. DW 2015]]</f>
        <v>#DIV/0!</v>
      </c>
      <c r="J163" s="567">
        <v>0</v>
      </c>
      <c r="K163" s="568" t="e">
        <f>1002/E163</f>
        <v>#DIV/0!</v>
      </c>
      <c r="L163" s="568"/>
      <c r="M163" s="569">
        <v>0</v>
      </c>
      <c r="N163" s="1270" t="e">
        <f>Tabel6689172627[[#This Row],[Sew. 2015]]+Tabel6689172627[[#This Row],[WW 2015]]+Tabel6689172627[[#This Row],[Other ch. 2015]]</f>
        <v>#DIV/0!</v>
      </c>
      <c r="O163" s="1271">
        <v>0</v>
      </c>
      <c r="P163" s="571" t="e">
        <f>Tabel6689172627[[#This Row],[Total. ch. DW 2015]]+Tabel6689172627[[#This Row],[Sew. 2015]]+Tabel6689172627[[#This Row],[WW 2015]]+Tabel6689172627[[#This Row],[Other ch. 2015]]+Tabel6689172627[[#This Row],[VAT 2015]]</f>
        <v>#DIV/0!</v>
      </c>
      <c r="Q163" s="397"/>
      <c r="R163" s="1886"/>
      <c r="S163" s="1888"/>
      <c r="T163" s="1890"/>
      <c r="U163" s="1892"/>
      <c r="V163" s="1894"/>
      <c r="W163" s="1911"/>
      <c r="X163" s="1913"/>
      <c r="Y163" s="1915"/>
      <c r="Z163" s="1832"/>
      <c r="AA163" s="397"/>
      <c r="AB163" s="398"/>
      <c r="AC163" s="591" t="s">
        <v>429</v>
      </c>
      <c r="AD163" s="398"/>
      <c r="AE163" s="398"/>
      <c r="AF163" s="398"/>
      <c r="AG163" s="398"/>
      <c r="AH163" s="398"/>
      <c r="AI163" s="397"/>
    </row>
    <row r="164" spans="1:35" ht="15.75" x14ac:dyDescent="0.25">
      <c r="A164" s="2294"/>
      <c r="B164" s="1213"/>
      <c r="C164" s="543" t="s">
        <v>130</v>
      </c>
      <c r="D164" s="1880"/>
      <c r="F164" s="549" t="e">
        <f>((3.57/E164)*12)*2</f>
        <v>#DIV/0!</v>
      </c>
      <c r="G164" s="550" t="e">
        <f>1292/E164</f>
        <v>#DIV/0!</v>
      </c>
      <c r="H164" s="551">
        <v>0</v>
      </c>
      <c r="I164" s="566" t="e">
        <f>Tabel6689172627[[#This Row],[Fix.ch. 2015]]+Tabel6689172627[[#This Row],[Var. ch. 2015]]+Tabel6689172627[[#This Row],[Oth. ch. DW 2015]]</f>
        <v>#DIV/0!</v>
      </c>
      <c r="J164" s="567">
        <v>0</v>
      </c>
      <c r="K164" s="568" t="e">
        <f>1292/E164</f>
        <v>#DIV/0!</v>
      </c>
      <c r="L164" s="568"/>
      <c r="M164" s="569" t="e">
        <f>((3.57/E164)*12)*2</f>
        <v>#DIV/0!</v>
      </c>
      <c r="N164" s="1270" t="e">
        <f>Tabel6689172627[[#This Row],[Sew. 2015]]+Tabel6689172627[[#This Row],[WW 2015]]+Tabel6689172627[[#This Row],[Other ch. 2015]]</f>
        <v>#DIV/0!</v>
      </c>
      <c r="O164" s="1271">
        <v>0</v>
      </c>
      <c r="P164" s="571" t="e">
        <f>Tabel6689172627[[#This Row],[Total. ch. DW 2015]]+Tabel6689172627[[#This Row],[Sew. 2015]]+Tabel6689172627[[#This Row],[WW 2015]]+Tabel6689172627[[#This Row],[Other ch. 2015]]+Tabel6689172627[[#This Row],[VAT 2015]]</f>
        <v>#DIV/0!</v>
      </c>
      <c r="Q164" s="397"/>
      <c r="R164" s="1886"/>
      <c r="S164" s="1888"/>
      <c r="T164" s="1890"/>
      <c r="U164" s="1892"/>
      <c r="V164" s="1894"/>
      <c r="W164" s="1911"/>
      <c r="X164" s="1913"/>
      <c r="Y164" s="1915"/>
      <c r="Z164" s="1832"/>
      <c r="AA164" s="397"/>
      <c r="AB164" s="591" t="s">
        <v>429</v>
      </c>
      <c r="AC164" s="591" t="s">
        <v>429</v>
      </c>
      <c r="AD164" s="398"/>
      <c r="AE164" s="398"/>
      <c r="AF164" s="398"/>
      <c r="AG164" s="398"/>
      <c r="AH164" s="398"/>
      <c r="AI164" s="397"/>
    </row>
    <row r="165" spans="1:35" ht="15.75" x14ac:dyDescent="0.25">
      <c r="A165" s="2294"/>
      <c r="B165" s="1213"/>
      <c r="C165" s="543" t="s">
        <v>131</v>
      </c>
      <c r="D165" s="1880"/>
      <c r="F165" s="549">
        <v>0</v>
      </c>
      <c r="G165" s="550" t="e">
        <f>684/E165</f>
        <v>#DIV/0!</v>
      </c>
      <c r="H165" s="551">
        <v>0</v>
      </c>
      <c r="I165" s="566" t="e">
        <f>Tabel6689172627[[#This Row],[Fix.ch. 2015]]+Tabel6689172627[[#This Row],[Var. ch. 2015]]+Tabel6689172627[[#This Row],[Oth. ch. DW 2015]]</f>
        <v>#DIV/0!</v>
      </c>
      <c r="J165" s="567">
        <v>0</v>
      </c>
      <c r="K165" s="568" t="e">
        <f>674/E165</f>
        <v>#DIV/0!</v>
      </c>
      <c r="L165" s="568"/>
      <c r="M165" s="569">
        <v>0</v>
      </c>
      <c r="N165" s="1270" t="e">
        <f>Tabel6689172627[[#This Row],[Sew. 2015]]+Tabel6689172627[[#This Row],[WW 2015]]+Tabel6689172627[[#This Row],[Other ch. 2015]]</f>
        <v>#DIV/0!</v>
      </c>
      <c r="O165" s="1271">
        <v>0</v>
      </c>
      <c r="P165" s="571" t="e">
        <f>Tabel6689172627[[#This Row],[Total. ch. DW 2015]]+Tabel6689172627[[#This Row],[Sew. 2015]]+Tabel6689172627[[#This Row],[WW 2015]]+Tabel6689172627[[#This Row],[Other ch. 2015]]+Tabel6689172627[[#This Row],[VAT 2015]]</f>
        <v>#DIV/0!</v>
      </c>
      <c r="Q165" s="397"/>
      <c r="R165" s="1886"/>
      <c r="S165" s="1888"/>
      <c r="T165" s="1890"/>
      <c r="U165" s="1892"/>
      <c r="V165" s="1894"/>
      <c r="W165" s="1911"/>
      <c r="X165" s="1913"/>
      <c r="Y165" s="1915"/>
      <c r="Z165" s="1832"/>
      <c r="AA165" s="397"/>
      <c r="AB165" s="591"/>
      <c r="AC165" s="591" t="s">
        <v>429</v>
      </c>
      <c r="AD165" s="398"/>
      <c r="AE165" s="398"/>
      <c r="AF165" s="398"/>
      <c r="AG165" s="398"/>
      <c r="AH165" s="398"/>
      <c r="AI165" s="397"/>
    </row>
    <row r="166" spans="1:35" ht="16.5" thickBot="1" x14ac:dyDescent="0.3">
      <c r="A166" s="2295"/>
      <c r="B166" s="1213"/>
      <c r="C166" s="543" t="s">
        <v>132</v>
      </c>
      <c r="D166" s="1761"/>
      <c r="F166" s="549">
        <v>0</v>
      </c>
      <c r="G166" s="550" t="e">
        <f>630/E166</f>
        <v>#DIV/0!</v>
      </c>
      <c r="H166" s="551" t="e">
        <f>((2.31/E166)*12)*2</f>
        <v>#DIV/0!</v>
      </c>
      <c r="I166" s="566" t="e">
        <f>Tabel6689172627[[#This Row],[Fix.ch. 2015]]+Tabel6689172627[[#This Row],[Var. ch. 2015]]+Tabel6689172627[[#This Row],[Oth. ch. DW 2015]]</f>
        <v>#DIV/0!</v>
      </c>
      <c r="J166" s="567">
        <v>0</v>
      </c>
      <c r="K166" s="568" t="e">
        <f>1168/E166</f>
        <v>#DIV/0!</v>
      </c>
      <c r="L166" s="568"/>
      <c r="M166" s="569" t="e">
        <f>((7.54/E166)*12)*2</f>
        <v>#DIV/0!</v>
      </c>
      <c r="N166" s="1270" t="e">
        <f>Tabel6689172627[[#This Row],[Sew. 2015]]+Tabel6689172627[[#This Row],[WW 2015]]+Tabel6689172627[[#This Row],[Other ch. 2015]]</f>
        <v>#DIV/0!</v>
      </c>
      <c r="O166" s="1271">
        <v>0</v>
      </c>
      <c r="P166" s="571" t="e">
        <f>Tabel6689172627[[#This Row],[Total. ch. DW 2015]]+Tabel6689172627[[#This Row],[Sew. 2015]]+Tabel6689172627[[#This Row],[WW 2015]]+Tabel6689172627[[#This Row],[Other ch. 2015]]+Tabel6689172627[[#This Row],[VAT 2015]]</f>
        <v>#DIV/0!</v>
      </c>
      <c r="Q166" s="397"/>
      <c r="R166" s="1764"/>
      <c r="S166" s="1767"/>
      <c r="T166" s="1770"/>
      <c r="U166" s="1776"/>
      <c r="V166" s="1779"/>
      <c r="W166" s="1811"/>
      <c r="X166" s="1813"/>
      <c r="Y166" s="1815"/>
      <c r="Z166" s="1794"/>
      <c r="AA166" s="397"/>
      <c r="AB166" s="591" t="s">
        <v>429</v>
      </c>
      <c r="AC166" s="591" t="s">
        <v>429</v>
      </c>
      <c r="AD166" s="398"/>
      <c r="AE166" s="398"/>
      <c r="AF166" s="398"/>
      <c r="AG166" s="398"/>
      <c r="AH166" s="398"/>
      <c r="AI166" s="397"/>
    </row>
    <row r="167" spans="1:35" ht="15.75" x14ac:dyDescent="0.25">
      <c r="A167" s="1878" t="s">
        <v>23</v>
      </c>
      <c r="B167" s="1213"/>
      <c r="C167" s="693" t="s">
        <v>133</v>
      </c>
      <c r="D167" s="1759">
        <v>27800</v>
      </c>
      <c r="F167" s="549" t="e">
        <f>51.48/E167</f>
        <v>#DIV/0!</v>
      </c>
      <c r="G167" s="550" t="e">
        <f>123.61/E167</f>
        <v>#DIV/0!</v>
      </c>
      <c r="H167" s="551" t="e">
        <f>22.24/E167</f>
        <v>#DIV/0!</v>
      </c>
      <c r="I167" s="566" t="e">
        <f>Tabel6689172627[[#This Row],[Fix.ch. 2015]]+Tabel6689172627[[#This Row],[Var. ch. 2015]]+Tabel6689172627[[#This Row],[Oth. ch. DW 2015]]</f>
        <v>#DIV/0!</v>
      </c>
      <c r="J167" s="567">
        <v>0</v>
      </c>
      <c r="K167" s="568" t="e">
        <f>59.48/E167</f>
        <v>#DIV/0!</v>
      </c>
      <c r="L167" s="568"/>
      <c r="M167" s="569" t="e">
        <f>5.92/E167</f>
        <v>#DIV/0!</v>
      </c>
      <c r="N167" s="1270" t="e">
        <f>Tabel6689172627[[#This Row],[Sew. 2015]]+Tabel6689172627[[#This Row],[WW 2015]]+Tabel6689172627[[#This Row],[Other ch. 2015]]</f>
        <v>#DIV/0!</v>
      </c>
      <c r="O167" s="1271" t="e">
        <f>10.86/E167</f>
        <v>#DIV/0!</v>
      </c>
      <c r="P167" s="571" t="e">
        <f>Tabel6689172627[[#This Row],[Total. ch. DW 2015]]+Tabel6689172627[[#This Row],[Sew. 2015]]+Tabel6689172627[[#This Row],[WW 2015]]+Tabel6689172627[[#This Row],[Other ch. 2015]]+Tabel6689172627[[#This Row],[VAT 2015]]</f>
        <v>#DIV/0!</v>
      </c>
      <c r="Q167" s="397"/>
      <c r="R167" s="1762" t="e">
        <f t="shared" ref="R167:W167" si="53">SUM(F167:F173)/7</f>
        <v>#DIV/0!</v>
      </c>
      <c r="S167" s="1765" t="e">
        <f t="shared" si="53"/>
        <v>#DIV/0!</v>
      </c>
      <c r="T167" s="1768" t="e">
        <f t="shared" si="53"/>
        <v>#DIV/0!</v>
      </c>
      <c r="U167" s="1774" t="e">
        <f t="shared" si="53"/>
        <v>#DIV/0!</v>
      </c>
      <c r="V167" s="1777">
        <f t="shared" si="53"/>
        <v>0</v>
      </c>
      <c r="W167" s="1810" t="e">
        <f t="shared" si="53"/>
        <v>#DIV/0!</v>
      </c>
      <c r="X167" s="1812" t="e">
        <f>SUM(M167:M173)/7</f>
        <v>#DIV/0!</v>
      </c>
      <c r="Y167" s="1814" t="e">
        <f t="shared" ref="Y167:Z167" si="54">SUM(O167:O173)/7</f>
        <v>#DIV/0!</v>
      </c>
      <c r="Z167" s="1793" t="e">
        <f t="shared" si="54"/>
        <v>#DIV/0!</v>
      </c>
      <c r="AA167" s="397"/>
      <c r="AB167" s="398"/>
      <c r="AC167" s="398"/>
      <c r="AD167" s="398"/>
      <c r="AE167" s="591" t="s">
        <v>429</v>
      </c>
      <c r="AF167" s="591" t="s">
        <v>429</v>
      </c>
      <c r="AG167" s="398"/>
      <c r="AH167" s="398"/>
      <c r="AI167" s="397"/>
    </row>
    <row r="168" spans="1:35" ht="15.75" x14ac:dyDescent="0.25">
      <c r="A168" s="1757"/>
      <c r="B168" s="1213"/>
      <c r="C168" s="639" t="s">
        <v>134</v>
      </c>
      <c r="D168" s="1760"/>
      <c r="F168" s="549" t="e">
        <f>48.84/E168</f>
        <v>#DIV/0!</v>
      </c>
      <c r="G168" s="550" t="e">
        <f>183.47/E168</f>
        <v>#DIV/0!</v>
      </c>
      <c r="H168" s="551">
        <v>0</v>
      </c>
      <c r="I168" s="566" t="e">
        <f>Tabel6689172627[[#This Row],[Fix.ch. 2015]]+Tabel6689172627[[#This Row],[Var. ch. 2015]]+Tabel6689172627[[#This Row],[Oth. ch. DW 2015]]</f>
        <v>#DIV/0!</v>
      </c>
      <c r="J168" s="567">
        <v>0</v>
      </c>
      <c r="K168" s="568" t="e">
        <f>207.12/E168</f>
        <v>#DIV/0!</v>
      </c>
      <c r="L168" s="568"/>
      <c r="M168" s="569" t="e">
        <f>20.5/E168</f>
        <v>#DIV/0!</v>
      </c>
      <c r="N168" s="1270" t="e">
        <f>Tabel6689172627[[#This Row],[Sew. 2015]]+Tabel6689172627[[#This Row],[WW 2015]]+Tabel6689172627[[#This Row],[Other ch. 2015]]</f>
        <v>#DIV/0!</v>
      </c>
      <c r="O168" s="1271" t="e">
        <f>15.17/E168</f>
        <v>#DIV/0!</v>
      </c>
      <c r="P168" s="571" t="e">
        <f>Tabel6689172627[[#This Row],[Total. ch. DW 2015]]+Tabel6689172627[[#This Row],[Sew. 2015]]+Tabel6689172627[[#This Row],[WW 2015]]+Tabel6689172627[[#This Row],[Other ch. 2015]]+Tabel6689172627[[#This Row],[VAT 2015]]</f>
        <v>#DIV/0!</v>
      </c>
      <c r="Q168" s="397"/>
      <c r="R168" s="1763"/>
      <c r="S168" s="1766"/>
      <c r="T168" s="1769"/>
      <c r="U168" s="1775"/>
      <c r="V168" s="1778"/>
      <c r="W168" s="1781"/>
      <c r="X168" s="1785"/>
      <c r="Y168" s="1788"/>
      <c r="Z168" s="1791"/>
      <c r="AA168" s="397"/>
      <c r="AB168" s="398"/>
      <c r="AC168" s="398"/>
      <c r="AD168" s="398"/>
      <c r="AE168" s="591" t="s">
        <v>429</v>
      </c>
      <c r="AF168" s="591" t="s">
        <v>429</v>
      </c>
      <c r="AG168" s="398"/>
      <c r="AH168" s="398"/>
      <c r="AI168" s="397"/>
    </row>
    <row r="169" spans="1:35" ht="15.75" x14ac:dyDescent="0.25">
      <c r="A169" s="1757"/>
      <c r="B169" s="1213"/>
      <c r="C169" s="639" t="s">
        <v>135</v>
      </c>
      <c r="D169" s="1760"/>
      <c r="F169" s="549" t="e">
        <f>41.11/E169</f>
        <v>#DIV/0!</v>
      </c>
      <c r="G169" s="550" t="e">
        <f>190.24/E169</f>
        <v>#DIV/0!</v>
      </c>
      <c r="H169" s="551">
        <v>0</v>
      </c>
      <c r="I169" s="566" t="e">
        <f>Tabel6689172627[[#This Row],[Fix.ch. 2015]]+Tabel6689172627[[#This Row],[Var. ch. 2015]]+Tabel6689172627[[#This Row],[Oth. ch. DW 2015]]</f>
        <v>#DIV/0!</v>
      </c>
      <c r="J169" s="567">
        <v>0</v>
      </c>
      <c r="K169" s="568" t="e">
        <f>90.54/E169</f>
        <v>#DIV/0!</v>
      </c>
      <c r="L169" s="568"/>
      <c r="M169" s="569" t="e">
        <f>6.14/E169</f>
        <v>#DIV/0!</v>
      </c>
      <c r="N169" s="1270" t="e">
        <f>Tabel6689172627[[#This Row],[Sew. 2015]]+Tabel6689172627[[#This Row],[WW 2015]]+Tabel6689172627[[#This Row],[Other ch. 2015]]</f>
        <v>#DIV/0!</v>
      </c>
      <c r="O169" s="1271" t="e">
        <f>19.68/E169</f>
        <v>#DIV/0!</v>
      </c>
      <c r="P169" s="571" t="e">
        <f>Tabel6689172627[[#This Row],[Total. ch. DW 2015]]+Tabel6689172627[[#This Row],[Sew. 2015]]+Tabel6689172627[[#This Row],[WW 2015]]+Tabel6689172627[[#This Row],[Other ch. 2015]]+Tabel6689172627[[#This Row],[VAT 2015]]</f>
        <v>#DIV/0!</v>
      </c>
      <c r="Q169" s="397"/>
      <c r="R169" s="1763"/>
      <c r="S169" s="1766"/>
      <c r="T169" s="1769"/>
      <c r="U169" s="1775"/>
      <c r="V169" s="1778"/>
      <c r="W169" s="1781"/>
      <c r="X169" s="1785"/>
      <c r="Y169" s="1788"/>
      <c r="Z169" s="1791"/>
      <c r="AA169" s="397"/>
      <c r="AB169" s="398"/>
      <c r="AC169" s="398"/>
      <c r="AD169" s="398"/>
      <c r="AE169" s="591" t="s">
        <v>429</v>
      </c>
      <c r="AF169" s="591" t="s">
        <v>429</v>
      </c>
      <c r="AG169" s="398"/>
      <c r="AH169" s="398"/>
      <c r="AI169" s="397"/>
    </row>
    <row r="170" spans="1:35" ht="15.75" x14ac:dyDescent="0.25">
      <c r="A170" s="1757"/>
      <c r="B170" s="1213"/>
      <c r="C170" s="639" t="s">
        <v>136</v>
      </c>
      <c r="D170" s="1760"/>
      <c r="F170" s="549" t="e">
        <f>37.14/E170</f>
        <v>#DIV/0!</v>
      </c>
      <c r="G170" s="550" t="e">
        <f>208.54/E170</f>
        <v>#DIV/0!</v>
      </c>
      <c r="H170" s="551">
        <v>0</v>
      </c>
      <c r="I170" s="566" t="e">
        <f>Tabel6689172627[[#This Row],[Fix.ch. 2015]]+Tabel6689172627[[#This Row],[Var. ch. 2015]]+Tabel6689172627[[#This Row],[Oth. ch. DW 2015]]</f>
        <v>#DIV/0!</v>
      </c>
      <c r="J170" s="567">
        <v>0</v>
      </c>
      <c r="K170" s="568" t="e">
        <f>210.48/E170</f>
        <v>#DIV/0!</v>
      </c>
      <c r="L170" s="568"/>
      <c r="M170" s="569" t="e">
        <f>9.46/E170</f>
        <v>#DIV/0!</v>
      </c>
      <c r="N170" s="1270" t="e">
        <f>Tabel6689172627[[#This Row],[Sew. 2015]]+Tabel6689172627[[#This Row],[WW 2015]]+Tabel6689172627[[#This Row],[Other ch. 2015]]</f>
        <v>#DIV/0!</v>
      </c>
      <c r="O170" s="1271" t="e">
        <f>15.31/E170</f>
        <v>#DIV/0!</v>
      </c>
      <c r="P170" s="571" t="e">
        <f>Tabel6689172627[[#This Row],[Total. ch. DW 2015]]+Tabel6689172627[[#This Row],[Sew. 2015]]+Tabel6689172627[[#This Row],[WW 2015]]+Tabel6689172627[[#This Row],[Other ch. 2015]]+Tabel6689172627[[#This Row],[VAT 2015]]</f>
        <v>#DIV/0!</v>
      </c>
      <c r="Q170" s="397"/>
      <c r="R170" s="1763"/>
      <c r="S170" s="1766"/>
      <c r="T170" s="1769"/>
      <c r="U170" s="1775"/>
      <c r="V170" s="1778"/>
      <c r="W170" s="1781"/>
      <c r="X170" s="1785"/>
      <c r="Y170" s="1788"/>
      <c r="Z170" s="1791"/>
      <c r="AA170" s="397"/>
      <c r="AB170" s="398"/>
      <c r="AC170" s="398"/>
      <c r="AD170" s="398"/>
      <c r="AE170" s="591" t="s">
        <v>429</v>
      </c>
      <c r="AF170" s="591" t="s">
        <v>429</v>
      </c>
      <c r="AG170" s="398"/>
      <c r="AH170" s="398"/>
      <c r="AI170" s="397"/>
    </row>
    <row r="171" spans="1:35" ht="15.75" x14ac:dyDescent="0.25">
      <c r="A171" s="1757"/>
      <c r="B171" s="1213"/>
      <c r="C171" s="639" t="s">
        <v>137</v>
      </c>
      <c r="D171" s="1760"/>
      <c r="F171" s="549" t="e">
        <f>56.28/E171</f>
        <v>#DIV/0!</v>
      </c>
      <c r="G171" s="550" t="e">
        <f>153.8/E171</f>
        <v>#DIV/0!</v>
      </c>
      <c r="H171" s="551">
        <v>0</v>
      </c>
      <c r="I171" s="566" t="e">
        <f>Tabel6689172627[[#This Row],[Fix.ch. 2015]]+Tabel6689172627[[#This Row],[Var. ch. 2015]]+Tabel6689172627[[#This Row],[Oth. ch. DW 2015]]</f>
        <v>#DIV/0!</v>
      </c>
      <c r="J171" s="567">
        <v>0</v>
      </c>
      <c r="K171" s="568" t="e">
        <f>138.32/E171</f>
        <v>#DIV/0!</v>
      </c>
      <c r="L171" s="568"/>
      <c r="M171" s="569" t="e">
        <f>6.12/E171</f>
        <v>#DIV/0!</v>
      </c>
      <c r="N171" s="1270" t="e">
        <f>Tabel6689172627[[#This Row],[Sew. 2015]]+Tabel6689172627[[#This Row],[WW 2015]]+Tabel6689172627[[#This Row],[Other ch. 2015]]</f>
        <v>#DIV/0!</v>
      </c>
      <c r="O171" s="1271" t="e">
        <f>21.27/E171</f>
        <v>#DIV/0!</v>
      </c>
      <c r="P171" s="571" t="e">
        <f>Tabel6689172627[[#This Row],[Total. ch. DW 2015]]+Tabel6689172627[[#This Row],[Sew. 2015]]+Tabel6689172627[[#This Row],[WW 2015]]+Tabel6689172627[[#This Row],[Other ch. 2015]]+Tabel6689172627[[#This Row],[VAT 2015]]</f>
        <v>#DIV/0!</v>
      </c>
      <c r="Q171" s="397"/>
      <c r="R171" s="1763"/>
      <c r="S171" s="1766"/>
      <c r="T171" s="1769"/>
      <c r="U171" s="1775"/>
      <c r="V171" s="1778"/>
      <c r="W171" s="1781"/>
      <c r="X171" s="1785"/>
      <c r="Y171" s="1788"/>
      <c r="Z171" s="1791"/>
      <c r="AA171" s="397"/>
      <c r="AB171" s="398"/>
      <c r="AC171" s="398"/>
      <c r="AD171" s="398"/>
      <c r="AE171" s="591" t="s">
        <v>429</v>
      </c>
      <c r="AF171" s="591" t="s">
        <v>429</v>
      </c>
      <c r="AG171" s="398"/>
      <c r="AH171" s="398"/>
      <c r="AI171" s="397"/>
    </row>
    <row r="172" spans="1:35" ht="15.75" x14ac:dyDescent="0.25">
      <c r="A172" s="1757"/>
      <c r="B172" s="1213"/>
      <c r="C172" s="639" t="s">
        <v>138</v>
      </c>
      <c r="D172" s="1760"/>
      <c r="F172" s="549" t="e">
        <f>46.74/E172</f>
        <v>#DIV/0!</v>
      </c>
      <c r="G172" s="550" t="e">
        <f>162.36/E172</f>
        <v>#DIV/0!</v>
      </c>
      <c r="H172" s="551">
        <v>0</v>
      </c>
      <c r="I172" s="566" t="e">
        <f>Tabel6689172627[[#This Row],[Fix.ch. 2015]]+Tabel6689172627[[#This Row],[Var. ch. 2015]]+Tabel6689172627[[#This Row],[Oth. ch. DW 2015]]</f>
        <v>#DIV/0!</v>
      </c>
      <c r="J172" s="567">
        <v>0</v>
      </c>
      <c r="K172" s="568" t="e">
        <f>152.33/E172</f>
        <v>#DIV/0!</v>
      </c>
      <c r="L172" s="568"/>
      <c r="M172" s="569" t="e">
        <f>8.2/E172</f>
        <v>#DIV/0!</v>
      </c>
      <c r="N172" s="1270" t="e">
        <f>Tabel6689172627[[#This Row],[Sew. 2015]]+Tabel6689172627[[#This Row],[WW 2015]]+Tabel6689172627[[#This Row],[Other ch. 2015]]</f>
        <v>#DIV/0!</v>
      </c>
      <c r="O172" s="1271" t="e">
        <f>22.18/E172</f>
        <v>#DIV/0!</v>
      </c>
      <c r="P172" s="571" t="e">
        <f>Tabel6689172627[[#This Row],[Total. ch. DW 2015]]+Tabel6689172627[[#This Row],[Sew. 2015]]+Tabel6689172627[[#This Row],[WW 2015]]+Tabel6689172627[[#This Row],[Other ch. 2015]]+Tabel6689172627[[#This Row],[VAT 2015]]</f>
        <v>#DIV/0!</v>
      </c>
      <c r="Q172" s="397"/>
      <c r="R172" s="1763"/>
      <c r="S172" s="1766"/>
      <c r="T172" s="1769"/>
      <c r="U172" s="1775"/>
      <c r="V172" s="1778"/>
      <c r="W172" s="1781"/>
      <c r="X172" s="1785"/>
      <c r="Y172" s="1788"/>
      <c r="Z172" s="1791"/>
      <c r="AA172" s="397"/>
      <c r="AB172" s="398"/>
      <c r="AC172" s="398"/>
      <c r="AD172" s="398"/>
      <c r="AE172" s="591" t="s">
        <v>429</v>
      </c>
      <c r="AF172" s="591" t="s">
        <v>429</v>
      </c>
      <c r="AG172" s="398"/>
      <c r="AH172" s="398"/>
      <c r="AI172" s="397"/>
    </row>
    <row r="173" spans="1:35" ht="16.5" thickBot="1" x14ac:dyDescent="0.3">
      <c r="A173" s="1758"/>
      <c r="B173" s="1213"/>
      <c r="C173" s="652" t="s">
        <v>139</v>
      </c>
      <c r="D173" s="1761"/>
      <c r="F173" s="549" t="e">
        <f>32.75/E173</f>
        <v>#DIV/0!</v>
      </c>
      <c r="G173" s="550" t="e">
        <f>124.43/E173</f>
        <v>#DIV/0!</v>
      </c>
      <c r="H173" s="551">
        <v>0</v>
      </c>
      <c r="I173" s="566" t="e">
        <f>Tabel6689172627[[#This Row],[Fix.ch. 2015]]+Tabel6689172627[[#This Row],[Var. ch. 2015]]+Tabel6689172627[[#This Row],[Oth. ch. DW 2015]]</f>
        <v>#DIV/0!</v>
      </c>
      <c r="J173" s="567">
        <v>0</v>
      </c>
      <c r="K173" s="568" t="e">
        <f>161.47/E173</f>
        <v>#DIV/0!</v>
      </c>
      <c r="L173" s="568"/>
      <c r="M173" s="569" t="e">
        <f>5.8/E173</f>
        <v>#DIV/0!</v>
      </c>
      <c r="N173" s="1270" t="e">
        <f>Tabel6689172627[[#This Row],[Sew. 2015]]+Tabel6689172627[[#This Row],[WW 2015]]+Tabel6689172627[[#This Row],[Other ch. 2015]]</f>
        <v>#DIV/0!</v>
      </c>
      <c r="O173" s="1271" t="e">
        <f>19.47/E173</f>
        <v>#DIV/0!</v>
      </c>
      <c r="P173" s="571" t="e">
        <f>Tabel6689172627[[#This Row],[Total. ch. DW 2015]]+Tabel6689172627[[#This Row],[Sew. 2015]]+Tabel6689172627[[#This Row],[WW 2015]]+Tabel6689172627[[#This Row],[Other ch. 2015]]+Tabel6689172627[[#This Row],[VAT 2015]]</f>
        <v>#DIV/0!</v>
      </c>
      <c r="Q173" s="397"/>
      <c r="R173" s="1764"/>
      <c r="S173" s="1767"/>
      <c r="T173" s="1770"/>
      <c r="U173" s="1776"/>
      <c r="V173" s="1779"/>
      <c r="W173" s="1811"/>
      <c r="X173" s="1813"/>
      <c r="Y173" s="1815"/>
      <c r="Z173" s="1794"/>
      <c r="AA173" s="397"/>
      <c r="AB173" s="398"/>
      <c r="AC173" s="398"/>
      <c r="AD173" s="398"/>
      <c r="AE173" s="591" t="s">
        <v>429</v>
      </c>
      <c r="AF173" s="591" t="s">
        <v>429</v>
      </c>
      <c r="AG173" s="398"/>
      <c r="AH173" s="398"/>
      <c r="AI173" s="397"/>
    </row>
    <row r="174" spans="1:35" ht="18.75" customHeight="1" x14ac:dyDescent="0.25">
      <c r="A174" s="1878" t="s">
        <v>40</v>
      </c>
      <c r="B174" s="1213"/>
      <c r="C174" s="457" t="s">
        <v>1351</v>
      </c>
      <c r="D174" s="1759">
        <v>20600</v>
      </c>
      <c r="F174" s="319"/>
      <c r="G174" s="320"/>
      <c r="H174" s="321"/>
      <c r="I174" s="313"/>
      <c r="J174" s="322"/>
      <c r="K174" s="323"/>
      <c r="L174" s="323"/>
      <c r="M174" s="324"/>
      <c r="N174" s="1257">
        <f>Tabel6689172627[[#This Row],[Sew. 2015]]+Tabel6689172627[[#This Row],[WW 2015]]+Tabel6689172627[[#This Row],[Other ch. 2015]]</f>
        <v>0</v>
      </c>
      <c r="O174" s="1258"/>
      <c r="P174" s="318"/>
      <c r="Q174" s="397"/>
      <c r="R174" s="1762">
        <f t="shared" ref="R174:W174" si="55">SUM(F174:F202)/20</f>
        <v>0</v>
      </c>
      <c r="S174" s="2286" t="e">
        <f t="shared" si="55"/>
        <v>#DIV/0!</v>
      </c>
      <c r="T174" s="1768">
        <f t="shared" si="55"/>
        <v>0</v>
      </c>
      <c r="U174" s="1774" t="e">
        <f t="shared" si="55"/>
        <v>#REF!</v>
      </c>
      <c r="V174" s="1777">
        <f t="shared" si="55"/>
        <v>0</v>
      </c>
      <c r="W174" s="1810" t="e">
        <f t="shared" si="55"/>
        <v>#DIV/0!</v>
      </c>
      <c r="X174" s="1812">
        <f>SUM(M174:M202)/20</f>
        <v>0</v>
      </c>
      <c r="Y174" s="2284" t="e">
        <f t="shared" ref="Y174:Z174" si="56">SUM(O174:O202)/20</f>
        <v>#DIV/0!</v>
      </c>
      <c r="Z174" s="2260" t="e">
        <f t="shared" si="56"/>
        <v>#REF!</v>
      </c>
      <c r="AA174" s="397"/>
      <c r="AB174" s="591"/>
      <c r="AC174" s="591"/>
      <c r="AD174" s="591"/>
      <c r="AE174" s="591"/>
      <c r="AF174" s="591"/>
      <c r="AG174" s="591"/>
      <c r="AH174" s="614"/>
      <c r="AI174" s="397"/>
    </row>
    <row r="175" spans="1:35" ht="15.75" customHeight="1" x14ac:dyDescent="0.25">
      <c r="A175" s="1757"/>
      <c r="B175" s="1213"/>
      <c r="C175" s="754" t="s">
        <v>188</v>
      </c>
      <c r="D175" s="1760"/>
      <c r="F175" s="549">
        <v>0</v>
      </c>
      <c r="G175" s="550" t="e">
        <f>640/E175</f>
        <v>#DIV/0!</v>
      </c>
      <c r="H175" s="551">
        <v>0</v>
      </c>
      <c r="I175" s="566" t="e">
        <f>[1]!Tabel6689[[#This Row],[Fix.ch. 2015]]+[1]!Tabel6689[[#This Row],[Var. ch. 2015]]+[1]!Tabel6689[[#This Row],[Oth. ch. DW 2015]]</f>
        <v>#REF!</v>
      </c>
      <c r="J175" s="567">
        <v>0</v>
      </c>
      <c r="K175" s="568" t="e">
        <f>466/E175</f>
        <v>#DIV/0!</v>
      </c>
      <c r="L175" s="568"/>
      <c r="M175" s="569">
        <v>0</v>
      </c>
      <c r="N175" s="1270" t="e">
        <f>Tabel6689172627[[#This Row],[Sew. 2015]]+Tabel6689172627[[#This Row],[WW 2015]]+Tabel6689172627[[#This Row],[Other ch. 2015]]</f>
        <v>#DIV/0!</v>
      </c>
      <c r="O175" s="1271" t="e">
        <f>265.44/E175</f>
        <v>#DIV/0!</v>
      </c>
      <c r="P175" s="571" t="e">
        <f>[1]!Tabel6689[[#This Row],[Total. ch. DW 2015]]+[1]!Tabel6689[[#This Row],[Sew. 2015]]+[1]!Tabel6689[[#This Row],[WW 2015]]+[1]!Tabel6689[[#This Row],[Other ch. 2015]]+[1]!Tabel6689[[#This Row],[VAT 2015]]</f>
        <v>#REF!</v>
      </c>
      <c r="Q175" s="397"/>
      <c r="R175" s="1763"/>
      <c r="S175" s="2129"/>
      <c r="T175" s="1769"/>
      <c r="U175" s="1775"/>
      <c r="V175" s="1778"/>
      <c r="W175" s="1781"/>
      <c r="X175" s="1785"/>
      <c r="Y175" s="2137"/>
      <c r="Z175" s="1990"/>
      <c r="AA175" s="397"/>
      <c r="AB175" s="591" t="s">
        <v>429</v>
      </c>
      <c r="AC175" s="591" t="s">
        <v>429</v>
      </c>
      <c r="AD175" s="614"/>
      <c r="AE175" s="614"/>
      <c r="AF175" s="614"/>
      <c r="AG175" s="591" t="s">
        <v>429</v>
      </c>
      <c r="AH175" s="614"/>
      <c r="AI175" s="397"/>
    </row>
    <row r="176" spans="1:35" ht="15.75" customHeight="1" x14ac:dyDescent="0.25">
      <c r="A176" s="1757"/>
      <c r="B176" s="1213"/>
      <c r="C176" s="457" t="s">
        <v>189</v>
      </c>
      <c r="D176" s="1760"/>
      <c r="F176" s="319"/>
      <c r="G176" s="320"/>
      <c r="H176" s="321"/>
      <c r="I176" s="313"/>
      <c r="J176" s="322"/>
      <c r="K176" s="323"/>
      <c r="L176" s="323"/>
      <c r="M176" s="324"/>
      <c r="N176" s="1257">
        <f>Tabel6689172627[[#This Row],[Sew. 2015]]+Tabel6689172627[[#This Row],[WW 2015]]+Tabel6689172627[[#This Row],[Other ch. 2015]]</f>
        <v>0</v>
      </c>
      <c r="O176" s="1258"/>
      <c r="P176" s="318"/>
      <c r="Q176" s="397"/>
      <c r="R176" s="1763"/>
      <c r="S176" s="2129"/>
      <c r="T176" s="1769"/>
      <c r="U176" s="1775"/>
      <c r="V176" s="1778"/>
      <c r="W176" s="1781"/>
      <c r="X176" s="1785"/>
      <c r="Y176" s="2137"/>
      <c r="Z176" s="1990"/>
      <c r="AA176" s="397"/>
      <c r="AB176" s="591"/>
      <c r="AC176" s="591"/>
      <c r="AD176" s="614"/>
      <c r="AE176" s="614"/>
      <c r="AF176" s="614"/>
      <c r="AG176" s="591"/>
      <c r="AH176" s="614"/>
      <c r="AI176" s="397"/>
    </row>
    <row r="177" spans="1:35" ht="15.75" customHeight="1" x14ac:dyDescent="0.25">
      <c r="A177" s="1757"/>
      <c r="B177" s="1213"/>
      <c r="C177" s="754" t="s">
        <v>190</v>
      </c>
      <c r="D177" s="1760"/>
      <c r="F177" s="549">
        <v>0</v>
      </c>
      <c r="G177" s="550" t="e">
        <f>704/E177</f>
        <v>#DIV/0!</v>
      </c>
      <c r="H177" s="551">
        <v>0</v>
      </c>
      <c r="I177" s="566" t="e">
        <f>[1]!Tabel6689[[#This Row],[Fix.ch. 2015]]+[1]!Tabel6689[[#This Row],[Var. ch. 2015]]+[1]!Tabel6689[[#This Row],[Oth. ch. DW 2015]]</f>
        <v>#REF!</v>
      </c>
      <c r="J177" s="567">
        <v>0</v>
      </c>
      <c r="K177" s="568" t="e">
        <f>486/E177</f>
        <v>#DIV/0!</v>
      </c>
      <c r="L177" s="568"/>
      <c r="M177" s="569">
        <v>0</v>
      </c>
      <c r="N177" s="1270" t="e">
        <f>Tabel6689172627[[#This Row],[Sew. 2015]]+Tabel6689172627[[#This Row],[WW 2015]]+Tabel6689172627[[#This Row],[Other ch. 2015]]</f>
        <v>#DIV/0!</v>
      </c>
      <c r="O177" s="1271" t="e">
        <f>285.6/E177</f>
        <v>#DIV/0!</v>
      </c>
      <c r="P177" s="571" t="e">
        <f>[1]!Tabel6689[[#This Row],[Total. ch. DW 2015]]+[1]!Tabel6689[[#This Row],[Sew. 2015]]+[1]!Tabel6689[[#This Row],[WW 2015]]+[1]!Tabel6689[[#This Row],[Other ch. 2015]]+[1]!Tabel6689[[#This Row],[VAT 2015]]</f>
        <v>#REF!</v>
      </c>
      <c r="Q177" s="397"/>
      <c r="R177" s="1763"/>
      <c r="S177" s="2129"/>
      <c r="T177" s="1769"/>
      <c r="U177" s="1775"/>
      <c r="V177" s="1778"/>
      <c r="W177" s="1781"/>
      <c r="X177" s="1785"/>
      <c r="Y177" s="2137"/>
      <c r="Z177" s="1990"/>
      <c r="AA177" s="397"/>
      <c r="AB177" s="591" t="s">
        <v>429</v>
      </c>
      <c r="AC177" s="591" t="s">
        <v>429</v>
      </c>
      <c r="AD177" s="614"/>
      <c r="AE177" s="614"/>
      <c r="AF177" s="614"/>
      <c r="AG177" s="591" t="s">
        <v>429</v>
      </c>
      <c r="AH177" s="614"/>
      <c r="AI177" s="397"/>
    </row>
    <row r="178" spans="1:35" ht="15.75" customHeight="1" x14ac:dyDescent="0.25">
      <c r="A178" s="1757"/>
      <c r="B178" s="1213"/>
      <c r="C178" s="261" t="s">
        <v>191</v>
      </c>
      <c r="D178" s="1760"/>
      <c r="F178" s="319"/>
      <c r="G178" s="320"/>
      <c r="H178" s="321"/>
      <c r="I178" s="313"/>
      <c r="J178" s="322"/>
      <c r="K178" s="323"/>
      <c r="L178" s="323"/>
      <c r="M178" s="324"/>
      <c r="N178" s="1257">
        <f>Tabel6689172627[[#This Row],[Sew. 2015]]+Tabel6689172627[[#This Row],[WW 2015]]+Tabel6689172627[[#This Row],[Other ch. 2015]]</f>
        <v>0</v>
      </c>
      <c r="O178" s="1258"/>
      <c r="P178" s="318"/>
      <c r="Q178" s="397"/>
      <c r="R178" s="1763"/>
      <c r="S178" s="2129"/>
      <c r="T178" s="1769"/>
      <c r="U178" s="1775"/>
      <c r="V178" s="1778"/>
      <c r="W178" s="1781"/>
      <c r="X178" s="1785"/>
      <c r="Y178" s="2137"/>
      <c r="Z178" s="1990"/>
      <c r="AA178" s="397"/>
      <c r="AB178" s="591"/>
      <c r="AC178" s="591"/>
      <c r="AD178" s="614"/>
      <c r="AE178" s="614"/>
      <c r="AF178" s="614"/>
      <c r="AG178" s="591"/>
      <c r="AH178" s="614"/>
      <c r="AI178" s="397"/>
    </row>
    <row r="179" spans="1:35" ht="15.75" customHeight="1" x14ac:dyDescent="0.25">
      <c r="A179" s="1757"/>
      <c r="B179" s="1213"/>
      <c r="C179" s="261" t="s">
        <v>218</v>
      </c>
      <c r="D179" s="1760"/>
      <c r="F179" s="319"/>
      <c r="G179" s="320"/>
      <c r="H179" s="321"/>
      <c r="I179" s="313"/>
      <c r="J179" s="322"/>
      <c r="K179" s="323"/>
      <c r="L179" s="323"/>
      <c r="M179" s="324"/>
      <c r="N179" s="1257">
        <f>Tabel6689172627[[#This Row],[Sew. 2015]]+Tabel6689172627[[#This Row],[WW 2015]]+Tabel6689172627[[#This Row],[Other ch. 2015]]</f>
        <v>0</v>
      </c>
      <c r="O179" s="1258"/>
      <c r="P179" s="318"/>
      <c r="Q179" s="397"/>
      <c r="R179" s="1763"/>
      <c r="S179" s="2129"/>
      <c r="T179" s="1769"/>
      <c r="U179" s="1775"/>
      <c r="V179" s="1778"/>
      <c r="W179" s="1781"/>
      <c r="X179" s="1785"/>
      <c r="Y179" s="2137"/>
      <c r="Z179" s="1990"/>
      <c r="AA179" s="397"/>
      <c r="AB179" s="591"/>
      <c r="AC179" s="591"/>
      <c r="AD179" s="614"/>
      <c r="AE179" s="614"/>
      <c r="AF179" s="614"/>
      <c r="AG179" s="591"/>
      <c r="AH179" s="614"/>
      <c r="AI179" s="397"/>
    </row>
    <row r="180" spans="1:35" ht="16.5" customHeight="1" x14ac:dyDescent="0.25">
      <c r="A180" s="1757"/>
      <c r="B180" s="1213"/>
      <c r="C180" s="633" t="s">
        <v>219</v>
      </c>
      <c r="D180" s="1880"/>
      <c r="F180" s="549">
        <v>0</v>
      </c>
      <c r="G180" s="550" t="e">
        <f>556/E180</f>
        <v>#DIV/0!</v>
      </c>
      <c r="H180" s="551">
        <v>0</v>
      </c>
      <c r="I180" s="566" t="e">
        <f>[1]!Tabel6689[[#This Row],[Fix.ch. 2015]]+[1]!Tabel6689[[#This Row],[Var. ch. 2015]]+[1]!Tabel6689[[#This Row],[Oth. ch. DW 2015]]</f>
        <v>#REF!</v>
      </c>
      <c r="J180" s="567">
        <v>0</v>
      </c>
      <c r="K180" s="568" t="e">
        <f>368/E180</f>
        <v>#DIV/0!</v>
      </c>
      <c r="L180" s="568"/>
      <c r="M180" s="569">
        <v>0</v>
      </c>
      <c r="N180" s="1270" t="e">
        <f>Tabel6689172627[[#This Row],[Sew. 2015]]+Tabel6689172627[[#This Row],[WW 2015]]+Tabel6689172627[[#This Row],[Other ch. 2015]]</f>
        <v>#DIV/0!</v>
      </c>
      <c r="O180" s="1271" t="e">
        <f>221.76/E180</f>
        <v>#DIV/0!</v>
      </c>
      <c r="P180" s="571" t="e">
        <f>[1]!Tabel6689[[#This Row],[Total. ch. DW 2015]]+[1]!Tabel6689[[#This Row],[Sew. 2015]]+[1]!Tabel6689[[#This Row],[WW 2015]]+[1]!Tabel6689[[#This Row],[Other ch. 2015]]+[1]!Tabel6689[[#This Row],[VAT 2015]]</f>
        <v>#REF!</v>
      </c>
      <c r="Q180" s="397"/>
      <c r="R180" s="1886"/>
      <c r="S180" s="2130"/>
      <c r="T180" s="1890"/>
      <c r="U180" s="1892"/>
      <c r="V180" s="1894"/>
      <c r="W180" s="1911"/>
      <c r="X180" s="1913"/>
      <c r="Y180" s="2138"/>
      <c r="Z180" s="2053"/>
      <c r="AA180" s="397"/>
      <c r="AB180" s="591" t="s">
        <v>429</v>
      </c>
      <c r="AC180" s="591" t="s">
        <v>429</v>
      </c>
      <c r="AD180" s="614"/>
      <c r="AE180" s="614"/>
      <c r="AF180" s="614"/>
      <c r="AG180" s="591" t="s">
        <v>429</v>
      </c>
      <c r="AH180" s="614"/>
      <c r="AI180" s="397"/>
    </row>
    <row r="181" spans="1:35" ht="15.75" customHeight="1" x14ac:dyDescent="0.25">
      <c r="A181" s="1757"/>
      <c r="B181" s="1213"/>
      <c r="C181" s="633" t="s">
        <v>513</v>
      </c>
      <c r="D181" s="1880"/>
      <c r="F181" s="549">
        <v>0</v>
      </c>
      <c r="G181" s="550" t="e">
        <f>738/E181</f>
        <v>#DIV/0!</v>
      </c>
      <c r="H181" s="551">
        <v>0</v>
      </c>
      <c r="I181" s="566" t="e">
        <f>[1]!Tabel6689[[#This Row],[Fix.ch. 2015]]+[1]!Tabel6689[[#This Row],[Var. ch. 2015]]+[1]!Tabel6689[[#This Row],[Oth. ch. DW 2015]]</f>
        <v>#REF!</v>
      </c>
      <c r="J181" s="567">
        <v>0</v>
      </c>
      <c r="K181" s="568" t="e">
        <f>664/E181</f>
        <v>#DIV/0!</v>
      </c>
      <c r="L181" s="568"/>
      <c r="M181" s="569">
        <v>0</v>
      </c>
      <c r="N181" s="1270" t="e">
        <f>Tabel6689172627[[#This Row],[Sew. 2015]]+Tabel6689172627[[#This Row],[WW 2015]]+Tabel6689172627[[#This Row],[Other ch. 2015]]</f>
        <v>#DIV/0!</v>
      </c>
      <c r="O181" s="1271" t="e">
        <f>336.48/E181</f>
        <v>#DIV/0!</v>
      </c>
      <c r="P181" s="571" t="e">
        <f>[1]!Tabel6689[[#This Row],[Total. ch. DW 2015]]+[1]!Tabel6689[[#This Row],[Sew. 2015]]+[1]!Tabel6689[[#This Row],[WW 2015]]+[1]!Tabel6689[[#This Row],[Other ch. 2015]]+[1]!Tabel6689[[#This Row],[VAT 2015]]</f>
        <v>#REF!</v>
      </c>
      <c r="Q181" s="397"/>
      <c r="R181" s="1886"/>
      <c r="S181" s="2130"/>
      <c r="T181" s="1890"/>
      <c r="U181" s="1892"/>
      <c r="V181" s="1894"/>
      <c r="W181" s="1911"/>
      <c r="X181" s="1913"/>
      <c r="Y181" s="2138"/>
      <c r="Z181" s="2053"/>
      <c r="AA181" s="397"/>
      <c r="AB181" s="591" t="s">
        <v>429</v>
      </c>
      <c r="AC181" s="591" t="s">
        <v>429</v>
      </c>
      <c r="AD181" s="614"/>
      <c r="AE181" s="614"/>
      <c r="AF181" s="614"/>
      <c r="AG181" s="591" t="s">
        <v>429</v>
      </c>
      <c r="AH181" s="614"/>
      <c r="AI181" s="397"/>
    </row>
    <row r="182" spans="1:35" ht="15.75" customHeight="1" x14ac:dyDescent="0.25">
      <c r="A182" s="1757"/>
      <c r="B182" s="1213"/>
      <c r="C182" s="503" t="s">
        <v>514</v>
      </c>
      <c r="D182" s="1880"/>
      <c r="F182" s="319"/>
      <c r="G182" s="320"/>
      <c r="H182" s="321"/>
      <c r="I182" s="313"/>
      <c r="J182" s="322"/>
      <c r="K182" s="323"/>
      <c r="L182" s="323"/>
      <c r="M182" s="324"/>
      <c r="N182" s="1257">
        <f>Tabel6689172627[[#This Row],[Sew. 2015]]+Tabel6689172627[[#This Row],[WW 2015]]+Tabel6689172627[[#This Row],[Other ch. 2015]]</f>
        <v>0</v>
      </c>
      <c r="O182" s="1258"/>
      <c r="P182" s="318"/>
      <c r="Q182" s="397"/>
      <c r="R182" s="1886"/>
      <c r="S182" s="2130"/>
      <c r="T182" s="1890"/>
      <c r="U182" s="1892"/>
      <c r="V182" s="1894"/>
      <c r="W182" s="1911"/>
      <c r="X182" s="1913"/>
      <c r="Y182" s="2138"/>
      <c r="Z182" s="2053"/>
      <c r="AA182" s="397"/>
      <c r="AB182" s="591"/>
      <c r="AC182" s="591"/>
      <c r="AD182" s="614"/>
      <c r="AE182" s="614"/>
      <c r="AF182" s="614"/>
      <c r="AG182" s="591"/>
      <c r="AH182" s="614"/>
      <c r="AI182" s="397"/>
    </row>
    <row r="183" spans="1:35" ht="15.75" customHeight="1" x14ac:dyDescent="0.25">
      <c r="A183" s="1757"/>
      <c r="B183" s="1213"/>
      <c r="C183" s="503" t="s">
        <v>515</v>
      </c>
      <c r="D183" s="1880"/>
      <c r="F183" s="319"/>
      <c r="G183" s="320"/>
      <c r="H183" s="321"/>
      <c r="I183" s="313"/>
      <c r="J183" s="322"/>
      <c r="K183" s="323"/>
      <c r="L183" s="323"/>
      <c r="M183" s="324"/>
      <c r="N183" s="1257">
        <f>Tabel6689172627[[#This Row],[Sew. 2015]]+Tabel6689172627[[#This Row],[WW 2015]]+Tabel6689172627[[#This Row],[Other ch. 2015]]</f>
        <v>0</v>
      </c>
      <c r="O183" s="1258"/>
      <c r="P183" s="318"/>
      <c r="Q183" s="397"/>
      <c r="R183" s="1886"/>
      <c r="S183" s="2130"/>
      <c r="T183" s="1890"/>
      <c r="U183" s="1892"/>
      <c r="V183" s="1894"/>
      <c r="W183" s="1911"/>
      <c r="X183" s="1913"/>
      <c r="Y183" s="2138"/>
      <c r="Z183" s="2053"/>
      <c r="AA183" s="397"/>
      <c r="AB183" s="591"/>
      <c r="AC183" s="591"/>
      <c r="AD183" s="614"/>
      <c r="AE183" s="614"/>
      <c r="AF183" s="614"/>
      <c r="AG183" s="591"/>
      <c r="AH183" s="614"/>
      <c r="AI183" s="397"/>
    </row>
    <row r="184" spans="1:35" ht="15.75" customHeight="1" x14ac:dyDescent="0.25">
      <c r="A184" s="1757"/>
      <c r="B184" s="1213"/>
      <c r="C184" s="633" t="s">
        <v>516</v>
      </c>
      <c r="D184" s="1880"/>
      <c r="F184" s="549">
        <v>0</v>
      </c>
      <c r="G184" s="550" t="e">
        <f>880/E184</f>
        <v>#DIV/0!</v>
      </c>
      <c r="H184" s="551">
        <v>0</v>
      </c>
      <c r="I184" s="566" t="e">
        <f>[1]!Tabel6689[[#This Row],[Fix.ch. 2015]]+[1]!Tabel6689[[#This Row],[Var. ch. 2015]]+[1]!Tabel6689[[#This Row],[Oth. ch. DW 2015]]</f>
        <v>#REF!</v>
      </c>
      <c r="J184" s="567">
        <v>0</v>
      </c>
      <c r="K184" s="568" t="e">
        <f>502/E184</f>
        <v>#DIV/0!</v>
      </c>
      <c r="L184" s="568"/>
      <c r="M184" s="569">
        <v>0</v>
      </c>
      <c r="N184" s="1270" t="e">
        <f>Tabel6689172627[[#This Row],[Sew. 2015]]+Tabel6689172627[[#This Row],[WW 2015]]+Tabel6689172627[[#This Row],[Other ch. 2015]]</f>
        <v>#DIV/0!</v>
      </c>
      <c r="O184" s="1271" t="e">
        <f>331.68/E184</f>
        <v>#DIV/0!</v>
      </c>
      <c r="P184" s="571" t="e">
        <f>[1]!Tabel6689[[#This Row],[Total. ch. DW 2015]]+[1]!Tabel6689[[#This Row],[Sew. 2015]]+[1]!Tabel6689[[#This Row],[WW 2015]]+[1]!Tabel6689[[#This Row],[Other ch. 2015]]+[1]!Tabel6689[[#This Row],[VAT 2015]]</f>
        <v>#REF!</v>
      </c>
      <c r="Q184" s="397"/>
      <c r="R184" s="1886"/>
      <c r="S184" s="2130"/>
      <c r="T184" s="1890"/>
      <c r="U184" s="1892"/>
      <c r="V184" s="1894"/>
      <c r="W184" s="1911"/>
      <c r="X184" s="1913"/>
      <c r="Y184" s="2138"/>
      <c r="Z184" s="2053"/>
      <c r="AA184" s="397"/>
      <c r="AB184" s="591" t="s">
        <v>429</v>
      </c>
      <c r="AC184" s="591" t="s">
        <v>429</v>
      </c>
      <c r="AD184" s="614"/>
      <c r="AE184" s="614"/>
      <c r="AF184" s="614"/>
      <c r="AG184" s="591" t="s">
        <v>429</v>
      </c>
      <c r="AH184" s="614"/>
      <c r="AI184" s="397"/>
    </row>
    <row r="185" spans="1:35" ht="15.75" customHeight="1" x14ac:dyDescent="0.25">
      <c r="A185" s="1757"/>
      <c r="B185" s="1213"/>
      <c r="C185" s="503" t="s">
        <v>1352</v>
      </c>
      <c r="D185" s="1880"/>
      <c r="F185" s="319"/>
      <c r="G185" s="320"/>
      <c r="H185" s="321"/>
      <c r="I185" s="313"/>
      <c r="J185" s="322"/>
      <c r="K185" s="323"/>
      <c r="L185" s="323"/>
      <c r="M185" s="324"/>
      <c r="N185" s="1257">
        <f>Tabel6689172627[[#This Row],[Sew. 2015]]+Tabel6689172627[[#This Row],[WW 2015]]+Tabel6689172627[[#This Row],[Other ch. 2015]]</f>
        <v>0</v>
      </c>
      <c r="O185" s="1258"/>
      <c r="P185" s="318"/>
      <c r="Q185" s="397"/>
      <c r="R185" s="1886"/>
      <c r="S185" s="2130"/>
      <c r="T185" s="1890"/>
      <c r="U185" s="1892"/>
      <c r="V185" s="1894"/>
      <c r="W185" s="1911"/>
      <c r="X185" s="1913"/>
      <c r="Y185" s="2138"/>
      <c r="Z185" s="2053"/>
      <c r="AA185" s="397"/>
      <c r="AB185" s="591"/>
      <c r="AC185" s="591"/>
      <c r="AD185" s="614"/>
      <c r="AE185" s="614"/>
      <c r="AF185" s="614"/>
      <c r="AG185" s="591"/>
      <c r="AH185" s="614"/>
      <c r="AI185" s="397"/>
    </row>
    <row r="186" spans="1:35" ht="15.75" customHeight="1" x14ac:dyDescent="0.25">
      <c r="A186" s="1757"/>
      <c r="B186" s="1213"/>
      <c r="C186" s="503" t="s">
        <v>517</v>
      </c>
      <c r="D186" s="1880"/>
      <c r="F186" s="319"/>
      <c r="G186" s="320"/>
      <c r="H186" s="321"/>
      <c r="I186" s="313"/>
      <c r="J186" s="322"/>
      <c r="K186" s="323"/>
      <c r="L186" s="323"/>
      <c r="M186" s="324"/>
      <c r="N186" s="1257">
        <f>Tabel6689172627[[#This Row],[Sew. 2015]]+Tabel6689172627[[#This Row],[WW 2015]]+Tabel6689172627[[#This Row],[Other ch. 2015]]</f>
        <v>0</v>
      </c>
      <c r="O186" s="1258"/>
      <c r="P186" s="318"/>
      <c r="Q186" s="397"/>
      <c r="R186" s="1886"/>
      <c r="S186" s="2130"/>
      <c r="T186" s="1890"/>
      <c r="U186" s="1892"/>
      <c r="V186" s="1894"/>
      <c r="W186" s="1911"/>
      <c r="X186" s="1913"/>
      <c r="Y186" s="2138"/>
      <c r="Z186" s="2053"/>
      <c r="AA186" s="397"/>
      <c r="AB186" s="591"/>
      <c r="AC186" s="591"/>
      <c r="AD186" s="614"/>
      <c r="AE186" s="614"/>
      <c r="AF186" s="614"/>
      <c r="AG186" s="591"/>
      <c r="AH186" s="614"/>
      <c r="AI186" s="397"/>
    </row>
    <row r="187" spans="1:35" ht="15.75" customHeight="1" x14ac:dyDescent="0.25">
      <c r="A187" s="1757"/>
      <c r="B187" s="1213"/>
      <c r="C187" s="503" t="s">
        <v>518</v>
      </c>
      <c r="D187" s="1880"/>
      <c r="F187" s="319"/>
      <c r="G187" s="320"/>
      <c r="H187" s="321"/>
      <c r="I187" s="313"/>
      <c r="J187" s="322"/>
      <c r="K187" s="323"/>
      <c r="L187" s="323"/>
      <c r="M187" s="324"/>
      <c r="N187" s="1257">
        <f>Tabel6689172627[[#This Row],[Sew. 2015]]+Tabel6689172627[[#This Row],[WW 2015]]+Tabel6689172627[[#This Row],[Other ch. 2015]]</f>
        <v>0</v>
      </c>
      <c r="O187" s="1258"/>
      <c r="P187" s="318"/>
      <c r="Q187" s="397"/>
      <c r="R187" s="1886"/>
      <c r="S187" s="2130"/>
      <c r="T187" s="1890"/>
      <c r="U187" s="1892"/>
      <c r="V187" s="1894"/>
      <c r="W187" s="1911"/>
      <c r="X187" s="1913"/>
      <c r="Y187" s="2138"/>
      <c r="Z187" s="2053"/>
      <c r="AA187" s="397"/>
      <c r="AB187" s="591"/>
      <c r="AC187" s="591"/>
      <c r="AD187" s="614"/>
      <c r="AE187" s="614"/>
      <c r="AF187" s="614"/>
      <c r="AG187" s="591"/>
      <c r="AH187" s="614"/>
      <c r="AI187" s="397"/>
    </row>
    <row r="188" spans="1:35" ht="15.75" customHeight="1" x14ac:dyDescent="0.25">
      <c r="A188" s="1757"/>
      <c r="B188" s="1213"/>
      <c r="C188" s="503" t="s">
        <v>519</v>
      </c>
      <c r="D188" s="1880"/>
      <c r="F188" s="319"/>
      <c r="G188" s="320"/>
      <c r="H188" s="321"/>
      <c r="I188" s="313"/>
      <c r="J188" s="322"/>
      <c r="K188" s="323"/>
      <c r="L188" s="323"/>
      <c r="M188" s="324"/>
      <c r="N188" s="1257">
        <f>Tabel6689172627[[#This Row],[Sew. 2015]]+Tabel6689172627[[#This Row],[WW 2015]]+Tabel6689172627[[#This Row],[Other ch. 2015]]</f>
        <v>0</v>
      </c>
      <c r="O188" s="1258"/>
      <c r="P188" s="318"/>
      <c r="Q188" s="397"/>
      <c r="R188" s="1886"/>
      <c r="S188" s="2130"/>
      <c r="T188" s="1890"/>
      <c r="U188" s="1892"/>
      <c r="V188" s="1894"/>
      <c r="W188" s="1911"/>
      <c r="X188" s="1913"/>
      <c r="Y188" s="2138"/>
      <c r="Z188" s="2053"/>
      <c r="AA188" s="397"/>
      <c r="AB188" s="591"/>
      <c r="AC188" s="591"/>
      <c r="AD188" s="614"/>
      <c r="AE188" s="614"/>
      <c r="AF188" s="614"/>
      <c r="AG188" s="591"/>
      <c r="AH188" s="614"/>
      <c r="AI188" s="397"/>
    </row>
    <row r="189" spans="1:35" ht="15.75" customHeight="1" x14ac:dyDescent="0.25">
      <c r="A189" s="1757"/>
      <c r="B189" s="1213"/>
      <c r="C189" s="503" t="s">
        <v>596</v>
      </c>
      <c r="D189" s="1880"/>
      <c r="F189" s="319"/>
      <c r="G189" s="320"/>
      <c r="H189" s="321"/>
      <c r="I189" s="313"/>
      <c r="J189" s="322"/>
      <c r="K189" s="323"/>
      <c r="L189" s="323"/>
      <c r="M189" s="324"/>
      <c r="N189" s="1257">
        <f>Tabel6689172627[[#This Row],[Sew. 2015]]+Tabel6689172627[[#This Row],[WW 2015]]+Tabel6689172627[[#This Row],[Other ch. 2015]]</f>
        <v>0</v>
      </c>
      <c r="O189" s="1258"/>
      <c r="P189" s="318"/>
      <c r="Q189" s="397"/>
      <c r="R189" s="1886"/>
      <c r="S189" s="2130"/>
      <c r="T189" s="1890"/>
      <c r="U189" s="1892"/>
      <c r="V189" s="1894"/>
      <c r="W189" s="1911"/>
      <c r="X189" s="1913"/>
      <c r="Y189" s="2138"/>
      <c r="Z189" s="2053"/>
      <c r="AA189" s="397"/>
      <c r="AB189" s="591"/>
      <c r="AC189" s="591"/>
      <c r="AD189" s="614"/>
      <c r="AE189" s="614"/>
      <c r="AF189" s="614"/>
      <c r="AG189" s="591"/>
      <c r="AH189" s="614"/>
      <c r="AI189" s="397"/>
    </row>
    <row r="190" spans="1:35" ht="15.75" customHeight="1" x14ac:dyDescent="0.25">
      <c r="A190" s="1757"/>
      <c r="B190" s="1213"/>
      <c r="C190" s="633" t="s">
        <v>1353</v>
      </c>
      <c r="D190" s="1880"/>
      <c r="F190" s="549">
        <v>0</v>
      </c>
      <c r="G190" s="550" t="e">
        <f>622/E190</f>
        <v>#DIV/0!</v>
      </c>
      <c r="H190" s="551">
        <v>0</v>
      </c>
      <c r="I190" s="566" t="e">
        <f>[1]!Tabel6689[[#This Row],[Fix.ch. 2015]]+[1]!Tabel6689[[#This Row],[Var. ch. 2015]]+[1]!Tabel6689[[#This Row],[Oth. ch. DW 2015]]</f>
        <v>#REF!</v>
      </c>
      <c r="J190" s="567">
        <v>0</v>
      </c>
      <c r="K190" s="568" t="e">
        <f>248/E190</f>
        <v>#DIV/0!</v>
      </c>
      <c r="L190" s="568"/>
      <c r="M190" s="569">
        <v>0</v>
      </c>
      <c r="N190" s="1270" t="e">
        <f>Tabel6689172627[[#This Row],[Sew. 2015]]+Tabel6689172627[[#This Row],[WW 2015]]+Tabel6689172627[[#This Row],[Other ch. 2015]]</f>
        <v>#DIV/0!</v>
      </c>
      <c r="O190" s="1271" t="e">
        <f>208.8/E190</f>
        <v>#DIV/0!</v>
      </c>
      <c r="P190" s="571" t="e">
        <f>[1]!Tabel6689[[#This Row],[Total. ch. DW 2015]]+[1]!Tabel6689[[#This Row],[Sew. 2015]]+[1]!Tabel6689[[#This Row],[WW 2015]]+[1]!Tabel6689[[#This Row],[Other ch. 2015]]+[1]!Tabel6689[[#This Row],[VAT 2015]]</f>
        <v>#REF!</v>
      </c>
      <c r="Q190" s="397"/>
      <c r="R190" s="1886"/>
      <c r="S190" s="2130"/>
      <c r="T190" s="1890"/>
      <c r="U190" s="1892"/>
      <c r="V190" s="1894"/>
      <c r="W190" s="1911"/>
      <c r="X190" s="1913"/>
      <c r="Y190" s="2138"/>
      <c r="Z190" s="2053"/>
      <c r="AA190" s="397"/>
      <c r="AB190" s="591" t="s">
        <v>429</v>
      </c>
      <c r="AC190" s="591" t="s">
        <v>429</v>
      </c>
      <c r="AD190" s="614"/>
      <c r="AE190" s="614"/>
      <c r="AF190" s="614"/>
      <c r="AG190" s="591" t="s">
        <v>429</v>
      </c>
      <c r="AH190" s="614"/>
      <c r="AI190" s="397"/>
    </row>
    <row r="191" spans="1:35" ht="16.5" customHeight="1" x14ac:dyDescent="0.25">
      <c r="A191" s="1757"/>
      <c r="B191" s="1213"/>
      <c r="C191" s="633" t="s">
        <v>520</v>
      </c>
      <c r="D191" s="1880"/>
      <c r="F191" s="549">
        <v>0</v>
      </c>
      <c r="G191" s="550" t="e">
        <f>638/E191</f>
        <v>#DIV/0!</v>
      </c>
      <c r="H191" s="551">
        <v>0</v>
      </c>
      <c r="I191" s="566" t="e">
        <f>[1]!Tabel6689[[#This Row],[Fix.ch. 2015]]+[1]!Tabel6689[[#This Row],[Var. ch. 2015]]+[1]!Tabel6689[[#This Row],[Oth. ch. DW 2015]]</f>
        <v>#REF!</v>
      </c>
      <c r="J191" s="567">
        <v>0</v>
      </c>
      <c r="K191" s="568" t="e">
        <f>614/E191</f>
        <v>#DIV/0!</v>
      </c>
      <c r="L191" s="568"/>
      <c r="M191" s="569">
        <v>0</v>
      </c>
      <c r="N191" s="1270" t="e">
        <f>Tabel6689172627[[#This Row],[Sew. 2015]]+Tabel6689172627[[#This Row],[WW 2015]]+Tabel6689172627[[#This Row],[Other ch. 2015]]</f>
        <v>#DIV/0!</v>
      </c>
      <c r="O191" s="1271" t="e">
        <f>300.48/E191</f>
        <v>#DIV/0!</v>
      </c>
      <c r="P191" s="571" t="e">
        <f>[1]!Tabel6689[[#This Row],[Total. ch. DW 2015]]+[1]!Tabel6689[[#This Row],[Sew. 2015]]+[1]!Tabel6689[[#This Row],[WW 2015]]+[1]!Tabel6689[[#This Row],[Other ch. 2015]]+[1]!Tabel6689[[#This Row],[VAT 2015]]</f>
        <v>#REF!</v>
      </c>
      <c r="Q191" s="397"/>
      <c r="R191" s="1886"/>
      <c r="S191" s="2130"/>
      <c r="T191" s="1890"/>
      <c r="U191" s="1892"/>
      <c r="V191" s="1894"/>
      <c r="W191" s="1911"/>
      <c r="X191" s="1913"/>
      <c r="Y191" s="2138"/>
      <c r="Z191" s="2053"/>
      <c r="AA191" s="397"/>
      <c r="AB191" s="591" t="s">
        <v>429</v>
      </c>
      <c r="AC191" s="591" t="s">
        <v>429</v>
      </c>
      <c r="AD191" s="614"/>
      <c r="AE191" s="614"/>
      <c r="AF191" s="614"/>
      <c r="AG191" s="591" t="s">
        <v>429</v>
      </c>
      <c r="AH191" s="614"/>
      <c r="AI191" s="397"/>
    </row>
    <row r="192" spans="1:35" ht="15.75" x14ac:dyDescent="0.25">
      <c r="A192" s="1757"/>
      <c r="B192" s="1213"/>
      <c r="C192" s="633" t="s">
        <v>597</v>
      </c>
      <c r="D192" s="1880"/>
      <c r="F192" s="549">
        <v>0</v>
      </c>
      <c r="G192" s="550" t="e">
        <f>702/E192</f>
        <v>#DIV/0!</v>
      </c>
      <c r="H192" s="551">
        <v>0</v>
      </c>
      <c r="I192" s="566" t="e">
        <f>[1]!Tabel6689[[#This Row],[Fix.ch. 2015]]+[1]!Tabel6689[[#This Row],[Var. ch. 2015]]+[1]!Tabel6689[[#This Row],[Oth. ch. DW 2015]]</f>
        <v>#REF!</v>
      </c>
      <c r="J192" s="567">
        <v>0</v>
      </c>
      <c r="K192" s="568" t="e">
        <f>506/E192</f>
        <v>#DIV/0!</v>
      </c>
      <c r="L192" s="568"/>
      <c r="M192" s="569">
        <v>0</v>
      </c>
      <c r="N192" s="1270" t="e">
        <f>Tabel6689172627[[#This Row],[Sew. 2015]]+Tabel6689172627[[#This Row],[WW 2015]]+Tabel6689172627[[#This Row],[Other ch. 2015]]</f>
        <v>#DIV/0!</v>
      </c>
      <c r="O192" s="1271" t="e">
        <f>289.92/E192</f>
        <v>#DIV/0!</v>
      </c>
      <c r="P192" s="571" t="e">
        <f>[1]!Tabel6689[[#This Row],[Total. ch. DW 2015]]+[1]!Tabel6689[[#This Row],[Sew. 2015]]+[1]!Tabel6689[[#This Row],[WW 2015]]+[1]!Tabel6689[[#This Row],[Other ch. 2015]]+[1]!Tabel6689[[#This Row],[VAT 2015]]</f>
        <v>#REF!</v>
      </c>
      <c r="Q192" s="397"/>
      <c r="R192" s="1886"/>
      <c r="S192" s="2130"/>
      <c r="T192" s="1890"/>
      <c r="U192" s="1892"/>
      <c r="V192" s="1894"/>
      <c r="W192" s="1911"/>
      <c r="X192" s="1913"/>
      <c r="Y192" s="2138"/>
      <c r="Z192" s="2053"/>
      <c r="AA192" s="397"/>
      <c r="AB192" s="591" t="s">
        <v>429</v>
      </c>
      <c r="AC192" s="591" t="s">
        <v>429</v>
      </c>
      <c r="AD192" s="614"/>
      <c r="AE192" s="614"/>
      <c r="AF192" s="614"/>
      <c r="AG192" s="591" t="s">
        <v>429</v>
      </c>
      <c r="AH192" s="614"/>
      <c r="AI192" s="397"/>
    </row>
    <row r="193" spans="1:35" ht="15.75" x14ac:dyDescent="0.25">
      <c r="A193" s="1757"/>
      <c r="B193" s="1213"/>
      <c r="C193" s="633" t="s">
        <v>765</v>
      </c>
      <c r="D193" s="1880"/>
      <c r="F193" s="549">
        <v>0</v>
      </c>
      <c r="G193" s="550" t="e">
        <f>618/E193</f>
        <v>#DIV/0!</v>
      </c>
      <c r="H193" s="551">
        <v>0</v>
      </c>
      <c r="I193" s="566" t="e">
        <f>[1]!Tabel6689[[#This Row],[Fix.ch. 2015]]+[1]!Tabel6689[[#This Row],[Var. ch. 2015]]+[1]!Tabel6689[[#This Row],[Oth. ch. DW 2015]]</f>
        <v>#REF!</v>
      </c>
      <c r="J193" s="567">
        <v>0</v>
      </c>
      <c r="K193" s="568" t="e">
        <f>514/E193</f>
        <v>#DIV/0!</v>
      </c>
      <c r="L193" s="568"/>
      <c r="M193" s="569">
        <v>0</v>
      </c>
      <c r="N193" s="1270" t="e">
        <f>Tabel6689172627[[#This Row],[Sew. 2015]]+Tabel6689172627[[#This Row],[WW 2015]]+Tabel6689172627[[#This Row],[Other ch. 2015]]</f>
        <v>#DIV/0!</v>
      </c>
      <c r="O193" s="1271" t="e">
        <f>271.68/E193</f>
        <v>#DIV/0!</v>
      </c>
      <c r="P193" s="571" t="e">
        <f>[1]!Tabel6689[[#This Row],[Total. ch. DW 2015]]+[1]!Tabel6689[[#This Row],[Sew. 2015]]+[1]!Tabel6689[[#This Row],[WW 2015]]+[1]!Tabel6689[[#This Row],[Other ch. 2015]]+[1]!Tabel6689[[#This Row],[VAT 2015]]</f>
        <v>#REF!</v>
      </c>
      <c r="Q193" s="397"/>
      <c r="R193" s="1886"/>
      <c r="S193" s="2130"/>
      <c r="T193" s="1890"/>
      <c r="U193" s="1892"/>
      <c r="V193" s="1894"/>
      <c r="W193" s="1911"/>
      <c r="X193" s="1913"/>
      <c r="Y193" s="2138"/>
      <c r="Z193" s="2053"/>
      <c r="AA193" s="397"/>
      <c r="AB193" s="591" t="s">
        <v>429</v>
      </c>
      <c r="AC193" s="591" t="s">
        <v>429</v>
      </c>
      <c r="AD193" s="614"/>
      <c r="AE193" s="614"/>
      <c r="AF193" s="614"/>
      <c r="AG193" s="591" t="s">
        <v>429</v>
      </c>
      <c r="AH193" s="614"/>
      <c r="AI193" s="397"/>
    </row>
    <row r="194" spans="1:35" ht="15.75" x14ac:dyDescent="0.25">
      <c r="A194" s="1757"/>
      <c r="B194" s="1213"/>
      <c r="C194" s="633" t="s">
        <v>1354</v>
      </c>
      <c r="D194" s="1880"/>
      <c r="F194" s="549">
        <v>0</v>
      </c>
      <c r="G194" s="550" t="e">
        <f>918/E194</f>
        <v>#DIV/0!</v>
      </c>
      <c r="H194" s="551">
        <v>0</v>
      </c>
      <c r="I194" s="566" t="e">
        <f>[1]!Tabel6689[[#This Row],[Fix.ch. 2015]]+[1]!Tabel6689[[#This Row],[Var. ch. 2015]]+[1]!Tabel6689[[#This Row],[Oth. ch. DW 2015]]</f>
        <v>#REF!</v>
      </c>
      <c r="J194" s="567">
        <v>0</v>
      </c>
      <c r="K194" s="568" t="e">
        <f>204/E194</f>
        <v>#DIV/0!</v>
      </c>
      <c r="L194" s="568"/>
      <c r="M194" s="569">
        <v>0</v>
      </c>
      <c r="N194" s="1270" t="e">
        <f>Tabel6689172627[[#This Row],[Sew. 2015]]+Tabel6689172627[[#This Row],[WW 2015]]+Tabel6689172627[[#This Row],[Other ch. 2015]]</f>
        <v>#DIV/0!</v>
      </c>
      <c r="O194" s="1271" t="e">
        <f>269.28/E194</f>
        <v>#DIV/0!</v>
      </c>
      <c r="P194" s="571" t="e">
        <f>[1]!Tabel6689[[#This Row],[Total. ch. DW 2015]]+[1]!Tabel6689[[#This Row],[Sew. 2015]]+[1]!Tabel6689[[#This Row],[WW 2015]]+[1]!Tabel6689[[#This Row],[Other ch. 2015]]+[1]!Tabel6689[[#This Row],[VAT 2015]]</f>
        <v>#REF!</v>
      </c>
      <c r="Q194" s="397"/>
      <c r="R194" s="1886"/>
      <c r="S194" s="2130"/>
      <c r="T194" s="1890"/>
      <c r="U194" s="1892"/>
      <c r="V194" s="1894"/>
      <c r="W194" s="1911"/>
      <c r="X194" s="1913"/>
      <c r="Y194" s="2138"/>
      <c r="Z194" s="2053"/>
      <c r="AA194" s="397"/>
      <c r="AB194" s="591" t="s">
        <v>429</v>
      </c>
      <c r="AC194" s="591" t="s">
        <v>429</v>
      </c>
      <c r="AD194" s="614"/>
      <c r="AE194" s="614"/>
      <c r="AF194" s="614"/>
      <c r="AG194" s="591" t="s">
        <v>429</v>
      </c>
      <c r="AH194" s="614"/>
      <c r="AI194" s="397"/>
    </row>
    <row r="195" spans="1:35" ht="15.75" x14ac:dyDescent="0.25">
      <c r="A195" s="1757"/>
      <c r="B195" s="1213"/>
      <c r="C195" s="633" t="s">
        <v>766</v>
      </c>
      <c r="D195" s="1880"/>
      <c r="F195" s="549">
        <v>0</v>
      </c>
      <c r="G195" s="550" t="e">
        <f>604/E195</f>
        <v>#DIV/0!</v>
      </c>
      <c r="H195" s="551">
        <v>0</v>
      </c>
      <c r="I195" s="566" t="e">
        <f>[1]!Tabel6689[[#This Row],[Fix.ch. 2015]]+[1]!Tabel6689[[#This Row],[Var. ch. 2015]]+[1]!Tabel6689[[#This Row],[Oth. ch. DW 2015]]</f>
        <v>#REF!</v>
      </c>
      <c r="J195" s="567">
        <v>0</v>
      </c>
      <c r="K195" s="568" t="e">
        <f>458/E195</f>
        <v>#DIV/0!</v>
      </c>
      <c r="L195" s="568"/>
      <c r="M195" s="569">
        <v>0</v>
      </c>
      <c r="N195" s="1270" t="e">
        <f>Tabel6689172627[[#This Row],[Sew. 2015]]+Tabel6689172627[[#This Row],[WW 2015]]+Tabel6689172627[[#This Row],[Other ch. 2015]]</f>
        <v>#DIV/0!</v>
      </c>
      <c r="O195" s="1271" t="e">
        <f>254.88/E195</f>
        <v>#DIV/0!</v>
      </c>
      <c r="P195" s="571" t="e">
        <f>[1]!Tabel6689[[#This Row],[Total. ch. DW 2015]]+[1]!Tabel6689[[#This Row],[Sew. 2015]]+[1]!Tabel6689[[#This Row],[WW 2015]]+[1]!Tabel6689[[#This Row],[Other ch. 2015]]+[1]!Tabel6689[[#This Row],[VAT 2015]]</f>
        <v>#REF!</v>
      </c>
      <c r="Q195" s="397"/>
      <c r="R195" s="1886"/>
      <c r="S195" s="2130"/>
      <c r="T195" s="1890"/>
      <c r="U195" s="1892"/>
      <c r="V195" s="1894"/>
      <c r="W195" s="1911"/>
      <c r="X195" s="1913"/>
      <c r="Y195" s="2138"/>
      <c r="Z195" s="2053"/>
      <c r="AA195" s="397"/>
      <c r="AB195" s="591"/>
      <c r="AC195" s="591" t="s">
        <v>429</v>
      </c>
      <c r="AD195" s="614"/>
      <c r="AE195" s="614"/>
      <c r="AF195" s="614"/>
      <c r="AG195" s="591" t="s">
        <v>429</v>
      </c>
      <c r="AH195" s="614"/>
      <c r="AI195" s="397"/>
    </row>
    <row r="196" spans="1:35" ht="15.75" x14ac:dyDescent="0.25">
      <c r="A196" s="1757"/>
      <c r="B196" s="1213"/>
      <c r="C196" s="633" t="s">
        <v>767</v>
      </c>
      <c r="D196" s="1880"/>
      <c r="F196" s="549">
        <v>0</v>
      </c>
      <c r="G196" s="550" t="e">
        <f>540/E196</f>
        <v>#DIV/0!</v>
      </c>
      <c r="H196" s="551">
        <v>0</v>
      </c>
      <c r="I196" s="566" t="e">
        <f>[1]!Tabel6689[[#This Row],[Fix.ch. 2015]]+[1]!Tabel6689[[#This Row],[Var. ch. 2015]]+[1]!Tabel6689[[#This Row],[Oth. ch. DW 2015]]</f>
        <v>#REF!</v>
      </c>
      <c r="J196" s="567">
        <v>0</v>
      </c>
      <c r="K196" s="568" t="e">
        <f>508/E196</f>
        <v>#DIV/0!</v>
      </c>
      <c r="L196" s="568"/>
      <c r="M196" s="569">
        <v>0</v>
      </c>
      <c r="N196" s="1270" t="e">
        <f>Tabel6689172627[[#This Row],[Sew. 2015]]+Tabel6689172627[[#This Row],[WW 2015]]+Tabel6689172627[[#This Row],[Other ch. 2015]]</f>
        <v>#DIV/0!</v>
      </c>
      <c r="O196" s="1271" t="e">
        <f>251.52/E196</f>
        <v>#DIV/0!</v>
      </c>
      <c r="P196" s="571" t="e">
        <f>[1]!Tabel6689[[#This Row],[Total. ch. DW 2015]]+[1]!Tabel6689[[#This Row],[Sew. 2015]]+[1]!Tabel6689[[#This Row],[WW 2015]]+[1]!Tabel6689[[#This Row],[Other ch. 2015]]+[1]!Tabel6689[[#This Row],[VAT 2015]]</f>
        <v>#REF!</v>
      </c>
      <c r="Q196" s="397"/>
      <c r="R196" s="1886"/>
      <c r="S196" s="2130"/>
      <c r="T196" s="1890"/>
      <c r="U196" s="1892"/>
      <c r="V196" s="1894"/>
      <c r="W196" s="1911"/>
      <c r="X196" s="1913"/>
      <c r="Y196" s="2138"/>
      <c r="Z196" s="2053"/>
      <c r="AA196" s="397"/>
      <c r="AB196" s="591" t="s">
        <v>429</v>
      </c>
      <c r="AC196" s="591" t="s">
        <v>429</v>
      </c>
      <c r="AD196" s="614"/>
      <c r="AE196" s="614"/>
      <c r="AF196" s="614"/>
      <c r="AG196" s="591" t="s">
        <v>429</v>
      </c>
      <c r="AH196" s="614"/>
      <c r="AI196" s="397"/>
    </row>
    <row r="197" spans="1:35" ht="15.75" x14ac:dyDescent="0.25">
      <c r="A197" s="1757"/>
      <c r="B197" s="1213"/>
      <c r="C197" s="633" t="s">
        <v>768</v>
      </c>
      <c r="D197" s="1880"/>
      <c r="F197" s="549">
        <v>0</v>
      </c>
      <c r="G197" s="550" t="e">
        <f>610/E197</f>
        <v>#DIV/0!</v>
      </c>
      <c r="H197" s="551">
        <v>0</v>
      </c>
      <c r="I197" s="566" t="e">
        <f>[1]!Tabel6689[[#This Row],[Fix.ch. 2015]]+[1]!Tabel6689[[#This Row],[Var. ch. 2015]]+[1]!Tabel6689[[#This Row],[Oth. ch. DW 2015]]</f>
        <v>#REF!</v>
      </c>
      <c r="J197" s="567">
        <v>0</v>
      </c>
      <c r="K197" s="568" t="e">
        <f>294/E197</f>
        <v>#DIV/0!</v>
      </c>
      <c r="L197" s="568"/>
      <c r="M197" s="569">
        <v>0</v>
      </c>
      <c r="N197" s="1270" t="e">
        <f>Tabel6689172627[[#This Row],[Sew. 2015]]+Tabel6689172627[[#This Row],[WW 2015]]+Tabel6689172627[[#This Row],[Other ch. 2015]]</f>
        <v>#DIV/0!</v>
      </c>
      <c r="O197" s="1271" t="e">
        <f>216.96/E197</f>
        <v>#DIV/0!</v>
      </c>
      <c r="P197" s="571" t="e">
        <f>[1]!Tabel6689[[#This Row],[Total. ch. DW 2015]]+[1]!Tabel6689[[#This Row],[Sew. 2015]]+[1]!Tabel6689[[#This Row],[WW 2015]]+[1]!Tabel6689[[#This Row],[Other ch. 2015]]+[1]!Tabel6689[[#This Row],[VAT 2015]]</f>
        <v>#REF!</v>
      </c>
      <c r="Q197" s="397"/>
      <c r="R197" s="1886"/>
      <c r="S197" s="2130"/>
      <c r="T197" s="1890"/>
      <c r="U197" s="1892"/>
      <c r="V197" s="1894"/>
      <c r="W197" s="1911"/>
      <c r="X197" s="1913"/>
      <c r="Y197" s="2138"/>
      <c r="Z197" s="2053"/>
      <c r="AA197" s="397"/>
      <c r="AB197" s="591" t="s">
        <v>429</v>
      </c>
      <c r="AC197" s="591" t="s">
        <v>429</v>
      </c>
      <c r="AD197" s="614"/>
      <c r="AE197" s="614"/>
      <c r="AF197" s="614"/>
      <c r="AG197" s="591" t="s">
        <v>429</v>
      </c>
      <c r="AH197" s="614"/>
      <c r="AI197" s="397"/>
    </row>
    <row r="198" spans="1:35" ht="15.75" x14ac:dyDescent="0.25">
      <c r="A198" s="1757"/>
      <c r="B198" s="1213"/>
      <c r="C198" s="633" t="s">
        <v>769</v>
      </c>
      <c r="D198" s="1880"/>
      <c r="F198" s="549">
        <v>0</v>
      </c>
      <c r="G198" s="550" t="e">
        <f>606/E198</f>
        <v>#DIV/0!</v>
      </c>
      <c r="H198" s="551">
        <v>0</v>
      </c>
      <c r="I198" s="566" t="e">
        <f>[1]!Tabel6689[[#This Row],[Fix.ch. 2015]]+[1]!Tabel6689[[#This Row],[Var. ch. 2015]]+[1]!Tabel6689[[#This Row],[Oth. ch. DW 2015]]</f>
        <v>#REF!</v>
      </c>
      <c r="J198" s="567">
        <v>0</v>
      </c>
      <c r="K198" s="568" t="e">
        <f>388/E198</f>
        <v>#DIV/0!</v>
      </c>
      <c r="L198" s="568"/>
      <c r="M198" s="569">
        <v>0</v>
      </c>
      <c r="N198" s="1270" t="e">
        <f>Tabel6689172627[[#This Row],[Sew. 2015]]+Tabel6689172627[[#This Row],[WW 2015]]+Tabel6689172627[[#This Row],[Other ch. 2015]]</f>
        <v>#DIV/0!</v>
      </c>
      <c r="O198" s="1271" t="e">
        <f>238.56/E198</f>
        <v>#DIV/0!</v>
      </c>
      <c r="P198" s="571" t="e">
        <f>[1]!Tabel6689[[#This Row],[Total. ch. DW 2015]]+[1]!Tabel6689[[#This Row],[Sew. 2015]]+[1]!Tabel6689[[#This Row],[WW 2015]]+[1]!Tabel6689[[#This Row],[Other ch. 2015]]+[1]!Tabel6689[[#This Row],[VAT 2015]]</f>
        <v>#REF!</v>
      </c>
      <c r="Q198" s="397"/>
      <c r="R198" s="1886"/>
      <c r="S198" s="2130"/>
      <c r="T198" s="1890"/>
      <c r="U198" s="1892"/>
      <c r="V198" s="1894"/>
      <c r="W198" s="1911"/>
      <c r="X198" s="1913"/>
      <c r="Y198" s="2138"/>
      <c r="Z198" s="2053"/>
      <c r="AA198" s="397"/>
      <c r="AB198" s="591" t="s">
        <v>429</v>
      </c>
      <c r="AC198" s="591" t="s">
        <v>429</v>
      </c>
      <c r="AD198" s="614"/>
      <c r="AE198" s="614"/>
      <c r="AF198" s="614"/>
      <c r="AG198" s="591" t="s">
        <v>429</v>
      </c>
      <c r="AH198" s="614"/>
      <c r="AI198" s="397"/>
    </row>
    <row r="199" spans="1:35" ht="15.75" x14ac:dyDescent="0.25">
      <c r="A199" s="1757"/>
      <c r="B199" s="1213"/>
      <c r="C199" s="633" t="s">
        <v>770</v>
      </c>
      <c r="D199" s="1880"/>
      <c r="F199" s="549">
        <v>0</v>
      </c>
      <c r="G199" s="550" t="e">
        <f>596/E199</f>
        <v>#DIV/0!</v>
      </c>
      <c r="H199" s="551">
        <v>0</v>
      </c>
      <c r="I199" s="566" t="e">
        <f>[1]!Tabel6689[[#This Row],[Fix.ch. 2015]]+[1]!Tabel6689[[#This Row],[Var. ch. 2015]]+[1]!Tabel6689[[#This Row],[Oth. ch. DW 2015]]</f>
        <v>#REF!</v>
      </c>
      <c r="J199" s="567">
        <v>0</v>
      </c>
      <c r="K199" s="568" t="e">
        <f>276/E199</f>
        <v>#DIV/0!</v>
      </c>
      <c r="L199" s="568"/>
      <c r="M199" s="569">
        <v>0</v>
      </c>
      <c r="N199" s="1270" t="e">
        <f>Tabel6689172627[[#This Row],[Sew. 2015]]+Tabel6689172627[[#This Row],[WW 2015]]+Tabel6689172627[[#This Row],[Other ch. 2015]]</f>
        <v>#DIV/0!</v>
      </c>
      <c r="O199" s="1271" t="e">
        <f>209.28/E199</f>
        <v>#DIV/0!</v>
      </c>
      <c r="P199" s="571" t="e">
        <f>[1]!Tabel6689[[#This Row],[Total. ch. DW 2015]]+[1]!Tabel6689[[#This Row],[Sew. 2015]]+[1]!Tabel6689[[#This Row],[WW 2015]]+[1]!Tabel6689[[#This Row],[Other ch. 2015]]+[1]!Tabel6689[[#This Row],[VAT 2015]]</f>
        <v>#REF!</v>
      </c>
      <c r="Q199" s="397"/>
      <c r="R199" s="1886"/>
      <c r="S199" s="2130"/>
      <c r="T199" s="1890"/>
      <c r="U199" s="1892"/>
      <c r="V199" s="1894"/>
      <c r="W199" s="1911"/>
      <c r="X199" s="1913"/>
      <c r="Y199" s="2138"/>
      <c r="Z199" s="2053"/>
      <c r="AA199" s="397"/>
      <c r="AB199" s="591" t="s">
        <v>429</v>
      </c>
      <c r="AC199" s="591" t="s">
        <v>429</v>
      </c>
      <c r="AD199" s="614"/>
      <c r="AE199" s="614"/>
      <c r="AF199" s="614"/>
      <c r="AG199" s="591" t="s">
        <v>429</v>
      </c>
      <c r="AH199" s="614"/>
      <c r="AI199" s="397"/>
    </row>
    <row r="200" spans="1:35" ht="15.75" x14ac:dyDescent="0.25">
      <c r="A200" s="1757"/>
      <c r="B200" s="1213"/>
      <c r="C200" s="633" t="s">
        <v>771</v>
      </c>
      <c r="D200" s="1880"/>
      <c r="F200" s="549">
        <v>0</v>
      </c>
      <c r="G200" s="550" t="e">
        <f>612/E200</f>
        <v>#DIV/0!</v>
      </c>
      <c r="H200" s="551">
        <v>0</v>
      </c>
      <c r="I200" s="566" t="e">
        <f>[1]!Tabel6689[[#This Row],[Fix.ch. 2015]]+[1]!Tabel6689[[#This Row],[Var. ch. 2015]]+[1]!Tabel6689[[#This Row],[Oth. ch. DW 2015]]</f>
        <v>#REF!</v>
      </c>
      <c r="J200" s="567">
        <v>0</v>
      </c>
      <c r="K200" s="568" t="e">
        <f>412/E200</f>
        <v>#DIV/0!</v>
      </c>
      <c r="L200" s="568"/>
      <c r="M200" s="569">
        <v>0</v>
      </c>
      <c r="N200" s="1270" t="e">
        <f>Tabel6689172627[[#This Row],[Sew. 2015]]+Tabel6689172627[[#This Row],[WW 2015]]+Tabel6689172627[[#This Row],[Other ch. 2015]]</f>
        <v>#DIV/0!</v>
      </c>
      <c r="O200" s="1271" t="e">
        <f>245.76/E200</f>
        <v>#DIV/0!</v>
      </c>
      <c r="P200" s="571" t="e">
        <f>[1]!Tabel6689[[#This Row],[Total. ch. DW 2015]]+[1]!Tabel6689[[#This Row],[Sew. 2015]]+[1]!Tabel6689[[#This Row],[WW 2015]]+[1]!Tabel6689[[#This Row],[Other ch. 2015]]+[1]!Tabel6689[[#This Row],[VAT 2015]]</f>
        <v>#REF!</v>
      </c>
      <c r="Q200" s="397"/>
      <c r="R200" s="1886"/>
      <c r="S200" s="2130"/>
      <c r="T200" s="1890"/>
      <c r="U200" s="1892"/>
      <c r="V200" s="1894"/>
      <c r="W200" s="1911"/>
      <c r="X200" s="1913"/>
      <c r="Y200" s="2138"/>
      <c r="Z200" s="2053"/>
      <c r="AA200" s="397"/>
      <c r="AB200" s="591" t="s">
        <v>429</v>
      </c>
      <c r="AC200" s="591" t="s">
        <v>429</v>
      </c>
      <c r="AD200" s="614"/>
      <c r="AE200" s="614"/>
      <c r="AF200" s="614"/>
      <c r="AG200" s="591" t="s">
        <v>429</v>
      </c>
      <c r="AH200" s="614"/>
      <c r="AI200" s="397"/>
    </row>
    <row r="201" spans="1:35" ht="15.75" x14ac:dyDescent="0.25">
      <c r="A201" s="1757"/>
      <c r="B201" s="1213"/>
      <c r="C201" s="633" t="s">
        <v>772</v>
      </c>
      <c r="D201" s="1880"/>
      <c r="F201" s="549">
        <v>0</v>
      </c>
      <c r="G201" s="550" t="e">
        <f>770/E201</f>
        <v>#DIV/0!</v>
      </c>
      <c r="H201" s="551">
        <v>0</v>
      </c>
      <c r="I201" s="566" t="e">
        <f>[1]!Tabel6689[[#This Row],[Fix.ch. 2015]]+[1]!Tabel6689[[#This Row],[Var. ch. 2015]]+[1]!Tabel6689[[#This Row],[Oth. ch. DW 2015]]</f>
        <v>#REF!</v>
      </c>
      <c r="J201" s="567">
        <v>0</v>
      </c>
      <c r="K201" s="568" t="e">
        <f>346/E201</f>
        <v>#DIV/0!</v>
      </c>
      <c r="L201" s="568"/>
      <c r="M201" s="569">
        <v>0</v>
      </c>
      <c r="N201" s="1270" t="e">
        <f>Tabel6689172627[[#This Row],[Sew. 2015]]+Tabel6689172627[[#This Row],[WW 2015]]+Tabel6689172627[[#This Row],[Other ch. 2015]]</f>
        <v>#DIV/0!</v>
      </c>
      <c r="O201" s="1271" t="e">
        <f>267.84/E201</f>
        <v>#DIV/0!</v>
      </c>
      <c r="P201" s="571" t="e">
        <f>[1]!Tabel6689[[#This Row],[Total. ch. DW 2015]]+[1]!Tabel6689[[#This Row],[Sew. 2015]]+[1]!Tabel6689[[#This Row],[WW 2015]]+[1]!Tabel6689[[#This Row],[Other ch. 2015]]+[1]!Tabel6689[[#This Row],[VAT 2015]]</f>
        <v>#REF!</v>
      </c>
      <c r="Q201" s="397"/>
      <c r="R201" s="1886"/>
      <c r="S201" s="2130"/>
      <c r="T201" s="1890"/>
      <c r="U201" s="1892"/>
      <c r="V201" s="1894"/>
      <c r="W201" s="1911"/>
      <c r="X201" s="1913"/>
      <c r="Y201" s="2138"/>
      <c r="Z201" s="2053"/>
      <c r="AA201" s="397"/>
      <c r="AB201" s="591" t="s">
        <v>429</v>
      </c>
      <c r="AC201" s="591" t="s">
        <v>429</v>
      </c>
      <c r="AD201" s="614"/>
      <c r="AE201" s="614"/>
      <c r="AF201" s="614"/>
      <c r="AG201" s="591" t="s">
        <v>429</v>
      </c>
      <c r="AH201" s="614"/>
      <c r="AI201" s="397"/>
    </row>
    <row r="202" spans="1:35" ht="16.5" thickBot="1" x14ac:dyDescent="0.3">
      <c r="A202" s="1758"/>
      <c r="B202" s="1213"/>
      <c r="C202" s="1294" t="s">
        <v>598</v>
      </c>
      <c r="D202" s="1923"/>
      <c r="F202" s="319"/>
      <c r="G202" s="320"/>
      <c r="H202" s="321"/>
      <c r="I202" s="313"/>
      <c r="J202" s="322"/>
      <c r="K202" s="323"/>
      <c r="L202" s="323"/>
      <c r="M202" s="324"/>
      <c r="N202" s="1257">
        <f>Tabel6689172627[[#This Row],[Sew. 2015]]+Tabel6689172627[[#This Row],[WW 2015]]+Tabel6689172627[[#This Row],[Other ch. 2015]]</f>
        <v>0</v>
      </c>
      <c r="O202" s="1258"/>
      <c r="P202" s="318"/>
      <c r="Q202" s="397"/>
      <c r="R202" s="1970"/>
      <c r="S202" s="2287"/>
      <c r="T202" s="1976"/>
      <c r="U202" s="1979"/>
      <c r="V202" s="1982"/>
      <c r="W202" s="1956"/>
      <c r="X202" s="1959"/>
      <c r="Y202" s="2285"/>
      <c r="Z202" s="2261"/>
      <c r="AA202" s="397"/>
      <c r="AB202" s="591"/>
      <c r="AC202" s="591"/>
      <c r="AD202" s="614"/>
      <c r="AE202" s="614"/>
      <c r="AF202" s="614"/>
      <c r="AG202" s="591"/>
      <c r="AH202" s="614"/>
      <c r="AI202" s="397"/>
    </row>
    <row r="203" spans="1:35" ht="19.5" thickBot="1" x14ac:dyDescent="0.35">
      <c r="A203" s="1169" t="s">
        <v>693</v>
      </c>
      <c r="B203" s="1213"/>
      <c r="C203" s="1295" t="s">
        <v>694</v>
      </c>
      <c r="D203" s="1194">
        <v>23700</v>
      </c>
      <c r="F203" s="549">
        <f>0</f>
        <v>0</v>
      </c>
      <c r="G203" s="550" t="e">
        <f>5064/E203</f>
        <v>#DIV/0!</v>
      </c>
      <c r="H203" s="551" t="e">
        <f>454/E203</f>
        <v>#DIV/0!</v>
      </c>
      <c r="I203" s="566" t="e">
        <f>Tabel6689172627[[#This Row],[Fix.ch. 2015]]+Tabel6689172627[[#This Row],[Var. ch. 2015]]+Tabel6689172627[[#This Row],[Oth. ch. DW 2015]]</f>
        <v>#DIV/0!</v>
      </c>
      <c r="J203" s="567" t="e">
        <f>4400/E203</f>
        <v>#DIV/0!</v>
      </c>
      <c r="K203" s="568">
        <f>0</f>
        <v>0</v>
      </c>
      <c r="L203" s="568"/>
      <c r="M203" s="569" t="e">
        <f>742/E203</f>
        <v>#DIV/0!</v>
      </c>
      <c r="N203" s="1270" t="e">
        <f>Tabel6689172627[[#This Row],[Sew. 2015]]+Tabel6689172627[[#This Row],[WW 2015]]+Tabel6689172627[[#This Row],[Other ch. 2015]]</f>
        <v>#DIV/0!</v>
      </c>
      <c r="O203" s="1271">
        <v>0</v>
      </c>
      <c r="P203" s="571" t="e">
        <f>Tabel6689172627[[#This Row],[Total. ch. DW 2015]]+Tabel6689172627[[#This Row],[Sew. 2015]]+Tabel6689172627[[#This Row],[WW 2015]]+Tabel6689172627[[#This Row],[Other ch. 2015]]+Tabel6689172627[[#This Row],[VAT 2015]]</f>
        <v>#DIV/0!</v>
      </c>
      <c r="Q203" s="397"/>
      <c r="R203" s="1296">
        <f>Tabel6689172627[[#This Row],[Fix.ch. 2015]]</f>
        <v>0</v>
      </c>
      <c r="S203" s="1297" t="e">
        <f>Tabel6689172627[[#This Row],[Var. ch. 2015]]</f>
        <v>#DIV/0!</v>
      </c>
      <c r="T203" s="1298" t="e">
        <f>Tabel6689172627[[#This Row],[Oth. ch. DW 2015]]</f>
        <v>#DIV/0!</v>
      </c>
      <c r="U203" s="1299" t="e">
        <f>Tabel6689172627[[#This Row],[Total. ch. DW 2015]]</f>
        <v>#DIV/0!</v>
      </c>
      <c r="V203" s="1300" t="e">
        <f>Tabel6689172627[[#This Row],[Sew. 2015]]</f>
        <v>#DIV/0!</v>
      </c>
      <c r="W203" s="1301">
        <f>Tabel6689172627[[#This Row],[WW 2015]]</f>
        <v>0</v>
      </c>
      <c r="X203" s="1302" t="e">
        <f>Tabel6689172627[[#This Row],[Other ch. 2015]]</f>
        <v>#DIV/0!</v>
      </c>
      <c r="Y203" s="1303">
        <f>Tabel6689172627[[#This Row],[VAT 2015]]</f>
        <v>0</v>
      </c>
      <c r="Z203" s="1304" t="e">
        <f>Tabel6689172627[[#This Row],[total charge 2015]]</f>
        <v>#DIV/0!</v>
      </c>
      <c r="AA203" s="397"/>
      <c r="AB203" s="396"/>
      <c r="AC203" s="396"/>
      <c r="AD203" s="398"/>
      <c r="AE203" s="398"/>
      <c r="AF203" s="398"/>
      <c r="AG203" s="396"/>
      <c r="AH203" s="398"/>
      <c r="AI203" s="397"/>
    </row>
    <row r="204" spans="1:35" ht="15.75" x14ac:dyDescent="0.25">
      <c r="A204" s="1878" t="s">
        <v>47</v>
      </c>
      <c r="B204" s="1213"/>
      <c r="C204" s="543" t="s">
        <v>204</v>
      </c>
      <c r="D204" s="1759">
        <v>41200</v>
      </c>
      <c r="F204" s="319"/>
      <c r="G204" s="320"/>
      <c r="H204" s="321"/>
      <c r="I204" s="313">
        <f>Tabel6689172627[[#This Row],[Fix.ch. 2015]]+Tabel6689172627[[#This Row],[Var. ch. 2015]]+Tabel6689172627[[#This Row],[Oth. ch. DW 2015]]</f>
        <v>0</v>
      </c>
      <c r="J204" s="322"/>
      <c r="K204" s="323"/>
      <c r="L204" s="323"/>
      <c r="M204" s="324"/>
      <c r="N204" s="1257">
        <f>Tabel6689172627[[#This Row],[Sew. 2015]]+Tabel6689172627[[#This Row],[WW 2015]]+Tabel6689172627[[#This Row],[Other ch. 2015]]</f>
        <v>0</v>
      </c>
      <c r="O204" s="1258"/>
      <c r="P204" s="318">
        <f>Tabel6689172627[[#This Row],[Total. ch. DW 2015]]+Tabel6689172627[[#This Row],[Sew. 2015]]+Tabel6689172627[[#This Row],[WW 2015]]+Tabel6689172627[[#This Row],[Other ch. 2015]]+Tabel6689172627[[#This Row],[VAT 2015]]</f>
        <v>0</v>
      </c>
      <c r="Q204" s="397"/>
      <c r="R204" s="349"/>
      <c r="S204" s="350"/>
      <c r="T204" s="351"/>
      <c r="U204" s="352"/>
      <c r="V204" s="353"/>
      <c r="W204" s="354"/>
      <c r="X204" s="355"/>
      <c r="Y204" s="356"/>
      <c r="Z204" s="357"/>
      <c r="AA204" s="397"/>
      <c r="AB204" s="662" t="s">
        <v>429</v>
      </c>
      <c r="AC204" s="662" t="s">
        <v>429</v>
      </c>
      <c r="AD204" s="398"/>
      <c r="AE204" s="398"/>
      <c r="AF204" s="398"/>
      <c r="AG204" s="398"/>
      <c r="AH204" s="398"/>
      <c r="AI204" s="397"/>
    </row>
    <row r="205" spans="1:35" ht="15.75" x14ac:dyDescent="0.25">
      <c r="A205" s="1757"/>
      <c r="B205" s="1213"/>
      <c r="C205" s="1293" t="s">
        <v>205</v>
      </c>
      <c r="D205" s="1880"/>
      <c r="F205" s="319"/>
      <c r="G205" s="320"/>
      <c r="H205" s="321"/>
      <c r="I205" s="313">
        <f>Tabel6689172627[[#This Row],[Fix.ch. 2015]]+Tabel6689172627[[#This Row],[Var. ch. 2015]]+Tabel6689172627[[#This Row],[Oth. ch. DW 2015]]</f>
        <v>0</v>
      </c>
      <c r="J205" s="322"/>
      <c r="K205" s="323"/>
      <c r="L205" s="323"/>
      <c r="M205" s="324"/>
      <c r="N205" s="1257">
        <f>Tabel6689172627[[#This Row],[Sew. 2015]]+Tabel6689172627[[#This Row],[WW 2015]]+Tabel6689172627[[#This Row],[Other ch. 2015]]</f>
        <v>0</v>
      </c>
      <c r="O205" s="1258"/>
      <c r="P205" s="318">
        <f>Tabel6689172627[[#This Row],[Total. ch. DW 2015]]+Tabel6689172627[[#This Row],[Sew. 2015]]+Tabel6689172627[[#This Row],[WW 2015]]+Tabel6689172627[[#This Row],[Other ch. 2015]]+Tabel6689172627[[#This Row],[VAT 2015]]</f>
        <v>0</v>
      </c>
      <c r="Q205" s="397"/>
      <c r="R205" s="358"/>
      <c r="S205" s="359"/>
      <c r="T205" s="360"/>
      <c r="U205" s="361"/>
      <c r="V205" s="362"/>
      <c r="W205" s="363"/>
      <c r="X205" s="364"/>
      <c r="Y205" s="365"/>
      <c r="Z205" s="366"/>
      <c r="AA205" s="397"/>
      <c r="AB205" s="662" t="s">
        <v>429</v>
      </c>
      <c r="AC205" s="662" t="s">
        <v>429</v>
      </c>
      <c r="AD205" s="398"/>
      <c r="AE205" s="398"/>
      <c r="AF205" s="398"/>
      <c r="AG205" s="398"/>
      <c r="AH205" s="398"/>
      <c r="AI205" s="397"/>
    </row>
    <row r="206" spans="1:35" ht="15.75" x14ac:dyDescent="0.25">
      <c r="A206" s="1757"/>
      <c r="B206" s="1213"/>
      <c r="C206" s="1293" t="s">
        <v>206</v>
      </c>
      <c r="D206" s="1880"/>
      <c r="F206" s="319"/>
      <c r="G206" s="320"/>
      <c r="H206" s="321"/>
      <c r="I206" s="313">
        <f>Tabel6689172627[[#This Row],[Fix.ch. 2015]]+Tabel6689172627[[#This Row],[Var. ch. 2015]]+Tabel6689172627[[#This Row],[Oth. ch. DW 2015]]</f>
        <v>0</v>
      </c>
      <c r="J206" s="322"/>
      <c r="K206" s="323"/>
      <c r="L206" s="323"/>
      <c r="M206" s="324"/>
      <c r="N206" s="1257">
        <f>Tabel6689172627[[#This Row],[Sew. 2015]]+Tabel6689172627[[#This Row],[WW 2015]]+Tabel6689172627[[#This Row],[Other ch. 2015]]</f>
        <v>0</v>
      </c>
      <c r="O206" s="1258"/>
      <c r="P206" s="318">
        <f>Tabel6689172627[[#This Row],[Total. ch. DW 2015]]+Tabel6689172627[[#This Row],[Sew. 2015]]+Tabel6689172627[[#This Row],[WW 2015]]+Tabel6689172627[[#This Row],[Other ch. 2015]]+Tabel6689172627[[#This Row],[VAT 2015]]</f>
        <v>0</v>
      </c>
      <c r="Q206" s="397"/>
      <c r="R206" s="358"/>
      <c r="S206" s="359"/>
      <c r="T206" s="360"/>
      <c r="U206" s="361"/>
      <c r="V206" s="362"/>
      <c r="W206" s="363"/>
      <c r="X206" s="364"/>
      <c r="Y206" s="365"/>
      <c r="Z206" s="366"/>
      <c r="AA206" s="397"/>
      <c r="AB206" s="662" t="s">
        <v>429</v>
      </c>
      <c r="AC206" s="662" t="s">
        <v>429</v>
      </c>
      <c r="AD206" s="398"/>
      <c r="AE206" s="398"/>
      <c r="AF206" s="398"/>
      <c r="AG206" s="398"/>
      <c r="AH206" s="398"/>
      <c r="AI206" s="397"/>
    </row>
    <row r="207" spans="1:35" ht="15.75" x14ac:dyDescent="0.25">
      <c r="A207" s="1757"/>
      <c r="B207" s="1213"/>
      <c r="C207" s="1293" t="s">
        <v>207</v>
      </c>
      <c r="D207" s="1880"/>
      <c r="F207" s="319"/>
      <c r="G207" s="320"/>
      <c r="H207" s="321"/>
      <c r="I207" s="313">
        <f>Tabel6689172627[[#This Row],[Fix.ch. 2015]]+Tabel6689172627[[#This Row],[Var. ch. 2015]]+Tabel6689172627[[#This Row],[Oth. ch. DW 2015]]</f>
        <v>0</v>
      </c>
      <c r="J207" s="322"/>
      <c r="K207" s="323"/>
      <c r="L207" s="323"/>
      <c r="M207" s="324"/>
      <c r="N207" s="1257">
        <f>Tabel6689172627[[#This Row],[Sew. 2015]]+Tabel6689172627[[#This Row],[WW 2015]]+Tabel6689172627[[#This Row],[Other ch. 2015]]</f>
        <v>0</v>
      </c>
      <c r="O207" s="1258"/>
      <c r="P207" s="318">
        <f>Tabel6689172627[[#This Row],[Total. ch. DW 2015]]+Tabel6689172627[[#This Row],[Sew. 2015]]+Tabel6689172627[[#This Row],[WW 2015]]+Tabel6689172627[[#This Row],[Other ch. 2015]]+Tabel6689172627[[#This Row],[VAT 2015]]</f>
        <v>0</v>
      </c>
      <c r="Q207" s="397"/>
      <c r="R207" s="358"/>
      <c r="S207" s="359"/>
      <c r="T207" s="360"/>
      <c r="U207" s="361"/>
      <c r="V207" s="362"/>
      <c r="W207" s="363"/>
      <c r="X207" s="364"/>
      <c r="Y207" s="365"/>
      <c r="Z207" s="366"/>
      <c r="AA207" s="397"/>
      <c r="AB207" s="662" t="s">
        <v>429</v>
      </c>
      <c r="AC207" s="662" t="s">
        <v>429</v>
      </c>
      <c r="AD207" s="398"/>
      <c r="AE207" s="398"/>
      <c r="AF207" s="398"/>
      <c r="AG207" s="398"/>
      <c r="AH207" s="398"/>
      <c r="AI207" s="397"/>
    </row>
    <row r="208" spans="1:35" ht="15.75" x14ac:dyDescent="0.25">
      <c r="A208" s="1757"/>
      <c r="B208" s="1213"/>
      <c r="C208" s="1293" t="s">
        <v>208</v>
      </c>
      <c r="D208" s="1880"/>
      <c r="F208" s="319"/>
      <c r="G208" s="320"/>
      <c r="H208" s="321"/>
      <c r="I208" s="313">
        <f>Tabel6689172627[[#This Row],[Fix.ch. 2015]]+Tabel6689172627[[#This Row],[Var. ch. 2015]]+Tabel6689172627[[#This Row],[Oth. ch. DW 2015]]</f>
        <v>0</v>
      </c>
      <c r="J208" s="322"/>
      <c r="K208" s="323"/>
      <c r="L208" s="323"/>
      <c r="M208" s="324"/>
      <c r="N208" s="1257">
        <f>Tabel6689172627[[#This Row],[Sew. 2015]]+Tabel6689172627[[#This Row],[WW 2015]]+Tabel6689172627[[#This Row],[Other ch. 2015]]</f>
        <v>0</v>
      </c>
      <c r="O208" s="1258"/>
      <c r="P208" s="318">
        <f>Tabel6689172627[[#This Row],[Total. ch. DW 2015]]+Tabel6689172627[[#This Row],[Sew. 2015]]+Tabel6689172627[[#This Row],[WW 2015]]+Tabel6689172627[[#This Row],[Other ch. 2015]]+Tabel6689172627[[#This Row],[VAT 2015]]</f>
        <v>0</v>
      </c>
      <c r="Q208" s="397"/>
      <c r="R208" s="358"/>
      <c r="S208" s="359"/>
      <c r="T208" s="360"/>
      <c r="U208" s="361"/>
      <c r="V208" s="362"/>
      <c r="W208" s="363"/>
      <c r="X208" s="364"/>
      <c r="Y208" s="365"/>
      <c r="Z208" s="366"/>
      <c r="AA208" s="397"/>
      <c r="AB208" s="662" t="s">
        <v>429</v>
      </c>
      <c r="AC208" s="662" t="s">
        <v>429</v>
      </c>
      <c r="AD208" s="398"/>
      <c r="AE208" s="398"/>
      <c r="AF208" s="398"/>
      <c r="AG208" s="398"/>
      <c r="AH208" s="398"/>
      <c r="AI208" s="397"/>
    </row>
    <row r="209" spans="1:35" ht="15.75" x14ac:dyDescent="0.25">
      <c r="A209" s="1757"/>
      <c r="B209" s="1213"/>
      <c r="C209" s="1293" t="s">
        <v>209</v>
      </c>
      <c r="D209" s="1880"/>
      <c r="F209" s="319"/>
      <c r="G209" s="320"/>
      <c r="H209" s="321"/>
      <c r="I209" s="313">
        <f>Tabel6689172627[[#This Row],[Fix.ch. 2015]]+Tabel6689172627[[#This Row],[Var. ch. 2015]]+Tabel6689172627[[#This Row],[Oth. ch. DW 2015]]</f>
        <v>0</v>
      </c>
      <c r="J209" s="322"/>
      <c r="K209" s="323"/>
      <c r="L209" s="323"/>
      <c r="M209" s="324"/>
      <c r="N209" s="1257">
        <f>Tabel6689172627[[#This Row],[Sew. 2015]]+Tabel6689172627[[#This Row],[WW 2015]]+Tabel6689172627[[#This Row],[Other ch. 2015]]</f>
        <v>0</v>
      </c>
      <c r="O209" s="1258"/>
      <c r="P209" s="318">
        <f>Tabel6689172627[[#This Row],[Total. ch. DW 2015]]+Tabel6689172627[[#This Row],[Sew. 2015]]+Tabel6689172627[[#This Row],[WW 2015]]+Tabel6689172627[[#This Row],[Other ch. 2015]]+Tabel6689172627[[#This Row],[VAT 2015]]</f>
        <v>0</v>
      </c>
      <c r="Q209" s="397"/>
      <c r="R209" s="358"/>
      <c r="S209" s="359"/>
      <c r="T209" s="360"/>
      <c r="U209" s="361"/>
      <c r="V209" s="362"/>
      <c r="W209" s="363"/>
      <c r="X209" s="364"/>
      <c r="Y209" s="365"/>
      <c r="Z209" s="366"/>
      <c r="AA209" s="397"/>
      <c r="AB209" s="662" t="s">
        <v>429</v>
      </c>
      <c r="AC209" s="662" t="s">
        <v>429</v>
      </c>
      <c r="AD209" s="398"/>
      <c r="AE209" s="398"/>
      <c r="AF209" s="398"/>
      <c r="AG209" s="398"/>
      <c r="AH209" s="398"/>
      <c r="AI209" s="397"/>
    </row>
    <row r="210" spans="1:35" ht="15.75" x14ac:dyDescent="0.25">
      <c r="A210" s="1757"/>
      <c r="B210" s="1213"/>
      <c r="C210" s="1293" t="s">
        <v>210</v>
      </c>
      <c r="D210" s="1880"/>
      <c r="F210" s="319"/>
      <c r="G210" s="320"/>
      <c r="H210" s="321"/>
      <c r="I210" s="313">
        <f>Tabel6689172627[[#This Row],[Fix.ch. 2015]]+Tabel6689172627[[#This Row],[Var. ch. 2015]]+Tabel6689172627[[#This Row],[Oth. ch. DW 2015]]</f>
        <v>0</v>
      </c>
      <c r="J210" s="322"/>
      <c r="K210" s="323"/>
      <c r="L210" s="323"/>
      <c r="M210" s="324"/>
      <c r="N210" s="1257">
        <f>Tabel6689172627[[#This Row],[Sew. 2015]]+Tabel6689172627[[#This Row],[WW 2015]]+Tabel6689172627[[#This Row],[Other ch. 2015]]</f>
        <v>0</v>
      </c>
      <c r="O210" s="1258"/>
      <c r="P210" s="318">
        <f>Tabel6689172627[[#This Row],[Total. ch. DW 2015]]+Tabel6689172627[[#This Row],[Sew. 2015]]+Tabel6689172627[[#This Row],[WW 2015]]+Tabel6689172627[[#This Row],[Other ch. 2015]]+Tabel6689172627[[#This Row],[VAT 2015]]</f>
        <v>0</v>
      </c>
      <c r="Q210" s="397"/>
      <c r="R210" s="358"/>
      <c r="S210" s="359"/>
      <c r="T210" s="360"/>
      <c r="U210" s="361"/>
      <c r="V210" s="362"/>
      <c r="W210" s="363"/>
      <c r="X210" s="364"/>
      <c r="Y210" s="365"/>
      <c r="Z210" s="366"/>
      <c r="AA210" s="397"/>
      <c r="AB210" s="662" t="s">
        <v>429</v>
      </c>
      <c r="AC210" s="662" t="s">
        <v>429</v>
      </c>
      <c r="AD210" s="398"/>
      <c r="AE210" s="398"/>
      <c r="AF210" s="398"/>
      <c r="AG210" s="398"/>
      <c r="AH210" s="398"/>
      <c r="AI210" s="397"/>
    </row>
    <row r="211" spans="1:35" ht="16.5" thickBot="1" x14ac:dyDescent="0.3">
      <c r="A211" s="1758"/>
      <c r="B211" s="1213"/>
      <c r="C211" s="1305" t="s">
        <v>211</v>
      </c>
      <c r="D211" s="1923"/>
      <c r="F211" s="319"/>
      <c r="G211" s="320"/>
      <c r="H211" s="321"/>
      <c r="I211" s="313">
        <f>Tabel6689172627[[#This Row],[Fix.ch. 2015]]+Tabel6689172627[[#This Row],[Var. ch. 2015]]+Tabel6689172627[[#This Row],[Oth. ch. DW 2015]]</f>
        <v>0</v>
      </c>
      <c r="J211" s="322"/>
      <c r="K211" s="323"/>
      <c r="L211" s="323"/>
      <c r="M211" s="324"/>
      <c r="N211" s="1257">
        <f>Tabel6689172627[[#This Row],[Sew. 2015]]+Tabel6689172627[[#This Row],[WW 2015]]+Tabel6689172627[[#This Row],[Other ch. 2015]]</f>
        <v>0</v>
      </c>
      <c r="O211" s="1258"/>
      <c r="P211" s="318">
        <f>Tabel6689172627[[#This Row],[Total. ch. DW 2015]]+Tabel6689172627[[#This Row],[Sew. 2015]]+Tabel6689172627[[#This Row],[WW 2015]]+Tabel6689172627[[#This Row],[Other ch. 2015]]+Tabel6689172627[[#This Row],[VAT 2015]]</f>
        <v>0</v>
      </c>
      <c r="Q211" s="397"/>
      <c r="R211" s="358"/>
      <c r="S211" s="359"/>
      <c r="T211" s="360"/>
      <c r="U211" s="361"/>
      <c r="V211" s="362"/>
      <c r="W211" s="363"/>
      <c r="X211" s="364"/>
      <c r="Y211" s="365"/>
      <c r="Z211" s="366"/>
      <c r="AA211" s="397"/>
      <c r="AB211" s="662" t="s">
        <v>429</v>
      </c>
      <c r="AC211" s="662" t="s">
        <v>429</v>
      </c>
      <c r="AD211" s="398"/>
      <c r="AE211" s="398"/>
      <c r="AF211" s="398"/>
      <c r="AG211" s="398"/>
      <c r="AH211" s="398"/>
      <c r="AI211" s="397"/>
    </row>
    <row r="212" spans="1:35" ht="15.75" x14ac:dyDescent="0.25">
      <c r="A212" s="2150" t="s">
        <v>41</v>
      </c>
      <c r="B212" s="1617"/>
      <c r="C212" s="1289" t="s">
        <v>192</v>
      </c>
      <c r="D212" s="2288"/>
      <c r="F212" s="325"/>
      <c r="G212" s="326"/>
      <c r="H212" s="327"/>
      <c r="I212" s="313">
        <f>Tabel6689172627[[#This Row],[Fix.ch. 2015]]+Tabel6689172627[[#This Row],[Var. ch. 2015]]+Tabel6689172627[[#This Row],[Oth. ch. DW 2015]]</f>
        <v>0</v>
      </c>
      <c r="J212" s="328"/>
      <c r="K212" s="329"/>
      <c r="L212" s="329"/>
      <c r="M212" s="330"/>
      <c r="N212" s="1277">
        <f>Tabel6689172627[[#This Row],[Sew. 2015]]+Tabel6689172627[[#This Row],[WW 2015]]+Tabel6689172627[[#This Row],[Other ch. 2015]]</f>
        <v>0</v>
      </c>
      <c r="O212" s="1278"/>
      <c r="P212" s="318">
        <f>Tabel6689172627[[#This Row],[Total. ch. DW 2015]]+Tabel6689172627[[#This Row],[Sew. 2015]]+Tabel6689172627[[#This Row],[WW 2015]]+Tabel6689172627[[#This Row],[Other ch. 2015]]+Tabel6689172627[[#This Row],[VAT 2015]]</f>
        <v>0</v>
      </c>
      <c r="Q212" s="397"/>
      <c r="R212" s="358"/>
      <c r="S212" s="359"/>
      <c r="T212" s="360"/>
      <c r="U212" s="361"/>
      <c r="V212" s="362"/>
      <c r="W212" s="363"/>
      <c r="X212" s="364"/>
      <c r="Y212" s="365"/>
      <c r="Z212" s="366"/>
      <c r="AA212" s="397"/>
      <c r="AB212" s="398"/>
      <c r="AC212" s="398"/>
      <c r="AD212" s="398"/>
      <c r="AE212" s="398"/>
      <c r="AF212" s="398"/>
      <c r="AG212" s="398"/>
      <c r="AH212" s="398"/>
      <c r="AI212" s="397"/>
    </row>
    <row r="213" spans="1:35" ht="15.75" x14ac:dyDescent="0.25">
      <c r="A213" s="2151"/>
      <c r="B213" s="1617"/>
      <c r="C213" s="1289" t="s">
        <v>193</v>
      </c>
      <c r="D213" s="2154"/>
      <c r="F213" s="325"/>
      <c r="G213" s="326"/>
      <c r="H213" s="327"/>
      <c r="I213" s="313">
        <f>Tabel6689172627[[#This Row],[Fix.ch. 2015]]+Tabel6689172627[[#This Row],[Var. ch. 2015]]+Tabel6689172627[[#This Row],[Oth. ch. DW 2015]]</f>
        <v>0</v>
      </c>
      <c r="J213" s="328"/>
      <c r="K213" s="329"/>
      <c r="L213" s="329"/>
      <c r="M213" s="330"/>
      <c r="N213" s="1277">
        <f>Tabel6689172627[[#This Row],[Sew. 2015]]+Tabel6689172627[[#This Row],[WW 2015]]+Tabel6689172627[[#This Row],[Other ch. 2015]]</f>
        <v>0</v>
      </c>
      <c r="O213" s="1278"/>
      <c r="P213" s="318">
        <f>Tabel6689172627[[#This Row],[Total. ch. DW 2015]]+Tabel6689172627[[#This Row],[Sew. 2015]]+Tabel6689172627[[#This Row],[WW 2015]]+Tabel6689172627[[#This Row],[Other ch. 2015]]+Tabel6689172627[[#This Row],[VAT 2015]]</f>
        <v>0</v>
      </c>
      <c r="Q213" s="397"/>
      <c r="R213" s="358"/>
      <c r="S213" s="359"/>
      <c r="T213" s="360"/>
      <c r="U213" s="361"/>
      <c r="V213" s="362"/>
      <c r="W213" s="363"/>
      <c r="X213" s="364"/>
      <c r="Y213" s="365"/>
      <c r="Z213" s="366"/>
      <c r="AA213" s="397"/>
      <c r="AB213" s="398"/>
      <c r="AC213" s="398"/>
      <c r="AD213" s="398"/>
      <c r="AE213" s="398"/>
      <c r="AF213" s="398"/>
      <c r="AG213" s="398"/>
      <c r="AH213" s="398"/>
      <c r="AI213" s="397"/>
    </row>
    <row r="214" spans="1:35" ht="16.5" thickBot="1" x14ac:dyDescent="0.3">
      <c r="A214" s="2152"/>
      <c r="B214" s="1617"/>
      <c r="C214" s="1289" t="s">
        <v>194</v>
      </c>
      <c r="D214" s="2155"/>
      <c r="F214" s="325"/>
      <c r="G214" s="326"/>
      <c r="H214" s="327"/>
      <c r="I214" s="313">
        <f>Tabel6689172627[[#This Row],[Fix.ch. 2015]]+Tabel6689172627[[#This Row],[Var. ch. 2015]]+Tabel6689172627[[#This Row],[Oth. ch. DW 2015]]</f>
        <v>0</v>
      </c>
      <c r="J214" s="328"/>
      <c r="K214" s="329"/>
      <c r="L214" s="329"/>
      <c r="M214" s="330"/>
      <c r="N214" s="1277">
        <f>Tabel6689172627[[#This Row],[Sew. 2015]]+Tabel6689172627[[#This Row],[WW 2015]]+Tabel6689172627[[#This Row],[Other ch. 2015]]</f>
        <v>0</v>
      </c>
      <c r="O214" s="1278"/>
      <c r="P214" s="318">
        <f>Tabel6689172627[[#This Row],[Total. ch. DW 2015]]+Tabel6689172627[[#This Row],[Sew. 2015]]+Tabel6689172627[[#This Row],[WW 2015]]+Tabel6689172627[[#This Row],[Other ch. 2015]]+Tabel6689172627[[#This Row],[VAT 2015]]</f>
        <v>0</v>
      </c>
      <c r="Q214" s="397"/>
      <c r="R214" s="367"/>
      <c r="S214" s="368"/>
      <c r="T214" s="369"/>
      <c r="U214" s="370"/>
      <c r="V214" s="371"/>
      <c r="W214" s="372"/>
      <c r="X214" s="373"/>
      <c r="Y214" s="374"/>
      <c r="Z214" s="375"/>
      <c r="AA214" s="397"/>
      <c r="AB214" s="398"/>
      <c r="AC214" s="398"/>
      <c r="AD214" s="398"/>
      <c r="AE214" s="398"/>
      <c r="AF214" s="398"/>
      <c r="AG214" s="398"/>
      <c r="AH214" s="398"/>
      <c r="AI214" s="397"/>
    </row>
    <row r="215" spans="1:35" ht="19.5" thickBot="1" x14ac:dyDescent="0.35">
      <c r="A215" s="270" t="s">
        <v>42</v>
      </c>
      <c r="B215" s="1616"/>
      <c r="C215" s="1049" t="s">
        <v>42</v>
      </c>
      <c r="D215" s="1256">
        <v>59900</v>
      </c>
      <c r="F215" s="319">
        <v>0</v>
      </c>
      <c r="G215" s="320" t="e">
        <f>234/E215</f>
        <v>#DIV/0!</v>
      </c>
      <c r="H215" s="321" t="e">
        <f>70.2/E215</f>
        <v>#DIV/0!</v>
      </c>
      <c r="I215" s="313" t="e">
        <f>Tabel6689172627[[#This Row],[Fix.ch. 2015]]+Tabel6689172627[[#This Row],[Var. ch. 2015]]+Tabel6689172627[[#This Row],[Oth. ch. DW 2015]]</f>
        <v>#DIV/0!</v>
      </c>
      <c r="J215" s="322">
        <v>0</v>
      </c>
      <c r="K215" s="323" t="e">
        <f>56.06/E215</f>
        <v>#DIV/0!</v>
      </c>
      <c r="L215" s="323"/>
      <c r="M215" s="324" t="e">
        <f>67.29/E215</f>
        <v>#DIV/0!</v>
      </c>
      <c r="N215" s="1257" t="e">
        <f>Tabel6689172627[[#This Row],[Sew. 2015]]+Tabel6689172627[[#This Row],[WW 2015]]+Tabel6689172627[[#This Row],[Other ch. 2015]]</f>
        <v>#DIV/0!</v>
      </c>
      <c r="O215" s="1258" t="e">
        <f>29.93/E215</f>
        <v>#DIV/0!</v>
      </c>
      <c r="P215" s="318" t="e">
        <f>Tabel6689172627[[#This Row],[Total. ch. DW 2015]]+Tabel6689172627[[#This Row],[Sew. 2015]]+Tabel6689172627[[#This Row],[WW 2015]]+Tabel6689172627[[#This Row],[Other ch. 2015]]+Tabel6689172627[[#This Row],[VAT 2015]]</f>
        <v>#DIV/0!</v>
      </c>
      <c r="Q215" s="397"/>
      <c r="R215" s="1228">
        <f>Tabel6689172627[[#This Row],[Fix.ch. 2015]]</f>
        <v>0</v>
      </c>
      <c r="S215" s="1229" t="e">
        <f>Tabel6689172627[[#This Row],[Var. ch. 2015]]</f>
        <v>#DIV/0!</v>
      </c>
      <c r="T215" s="1230" t="e">
        <f>Tabel6689172627[[#This Row],[Oth. ch. DW 2015]]</f>
        <v>#DIV/0!</v>
      </c>
      <c r="U215" s="1231" t="e">
        <f>Tabel6689172627[[#This Row],[Total. ch. DW 2015]]</f>
        <v>#DIV/0!</v>
      </c>
      <c r="V215" s="1232">
        <f>Tabel6689172627[[#This Row],[Sew. 2015]]</f>
        <v>0</v>
      </c>
      <c r="W215" s="1233" t="e">
        <f>Tabel6689172627[[#This Row],[WW 2015]]</f>
        <v>#DIV/0!</v>
      </c>
      <c r="X215" s="1234" t="e">
        <f>Tabel6689172627[[#This Row],[Other ch. 2015]]</f>
        <v>#DIV/0!</v>
      </c>
      <c r="Y215" s="1235" t="e">
        <f>Tabel6689172627[[#This Row],[VAT 2015]]</f>
        <v>#DIV/0!</v>
      </c>
      <c r="Z215" s="1236" t="e">
        <f>Tabel6689172627[[#This Row],[total charge 2015]]</f>
        <v>#DIV/0!</v>
      </c>
      <c r="AA215" s="397"/>
      <c r="AB215" s="398"/>
      <c r="AC215" s="398"/>
      <c r="AD215" s="398"/>
      <c r="AE215" s="396" t="s">
        <v>429</v>
      </c>
      <c r="AF215" s="398"/>
      <c r="AG215" s="398"/>
      <c r="AH215" s="398"/>
      <c r="AI215" s="397"/>
    </row>
    <row r="216" spans="1:35" ht="15.75" x14ac:dyDescent="0.25">
      <c r="A216" s="1833" t="s">
        <v>24</v>
      </c>
      <c r="B216" s="1617"/>
      <c r="C216" s="298" t="s">
        <v>140</v>
      </c>
      <c r="D216" s="2210">
        <v>23400</v>
      </c>
      <c r="F216" s="319" t="e">
        <f>0.9*200/E216</f>
        <v>#DIV/0!</v>
      </c>
      <c r="G216" s="320">
        <v>0</v>
      </c>
      <c r="H216" s="321">
        <v>0</v>
      </c>
      <c r="I216" s="313" t="e">
        <f>Tabel6689172627[[#This Row],[Fix.ch. 2015]]+Tabel6689172627[[#This Row],[Var. ch. 2015]]+Tabel6689172627[[#This Row],[Oth. ch. DW 2015]]</f>
        <v>#DIV/0!</v>
      </c>
      <c r="J216" s="322" t="e">
        <f>1.02*200/E216</f>
        <v>#DIV/0!</v>
      </c>
      <c r="K216" s="323">
        <v>0</v>
      </c>
      <c r="L216" s="323"/>
      <c r="M216" s="324">
        <v>0</v>
      </c>
      <c r="N216" s="1257" t="e">
        <f>Tabel6689172627[[#This Row],[Sew. 2015]]+Tabel6689172627[[#This Row],[WW 2015]]+Tabel6689172627[[#This Row],[Other ch. 2015]]</f>
        <v>#DIV/0!</v>
      </c>
      <c r="O216" s="1258" t="e">
        <f>0.4*200/E216</f>
        <v>#DIV/0!</v>
      </c>
      <c r="P216" s="318" t="e">
        <f>Tabel6689172627[[#This Row],[Total. ch. DW 2015]]+Tabel6689172627[[#This Row],[Sew. 2015]]+Tabel6689172627[[#This Row],[WW 2015]]+Tabel6689172627[[#This Row],[Other ch. 2015]]+Tabel6689172627[[#This Row],[VAT 2015]]</f>
        <v>#DIV/0!</v>
      </c>
      <c r="Q216" s="397"/>
      <c r="R216" s="2211" t="e">
        <f>SUM(F216:F218)/3</f>
        <v>#DIV/0!</v>
      </c>
      <c r="S216" s="2212">
        <v>0</v>
      </c>
      <c r="T216" s="2213">
        <v>0</v>
      </c>
      <c r="U216" s="2214" t="e">
        <f>SUM(I216:I218)/3</f>
        <v>#DIV/0!</v>
      </c>
      <c r="V216" s="2215" t="e">
        <f>SUM(J216:J218)/3</f>
        <v>#DIV/0!</v>
      </c>
      <c r="W216" s="2216">
        <v>0</v>
      </c>
      <c r="X216" s="2217">
        <v>0</v>
      </c>
      <c r="Y216" s="2218" t="e">
        <f>SUM(O216:O218)/3</f>
        <v>#DIV/0!</v>
      </c>
      <c r="Z216" s="2219" t="e">
        <f>SUM(P216:P218)/3</f>
        <v>#DIV/0!</v>
      </c>
      <c r="AA216" s="397"/>
      <c r="AB216" s="398"/>
      <c r="AC216" s="396" t="s">
        <v>429</v>
      </c>
      <c r="AD216" s="396" t="s">
        <v>429</v>
      </c>
      <c r="AE216" s="396"/>
      <c r="AF216" s="396" t="s">
        <v>429</v>
      </c>
      <c r="AG216" s="398"/>
      <c r="AH216" s="398"/>
      <c r="AI216" s="397"/>
    </row>
    <row r="217" spans="1:35" ht="15.75" x14ac:dyDescent="0.25">
      <c r="A217" s="2297"/>
      <c r="B217" s="1617"/>
      <c r="C217" s="298" t="s">
        <v>141</v>
      </c>
      <c r="D217" s="2157"/>
      <c r="F217" s="319" t="e">
        <f>0.96*200/E217</f>
        <v>#DIV/0!</v>
      </c>
      <c r="G217" s="320">
        <v>0</v>
      </c>
      <c r="H217" s="321">
        <v>0</v>
      </c>
      <c r="I217" s="313" t="e">
        <f>Tabel6689172627[[#This Row],[Fix.ch. 2015]]+Tabel6689172627[[#This Row],[Var. ch. 2015]]+Tabel6689172627[[#This Row],[Oth. ch. DW 2015]]</f>
        <v>#DIV/0!</v>
      </c>
      <c r="J217" s="322" t="e">
        <f>1.1*200/E217</f>
        <v>#DIV/0!</v>
      </c>
      <c r="K217" s="323">
        <v>0</v>
      </c>
      <c r="L217" s="323"/>
      <c r="M217" s="324">
        <v>0</v>
      </c>
      <c r="N217" s="1257" t="e">
        <f>Tabel6689172627[[#This Row],[Sew. 2015]]+Tabel6689172627[[#This Row],[WW 2015]]+Tabel6689172627[[#This Row],[Other ch. 2015]]</f>
        <v>#DIV/0!</v>
      </c>
      <c r="O217" s="1258" t="e">
        <f>0.44*200/E217</f>
        <v>#DIV/0!</v>
      </c>
      <c r="P217" s="318" t="e">
        <f>Tabel6689172627[[#This Row],[Total. ch. DW 2015]]+Tabel6689172627[[#This Row],[Sew. 2015]]+Tabel6689172627[[#This Row],[WW 2015]]+Tabel6689172627[[#This Row],[Other ch. 2015]]+Tabel6689172627[[#This Row],[VAT 2015]]</f>
        <v>#DIV/0!</v>
      </c>
      <c r="Q217" s="397"/>
      <c r="R217" s="2158"/>
      <c r="S217" s="2159"/>
      <c r="T217" s="2160"/>
      <c r="U217" s="2141"/>
      <c r="V217" s="2142"/>
      <c r="W217" s="2143"/>
      <c r="X217" s="2144"/>
      <c r="Y217" s="2145"/>
      <c r="Z217" s="2146"/>
      <c r="AA217" s="397"/>
      <c r="AB217" s="398"/>
      <c r="AC217" s="396" t="s">
        <v>429</v>
      </c>
      <c r="AD217" s="396" t="s">
        <v>429</v>
      </c>
      <c r="AE217" s="396"/>
      <c r="AF217" s="396" t="s">
        <v>429</v>
      </c>
      <c r="AG217" s="398"/>
      <c r="AH217" s="398"/>
      <c r="AI217" s="397"/>
    </row>
    <row r="218" spans="1:35" ht="16.5" thickBot="1" x14ac:dyDescent="0.3">
      <c r="A218" s="2298"/>
      <c r="B218" s="1617"/>
      <c r="C218" s="293" t="s">
        <v>142</v>
      </c>
      <c r="D218" s="2221"/>
      <c r="F218" s="319" t="e">
        <f>1.2*200/E218</f>
        <v>#DIV/0!</v>
      </c>
      <c r="G218" s="320">
        <v>0</v>
      </c>
      <c r="H218" s="321">
        <v>0</v>
      </c>
      <c r="I218" s="313" t="e">
        <f>Tabel6689172627[[#This Row],[Fix.ch. 2015]]+Tabel6689172627[[#This Row],[Var. ch. 2015]]+Tabel6689172627[[#This Row],[Oth. ch. DW 2015]]</f>
        <v>#DIV/0!</v>
      </c>
      <c r="J218" s="322" t="e">
        <f>1.15*200/E218</f>
        <v>#DIV/0!</v>
      </c>
      <c r="K218" s="323">
        <v>0</v>
      </c>
      <c r="L218" s="323"/>
      <c r="M218" s="324">
        <v>0</v>
      </c>
      <c r="N218" s="1257" t="e">
        <f>Tabel6689172627[[#This Row],[Sew. 2015]]+Tabel6689172627[[#This Row],[WW 2015]]+Tabel6689172627[[#This Row],[Other ch. 2015]]</f>
        <v>#DIV/0!</v>
      </c>
      <c r="O218" s="1258" t="e">
        <f>0.47*200/E218</f>
        <v>#DIV/0!</v>
      </c>
      <c r="P218" s="318" t="e">
        <f>Tabel6689172627[[#This Row],[Total. ch. DW 2015]]+Tabel6689172627[[#This Row],[Sew. 2015]]+Tabel6689172627[[#This Row],[WW 2015]]+Tabel6689172627[[#This Row],[Other ch. 2015]]+Tabel6689172627[[#This Row],[VAT 2015]]</f>
        <v>#DIV/0!</v>
      </c>
      <c r="Q218" s="397"/>
      <c r="R218" s="2223"/>
      <c r="S218" s="2225"/>
      <c r="T218" s="2227"/>
      <c r="U218" s="2234"/>
      <c r="V218" s="2236"/>
      <c r="W218" s="2238"/>
      <c r="X218" s="2240"/>
      <c r="Y218" s="2242"/>
      <c r="Z218" s="2244"/>
      <c r="AA218" s="397"/>
      <c r="AB218" s="398"/>
      <c r="AC218" s="396" t="s">
        <v>429</v>
      </c>
      <c r="AD218" s="396" t="s">
        <v>429</v>
      </c>
      <c r="AE218" s="396"/>
      <c r="AF218" s="396" t="s">
        <v>429</v>
      </c>
      <c r="AG218" s="398"/>
      <c r="AH218" s="398"/>
      <c r="AI218" s="397"/>
    </row>
    <row r="219" spans="1:35" ht="19.5" thickBot="1" x14ac:dyDescent="0.35">
      <c r="A219" s="267" t="s">
        <v>43</v>
      </c>
      <c r="B219" s="1616"/>
      <c r="C219" s="294" t="s">
        <v>644</v>
      </c>
      <c r="D219" s="1256">
        <v>11500</v>
      </c>
      <c r="F219" s="319">
        <v>0</v>
      </c>
      <c r="G219" s="320" t="e">
        <f>1099.22/E219</f>
        <v>#DIV/0!</v>
      </c>
      <c r="H219" s="321">
        <v>0</v>
      </c>
      <c r="I219" s="313" t="e">
        <f>Tabel6689172627[[#This Row],[Fix.ch. 2015]]+Tabel6689172627[[#This Row],[Var. ch. 2015]]+Tabel6689172627[[#This Row],[Oth. ch. DW 2015]]</f>
        <v>#DIV/0!</v>
      </c>
      <c r="J219" s="322" t="e">
        <f>860.9/E219</f>
        <v>#DIV/0!</v>
      </c>
      <c r="K219" s="323">
        <v>0</v>
      </c>
      <c r="L219" s="323"/>
      <c r="M219" s="324">
        <v>0</v>
      </c>
      <c r="N219" s="1257" t="e">
        <f>Tabel6689172627[[#This Row],[Sew. 2015]]+Tabel6689172627[[#This Row],[WW 2015]]+Tabel6689172627[[#This Row],[Other ch. 2015]]</f>
        <v>#DIV/0!</v>
      </c>
      <c r="O219" s="1278" t="e">
        <f>274.42/E219</f>
        <v>#DIV/0!</v>
      </c>
      <c r="P219" s="318" t="e">
        <f>Tabel6689172627[[#This Row],[Total. ch. DW 2015]]+Tabel6689172627[[#This Row],[Sew. 2015]]+Tabel6689172627[[#This Row],[WW 2015]]+Tabel6689172627[[#This Row],[Other ch. 2015]]+Tabel6689172627[[#This Row],[VAT 2015]]</f>
        <v>#DIV/0!</v>
      </c>
      <c r="Q219" s="397"/>
      <c r="R219" s="1259">
        <f>Tabel6689172627[[#This Row],[Fix.ch. 2015]]</f>
        <v>0</v>
      </c>
      <c r="S219" s="1260" t="e">
        <f>Tabel6689172627[[#This Row],[Var. ch. 2015]]</f>
        <v>#DIV/0!</v>
      </c>
      <c r="T219" s="1230">
        <f>Tabel6689172627[[#This Row],[Oth. ch. DW 2015]]</f>
        <v>0</v>
      </c>
      <c r="U219" s="1231" t="e">
        <f>Tabel6689172627[[#This Row],[Total. ch. DW 2015]]</f>
        <v>#DIV/0!</v>
      </c>
      <c r="V219" s="1232" t="e">
        <f>Tabel6689172627[[#This Row],[Sew. 2015]]</f>
        <v>#DIV/0!</v>
      </c>
      <c r="W219" s="1233">
        <f>Tabel6689172627[[#This Row],[WW 2015]]</f>
        <v>0</v>
      </c>
      <c r="X219" s="1234">
        <f>Tabel6689172627[[#This Row],[Other ch. 2015]]</f>
        <v>0</v>
      </c>
      <c r="Y219" s="1235" t="e">
        <f>Tabel6689172627[[#This Row],[VAT 2015]]</f>
        <v>#DIV/0!</v>
      </c>
      <c r="Z219" s="1306" t="e">
        <f>SUM(U219:Y219)</f>
        <v>#DIV/0!</v>
      </c>
      <c r="AA219" s="397"/>
      <c r="AB219" s="398"/>
      <c r="AC219" s="398"/>
      <c r="AD219" s="398"/>
      <c r="AE219" s="396" t="s">
        <v>429</v>
      </c>
      <c r="AF219" s="396"/>
      <c r="AG219" s="396" t="s">
        <v>429</v>
      </c>
      <c r="AH219" s="398"/>
      <c r="AI219" s="397"/>
    </row>
    <row r="220" spans="1:35" ht="19.5" thickBot="1" x14ac:dyDescent="0.3">
      <c r="A220" s="267" t="s">
        <v>450</v>
      </c>
      <c r="B220" s="1616"/>
      <c r="C220" s="261" t="s">
        <v>177</v>
      </c>
      <c r="D220" s="1256">
        <v>40800</v>
      </c>
      <c r="F220" s="310" t="e">
        <f>142.4/E220</f>
        <v>#DIV/0!</v>
      </c>
      <c r="G220" s="311" t="e">
        <f>352/E220</f>
        <v>#DIV/0!</v>
      </c>
      <c r="H220" s="312" t="e">
        <f>36/E220</f>
        <v>#DIV/0!</v>
      </c>
      <c r="I220" s="313" t="e">
        <f>Tabel6689172627[[#This Row],[Fix.ch. 2015]]+Tabel6689172627[[#This Row],[Var. ch. 2015]]+Tabel6689172627[[#This Row],[Oth. ch. DW 2015]]</f>
        <v>#DIV/0!</v>
      </c>
      <c r="J220" s="314" t="e">
        <f>457.3/E220</f>
        <v>#DIV/0!</v>
      </c>
      <c r="K220" s="315">
        <f>0</f>
        <v>0</v>
      </c>
      <c r="L220" s="315"/>
      <c r="M220" s="316">
        <v>0</v>
      </c>
      <c r="N220" s="1227" t="e">
        <f>Tabel6689172627[[#This Row],[Sew. 2015]]+Tabel6689172627[[#This Row],[WW 2015]]+Tabel6689172627[[#This Row],[Other ch. 2015]]</f>
        <v>#DIV/0!</v>
      </c>
      <c r="O220" s="317">
        <f>0</f>
        <v>0</v>
      </c>
      <c r="P220" s="318" t="e">
        <f>Tabel6689172627[[#This Row],[Total. ch. DW 2015]]+Tabel6689172627[[#This Row],[Sew. 2015]]+Tabel6689172627[[#This Row],[WW 2015]]+Tabel6689172627[[#This Row],[Other ch. 2015]]+Tabel6689172627[[#This Row],[VAT 2015]]</f>
        <v>#DIV/0!</v>
      </c>
      <c r="Q220" s="397"/>
      <c r="R220" s="1259" t="e">
        <f>Tabel6689172627[[#This Row],[Fix.ch. 2015]]</f>
        <v>#DIV/0!</v>
      </c>
      <c r="S220" s="1260">
        <v>359.33400708459664</v>
      </c>
      <c r="T220" s="1261">
        <v>36.750068906379198</v>
      </c>
      <c r="U220" s="1262">
        <v>541.45101522065352</v>
      </c>
      <c r="V220" s="1263">
        <v>466.82795863575581</v>
      </c>
      <c r="W220" s="1264">
        <v>0</v>
      </c>
      <c r="X220" s="1265">
        <v>0</v>
      </c>
      <c r="Y220" s="1266">
        <v>0</v>
      </c>
      <c r="Z220" s="1267">
        <v>1008.2789738564093</v>
      </c>
      <c r="AA220" s="397"/>
      <c r="AB220" s="398"/>
      <c r="AC220" s="398"/>
      <c r="AD220" s="398"/>
      <c r="AE220" s="396" t="s">
        <v>429</v>
      </c>
      <c r="AF220" s="396" t="s">
        <v>429</v>
      </c>
      <c r="AG220" s="396" t="s">
        <v>429</v>
      </c>
      <c r="AH220" s="398" t="s">
        <v>452</v>
      </c>
      <c r="AI220" s="397"/>
    </row>
    <row r="221" spans="1:35" ht="15.75" x14ac:dyDescent="0.25">
      <c r="A221" s="1878" t="s">
        <v>25</v>
      </c>
      <c r="B221" s="1213"/>
      <c r="C221" s="693" t="s">
        <v>143</v>
      </c>
      <c r="D221" s="1759">
        <v>36700</v>
      </c>
      <c r="F221" s="549">
        <v>0</v>
      </c>
      <c r="G221" s="550" t="e">
        <f>114850/E221</f>
        <v>#DIV/0!</v>
      </c>
      <c r="H221" s="551">
        <v>0</v>
      </c>
      <c r="I221" s="566" t="e">
        <f>Tabel6689172627[[#This Row],[Fix.ch. 2015]]+Tabel6689172627[[#This Row],[Var. ch. 2015]]+Tabel6689172627[[#This Row],[Oth. ch. DW 2015]]</f>
        <v>#DIV/0!</v>
      </c>
      <c r="J221" s="567" t="e">
        <f>89158/E221</f>
        <v>#DIV/0!</v>
      </c>
      <c r="K221" s="568">
        <v>0</v>
      </c>
      <c r="L221" s="568"/>
      <c r="M221" s="569">
        <v>0</v>
      </c>
      <c r="N221" s="1270" t="e">
        <f>Tabel6689172627[[#This Row],[Sew. 2015]]+Tabel6689172627[[#This Row],[WW 2015]]+Tabel6689172627[[#This Row],[Other ch. 2015]]</f>
        <v>#DIV/0!</v>
      </c>
      <c r="O221" s="1271">
        <v>0</v>
      </c>
      <c r="P221" s="571" t="e">
        <f>Tabel6689172627[[#This Row],[Total. ch. DW 2015]]+Tabel6689172627[[#This Row],[Sew. 2015]]+Tabel6689172627[[#This Row],[WW 2015]]+Tabel6689172627[[#This Row],[Other ch. 2015]]+Tabel6689172627[[#This Row],[VAT 2015]]</f>
        <v>#DIV/0!</v>
      </c>
      <c r="Q221" s="397"/>
      <c r="R221" s="1762">
        <f t="shared" ref="R221:W221" si="57">SUM(F221:F228)/8</f>
        <v>0</v>
      </c>
      <c r="S221" s="1765" t="e">
        <f t="shared" si="57"/>
        <v>#DIV/0!</v>
      </c>
      <c r="T221" s="1768">
        <f t="shared" si="57"/>
        <v>0</v>
      </c>
      <c r="U221" s="1774" t="e">
        <f t="shared" si="57"/>
        <v>#DIV/0!</v>
      </c>
      <c r="V221" s="1777" t="e">
        <f t="shared" si="57"/>
        <v>#DIV/0!</v>
      </c>
      <c r="W221" s="1810">
        <f t="shared" si="57"/>
        <v>0</v>
      </c>
      <c r="X221" s="1812">
        <f>SUM(M221:M228)/8</f>
        <v>0</v>
      </c>
      <c r="Y221" s="1814">
        <f t="shared" ref="Y221:Z221" si="58">SUM(O221:O228)/8</f>
        <v>0</v>
      </c>
      <c r="Z221" s="1793" t="e">
        <f t="shared" si="58"/>
        <v>#DIV/0!</v>
      </c>
      <c r="AA221" s="397"/>
      <c r="AB221" s="398"/>
      <c r="AC221" s="398"/>
      <c r="AD221" s="398"/>
      <c r="AE221" s="591" t="s">
        <v>429</v>
      </c>
      <c r="AF221" s="398"/>
      <c r="AG221" s="398"/>
      <c r="AH221" s="398"/>
      <c r="AI221" s="397"/>
    </row>
    <row r="222" spans="1:35" ht="15.75" x14ac:dyDescent="0.25">
      <c r="A222" s="1757"/>
      <c r="B222" s="1213"/>
      <c r="C222" s="639" t="s">
        <v>144</v>
      </c>
      <c r="D222" s="1760"/>
      <c r="F222" s="549">
        <v>0</v>
      </c>
      <c r="G222" s="550" t="e">
        <f>143016/E222</f>
        <v>#DIV/0!</v>
      </c>
      <c r="H222" s="551">
        <v>0</v>
      </c>
      <c r="I222" s="566" t="e">
        <f>Tabel6689172627[[#This Row],[Fix.ch. 2015]]+Tabel6689172627[[#This Row],[Var. ch. 2015]]+Tabel6689172627[[#This Row],[Oth. ch. DW 2015]]</f>
        <v>#DIV/0!</v>
      </c>
      <c r="J222" s="567" t="e">
        <f>98162/E222</f>
        <v>#DIV/0!</v>
      </c>
      <c r="K222" s="568">
        <v>0</v>
      </c>
      <c r="L222" s="568"/>
      <c r="M222" s="569">
        <v>0</v>
      </c>
      <c r="N222" s="1270" t="e">
        <f>Tabel6689172627[[#This Row],[Sew. 2015]]+Tabel6689172627[[#This Row],[WW 2015]]+Tabel6689172627[[#This Row],[Other ch. 2015]]</f>
        <v>#DIV/0!</v>
      </c>
      <c r="O222" s="1271">
        <v>0</v>
      </c>
      <c r="P222" s="571" t="e">
        <f>Tabel6689172627[[#This Row],[Total. ch. DW 2015]]+Tabel6689172627[[#This Row],[Sew. 2015]]+Tabel6689172627[[#This Row],[WW 2015]]+Tabel6689172627[[#This Row],[Other ch. 2015]]+Tabel6689172627[[#This Row],[VAT 2015]]</f>
        <v>#DIV/0!</v>
      </c>
      <c r="Q222" s="397"/>
      <c r="R222" s="1763"/>
      <c r="S222" s="1766"/>
      <c r="T222" s="1769"/>
      <c r="U222" s="1775"/>
      <c r="V222" s="1778"/>
      <c r="W222" s="1781"/>
      <c r="X222" s="1785"/>
      <c r="Y222" s="1788"/>
      <c r="Z222" s="1791"/>
      <c r="AA222" s="397"/>
      <c r="AB222" s="398"/>
      <c r="AC222" s="398"/>
      <c r="AD222" s="398"/>
      <c r="AE222" s="591" t="s">
        <v>429</v>
      </c>
      <c r="AF222" s="398"/>
      <c r="AG222" s="398"/>
      <c r="AH222" s="398"/>
      <c r="AI222" s="397"/>
    </row>
    <row r="223" spans="1:35" ht="15.75" x14ac:dyDescent="0.25">
      <c r="A223" s="1757"/>
      <c r="B223" s="1213"/>
      <c r="C223" s="639" t="s">
        <v>145</v>
      </c>
      <c r="D223" s="1760"/>
      <c r="F223" s="549">
        <v>0</v>
      </c>
      <c r="G223" s="550" t="e">
        <f>115792/E223</f>
        <v>#DIV/0!</v>
      </c>
      <c r="H223" s="551">
        <v>0</v>
      </c>
      <c r="I223" s="566" t="e">
        <f>Tabel6689172627[[#This Row],[Fix.ch. 2015]]+Tabel6689172627[[#This Row],[Var. ch. 2015]]+Tabel6689172627[[#This Row],[Oth. ch. DW 2015]]</f>
        <v>#DIV/0!</v>
      </c>
      <c r="J223" s="567" t="e">
        <f>77178/E223</f>
        <v>#DIV/0!</v>
      </c>
      <c r="K223" s="568">
        <v>0</v>
      </c>
      <c r="L223" s="568"/>
      <c r="M223" s="569">
        <v>0</v>
      </c>
      <c r="N223" s="1270" t="e">
        <f>Tabel6689172627[[#This Row],[Sew. 2015]]+Tabel6689172627[[#This Row],[WW 2015]]+Tabel6689172627[[#This Row],[Other ch. 2015]]</f>
        <v>#DIV/0!</v>
      </c>
      <c r="O223" s="1271">
        <v>0</v>
      </c>
      <c r="P223" s="571" t="e">
        <f>Tabel6689172627[[#This Row],[Total. ch. DW 2015]]+Tabel6689172627[[#This Row],[Sew. 2015]]+Tabel6689172627[[#This Row],[WW 2015]]+Tabel6689172627[[#This Row],[Other ch. 2015]]+Tabel6689172627[[#This Row],[VAT 2015]]</f>
        <v>#DIV/0!</v>
      </c>
      <c r="Q223" s="397"/>
      <c r="R223" s="1763"/>
      <c r="S223" s="1766"/>
      <c r="T223" s="1769"/>
      <c r="U223" s="1775"/>
      <c r="V223" s="1778"/>
      <c r="W223" s="1781"/>
      <c r="X223" s="1785"/>
      <c r="Y223" s="1788"/>
      <c r="Z223" s="1791"/>
      <c r="AA223" s="397"/>
      <c r="AB223" s="398"/>
      <c r="AC223" s="398"/>
      <c r="AD223" s="398"/>
      <c r="AE223" s="591" t="s">
        <v>429</v>
      </c>
      <c r="AF223" s="398"/>
      <c r="AG223" s="398"/>
      <c r="AH223" s="398"/>
      <c r="AI223" s="397"/>
    </row>
    <row r="224" spans="1:35" ht="15.75" x14ac:dyDescent="0.25">
      <c r="A224" s="1757"/>
      <c r="B224" s="1213"/>
      <c r="C224" s="639" t="s">
        <v>146</v>
      </c>
      <c r="D224" s="1760"/>
      <c r="F224" s="549">
        <v>0</v>
      </c>
      <c r="G224" s="550" t="e">
        <f>132740/E224</f>
        <v>#DIV/0!</v>
      </c>
      <c r="H224" s="551">
        <v>0</v>
      </c>
      <c r="I224" s="566" t="e">
        <f>Tabel6689172627[[#This Row],[Fix.ch. 2015]]+Tabel6689172627[[#This Row],[Var. ch. 2015]]+Tabel6689172627[[#This Row],[Oth. ch. DW 2015]]</f>
        <v>#DIV/0!</v>
      </c>
      <c r="J224" s="567" t="e">
        <f>83382/E224</f>
        <v>#DIV/0!</v>
      </c>
      <c r="K224" s="568">
        <v>0</v>
      </c>
      <c r="L224" s="568"/>
      <c r="M224" s="569">
        <v>0</v>
      </c>
      <c r="N224" s="1270" t="e">
        <f>Tabel6689172627[[#This Row],[Sew. 2015]]+Tabel6689172627[[#This Row],[WW 2015]]+Tabel6689172627[[#This Row],[Other ch. 2015]]</f>
        <v>#DIV/0!</v>
      </c>
      <c r="O224" s="1271">
        <v>0</v>
      </c>
      <c r="P224" s="571" t="e">
        <f>Tabel6689172627[[#This Row],[Total. ch. DW 2015]]+Tabel6689172627[[#This Row],[Sew. 2015]]+Tabel6689172627[[#This Row],[WW 2015]]+Tabel6689172627[[#This Row],[Other ch. 2015]]+Tabel6689172627[[#This Row],[VAT 2015]]</f>
        <v>#DIV/0!</v>
      </c>
      <c r="Q224" s="397"/>
      <c r="R224" s="1763"/>
      <c r="S224" s="1766"/>
      <c r="T224" s="1769"/>
      <c r="U224" s="1775"/>
      <c r="V224" s="1778"/>
      <c r="W224" s="1781"/>
      <c r="X224" s="1785"/>
      <c r="Y224" s="1788"/>
      <c r="Z224" s="1791"/>
      <c r="AA224" s="397"/>
      <c r="AB224" s="398"/>
      <c r="AC224" s="398"/>
      <c r="AD224" s="398"/>
      <c r="AE224" s="591" t="s">
        <v>429</v>
      </c>
      <c r="AF224" s="398"/>
      <c r="AG224" s="398"/>
      <c r="AH224" s="398"/>
      <c r="AI224" s="397"/>
    </row>
    <row r="225" spans="1:35" ht="15.75" x14ac:dyDescent="0.25">
      <c r="A225" s="1757"/>
      <c r="B225" s="1213"/>
      <c r="C225" s="639" t="s">
        <v>147</v>
      </c>
      <c r="D225" s="1760"/>
      <c r="F225" s="549">
        <v>0</v>
      </c>
      <c r="G225" s="550" t="e">
        <f>106270/E225</f>
        <v>#DIV/0!</v>
      </c>
      <c r="H225" s="551">
        <v>0</v>
      </c>
      <c r="I225" s="566" t="e">
        <f>Tabel6689172627[[#This Row],[Fix.ch. 2015]]+Tabel6689172627[[#This Row],[Var. ch. 2015]]+Tabel6689172627[[#This Row],[Oth. ch. DW 2015]]</f>
        <v>#DIV/0!</v>
      </c>
      <c r="J225" s="567" t="e">
        <f>70268/E225</f>
        <v>#DIV/0!</v>
      </c>
      <c r="K225" s="568">
        <v>0</v>
      </c>
      <c r="L225" s="568"/>
      <c r="M225" s="569">
        <v>0</v>
      </c>
      <c r="N225" s="1270" t="e">
        <f>Tabel6689172627[[#This Row],[Sew. 2015]]+Tabel6689172627[[#This Row],[WW 2015]]+Tabel6689172627[[#This Row],[Other ch. 2015]]</f>
        <v>#DIV/0!</v>
      </c>
      <c r="O225" s="1271">
        <v>0</v>
      </c>
      <c r="P225" s="571" t="e">
        <f>Tabel6689172627[[#This Row],[Total. ch. DW 2015]]+Tabel6689172627[[#This Row],[Sew. 2015]]+Tabel6689172627[[#This Row],[WW 2015]]+Tabel6689172627[[#This Row],[Other ch. 2015]]+Tabel6689172627[[#This Row],[VAT 2015]]</f>
        <v>#DIV/0!</v>
      </c>
      <c r="Q225" s="397"/>
      <c r="R225" s="1763"/>
      <c r="S225" s="1766"/>
      <c r="T225" s="1769"/>
      <c r="U225" s="1775"/>
      <c r="V225" s="1778"/>
      <c r="W225" s="1781"/>
      <c r="X225" s="1785"/>
      <c r="Y225" s="1788"/>
      <c r="Z225" s="1791"/>
      <c r="AA225" s="397"/>
      <c r="AB225" s="398"/>
      <c r="AC225" s="398"/>
      <c r="AD225" s="398"/>
      <c r="AE225" s="591" t="s">
        <v>429</v>
      </c>
      <c r="AF225" s="398"/>
      <c r="AG225" s="398"/>
      <c r="AH225" s="398"/>
      <c r="AI225" s="397"/>
    </row>
    <row r="226" spans="1:35" ht="15.75" x14ac:dyDescent="0.25">
      <c r="A226" s="1757"/>
      <c r="B226" s="1213"/>
      <c r="C226" s="639" t="s">
        <v>148</v>
      </c>
      <c r="D226" s="1760"/>
      <c r="F226" s="549">
        <v>0</v>
      </c>
      <c r="G226" s="550" t="e">
        <f>101878/E226</f>
        <v>#DIV/0!</v>
      </c>
      <c r="H226" s="551">
        <v>0</v>
      </c>
      <c r="I226" s="566" t="e">
        <f>Tabel6689172627[[#This Row],[Fix.ch. 2015]]+Tabel6689172627[[#This Row],[Var. ch. 2015]]+Tabel6689172627[[#This Row],[Oth. ch. DW 2015]]</f>
        <v>#DIV/0!</v>
      </c>
      <c r="J226" s="567" t="e">
        <f>76982/E226</f>
        <v>#DIV/0!</v>
      </c>
      <c r="K226" s="568">
        <v>0</v>
      </c>
      <c r="L226" s="568"/>
      <c r="M226" s="569">
        <v>0</v>
      </c>
      <c r="N226" s="1270" t="e">
        <f>Tabel6689172627[[#This Row],[Sew. 2015]]+Tabel6689172627[[#This Row],[WW 2015]]+Tabel6689172627[[#This Row],[Other ch. 2015]]</f>
        <v>#DIV/0!</v>
      </c>
      <c r="O226" s="1271">
        <v>0</v>
      </c>
      <c r="P226" s="571" t="e">
        <f>Tabel6689172627[[#This Row],[Total. ch. DW 2015]]+Tabel6689172627[[#This Row],[Sew. 2015]]+Tabel6689172627[[#This Row],[WW 2015]]+Tabel6689172627[[#This Row],[Other ch. 2015]]+Tabel6689172627[[#This Row],[VAT 2015]]</f>
        <v>#DIV/0!</v>
      </c>
      <c r="Q226" s="397"/>
      <c r="R226" s="1763"/>
      <c r="S226" s="1766"/>
      <c r="T226" s="1769"/>
      <c r="U226" s="1775"/>
      <c r="V226" s="1778"/>
      <c r="W226" s="1781"/>
      <c r="X226" s="1785"/>
      <c r="Y226" s="1788"/>
      <c r="Z226" s="1791"/>
      <c r="AA226" s="397"/>
      <c r="AB226" s="398"/>
      <c r="AC226" s="398"/>
      <c r="AD226" s="398"/>
      <c r="AE226" s="591" t="s">
        <v>429</v>
      </c>
      <c r="AF226" s="398"/>
      <c r="AG226" s="398"/>
      <c r="AH226" s="398"/>
      <c r="AI226" s="397"/>
    </row>
    <row r="227" spans="1:35" ht="15.75" x14ac:dyDescent="0.25">
      <c r="A227" s="1757"/>
      <c r="B227" s="1213"/>
      <c r="C227" s="639" t="s">
        <v>149</v>
      </c>
      <c r="D227" s="1760"/>
      <c r="F227" s="549">
        <v>0</v>
      </c>
      <c r="G227" s="550" t="e">
        <f>174392/E227</f>
        <v>#DIV/0!</v>
      </c>
      <c r="H227" s="551">
        <v>0</v>
      </c>
      <c r="I227" s="566" t="e">
        <f>Tabel6689172627[[#This Row],[Fix.ch. 2015]]+Tabel6689172627[[#This Row],[Var. ch. 2015]]+Tabel6689172627[[#This Row],[Oth. ch. DW 2015]]</f>
        <v>#DIV/0!</v>
      </c>
      <c r="J227" s="567" t="e">
        <f>80010/E227</f>
        <v>#DIV/0!</v>
      </c>
      <c r="K227" s="568">
        <v>0</v>
      </c>
      <c r="L227" s="568"/>
      <c r="M227" s="569">
        <v>0</v>
      </c>
      <c r="N227" s="1270" t="e">
        <f>Tabel6689172627[[#This Row],[Sew. 2015]]+Tabel6689172627[[#This Row],[WW 2015]]+Tabel6689172627[[#This Row],[Other ch. 2015]]</f>
        <v>#DIV/0!</v>
      </c>
      <c r="O227" s="1271">
        <v>0</v>
      </c>
      <c r="P227" s="571" t="e">
        <f>Tabel6689172627[[#This Row],[Total. ch. DW 2015]]+Tabel6689172627[[#This Row],[Sew. 2015]]+Tabel6689172627[[#This Row],[WW 2015]]+Tabel6689172627[[#This Row],[Other ch. 2015]]+Tabel6689172627[[#This Row],[VAT 2015]]</f>
        <v>#DIV/0!</v>
      </c>
      <c r="Q227" s="397"/>
      <c r="R227" s="1763"/>
      <c r="S227" s="1766"/>
      <c r="T227" s="1769"/>
      <c r="U227" s="1775"/>
      <c r="V227" s="1778"/>
      <c r="W227" s="1781"/>
      <c r="X227" s="1785"/>
      <c r="Y227" s="1788"/>
      <c r="Z227" s="1791"/>
      <c r="AA227" s="397"/>
      <c r="AB227" s="398"/>
      <c r="AC227" s="398"/>
      <c r="AD227" s="398"/>
      <c r="AE227" s="591" t="s">
        <v>429</v>
      </c>
      <c r="AF227" s="398"/>
      <c r="AG227" s="398"/>
      <c r="AH227" s="398"/>
      <c r="AI227" s="397"/>
    </row>
    <row r="228" spans="1:35" ht="16.5" thickBot="1" x14ac:dyDescent="0.3">
      <c r="A228" s="1758"/>
      <c r="B228" s="1213"/>
      <c r="C228" s="652" t="s">
        <v>150</v>
      </c>
      <c r="D228" s="1761"/>
      <c r="F228" s="549">
        <v>0</v>
      </c>
      <c r="G228" s="550" t="e">
        <f>126872/E228</f>
        <v>#DIV/0!</v>
      </c>
      <c r="H228" s="551">
        <v>0</v>
      </c>
      <c r="I228" s="566" t="e">
        <f>Tabel6689172627[[#This Row],[Fix.ch. 2015]]+Tabel6689172627[[#This Row],[Var. ch. 2015]]+Tabel6689172627[[#This Row],[Oth. ch. DW 2015]]</f>
        <v>#DIV/0!</v>
      </c>
      <c r="J228" s="567" t="e">
        <f>61902/E228</f>
        <v>#DIV/0!</v>
      </c>
      <c r="K228" s="568">
        <v>0</v>
      </c>
      <c r="L228" s="568"/>
      <c r="M228" s="569">
        <v>0</v>
      </c>
      <c r="N228" s="1270" t="e">
        <f>Tabel6689172627[[#This Row],[Sew. 2015]]+Tabel6689172627[[#This Row],[WW 2015]]+Tabel6689172627[[#This Row],[Other ch. 2015]]</f>
        <v>#DIV/0!</v>
      </c>
      <c r="O228" s="1271">
        <v>0</v>
      </c>
      <c r="P228" s="571" t="e">
        <f>Tabel6689172627[[#This Row],[Total. ch. DW 2015]]+Tabel6689172627[[#This Row],[Sew. 2015]]+Tabel6689172627[[#This Row],[WW 2015]]+Tabel6689172627[[#This Row],[Other ch. 2015]]+Tabel6689172627[[#This Row],[VAT 2015]]</f>
        <v>#DIV/0!</v>
      </c>
      <c r="Q228" s="397"/>
      <c r="R228" s="1764"/>
      <c r="S228" s="1767"/>
      <c r="T228" s="1770"/>
      <c r="U228" s="1776"/>
      <c r="V228" s="1779"/>
      <c r="W228" s="1811"/>
      <c r="X228" s="1813"/>
      <c r="Y228" s="1815"/>
      <c r="Z228" s="1794"/>
      <c r="AA228" s="397"/>
      <c r="AB228" s="398"/>
      <c r="AC228" s="398"/>
      <c r="AD228" s="398"/>
      <c r="AE228" s="591" t="s">
        <v>429</v>
      </c>
      <c r="AF228" s="398"/>
      <c r="AG228" s="398"/>
      <c r="AH228" s="398"/>
      <c r="AI228" s="397"/>
    </row>
    <row r="229" spans="1:35" ht="15.75" x14ac:dyDescent="0.25">
      <c r="A229" s="1878" t="s">
        <v>26</v>
      </c>
      <c r="B229" s="1213"/>
      <c r="C229" s="693" t="s">
        <v>151</v>
      </c>
      <c r="D229" s="1759">
        <v>35200</v>
      </c>
      <c r="F229" s="549" t="e">
        <f>83.28/E229</f>
        <v>#DIV/0!</v>
      </c>
      <c r="G229" s="550" t="e">
        <f>279/E229</f>
        <v>#DIV/0!</v>
      </c>
      <c r="H229" s="551">
        <v>0</v>
      </c>
      <c r="I229" s="566" t="e">
        <f>Tabel6689172627[[#This Row],[Fix.ch. 2015]]+Tabel6689172627[[#This Row],[Var. ch. 2015]]+Tabel6689172627[[#This Row],[Oth. ch. DW 2015]]</f>
        <v>#DIV/0!</v>
      </c>
      <c r="J229" s="567" t="e">
        <f>34.86/E229</f>
        <v>#DIV/0!</v>
      </c>
      <c r="K229" s="568" t="e">
        <f>169.02/E229</f>
        <v>#DIV/0!</v>
      </c>
      <c r="L229" s="568"/>
      <c r="M229" s="569">
        <v>0</v>
      </c>
      <c r="N229" s="1270" t="e">
        <f>Tabel6689172627[[#This Row],[Sew. 2015]]+Tabel6689172627[[#This Row],[WW 2015]]+Tabel6689172627[[#This Row],[Other ch. 2015]]</f>
        <v>#DIV/0!</v>
      </c>
      <c r="O229" s="1271" t="e">
        <f>56.62/E229</f>
        <v>#DIV/0!</v>
      </c>
      <c r="P229" s="571" t="e">
        <f>Tabel6689172627[[#This Row],[Total. ch. DW 2015]]+Tabel6689172627[[#This Row],[Sew. 2015]]+Tabel6689172627[[#This Row],[WW 2015]]+Tabel6689172627[[#This Row],[Other ch. 2015]]+Tabel6689172627[[#This Row],[VAT 2015]]</f>
        <v>#DIV/0!</v>
      </c>
      <c r="Q229" s="397"/>
      <c r="R229" s="1762" t="e">
        <f t="shared" ref="R229:W229" si="59">SUM(F229:F233)/5</f>
        <v>#DIV/0!</v>
      </c>
      <c r="S229" s="1765" t="e">
        <f t="shared" si="59"/>
        <v>#DIV/0!</v>
      </c>
      <c r="T229" s="1768">
        <f t="shared" si="59"/>
        <v>0</v>
      </c>
      <c r="U229" s="1774" t="e">
        <f t="shared" si="59"/>
        <v>#DIV/0!</v>
      </c>
      <c r="V229" s="1777" t="e">
        <f t="shared" si="59"/>
        <v>#DIV/0!</v>
      </c>
      <c r="W229" s="1810" t="e">
        <f t="shared" si="59"/>
        <v>#DIV/0!</v>
      </c>
      <c r="X229" s="1812">
        <f>SUM(M229:M233)/5</f>
        <v>0</v>
      </c>
      <c r="Y229" s="1814" t="e">
        <f t="shared" ref="Y229:Z229" si="60">SUM(O229:O233)/5</f>
        <v>#DIV/0!</v>
      </c>
      <c r="Z229" s="1793" t="e">
        <f t="shared" si="60"/>
        <v>#DIV/0!</v>
      </c>
      <c r="AA229" s="397"/>
      <c r="AB229" s="398"/>
      <c r="AC229" s="398"/>
      <c r="AD229" s="398"/>
      <c r="AE229" s="591" t="s">
        <v>429</v>
      </c>
      <c r="AF229" s="591" t="s">
        <v>429</v>
      </c>
      <c r="AG229" s="398"/>
      <c r="AH229" s="398"/>
      <c r="AI229" s="397"/>
    </row>
    <row r="230" spans="1:35" ht="15.75" x14ac:dyDescent="0.25">
      <c r="A230" s="1757"/>
      <c r="B230" s="1213"/>
      <c r="C230" s="639" t="s">
        <v>152</v>
      </c>
      <c r="D230" s="1760"/>
      <c r="F230" s="549" t="e">
        <f>32.93/E230</f>
        <v>#DIV/0!</v>
      </c>
      <c r="G230" s="550" t="e">
        <f>115.79/E230</f>
        <v>#DIV/0!</v>
      </c>
      <c r="H230" s="551">
        <v>0</v>
      </c>
      <c r="I230" s="566" t="e">
        <f>Tabel6689172627[[#This Row],[Fix.ch. 2015]]+Tabel6689172627[[#This Row],[Var. ch. 2015]]+Tabel6689172627[[#This Row],[Oth. ch. DW 2015]]</f>
        <v>#DIV/0!</v>
      </c>
      <c r="J230" s="567">
        <v>0</v>
      </c>
      <c r="K230" s="568" t="e">
        <f>142.15/E230</f>
        <v>#DIV/0!</v>
      </c>
      <c r="L230" s="568"/>
      <c r="M230" s="569">
        <v>0</v>
      </c>
      <c r="N230" s="1270" t="e">
        <f>Tabel6689172627[[#This Row],[Sew. 2015]]+Tabel6689172627[[#This Row],[WW 2015]]+Tabel6689172627[[#This Row],[Other ch. 2015]]</f>
        <v>#DIV/0!</v>
      </c>
      <c r="O230" s="1271" t="e">
        <f>29.09/E230</f>
        <v>#DIV/0!</v>
      </c>
      <c r="P230" s="571" t="e">
        <f>Tabel6689172627[[#This Row],[Total. ch. DW 2015]]+Tabel6689172627[[#This Row],[Sew. 2015]]+Tabel6689172627[[#This Row],[WW 2015]]+Tabel6689172627[[#This Row],[Other ch. 2015]]+Tabel6689172627[[#This Row],[VAT 2015]]</f>
        <v>#DIV/0!</v>
      </c>
      <c r="Q230" s="397"/>
      <c r="R230" s="1763"/>
      <c r="S230" s="1766"/>
      <c r="T230" s="1769"/>
      <c r="U230" s="1775"/>
      <c r="V230" s="1778"/>
      <c r="W230" s="1781"/>
      <c r="X230" s="1785"/>
      <c r="Y230" s="1788"/>
      <c r="Z230" s="1791"/>
      <c r="AA230" s="397"/>
      <c r="AB230" s="398"/>
      <c r="AC230" s="398"/>
      <c r="AD230" s="398"/>
      <c r="AE230" s="591" t="s">
        <v>429</v>
      </c>
      <c r="AF230" s="591" t="s">
        <v>429</v>
      </c>
      <c r="AG230" s="398"/>
      <c r="AH230" s="398"/>
      <c r="AI230" s="397"/>
    </row>
    <row r="231" spans="1:35" ht="15.75" x14ac:dyDescent="0.25">
      <c r="A231" s="1757"/>
      <c r="B231" s="1213"/>
      <c r="C231" s="639" t="s">
        <v>153</v>
      </c>
      <c r="D231" s="1760"/>
      <c r="F231" s="549" t="e">
        <f>61.23/E231</f>
        <v>#DIV/0!</v>
      </c>
      <c r="G231" s="550" t="e">
        <f>104.73/E231</f>
        <v>#DIV/0!</v>
      </c>
      <c r="H231" s="551">
        <v>0</v>
      </c>
      <c r="I231" s="566" t="e">
        <f>Tabel6689172627[[#This Row],[Fix.ch. 2015]]+Tabel6689172627[[#This Row],[Var. ch. 2015]]+Tabel6689172627[[#This Row],[Oth. ch. DW 2015]]</f>
        <v>#DIV/0!</v>
      </c>
      <c r="J231" s="567" t="e">
        <f>28.85/E231</f>
        <v>#DIV/0!</v>
      </c>
      <c r="K231" s="568" t="e">
        <f>83.33/E231</f>
        <v>#DIV/0!</v>
      </c>
      <c r="L231" s="568"/>
      <c r="M231" s="569">
        <v>0</v>
      </c>
      <c r="N231" s="1270" t="e">
        <f>Tabel6689172627[[#This Row],[Sew. 2015]]+Tabel6689172627[[#This Row],[WW 2015]]+Tabel6689172627[[#This Row],[Other ch. 2015]]</f>
        <v>#DIV/0!</v>
      </c>
      <c r="O231" s="1271" t="e">
        <f>27.81/E231</f>
        <v>#DIV/0!</v>
      </c>
      <c r="P231" s="571" t="e">
        <f>Tabel6689172627[[#This Row],[Total. ch. DW 2015]]+Tabel6689172627[[#This Row],[Sew. 2015]]+Tabel6689172627[[#This Row],[WW 2015]]+Tabel6689172627[[#This Row],[Other ch. 2015]]+Tabel6689172627[[#This Row],[VAT 2015]]</f>
        <v>#DIV/0!</v>
      </c>
      <c r="Q231" s="397"/>
      <c r="R231" s="1763"/>
      <c r="S231" s="1766"/>
      <c r="T231" s="1769"/>
      <c r="U231" s="1775"/>
      <c r="V231" s="1778"/>
      <c r="W231" s="1781"/>
      <c r="X231" s="1785"/>
      <c r="Y231" s="1788"/>
      <c r="Z231" s="1791"/>
      <c r="AA231" s="397"/>
      <c r="AB231" s="398"/>
      <c r="AC231" s="398"/>
      <c r="AD231" s="398"/>
      <c r="AE231" s="591" t="s">
        <v>429</v>
      </c>
      <c r="AF231" s="591" t="s">
        <v>429</v>
      </c>
      <c r="AG231" s="398"/>
      <c r="AH231" s="398"/>
      <c r="AI231" s="397"/>
    </row>
    <row r="232" spans="1:35" ht="15.75" x14ac:dyDescent="0.25">
      <c r="A232" s="1757"/>
      <c r="B232" s="1213"/>
      <c r="C232" s="639" t="s">
        <v>214</v>
      </c>
      <c r="D232" s="1760"/>
      <c r="F232" s="549" t="e">
        <f>46.36/E232</f>
        <v>#DIV/0!</v>
      </c>
      <c r="G232" s="550" t="e">
        <f>113.89/E232</f>
        <v>#DIV/0!</v>
      </c>
      <c r="H232" s="551">
        <v>0</v>
      </c>
      <c r="I232" s="566" t="e">
        <f>Tabel6689172627[[#This Row],[Fix.ch. 2015]]+Tabel6689172627[[#This Row],[Var. ch. 2015]]+Tabel6689172627[[#This Row],[Oth. ch. DW 2015]]</f>
        <v>#DIV/0!</v>
      </c>
      <c r="J232" s="567" t="e">
        <f>82.73/E232</f>
        <v>#DIV/0!</v>
      </c>
      <c r="K232" s="568" t="e">
        <f>156.8/E232</f>
        <v>#DIV/0!</v>
      </c>
      <c r="L232" s="568"/>
      <c r="M232" s="569">
        <v>0</v>
      </c>
      <c r="N232" s="1270" t="e">
        <f>Tabel6689172627[[#This Row],[Sew. 2015]]+Tabel6689172627[[#This Row],[WW 2015]]+Tabel6689172627[[#This Row],[Other ch. 2015]]</f>
        <v>#DIV/0!</v>
      </c>
      <c r="O232" s="1271" t="e">
        <f>39.98/E232</f>
        <v>#DIV/0!</v>
      </c>
      <c r="P232" s="571" t="e">
        <f>Tabel6689172627[[#This Row],[Total. ch. DW 2015]]+Tabel6689172627[[#This Row],[Sew. 2015]]+Tabel6689172627[[#This Row],[WW 2015]]+Tabel6689172627[[#This Row],[Other ch. 2015]]+Tabel6689172627[[#This Row],[VAT 2015]]</f>
        <v>#DIV/0!</v>
      </c>
      <c r="Q232" s="397"/>
      <c r="R232" s="1763"/>
      <c r="S232" s="1766"/>
      <c r="T232" s="1769"/>
      <c r="U232" s="1775"/>
      <c r="V232" s="1778"/>
      <c r="W232" s="1781"/>
      <c r="X232" s="1785"/>
      <c r="Y232" s="1788"/>
      <c r="Z232" s="1791"/>
      <c r="AA232" s="397"/>
      <c r="AB232" s="398"/>
      <c r="AC232" s="398"/>
      <c r="AD232" s="398"/>
      <c r="AE232" s="591" t="s">
        <v>429</v>
      </c>
      <c r="AF232" s="591" t="s">
        <v>429</v>
      </c>
      <c r="AG232" s="398"/>
      <c r="AH232" s="398"/>
      <c r="AI232" s="397"/>
    </row>
    <row r="233" spans="1:35" ht="16.5" thickBot="1" x14ac:dyDescent="0.3">
      <c r="A233" s="1758"/>
      <c r="B233" s="1213"/>
      <c r="C233" s="652" t="s">
        <v>154</v>
      </c>
      <c r="D233" s="1761"/>
      <c r="F233" s="549" t="e">
        <f>70.92/E233</f>
        <v>#DIV/0!</v>
      </c>
      <c r="G233" s="550" t="e">
        <f>111.82/E233</f>
        <v>#DIV/0!</v>
      </c>
      <c r="H233" s="551">
        <v>0</v>
      </c>
      <c r="I233" s="566" t="e">
        <f>Tabel6689172627[[#This Row],[Fix.ch. 2015]]+Tabel6689172627[[#This Row],[Var. ch. 2015]]+Tabel6689172627[[#This Row],[Oth. ch. DW 2015]]</f>
        <v>#DIV/0!</v>
      </c>
      <c r="J233" s="567" t="e">
        <f>60.58/E233</f>
        <v>#DIV/0!</v>
      </c>
      <c r="K233" s="568" t="e">
        <f>133.03/E233</f>
        <v>#DIV/0!</v>
      </c>
      <c r="L233" s="568"/>
      <c r="M233" s="569">
        <v>0</v>
      </c>
      <c r="N233" s="1270" t="e">
        <f>Tabel6689172627[[#This Row],[Sew. 2015]]+Tabel6689172627[[#This Row],[WW 2015]]+Tabel6689172627[[#This Row],[Other ch. 2015]]</f>
        <v>#DIV/0!</v>
      </c>
      <c r="O233" s="1271" t="e">
        <f>37.64/E233</f>
        <v>#DIV/0!</v>
      </c>
      <c r="P233" s="571" t="e">
        <f>Tabel6689172627[[#This Row],[Total. ch. DW 2015]]+Tabel6689172627[[#This Row],[Sew. 2015]]+Tabel6689172627[[#This Row],[WW 2015]]+Tabel6689172627[[#This Row],[Other ch. 2015]]+Tabel6689172627[[#This Row],[VAT 2015]]</f>
        <v>#DIV/0!</v>
      </c>
      <c r="Q233" s="397"/>
      <c r="R233" s="1764"/>
      <c r="S233" s="1767"/>
      <c r="T233" s="1770"/>
      <c r="U233" s="1776"/>
      <c r="V233" s="1779"/>
      <c r="W233" s="1811"/>
      <c r="X233" s="1813"/>
      <c r="Y233" s="1815"/>
      <c r="Z233" s="1794"/>
      <c r="AA233" s="397"/>
      <c r="AB233" s="398"/>
      <c r="AC233" s="396"/>
      <c r="AD233" s="396"/>
      <c r="AE233" s="591" t="s">
        <v>429</v>
      </c>
      <c r="AF233" s="591" t="s">
        <v>429</v>
      </c>
      <c r="AG233" s="398"/>
      <c r="AH233" s="398"/>
      <c r="AI233" s="397"/>
    </row>
    <row r="234" spans="1:35" ht="15.75" customHeight="1" x14ac:dyDescent="0.25">
      <c r="A234" s="2004" t="s">
        <v>48</v>
      </c>
      <c r="B234" s="1617"/>
      <c r="C234" s="1307" t="s">
        <v>155</v>
      </c>
      <c r="D234" s="2210">
        <v>40900</v>
      </c>
      <c r="F234" s="319" t="e">
        <f>561.6/E234</f>
        <v>#DIV/0!</v>
      </c>
      <c r="G234" s="320" t="e">
        <f>486.4/E234</f>
        <v>#DIV/0!</v>
      </c>
      <c r="H234" s="321">
        <f>0</f>
        <v>0</v>
      </c>
      <c r="I234" s="313" t="e">
        <f>Tabel6689172627[[#This Row],[Fix.ch. 2015]]+Tabel6689172627[[#This Row],[Var. ch. 2015]]+Tabel6689172627[[#This Row],[Oth. ch. DW 2015]]</f>
        <v>#DIV/0!</v>
      </c>
      <c r="J234" s="322" t="e">
        <f>842.4/E234</f>
        <v>#DIV/0!</v>
      </c>
      <c r="K234" s="323" t="e">
        <f>428.8/E234</f>
        <v>#DIV/0!</v>
      </c>
      <c r="L234" s="323"/>
      <c r="M234" s="324" t="e">
        <f>277.6/E234</f>
        <v>#DIV/0!</v>
      </c>
      <c r="N234" s="1257" t="e">
        <f>Tabel6689172627[[#This Row],[Sew. 2015]]+Tabel6689172627[[#This Row],[WW 2015]]+Tabel6689172627[[#This Row],[Other ch. 2015]]</f>
        <v>#DIV/0!</v>
      </c>
      <c r="O234" s="1258" t="e">
        <f>649.2/E234</f>
        <v>#DIV/0!</v>
      </c>
      <c r="P234" s="318" t="e">
        <f>Tabel6689172627[[#This Row],[Total. ch. DW 2015]]+Tabel6689172627[[#This Row],[Sew. 2015]]+Tabel6689172627[[#This Row],[WW 2015]]+Tabel6689172627[[#This Row],[Other ch. 2015]]+Tabel6689172627[[#This Row],[VAT 2015]]</f>
        <v>#DIV/0!</v>
      </c>
      <c r="Q234" s="397"/>
      <c r="R234" s="2211" t="e">
        <f t="shared" ref="R234:W234" si="61">SUM(F234:F238)/5</f>
        <v>#DIV/0!</v>
      </c>
      <c r="S234" s="2212" t="e">
        <f t="shared" si="61"/>
        <v>#DIV/0!</v>
      </c>
      <c r="T234" s="2213">
        <f t="shared" si="61"/>
        <v>0</v>
      </c>
      <c r="U234" s="2214" t="e">
        <f t="shared" si="61"/>
        <v>#DIV/0!</v>
      </c>
      <c r="V234" s="2215" t="e">
        <f t="shared" si="61"/>
        <v>#DIV/0!</v>
      </c>
      <c r="W234" s="2216" t="e">
        <f t="shared" si="61"/>
        <v>#DIV/0!</v>
      </c>
      <c r="X234" s="2217" t="e">
        <f>SUM(M234:M238)/5</f>
        <v>#DIV/0!</v>
      </c>
      <c r="Y234" s="2218" t="e">
        <f t="shared" ref="Y234:Z234" si="62">SUM(O234:O238)/5</f>
        <v>#DIV/0!</v>
      </c>
      <c r="Z234" s="2219" t="e">
        <f t="shared" si="62"/>
        <v>#DIV/0!</v>
      </c>
      <c r="AA234" s="397"/>
      <c r="AB234" s="398"/>
      <c r="AC234" s="398"/>
      <c r="AD234" s="396" t="s">
        <v>429</v>
      </c>
      <c r="AE234" s="396"/>
      <c r="AF234" s="396"/>
      <c r="AG234" s="396" t="s">
        <v>429</v>
      </c>
      <c r="AH234" s="398"/>
      <c r="AI234" s="397"/>
    </row>
    <row r="235" spans="1:35" ht="15.75" customHeight="1" x14ac:dyDescent="0.25">
      <c r="A235" s="2005"/>
      <c r="B235" s="1617"/>
      <c r="C235" s="276" t="s">
        <v>156</v>
      </c>
      <c r="D235" s="1837"/>
      <c r="F235" s="319" t="e">
        <f>974.72/E235</f>
        <v>#DIV/0!</v>
      </c>
      <c r="G235" s="320" t="e">
        <f>1008/E235</f>
        <v>#DIV/0!</v>
      </c>
      <c r="H235" s="321">
        <v>0</v>
      </c>
      <c r="I235" s="313" t="e">
        <f>Tabel6689172627[[#This Row],[Fix.ch. 2015]]+Tabel6689172627[[#This Row],[Var. ch. 2015]]+Tabel6689172627[[#This Row],[Oth. ch. DW 2015]]</f>
        <v>#DIV/0!</v>
      </c>
      <c r="J235" s="322" t="e">
        <f>1462.08/E235</f>
        <v>#DIV/0!</v>
      </c>
      <c r="K235" s="323" t="e">
        <f>1286.4/E235</f>
        <v>#DIV/0!</v>
      </c>
      <c r="L235" s="323"/>
      <c r="M235" s="324">
        <v>0</v>
      </c>
      <c r="N235" s="1257" t="e">
        <f>Tabel6689172627[[#This Row],[Sew. 2015]]+Tabel6689172627[[#This Row],[WW 2015]]+Tabel6689172627[[#This Row],[Other ch. 2015]]</f>
        <v>#DIV/0!</v>
      </c>
      <c r="O235" s="1258" t="e">
        <f>1182.8/E235</f>
        <v>#DIV/0!</v>
      </c>
      <c r="P235" s="318" t="e">
        <f>Tabel6689172627[[#This Row],[Total. ch. DW 2015]]+Tabel6689172627[[#This Row],[Sew. 2015]]+Tabel6689172627[[#This Row],[WW 2015]]+Tabel6689172627[[#This Row],[Other ch. 2015]]+Tabel6689172627[[#This Row],[VAT 2015]]</f>
        <v>#DIV/0!</v>
      </c>
      <c r="Q235" s="397"/>
      <c r="R235" s="1840"/>
      <c r="S235" s="1843"/>
      <c r="T235" s="1846"/>
      <c r="U235" s="1849"/>
      <c r="V235" s="1852"/>
      <c r="W235" s="1855"/>
      <c r="X235" s="1858"/>
      <c r="Y235" s="1873"/>
      <c r="Z235" s="1876"/>
      <c r="AA235" s="397"/>
      <c r="AB235" s="398"/>
      <c r="AC235" s="398"/>
      <c r="AD235" s="396" t="s">
        <v>429</v>
      </c>
      <c r="AE235" s="396"/>
      <c r="AF235" s="396"/>
      <c r="AG235" s="396" t="s">
        <v>429</v>
      </c>
      <c r="AH235" s="398"/>
      <c r="AI235" s="397"/>
    </row>
    <row r="236" spans="1:35" ht="15.75" customHeight="1" x14ac:dyDescent="0.25">
      <c r="A236" s="2005"/>
      <c r="B236" s="1617"/>
      <c r="C236" s="276" t="s">
        <v>157</v>
      </c>
      <c r="D236" s="1837"/>
      <c r="F236" s="319" t="e">
        <f>524/E236</f>
        <v>#DIV/0!</v>
      </c>
      <c r="G236" s="320" t="e">
        <f>715.2/E236</f>
        <v>#DIV/0!</v>
      </c>
      <c r="H236" s="321">
        <v>0</v>
      </c>
      <c r="I236" s="313" t="e">
        <f>Tabel6689172627[[#This Row],[Fix.ch. 2015]]+Tabel6689172627[[#This Row],[Var. ch. 2015]]+Tabel6689172627[[#This Row],[Oth. ch. DW 2015]]</f>
        <v>#DIV/0!</v>
      </c>
      <c r="J236" s="322" t="e">
        <f>786/E236</f>
        <v>#DIV/0!</v>
      </c>
      <c r="K236" s="323" t="e">
        <f>760/E236</f>
        <v>#DIV/0!</v>
      </c>
      <c r="L236" s="323"/>
      <c r="M236" s="324" t="e">
        <f>531.2/E236</f>
        <v>#DIV/0!</v>
      </c>
      <c r="N236" s="1257" t="e">
        <f>Tabel6689172627[[#This Row],[Sew. 2015]]+Tabel6689172627[[#This Row],[WW 2015]]+Tabel6689172627[[#This Row],[Other ch. 2015]]</f>
        <v>#DIV/0!</v>
      </c>
      <c r="O236" s="1258" t="e">
        <f>829.1/E236</f>
        <v>#DIV/0!</v>
      </c>
      <c r="P236" s="318" t="e">
        <f>Tabel6689172627[[#This Row],[Total. ch. DW 2015]]+Tabel6689172627[[#This Row],[Sew. 2015]]+Tabel6689172627[[#This Row],[WW 2015]]+Tabel6689172627[[#This Row],[Other ch. 2015]]+Tabel6689172627[[#This Row],[VAT 2015]]</f>
        <v>#DIV/0!</v>
      </c>
      <c r="Q236" s="397"/>
      <c r="R236" s="1840"/>
      <c r="S236" s="1843"/>
      <c r="T236" s="1846"/>
      <c r="U236" s="1849"/>
      <c r="V236" s="1852"/>
      <c r="W236" s="1855"/>
      <c r="X236" s="1858"/>
      <c r="Y236" s="1873"/>
      <c r="Z236" s="1876"/>
      <c r="AA236" s="397"/>
      <c r="AB236" s="398"/>
      <c r="AC236" s="398"/>
      <c r="AD236" s="396" t="s">
        <v>429</v>
      </c>
      <c r="AE236" s="396"/>
      <c r="AF236" s="396"/>
      <c r="AG236" s="396" t="s">
        <v>429</v>
      </c>
      <c r="AH236" s="398"/>
      <c r="AI236" s="397"/>
    </row>
    <row r="237" spans="1:35" ht="15.75" customHeight="1" x14ac:dyDescent="0.25">
      <c r="A237" s="2005"/>
      <c r="B237" s="1617"/>
      <c r="C237" s="276" t="s">
        <v>158</v>
      </c>
      <c r="D237" s="1837"/>
      <c r="F237" s="319">
        <f>0</f>
        <v>0</v>
      </c>
      <c r="G237" s="320" t="e">
        <f>1876.8/E237</f>
        <v>#DIV/0!</v>
      </c>
      <c r="H237" s="321">
        <v>0</v>
      </c>
      <c r="I237" s="313" t="e">
        <f>Tabel6689172627[[#This Row],[Fix.ch. 2015]]+Tabel6689172627[[#This Row],[Var. ch. 2015]]+Tabel6689172627[[#This Row],[Oth. ch. DW 2015]]</f>
        <v>#DIV/0!</v>
      </c>
      <c r="J237" s="322">
        <v>0</v>
      </c>
      <c r="K237" s="323" t="e">
        <f>2815.2/E237</f>
        <v>#DIV/0!</v>
      </c>
      <c r="L237" s="323"/>
      <c r="M237" s="324">
        <v>0</v>
      </c>
      <c r="N237" s="1257" t="e">
        <f>Tabel6689172627[[#This Row],[Sew. 2015]]+Tabel6689172627[[#This Row],[WW 2015]]+Tabel6689172627[[#This Row],[Other ch. 2015]]</f>
        <v>#DIV/0!</v>
      </c>
      <c r="O237" s="1258" t="e">
        <f>1173/E237</f>
        <v>#DIV/0!</v>
      </c>
      <c r="P237" s="318" t="e">
        <f>Tabel6689172627[[#This Row],[Total. ch. DW 2015]]+Tabel6689172627[[#This Row],[Sew. 2015]]+Tabel6689172627[[#This Row],[WW 2015]]+Tabel6689172627[[#This Row],[Other ch. 2015]]+Tabel6689172627[[#This Row],[VAT 2015]]</f>
        <v>#DIV/0!</v>
      </c>
      <c r="Q237" s="397"/>
      <c r="R237" s="1840"/>
      <c r="S237" s="1843"/>
      <c r="T237" s="1846"/>
      <c r="U237" s="1849"/>
      <c r="V237" s="1852"/>
      <c r="W237" s="1855"/>
      <c r="X237" s="1858"/>
      <c r="Y237" s="1873"/>
      <c r="Z237" s="1876"/>
      <c r="AA237" s="397"/>
      <c r="AB237" s="398"/>
      <c r="AC237" s="398"/>
      <c r="AD237" s="396" t="s">
        <v>429</v>
      </c>
      <c r="AE237" s="396"/>
      <c r="AF237" s="396"/>
      <c r="AG237" s="396" t="s">
        <v>429</v>
      </c>
      <c r="AH237" s="398"/>
      <c r="AI237" s="397"/>
    </row>
    <row r="238" spans="1:35" ht="16.5" customHeight="1" thickBot="1" x14ac:dyDescent="0.3">
      <c r="A238" s="2006"/>
      <c r="B238" s="1617"/>
      <c r="C238" s="835" t="s">
        <v>159</v>
      </c>
      <c r="D238" s="2221"/>
      <c r="F238" s="319" t="e">
        <f>1033.6/E238</f>
        <v>#DIV/0!</v>
      </c>
      <c r="G238" s="320" t="e">
        <f>932.8/E238</f>
        <v>#DIV/0!</v>
      </c>
      <c r="H238" s="321">
        <v>0</v>
      </c>
      <c r="I238" s="313" t="e">
        <f>Tabel6689172627[[#This Row],[Fix.ch. 2015]]+Tabel6689172627[[#This Row],[Var. ch. 2015]]+Tabel6689172627[[#This Row],[Oth. ch. DW 2015]]</f>
        <v>#DIV/0!</v>
      </c>
      <c r="J238" s="322" t="e">
        <f>1550.4/E238</f>
        <v>#DIV/0!</v>
      </c>
      <c r="K238" s="323" t="e">
        <f>1259.2/E238</f>
        <v>#DIV/0!</v>
      </c>
      <c r="L238" s="323"/>
      <c r="M238" s="324">
        <v>0</v>
      </c>
      <c r="N238" s="1257" t="e">
        <f>Tabel6689172627[[#This Row],[Sew. 2015]]+Tabel6689172627[[#This Row],[WW 2015]]+Tabel6689172627[[#This Row],[Other ch. 2015]]</f>
        <v>#DIV/0!</v>
      </c>
      <c r="O238" s="1258" t="e">
        <f>1194/E238</f>
        <v>#DIV/0!</v>
      </c>
      <c r="P238" s="318" t="e">
        <f>Tabel6689172627[[#This Row],[Total. ch. DW 2015]]+Tabel6689172627[[#This Row],[Sew. 2015]]+Tabel6689172627[[#This Row],[WW 2015]]+Tabel6689172627[[#This Row],[Other ch. 2015]]+Tabel6689172627[[#This Row],[VAT 2015]]</f>
        <v>#DIV/0!</v>
      </c>
      <c r="Q238" s="397"/>
      <c r="R238" s="2223"/>
      <c r="S238" s="2225"/>
      <c r="T238" s="2227"/>
      <c r="U238" s="2234"/>
      <c r="V238" s="2236"/>
      <c r="W238" s="2238"/>
      <c r="X238" s="2240"/>
      <c r="Y238" s="2242"/>
      <c r="Z238" s="2244"/>
      <c r="AA238" s="397"/>
      <c r="AB238" s="398"/>
      <c r="AC238" s="398"/>
      <c r="AD238" s="396" t="s">
        <v>429</v>
      </c>
      <c r="AE238" s="396"/>
      <c r="AF238" s="396"/>
      <c r="AG238" s="396" t="s">
        <v>429</v>
      </c>
      <c r="AH238" s="398"/>
      <c r="AI238" s="397"/>
    </row>
    <row r="239" spans="1:35" ht="15.75" x14ac:dyDescent="0.25">
      <c r="A239" s="1818" t="s">
        <v>28</v>
      </c>
      <c r="B239" s="1213"/>
      <c r="C239" s="543" t="s">
        <v>160</v>
      </c>
      <c r="D239" s="1759">
        <v>59300</v>
      </c>
      <c r="F239" s="549" t="e">
        <f>198/E239</f>
        <v>#DIV/0!</v>
      </c>
      <c r="G239" s="550" t="e">
        <f>258/E239</f>
        <v>#DIV/0!</v>
      </c>
      <c r="H239" s="551">
        <v>0</v>
      </c>
      <c r="I239" s="566" t="e">
        <f>Tabel6689172627[[#This Row],[Fix.ch. 2015]]+Tabel6689172627[[#This Row],[Var. ch. 2015]]+Tabel6689172627[[#This Row],[Oth. ch. DW 2015]]</f>
        <v>#DIV/0!</v>
      </c>
      <c r="J239" s="567" t="e">
        <f>331.5/E239</f>
        <v>#DIV/0!</v>
      </c>
      <c r="K239" s="568">
        <v>0</v>
      </c>
      <c r="L239" s="568"/>
      <c r="M239" s="569">
        <v>0</v>
      </c>
      <c r="N239" s="1270" t="e">
        <f>Tabel6689172627[[#This Row],[Sew. 2015]]+Tabel6689172627[[#This Row],[WW 2015]]+Tabel6689172627[[#This Row],[Other ch. 2015]]</f>
        <v>#DIV/0!</v>
      </c>
      <c r="O239" s="1271" t="e">
        <f>37.92/E239</f>
        <v>#DIV/0!</v>
      </c>
      <c r="P239" s="571" t="e">
        <f>Tabel6689172627[[#This Row],[Total. ch. DW 2015]]+Tabel6689172627[[#This Row],[Sew. 2015]]+Tabel6689172627[[#This Row],[WW 2015]]+Tabel6689172627[[#This Row],[Other ch. 2015]]+Tabel6689172627[[#This Row],[VAT 2015]]</f>
        <v>#DIV/0!</v>
      </c>
      <c r="Q239" s="397"/>
      <c r="R239" s="1762" t="e">
        <f t="shared" ref="R239:W239" si="63">SUM(F239:F243)/5</f>
        <v>#DIV/0!</v>
      </c>
      <c r="S239" s="1765" t="e">
        <f t="shared" si="63"/>
        <v>#DIV/0!</v>
      </c>
      <c r="T239" s="2272">
        <f t="shared" si="63"/>
        <v>0</v>
      </c>
      <c r="U239" s="1774" t="e">
        <f t="shared" si="63"/>
        <v>#DIV/0!</v>
      </c>
      <c r="V239" s="1777" t="e">
        <f t="shared" si="63"/>
        <v>#DIV/0!</v>
      </c>
      <c r="W239" s="1810">
        <f t="shared" si="63"/>
        <v>0</v>
      </c>
      <c r="X239" s="1812">
        <f>SUM(M239:M243)/5</f>
        <v>0</v>
      </c>
      <c r="Y239" s="1814" t="e">
        <f t="shared" ref="Y239:Z239" si="64">SUM(O239:O243)/5</f>
        <v>#DIV/0!</v>
      </c>
      <c r="Z239" s="2260" t="e">
        <f t="shared" si="64"/>
        <v>#DIV/0!</v>
      </c>
      <c r="AA239" s="397"/>
      <c r="AB239" s="398"/>
      <c r="AC239" s="591" t="s">
        <v>429</v>
      </c>
      <c r="AD239" s="614"/>
      <c r="AE239" s="614"/>
      <c r="AF239" s="591" t="s">
        <v>429</v>
      </c>
      <c r="AG239" s="398"/>
      <c r="AH239" s="398"/>
      <c r="AI239" s="397"/>
    </row>
    <row r="240" spans="1:35" ht="15.75" x14ac:dyDescent="0.25">
      <c r="A240" s="2294"/>
      <c r="B240" s="1213"/>
      <c r="C240" s="543" t="s">
        <v>603</v>
      </c>
      <c r="D240" s="1880"/>
      <c r="F240" s="549" t="e">
        <f>108/E240</f>
        <v>#DIV/0!</v>
      </c>
      <c r="G240" s="550" t="e">
        <f>240/E240</f>
        <v>#DIV/0!</v>
      </c>
      <c r="H240" s="551">
        <v>0</v>
      </c>
      <c r="I240" s="566" t="e">
        <f>Tabel6689172627[[#This Row],[Fix.ch. 2015]]+Tabel6689172627[[#This Row],[Var. ch. 2015]]+Tabel6689172627[[#This Row],[Oth. ch. DW 2015]]</f>
        <v>#DIV/0!</v>
      </c>
      <c r="J240" s="567" t="e">
        <f>462.25/E240</f>
        <v>#DIV/0!</v>
      </c>
      <c r="K240" s="568">
        <v>0</v>
      </c>
      <c r="L240" s="568"/>
      <c r="M240" s="569">
        <v>0</v>
      </c>
      <c r="N240" s="1270" t="e">
        <f>Tabel6689172627[[#This Row],[Sew. 2015]]+Tabel6689172627[[#This Row],[WW 2015]]+Tabel6689172627[[#This Row],[Other ch. 2015]]</f>
        <v>#DIV/0!</v>
      </c>
      <c r="O240" s="1271" t="e">
        <f>45.68/E240</f>
        <v>#DIV/0!</v>
      </c>
      <c r="P240" s="571" t="e">
        <f>Tabel6689172627[[#This Row],[Total. ch. DW 2015]]+Tabel6689172627[[#This Row],[Sew. 2015]]+Tabel6689172627[[#This Row],[WW 2015]]+Tabel6689172627[[#This Row],[Other ch. 2015]]+Tabel6689172627[[#This Row],[VAT 2015]]</f>
        <v>#DIV/0!</v>
      </c>
      <c r="Q240" s="397"/>
      <c r="R240" s="1886"/>
      <c r="S240" s="1888"/>
      <c r="T240" s="2290"/>
      <c r="U240" s="1892"/>
      <c r="V240" s="1894"/>
      <c r="W240" s="1864"/>
      <c r="X240" s="1913"/>
      <c r="Y240" s="1915"/>
      <c r="Z240" s="2291"/>
      <c r="AA240" s="397"/>
      <c r="AB240" s="398"/>
      <c r="AC240" s="591" t="s">
        <v>429</v>
      </c>
      <c r="AD240" s="614"/>
      <c r="AE240" s="614"/>
      <c r="AF240" s="591" t="s">
        <v>429</v>
      </c>
      <c r="AG240" s="398"/>
      <c r="AH240" s="398"/>
      <c r="AI240" s="397"/>
    </row>
    <row r="241" spans="1:35" ht="15.75" x14ac:dyDescent="0.25">
      <c r="A241" s="2294"/>
      <c r="B241" s="1213"/>
      <c r="C241" s="543" t="s">
        <v>162</v>
      </c>
      <c r="D241" s="1880"/>
      <c r="F241" s="549" t="e">
        <f>136/E241</f>
        <v>#DIV/0!</v>
      </c>
      <c r="G241" s="550" t="e">
        <f>384/E241</f>
        <v>#DIV/0!</v>
      </c>
      <c r="H241" s="551">
        <v>0</v>
      </c>
      <c r="I241" s="566" t="e">
        <f>Tabel6689172627[[#This Row],[Fix.ch. 2015]]+Tabel6689172627[[#This Row],[Var. ch. 2015]]+Tabel6689172627[[#This Row],[Oth. ch. DW 2015]]</f>
        <v>#DIV/0!</v>
      </c>
      <c r="J241" s="567" t="e">
        <f>240/E241</f>
        <v>#DIV/0!</v>
      </c>
      <c r="K241" s="568">
        <v>0</v>
      </c>
      <c r="L241" s="568"/>
      <c r="M241" s="569">
        <v>0</v>
      </c>
      <c r="N241" s="1270" t="e">
        <f>Tabel6689172627[[#This Row],[Sew. 2015]]+Tabel6689172627[[#This Row],[WW 2015]]+Tabel6689172627[[#This Row],[Other ch. 2015]]</f>
        <v>#DIV/0!</v>
      </c>
      <c r="O241" s="1271" t="e">
        <f>32.2/E241</f>
        <v>#DIV/0!</v>
      </c>
      <c r="P241" s="571" t="e">
        <f>Tabel6689172627[[#This Row],[Total. ch. DW 2015]]+Tabel6689172627[[#This Row],[Sew. 2015]]+Tabel6689172627[[#This Row],[WW 2015]]+Tabel6689172627[[#This Row],[Other ch. 2015]]+Tabel6689172627[[#This Row],[VAT 2015]]</f>
        <v>#DIV/0!</v>
      </c>
      <c r="Q241" s="397"/>
      <c r="R241" s="1886"/>
      <c r="S241" s="1888"/>
      <c r="T241" s="2290"/>
      <c r="U241" s="1892"/>
      <c r="V241" s="1894"/>
      <c r="W241" s="1864"/>
      <c r="X241" s="1913"/>
      <c r="Y241" s="1915"/>
      <c r="Z241" s="2291"/>
      <c r="AA241" s="397"/>
      <c r="AB241" s="398"/>
      <c r="AC241" s="591" t="s">
        <v>429</v>
      </c>
      <c r="AD241" s="614"/>
      <c r="AE241" s="614"/>
      <c r="AF241" s="591" t="s">
        <v>429</v>
      </c>
      <c r="AG241" s="398"/>
      <c r="AH241" s="398"/>
      <c r="AI241" s="397"/>
    </row>
    <row r="242" spans="1:35" ht="15.75" x14ac:dyDescent="0.25">
      <c r="A242" s="2294"/>
      <c r="B242" s="1213"/>
      <c r="C242" s="543" t="s">
        <v>161</v>
      </c>
      <c r="D242" s="1880"/>
      <c r="F242" s="549" t="e">
        <f>70/E242</f>
        <v>#DIV/0!</v>
      </c>
      <c r="G242" s="550" t="e">
        <f>292/E242</f>
        <v>#DIV/0!</v>
      </c>
      <c r="H242" s="551">
        <v>0</v>
      </c>
      <c r="I242" s="566" t="e">
        <f>Tabel6689172627[[#This Row],[Fix.ch. 2015]]+Tabel6689172627[[#This Row],[Var. ch. 2015]]+Tabel6689172627[[#This Row],[Oth. ch. DW 2015]]</f>
        <v>#DIV/0!</v>
      </c>
      <c r="J242" s="567" t="e">
        <f>435/E242</f>
        <v>#DIV/0!</v>
      </c>
      <c r="K242" s="568">
        <v>0</v>
      </c>
      <c r="L242" s="568"/>
      <c r="M242" s="569">
        <v>0</v>
      </c>
      <c r="N242" s="1270" t="e">
        <f>Tabel6689172627[[#This Row],[Sew. 2015]]+Tabel6689172627[[#This Row],[WW 2015]]+Tabel6689172627[[#This Row],[Other ch. 2015]]</f>
        <v>#DIV/0!</v>
      </c>
      <c r="O242" s="1271" t="e">
        <f>43.85/E242</f>
        <v>#DIV/0!</v>
      </c>
      <c r="P242" s="571" t="e">
        <f>Tabel6689172627[[#This Row],[Total. ch. DW 2015]]+Tabel6689172627[[#This Row],[Sew. 2015]]+Tabel6689172627[[#This Row],[WW 2015]]+Tabel6689172627[[#This Row],[Other ch. 2015]]+Tabel6689172627[[#This Row],[VAT 2015]]</f>
        <v>#DIV/0!</v>
      </c>
      <c r="Q242" s="397"/>
      <c r="R242" s="1886"/>
      <c r="S242" s="1888"/>
      <c r="T242" s="2290"/>
      <c r="U242" s="1892"/>
      <c r="V242" s="1894"/>
      <c r="W242" s="1864"/>
      <c r="X242" s="1913"/>
      <c r="Y242" s="1915"/>
      <c r="Z242" s="2291"/>
      <c r="AA242" s="397"/>
      <c r="AB242" s="398"/>
      <c r="AC242" s="591" t="s">
        <v>429</v>
      </c>
      <c r="AD242" s="614"/>
      <c r="AE242" s="614"/>
      <c r="AF242" s="591" t="s">
        <v>429</v>
      </c>
      <c r="AG242" s="398"/>
      <c r="AH242" s="398"/>
      <c r="AI242" s="397"/>
    </row>
    <row r="243" spans="1:35" ht="16.5" thickBot="1" x14ac:dyDescent="0.3">
      <c r="A243" s="2295"/>
      <c r="B243" s="1213"/>
      <c r="C243" s="544" t="s">
        <v>163</v>
      </c>
      <c r="D243" s="1761"/>
      <c r="F243" s="549" t="e">
        <f>4.83/E243</f>
        <v>#DIV/0!</v>
      </c>
      <c r="G243" s="550" t="e">
        <f>520/E243</f>
        <v>#DIV/0!</v>
      </c>
      <c r="H243" s="551">
        <v>0</v>
      </c>
      <c r="I243" s="566" t="e">
        <f>Tabel6689172627[[#This Row],[Fix.ch. 2015]]+Tabel6689172627[[#This Row],[Var. ch. 2015]]+Tabel6689172627[[#This Row],[Oth. ch. DW 2015]]</f>
        <v>#DIV/0!</v>
      </c>
      <c r="J243" s="567" t="e">
        <f>558.33/E243</f>
        <v>#DIV/0!</v>
      </c>
      <c r="K243" s="568">
        <v>0</v>
      </c>
      <c r="L243" s="568"/>
      <c r="M243" s="569">
        <v>0</v>
      </c>
      <c r="N243" s="1270" t="e">
        <f>Tabel6689172627[[#This Row],[Sew. 2015]]+Tabel6689172627[[#This Row],[WW 2015]]+Tabel6689172627[[#This Row],[Other ch. 2015]]</f>
        <v>#DIV/0!</v>
      </c>
      <c r="O243" s="1271" t="e">
        <f>57.79/E243</f>
        <v>#DIV/0!</v>
      </c>
      <c r="P243" s="571" t="e">
        <f>Tabel6689172627[[#This Row],[Total. ch. DW 2015]]+Tabel6689172627[[#This Row],[Sew. 2015]]+Tabel6689172627[[#This Row],[WW 2015]]+Tabel6689172627[[#This Row],[Other ch. 2015]]+Tabel6689172627[[#This Row],[VAT 2015]]</f>
        <v>#DIV/0!</v>
      </c>
      <c r="Q243" s="397"/>
      <c r="R243" s="1764"/>
      <c r="S243" s="1767"/>
      <c r="T243" s="2273"/>
      <c r="U243" s="1776"/>
      <c r="V243" s="1779"/>
      <c r="W243" s="2248"/>
      <c r="X243" s="1813"/>
      <c r="Y243" s="1815"/>
      <c r="Z243" s="2292"/>
      <c r="AA243" s="397"/>
      <c r="AB243" s="398"/>
      <c r="AC243" s="591" t="s">
        <v>429</v>
      </c>
      <c r="AD243" s="614"/>
      <c r="AE243" s="614"/>
      <c r="AF243" s="591" t="s">
        <v>429</v>
      </c>
      <c r="AG243" s="398"/>
      <c r="AH243" s="398"/>
      <c r="AI243" s="397"/>
    </row>
    <row r="244" spans="1:35" ht="19.5" thickBot="1" x14ac:dyDescent="0.3">
      <c r="A244" s="1170" t="s">
        <v>706</v>
      </c>
      <c r="B244" s="1213"/>
      <c r="C244" s="543" t="s">
        <v>708</v>
      </c>
      <c r="D244" s="1172">
        <v>3000</v>
      </c>
      <c r="F244" s="549"/>
      <c r="G244" s="550"/>
      <c r="H244" s="551"/>
      <c r="I244" s="566">
        <f>Tabel6689172627[[#This Row],[Fix.ch. 2015]]+Tabel6689172627[[#This Row],[Var. ch. 2015]]+Tabel6689172627[[#This Row],[Oth. ch. DW 2015]]</f>
        <v>0</v>
      </c>
      <c r="J244" s="567"/>
      <c r="K244" s="568"/>
      <c r="L244" s="568"/>
      <c r="M244" s="569"/>
      <c r="N244" s="1270">
        <f>Tabel6689172627[[#This Row],[Sew. 2015]]+Tabel6689172627[[#This Row],[WW 2015]]+Tabel6689172627[[#This Row],[Other ch. 2015]]</f>
        <v>0</v>
      </c>
      <c r="O244" s="1271"/>
      <c r="P244" s="571">
        <f>Tabel6689172627[[#This Row],[Total. ch. DW 2015]]+Tabel6689172627[[#This Row],[Sew. 2015]]+Tabel6689172627[[#This Row],[WW 2015]]+Tabel6689172627[[#This Row],[Other ch. 2015]]+Tabel6689172627[[#This Row],[VAT 2015]]</f>
        <v>0</v>
      </c>
      <c r="Q244" s="397"/>
      <c r="R244" s="1296"/>
      <c r="S244" s="1309"/>
      <c r="T244" s="1310"/>
      <c r="U244" s="1299"/>
      <c r="V244" s="1300"/>
      <c r="W244" s="1311"/>
      <c r="X244" s="1302"/>
      <c r="Y244" s="1312"/>
      <c r="Z244" s="1313"/>
      <c r="AA244" s="397"/>
      <c r="AB244" s="398"/>
      <c r="AC244" s="591"/>
      <c r="AD244" s="614"/>
      <c r="AE244" s="614"/>
      <c r="AF244" s="591"/>
      <c r="AG244" s="398"/>
      <c r="AH244" s="398"/>
      <c r="AI244" s="397"/>
    </row>
    <row r="245" spans="1:35" ht="19.5" thickBot="1" x14ac:dyDescent="0.3">
      <c r="A245" s="1170" t="s">
        <v>737</v>
      </c>
      <c r="B245" s="1213"/>
      <c r="C245" s="1295" t="s">
        <v>738</v>
      </c>
      <c r="D245" s="1172">
        <v>16100</v>
      </c>
      <c r="F245" s="549"/>
      <c r="G245" s="550"/>
      <c r="H245" s="551"/>
      <c r="I245" s="566" t="e">
        <f>((30*8.5)+(10*10.03)+(10*10.35)+(10*10.68)+(10*11)+(10*11.33)+(10*12.5)+(10*12.82)+(20*13.15)+(40*13.47)+(40*13.8))/E245</f>
        <v>#DIV/0!</v>
      </c>
      <c r="J245" s="567"/>
      <c r="K245" s="568" t="e">
        <f>(3.358*200)/E245</f>
        <v>#DIV/0!</v>
      </c>
      <c r="L245" s="568"/>
      <c r="M245" s="569"/>
      <c r="N245" s="1270" t="e">
        <f>Tabel6689172627[[#This Row],[Sew. 2015]]+Tabel6689172627[[#This Row],[WW 2015]]+Tabel6689172627[[#This Row],[Other ch. 2015]]</f>
        <v>#DIV/0!</v>
      </c>
      <c r="O245" s="1271"/>
      <c r="P245" s="571" t="e">
        <f>Tabel6689172627[[#This Row],[Total. ch. DW 2015]]+Tabel6689172627[[#This Row],[Sew. 2015]]+Tabel6689172627[[#This Row],[WW 2015]]+Tabel6689172627[[#This Row],[Other ch. 2015]]+Tabel6689172627[[#This Row],[VAT 2015]]</f>
        <v>#DIV/0!</v>
      </c>
      <c r="Q245" s="397"/>
      <c r="R245" s="1296"/>
      <c r="S245" s="1309"/>
      <c r="T245" s="1310"/>
      <c r="U245" s="1299" t="e">
        <f>Tabel6689172627[[#This Row],[Total. ch. DW 2015]]</f>
        <v>#DIV/0!</v>
      </c>
      <c r="V245" s="1300"/>
      <c r="W245" s="1301" t="e">
        <f>Tabel6689172627[[#This Row],[WW 2015]]</f>
        <v>#DIV/0!</v>
      </c>
      <c r="X245" s="1302"/>
      <c r="Y245" s="1312"/>
      <c r="Z245" s="1314" t="e">
        <f>SUM(U245:Y245)</f>
        <v>#DIV/0!</v>
      </c>
      <c r="AA245" s="397"/>
      <c r="AB245" s="398"/>
      <c r="AC245" s="591"/>
      <c r="AD245" s="591" t="s">
        <v>429</v>
      </c>
      <c r="AE245" s="614"/>
      <c r="AF245" s="591" t="s">
        <v>429</v>
      </c>
      <c r="AG245" s="398"/>
      <c r="AH245" s="398"/>
      <c r="AI245" s="397"/>
    </row>
    <row r="246" spans="1:35" ht="16.5" thickBot="1" x14ac:dyDescent="0.3">
      <c r="A246" s="267" t="s">
        <v>29</v>
      </c>
      <c r="B246" s="1616"/>
      <c r="C246" s="298" t="s">
        <v>164</v>
      </c>
      <c r="D246" s="1315"/>
      <c r="F246" s="319"/>
      <c r="G246" s="320"/>
      <c r="H246" s="321"/>
      <c r="I246" s="313">
        <f>Tabel6689172627[[#This Row],[Fix.ch. 2015]]+Tabel6689172627[[#This Row],[Var. ch. 2015]]+Tabel6689172627[[#This Row],[Oth. ch. DW 2015]]</f>
        <v>0</v>
      </c>
      <c r="J246" s="322"/>
      <c r="K246" s="323"/>
      <c r="L246" s="323"/>
      <c r="M246" s="324"/>
      <c r="N246" s="1257">
        <f>Tabel6689172627[[#This Row],[Sew. 2015]]+Tabel6689172627[[#This Row],[WW 2015]]+Tabel6689172627[[#This Row],[Other ch. 2015]]</f>
        <v>0</v>
      </c>
      <c r="O246" s="1258"/>
      <c r="P246" s="318">
        <f>Tabel6689172627[[#This Row],[Total. ch. DW 2015]]+Tabel6689172627[[#This Row],[Sew. 2015]]+Tabel6689172627[[#This Row],[WW 2015]]+Tabel6689172627[[#This Row],[Other ch. 2015]]+Tabel6689172627[[#This Row],[VAT 2015]]</f>
        <v>0</v>
      </c>
      <c r="Q246" s="397"/>
      <c r="R246" s="376"/>
      <c r="S246" s="377"/>
      <c r="T246" s="378"/>
      <c r="U246" s="379"/>
      <c r="V246" s="380"/>
      <c r="W246" s="381"/>
      <c r="X246" s="382"/>
      <c r="Y246" s="383"/>
      <c r="Z246" s="384"/>
      <c r="AA246" s="397"/>
      <c r="AB246" s="398"/>
      <c r="AC246" s="398"/>
      <c r="AD246" s="398"/>
      <c r="AE246" s="398"/>
      <c r="AF246" s="398"/>
      <c r="AG246" s="398"/>
      <c r="AH246" s="398"/>
      <c r="AI246" s="397"/>
    </row>
    <row r="247" spans="1:35" ht="15.75" x14ac:dyDescent="0.25">
      <c r="A247" s="1878" t="s">
        <v>505</v>
      </c>
      <c r="B247" s="1213"/>
      <c r="C247" s="693" t="s">
        <v>746</v>
      </c>
      <c r="D247" s="2293">
        <v>2100</v>
      </c>
      <c r="F247" s="549" t="e">
        <f>21126/E247</f>
        <v>#DIV/0!</v>
      </c>
      <c r="G247" s="550" t="e">
        <f>457227/E247</f>
        <v>#DIV/0!</v>
      </c>
      <c r="H247" s="551">
        <v>0</v>
      </c>
      <c r="I247" s="566" t="e">
        <f>Tabel6689172627[[#This Row],[Fix.ch. 2015]]+Tabel6689172627[[#This Row],[Var. ch. 2015]]+Tabel6689172627[[#This Row],[Oth. ch. DW 2015]]</f>
        <v>#DIV/0!</v>
      </c>
      <c r="J247" s="567">
        <v>0</v>
      </c>
      <c r="K247" s="568" t="e">
        <f>100056/E247</f>
        <v>#DIV/0!</v>
      </c>
      <c r="L247" s="568"/>
      <c r="M247" s="569">
        <v>0</v>
      </c>
      <c r="N247" s="1270" t="e">
        <f>Tabel6689172627[[#This Row],[Sew. 2015]]+Tabel6689172627[[#This Row],[WW 2015]]+Tabel6689172627[[#This Row],[Other ch. 2015]]</f>
        <v>#DIV/0!</v>
      </c>
      <c r="O247" s="1271">
        <v>0</v>
      </c>
      <c r="P247" s="571" t="e">
        <f>Tabel6689172627[[#This Row],[Total. ch. DW 2015]]+Tabel6689172627[[#This Row],[Sew. 2015]]+Tabel6689172627[[#This Row],[WW 2015]]+Tabel6689172627[[#This Row],[Other ch. 2015]]+Tabel6689172627[[#This Row],[VAT 2015]]</f>
        <v>#DIV/0!</v>
      </c>
      <c r="Q247" s="397"/>
      <c r="R247" s="1762" t="e">
        <f t="shared" ref="R247:W247" si="65">SUM(F247:F250)/4</f>
        <v>#DIV/0!</v>
      </c>
      <c r="S247" s="1765" t="e">
        <f t="shared" si="65"/>
        <v>#DIV/0!</v>
      </c>
      <c r="T247" s="1768">
        <f t="shared" si="65"/>
        <v>0</v>
      </c>
      <c r="U247" s="1774" t="e">
        <f t="shared" si="65"/>
        <v>#DIV/0!</v>
      </c>
      <c r="V247" s="1777">
        <f t="shared" si="65"/>
        <v>0</v>
      </c>
      <c r="W247" s="1810" t="e">
        <f t="shared" si="65"/>
        <v>#DIV/0!</v>
      </c>
      <c r="X247" s="1812">
        <f>SUM(M247:M250)/4</f>
        <v>0</v>
      </c>
      <c r="Y247" s="1814">
        <f t="shared" ref="Y247:Z247" si="66">SUM(O247:O250)/4</f>
        <v>0</v>
      </c>
      <c r="Z247" s="1793" t="e">
        <f t="shared" si="66"/>
        <v>#DIV/0!</v>
      </c>
      <c r="AA247" s="397"/>
      <c r="AB247" s="398"/>
      <c r="AC247" s="591" t="s">
        <v>429</v>
      </c>
      <c r="AD247" s="398"/>
      <c r="AE247" s="398"/>
      <c r="AF247" s="591" t="s">
        <v>429</v>
      </c>
      <c r="AG247" s="591" t="s">
        <v>429</v>
      </c>
      <c r="AH247" s="398"/>
      <c r="AI247" s="397"/>
    </row>
    <row r="248" spans="1:35" ht="15.75" x14ac:dyDescent="0.25">
      <c r="A248" s="1757"/>
      <c r="B248" s="1213"/>
      <c r="C248" s="1293" t="s">
        <v>747</v>
      </c>
      <c r="D248" s="2296"/>
      <c r="F248" s="549" t="e">
        <f>19383/E248</f>
        <v>#DIV/0!</v>
      </c>
      <c r="G248" s="550" t="e">
        <f>471727/E248</f>
        <v>#DIV/0!</v>
      </c>
      <c r="H248" s="551">
        <v>0</v>
      </c>
      <c r="I248" s="566" t="e">
        <f>Tabel6689172627[[#This Row],[Fix.ch. 2015]]+Tabel6689172627[[#This Row],[Var. ch. 2015]]+Tabel6689172627[[#This Row],[Oth. ch. DW 2015]]</f>
        <v>#DIV/0!</v>
      </c>
      <c r="J248" s="567">
        <v>0</v>
      </c>
      <c r="K248" s="568" t="e">
        <f>165441/E248</f>
        <v>#DIV/0!</v>
      </c>
      <c r="L248" s="568"/>
      <c r="M248" s="569">
        <v>0</v>
      </c>
      <c r="N248" s="1270" t="e">
        <f>Tabel6689172627[[#This Row],[Sew. 2015]]+Tabel6689172627[[#This Row],[WW 2015]]+Tabel6689172627[[#This Row],[Other ch. 2015]]</f>
        <v>#DIV/0!</v>
      </c>
      <c r="O248" s="1271">
        <v>0</v>
      </c>
      <c r="P248" s="571" t="e">
        <f>Tabel6689172627[[#This Row],[Total. ch. DW 2015]]+Tabel6689172627[[#This Row],[Sew. 2015]]+Tabel6689172627[[#This Row],[WW 2015]]+Tabel6689172627[[#This Row],[Other ch. 2015]]+Tabel6689172627[[#This Row],[VAT 2015]]</f>
        <v>#DIV/0!</v>
      </c>
      <c r="Q248" s="397"/>
      <c r="R248" s="1886"/>
      <c r="S248" s="1888"/>
      <c r="T248" s="1890"/>
      <c r="U248" s="1892"/>
      <c r="V248" s="1894"/>
      <c r="W248" s="1911"/>
      <c r="X248" s="1913"/>
      <c r="Y248" s="1915"/>
      <c r="Z248" s="1832"/>
      <c r="AA248" s="397"/>
      <c r="AB248" s="398"/>
      <c r="AC248" s="591" t="s">
        <v>429</v>
      </c>
      <c r="AD248" s="398"/>
      <c r="AE248" s="398"/>
      <c r="AF248" s="591" t="s">
        <v>429</v>
      </c>
      <c r="AG248" s="591" t="s">
        <v>429</v>
      </c>
      <c r="AH248" s="398"/>
      <c r="AI248" s="397"/>
    </row>
    <row r="249" spans="1:35" ht="15.75" x14ac:dyDescent="0.25">
      <c r="A249" s="1757"/>
      <c r="B249" s="1213"/>
      <c r="C249" s="1293" t="s">
        <v>748</v>
      </c>
      <c r="D249" s="2296"/>
      <c r="F249" s="549" t="e">
        <f>23132/E249</f>
        <v>#DIV/0!</v>
      </c>
      <c r="G249" s="550" t="e">
        <f>465967/E249</f>
        <v>#DIV/0!</v>
      </c>
      <c r="H249" s="551">
        <v>0</v>
      </c>
      <c r="I249" s="566" t="e">
        <f>Tabel6689172627[[#This Row],[Fix.ch. 2015]]+Tabel6689172627[[#This Row],[Var. ch. 2015]]+Tabel6689172627[[#This Row],[Oth. ch. DW 2015]]</f>
        <v>#DIV/0!</v>
      </c>
      <c r="J249" s="567">
        <v>0</v>
      </c>
      <c r="K249" s="568" t="e">
        <f>58373/E249</f>
        <v>#DIV/0!</v>
      </c>
      <c r="L249" s="568"/>
      <c r="M249" s="569">
        <v>0</v>
      </c>
      <c r="N249" s="1270" t="e">
        <f>Tabel6689172627[[#This Row],[Sew. 2015]]+Tabel6689172627[[#This Row],[WW 2015]]+Tabel6689172627[[#This Row],[Other ch. 2015]]</f>
        <v>#DIV/0!</v>
      </c>
      <c r="O249" s="1271">
        <v>0</v>
      </c>
      <c r="P249" s="571" t="e">
        <f>Tabel6689172627[[#This Row],[Total. ch. DW 2015]]+Tabel6689172627[[#This Row],[Sew. 2015]]+Tabel6689172627[[#This Row],[WW 2015]]+Tabel6689172627[[#This Row],[Other ch. 2015]]+Tabel6689172627[[#This Row],[VAT 2015]]</f>
        <v>#DIV/0!</v>
      </c>
      <c r="Q249" s="397"/>
      <c r="R249" s="1886"/>
      <c r="S249" s="1888"/>
      <c r="T249" s="1890"/>
      <c r="U249" s="1892"/>
      <c r="V249" s="1894"/>
      <c r="W249" s="1911"/>
      <c r="X249" s="1913"/>
      <c r="Y249" s="1915"/>
      <c r="Z249" s="1832"/>
      <c r="AA249" s="397"/>
      <c r="AB249" s="398"/>
      <c r="AC249" s="591" t="s">
        <v>429</v>
      </c>
      <c r="AD249" s="398"/>
      <c r="AE249" s="398"/>
      <c r="AF249" s="591" t="s">
        <v>429</v>
      </c>
      <c r="AG249" s="591" t="s">
        <v>429</v>
      </c>
      <c r="AH249" s="398"/>
      <c r="AI249" s="397"/>
    </row>
    <row r="250" spans="1:35" ht="16.5" thickBot="1" x14ac:dyDescent="0.3">
      <c r="A250" s="1758"/>
      <c r="B250" s="1213"/>
      <c r="C250" s="652" t="s">
        <v>749</v>
      </c>
      <c r="D250" s="2187"/>
      <c r="F250" s="549" t="e">
        <f>20705/E250</f>
        <v>#DIV/0!</v>
      </c>
      <c r="G250" s="550" t="e">
        <f>480112/E250</f>
        <v>#DIV/0!</v>
      </c>
      <c r="H250" s="551">
        <v>0</v>
      </c>
      <c r="I250" s="566" t="e">
        <f>Tabel6689172627[[#This Row],[Fix.ch. 2015]]+Tabel6689172627[[#This Row],[Var. ch. 2015]]+Tabel6689172627[[#This Row],[Oth. ch. DW 2015]]</f>
        <v>#DIV/0!</v>
      </c>
      <c r="J250" s="567">
        <v>0</v>
      </c>
      <c r="K250" s="568" t="e">
        <f>67466/E250</f>
        <v>#DIV/0!</v>
      </c>
      <c r="L250" s="568"/>
      <c r="M250" s="569">
        <v>0</v>
      </c>
      <c r="N250" s="1270" t="e">
        <f>Tabel6689172627[[#This Row],[Sew. 2015]]+Tabel6689172627[[#This Row],[WW 2015]]+Tabel6689172627[[#This Row],[Other ch. 2015]]</f>
        <v>#DIV/0!</v>
      </c>
      <c r="O250" s="1271">
        <v>0</v>
      </c>
      <c r="P250" s="571" t="e">
        <f>Tabel6689172627[[#This Row],[Total. ch. DW 2015]]+Tabel6689172627[[#This Row],[Sew. 2015]]+Tabel6689172627[[#This Row],[WW 2015]]+Tabel6689172627[[#This Row],[Other ch. 2015]]+Tabel6689172627[[#This Row],[VAT 2015]]</f>
        <v>#DIV/0!</v>
      </c>
      <c r="Q250" s="397"/>
      <c r="R250" s="1764"/>
      <c r="S250" s="1767"/>
      <c r="T250" s="1770"/>
      <c r="U250" s="1776"/>
      <c r="V250" s="1779"/>
      <c r="W250" s="1811"/>
      <c r="X250" s="1813"/>
      <c r="Y250" s="1815"/>
      <c r="Z250" s="1794"/>
      <c r="AA250" s="397"/>
      <c r="AB250" s="398"/>
      <c r="AC250" s="591" t="s">
        <v>429</v>
      </c>
      <c r="AD250" s="398"/>
      <c r="AE250" s="398"/>
      <c r="AF250" s="591" t="s">
        <v>429</v>
      </c>
      <c r="AG250" s="591" t="s">
        <v>429</v>
      </c>
      <c r="AH250" s="398"/>
      <c r="AI250" s="397"/>
    </row>
    <row r="251" spans="1:35" ht="15.75" customHeight="1" x14ac:dyDescent="0.25">
      <c r="A251" s="1818" t="s">
        <v>456</v>
      </c>
      <c r="B251" s="1213"/>
      <c r="C251" s="543" t="s">
        <v>165</v>
      </c>
      <c r="D251" s="1759">
        <v>41200</v>
      </c>
      <c r="F251" s="549" t="e">
        <f>29.52/E251</f>
        <v>#DIV/0!</v>
      </c>
      <c r="G251" s="550" t="e">
        <f>296.78/E251</f>
        <v>#DIV/0!</v>
      </c>
      <c r="H251" s="551">
        <v>0</v>
      </c>
      <c r="I251" s="566" t="e">
        <f>Tabel6689172627[[#This Row],[Fix.ch. 2015]]+Tabel6689172627[[#This Row],[Var. ch. 2015]]+Tabel6689172627[[#This Row],[Oth. ch. DW 2015]]</f>
        <v>#DIV/0!</v>
      </c>
      <c r="J251" s="567">
        <v>0</v>
      </c>
      <c r="K251" s="568" t="e">
        <f>255.91/E251</f>
        <v>#DIV/0!</v>
      </c>
      <c r="L251" s="568"/>
      <c r="M251" s="569">
        <v>0</v>
      </c>
      <c r="N251" s="1270" t="e">
        <f>Tabel6689172627[[#This Row],[Sew. 2015]]+Tabel6689172627[[#This Row],[WW 2015]]+Tabel6689172627[[#This Row],[Other ch. 2015]]</f>
        <v>#DIV/0!</v>
      </c>
      <c r="O251" s="1271">
        <v>0</v>
      </c>
      <c r="P251" s="571" t="e">
        <f>Tabel6689172627[[#This Row],[Total. ch. DW 2015]]+Tabel6689172627[[#This Row],[Sew. 2015]]+Tabel6689172627[[#This Row],[WW 2015]]+Tabel6689172627[[#This Row],[Other ch. 2015]]+Tabel6689172627[[#This Row],[VAT 2015]]</f>
        <v>#DIV/0!</v>
      </c>
      <c r="Q251" s="397"/>
      <c r="R251" s="1762" t="e">
        <f t="shared" ref="R251:W251" si="67">SUM(F251:F255)/5</f>
        <v>#DIV/0!</v>
      </c>
      <c r="S251" s="1765" t="e">
        <f t="shared" si="67"/>
        <v>#DIV/0!</v>
      </c>
      <c r="T251" s="1768">
        <f t="shared" si="67"/>
        <v>0</v>
      </c>
      <c r="U251" s="1774" t="e">
        <f t="shared" si="67"/>
        <v>#DIV/0!</v>
      </c>
      <c r="V251" s="1777">
        <f t="shared" si="67"/>
        <v>0</v>
      </c>
      <c r="W251" s="1810" t="e">
        <f t="shared" si="67"/>
        <v>#DIV/0!</v>
      </c>
      <c r="X251" s="1812">
        <f>SUM(M251:M255)/5</f>
        <v>0</v>
      </c>
      <c r="Y251" s="1814">
        <f t="shared" ref="Y251:Z251" si="68">SUM(O251:O255)/5</f>
        <v>0</v>
      </c>
      <c r="Z251" s="1793" t="e">
        <f t="shared" si="68"/>
        <v>#DIV/0!</v>
      </c>
      <c r="AA251" s="397"/>
      <c r="AB251" s="398"/>
      <c r="AC251" s="398"/>
      <c r="AD251" s="398"/>
      <c r="AE251" s="398"/>
      <c r="AF251" s="398"/>
      <c r="AG251" s="398"/>
      <c r="AH251" s="398"/>
      <c r="AI251" s="2191"/>
    </row>
    <row r="252" spans="1:35" ht="15.75" customHeight="1" x14ac:dyDescent="0.25">
      <c r="A252" s="2294"/>
      <c r="B252" s="1213"/>
      <c r="C252" s="543" t="s">
        <v>166</v>
      </c>
      <c r="D252" s="1760"/>
      <c r="F252" s="549" t="e">
        <f>34.4/E252</f>
        <v>#DIV/0!</v>
      </c>
      <c r="G252" s="550" t="e">
        <f>261.58/E252</f>
        <v>#DIV/0!</v>
      </c>
      <c r="H252" s="551">
        <v>0</v>
      </c>
      <c r="I252" s="566" t="e">
        <f>Tabel6689172627[[#This Row],[Fix.ch. 2015]]+Tabel6689172627[[#This Row],[Var. ch. 2015]]+Tabel6689172627[[#This Row],[Oth. ch. DW 2015]]</f>
        <v>#DIV/0!</v>
      </c>
      <c r="J252" s="567">
        <v>0</v>
      </c>
      <c r="K252" s="568" t="e">
        <f>415.16/E252</f>
        <v>#DIV/0!</v>
      </c>
      <c r="L252" s="568"/>
      <c r="M252" s="569">
        <v>0</v>
      </c>
      <c r="N252" s="1270" t="e">
        <f>Tabel6689172627[[#This Row],[Sew. 2015]]+Tabel6689172627[[#This Row],[WW 2015]]+Tabel6689172627[[#This Row],[Other ch. 2015]]</f>
        <v>#DIV/0!</v>
      </c>
      <c r="O252" s="1271">
        <v>0</v>
      </c>
      <c r="P252" s="571" t="e">
        <f>Tabel6689172627[[#This Row],[Total. ch. DW 2015]]+Tabel6689172627[[#This Row],[Sew. 2015]]+Tabel6689172627[[#This Row],[WW 2015]]+Tabel6689172627[[#This Row],[Other ch. 2015]]+Tabel6689172627[[#This Row],[VAT 2015]]</f>
        <v>#DIV/0!</v>
      </c>
      <c r="Q252" s="397"/>
      <c r="R252" s="1763"/>
      <c r="S252" s="1766"/>
      <c r="T252" s="1769"/>
      <c r="U252" s="1775"/>
      <c r="V252" s="1778"/>
      <c r="W252" s="1781"/>
      <c r="X252" s="1785"/>
      <c r="Y252" s="1788"/>
      <c r="Z252" s="1791"/>
      <c r="AA252" s="397"/>
      <c r="AB252" s="398"/>
      <c r="AC252" s="398"/>
      <c r="AD252" s="398"/>
      <c r="AE252" s="398"/>
      <c r="AF252" s="398"/>
      <c r="AG252" s="398"/>
      <c r="AH252" s="398"/>
      <c r="AI252" s="2191"/>
    </row>
    <row r="253" spans="1:35" ht="15.75" customHeight="1" x14ac:dyDescent="0.25">
      <c r="A253" s="2294"/>
      <c r="B253" s="1213"/>
      <c r="C253" s="543" t="s">
        <v>167</v>
      </c>
      <c r="D253" s="1760"/>
      <c r="F253" s="549" t="e">
        <f>21.25/E253</f>
        <v>#DIV/0!</v>
      </c>
      <c r="G253" s="550" t="e">
        <f>252.58/E253</f>
        <v>#DIV/0!</v>
      </c>
      <c r="H253" s="551">
        <v>0</v>
      </c>
      <c r="I253" s="566" t="e">
        <f>Tabel6689172627[[#This Row],[Fix.ch. 2015]]+Tabel6689172627[[#This Row],[Var. ch. 2015]]+Tabel6689172627[[#This Row],[Oth. ch. DW 2015]]</f>
        <v>#DIV/0!</v>
      </c>
      <c r="J253" s="567">
        <v>0</v>
      </c>
      <c r="K253" s="568" t="e">
        <f>227.01/E253</f>
        <v>#DIV/0!</v>
      </c>
      <c r="L253" s="568"/>
      <c r="M253" s="569">
        <v>0</v>
      </c>
      <c r="N253" s="1270" t="e">
        <f>Tabel6689172627[[#This Row],[Sew. 2015]]+Tabel6689172627[[#This Row],[WW 2015]]+Tabel6689172627[[#This Row],[Other ch. 2015]]</f>
        <v>#DIV/0!</v>
      </c>
      <c r="O253" s="1271">
        <v>0</v>
      </c>
      <c r="P253" s="571" t="e">
        <f>Tabel6689172627[[#This Row],[Total. ch. DW 2015]]+Tabel6689172627[[#This Row],[Sew. 2015]]+Tabel6689172627[[#This Row],[WW 2015]]+Tabel6689172627[[#This Row],[Other ch. 2015]]+Tabel6689172627[[#This Row],[VAT 2015]]</f>
        <v>#DIV/0!</v>
      </c>
      <c r="Q253" s="397"/>
      <c r="R253" s="1763"/>
      <c r="S253" s="1766"/>
      <c r="T253" s="1769"/>
      <c r="U253" s="1775"/>
      <c r="V253" s="1778"/>
      <c r="W253" s="1781"/>
      <c r="X253" s="1785"/>
      <c r="Y253" s="1788"/>
      <c r="Z253" s="1791"/>
      <c r="AA253" s="397"/>
      <c r="AB253" s="398"/>
      <c r="AC253" s="398"/>
      <c r="AD253" s="398"/>
      <c r="AE253" s="398"/>
      <c r="AF253" s="398"/>
      <c r="AG253" s="398"/>
      <c r="AH253" s="398"/>
      <c r="AI253" s="2191"/>
    </row>
    <row r="254" spans="1:35" ht="15.75" customHeight="1" x14ac:dyDescent="0.25">
      <c r="A254" s="2294"/>
      <c r="B254" s="1213"/>
      <c r="C254" s="543" t="s">
        <v>168</v>
      </c>
      <c r="D254" s="1760"/>
      <c r="F254" s="549" t="e">
        <f>34.79/E254</f>
        <v>#DIV/0!</v>
      </c>
      <c r="G254" s="550" t="e">
        <f>350/E254</f>
        <v>#DIV/0!</v>
      </c>
      <c r="H254" s="551">
        <v>0</v>
      </c>
      <c r="I254" s="566" t="e">
        <f>Tabel6689172627[[#This Row],[Fix.ch. 2015]]+Tabel6689172627[[#This Row],[Var. ch. 2015]]+Tabel6689172627[[#This Row],[Oth. ch. DW 2015]]</f>
        <v>#DIV/0!</v>
      </c>
      <c r="J254" s="567">
        <v>0</v>
      </c>
      <c r="K254" s="568" t="e">
        <f>334.64/E254</f>
        <v>#DIV/0!</v>
      </c>
      <c r="L254" s="568"/>
      <c r="M254" s="569">
        <v>0</v>
      </c>
      <c r="N254" s="1270" t="e">
        <f>Tabel6689172627[[#This Row],[Sew. 2015]]+Tabel6689172627[[#This Row],[WW 2015]]+Tabel6689172627[[#This Row],[Other ch. 2015]]</f>
        <v>#DIV/0!</v>
      </c>
      <c r="O254" s="1271">
        <v>0</v>
      </c>
      <c r="P254" s="571" t="e">
        <f>Tabel6689172627[[#This Row],[Total. ch. DW 2015]]+Tabel6689172627[[#This Row],[Sew. 2015]]+Tabel6689172627[[#This Row],[WW 2015]]+Tabel6689172627[[#This Row],[Other ch. 2015]]+Tabel6689172627[[#This Row],[VAT 2015]]</f>
        <v>#DIV/0!</v>
      </c>
      <c r="Q254" s="397"/>
      <c r="R254" s="1763"/>
      <c r="S254" s="1766"/>
      <c r="T254" s="1769"/>
      <c r="U254" s="1775"/>
      <c r="V254" s="1778"/>
      <c r="W254" s="1781"/>
      <c r="X254" s="1785"/>
      <c r="Y254" s="1788"/>
      <c r="Z254" s="1791"/>
      <c r="AA254" s="397"/>
      <c r="AB254" s="398"/>
      <c r="AC254" s="398"/>
      <c r="AD254" s="398"/>
      <c r="AE254" s="398"/>
      <c r="AF254" s="398"/>
      <c r="AG254" s="398"/>
      <c r="AH254" s="398"/>
      <c r="AI254" s="2191"/>
    </row>
    <row r="255" spans="1:35" ht="16.5" customHeight="1" thickBot="1" x14ac:dyDescent="0.3">
      <c r="A255" s="2295"/>
      <c r="B255" s="1213"/>
      <c r="C255" s="543" t="s">
        <v>169</v>
      </c>
      <c r="D255" s="1761"/>
      <c r="F255" s="549" t="e">
        <f>22.39/E255</f>
        <v>#DIV/0!</v>
      </c>
      <c r="G255" s="550" t="e">
        <f>253.2/E255</f>
        <v>#DIV/0!</v>
      </c>
      <c r="H255" s="551">
        <v>0</v>
      </c>
      <c r="I255" s="566" t="e">
        <f>Tabel6689172627[[#This Row],[Fix.ch. 2015]]+Tabel6689172627[[#This Row],[Var. ch. 2015]]+Tabel6689172627[[#This Row],[Oth. ch. DW 2015]]</f>
        <v>#DIV/0!</v>
      </c>
      <c r="J255" s="567">
        <v>0</v>
      </c>
      <c r="K255" s="568" t="e">
        <f>358.56/E255</f>
        <v>#DIV/0!</v>
      </c>
      <c r="L255" s="568"/>
      <c r="M255" s="569">
        <v>0</v>
      </c>
      <c r="N255" s="1270" t="e">
        <f>Tabel6689172627[[#This Row],[Sew. 2015]]+Tabel6689172627[[#This Row],[WW 2015]]+Tabel6689172627[[#This Row],[Other ch. 2015]]</f>
        <v>#DIV/0!</v>
      </c>
      <c r="O255" s="1271">
        <v>0</v>
      </c>
      <c r="P255" s="571" t="e">
        <f>Tabel6689172627[[#This Row],[Total. ch. DW 2015]]+Tabel6689172627[[#This Row],[Sew. 2015]]+Tabel6689172627[[#This Row],[WW 2015]]+Tabel6689172627[[#This Row],[Other ch. 2015]]+Tabel6689172627[[#This Row],[VAT 2015]]</f>
        <v>#DIV/0!</v>
      </c>
      <c r="Q255" s="397"/>
      <c r="R255" s="1764"/>
      <c r="S255" s="1767"/>
      <c r="T255" s="1770"/>
      <c r="U255" s="1776"/>
      <c r="V255" s="1779"/>
      <c r="W255" s="1811"/>
      <c r="X255" s="1813"/>
      <c r="Y255" s="1815"/>
      <c r="Z255" s="1794"/>
      <c r="AA255" s="397"/>
      <c r="AB255" s="398"/>
      <c r="AC255" s="398"/>
      <c r="AD255" s="398"/>
      <c r="AE255" s="398"/>
      <c r="AF255" s="398"/>
      <c r="AG255" s="398"/>
      <c r="AH255" s="398"/>
      <c r="AI255" s="2191"/>
    </row>
    <row r="256" spans="1:35" ht="15.75" x14ac:dyDescent="0.25">
      <c r="A256" s="2192" t="s">
        <v>31</v>
      </c>
      <c r="B256" s="1213"/>
      <c r="C256" s="693" t="s">
        <v>170</v>
      </c>
      <c r="D256" s="1759">
        <v>56300</v>
      </c>
      <c r="F256" s="549">
        <v>178.85</v>
      </c>
      <c r="G256" s="550">
        <v>269.10000000000002</v>
      </c>
      <c r="H256" s="551">
        <v>0</v>
      </c>
      <c r="I256" s="566">
        <f>Tabel6689172627[[#This Row],[Fix.ch. 2015]]+Tabel6689172627[[#This Row],[Var. ch. 2015]]+Tabel6689172627[[#This Row],[Oth. ch. DW 2015]]</f>
        <v>447.95000000000005</v>
      </c>
      <c r="J256" s="567">
        <v>0</v>
      </c>
      <c r="K256" s="568">
        <v>427.87</v>
      </c>
      <c r="L256" s="568"/>
      <c r="M256" s="569">
        <v>0</v>
      </c>
      <c r="N256" s="1270">
        <f>Tabel6689172627[[#This Row],[Sew. 2015]]+Tabel6689172627[[#This Row],[WW 2015]]+Tabel6689172627[[#This Row],[Other ch. 2015]]</f>
        <v>427.87</v>
      </c>
      <c r="O256" s="1271">
        <v>0</v>
      </c>
      <c r="P256" s="571">
        <f>Tabel6689172627[[#This Row],[Total. ch. DW 2015]]+Tabel6689172627[[#This Row],[Sew. 2015]]+Tabel6689172627[[#This Row],[WW 2015]]+Tabel6689172627[[#This Row],[Other ch. 2015]]+Tabel6689172627[[#This Row],[VAT 2015]]</f>
        <v>875.82</v>
      </c>
      <c r="Q256" s="397"/>
      <c r="R256" s="1762">
        <f t="shared" ref="R256:W256" si="69">SUM(F256:F262)/7</f>
        <v>58.721428571428568</v>
      </c>
      <c r="S256" s="1765">
        <f t="shared" si="69"/>
        <v>206.48857142857148</v>
      </c>
      <c r="T256" s="1768">
        <f t="shared" si="69"/>
        <v>10.799999999999999</v>
      </c>
      <c r="U256" s="1774">
        <f t="shared" si="69"/>
        <v>276.01</v>
      </c>
      <c r="V256" s="1777">
        <f t="shared" si="69"/>
        <v>0</v>
      </c>
      <c r="W256" s="1810">
        <f t="shared" si="69"/>
        <v>295.38285714285718</v>
      </c>
      <c r="X256" s="1812">
        <f>SUM(M256:M262)/7</f>
        <v>34.799999999999997</v>
      </c>
      <c r="Y256" s="1814">
        <f t="shared" ref="Y256:Z256" si="70">SUM(O256:O262)/7</f>
        <v>3.1742857142857139</v>
      </c>
      <c r="Z256" s="1793">
        <f t="shared" si="70"/>
        <v>609.36714285714277</v>
      </c>
      <c r="AA256" s="397"/>
      <c r="AB256" s="591"/>
      <c r="AC256" s="591" t="s">
        <v>429</v>
      </c>
      <c r="AD256" s="591"/>
      <c r="AE256" s="591"/>
      <c r="AF256" s="591" t="s">
        <v>429</v>
      </c>
      <c r="AG256" s="591" t="s">
        <v>429</v>
      </c>
      <c r="AH256" s="591"/>
      <c r="AI256" s="397"/>
    </row>
    <row r="257" spans="1:35" ht="15.75" x14ac:dyDescent="0.25">
      <c r="A257" s="2148"/>
      <c r="B257" s="1213"/>
      <c r="C257" s="639" t="s">
        <v>171</v>
      </c>
      <c r="D257" s="1760"/>
      <c r="F257" s="549">
        <v>46.32</v>
      </c>
      <c r="G257" s="550">
        <v>236.58</v>
      </c>
      <c r="H257" s="551">
        <v>75.599999999999994</v>
      </c>
      <c r="I257" s="566">
        <f>Tabel6689172627[[#This Row],[Fix.ch. 2015]]+Tabel6689172627[[#This Row],[Var. ch. 2015]]+Tabel6689172627[[#This Row],[Oth. ch. DW 2015]]</f>
        <v>358.5</v>
      </c>
      <c r="J257" s="567">
        <v>0</v>
      </c>
      <c r="K257" s="568">
        <v>385.86</v>
      </c>
      <c r="L257" s="568"/>
      <c r="M257" s="569">
        <v>243.6</v>
      </c>
      <c r="N257" s="1270">
        <f>Tabel6689172627[[#This Row],[Sew. 2015]]+Tabel6689172627[[#This Row],[WW 2015]]+Tabel6689172627[[#This Row],[Other ch. 2015]]</f>
        <v>629.46</v>
      </c>
      <c r="O257" s="1271">
        <v>0</v>
      </c>
      <c r="P257" s="571">
        <f>Tabel6689172627[[#This Row],[Total. ch. DW 2015]]+Tabel6689172627[[#This Row],[Sew. 2015]]+Tabel6689172627[[#This Row],[WW 2015]]+Tabel6689172627[[#This Row],[Other ch. 2015]]+Tabel6689172627[[#This Row],[VAT 2015]]</f>
        <v>987.96</v>
      </c>
      <c r="Q257" s="397"/>
      <c r="R257" s="1763"/>
      <c r="S257" s="1766"/>
      <c r="T257" s="1769"/>
      <c r="U257" s="1775"/>
      <c r="V257" s="1778"/>
      <c r="W257" s="1781"/>
      <c r="X257" s="1785"/>
      <c r="Y257" s="1788"/>
      <c r="Z257" s="1791"/>
      <c r="AA257" s="397"/>
      <c r="AB257" s="591"/>
      <c r="AC257" s="591" t="s">
        <v>429</v>
      </c>
      <c r="AD257" s="591"/>
      <c r="AE257" s="591"/>
      <c r="AF257" s="591" t="s">
        <v>429</v>
      </c>
      <c r="AG257" s="591" t="s">
        <v>429</v>
      </c>
      <c r="AH257" s="591"/>
      <c r="AI257" s="397"/>
    </row>
    <row r="258" spans="1:35" ht="15.75" x14ac:dyDescent="0.25">
      <c r="A258" s="2148"/>
      <c r="B258" s="1213"/>
      <c r="C258" s="639" t="s">
        <v>172</v>
      </c>
      <c r="D258" s="1760"/>
      <c r="F258" s="549">
        <v>0</v>
      </c>
      <c r="G258" s="550">
        <v>330.11</v>
      </c>
      <c r="H258" s="551">
        <v>0</v>
      </c>
      <c r="I258" s="566">
        <f>Tabel6689172627[[#This Row],[Fix.ch. 2015]]+Tabel6689172627[[#This Row],[Var. ch. 2015]]+Tabel6689172627[[#This Row],[Oth. ch. DW 2015]]</f>
        <v>330.11</v>
      </c>
      <c r="J258" s="567">
        <v>0</v>
      </c>
      <c r="K258" s="568">
        <v>300.02999999999997</v>
      </c>
      <c r="L258" s="568"/>
      <c r="M258" s="569">
        <v>0</v>
      </c>
      <c r="N258" s="1270">
        <f>Tabel6689172627[[#This Row],[Sew. 2015]]+Tabel6689172627[[#This Row],[WW 2015]]+Tabel6689172627[[#This Row],[Other ch. 2015]]</f>
        <v>300.02999999999997</v>
      </c>
      <c r="O258" s="1271">
        <v>0</v>
      </c>
      <c r="P258" s="571">
        <f>Tabel6689172627[[#This Row],[Total. ch. DW 2015]]+Tabel6689172627[[#This Row],[Sew. 2015]]+Tabel6689172627[[#This Row],[WW 2015]]+Tabel6689172627[[#This Row],[Other ch. 2015]]+Tabel6689172627[[#This Row],[VAT 2015]]</f>
        <v>630.14</v>
      </c>
      <c r="Q258" s="397"/>
      <c r="R258" s="1763"/>
      <c r="S258" s="1766"/>
      <c r="T258" s="1769"/>
      <c r="U258" s="1775"/>
      <c r="V258" s="1778"/>
      <c r="W258" s="1781"/>
      <c r="X258" s="1785"/>
      <c r="Y258" s="1788"/>
      <c r="Z258" s="1791"/>
      <c r="AA258" s="397"/>
      <c r="AB258" s="591"/>
      <c r="AC258" s="591" t="s">
        <v>429</v>
      </c>
      <c r="AD258" s="591"/>
      <c r="AE258" s="591"/>
      <c r="AF258" s="591"/>
      <c r="AG258" s="591" t="s">
        <v>429</v>
      </c>
      <c r="AH258" s="591"/>
      <c r="AI258" s="397"/>
    </row>
    <row r="259" spans="1:35" ht="15.75" x14ac:dyDescent="0.25">
      <c r="A259" s="2148"/>
      <c r="B259" s="1213"/>
      <c r="C259" s="639" t="s">
        <v>173</v>
      </c>
      <c r="D259" s="1760"/>
      <c r="F259" s="549">
        <v>0</v>
      </c>
      <c r="G259" s="550">
        <v>201.31</v>
      </c>
      <c r="H259" s="551">
        <v>0</v>
      </c>
      <c r="I259" s="566">
        <f>Tabel6689172627[[#This Row],[Fix.ch. 2015]]+Tabel6689172627[[#This Row],[Var. ch. 2015]]+Tabel6689172627[[#This Row],[Oth. ch. DW 2015]]</f>
        <v>201.31</v>
      </c>
      <c r="J259" s="567">
        <v>0</v>
      </c>
      <c r="K259" s="568">
        <v>201.31</v>
      </c>
      <c r="L259" s="568"/>
      <c r="M259" s="569">
        <v>0</v>
      </c>
      <c r="N259" s="1270">
        <f>Tabel6689172627[[#This Row],[Sew. 2015]]+Tabel6689172627[[#This Row],[WW 2015]]+Tabel6689172627[[#This Row],[Other ch. 2015]]</f>
        <v>201.31</v>
      </c>
      <c r="O259" s="1271">
        <v>0</v>
      </c>
      <c r="P259" s="571">
        <f>Tabel6689172627[[#This Row],[Total. ch. DW 2015]]+Tabel6689172627[[#This Row],[Sew. 2015]]+Tabel6689172627[[#This Row],[WW 2015]]+Tabel6689172627[[#This Row],[Other ch. 2015]]+Tabel6689172627[[#This Row],[VAT 2015]]</f>
        <v>402.62</v>
      </c>
      <c r="Q259" s="397"/>
      <c r="R259" s="1763"/>
      <c r="S259" s="1766"/>
      <c r="T259" s="1769"/>
      <c r="U259" s="1775"/>
      <c r="V259" s="1778"/>
      <c r="W259" s="1781"/>
      <c r="X259" s="1785"/>
      <c r="Y259" s="1788"/>
      <c r="Z259" s="1791"/>
      <c r="AA259" s="397"/>
      <c r="AB259" s="591"/>
      <c r="AC259" s="591" t="s">
        <v>429</v>
      </c>
      <c r="AD259" s="591"/>
      <c r="AE259" s="591"/>
      <c r="AF259" s="591"/>
      <c r="AG259" s="591" t="s">
        <v>429</v>
      </c>
      <c r="AH259" s="591"/>
      <c r="AI259" s="397"/>
    </row>
    <row r="260" spans="1:35" ht="15.75" x14ac:dyDescent="0.25">
      <c r="A260" s="2148"/>
      <c r="B260" s="1213"/>
      <c r="C260" s="639" t="s">
        <v>174</v>
      </c>
      <c r="D260" s="1760"/>
      <c r="F260" s="549">
        <v>105.48</v>
      </c>
      <c r="G260" s="550">
        <v>137.37</v>
      </c>
      <c r="H260" s="551">
        <v>0</v>
      </c>
      <c r="I260" s="566">
        <f>Tabel6689172627[[#This Row],[Fix.ch. 2015]]+Tabel6689172627[[#This Row],[Var. ch. 2015]]+Tabel6689172627[[#This Row],[Oth. ch. DW 2015]]</f>
        <v>242.85000000000002</v>
      </c>
      <c r="J260" s="567">
        <v>0</v>
      </c>
      <c r="K260" s="568">
        <v>323.68</v>
      </c>
      <c r="L260" s="568"/>
      <c r="M260" s="569">
        <v>0</v>
      </c>
      <c r="N260" s="1270">
        <f>Tabel6689172627[[#This Row],[Sew. 2015]]+Tabel6689172627[[#This Row],[WW 2015]]+Tabel6689172627[[#This Row],[Other ch. 2015]]</f>
        <v>323.68</v>
      </c>
      <c r="O260" s="1271">
        <v>0</v>
      </c>
      <c r="P260" s="571">
        <f>Tabel6689172627[[#This Row],[Total. ch. DW 2015]]+Tabel6689172627[[#This Row],[Sew. 2015]]+Tabel6689172627[[#This Row],[WW 2015]]+Tabel6689172627[[#This Row],[Other ch. 2015]]+Tabel6689172627[[#This Row],[VAT 2015]]</f>
        <v>566.53</v>
      </c>
      <c r="Q260" s="397"/>
      <c r="R260" s="1763"/>
      <c r="S260" s="1766"/>
      <c r="T260" s="1769"/>
      <c r="U260" s="1775"/>
      <c r="V260" s="1778"/>
      <c r="W260" s="1781"/>
      <c r="X260" s="1785"/>
      <c r="Y260" s="1788"/>
      <c r="Z260" s="1791"/>
      <c r="AA260" s="397"/>
      <c r="AB260" s="591"/>
      <c r="AC260" s="591"/>
      <c r="AD260" s="591"/>
      <c r="AE260" s="591" t="s">
        <v>429</v>
      </c>
      <c r="AF260" s="591" t="s">
        <v>429</v>
      </c>
      <c r="AG260" s="591" t="s">
        <v>429</v>
      </c>
      <c r="AH260" s="591"/>
      <c r="AI260" s="397"/>
    </row>
    <row r="261" spans="1:35" ht="15.75" x14ac:dyDescent="0.25">
      <c r="A261" s="2148"/>
      <c r="B261" s="1213"/>
      <c r="C261" s="639" t="s">
        <v>175</v>
      </c>
      <c r="D261" s="1760"/>
      <c r="F261" s="549">
        <v>38.4</v>
      </c>
      <c r="G261" s="550">
        <v>26.24</v>
      </c>
      <c r="H261" s="551">
        <v>0</v>
      </c>
      <c r="I261" s="566">
        <f>Tabel6689172627[[#This Row],[Fix.ch. 2015]]+Tabel6689172627[[#This Row],[Var. ch. 2015]]+Tabel6689172627[[#This Row],[Oth. ch. DW 2015]]</f>
        <v>64.64</v>
      </c>
      <c r="J261" s="567">
        <v>0</v>
      </c>
      <c r="K261" s="568">
        <v>136.88</v>
      </c>
      <c r="L261" s="568"/>
      <c r="M261" s="569">
        <v>0</v>
      </c>
      <c r="N261" s="1270">
        <f>Tabel6689172627[[#This Row],[Sew. 2015]]+Tabel6689172627[[#This Row],[WW 2015]]+Tabel6689172627[[#This Row],[Other ch. 2015]]</f>
        <v>136.88</v>
      </c>
      <c r="O261" s="1271">
        <v>0</v>
      </c>
      <c r="P261" s="571">
        <f>Tabel6689172627[[#This Row],[Total. ch. DW 2015]]+Tabel6689172627[[#This Row],[Sew. 2015]]+Tabel6689172627[[#This Row],[WW 2015]]+Tabel6689172627[[#This Row],[Other ch. 2015]]+Tabel6689172627[[#This Row],[VAT 2015]]</f>
        <v>201.51999999999998</v>
      </c>
      <c r="Q261" s="397"/>
      <c r="R261" s="1763"/>
      <c r="S261" s="1766"/>
      <c r="T261" s="1769"/>
      <c r="U261" s="1775"/>
      <c r="V261" s="1778"/>
      <c r="W261" s="1781"/>
      <c r="X261" s="1785"/>
      <c r="Y261" s="1788"/>
      <c r="Z261" s="1791"/>
      <c r="AA261" s="397"/>
      <c r="AB261" s="591"/>
      <c r="AC261" s="591"/>
      <c r="AD261" s="591"/>
      <c r="AE261" s="591" t="s">
        <v>429</v>
      </c>
      <c r="AF261" s="591" t="s">
        <v>429</v>
      </c>
      <c r="AG261" s="591" t="s">
        <v>429</v>
      </c>
      <c r="AH261" s="591"/>
      <c r="AI261" s="397"/>
    </row>
    <row r="262" spans="1:35" ht="16.5" thickBot="1" x14ac:dyDescent="0.3">
      <c r="A262" s="2148"/>
      <c r="B262" s="1213"/>
      <c r="C262" s="1053" t="s">
        <v>212</v>
      </c>
      <c r="D262" s="1761"/>
      <c r="F262" s="716">
        <v>42</v>
      </c>
      <c r="G262" s="717">
        <v>244.71</v>
      </c>
      <c r="H262" s="718">
        <v>0</v>
      </c>
      <c r="I262" s="1316">
        <f>Tabel6689172627[[#This Row],[Fix.ch. 2015]]+Tabel6689172627[[#This Row],[Var. ch. 2015]]+Tabel6689172627[[#This Row],[Oth. ch. DW 2015]]</f>
        <v>286.71000000000004</v>
      </c>
      <c r="J262" s="1317">
        <v>0</v>
      </c>
      <c r="K262" s="720">
        <v>292.05</v>
      </c>
      <c r="L262" s="720"/>
      <c r="M262" s="721">
        <v>0</v>
      </c>
      <c r="N262" s="1318">
        <f>Tabel6689172627[[#This Row],[Sew. 2015]]+Tabel6689172627[[#This Row],[WW 2015]]+Tabel6689172627[[#This Row],[Other ch. 2015]]</f>
        <v>292.05</v>
      </c>
      <c r="O262" s="1319">
        <v>22.22</v>
      </c>
      <c r="P262" s="1320">
        <f>Tabel6689172627[[#This Row],[Total. ch. DW 2015]]+Tabel6689172627[[#This Row],[Sew. 2015]]+Tabel6689172627[[#This Row],[WW 2015]]+Tabel6689172627[[#This Row],[Other ch. 2015]]+Tabel6689172627[[#This Row],[VAT 2015]]</f>
        <v>600.98</v>
      </c>
      <c r="Q262" s="397"/>
      <c r="R262" s="1764"/>
      <c r="S262" s="1767"/>
      <c r="T262" s="1770"/>
      <c r="U262" s="1776"/>
      <c r="V262" s="1779"/>
      <c r="W262" s="1811"/>
      <c r="X262" s="1813"/>
      <c r="Y262" s="1815"/>
      <c r="Z262" s="1794"/>
      <c r="AA262" s="397"/>
      <c r="AB262" s="591"/>
      <c r="AC262" s="591" t="s">
        <v>429</v>
      </c>
      <c r="AD262" s="591"/>
      <c r="AE262" s="591"/>
      <c r="AF262" s="591" t="s">
        <v>429</v>
      </c>
      <c r="AG262" s="591" t="s">
        <v>429</v>
      </c>
      <c r="AH262" s="591"/>
      <c r="AI262" s="397"/>
    </row>
    <row r="263" spans="1:35" ht="15.75" x14ac:dyDescent="0.25">
      <c r="A263" s="1818" t="s">
        <v>718</v>
      </c>
      <c r="B263" s="1213"/>
      <c r="C263" s="543" t="s">
        <v>761</v>
      </c>
      <c r="D263" s="1759">
        <v>4300</v>
      </c>
      <c r="F263" s="1322" t="e">
        <f>10/E263</f>
        <v>#DIV/0!</v>
      </c>
      <c r="G263" s="1323" t="e">
        <f>908.98/E263</f>
        <v>#DIV/0!</v>
      </c>
      <c r="H263" s="1324">
        <v>0</v>
      </c>
      <c r="I263" s="1325" t="e">
        <f>F263+G263+H263</f>
        <v>#DIV/0!</v>
      </c>
      <c r="J263" s="1326">
        <v>0</v>
      </c>
      <c r="K263" s="1327" t="e">
        <f>272.69/E263</f>
        <v>#DIV/0!</v>
      </c>
      <c r="L263" s="1327"/>
      <c r="M263" s="1328" t="e">
        <f>22.7/E263</f>
        <v>#DIV/0!</v>
      </c>
      <c r="N263" s="1318" t="e">
        <f>J263+K263+M263</f>
        <v>#DIV/0!</v>
      </c>
      <c r="O263" s="1329">
        <v>0</v>
      </c>
      <c r="P263" s="1330" t="e">
        <f>I263+J263+K263+M263+O263</f>
        <v>#DIV/0!</v>
      </c>
      <c r="Q263" s="397"/>
      <c r="R263" s="1762" t="e">
        <f t="shared" ref="R263:W263" si="71">SUM(F263:F267)/5</f>
        <v>#DIV/0!</v>
      </c>
      <c r="S263" s="1765" t="e">
        <f t="shared" si="71"/>
        <v>#DIV/0!</v>
      </c>
      <c r="T263" s="2272">
        <f t="shared" si="71"/>
        <v>0</v>
      </c>
      <c r="U263" s="1774" t="e">
        <f t="shared" si="71"/>
        <v>#DIV/0!</v>
      </c>
      <c r="V263" s="1777">
        <f t="shared" si="71"/>
        <v>0</v>
      </c>
      <c r="W263" s="1810" t="e">
        <f t="shared" si="71"/>
        <v>#DIV/0!</v>
      </c>
      <c r="X263" s="1812" t="e">
        <f>SUM(M263:M267)/5</f>
        <v>#DIV/0!</v>
      </c>
      <c r="Y263" s="1814">
        <f t="shared" ref="Y263:Z263" si="72">SUM(O263:O267)/5</f>
        <v>0</v>
      </c>
      <c r="Z263" s="2260" t="e">
        <f t="shared" si="72"/>
        <v>#DIV/0!</v>
      </c>
      <c r="AA263" s="397"/>
      <c r="AB263" s="591" t="s">
        <v>429</v>
      </c>
      <c r="AC263" s="591"/>
      <c r="AD263" s="614"/>
      <c r="AE263" s="591" t="s">
        <v>429</v>
      </c>
      <c r="AF263" s="591" t="s">
        <v>429</v>
      </c>
      <c r="AG263" s="591" t="s">
        <v>429</v>
      </c>
      <c r="AH263" s="398"/>
      <c r="AI263" s="397"/>
    </row>
    <row r="264" spans="1:35" ht="15.75" x14ac:dyDescent="0.25">
      <c r="A264" s="2294"/>
      <c r="B264" s="1213"/>
      <c r="C264" s="543" t="s">
        <v>746</v>
      </c>
      <c r="D264" s="1880"/>
      <c r="F264" s="1322" t="e">
        <f>5/E264</f>
        <v>#DIV/0!</v>
      </c>
      <c r="G264" s="1323" t="e">
        <f>894.54/E264</f>
        <v>#DIV/0!</v>
      </c>
      <c r="H264" s="1324">
        <v>0</v>
      </c>
      <c r="I264" s="1325" t="e">
        <f t="shared" ref="I264:I267" si="73">F264+G264+H264</f>
        <v>#DIV/0!</v>
      </c>
      <c r="J264" s="1326">
        <v>0</v>
      </c>
      <c r="K264" s="1327" t="e">
        <f>178.91/E264</f>
        <v>#DIV/0!</v>
      </c>
      <c r="L264" s="1327"/>
      <c r="M264" s="1328" t="e">
        <f>22.3/E264</f>
        <v>#DIV/0!</v>
      </c>
      <c r="N264" s="1318" t="e">
        <f t="shared" ref="N264:N267" si="74">J264+K264+M264</f>
        <v>#DIV/0!</v>
      </c>
      <c r="O264" s="1329">
        <v>0</v>
      </c>
      <c r="P264" s="1330" t="e">
        <f t="shared" ref="P264:P267" si="75">I264+J264+K264+M264+O264</f>
        <v>#DIV/0!</v>
      </c>
      <c r="Q264" s="397"/>
      <c r="R264" s="1886"/>
      <c r="S264" s="1888"/>
      <c r="T264" s="2290"/>
      <c r="U264" s="1892"/>
      <c r="V264" s="1894"/>
      <c r="W264" s="1864"/>
      <c r="X264" s="1913"/>
      <c r="Y264" s="1915"/>
      <c r="Z264" s="2291"/>
      <c r="AA264" s="397"/>
      <c r="AB264" s="591" t="s">
        <v>429</v>
      </c>
      <c r="AC264" s="591"/>
      <c r="AD264" s="614"/>
      <c r="AE264" s="591" t="s">
        <v>429</v>
      </c>
      <c r="AF264" s="591" t="s">
        <v>429</v>
      </c>
      <c r="AG264" s="591" t="s">
        <v>429</v>
      </c>
      <c r="AH264" s="398"/>
      <c r="AI264" s="397"/>
    </row>
    <row r="265" spans="1:35" ht="15.75" x14ac:dyDescent="0.25">
      <c r="A265" s="2294"/>
      <c r="B265" s="1213"/>
      <c r="C265" s="543" t="s">
        <v>762</v>
      </c>
      <c r="D265" s="1880"/>
      <c r="F265" s="1322" t="e">
        <f>5/E265</f>
        <v>#DIV/0!</v>
      </c>
      <c r="G265" s="1323" t="e">
        <f>669/E265</f>
        <v>#DIV/0!</v>
      </c>
      <c r="H265" s="1324">
        <v>0</v>
      </c>
      <c r="I265" s="1325" t="e">
        <f t="shared" si="73"/>
        <v>#DIV/0!</v>
      </c>
      <c r="J265" s="1326">
        <v>0</v>
      </c>
      <c r="K265" s="1327" t="e">
        <f>267/E265</f>
        <v>#DIV/0!</v>
      </c>
      <c r="L265" s="1327"/>
      <c r="M265" s="1328" t="e">
        <f>16.72/E265</f>
        <v>#DIV/0!</v>
      </c>
      <c r="N265" s="1318" t="e">
        <f t="shared" si="74"/>
        <v>#DIV/0!</v>
      </c>
      <c r="O265" s="1329">
        <v>0</v>
      </c>
      <c r="P265" s="1330" t="e">
        <f t="shared" si="75"/>
        <v>#DIV/0!</v>
      </c>
      <c r="Q265" s="397"/>
      <c r="R265" s="1886"/>
      <c r="S265" s="1888"/>
      <c r="T265" s="2290"/>
      <c r="U265" s="1892"/>
      <c r="V265" s="1894"/>
      <c r="W265" s="1864"/>
      <c r="X265" s="1913"/>
      <c r="Y265" s="1915"/>
      <c r="Z265" s="2291"/>
      <c r="AA265" s="397"/>
      <c r="AB265" s="591" t="s">
        <v>429</v>
      </c>
      <c r="AC265" s="591"/>
      <c r="AD265" s="614"/>
      <c r="AE265" s="591" t="s">
        <v>429</v>
      </c>
      <c r="AF265" s="591" t="s">
        <v>429</v>
      </c>
      <c r="AG265" s="591" t="s">
        <v>429</v>
      </c>
      <c r="AH265" s="398"/>
      <c r="AI265" s="397"/>
    </row>
    <row r="266" spans="1:35" ht="15.75" x14ac:dyDescent="0.25">
      <c r="A266" s="2294"/>
      <c r="B266" s="1213"/>
      <c r="C266" s="543" t="s">
        <v>763</v>
      </c>
      <c r="D266" s="1880"/>
      <c r="F266" s="1322" t="e">
        <f>5/E266</f>
        <v>#DIV/0!</v>
      </c>
      <c r="G266" s="1323" t="e">
        <f>751.38/E266</f>
        <v>#DIV/0!</v>
      </c>
      <c r="H266" s="1324">
        <v>0</v>
      </c>
      <c r="I266" s="1325" t="e">
        <f t="shared" si="73"/>
        <v>#DIV/0!</v>
      </c>
      <c r="J266" s="1326">
        <v>0</v>
      </c>
      <c r="K266" s="1327" t="e">
        <f>150.2/E266</f>
        <v>#DIV/0!</v>
      </c>
      <c r="L266" s="1327"/>
      <c r="M266" s="1328" t="e">
        <f>18.7/E266</f>
        <v>#DIV/0!</v>
      </c>
      <c r="N266" s="1318" t="e">
        <f t="shared" si="74"/>
        <v>#DIV/0!</v>
      </c>
      <c r="O266" s="1329">
        <v>0</v>
      </c>
      <c r="P266" s="1330" t="e">
        <f t="shared" si="75"/>
        <v>#DIV/0!</v>
      </c>
      <c r="Q266" s="397"/>
      <c r="R266" s="1886"/>
      <c r="S266" s="1888"/>
      <c r="T266" s="2290"/>
      <c r="U266" s="1892"/>
      <c r="V266" s="1894"/>
      <c r="W266" s="1864"/>
      <c r="X266" s="1913"/>
      <c r="Y266" s="1915"/>
      <c r="Z266" s="2291"/>
      <c r="AA266" s="397"/>
      <c r="AB266" s="591" t="s">
        <v>429</v>
      </c>
      <c r="AC266" s="591"/>
      <c r="AD266" s="614"/>
      <c r="AE266" s="591" t="s">
        <v>429</v>
      </c>
      <c r="AF266" s="591" t="s">
        <v>429</v>
      </c>
      <c r="AG266" s="591" t="s">
        <v>429</v>
      </c>
      <c r="AH266" s="398"/>
      <c r="AI266" s="397"/>
    </row>
    <row r="267" spans="1:35" ht="16.5" thickBot="1" x14ac:dyDescent="0.3">
      <c r="A267" s="2295"/>
      <c r="B267" s="1213"/>
      <c r="C267" s="544" t="s">
        <v>764</v>
      </c>
      <c r="D267" s="1761"/>
      <c r="F267" s="1333" t="e">
        <f>5/E267</f>
        <v>#DIV/0!</v>
      </c>
      <c r="G267" s="1334" t="e">
        <f>1319.38/E267</f>
        <v>#DIV/0!</v>
      </c>
      <c r="H267" s="1335">
        <v>0</v>
      </c>
      <c r="I267" s="1325" t="e">
        <f t="shared" si="73"/>
        <v>#DIV/0!</v>
      </c>
      <c r="J267" s="1336">
        <v>0</v>
      </c>
      <c r="K267" s="1327" t="e">
        <f>527.75/E267</f>
        <v>#DIV/0!</v>
      </c>
      <c r="L267" s="1327"/>
      <c r="M267" s="1328">
        <v>0</v>
      </c>
      <c r="N267" s="1318" t="e">
        <f t="shared" si="74"/>
        <v>#DIV/0!</v>
      </c>
      <c r="O267" s="1337">
        <v>0</v>
      </c>
      <c r="P267" s="1330" t="e">
        <f t="shared" si="75"/>
        <v>#DIV/0!</v>
      </c>
      <c r="Q267" s="397"/>
      <c r="R267" s="1764"/>
      <c r="S267" s="1767"/>
      <c r="T267" s="2273"/>
      <c r="U267" s="1776"/>
      <c r="V267" s="1779"/>
      <c r="W267" s="2248"/>
      <c r="X267" s="1813"/>
      <c r="Y267" s="1815"/>
      <c r="Z267" s="2292"/>
      <c r="AA267" s="397"/>
      <c r="AB267" s="398"/>
      <c r="AC267" s="591"/>
      <c r="AD267" s="614"/>
      <c r="AE267" s="591" t="s">
        <v>429</v>
      </c>
      <c r="AF267" s="591" t="s">
        <v>429</v>
      </c>
      <c r="AG267" s="398"/>
      <c r="AH267" s="398"/>
      <c r="AI267" s="397"/>
    </row>
    <row r="268" spans="1:35" x14ac:dyDescent="0.25">
      <c r="A268" s="29"/>
      <c r="B268" s="29"/>
    </row>
    <row r="269" spans="1:35" x14ac:dyDescent="0.25">
      <c r="A269" t="s">
        <v>1210</v>
      </c>
    </row>
    <row r="270" spans="1:35" x14ac:dyDescent="0.25">
      <c r="A270" s="29"/>
      <c r="B270" s="29"/>
    </row>
    <row r="271" spans="1:35" x14ac:dyDescent="0.25">
      <c r="A271" s="29"/>
      <c r="B271" s="29"/>
    </row>
    <row r="273" spans="1:7" ht="48" thickBot="1" x14ac:dyDescent="0.3">
      <c r="A273" s="1339"/>
      <c r="B273" s="1341" t="s">
        <v>1022</v>
      </c>
      <c r="C273" s="1341" t="s">
        <v>1358</v>
      </c>
      <c r="D273" s="1341" t="s">
        <v>1359</v>
      </c>
      <c r="E273" s="1341" t="s">
        <v>1360</v>
      </c>
      <c r="F273" s="1341" t="s">
        <v>1361</v>
      </c>
      <c r="G273" s="1450" t="s">
        <v>1203</v>
      </c>
    </row>
    <row r="274" spans="1:7" ht="14.45" customHeight="1" x14ac:dyDescent="0.25">
      <c r="A274" s="1451" t="s">
        <v>621</v>
      </c>
      <c r="B274" s="1633" t="s">
        <v>1092</v>
      </c>
      <c r="C274" s="1347">
        <v>0</v>
      </c>
      <c r="D274" s="1347">
        <v>0.99576049181305393</v>
      </c>
      <c r="E274" s="1347">
        <v>0</v>
      </c>
      <c r="F274" s="1348"/>
      <c r="G274" s="1452">
        <f t="shared" ref="G274:G283" si="76">SUM(C274:E274)</f>
        <v>0.99576049181305393</v>
      </c>
    </row>
    <row r="275" spans="1:7" ht="14.45" customHeight="1" x14ac:dyDescent="0.25">
      <c r="A275" s="1453" t="s">
        <v>620</v>
      </c>
      <c r="B275" s="1633" t="s">
        <v>1092</v>
      </c>
      <c r="C275" s="1347">
        <v>0.12736471406911157</v>
      </c>
      <c r="D275" s="1347">
        <v>0.97260327107321554</v>
      </c>
      <c r="E275" s="1347">
        <v>0</v>
      </c>
      <c r="F275" s="1348"/>
      <c r="G275" s="1452">
        <f t="shared" si="76"/>
        <v>1.0999679851423272</v>
      </c>
    </row>
    <row r="276" spans="1:7" ht="14.45" customHeight="1" x14ac:dyDescent="0.25">
      <c r="A276" s="1453" t="s">
        <v>623</v>
      </c>
      <c r="B276" s="1633" t="s">
        <v>1092</v>
      </c>
      <c r="C276" s="1347">
        <v>0.21999359702846541</v>
      </c>
      <c r="D276" s="1347">
        <v>1.0304963229228117</v>
      </c>
      <c r="E276" s="1347">
        <v>0</v>
      </c>
      <c r="F276" s="1348"/>
      <c r="G276" s="1452">
        <f t="shared" si="76"/>
        <v>1.2504899199512771</v>
      </c>
    </row>
    <row r="277" spans="1:7" ht="14.45" customHeight="1" x14ac:dyDescent="0.25">
      <c r="A277" s="1453" t="s">
        <v>624</v>
      </c>
      <c r="B277" s="1633" t="s">
        <v>1092</v>
      </c>
      <c r="C277" s="1347">
        <v>0.27788664887806158</v>
      </c>
      <c r="D277" s="1347">
        <v>1.2620685303211963</v>
      </c>
      <c r="E277" s="1347">
        <v>0</v>
      </c>
      <c r="F277" s="1348"/>
      <c r="G277" s="1452">
        <f t="shared" si="76"/>
        <v>1.5399551791992578</v>
      </c>
    </row>
    <row r="278" spans="1:7" ht="14.45" customHeight="1" x14ac:dyDescent="0.25">
      <c r="A278" s="1453" t="s">
        <v>622</v>
      </c>
      <c r="B278" s="1633" t="s">
        <v>1092</v>
      </c>
      <c r="C278" s="1347">
        <v>0.37051553183741548</v>
      </c>
      <c r="D278" s="1347">
        <v>2.1188856976952195</v>
      </c>
      <c r="E278" s="1347">
        <v>0</v>
      </c>
      <c r="F278" s="1348"/>
      <c r="G278" s="1452">
        <f t="shared" si="76"/>
        <v>2.4894012295326351</v>
      </c>
    </row>
    <row r="279" spans="1:7" ht="14.45" customHeight="1" x14ac:dyDescent="0.25">
      <c r="A279" s="1368" t="s">
        <v>37</v>
      </c>
      <c r="B279" s="1634" t="s">
        <v>1090</v>
      </c>
      <c r="C279" s="1347">
        <v>18.410098329450939</v>
      </c>
      <c r="D279" s="1347">
        <v>20.418472692663769</v>
      </c>
      <c r="E279" s="1347">
        <v>0</v>
      </c>
      <c r="F279" s="1348"/>
      <c r="G279" s="1452">
        <f t="shared" si="76"/>
        <v>38.828571022114708</v>
      </c>
    </row>
    <row r="280" spans="1:7" ht="14.45" customHeight="1" x14ac:dyDescent="0.25">
      <c r="A280" s="1429" t="s">
        <v>743</v>
      </c>
      <c r="B280" s="1633" t="s">
        <v>1078</v>
      </c>
      <c r="C280" s="1347">
        <v>5.8330000421920332</v>
      </c>
      <c r="D280" s="1347">
        <v>44.749609723688842</v>
      </c>
      <c r="E280" s="1347">
        <v>0</v>
      </c>
      <c r="F280" s="1348"/>
      <c r="G280" s="1452">
        <f t="shared" si="76"/>
        <v>50.582609765880875</v>
      </c>
    </row>
    <row r="281" spans="1:7" ht="14.45" customHeight="1" x14ac:dyDescent="0.25">
      <c r="A281" s="1358" t="s">
        <v>82</v>
      </c>
      <c r="B281" s="1635" t="s">
        <v>1048</v>
      </c>
      <c r="C281" s="1347">
        <v>23.588728700587662</v>
      </c>
      <c r="D281" s="1347">
        <v>28.911313638156159</v>
      </c>
      <c r="E281" s="1347">
        <v>0</v>
      </c>
      <c r="F281" s="1348"/>
      <c r="G281" s="1452">
        <f t="shared" si="76"/>
        <v>52.500042338743825</v>
      </c>
    </row>
    <row r="282" spans="1:7" ht="14.45" customHeight="1" x14ac:dyDescent="0.25">
      <c r="A282" s="1382" t="s">
        <v>762</v>
      </c>
      <c r="B282" s="1636" t="s">
        <v>1153</v>
      </c>
      <c r="C282" s="1347">
        <v>0.45205790319270417</v>
      </c>
      <c r="D282" s="1347">
        <v>60.485347447183813</v>
      </c>
      <c r="E282" s="1347">
        <v>0</v>
      </c>
      <c r="F282" s="1348"/>
      <c r="G282" s="1452">
        <f t="shared" si="76"/>
        <v>60.937405350376515</v>
      </c>
    </row>
    <row r="283" spans="1:7" ht="14.45" customHeight="1" x14ac:dyDescent="0.25">
      <c r="A283" s="1382" t="s">
        <v>175</v>
      </c>
      <c r="B283" s="1636" t="s">
        <v>1151</v>
      </c>
      <c r="C283" s="1347">
        <v>38.4</v>
      </c>
      <c r="D283" s="1347">
        <v>26.24</v>
      </c>
      <c r="E283" s="1347">
        <v>0</v>
      </c>
      <c r="F283" s="1348"/>
      <c r="G283" s="1452">
        <f t="shared" si="76"/>
        <v>64.64</v>
      </c>
    </row>
    <row r="284" spans="1:7" ht="14.45" customHeight="1" x14ac:dyDescent="0.25">
      <c r="A284" s="1382" t="s">
        <v>738</v>
      </c>
      <c r="B284" s="1636" t="s">
        <v>1141</v>
      </c>
      <c r="C284" s="1347"/>
      <c r="D284" s="1347"/>
      <c r="E284" s="1347"/>
      <c r="F284" s="1348">
        <v>66.274095207430534</v>
      </c>
      <c r="G284" s="1452">
        <f>F284</f>
        <v>66.274095207430534</v>
      </c>
    </row>
    <row r="285" spans="1:7" ht="15" customHeight="1" x14ac:dyDescent="0.25">
      <c r="A285" s="1382" t="s">
        <v>763</v>
      </c>
      <c r="B285" s="1636" t="s">
        <v>1153</v>
      </c>
      <c r="C285" s="1347">
        <v>0.45205790319270417</v>
      </c>
      <c r="D285" s="1347">
        <v>67.933453460186811</v>
      </c>
      <c r="E285" s="1347">
        <v>0</v>
      </c>
      <c r="F285" s="1348"/>
      <c r="G285" s="1452">
        <f t="shared" ref="G285:G348" si="77">SUM(C285:E285)</f>
        <v>68.385511363379521</v>
      </c>
    </row>
    <row r="286" spans="1:7" ht="14.45" customHeight="1" x14ac:dyDescent="0.25">
      <c r="A286" s="1380" t="s">
        <v>694</v>
      </c>
      <c r="B286" s="1636" t="s">
        <v>1120</v>
      </c>
      <c r="C286" s="1347">
        <v>0</v>
      </c>
      <c r="D286" s="1347">
        <v>69.373075082106553</v>
      </c>
      <c r="E286" s="1347">
        <v>6.2194660519898051</v>
      </c>
      <c r="F286" s="1348"/>
      <c r="G286" s="1452">
        <f t="shared" si="77"/>
        <v>75.592541134096365</v>
      </c>
    </row>
    <row r="287" spans="1:7" ht="14.45" customHeight="1" x14ac:dyDescent="0.25">
      <c r="A287" s="1373" t="s">
        <v>83</v>
      </c>
      <c r="B287" s="1635" t="s">
        <v>1048</v>
      </c>
      <c r="C287" s="1347">
        <v>28.548410119685581</v>
      </c>
      <c r="D287" s="1347">
        <v>47.177457401175324</v>
      </c>
      <c r="E287" s="1347">
        <v>2.3588728700587662</v>
      </c>
      <c r="F287" s="1348"/>
      <c r="G287" s="1452">
        <f t="shared" si="77"/>
        <v>78.084740390919663</v>
      </c>
    </row>
    <row r="288" spans="1:7" ht="14.45" customHeight="1" x14ac:dyDescent="0.25">
      <c r="A288" s="1380" t="s">
        <v>761</v>
      </c>
      <c r="B288" s="1636" t="s">
        <v>1153</v>
      </c>
      <c r="C288" s="1347">
        <v>0.90411580638540834</v>
      </c>
      <c r="D288" s="1347">
        <v>82.182318568820847</v>
      </c>
      <c r="E288" s="1347">
        <v>0</v>
      </c>
      <c r="F288" s="1348"/>
      <c r="G288" s="1452">
        <f t="shared" si="77"/>
        <v>83.086434375206252</v>
      </c>
    </row>
    <row r="289" spans="1:7" ht="15" customHeight="1" x14ac:dyDescent="0.25">
      <c r="A289" s="1380" t="s">
        <v>148</v>
      </c>
      <c r="B289" s="1636" t="s">
        <v>1131</v>
      </c>
      <c r="C289" s="1347">
        <v>0</v>
      </c>
      <c r="D289" s="1347">
        <v>86.322270986620239</v>
      </c>
      <c r="E289" s="1347">
        <v>0</v>
      </c>
      <c r="F289" s="1348"/>
      <c r="G289" s="1452">
        <f t="shared" si="77"/>
        <v>86.322270986620239</v>
      </c>
    </row>
    <row r="290" spans="1:7" ht="14.45" customHeight="1" x14ac:dyDescent="0.25">
      <c r="A290" s="1382" t="s">
        <v>147</v>
      </c>
      <c r="B290" s="1636" t="s">
        <v>1131</v>
      </c>
      <c r="C290" s="1347">
        <v>0</v>
      </c>
      <c r="D290" s="1347">
        <v>90.043657489822451</v>
      </c>
      <c r="E290" s="1347">
        <v>0</v>
      </c>
      <c r="F290" s="1348"/>
      <c r="G290" s="1452">
        <f t="shared" si="77"/>
        <v>90.043657489822451</v>
      </c>
    </row>
    <row r="291" spans="1:7" ht="14.45" customHeight="1" x14ac:dyDescent="0.25">
      <c r="A291" s="1382" t="s">
        <v>143</v>
      </c>
      <c r="B291" s="1636" t="s">
        <v>1131</v>
      </c>
      <c r="C291" s="1347">
        <v>0</v>
      </c>
      <c r="D291" s="1347">
        <v>97.313579210559041</v>
      </c>
      <c r="E291" s="1347">
        <v>0</v>
      </c>
      <c r="F291" s="1348"/>
      <c r="G291" s="1452">
        <f t="shared" si="77"/>
        <v>97.313579210559041</v>
      </c>
    </row>
    <row r="292" spans="1:7" ht="14.45" customHeight="1" x14ac:dyDescent="0.25">
      <c r="A292" s="1382" t="s">
        <v>145</v>
      </c>
      <c r="B292" s="1636" t="s">
        <v>1131</v>
      </c>
      <c r="C292" s="1347">
        <v>0</v>
      </c>
      <c r="D292" s="1347">
        <v>98.111745441437108</v>
      </c>
      <c r="E292" s="1347">
        <v>0</v>
      </c>
      <c r="F292" s="1348"/>
      <c r="G292" s="1452">
        <f t="shared" si="77"/>
        <v>98.111745441437108</v>
      </c>
    </row>
    <row r="293" spans="1:7" ht="14.45" customHeight="1" x14ac:dyDescent="0.25">
      <c r="A293" s="1358" t="s">
        <v>731</v>
      </c>
      <c r="B293" s="1635" t="s">
        <v>1042</v>
      </c>
      <c r="C293" s="1347">
        <v>10.266807607901336</v>
      </c>
      <c r="D293" s="1347">
        <v>94.520731356743156</v>
      </c>
      <c r="E293" s="1347">
        <v>0</v>
      </c>
      <c r="F293" s="1348"/>
      <c r="G293" s="1452">
        <f t="shared" si="77"/>
        <v>104.7875389646445</v>
      </c>
    </row>
    <row r="294" spans="1:7" ht="14.45" customHeight="1" x14ac:dyDescent="0.25">
      <c r="A294" s="1382" t="s">
        <v>150</v>
      </c>
      <c r="B294" s="1636" t="s">
        <v>1131</v>
      </c>
      <c r="C294" s="1347">
        <v>0</v>
      </c>
      <c r="D294" s="1347">
        <v>107.49994272182887</v>
      </c>
      <c r="E294" s="1347">
        <v>0</v>
      </c>
      <c r="F294" s="1348"/>
      <c r="G294" s="1452">
        <f t="shared" si="77"/>
        <v>107.49994272182887</v>
      </c>
    </row>
    <row r="295" spans="1:7" ht="15" customHeight="1" x14ac:dyDescent="0.25">
      <c r="A295" s="1382" t="s">
        <v>146</v>
      </c>
      <c r="B295" s="1636" t="s">
        <v>1131</v>
      </c>
      <c r="C295" s="1347">
        <v>0</v>
      </c>
      <c r="D295" s="1347">
        <v>112.47195911545151</v>
      </c>
      <c r="E295" s="1347">
        <v>0</v>
      </c>
      <c r="F295" s="1348"/>
      <c r="G295" s="1452">
        <f t="shared" si="77"/>
        <v>112.47195911545151</v>
      </c>
    </row>
    <row r="296" spans="1:7" ht="15.75" x14ac:dyDescent="0.25">
      <c r="A296" s="1373" t="s">
        <v>84</v>
      </c>
      <c r="B296" s="1635" t="s">
        <v>1046</v>
      </c>
      <c r="C296" s="1347">
        <v>0</v>
      </c>
      <c r="D296" s="1347">
        <v>114.49633598349713</v>
      </c>
      <c r="E296" s="1347">
        <v>0</v>
      </c>
      <c r="F296" s="1348"/>
      <c r="G296" s="1452">
        <f t="shared" si="77"/>
        <v>114.49633598349713</v>
      </c>
    </row>
    <row r="297" spans="1:7" ht="15.75" x14ac:dyDescent="0.25">
      <c r="A297" s="1382" t="s">
        <v>764</v>
      </c>
      <c r="B297" s="1636" t="s">
        <v>1153</v>
      </c>
      <c r="C297" s="1347">
        <v>0.45205790319270417</v>
      </c>
      <c r="D297" s="1347">
        <v>119.28723126287801</v>
      </c>
      <c r="E297" s="1347">
        <v>0</v>
      </c>
      <c r="F297" s="1348"/>
      <c r="G297" s="1452">
        <f t="shared" si="77"/>
        <v>119.73928916607072</v>
      </c>
    </row>
    <row r="298" spans="1:7" ht="15.75" x14ac:dyDescent="0.25">
      <c r="A298" s="1382" t="s">
        <v>144</v>
      </c>
      <c r="B298" s="1636" t="s">
        <v>1131</v>
      </c>
      <c r="C298" s="1347">
        <v>0</v>
      </c>
      <c r="D298" s="1347">
        <v>121.17891897585818</v>
      </c>
      <c r="E298" s="1347">
        <v>0</v>
      </c>
      <c r="F298" s="1348"/>
      <c r="G298" s="1452">
        <f t="shared" si="77"/>
        <v>121.17891897585818</v>
      </c>
    </row>
    <row r="299" spans="1:7" ht="15.75" x14ac:dyDescent="0.25">
      <c r="A299" s="1380" t="s">
        <v>102</v>
      </c>
      <c r="B299" s="1636" t="s">
        <v>1066</v>
      </c>
      <c r="C299" s="1347">
        <v>5.8529268955314864</v>
      </c>
      <c r="D299" s="1347">
        <v>118.71112903407392</v>
      </c>
      <c r="E299" s="1347">
        <v>0</v>
      </c>
      <c r="F299" s="1348"/>
      <c r="G299" s="1452">
        <f t="shared" si="77"/>
        <v>124.5640559296054</v>
      </c>
    </row>
    <row r="300" spans="1:7" ht="15.75" x14ac:dyDescent="0.25">
      <c r="A300" s="1373" t="s">
        <v>493</v>
      </c>
      <c r="B300" s="1635" t="s">
        <v>1042</v>
      </c>
      <c r="C300" s="1347">
        <v>10.80827622831805</v>
      </c>
      <c r="D300" s="1347">
        <v>115.19076853665082</v>
      </c>
      <c r="E300" s="1347">
        <v>0</v>
      </c>
      <c r="F300" s="1348"/>
      <c r="G300" s="1452">
        <f t="shared" si="77"/>
        <v>125.99904476496887</v>
      </c>
    </row>
    <row r="301" spans="1:7" ht="15.75" x14ac:dyDescent="0.25">
      <c r="A301" s="1411" t="s">
        <v>767</v>
      </c>
      <c r="B301" s="1634" t="s">
        <v>1118</v>
      </c>
      <c r="C301" s="1347">
        <v>0</v>
      </c>
      <c r="D301" s="1347">
        <v>129.34286638163331</v>
      </c>
      <c r="E301" s="1347">
        <v>0</v>
      </c>
      <c r="F301" s="1348"/>
      <c r="G301" s="1452">
        <f t="shared" si="77"/>
        <v>129.34286638163331</v>
      </c>
    </row>
    <row r="302" spans="1:7" ht="15.75" x14ac:dyDescent="0.25">
      <c r="A302" s="1411" t="s">
        <v>219</v>
      </c>
      <c r="B302" s="1634" t="s">
        <v>1118</v>
      </c>
      <c r="C302" s="1347">
        <v>0</v>
      </c>
      <c r="D302" s="1347">
        <v>133.17524760775578</v>
      </c>
      <c r="E302" s="1347">
        <v>0</v>
      </c>
      <c r="F302" s="1348"/>
      <c r="G302" s="1452">
        <f t="shared" si="77"/>
        <v>133.17524760775578</v>
      </c>
    </row>
    <row r="303" spans="1:7" ht="15.75" x14ac:dyDescent="0.25">
      <c r="A303" s="1358" t="s">
        <v>730</v>
      </c>
      <c r="B303" s="1635" t="s">
        <v>1042</v>
      </c>
      <c r="C303" s="1347">
        <v>18.17506228998753</v>
      </c>
      <c r="D303" s="1347">
        <v>120.2116593805149</v>
      </c>
      <c r="E303" s="1347">
        <v>0</v>
      </c>
      <c r="F303" s="1348"/>
      <c r="G303" s="1452">
        <f t="shared" si="77"/>
        <v>138.38672167050242</v>
      </c>
    </row>
    <row r="304" spans="1:7" ht="15.75" x14ac:dyDescent="0.25">
      <c r="A304" s="1382" t="s">
        <v>746</v>
      </c>
      <c r="B304" s="1636" t="s">
        <v>1147</v>
      </c>
      <c r="C304" s="1347">
        <v>6.2107469240751092</v>
      </c>
      <c r="D304" s="1347">
        <v>134.41830842819701</v>
      </c>
      <c r="E304" s="1347">
        <v>0</v>
      </c>
      <c r="F304" s="1348"/>
      <c r="G304" s="1452">
        <f t="shared" si="77"/>
        <v>140.6290553522721</v>
      </c>
    </row>
    <row r="305" spans="1:7" ht="15.75" x14ac:dyDescent="0.25">
      <c r="A305" s="1368" t="s">
        <v>770</v>
      </c>
      <c r="B305" s="1634" t="s">
        <v>1118</v>
      </c>
      <c r="C305" s="1347">
        <v>0</v>
      </c>
      <c r="D305" s="1347">
        <v>142.75620067306195</v>
      </c>
      <c r="E305" s="1347">
        <v>0</v>
      </c>
      <c r="F305" s="1348"/>
      <c r="G305" s="1452">
        <f t="shared" si="77"/>
        <v>142.75620067306195</v>
      </c>
    </row>
    <row r="306" spans="1:7" ht="15.75" x14ac:dyDescent="0.25">
      <c r="A306" s="1382" t="s">
        <v>748</v>
      </c>
      <c r="B306" s="1636" t="s">
        <v>1147</v>
      </c>
      <c r="C306" s="1347">
        <v>6.8004827155024818</v>
      </c>
      <c r="D306" s="1347">
        <v>136.9877455254429</v>
      </c>
      <c r="E306" s="1347">
        <v>0</v>
      </c>
      <c r="F306" s="1348"/>
      <c r="G306" s="1452">
        <f t="shared" si="77"/>
        <v>143.78822824094539</v>
      </c>
    </row>
    <row r="307" spans="1:7" ht="15.75" x14ac:dyDescent="0.25">
      <c r="A307" s="1382" t="s">
        <v>747</v>
      </c>
      <c r="B307" s="1636" t="s">
        <v>1147</v>
      </c>
      <c r="C307" s="1347">
        <v>5.6983294343154336</v>
      </c>
      <c r="D307" s="1347">
        <v>138.68110452774681</v>
      </c>
      <c r="E307" s="1347">
        <v>0</v>
      </c>
      <c r="F307" s="1348"/>
      <c r="G307" s="1452">
        <f t="shared" si="77"/>
        <v>144.37943396206225</v>
      </c>
    </row>
    <row r="308" spans="1:7" ht="15.75" x14ac:dyDescent="0.25">
      <c r="A308" s="1368" t="s">
        <v>766</v>
      </c>
      <c r="B308" s="1634" t="s">
        <v>1118</v>
      </c>
      <c r="C308" s="1347">
        <v>0</v>
      </c>
      <c r="D308" s="1347">
        <v>144.6723912861232</v>
      </c>
      <c r="E308" s="1347">
        <v>0</v>
      </c>
      <c r="F308" s="1348"/>
      <c r="G308" s="1452">
        <f t="shared" si="77"/>
        <v>144.6723912861232</v>
      </c>
    </row>
    <row r="309" spans="1:7" ht="15.75" x14ac:dyDescent="0.25">
      <c r="A309" s="1368" t="s">
        <v>769</v>
      </c>
      <c r="B309" s="1634" t="s">
        <v>1118</v>
      </c>
      <c r="C309" s="1347">
        <v>0</v>
      </c>
      <c r="D309" s="1347">
        <v>145.1514389393885</v>
      </c>
      <c r="E309" s="1347">
        <v>0</v>
      </c>
      <c r="F309" s="1348"/>
      <c r="G309" s="1452">
        <f t="shared" si="77"/>
        <v>145.1514389393885</v>
      </c>
    </row>
    <row r="310" spans="1:7" ht="15.75" x14ac:dyDescent="0.25">
      <c r="A310" s="1368" t="s">
        <v>768</v>
      </c>
      <c r="B310" s="1634" t="s">
        <v>1118</v>
      </c>
      <c r="C310" s="1347">
        <v>0</v>
      </c>
      <c r="D310" s="1347">
        <v>146.10953424591912</v>
      </c>
      <c r="E310" s="1347">
        <v>0</v>
      </c>
      <c r="F310" s="1348"/>
      <c r="G310" s="1452">
        <f t="shared" si="77"/>
        <v>146.10953424591912</v>
      </c>
    </row>
    <row r="311" spans="1:7" ht="15.75" x14ac:dyDescent="0.25">
      <c r="A311" s="1368" t="s">
        <v>771</v>
      </c>
      <c r="B311" s="1634" t="s">
        <v>1118</v>
      </c>
      <c r="C311" s="1347">
        <v>0</v>
      </c>
      <c r="D311" s="1347">
        <v>146.58858189918442</v>
      </c>
      <c r="E311" s="1347">
        <v>0</v>
      </c>
      <c r="F311" s="1348"/>
      <c r="G311" s="1452">
        <f t="shared" si="77"/>
        <v>146.58858189918442</v>
      </c>
    </row>
    <row r="312" spans="1:7" ht="15.75" x14ac:dyDescent="0.25">
      <c r="A312" s="1382" t="s">
        <v>749</v>
      </c>
      <c r="B312" s="1636" t="s">
        <v>1147</v>
      </c>
      <c r="C312" s="1347">
        <v>6.0869788442192148</v>
      </c>
      <c r="D312" s="1347">
        <v>141.14617661703821</v>
      </c>
      <c r="E312" s="1347">
        <v>0</v>
      </c>
      <c r="F312" s="1348"/>
      <c r="G312" s="1452">
        <f t="shared" si="77"/>
        <v>147.23315546125741</v>
      </c>
    </row>
    <row r="313" spans="1:7" ht="15.75" x14ac:dyDescent="0.25">
      <c r="A313" s="1382" t="s">
        <v>149</v>
      </c>
      <c r="B313" s="1636" t="s">
        <v>1131</v>
      </c>
      <c r="C313" s="1347">
        <v>0</v>
      </c>
      <c r="D313" s="1347">
        <v>147.76412455975458</v>
      </c>
      <c r="E313" s="1347">
        <v>0</v>
      </c>
      <c r="F313" s="1348"/>
      <c r="G313" s="1452">
        <f t="shared" si="77"/>
        <v>147.76412455975458</v>
      </c>
    </row>
    <row r="314" spans="1:7" ht="15.75" x14ac:dyDescent="0.25">
      <c r="A314" s="1368" t="s">
        <v>765</v>
      </c>
      <c r="B314" s="1634" t="s">
        <v>1118</v>
      </c>
      <c r="C314" s="1347">
        <v>0</v>
      </c>
      <c r="D314" s="1347">
        <v>148.02572485898034</v>
      </c>
      <c r="E314" s="1347">
        <v>0</v>
      </c>
      <c r="F314" s="1348"/>
      <c r="G314" s="1452">
        <f t="shared" si="77"/>
        <v>148.02572485898034</v>
      </c>
    </row>
    <row r="315" spans="1:7" ht="15.75" x14ac:dyDescent="0.25">
      <c r="A315" s="1368" t="s">
        <v>1353</v>
      </c>
      <c r="B315" s="1634" t="s">
        <v>1118</v>
      </c>
      <c r="C315" s="1347">
        <v>0</v>
      </c>
      <c r="D315" s="1347">
        <v>148.98382016551096</v>
      </c>
      <c r="E315" s="1347">
        <v>0</v>
      </c>
      <c r="F315" s="1348"/>
      <c r="G315" s="1452">
        <f t="shared" si="77"/>
        <v>148.98382016551096</v>
      </c>
    </row>
    <row r="316" spans="1:7" ht="15.75" x14ac:dyDescent="0.25">
      <c r="A316" s="1382" t="s">
        <v>613</v>
      </c>
      <c r="B316" s="1636" t="s">
        <v>1066</v>
      </c>
      <c r="C316" s="1347">
        <v>0</v>
      </c>
      <c r="D316" s="1347">
        <v>149.97264445255973</v>
      </c>
      <c r="E316" s="1347">
        <v>0</v>
      </c>
      <c r="F316" s="1348"/>
      <c r="G316" s="1452">
        <f t="shared" si="77"/>
        <v>149.97264445255973</v>
      </c>
    </row>
    <row r="317" spans="1:7" ht="15.75" x14ac:dyDescent="0.25">
      <c r="A317" s="1368" t="s">
        <v>520</v>
      </c>
      <c r="B317" s="1634" t="s">
        <v>1118</v>
      </c>
      <c r="C317" s="1347">
        <v>0</v>
      </c>
      <c r="D317" s="1347">
        <v>152.81620139163343</v>
      </c>
      <c r="E317" s="1347">
        <v>0</v>
      </c>
      <c r="F317" s="1348"/>
      <c r="G317" s="1452">
        <f t="shared" si="77"/>
        <v>152.81620139163343</v>
      </c>
    </row>
    <row r="318" spans="1:7" ht="15.75" x14ac:dyDescent="0.25">
      <c r="A318" s="1368" t="s">
        <v>188</v>
      </c>
      <c r="B318" s="1634" t="s">
        <v>1118</v>
      </c>
      <c r="C318" s="1347">
        <v>0</v>
      </c>
      <c r="D318" s="1347">
        <v>153.29524904489875</v>
      </c>
      <c r="E318" s="1347">
        <v>0</v>
      </c>
      <c r="F318" s="1348"/>
      <c r="G318" s="1452">
        <f t="shared" si="77"/>
        <v>153.29524904489875</v>
      </c>
    </row>
    <row r="319" spans="1:7" ht="15.75" x14ac:dyDescent="0.25">
      <c r="A319" s="1382" t="s">
        <v>112</v>
      </c>
      <c r="B319" s="1636" t="s">
        <v>1076</v>
      </c>
      <c r="C319" s="1347">
        <v>62.341061463798042</v>
      </c>
      <c r="D319" s="1347">
        <v>96.154853201762108</v>
      </c>
      <c r="E319" s="1347">
        <v>0</v>
      </c>
      <c r="F319" s="1348"/>
      <c r="G319" s="1452">
        <f t="shared" si="77"/>
        <v>158.49591466556015</v>
      </c>
    </row>
    <row r="320" spans="1:7" ht="15.75" x14ac:dyDescent="0.25">
      <c r="A320" s="1382" t="s">
        <v>113</v>
      </c>
      <c r="B320" s="1636" t="s">
        <v>1076</v>
      </c>
      <c r="C320" s="1347">
        <v>84.783843590765343</v>
      </c>
      <c r="D320" s="1347">
        <v>74.47678809541739</v>
      </c>
      <c r="E320" s="1347">
        <v>0</v>
      </c>
      <c r="F320" s="1348"/>
      <c r="G320" s="1452">
        <f t="shared" si="77"/>
        <v>159.26063168618273</v>
      </c>
    </row>
    <row r="321" spans="1:7" ht="15.75" x14ac:dyDescent="0.25">
      <c r="A321" s="1382" t="s">
        <v>152</v>
      </c>
      <c r="B321" s="1636" t="s">
        <v>1133</v>
      </c>
      <c r="C321" s="1347">
        <v>35.756943992008168</v>
      </c>
      <c r="D321" s="1347">
        <v>125.73023215410342</v>
      </c>
      <c r="E321" s="1347">
        <v>0</v>
      </c>
      <c r="F321" s="1348"/>
      <c r="G321" s="1452">
        <f t="shared" si="77"/>
        <v>161.48717614611158</v>
      </c>
    </row>
    <row r="322" spans="1:7" ht="15.75" x14ac:dyDescent="0.25">
      <c r="A322" s="1382" t="s">
        <v>114</v>
      </c>
      <c r="B322" s="1636" t="s">
        <v>1076</v>
      </c>
      <c r="C322" s="1347">
        <v>80.794015657082269</v>
      </c>
      <c r="D322" s="1347">
        <v>85.781300574186105</v>
      </c>
      <c r="E322" s="1347">
        <v>0</v>
      </c>
      <c r="F322" s="1348"/>
      <c r="G322" s="1452">
        <f t="shared" si="77"/>
        <v>166.57531623126837</v>
      </c>
    </row>
    <row r="323" spans="1:7" ht="15.75" x14ac:dyDescent="0.25">
      <c r="A323" s="1368" t="s">
        <v>597</v>
      </c>
      <c r="B323" s="1634" t="s">
        <v>1118</v>
      </c>
      <c r="C323" s="1347">
        <v>0</v>
      </c>
      <c r="D323" s="1347">
        <v>168.14572629612331</v>
      </c>
      <c r="E323" s="1347">
        <v>0</v>
      </c>
      <c r="F323" s="1348"/>
      <c r="G323" s="1452">
        <f t="shared" si="77"/>
        <v>168.14572629612331</v>
      </c>
    </row>
    <row r="324" spans="1:7" ht="15.75" x14ac:dyDescent="0.25">
      <c r="A324" s="1368" t="s">
        <v>190</v>
      </c>
      <c r="B324" s="1634" t="s">
        <v>1118</v>
      </c>
      <c r="C324" s="1347">
        <v>0</v>
      </c>
      <c r="D324" s="1347">
        <v>168.62477394938861</v>
      </c>
      <c r="E324" s="1347">
        <v>0</v>
      </c>
      <c r="F324" s="1348"/>
      <c r="G324" s="1452">
        <f t="shared" si="77"/>
        <v>168.62477394938861</v>
      </c>
    </row>
    <row r="325" spans="1:7" ht="15.75" x14ac:dyDescent="0.25">
      <c r="A325" s="1411" t="s">
        <v>716</v>
      </c>
      <c r="B325" s="1634" t="s">
        <v>1064</v>
      </c>
      <c r="C325" s="1347">
        <v>26.06032966317024</v>
      </c>
      <c r="D325" s="1347">
        <v>143.98332138901557</v>
      </c>
      <c r="E325" s="1347">
        <v>0</v>
      </c>
      <c r="F325" s="1348"/>
      <c r="G325" s="1452">
        <f t="shared" si="77"/>
        <v>170.04365105218582</v>
      </c>
    </row>
    <row r="326" spans="1:7" ht="15.75" x14ac:dyDescent="0.25">
      <c r="A326" s="1380" t="s">
        <v>139</v>
      </c>
      <c r="B326" s="1636" t="s">
        <v>1116</v>
      </c>
      <c r="C326" s="1347">
        <v>35.561491519534393</v>
      </c>
      <c r="D326" s="1347">
        <v>135.11195083284471</v>
      </c>
      <c r="E326" s="1347">
        <v>0</v>
      </c>
      <c r="F326" s="1348"/>
      <c r="G326" s="1452">
        <f t="shared" si="77"/>
        <v>170.67344235237911</v>
      </c>
    </row>
    <row r="327" spans="1:7" ht="15.75" x14ac:dyDescent="0.25">
      <c r="A327" s="1380" t="s">
        <v>104</v>
      </c>
      <c r="B327" s="1636" t="s">
        <v>1066</v>
      </c>
      <c r="C327" s="1347">
        <v>0</v>
      </c>
      <c r="D327" s="1347">
        <v>171.53895861350634</v>
      </c>
      <c r="E327" s="1347">
        <v>0</v>
      </c>
      <c r="F327" s="1348"/>
      <c r="G327" s="1452">
        <f t="shared" si="77"/>
        <v>171.53895861350634</v>
      </c>
    </row>
    <row r="328" spans="1:7" ht="15.75" x14ac:dyDescent="0.25">
      <c r="A328" s="1380" t="s">
        <v>103</v>
      </c>
      <c r="B328" s="1636" t="s">
        <v>1066</v>
      </c>
      <c r="C328" s="1347">
        <v>4.2382076519995646</v>
      </c>
      <c r="D328" s="1347">
        <v>168.63315255478366</v>
      </c>
      <c r="E328" s="1347">
        <v>0</v>
      </c>
      <c r="F328" s="1348"/>
      <c r="G328" s="1452">
        <f t="shared" si="77"/>
        <v>172.87136020678324</v>
      </c>
    </row>
    <row r="329" spans="1:7" ht="15.75" x14ac:dyDescent="0.25">
      <c r="A329" s="1380" t="s">
        <v>131</v>
      </c>
      <c r="B329" s="1636" t="s">
        <v>1114</v>
      </c>
      <c r="C329" s="1347">
        <v>0</v>
      </c>
      <c r="D329" s="1347">
        <v>173.0773610257111</v>
      </c>
      <c r="E329" s="1347">
        <v>0</v>
      </c>
      <c r="F329" s="1348"/>
      <c r="G329" s="1452">
        <f t="shared" si="77"/>
        <v>173.0773610257111</v>
      </c>
    </row>
    <row r="330" spans="1:7" ht="15.75" x14ac:dyDescent="0.25">
      <c r="A330" s="1382" t="s">
        <v>132</v>
      </c>
      <c r="B330" s="1636" t="s">
        <v>1114</v>
      </c>
      <c r="C330" s="1347">
        <v>0</v>
      </c>
      <c r="D330" s="1347">
        <v>159.41335883947076</v>
      </c>
      <c r="E330" s="1347">
        <v>14.028375577873426</v>
      </c>
      <c r="F330" s="1348"/>
      <c r="G330" s="1452">
        <f t="shared" si="77"/>
        <v>173.44173441734418</v>
      </c>
    </row>
    <row r="331" spans="1:7" ht="15.75" x14ac:dyDescent="0.25">
      <c r="A331" s="1382" t="s">
        <v>214</v>
      </c>
      <c r="B331" s="1636" t="s">
        <v>1133</v>
      </c>
      <c r="C331" s="1347">
        <v>50.339870132690514</v>
      </c>
      <c r="D331" s="1347">
        <v>123.66712272243578</v>
      </c>
      <c r="E331" s="1347">
        <v>0</v>
      </c>
      <c r="F331" s="1348"/>
      <c r="G331" s="1452">
        <f t="shared" si="77"/>
        <v>174.0069928551263</v>
      </c>
    </row>
    <row r="332" spans="1:7" ht="15.75" x14ac:dyDescent="0.25">
      <c r="A332" s="1368" t="s">
        <v>186</v>
      </c>
      <c r="B332" s="1634" t="s">
        <v>1106</v>
      </c>
      <c r="C332" s="1347">
        <v>76.487067561404658</v>
      </c>
      <c r="D332" s="1347">
        <v>100.22368449627554</v>
      </c>
      <c r="E332" s="1347">
        <v>0</v>
      </c>
      <c r="F332" s="1348"/>
      <c r="G332" s="1452">
        <f t="shared" si="77"/>
        <v>176.7107520576802</v>
      </c>
    </row>
    <row r="333" spans="1:7" ht="15.75" x14ac:dyDescent="0.25">
      <c r="A333" s="1368" t="s">
        <v>513</v>
      </c>
      <c r="B333" s="1634" t="s">
        <v>1118</v>
      </c>
      <c r="C333" s="1347">
        <v>0</v>
      </c>
      <c r="D333" s="1347">
        <v>176.76858405489887</v>
      </c>
      <c r="E333" s="1347">
        <v>0</v>
      </c>
      <c r="F333" s="1348"/>
      <c r="G333" s="1452">
        <f t="shared" si="77"/>
        <v>176.76858405489887</v>
      </c>
    </row>
    <row r="334" spans="1:7" ht="15.75" x14ac:dyDescent="0.25">
      <c r="A334" s="1382" t="s">
        <v>153</v>
      </c>
      <c r="B334" s="1636" t="s">
        <v>1133</v>
      </c>
      <c r="C334" s="1347">
        <v>66.486416053163069</v>
      </c>
      <c r="D334" s="1347">
        <v>113.72076356765913</v>
      </c>
      <c r="E334" s="1347">
        <v>0</v>
      </c>
      <c r="F334" s="1348"/>
      <c r="G334" s="1452">
        <f t="shared" si="77"/>
        <v>180.20717962082222</v>
      </c>
    </row>
    <row r="335" spans="1:7" ht="15.75" x14ac:dyDescent="0.25">
      <c r="A335" s="1368" t="s">
        <v>772</v>
      </c>
      <c r="B335" s="1634" t="s">
        <v>1118</v>
      </c>
      <c r="C335" s="1347">
        <v>0</v>
      </c>
      <c r="D335" s="1347">
        <v>184.4333465071438</v>
      </c>
      <c r="E335" s="1347">
        <v>0</v>
      </c>
      <c r="F335" s="1348"/>
      <c r="G335" s="1452">
        <f t="shared" si="77"/>
        <v>184.4333465071438</v>
      </c>
    </row>
    <row r="336" spans="1:7" ht="15.75" x14ac:dyDescent="0.25">
      <c r="A336" s="1382" t="s">
        <v>119</v>
      </c>
      <c r="B336" s="1636" t="s">
        <v>1076</v>
      </c>
      <c r="C336" s="1347">
        <v>78.799101690240732</v>
      </c>
      <c r="D336" s="1347">
        <v>113.64359897773959</v>
      </c>
      <c r="E336" s="1347">
        <v>0</v>
      </c>
      <c r="F336" s="1348"/>
      <c r="G336" s="1452">
        <f t="shared" si="77"/>
        <v>192.44270066798032</v>
      </c>
    </row>
    <row r="337" spans="1:20" ht="15.75" x14ac:dyDescent="0.25">
      <c r="A337" s="1382" t="s">
        <v>115</v>
      </c>
      <c r="B337" s="1636" t="s">
        <v>1076</v>
      </c>
      <c r="C337" s="1347">
        <v>84.783843590765343</v>
      </c>
      <c r="D337" s="1347">
        <v>109.72026817628456</v>
      </c>
      <c r="E337" s="1347">
        <v>0</v>
      </c>
      <c r="F337" s="1348"/>
      <c r="G337" s="1452">
        <f t="shared" si="77"/>
        <v>194.50411176704989</v>
      </c>
    </row>
    <row r="338" spans="1:20" ht="15.75" x14ac:dyDescent="0.25">
      <c r="A338" s="1368" t="s">
        <v>185</v>
      </c>
      <c r="B338" s="1634" t="s">
        <v>1106</v>
      </c>
      <c r="C338" s="1347">
        <v>48.863118118444199</v>
      </c>
      <c r="D338" s="1347">
        <v>147.67520142463135</v>
      </c>
      <c r="E338" s="1347">
        <v>0</v>
      </c>
      <c r="F338" s="1348"/>
      <c r="G338" s="1452">
        <f t="shared" si="77"/>
        <v>196.53831954307554</v>
      </c>
    </row>
    <row r="339" spans="1:20" ht="15.75" x14ac:dyDescent="0.25">
      <c r="A339" s="1382" t="s">
        <v>154</v>
      </c>
      <c r="B339" s="1636" t="s">
        <v>1133</v>
      </c>
      <c r="C339" s="1347">
        <v>77.008274154668058</v>
      </c>
      <c r="D339" s="1347">
        <v>121.41941928898733</v>
      </c>
      <c r="E339" s="1347">
        <v>0</v>
      </c>
      <c r="F339" s="1348"/>
      <c r="G339" s="1452">
        <f t="shared" si="77"/>
        <v>198.42769344365539</v>
      </c>
    </row>
    <row r="340" spans="1:20" ht="15.75" x14ac:dyDescent="0.25">
      <c r="A340" s="1382" t="s">
        <v>173</v>
      </c>
      <c r="B340" s="1636" t="s">
        <v>1151</v>
      </c>
      <c r="C340" s="1347">
        <v>0</v>
      </c>
      <c r="D340" s="1347">
        <v>201.31</v>
      </c>
      <c r="E340" s="1347">
        <v>0</v>
      </c>
      <c r="F340" s="1348"/>
      <c r="G340" s="1452">
        <f t="shared" si="77"/>
        <v>201.31</v>
      </c>
    </row>
    <row r="341" spans="1:20" ht="15.75" x14ac:dyDescent="0.25">
      <c r="A341" s="1358" t="s">
        <v>492</v>
      </c>
      <c r="B341" s="1635" t="s">
        <v>1042</v>
      </c>
      <c r="C341" s="1347">
        <v>17.885341417764561</v>
      </c>
      <c r="D341" s="1347">
        <v>190.04704729426021</v>
      </c>
      <c r="E341" s="1347">
        <v>0</v>
      </c>
      <c r="F341" s="1348"/>
      <c r="G341" s="1452">
        <f t="shared" si="77"/>
        <v>207.93238871202476</v>
      </c>
    </row>
    <row r="342" spans="1:20" ht="15.75" x14ac:dyDescent="0.25">
      <c r="A342" s="1358" t="s">
        <v>729</v>
      </c>
      <c r="B342" s="1635" t="s">
        <v>1042</v>
      </c>
      <c r="C342" s="1347">
        <v>17.885341417764561</v>
      </c>
      <c r="D342" s="1347">
        <v>190.04704729426021</v>
      </c>
      <c r="E342" s="1347">
        <v>0</v>
      </c>
      <c r="F342" s="1348"/>
      <c r="G342" s="1452">
        <f t="shared" si="77"/>
        <v>207.93238871202476</v>
      </c>
    </row>
    <row r="343" spans="1:20" ht="15.75" x14ac:dyDescent="0.25">
      <c r="A343" s="1411" t="s">
        <v>516</v>
      </c>
      <c r="B343" s="1634" t="s">
        <v>1118</v>
      </c>
      <c r="C343" s="1347">
        <v>0</v>
      </c>
      <c r="D343" s="1347">
        <v>210.78096743673578</v>
      </c>
      <c r="E343" s="1347">
        <v>0</v>
      </c>
      <c r="F343" s="1348"/>
      <c r="G343" s="1452">
        <f t="shared" si="77"/>
        <v>210.78096743673578</v>
      </c>
    </row>
    <row r="344" spans="1:20" ht="15.75" x14ac:dyDescent="0.25">
      <c r="A344" s="1382" t="s">
        <v>118</v>
      </c>
      <c r="B344" s="1636" t="s">
        <v>1076</v>
      </c>
      <c r="C344" s="1347">
        <v>116.70246706022994</v>
      </c>
      <c r="D344" s="1347">
        <v>96.088356069534058</v>
      </c>
      <c r="E344" s="1347">
        <v>0</v>
      </c>
      <c r="F344" s="1348"/>
      <c r="G344" s="1452">
        <f t="shared" si="77"/>
        <v>212.79082312976399</v>
      </c>
    </row>
    <row r="345" spans="1:20" s="1402" customFormat="1" ht="15.75" x14ac:dyDescent="0.25">
      <c r="A345" s="1380" t="s">
        <v>133</v>
      </c>
      <c r="B345" s="1636" t="s">
        <v>1116</v>
      </c>
      <c r="C345" s="1347">
        <v>55.899407127500162</v>
      </c>
      <c r="D345" s="1347">
        <v>134.22155623601972</v>
      </c>
      <c r="E345" s="1347">
        <v>24.14923882120442</v>
      </c>
      <c r="F345" s="1348"/>
      <c r="G345" s="1452">
        <f t="shared" si="77"/>
        <v>214.2702021847243</v>
      </c>
      <c r="H345"/>
      <c r="I345"/>
      <c r="J345"/>
      <c r="K345"/>
      <c r="L345"/>
      <c r="M345"/>
      <c r="N345"/>
      <c r="O345"/>
      <c r="P345"/>
      <c r="Q345"/>
      <c r="R345"/>
      <c r="S345"/>
      <c r="T345"/>
    </row>
    <row r="346" spans="1:20" ht="15.75" x14ac:dyDescent="0.25">
      <c r="A346" s="1380" t="s">
        <v>129</v>
      </c>
      <c r="B346" s="1636" t="s">
        <v>1114</v>
      </c>
      <c r="C346" s="1347">
        <v>0</v>
      </c>
      <c r="D346" s="1347">
        <v>217.10581251470779</v>
      </c>
      <c r="E346" s="1347">
        <v>0</v>
      </c>
      <c r="F346" s="1348"/>
      <c r="G346" s="1452">
        <f t="shared" si="77"/>
        <v>217.10581251470779</v>
      </c>
    </row>
    <row r="347" spans="1:20" ht="15.75" x14ac:dyDescent="0.25">
      <c r="A347" s="1411" t="s">
        <v>860</v>
      </c>
      <c r="B347" s="1634" t="s">
        <v>1118</v>
      </c>
      <c r="C347" s="1347">
        <v>0</v>
      </c>
      <c r="D347" s="1347">
        <v>219.88287284877663</v>
      </c>
      <c r="E347" s="1347">
        <v>0</v>
      </c>
      <c r="F347" s="1348"/>
      <c r="G347" s="1452">
        <f t="shared" si="77"/>
        <v>219.88287284877663</v>
      </c>
    </row>
    <row r="348" spans="1:20" ht="15.75" x14ac:dyDescent="0.25">
      <c r="A348" s="1380" t="s">
        <v>138</v>
      </c>
      <c r="B348" s="1636" t="s">
        <v>1116</v>
      </c>
      <c r="C348" s="1347">
        <v>50.752492019024046</v>
      </c>
      <c r="D348" s="1347">
        <v>176.29813017134668</v>
      </c>
      <c r="E348" s="1347">
        <v>0</v>
      </c>
      <c r="F348" s="1348"/>
      <c r="G348" s="1452">
        <f t="shared" si="77"/>
        <v>227.05062219037075</v>
      </c>
    </row>
    <row r="349" spans="1:20" ht="15.75" x14ac:dyDescent="0.25">
      <c r="A349" s="1380" t="s">
        <v>137</v>
      </c>
      <c r="B349" s="1636" t="s">
        <v>1116</v>
      </c>
      <c r="C349" s="1347">
        <v>61.111473060134216</v>
      </c>
      <c r="D349" s="1347">
        <v>167.00327925814929</v>
      </c>
      <c r="E349" s="1347">
        <v>0</v>
      </c>
      <c r="F349" s="1348"/>
      <c r="G349" s="1452">
        <f t="shared" ref="G349:G412" si="78">SUM(C349:E349)</f>
        <v>228.11475231828351</v>
      </c>
    </row>
    <row r="350" spans="1:20" ht="15.75" x14ac:dyDescent="0.25">
      <c r="A350" s="1411" t="s">
        <v>712</v>
      </c>
      <c r="B350" s="1634" t="s">
        <v>1064</v>
      </c>
      <c r="C350" s="1347">
        <v>86.324842009251412</v>
      </c>
      <c r="D350" s="1347">
        <v>81.351662431863105</v>
      </c>
      <c r="E350" s="1347">
        <v>65.074814863074693</v>
      </c>
      <c r="F350" s="1348"/>
      <c r="G350" s="1452">
        <f t="shared" si="78"/>
        <v>232.7513193041892</v>
      </c>
    </row>
    <row r="351" spans="1:20" ht="15.75" x14ac:dyDescent="0.25">
      <c r="A351" s="1380" t="s">
        <v>105</v>
      </c>
      <c r="B351" s="1636" t="s">
        <v>1066</v>
      </c>
      <c r="C351" s="1347">
        <v>0</v>
      </c>
      <c r="D351" s="1347">
        <v>234.11707582125948</v>
      </c>
      <c r="E351" s="1347">
        <v>0</v>
      </c>
      <c r="F351" s="1348"/>
      <c r="G351" s="1452">
        <f t="shared" si="78"/>
        <v>234.11707582125948</v>
      </c>
    </row>
    <row r="352" spans="1:20" ht="15.75" x14ac:dyDescent="0.25">
      <c r="A352" s="1411" t="s">
        <v>713</v>
      </c>
      <c r="B352" s="1634" t="s">
        <v>1064</v>
      </c>
      <c r="C352" s="1347">
        <v>55.378200534236761</v>
      </c>
      <c r="D352" s="1347">
        <v>184.5940017807892</v>
      </c>
      <c r="E352" s="1347">
        <v>0</v>
      </c>
      <c r="F352" s="1348"/>
      <c r="G352" s="1452">
        <f t="shared" si="78"/>
        <v>239.97220231502595</v>
      </c>
    </row>
    <row r="353" spans="1:7" ht="15.75" x14ac:dyDescent="0.25">
      <c r="A353" s="1380" t="s">
        <v>127</v>
      </c>
      <c r="B353" s="1636" t="s">
        <v>1112</v>
      </c>
      <c r="C353" s="1347">
        <v>33.858898682888842</v>
      </c>
      <c r="D353" s="1347">
        <v>186.44966874710786</v>
      </c>
      <c r="E353" s="1347">
        <v>20.8345089895376</v>
      </c>
      <c r="F353" s="1348"/>
      <c r="G353" s="1452">
        <f t="shared" si="78"/>
        <v>241.14307641953431</v>
      </c>
    </row>
    <row r="354" spans="1:7" ht="15.75" x14ac:dyDescent="0.25">
      <c r="A354" s="1380" t="s">
        <v>174</v>
      </c>
      <c r="B354" s="1636" t="s">
        <v>1151</v>
      </c>
      <c r="C354" s="1347">
        <v>105.48</v>
      </c>
      <c r="D354" s="1347">
        <v>137.37</v>
      </c>
      <c r="E354" s="1347">
        <v>0</v>
      </c>
      <c r="F354" s="1348"/>
      <c r="G354" s="1452">
        <f t="shared" si="78"/>
        <v>242.85000000000002</v>
      </c>
    </row>
    <row r="355" spans="1:7" ht="15.75" x14ac:dyDescent="0.25">
      <c r="A355" s="1411" t="s">
        <v>714</v>
      </c>
      <c r="B355" s="1634" t="s">
        <v>1064</v>
      </c>
      <c r="C355" s="1347">
        <v>52.989336981779488</v>
      </c>
      <c r="D355" s="1347">
        <v>108.58470692987599</v>
      </c>
      <c r="E355" s="1347">
        <v>86.867765543900802</v>
      </c>
      <c r="F355" s="1348"/>
      <c r="G355" s="1452">
        <f t="shared" si="78"/>
        <v>248.44180945555627</v>
      </c>
    </row>
    <row r="356" spans="1:7" ht="15.75" x14ac:dyDescent="0.25">
      <c r="A356" s="1380" t="s">
        <v>135</v>
      </c>
      <c r="B356" s="1636" t="s">
        <v>1116</v>
      </c>
      <c r="C356" s="1347">
        <v>44.639173018872022</v>
      </c>
      <c r="D356" s="1347">
        <v>206.57154646339612</v>
      </c>
      <c r="E356" s="1347">
        <v>0</v>
      </c>
      <c r="F356" s="1348"/>
      <c r="G356" s="1452">
        <f t="shared" si="78"/>
        <v>251.21071948226813</v>
      </c>
    </row>
    <row r="357" spans="1:7" ht="15.75" x14ac:dyDescent="0.25">
      <c r="A357" s="1382" t="s">
        <v>134</v>
      </c>
      <c r="B357" s="1636" t="s">
        <v>1116</v>
      </c>
      <c r="C357" s="1347">
        <v>53.032770864551445</v>
      </c>
      <c r="D357" s="1347">
        <v>199.22036180424348</v>
      </c>
      <c r="E357" s="1347">
        <v>0</v>
      </c>
      <c r="F357" s="1348"/>
      <c r="G357" s="1452">
        <f t="shared" si="78"/>
        <v>252.25313266879493</v>
      </c>
    </row>
    <row r="358" spans="1:7" ht="15.75" x14ac:dyDescent="0.25">
      <c r="A358" s="1382" t="s">
        <v>126</v>
      </c>
      <c r="B358" s="1636" t="s">
        <v>1112</v>
      </c>
      <c r="C358" s="1347">
        <v>35.438980621423653</v>
      </c>
      <c r="D358" s="1347">
        <v>225.04881324560114</v>
      </c>
      <c r="E358" s="1347">
        <v>0</v>
      </c>
      <c r="F358" s="1348"/>
      <c r="G358" s="1452">
        <f t="shared" si="78"/>
        <v>260.48779386702478</v>
      </c>
    </row>
    <row r="359" spans="1:7" ht="15.75" x14ac:dyDescent="0.25">
      <c r="A359" s="1382" t="s">
        <v>136</v>
      </c>
      <c r="B359" s="1636" t="s">
        <v>1116</v>
      </c>
      <c r="C359" s="1347">
        <v>40.328360153755945</v>
      </c>
      <c r="D359" s="1347">
        <v>226.44254783156339</v>
      </c>
      <c r="E359" s="1347">
        <v>0</v>
      </c>
      <c r="F359" s="1348"/>
      <c r="G359" s="1452">
        <f t="shared" si="78"/>
        <v>266.77090798531935</v>
      </c>
    </row>
    <row r="360" spans="1:7" ht="15.75" x14ac:dyDescent="0.25">
      <c r="A360" s="1358" t="s">
        <v>71</v>
      </c>
      <c r="B360" s="1635" t="s">
        <v>1032</v>
      </c>
      <c r="C360" s="1347">
        <v>73.663865181227877</v>
      </c>
      <c r="D360" s="1347">
        <v>195.30045388407498</v>
      </c>
      <c r="E360" s="1347">
        <v>0</v>
      </c>
      <c r="F360" s="1348"/>
      <c r="G360" s="1452">
        <f t="shared" si="78"/>
        <v>268.96431906530285</v>
      </c>
    </row>
    <row r="361" spans="1:7" ht="15.75" x14ac:dyDescent="0.25">
      <c r="A361" s="1382" t="s">
        <v>116</v>
      </c>
      <c r="B361" s="1636" t="s">
        <v>1076</v>
      </c>
      <c r="C361" s="1347">
        <v>131.66432181154147</v>
      </c>
      <c r="D361" s="1347">
        <v>139.64397767890762</v>
      </c>
      <c r="E361" s="1347">
        <v>0</v>
      </c>
      <c r="F361" s="1348"/>
      <c r="G361" s="1452">
        <f t="shared" si="78"/>
        <v>271.30829949044909</v>
      </c>
    </row>
    <row r="362" spans="1:7" ht="15.75" x14ac:dyDescent="0.25">
      <c r="A362" s="1358" t="s">
        <v>70</v>
      </c>
      <c r="B362" s="1635" t="s">
        <v>1032</v>
      </c>
      <c r="C362" s="1347">
        <v>57.75620561600104</v>
      </c>
      <c r="D362" s="1347">
        <v>214.45479618650509</v>
      </c>
      <c r="E362" s="1347">
        <v>0</v>
      </c>
      <c r="F362" s="1348"/>
      <c r="G362" s="1452">
        <f t="shared" si="78"/>
        <v>272.21100180250613</v>
      </c>
    </row>
    <row r="363" spans="1:7" ht="15.75" x14ac:dyDescent="0.25">
      <c r="A363" s="1368" t="s">
        <v>183</v>
      </c>
      <c r="B363" s="1634" t="s">
        <v>1106</v>
      </c>
      <c r="C363" s="1347">
        <v>64.890220861293898</v>
      </c>
      <c r="D363" s="1347">
        <v>198.49284426781333</v>
      </c>
      <c r="E363" s="1347">
        <v>9.1754077355745203</v>
      </c>
      <c r="F363" s="1348"/>
      <c r="G363" s="1452">
        <f t="shared" si="78"/>
        <v>272.55847286468173</v>
      </c>
    </row>
    <row r="364" spans="1:7" ht="15.75" x14ac:dyDescent="0.25">
      <c r="A364" s="1358" t="s">
        <v>552</v>
      </c>
      <c r="B364" s="1635" t="s">
        <v>1040</v>
      </c>
      <c r="C364" s="1347">
        <v>136.91002870276452</v>
      </c>
      <c r="D364" s="1347">
        <v>135.81659005402452</v>
      </c>
      <c r="E364" s="1347">
        <v>0</v>
      </c>
      <c r="F364" s="1348"/>
      <c r="G364" s="1452">
        <f t="shared" si="78"/>
        <v>272.72661875678904</v>
      </c>
    </row>
    <row r="365" spans="1:7" ht="15.75" x14ac:dyDescent="0.25">
      <c r="A365" s="1380" t="s">
        <v>91</v>
      </c>
      <c r="B365" s="1636" t="s">
        <v>1056</v>
      </c>
      <c r="C365" s="1347">
        <v>41.902838404239155</v>
      </c>
      <c r="D365" s="1347">
        <v>234.54296696853217</v>
      </c>
      <c r="E365" s="1347">
        <v>0</v>
      </c>
      <c r="F365" s="1348"/>
      <c r="G365" s="1452">
        <f t="shared" si="78"/>
        <v>276.4458053727713</v>
      </c>
    </row>
    <row r="366" spans="1:7" ht="15.75" x14ac:dyDescent="0.25">
      <c r="A366" s="1380" t="s">
        <v>92</v>
      </c>
      <c r="B366" s="1636" t="s">
        <v>1056</v>
      </c>
      <c r="C366" s="1347">
        <v>41.902838404239155</v>
      </c>
      <c r="D366" s="1347">
        <v>234.54296696853217</v>
      </c>
      <c r="E366" s="1347">
        <v>0</v>
      </c>
      <c r="F366" s="1348"/>
      <c r="G366" s="1452">
        <f t="shared" si="78"/>
        <v>276.4458053727713</v>
      </c>
    </row>
    <row r="367" spans="1:7" ht="15.75" x14ac:dyDescent="0.25">
      <c r="A367" s="1380" t="s">
        <v>195</v>
      </c>
      <c r="B367" s="1636" t="s">
        <v>1056</v>
      </c>
      <c r="C367" s="1347">
        <v>41.902838404239155</v>
      </c>
      <c r="D367" s="1347">
        <v>234.54296696853217</v>
      </c>
      <c r="E367" s="1347">
        <v>0</v>
      </c>
      <c r="F367" s="1348"/>
      <c r="G367" s="1452">
        <f t="shared" si="78"/>
        <v>276.4458053727713</v>
      </c>
    </row>
    <row r="368" spans="1:7" ht="15.75" x14ac:dyDescent="0.25">
      <c r="A368" s="1380" t="s">
        <v>125</v>
      </c>
      <c r="B368" s="1636" t="s">
        <v>1112</v>
      </c>
      <c r="C368" s="1347">
        <v>277.53010620407883</v>
      </c>
      <c r="D368" s="1347">
        <v>0</v>
      </c>
      <c r="E368" s="1347">
        <v>0</v>
      </c>
      <c r="F368" s="1348"/>
      <c r="G368" s="1452">
        <f t="shared" si="78"/>
        <v>277.53010620407883</v>
      </c>
    </row>
    <row r="369" spans="1:7" ht="15.75" x14ac:dyDescent="0.25">
      <c r="A369" s="1380" t="s">
        <v>86</v>
      </c>
      <c r="B369" s="1636" t="s">
        <v>1050</v>
      </c>
      <c r="C369" s="1347">
        <v>52.12065932634048</v>
      </c>
      <c r="D369" s="1347">
        <v>226.50769865572133</v>
      </c>
      <c r="E369" s="1347">
        <v>0</v>
      </c>
      <c r="F369" s="1348"/>
      <c r="G369" s="1452">
        <f t="shared" si="78"/>
        <v>278.6283579820618</v>
      </c>
    </row>
    <row r="370" spans="1:7" ht="15.75" x14ac:dyDescent="0.25">
      <c r="A370" s="1380" t="s">
        <v>128</v>
      </c>
      <c r="B370" s="1636" t="s">
        <v>1114</v>
      </c>
      <c r="C370" s="1347">
        <v>0</v>
      </c>
      <c r="D370" s="1347">
        <v>278.84685943031235</v>
      </c>
      <c r="E370" s="1347">
        <v>0</v>
      </c>
      <c r="F370" s="1348"/>
      <c r="G370" s="1452">
        <f t="shared" si="78"/>
        <v>278.84685943031235</v>
      </c>
    </row>
    <row r="371" spans="1:7" ht="15.75" x14ac:dyDescent="0.25">
      <c r="A371" s="1380" t="s">
        <v>1347</v>
      </c>
      <c r="B371" s="1636" t="s">
        <v>1050</v>
      </c>
      <c r="C371" s="1347">
        <v>45.605576910547917</v>
      </c>
      <c r="D371" s="1347">
        <v>238.8863552457272</v>
      </c>
      <c r="E371" s="1347">
        <v>0</v>
      </c>
      <c r="F371" s="1348"/>
      <c r="G371" s="1452">
        <f t="shared" si="78"/>
        <v>284.49193215627514</v>
      </c>
    </row>
    <row r="372" spans="1:7" ht="15.75" x14ac:dyDescent="0.25">
      <c r="A372" s="1638" t="s">
        <v>722</v>
      </c>
      <c r="B372" s="1635" t="s">
        <v>1040</v>
      </c>
      <c r="C372" s="1347">
        <v>75.965211386149292</v>
      </c>
      <c r="D372" s="1347">
        <v>208.61658429908425</v>
      </c>
      <c r="E372" s="1347">
        <v>0</v>
      </c>
      <c r="F372" s="1348"/>
      <c r="G372" s="1452">
        <f t="shared" si="78"/>
        <v>284.58179568523354</v>
      </c>
    </row>
    <row r="373" spans="1:7" ht="15.75" x14ac:dyDescent="0.25">
      <c r="A373" s="1639" t="s">
        <v>212</v>
      </c>
      <c r="B373" s="1637" t="s">
        <v>1151</v>
      </c>
      <c r="C373" s="1347">
        <v>42</v>
      </c>
      <c r="D373" s="1347">
        <v>244.71</v>
      </c>
      <c r="E373" s="1347">
        <v>0</v>
      </c>
      <c r="F373" s="1348"/>
      <c r="G373" s="1452">
        <f t="shared" si="78"/>
        <v>286.71000000000004</v>
      </c>
    </row>
    <row r="374" spans="1:7" ht="15.75" x14ac:dyDescent="0.25">
      <c r="A374" s="1640" t="s">
        <v>549</v>
      </c>
      <c r="B374" s="1635" t="s">
        <v>1040</v>
      </c>
      <c r="C374" s="1347">
        <v>93.661652674968167</v>
      </c>
      <c r="D374" s="1347">
        <v>208.61658429908425</v>
      </c>
      <c r="E374" s="1347">
        <v>0</v>
      </c>
      <c r="F374" s="1348"/>
      <c r="G374" s="1452">
        <f t="shared" si="78"/>
        <v>302.27823697405245</v>
      </c>
    </row>
    <row r="375" spans="1:7" ht="15.75" x14ac:dyDescent="0.25">
      <c r="A375" s="1641" t="s">
        <v>631</v>
      </c>
      <c r="B375" s="1636" t="s">
        <v>1058</v>
      </c>
      <c r="C375" s="1347">
        <v>11.890025408821421</v>
      </c>
      <c r="D375" s="1347">
        <v>201.96755488956936</v>
      </c>
      <c r="E375" s="1347">
        <v>95.554542098290881</v>
      </c>
      <c r="F375" s="1348"/>
      <c r="G375" s="1452">
        <f t="shared" si="78"/>
        <v>309.41212239668164</v>
      </c>
    </row>
    <row r="376" spans="1:7" ht="15.75" x14ac:dyDescent="0.25">
      <c r="A376" s="1641" t="s">
        <v>1348</v>
      </c>
      <c r="B376" s="1636" t="s">
        <v>1050</v>
      </c>
      <c r="C376" s="1347">
        <v>71.665906573718161</v>
      </c>
      <c r="D376" s="1347">
        <v>238.8863552457272</v>
      </c>
      <c r="E376" s="1347">
        <v>0</v>
      </c>
      <c r="F376" s="1348"/>
      <c r="G376" s="1452">
        <f t="shared" si="78"/>
        <v>310.55226181944533</v>
      </c>
    </row>
    <row r="377" spans="1:7" ht="15.75" x14ac:dyDescent="0.25">
      <c r="A377" s="1641" t="s">
        <v>93</v>
      </c>
      <c r="B377" s="1636" t="s">
        <v>1056</v>
      </c>
      <c r="C377" s="1347">
        <v>45.540426086389992</v>
      </c>
      <c r="D377" s="1347">
        <v>267.11837904749495</v>
      </c>
      <c r="E377" s="1347">
        <v>0</v>
      </c>
      <c r="F377" s="1348"/>
      <c r="G377" s="1452">
        <f t="shared" si="78"/>
        <v>312.65880513388493</v>
      </c>
    </row>
    <row r="378" spans="1:7" ht="15.75" x14ac:dyDescent="0.25">
      <c r="A378" s="1642" t="s">
        <v>182</v>
      </c>
      <c r="B378" s="1634" t="s">
        <v>1106</v>
      </c>
      <c r="C378" s="1347">
        <v>45.76845397094273</v>
      </c>
      <c r="D378" s="1347">
        <v>269.29007318609246</v>
      </c>
      <c r="E378" s="1347">
        <v>0</v>
      </c>
      <c r="F378" s="1348"/>
      <c r="G378" s="1452">
        <f t="shared" si="78"/>
        <v>315.0585271570352</v>
      </c>
    </row>
    <row r="379" spans="1:7" ht="15.75" x14ac:dyDescent="0.25">
      <c r="A379" s="1642" t="s">
        <v>184</v>
      </c>
      <c r="B379" s="1634" t="s">
        <v>1106</v>
      </c>
      <c r="C379" s="1347">
        <v>66.432123699698138</v>
      </c>
      <c r="D379" s="1347">
        <v>230.19957869133711</v>
      </c>
      <c r="E379" s="1347">
        <v>20.30534019588681</v>
      </c>
      <c r="F379" s="1348"/>
      <c r="G379" s="1452">
        <f t="shared" si="78"/>
        <v>316.93704258692202</v>
      </c>
    </row>
    <row r="380" spans="1:7" ht="15.75" x14ac:dyDescent="0.25">
      <c r="A380" s="1641" t="s">
        <v>85</v>
      </c>
      <c r="B380" s="1636" t="s">
        <v>1050</v>
      </c>
      <c r="C380" s="1347">
        <v>71.665906573718161</v>
      </c>
      <c r="D380" s="1347">
        <v>247.57313180011727</v>
      </c>
      <c r="E380" s="1347">
        <v>0</v>
      </c>
      <c r="F380" s="1348"/>
      <c r="G380" s="1452">
        <f t="shared" si="78"/>
        <v>319.23903837383546</v>
      </c>
    </row>
    <row r="381" spans="1:7" ht="15.75" x14ac:dyDescent="0.25">
      <c r="A381" s="1641" t="s">
        <v>94</v>
      </c>
      <c r="B381" s="1636" t="s">
        <v>1056</v>
      </c>
      <c r="C381" s="1347">
        <v>83.523356570460621</v>
      </c>
      <c r="D381" s="1347">
        <v>236.71466110712967</v>
      </c>
      <c r="E381" s="1347">
        <v>0</v>
      </c>
      <c r="F381" s="1348"/>
      <c r="G381" s="1452">
        <f t="shared" si="78"/>
        <v>320.23801767759028</v>
      </c>
    </row>
    <row r="382" spans="1:7" ht="15.75" x14ac:dyDescent="0.25">
      <c r="A382" s="1641" t="s">
        <v>117</v>
      </c>
      <c r="B382" s="1636" t="s">
        <v>1076</v>
      </c>
      <c r="C382" s="1347">
        <v>124.68212292759608</v>
      </c>
      <c r="D382" s="1347">
        <v>201.58605634933735</v>
      </c>
      <c r="E382" s="1347">
        <v>0</v>
      </c>
      <c r="F382" s="1348"/>
      <c r="G382" s="1452">
        <f t="shared" si="78"/>
        <v>326.26817927693344</v>
      </c>
    </row>
    <row r="383" spans="1:7" ht="15.75" x14ac:dyDescent="0.25">
      <c r="A383" s="1641" t="s">
        <v>172</v>
      </c>
      <c r="B383" s="1636" t="s">
        <v>1151</v>
      </c>
      <c r="C383" s="1347">
        <v>0</v>
      </c>
      <c r="D383" s="1347">
        <v>330.11</v>
      </c>
      <c r="E383" s="1347">
        <v>0</v>
      </c>
      <c r="F383" s="1348"/>
      <c r="G383" s="1452">
        <f t="shared" si="78"/>
        <v>330.11</v>
      </c>
    </row>
    <row r="384" spans="1:7" ht="15.75" x14ac:dyDescent="0.25">
      <c r="A384" s="1640" t="s">
        <v>67</v>
      </c>
      <c r="B384" s="1635" t="s">
        <v>1032</v>
      </c>
      <c r="C384" s="1347">
        <v>57.75620561600104</v>
      </c>
      <c r="D384" s="1347">
        <v>276.8910026711838</v>
      </c>
      <c r="E384" s="1347">
        <v>0</v>
      </c>
      <c r="F384" s="1348"/>
      <c r="G384" s="1452">
        <f t="shared" si="78"/>
        <v>334.64720828718487</v>
      </c>
    </row>
    <row r="385" spans="1:7" ht="15.75" x14ac:dyDescent="0.25">
      <c r="A385" s="1641" t="s">
        <v>630</v>
      </c>
      <c r="B385" s="1636" t="s">
        <v>1058</v>
      </c>
      <c r="C385" s="1347">
        <v>30.794622885312833</v>
      </c>
      <c r="D385" s="1347">
        <v>217.16941385975198</v>
      </c>
      <c r="E385" s="1347">
        <v>86.867765543900802</v>
      </c>
      <c r="F385" s="1348"/>
      <c r="G385" s="1452">
        <f t="shared" si="78"/>
        <v>334.8318022889656</v>
      </c>
    </row>
    <row r="386" spans="1:7" ht="15.75" x14ac:dyDescent="0.25">
      <c r="A386" s="1641" t="s">
        <v>101</v>
      </c>
      <c r="B386" s="1636" t="s">
        <v>1058</v>
      </c>
      <c r="C386" s="1347">
        <v>22.824505396659934</v>
      </c>
      <c r="D386" s="1347">
        <v>214.99771972115448</v>
      </c>
      <c r="E386" s="1347">
        <v>106.41301279127848</v>
      </c>
      <c r="F386" s="1348"/>
      <c r="G386" s="1452">
        <f t="shared" si="78"/>
        <v>344.23523790909292</v>
      </c>
    </row>
    <row r="387" spans="1:7" ht="15.75" x14ac:dyDescent="0.25">
      <c r="A387" s="1641" t="s">
        <v>603</v>
      </c>
      <c r="B387" s="1636" t="s">
        <v>1137</v>
      </c>
      <c r="C387" s="1347">
        <v>107.83824263604592</v>
      </c>
      <c r="D387" s="1347">
        <v>239.64053919121318</v>
      </c>
      <c r="E387" s="1347">
        <v>0</v>
      </c>
      <c r="F387" s="1348"/>
      <c r="G387" s="1452">
        <f t="shared" si="78"/>
        <v>347.47878182725913</v>
      </c>
    </row>
    <row r="388" spans="1:7" ht="15.75" x14ac:dyDescent="0.25">
      <c r="A388" s="1641" t="s">
        <v>130</v>
      </c>
      <c r="B388" s="1636" t="s">
        <v>1114</v>
      </c>
      <c r="C388" s="1347">
        <v>21.680216802168019</v>
      </c>
      <c r="D388" s="1347">
        <v>326.92390415967651</v>
      </c>
      <c r="E388" s="1347">
        <v>0</v>
      </c>
      <c r="F388" s="1348"/>
      <c r="G388" s="1452">
        <f t="shared" si="78"/>
        <v>348.6041209618445</v>
      </c>
    </row>
    <row r="389" spans="1:7" ht="15.75" x14ac:dyDescent="0.25">
      <c r="A389" s="1638" t="s">
        <v>69</v>
      </c>
      <c r="B389" s="1635" t="s">
        <v>1032</v>
      </c>
      <c r="C389" s="1347">
        <v>57.75620561600104</v>
      </c>
      <c r="D389" s="1347">
        <v>291.82139987404173</v>
      </c>
      <c r="E389" s="1347">
        <v>0</v>
      </c>
      <c r="F389" s="1348"/>
      <c r="G389" s="1452">
        <f t="shared" si="78"/>
        <v>349.57760549004274</v>
      </c>
    </row>
    <row r="390" spans="1:7" ht="15.75" x14ac:dyDescent="0.25">
      <c r="A390" s="1643" t="s">
        <v>171</v>
      </c>
      <c r="B390" s="1636" t="s">
        <v>1151</v>
      </c>
      <c r="C390" s="1347">
        <v>46.32</v>
      </c>
      <c r="D390" s="1347">
        <v>236.58</v>
      </c>
      <c r="E390" s="1347">
        <v>75.599999999999994</v>
      </c>
      <c r="F390" s="1348"/>
      <c r="G390" s="1452">
        <f t="shared" si="78"/>
        <v>358.5</v>
      </c>
    </row>
    <row r="391" spans="1:7" ht="15.75" x14ac:dyDescent="0.25">
      <c r="A391" s="1643" t="s">
        <v>99</v>
      </c>
      <c r="B391" s="1636" t="s">
        <v>1058</v>
      </c>
      <c r="C391" s="1347">
        <v>19.990444545790172</v>
      </c>
      <c r="D391" s="1347">
        <v>243.22974352292226</v>
      </c>
      <c r="E391" s="1347">
        <v>97.726236236888397</v>
      </c>
      <c r="F391" s="1348"/>
      <c r="G391" s="1452">
        <f t="shared" si="78"/>
        <v>360.94642430560083</v>
      </c>
    </row>
    <row r="392" spans="1:7" ht="15.75" x14ac:dyDescent="0.25">
      <c r="A392" s="1643" t="s">
        <v>161</v>
      </c>
      <c r="B392" s="1636" t="s">
        <v>1137</v>
      </c>
      <c r="C392" s="1347">
        <v>69.895157264103844</v>
      </c>
      <c r="D392" s="1347">
        <v>291.56265601597602</v>
      </c>
      <c r="E392" s="1347">
        <v>0</v>
      </c>
      <c r="F392" s="1348"/>
      <c r="G392" s="1452">
        <f t="shared" si="78"/>
        <v>361.45781328007985</v>
      </c>
    </row>
    <row r="393" spans="1:7" ht="15.75" x14ac:dyDescent="0.25">
      <c r="A393" s="1643" t="s">
        <v>635</v>
      </c>
      <c r="B393" s="1636" t="s">
        <v>1058</v>
      </c>
      <c r="C393" s="1347">
        <v>6.667101005494386</v>
      </c>
      <c r="D393" s="1347">
        <v>286.66362629487264</v>
      </c>
      <c r="E393" s="1347">
        <v>82.524377266705756</v>
      </c>
      <c r="F393" s="1348"/>
      <c r="G393" s="1452">
        <f t="shared" si="78"/>
        <v>375.85510456707277</v>
      </c>
    </row>
    <row r="394" spans="1:7" ht="15.75" x14ac:dyDescent="0.25">
      <c r="A394" s="1643" t="s">
        <v>97</v>
      </c>
      <c r="B394" s="1636" t="s">
        <v>1058</v>
      </c>
      <c r="C394" s="1347">
        <v>59.623862575194906</v>
      </c>
      <c r="D394" s="1347">
        <v>232.37127282993464</v>
      </c>
      <c r="E394" s="1347">
        <v>86.867765543900802</v>
      </c>
      <c r="F394" s="1348"/>
      <c r="G394" s="1452">
        <f t="shared" si="78"/>
        <v>378.86290094903035</v>
      </c>
    </row>
    <row r="395" spans="1:7" ht="15.75" x14ac:dyDescent="0.25">
      <c r="A395" s="1644" t="s">
        <v>179</v>
      </c>
      <c r="B395" s="1634" t="s">
        <v>1028</v>
      </c>
      <c r="C395" s="1347">
        <v>157.86127209875099</v>
      </c>
      <c r="D395" s="1347">
        <v>230.21435514401188</v>
      </c>
      <c r="E395" s="1347">
        <v>0</v>
      </c>
      <c r="F395" s="1348"/>
      <c r="G395" s="1452">
        <f t="shared" si="78"/>
        <v>388.07562724276283</v>
      </c>
    </row>
    <row r="396" spans="1:7" ht="15.75" x14ac:dyDescent="0.25">
      <c r="A396" s="1638" t="s">
        <v>548</v>
      </c>
      <c r="B396" s="1635" t="s">
        <v>1040</v>
      </c>
      <c r="C396" s="1347">
        <v>136.39208407967715</v>
      </c>
      <c r="D396" s="1347">
        <v>254.6273316500133</v>
      </c>
      <c r="E396" s="1347">
        <v>0</v>
      </c>
      <c r="F396" s="1348"/>
      <c r="G396" s="1452">
        <f t="shared" si="78"/>
        <v>391.01941572969042</v>
      </c>
    </row>
    <row r="397" spans="1:7" ht="15.75" x14ac:dyDescent="0.25">
      <c r="A397" s="1643" t="s">
        <v>95</v>
      </c>
      <c r="B397" s="1636" t="s">
        <v>1056</v>
      </c>
      <c r="C397" s="1347">
        <v>117.27148348426608</v>
      </c>
      <c r="D397" s="1347">
        <v>275.80515560188502</v>
      </c>
      <c r="E397" s="1347">
        <v>0</v>
      </c>
      <c r="F397" s="1348"/>
      <c r="G397" s="1452">
        <f t="shared" si="78"/>
        <v>393.07663908615109</v>
      </c>
    </row>
    <row r="398" spans="1:7" ht="15.75" x14ac:dyDescent="0.25">
      <c r="A398" s="1643" t="s">
        <v>151</v>
      </c>
      <c r="B398" s="1636" t="s">
        <v>1133</v>
      </c>
      <c r="C398" s="1347">
        <v>90.429343931200734</v>
      </c>
      <c r="D398" s="1347">
        <v>302.95133233435405</v>
      </c>
      <c r="E398" s="1347">
        <v>0</v>
      </c>
      <c r="F398" s="1348"/>
      <c r="G398" s="1452">
        <f t="shared" si="78"/>
        <v>393.38067626555477</v>
      </c>
    </row>
    <row r="399" spans="1:7" ht="15.75" x14ac:dyDescent="0.25">
      <c r="A399" s="1643" t="s">
        <v>100</v>
      </c>
      <c r="B399" s="1636" t="s">
        <v>1058</v>
      </c>
      <c r="C399" s="1347">
        <v>66.193237344452413</v>
      </c>
      <c r="D399" s="1347">
        <v>256.25990835450733</v>
      </c>
      <c r="E399" s="1347">
        <v>76.009294850913193</v>
      </c>
      <c r="F399" s="1348"/>
      <c r="G399" s="1452">
        <f t="shared" si="78"/>
        <v>398.46244054987295</v>
      </c>
    </row>
    <row r="400" spans="1:7" ht="15.75" x14ac:dyDescent="0.25">
      <c r="A400" s="1643" t="s">
        <v>634</v>
      </c>
      <c r="B400" s="1636" t="s">
        <v>1058</v>
      </c>
      <c r="C400" s="1347">
        <v>20.631094316676439</v>
      </c>
      <c r="D400" s="1347">
        <v>308.38056768084783</v>
      </c>
      <c r="E400" s="1347">
        <v>73.837600712315677</v>
      </c>
      <c r="F400" s="1348"/>
      <c r="G400" s="1452">
        <f t="shared" si="78"/>
        <v>402.84926270983993</v>
      </c>
    </row>
    <row r="401" spans="1:7" ht="15.75" x14ac:dyDescent="0.25">
      <c r="A401" s="1643" t="s">
        <v>167</v>
      </c>
      <c r="B401" s="1636" t="s">
        <v>1149</v>
      </c>
      <c r="C401" s="1347">
        <v>31.31677842458183</v>
      </c>
      <c r="D401" s="1347">
        <v>372.23491268145312</v>
      </c>
      <c r="E401" s="1347">
        <v>0</v>
      </c>
      <c r="F401" s="1348"/>
      <c r="G401" s="1452">
        <f t="shared" si="78"/>
        <v>403.55169110603498</v>
      </c>
    </row>
    <row r="402" spans="1:7" ht="15.75" x14ac:dyDescent="0.25">
      <c r="A402" s="1643" t="s">
        <v>169</v>
      </c>
      <c r="B402" s="1636" t="s">
        <v>1149</v>
      </c>
      <c r="C402" s="1347">
        <v>32.996831478888808</v>
      </c>
      <c r="D402" s="1347">
        <v>373.14862574607616</v>
      </c>
      <c r="E402" s="1347">
        <v>0</v>
      </c>
      <c r="F402" s="1348"/>
      <c r="G402" s="1452">
        <f t="shared" si="78"/>
        <v>406.14545722496496</v>
      </c>
    </row>
    <row r="403" spans="1:7" ht="15.75" x14ac:dyDescent="0.25">
      <c r="A403" s="1640" t="s">
        <v>723</v>
      </c>
      <c r="B403" s="1635" t="s">
        <v>1040</v>
      </c>
      <c r="C403" s="1347">
        <v>408.60075821337881</v>
      </c>
      <c r="D403" s="1347">
        <v>0</v>
      </c>
      <c r="E403" s="1347">
        <v>0</v>
      </c>
      <c r="F403" s="1348"/>
      <c r="G403" s="1452">
        <f t="shared" si="78"/>
        <v>408.60075821337881</v>
      </c>
    </row>
    <row r="404" spans="1:7" ht="15.75" x14ac:dyDescent="0.25">
      <c r="A404" s="1642" t="s">
        <v>180</v>
      </c>
      <c r="B404" s="1634" t="s">
        <v>1028</v>
      </c>
      <c r="C404" s="1347">
        <v>83.315671385451921</v>
      </c>
      <c r="D404" s="1347">
        <v>325.95429331501362</v>
      </c>
      <c r="E404" s="1347">
        <v>0</v>
      </c>
      <c r="F404" s="1348"/>
      <c r="G404" s="1452">
        <f t="shared" si="78"/>
        <v>409.26996470046555</v>
      </c>
    </row>
    <row r="405" spans="1:7" ht="15.75" x14ac:dyDescent="0.25">
      <c r="A405" s="1640" t="s">
        <v>728</v>
      </c>
      <c r="B405" s="1635" t="s">
        <v>1042</v>
      </c>
      <c r="C405" s="1347">
        <v>15.456467891895299</v>
      </c>
      <c r="D405" s="1347">
        <v>399.89215632775705</v>
      </c>
      <c r="E405" s="1347">
        <v>0</v>
      </c>
      <c r="F405" s="1348"/>
      <c r="G405" s="1452">
        <f t="shared" si="78"/>
        <v>415.34862421965232</v>
      </c>
    </row>
    <row r="406" spans="1:7" ht="15.75" x14ac:dyDescent="0.25">
      <c r="A406" s="1641" t="s">
        <v>98</v>
      </c>
      <c r="B406" s="1636" t="s">
        <v>1058</v>
      </c>
      <c r="C406" s="1347">
        <v>0</v>
      </c>
      <c r="D406" s="1347">
        <v>321.41073251243296</v>
      </c>
      <c r="E406" s="1347">
        <v>104.24131865268096</v>
      </c>
      <c r="F406" s="1348"/>
      <c r="G406" s="1452">
        <f t="shared" si="78"/>
        <v>425.6520511651139</v>
      </c>
    </row>
    <row r="407" spans="1:7" ht="15.75" x14ac:dyDescent="0.25">
      <c r="A407" s="1641" t="s">
        <v>89</v>
      </c>
      <c r="B407" s="1636" t="s">
        <v>1054</v>
      </c>
      <c r="C407" s="1347">
        <v>96.32243279618784</v>
      </c>
      <c r="D407" s="1347">
        <v>141.25350114582955</v>
      </c>
      <c r="E407" s="1347">
        <v>190.02582663417118</v>
      </c>
      <c r="F407" s="1348"/>
      <c r="G407" s="1452">
        <f t="shared" si="78"/>
        <v>427.60176057618855</v>
      </c>
    </row>
    <row r="408" spans="1:7" ht="15.75" x14ac:dyDescent="0.25">
      <c r="A408" s="1644" t="s">
        <v>178</v>
      </c>
      <c r="B408" s="1634" t="s">
        <v>1028</v>
      </c>
      <c r="C408" s="1347">
        <v>114.01091873798683</v>
      </c>
      <c r="D408" s="1347">
        <v>317.91506186554022</v>
      </c>
      <c r="E408" s="1347">
        <v>0</v>
      </c>
      <c r="F408" s="1348"/>
      <c r="G408" s="1452">
        <f t="shared" si="78"/>
        <v>431.92598060352702</v>
      </c>
    </row>
    <row r="409" spans="1:7" ht="15.75" x14ac:dyDescent="0.25">
      <c r="A409" s="1638" t="s">
        <v>68</v>
      </c>
      <c r="B409" s="1635" t="s">
        <v>1032</v>
      </c>
      <c r="C409" s="1347">
        <v>25.84316024931049</v>
      </c>
      <c r="D409" s="1347">
        <v>406.19367168328012</v>
      </c>
      <c r="E409" s="1347">
        <v>0</v>
      </c>
      <c r="F409" s="1348"/>
      <c r="G409" s="1452">
        <f t="shared" si="78"/>
        <v>432.03683193259059</v>
      </c>
    </row>
    <row r="410" spans="1:7" ht="15.75" x14ac:dyDescent="0.25">
      <c r="A410" s="1643" t="s">
        <v>166</v>
      </c>
      <c r="B410" s="1636" t="s">
        <v>1149</v>
      </c>
      <c r="C410" s="1347">
        <v>50.696337779087763</v>
      </c>
      <c r="D410" s="1347">
        <v>385.49848942598186</v>
      </c>
      <c r="E410" s="1347">
        <v>0</v>
      </c>
      <c r="F410" s="1348"/>
      <c r="G410" s="1452">
        <f t="shared" si="78"/>
        <v>436.1948272050696</v>
      </c>
    </row>
    <row r="411" spans="1:7" ht="15.75" x14ac:dyDescent="0.25">
      <c r="A411" s="1643" t="s">
        <v>170</v>
      </c>
      <c r="B411" s="1636" t="s">
        <v>1151</v>
      </c>
      <c r="C411" s="1347">
        <v>178.85</v>
      </c>
      <c r="D411" s="1347">
        <v>269.10000000000002</v>
      </c>
      <c r="E411" s="1347">
        <v>0</v>
      </c>
      <c r="F411" s="1348"/>
      <c r="G411" s="1452">
        <f t="shared" si="78"/>
        <v>447.95000000000005</v>
      </c>
    </row>
    <row r="412" spans="1:7" ht="15.75" x14ac:dyDescent="0.25">
      <c r="A412" s="1643" t="s">
        <v>160</v>
      </c>
      <c r="B412" s="1636" t="s">
        <v>1137</v>
      </c>
      <c r="C412" s="1347">
        <v>197.70344483275088</v>
      </c>
      <c r="D412" s="1347">
        <v>257.61357963055417</v>
      </c>
      <c r="E412" s="1347">
        <v>0</v>
      </c>
      <c r="F412" s="1348"/>
      <c r="G412" s="1452">
        <f t="shared" si="78"/>
        <v>455.31702446330507</v>
      </c>
    </row>
    <row r="413" spans="1:7" ht="15.75" x14ac:dyDescent="0.25">
      <c r="A413" s="1641" t="s">
        <v>87</v>
      </c>
      <c r="B413" s="1636" t="s">
        <v>1054</v>
      </c>
      <c r="C413" s="1347">
        <v>141.87043032265103</v>
      </c>
      <c r="D413" s="1347">
        <v>127.9837037575934</v>
      </c>
      <c r="E413" s="1347">
        <v>190.02582663417118</v>
      </c>
      <c r="F413" s="1348"/>
      <c r="G413" s="1452">
        <f t="shared" ref="G413:G429" si="79">SUM(C413:E413)</f>
        <v>459.87996071441557</v>
      </c>
    </row>
    <row r="414" spans="1:7" ht="15.75" x14ac:dyDescent="0.25">
      <c r="A414" s="1642" t="s">
        <v>544</v>
      </c>
      <c r="B414" s="1634" t="s">
        <v>1028</v>
      </c>
      <c r="C414" s="1347">
        <v>75.276439935978487</v>
      </c>
      <c r="D414" s="1347">
        <v>385.88310957472464</v>
      </c>
      <c r="E414" s="1347">
        <v>0</v>
      </c>
      <c r="F414" s="1348"/>
      <c r="G414" s="1452">
        <f t="shared" si="79"/>
        <v>461.15954951070313</v>
      </c>
    </row>
    <row r="415" spans="1:7" ht="15.75" x14ac:dyDescent="0.25">
      <c r="A415" s="1641" t="s">
        <v>632</v>
      </c>
      <c r="B415" s="1636" t="s">
        <v>1058</v>
      </c>
      <c r="C415" s="1347">
        <v>45.76845397094273</v>
      </c>
      <c r="D415" s="1347">
        <v>321.41073251243296</v>
      </c>
      <c r="E415" s="1347">
        <v>99.897930375485913</v>
      </c>
      <c r="F415" s="1348"/>
      <c r="G415" s="1452">
        <f t="shared" si="79"/>
        <v>467.07711685886159</v>
      </c>
    </row>
    <row r="416" spans="1:7" ht="15.75" x14ac:dyDescent="0.25">
      <c r="A416" s="1641" t="s">
        <v>633</v>
      </c>
      <c r="B416" s="1636" t="s">
        <v>1058</v>
      </c>
      <c r="C416" s="1347">
        <v>32.977175494603344</v>
      </c>
      <c r="D416" s="1347">
        <v>327.92581492822552</v>
      </c>
      <c r="E416" s="1347">
        <v>112.92809520707104</v>
      </c>
      <c r="F416" s="1348"/>
      <c r="G416" s="1452">
        <f t="shared" si="79"/>
        <v>473.83108562989992</v>
      </c>
    </row>
    <row r="417" spans="1:7" ht="15.75" x14ac:dyDescent="0.25">
      <c r="A417" s="1641" t="s">
        <v>165</v>
      </c>
      <c r="B417" s="1636" t="s">
        <v>1149</v>
      </c>
      <c r="C417" s="1347">
        <v>43.504531722054381</v>
      </c>
      <c r="D417" s="1347">
        <v>437.37381180458328</v>
      </c>
      <c r="E417" s="1347">
        <v>0</v>
      </c>
      <c r="F417" s="1348"/>
      <c r="G417" s="1452">
        <f t="shared" si="79"/>
        <v>480.87834352663765</v>
      </c>
    </row>
    <row r="418" spans="1:7" ht="15.75" x14ac:dyDescent="0.25">
      <c r="A418" s="1644" t="s">
        <v>715</v>
      </c>
      <c r="B418" s="1634" t="s">
        <v>1064</v>
      </c>
      <c r="C418" s="1347">
        <v>13.03016483158512</v>
      </c>
      <c r="D418" s="1347">
        <v>475.514148587313</v>
      </c>
      <c r="E418" s="1347">
        <v>0</v>
      </c>
      <c r="F418" s="1348"/>
      <c r="G418" s="1452">
        <f t="shared" si="79"/>
        <v>488.54431341889813</v>
      </c>
    </row>
    <row r="419" spans="1:7" ht="15.75" x14ac:dyDescent="0.25">
      <c r="A419" s="1643" t="s">
        <v>88</v>
      </c>
      <c r="B419" s="1636" t="s">
        <v>1054</v>
      </c>
      <c r="C419" s="1347">
        <v>55.872831108362739</v>
      </c>
      <c r="D419" s="1347">
        <v>252.3007529737005</v>
      </c>
      <c r="E419" s="1347">
        <v>190.02582663417118</v>
      </c>
      <c r="F419" s="1348"/>
      <c r="G419" s="1452">
        <f t="shared" si="79"/>
        <v>498.19941071623441</v>
      </c>
    </row>
    <row r="420" spans="1:7" ht="15.75" x14ac:dyDescent="0.25">
      <c r="A420" s="1643" t="s">
        <v>90</v>
      </c>
      <c r="B420" s="1636" t="s">
        <v>1054</v>
      </c>
      <c r="C420" s="1347">
        <v>69.841038885453429</v>
      </c>
      <c r="D420" s="1347">
        <v>254.62878760321561</v>
      </c>
      <c r="E420" s="1347">
        <v>190.02582663417118</v>
      </c>
      <c r="F420" s="1348"/>
      <c r="G420" s="1452">
        <f t="shared" si="79"/>
        <v>514.49565312284017</v>
      </c>
    </row>
    <row r="421" spans="1:7" ht="15.75" x14ac:dyDescent="0.25">
      <c r="A421" s="1643" t="s">
        <v>162</v>
      </c>
      <c r="B421" s="1636" t="s">
        <v>1137</v>
      </c>
      <c r="C421" s="1347">
        <v>135.79630554168747</v>
      </c>
      <c r="D421" s="1347">
        <v>383.42486270594105</v>
      </c>
      <c r="E421" s="1347">
        <v>0</v>
      </c>
      <c r="F421" s="1348"/>
      <c r="G421" s="1452">
        <f t="shared" si="79"/>
        <v>519.2211682476285</v>
      </c>
    </row>
    <row r="422" spans="1:7" ht="15.75" x14ac:dyDescent="0.25">
      <c r="A422" s="1643" t="s">
        <v>163</v>
      </c>
      <c r="B422" s="1636" t="s">
        <v>1137</v>
      </c>
      <c r="C422" s="1347">
        <v>4.8227658512231653</v>
      </c>
      <c r="D422" s="1347">
        <v>519.2211682476285</v>
      </c>
      <c r="E422" s="1347">
        <v>0</v>
      </c>
      <c r="F422" s="1348"/>
      <c r="G422" s="1452">
        <f t="shared" si="79"/>
        <v>524.04393409885165</v>
      </c>
    </row>
    <row r="423" spans="1:7" ht="15.75" x14ac:dyDescent="0.25">
      <c r="A423" s="1643" t="s">
        <v>168</v>
      </c>
      <c r="B423" s="1636" t="s">
        <v>1149</v>
      </c>
      <c r="C423" s="1347">
        <v>51.271092771350673</v>
      </c>
      <c r="D423" s="1347">
        <v>515.8057622872301</v>
      </c>
      <c r="E423" s="1347">
        <v>0</v>
      </c>
      <c r="F423" s="1348"/>
      <c r="G423" s="1452">
        <f t="shared" si="79"/>
        <v>567.0768550585808</v>
      </c>
    </row>
    <row r="424" spans="1:7" ht="15.75" x14ac:dyDescent="0.25">
      <c r="A424" s="1643" t="s">
        <v>213</v>
      </c>
      <c r="B424" s="1636" t="s">
        <v>1054</v>
      </c>
      <c r="C424" s="1347">
        <v>80.026190389582041</v>
      </c>
      <c r="D424" s="1347">
        <v>311.6656360263359</v>
      </c>
      <c r="E424" s="1347">
        <v>190.02582663417118</v>
      </c>
      <c r="F424" s="1348"/>
      <c r="G424" s="1452">
        <f t="shared" si="79"/>
        <v>581.7176530500891</v>
      </c>
    </row>
    <row r="425" spans="1:7" ht="15.75" x14ac:dyDescent="0.25">
      <c r="A425" s="1640" t="s">
        <v>629</v>
      </c>
      <c r="B425" s="1635" t="s">
        <v>1032</v>
      </c>
      <c r="C425" s="1347">
        <v>113.74248050904511</v>
      </c>
      <c r="D425" s="1347">
        <v>526.31007448910896</v>
      </c>
      <c r="E425" s="1347">
        <v>0</v>
      </c>
      <c r="F425" s="1348"/>
      <c r="G425" s="1452">
        <f t="shared" si="79"/>
        <v>640.05255499815405</v>
      </c>
    </row>
    <row r="426" spans="1:7" ht="15.75" x14ac:dyDescent="0.25">
      <c r="A426" s="1640" t="s">
        <v>72</v>
      </c>
      <c r="B426" s="1635" t="s">
        <v>1032</v>
      </c>
      <c r="C426" s="1347">
        <v>114.1008100419137</v>
      </c>
      <c r="D426" s="1347">
        <v>529.64362499185609</v>
      </c>
      <c r="E426" s="1347">
        <v>0</v>
      </c>
      <c r="F426" s="1348"/>
      <c r="G426" s="1452">
        <f t="shared" si="79"/>
        <v>643.74443503376983</v>
      </c>
    </row>
    <row r="427" spans="1:7" ht="15.75" x14ac:dyDescent="0.25">
      <c r="A427" s="1642" t="s">
        <v>779</v>
      </c>
      <c r="B427" s="1634" t="s">
        <v>1028</v>
      </c>
      <c r="C427" s="1347">
        <v>162.2463074348274</v>
      </c>
      <c r="D427" s="1347">
        <v>486.73892230448223</v>
      </c>
      <c r="E427" s="1347">
        <v>0</v>
      </c>
      <c r="F427" s="1348"/>
      <c r="G427" s="1452">
        <f t="shared" si="79"/>
        <v>648.9852297393096</v>
      </c>
    </row>
    <row r="428" spans="1:7" ht="15.75" x14ac:dyDescent="0.25">
      <c r="A428" s="1645" t="s">
        <v>775</v>
      </c>
      <c r="B428" s="1633" t="s">
        <v>1088</v>
      </c>
      <c r="C428" s="1347">
        <v>64.064977088626833</v>
      </c>
      <c r="D428" s="1347">
        <v>713.77071253284691</v>
      </c>
      <c r="E428" s="1347">
        <v>0</v>
      </c>
      <c r="F428" s="1348"/>
      <c r="G428" s="1452">
        <f t="shared" si="79"/>
        <v>777.83568962147376</v>
      </c>
    </row>
    <row r="429" spans="1:7" ht="16.5" thickBot="1" x14ac:dyDescent="0.3">
      <c r="A429" s="1646" t="s">
        <v>587</v>
      </c>
      <c r="B429" s="1636" t="s">
        <v>1084</v>
      </c>
      <c r="C429" s="1347">
        <v>0</v>
      </c>
      <c r="D429" s="1347">
        <v>1403.2182520011579</v>
      </c>
      <c r="E429" s="1347">
        <v>0</v>
      </c>
      <c r="F429" s="1348"/>
      <c r="G429" s="1452">
        <f t="shared" si="79"/>
        <v>1403.2182520011579</v>
      </c>
    </row>
  </sheetData>
  <mergeCells count="425">
    <mergeCell ref="A26:A33"/>
    <mergeCell ref="D26:D33"/>
    <mergeCell ref="R26:R33"/>
    <mergeCell ref="S26:S33"/>
    <mergeCell ref="T26:T33"/>
    <mergeCell ref="U26:U33"/>
    <mergeCell ref="V26:V33"/>
    <mergeCell ref="R4:Z4"/>
    <mergeCell ref="AB4:AH4"/>
    <mergeCell ref="A8:A11"/>
    <mergeCell ref="D8:D11"/>
    <mergeCell ref="R8:R11"/>
    <mergeCell ref="S8:S11"/>
    <mergeCell ref="T8:T11"/>
    <mergeCell ref="U8:U11"/>
    <mergeCell ref="V8:V11"/>
    <mergeCell ref="W8:W11"/>
    <mergeCell ref="X8:X11"/>
    <mergeCell ref="Y8:Y11"/>
    <mergeCell ref="Z8:Z11"/>
    <mergeCell ref="W12:W20"/>
    <mergeCell ref="X12:X20"/>
    <mergeCell ref="Y12:Y20"/>
    <mergeCell ref="Z12:Z20"/>
    <mergeCell ref="A21:A25"/>
    <mergeCell ref="D21:D25"/>
    <mergeCell ref="R21:R25"/>
    <mergeCell ref="S21:S25"/>
    <mergeCell ref="T21:T25"/>
    <mergeCell ref="U21:U25"/>
    <mergeCell ref="A12:A20"/>
    <mergeCell ref="D12:D20"/>
    <mergeCell ref="R12:R20"/>
    <mergeCell ref="S12:S20"/>
    <mergeCell ref="T12:T20"/>
    <mergeCell ref="U12:U20"/>
    <mergeCell ref="V12:V20"/>
    <mergeCell ref="W26:W33"/>
    <mergeCell ref="X26:X33"/>
    <mergeCell ref="Y26:Y33"/>
    <mergeCell ref="Z26:Z33"/>
    <mergeCell ref="V21:V25"/>
    <mergeCell ref="W21:W25"/>
    <mergeCell ref="X21:X25"/>
    <mergeCell ref="Y21:Y25"/>
    <mergeCell ref="Z21:Z25"/>
    <mergeCell ref="A37:A41"/>
    <mergeCell ref="D37:D41"/>
    <mergeCell ref="R37:R41"/>
    <mergeCell ref="S37:S41"/>
    <mergeCell ref="T37:T41"/>
    <mergeCell ref="A34:A36"/>
    <mergeCell ref="D34:D36"/>
    <mergeCell ref="R34:R36"/>
    <mergeCell ref="S34:S36"/>
    <mergeCell ref="T34:T36"/>
    <mergeCell ref="U37:U41"/>
    <mergeCell ref="V37:V41"/>
    <mergeCell ref="W37:W41"/>
    <mergeCell ref="X37:X41"/>
    <mergeCell ref="Y37:Y41"/>
    <mergeCell ref="Z37:Z41"/>
    <mergeCell ref="V34:V36"/>
    <mergeCell ref="W34:W36"/>
    <mergeCell ref="X34:X36"/>
    <mergeCell ref="Y34:Y36"/>
    <mergeCell ref="Z34:Z36"/>
    <mergeCell ref="U34:U36"/>
    <mergeCell ref="A48:A52"/>
    <mergeCell ref="D48:D52"/>
    <mergeCell ref="R48:R52"/>
    <mergeCell ref="S48:S52"/>
    <mergeCell ref="T48:T52"/>
    <mergeCell ref="A42:A46"/>
    <mergeCell ref="D42:D46"/>
    <mergeCell ref="R42:R46"/>
    <mergeCell ref="S42:S46"/>
    <mergeCell ref="T42:T46"/>
    <mergeCell ref="U48:U52"/>
    <mergeCell ref="V48:V52"/>
    <mergeCell ref="W48:W52"/>
    <mergeCell ref="X48:X52"/>
    <mergeCell ref="Y48:Y52"/>
    <mergeCell ref="Z48:Z52"/>
    <mergeCell ref="V42:V46"/>
    <mergeCell ref="W42:W46"/>
    <mergeCell ref="X42:X46"/>
    <mergeCell ref="Y42:Y46"/>
    <mergeCell ref="Z42:Z46"/>
    <mergeCell ref="U42:U46"/>
    <mergeCell ref="A59:A63"/>
    <mergeCell ref="D59:D63"/>
    <mergeCell ref="R59:R63"/>
    <mergeCell ref="S59:S63"/>
    <mergeCell ref="T59:T63"/>
    <mergeCell ref="A53:A58"/>
    <mergeCell ref="D53:D58"/>
    <mergeCell ref="R53:R58"/>
    <mergeCell ref="S53:S58"/>
    <mergeCell ref="T53:T58"/>
    <mergeCell ref="U59:U63"/>
    <mergeCell ref="V59:V63"/>
    <mergeCell ref="W59:W63"/>
    <mergeCell ref="X59:X63"/>
    <mergeCell ref="Y59:Y63"/>
    <mergeCell ref="Z59:Z63"/>
    <mergeCell ref="V53:V58"/>
    <mergeCell ref="W53:W58"/>
    <mergeCell ref="X53:X58"/>
    <mergeCell ref="Y53:Y58"/>
    <mergeCell ref="Z53:Z58"/>
    <mergeCell ref="U53:U58"/>
    <mergeCell ref="A67:A70"/>
    <mergeCell ref="D67:D70"/>
    <mergeCell ref="R67:R70"/>
    <mergeCell ref="S67:S70"/>
    <mergeCell ref="T67:T70"/>
    <mergeCell ref="A65:A66"/>
    <mergeCell ref="D65:D66"/>
    <mergeCell ref="R65:R66"/>
    <mergeCell ref="S65:S66"/>
    <mergeCell ref="T65:T66"/>
    <mergeCell ref="U67:U70"/>
    <mergeCell ref="V67:V70"/>
    <mergeCell ref="W67:W70"/>
    <mergeCell ref="X67:X70"/>
    <mergeCell ref="Y67:Y70"/>
    <mergeCell ref="Z67:Z70"/>
    <mergeCell ref="V65:V66"/>
    <mergeCell ref="W65:W66"/>
    <mergeCell ref="X65:X66"/>
    <mergeCell ref="Y65:Y66"/>
    <mergeCell ref="Z65:Z66"/>
    <mergeCell ref="U65:U66"/>
    <mergeCell ref="A76:A81"/>
    <mergeCell ref="D76:D81"/>
    <mergeCell ref="R76:R81"/>
    <mergeCell ref="S76:S81"/>
    <mergeCell ref="T76:T81"/>
    <mergeCell ref="A71:A75"/>
    <mergeCell ref="D71:D75"/>
    <mergeCell ref="R71:R75"/>
    <mergeCell ref="S71:S75"/>
    <mergeCell ref="T71:T75"/>
    <mergeCell ref="U76:U81"/>
    <mergeCell ref="V76:V81"/>
    <mergeCell ref="W76:W81"/>
    <mergeCell ref="X76:X81"/>
    <mergeCell ref="Y76:Y81"/>
    <mergeCell ref="Z76:Z81"/>
    <mergeCell ref="V71:V75"/>
    <mergeCell ref="W71:W75"/>
    <mergeCell ref="X71:X75"/>
    <mergeCell ref="Y71:Y75"/>
    <mergeCell ref="Z71:Z75"/>
    <mergeCell ref="U71:U75"/>
    <mergeCell ref="A95:A99"/>
    <mergeCell ref="D95:D99"/>
    <mergeCell ref="R95:R99"/>
    <mergeCell ref="S95:S99"/>
    <mergeCell ref="T95:T99"/>
    <mergeCell ref="A82:A92"/>
    <mergeCell ref="D82:D92"/>
    <mergeCell ref="R82:R92"/>
    <mergeCell ref="S82:S92"/>
    <mergeCell ref="T82:T92"/>
    <mergeCell ref="U95:U99"/>
    <mergeCell ref="V95:V99"/>
    <mergeCell ref="W95:W99"/>
    <mergeCell ref="X95:X99"/>
    <mergeCell ref="Y95:Y99"/>
    <mergeCell ref="Z95:Z99"/>
    <mergeCell ref="V82:V92"/>
    <mergeCell ref="W82:W92"/>
    <mergeCell ref="X82:X92"/>
    <mergeCell ref="Y82:Y92"/>
    <mergeCell ref="Z82:Z92"/>
    <mergeCell ref="U82:U92"/>
    <mergeCell ref="A106:A110"/>
    <mergeCell ref="D106:D110"/>
    <mergeCell ref="R106:R110"/>
    <mergeCell ref="S106:S110"/>
    <mergeCell ref="T106:T110"/>
    <mergeCell ref="A100:A104"/>
    <mergeCell ref="D100:D104"/>
    <mergeCell ref="R100:R104"/>
    <mergeCell ref="S100:S104"/>
    <mergeCell ref="T100:T104"/>
    <mergeCell ref="U106:U110"/>
    <mergeCell ref="V106:V110"/>
    <mergeCell ref="W106:W110"/>
    <mergeCell ref="X106:X110"/>
    <mergeCell ref="Y106:Y110"/>
    <mergeCell ref="Z106:Z110"/>
    <mergeCell ref="V100:V104"/>
    <mergeCell ref="W100:W104"/>
    <mergeCell ref="X100:X104"/>
    <mergeCell ref="Y100:Y104"/>
    <mergeCell ref="Z100:Z104"/>
    <mergeCell ref="U100:U104"/>
    <mergeCell ref="A117:A124"/>
    <mergeCell ref="D117:D124"/>
    <mergeCell ref="R117:R124"/>
    <mergeCell ref="S117:S124"/>
    <mergeCell ref="T117:T124"/>
    <mergeCell ref="A112:A116"/>
    <mergeCell ref="D112:D116"/>
    <mergeCell ref="R112:R116"/>
    <mergeCell ref="S112:S116"/>
    <mergeCell ref="T112:T116"/>
    <mergeCell ref="U117:U124"/>
    <mergeCell ref="V117:V124"/>
    <mergeCell ref="W117:W124"/>
    <mergeCell ref="X117:X124"/>
    <mergeCell ref="Y117:Y124"/>
    <mergeCell ref="Z117:Z124"/>
    <mergeCell ref="V112:V116"/>
    <mergeCell ref="W112:W116"/>
    <mergeCell ref="X112:X116"/>
    <mergeCell ref="Y112:Y116"/>
    <mergeCell ref="Z112:Z116"/>
    <mergeCell ref="U112:U116"/>
    <mergeCell ref="A136:A140"/>
    <mergeCell ref="D136:D140"/>
    <mergeCell ref="R136:R140"/>
    <mergeCell ref="S136:S140"/>
    <mergeCell ref="T136:T140"/>
    <mergeCell ref="A126:A130"/>
    <mergeCell ref="D126:D130"/>
    <mergeCell ref="R126:R130"/>
    <mergeCell ref="S126:S130"/>
    <mergeCell ref="T126:T130"/>
    <mergeCell ref="U136:U140"/>
    <mergeCell ref="V136:V140"/>
    <mergeCell ref="W136:W140"/>
    <mergeCell ref="X136:X140"/>
    <mergeCell ref="Y136:Y140"/>
    <mergeCell ref="Z136:Z140"/>
    <mergeCell ref="V126:V130"/>
    <mergeCell ref="W126:W130"/>
    <mergeCell ref="X126:X130"/>
    <mergeCell ref="Y126:Y130"/>
    <mergeCell ref="Z126:Z130"/>
    <mergeCell ref="U126:U130"/>
    <mergeCell ref="A147:A152"/>
    <mergeCell ref="D147:D152"/>
    <mergeCell ref="R147:R152"/>
    <mergeCell ref="S147:S152"/>
    <mergeCell ref="T147:T152"/>
    <mergeCell ref="A141:A145"/>
    <mergeCell ref="D141:D145"/>
    <mergeCell ref="R141:R145"/>
    <mergeCell ref="S141:S145"/>
    <mergeCell ref="T141:T145"/>
    <mergeCell ref="U147:U152"/>
    <mergeCell ref="V147:V152"/>
    <mergeCell ref="W147:W152"/>
    <mergeCell ref="X147:X152"/>
    <mergeCell ref="Y147:Y152"/>
    <mergeCell ref="Z147:Z152"/>
    <mergeCell ref="V141:V145"/>
    <mergeCell ref="W141:W145"/>
    <mergeCell ref="X141:X145"/>
    <mergeCell ref="Y141:Y145"/>
    <mergeCell ref="Z141:Z145"/>
    <mergeCell ref="U141:U145"/>
    <mergeCell ref="A159:A161"/>
    <mergeCell ref="D159:D161"/>
    <mergeCell ref="R159:R161"/>
    <mergeCell ref="S159:S161"/>
    <mergeCell ref="T159:T161"/>
    <mergeCell ref="A153:A157"/>
    <mergeCell ref="D153:D157"/>
    <mergeCell ref="R153:R157"/>
    <mergeCell ref="S153:S157"/>
    <mergeCell ref="T153:T157"/>
    <mergeCell ref="U159:U161"/>
    <mergeCell ref="V159:V161"/>
    <mergeCell ref="W159:W161"/>
    <mergeCell ref="X159:X161"/>
    <mergeCell ref="Y159:Y161"/>
    <mergeCell ref="Z159:Z161"/>
    <mergeCell ref="V153:V157"/>
    <mergeCell ref="W153:W157"/>
    <mergeCell ref="X153:X157"/>
    <mergeCell ref="Y153:Y157"/>
    <mergeCell ref="Z153:Z157"/>
    <mergeCell ref="U153:U157"/>
    <mergeCell ref="A167:A173"/>
    <mergeCell ref="D167:D173"/>
    <mergeCell ref="R167:R173"/>
    <mergeCell ref="S167:S173"/>
    <mergeCell ref="T167:T173"/>
    <mergeCell ref="A162:A166"/>
    <mergeCell ref="D162:D166"/>
    <mergeCell ref="R162:R166"/>
    <mergeCell ref="S162:S166"/>
    <mergeCell ref="T162:T166"/>
    <mergeCell ref="U167:U173"/>
    <mergeCell ref="V167:V173"/>
    <mergeCell ref="W167:W173"/>
    <mergeCell ref="X167:X173"/>
    <mergeCell ref="Y167:Y173"/>
    <mergeCell ref="Z167:Z173"/>
    <mergeCell ref="V162:V166"/>
    <mergeCell ref="W162:W166"/>
    <mergeCell ref="X162:X166"/>
    <mergeCell ref="Y162:Y166"/>
    <mergeCell ref="Z162:Z166"/>
    <mergeCell ref="U162:U166"/>
    <mergeCell ref="Y174:Y202"/>
    <mergeCell ref="Z174:Z202"/>
    <mergeCell ref="A204:A211"/>
    <mergeCell ref="D204:D211"/>
    <mergeCell ref="A174:A202"/>
    <mergeCell ref="D174:D202"/>
    <mergeCell ref="R174:R202"/>
    <mergeCell ref="S174:S202"/>
    <mergeCell ref="T174:T202"/>
    <mergeCell ref="U174:U202"/>
    <mergeCell ref="A212:A214"/>
    <mergeCell ref="D212:D214"/>
    <mergeCell ref="A216:A218"/>
    <mergeCell ref="D216:D218"/>
    <mergeCell ref="R216:R218"/>
    <mergeCell ref="S216:S218"/>
    <mergeCell ref="V174:V202"/>
    <mergeCell ref="W174:W202"/>
    <mergeCell ref="X174:X202"/>
    <mergeCell ref="Z216:Z218"/>
    <mergeCell ref="A221:A228"/>
    <mergeCell ref="D221:D228"/>
    <mergeCell ref="R221:R228"/>
    <mergeCell ref="S221:S228"/>
    <mergeCell ref="T221:T228"/>
    <mergeCell ref="U221:U228"/>
    <mergeCell ref="V221:V228"/>
    <mergeCell ref="W221:W228"/>
    <mergeCell ref="X221:X228"/>
    <mergeCell ref="T216:T218"/>
    <mergeCell ref="U216:U218"/>
    <mergeCell ref="V216:V218"/>
    <mergeCell ref="W216:W218"/>
    <mergeCell ref="X216:X218"/>
    <mergeCell ref="Y216:Y218"/>
    <mergeCell ref="Y221:Y228"/>
    <mergeCell ref="Z221:Z228"/>
    <mergeCell ref="Z247:Z250"/>
    <mergeCell ref="V239:V243"/>
    <mergeCell ref="W239:W243"/>
    <mergeCell ref="X239:X243"/>
    <mergeCell ref="Y229:Y233"/>
    <mergeCell ref="Z229:Z233"/>
    <mergeCell ref="A234:A238"/>
    <mergeCell ref="D234:D238"/>
    <mergeCell ref="R234:R238"/>
    <mergeCell ref="S234:S238"/>
    <mergeCell ref="T234:T238"/>
    <mergeCell ref="U234:U238"/>
    <mergeCell ref="V234:V238"/>
    <mergeCell ref="A229:A233"/>
    <mergeCell ref="D229:D233"/>
    <mergeCell ref="R229:R233"/>
    <mergeCell ref="S229:S233"/>
    <mergeCell ref="T229:T233"/>
    <mergeCell ref="U229:U233"/>
    <mergeCell ref="V229:V233"/>
    <mergeCell ref="W229:W233"/>
    <mergeCell ref="X229:X233"/>
    <mergeCell ref="W234:W238"/>
    <mergeCell ref="X234:X238"/>
    <mergeCell ref="Y234:Y238"/>
    <mergeCell ref="Z234:Z238"/>
    <mergeCell ref="A239:A243"/>
    <mergeCell ref="D239:D243"/>
    <mergeCell ref="R239:R243"/>
    <mergeCell ref="S239:S243"/>
    <mergeCell ref="T239:T243"/>
    <mergeCell ref="U239:U243"/>
    <mergeCell ref="Y239:Y243"/>
    <mergeCell ref="Z239:Z243"/>
    <mergeCell ref="Y251:Y255"/>
    <mergeCell ref="Z251:Z255"/>
    <mergeCell ref="AI251:AI255"/>
    <mergeCell ref="A251:A255"/>
    <mergeCell ref="D251:D255"/>
    <mergeCell ref="R251:R255"/>
    <mergeCell ref="S251:S255"/>
    <mergeCell ref="T251:T255"/>
    <mergeCell ref="U251:U255"/>
    <mergeCell ref="D247:D250"/>
    <mergeCell ref="R247:R250"/>
    <mergeCell ref="S247:S250"/>
    <mergeCell ref="T247:T250"/>
    <mergeCell ref="U247:U250"/>
    <mergeCell ref="V247:V250"/>
    <mergeCell ref="W247:W250"/>
    <mergeCell ref="X247:X250"/>
    <mergeCell ref="V251:V255"/>
    <mergeCell ref="W251:W255"/>
    <mergeCell ref="X251:X255"/>
    <mergeCell ref="Z263:Z267"/>
    <mergeCell ref="V256:V262"/>
    <mergeCell ref="W256:W262"/>
    <mergeCell ref="X256:X262"/>
    <mergeCell ref="Y256:Y262"/>
    <mergeCell ref="Z256:Z262"/>
    <mergeCell ref="U256:U262"/>
    <mergeCell ref="Y247:Y250"/>
    <mergeCell ref="A263:A267"/>
    <mergeCell ref="D263:D267"/>
    <mergeCell ref="R263:R267"/>
    <mergeCell ref="S263:S267"/>
    <mergeCell ref="T263:T267"/>
    <mergeCell ref="A256:A262"/>
    <mergeCell ref="D256:D262"/>
    <mergeCell ref="R256:R262"/>
    <mergeCell ref="S256:S262"/>
    <mergeCell ref="T256:T262"/>
    <mergeCell ref="U263:U267"/>
    <mergeCell ref="V263:V267"/>
    <mergeCell ref="W263:W267"/>
    <mergeCell ref="X263:X267"/>
    <mergeCell ref="Y263:Y267"/>
    <mergeCell ref="A247:A250"/>
  </mergeCells>
  <pageMargins left="0.7" right="0.7" top="0.75" bottom="0.75" header="0.3" footer="0.3"/>
  <pageSetup paperSize="9" orientation="portrait" r:id="rId1"/>
  <drawing r:id="rId2"/>
  <legacyDrawing r:id="rId3"/>
  <tableParts count="1">
    <tablePart r:id="rId4"/>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AP534"/>
  <sheetViews>
    <sheetView topLeftCell="A231" zoomScale="90" zoomScaleNormal="90" workbookViewId="0">
      <selection activeCell="E496" sqref="A1:XFD1048576"/>
    </sheetView>
  </sheetViews>
  <sheetFormatPr defaultRowHeight="15" x14ac:dyDescent="0.25"/>
  <cols>
    <col min="1" max="1" width="35.5703125" customWidth="1"/>
    <col min="2" max="2" width="10.28515625" customWidth="1"/>
    <col min="3" max="3" width="11.5703125" customWidth="1"/>
    <col min="4" max="4" width="16.7109375" customWidth="1"/>
    <col min="5" max="5" width="22.7109375" customWidth="1"/>
    <col min="6" max="6" width="23" customWidth="1"/>
    <col min="7" max="7" width="16.28515625" customWidth="1"/>
    <col min="8" max="8" width="19.140625" bestFit="1" customWidth="1"/>
    <col min="9" max="10" width="22.28515625" customWidth="1"/>
    <col min="11" max="11" width="19.7109375" customWidth="1"/>
    <col min="12" max="12" width="17.7109375" customWidth="1"/>
    <col min="13" max="13" width="17.140625" customWidth="1"/>
    <col min="14" max="14" width="17.5703125" customWidth="1"/>
    <col min="15" max="15" width="15.7109375" customWidth="1"/>
    <col min="16" max="17" width="19.85546875" customWidth="1"/>
    <col min="18" max="18" width="19.7109375" customWidth="1"/>
    <col min="19" max="19" width="25.140625" customWidth="1"/>
    <col min="20" max="20" width="11.28515625" bestFit="1" customWidth="1"/>
    <col min="21" max="21" width="20.140625" bestFit="1" customWidth="1"/>
    <col min="22" max="22" width="16.42578125" customWidth="1"/>
    <col min="23" max="23" width="22" bestFit="1" customWidth="1"/>
    <col min="24" max="24" width="22" customWidth="1"/>
    <col min="25" max="25" width="23.28515625" bestFit="1" customWidth="1"/>
    <col min="26" max="26" width="14.140625" customWidth="1"/>
    <col min="27" max="27" width="18.140625" bestFit="1" customWidth="1"/>
    <col min="28" max="29" width="19.85546875" customWidth="1"/>
    <col min="30" max="31" width="14.42578125" customWidth="1"/>
    <col min="32" max="32" width="15.28515625" customWidth="1"/>
    <col min="33" max="33" width="25.42578125" customWidth="1"/>
    <col min="34" max="34" width="3.7109375" customWidth="1"/>
    <col min="35" max="35" width="13.5703125" customWidth="1"/>
    <col min="37" max="37" width="11.140625" customWidth="1"/>
    <col min="38" max="38" width="10.7109375" customWidth="1"/>
    <col min="42" max="43" width="75.28515625" customWidth="1"/>
  </cols>
  <sheetData>
    <row r="1" spans="1:42" ht="18.75" x14ac:dyDescent="0.3">
      <c r="A1" s="1078" t="s">
        <v>1212</v>
      </c>
      <c r="B1" s="86"/>
      <c r="C1" s="24"/>
      <c r="D1" s="24"/>
      <c r="E1" s="1079"/>
    </row>
    <row r="2" spans="1:42" ht="16.5" thickBot="1" x14ac:dyDescent="0.3">
      <c r="A2" s="27" t="s">
        <v>1191</v>
      </c>
      <c r="B2" s="87"/>
      <c r="C2" s="25"/>
      <c r="D2" s="25"/>
      <c r="E2" s="1080"/>
    </row>
    <row r="3" spans="1:42" ht="18.75" x14ac:dyDescent="0.3">
      <c r="AI3" s="395" t="s">
        <v>826</v>
      </c>
      <c r="AJ3" s="395"/>
      <c r="AK3" s="395"/>
      <c r="AL3" s="395"/>
      <c r="AM3" s="395"/>
      <c r="AN3" s="395"/>
      <c r="AO3" s="394"/>
      <c r="AP3" s="394"/>
    </row>
    <row r="4" spans="1:42" ht="23.25" x14ac:dyDescent="0.35">
      <c r="U4" s="1754" t="s">
        <v>679</v>
      </c>
      <c r="V4" s="1754"/>
      <c r="W4" s="1754"/>
      <c r="X4" s="1754"/>
      <c r="Y4" s="1754"/>
      <c r="Z4" s="1754"/>
      <c r="AA4" s="1754"/>
      <c r="AB4" s="1754"/>
      <c r="AC4" s="1754"/>
      <c r="AD4" s="1754"/>
      <c r="AE4" s="1754"/>
      <c r="AF4" s="1754"/>
      <c r="AG4" s="1754"/>
      <c r="AI4" s="1755" t="s">
        <v>248</v>
      </c>
      <c r="AJ4" s="1755"/>
      <c r="AK4" s="1755"/>
      <c r="AL4" s="1755"/>
      <c r="AM4" s="1755"/>
      <c r="AN4" s="1755"/>
      <c r="AO4" s="1755"/>
    </row>
    <row r="5" spans="1:42" ht="64.5" customHeight="1" x14ac:dyDescent="0.3">
      <c r="E5" s="89" t="s">
        <v>215</v>
      </c>
      <c r="F5" s="90" t="s">
        <v>827</v>
      </c>
      <c r="G5" s="111" t="s">
        <v>196</v>
      </c>
      <c r="H5" s="82" t="s">
        <v>197</v>
      </c>
      <c r="I5" s="552" t="s">
        <v>198</v>
      </c>
      <c r="J5" s="556" t="s">
        <v>833</v>
      </c>
      <c r="K5" s="555" t="s">
        <v>200</v>
      </c>
      <c r="L5" s="553" t="s">
        <v>834</v>
      </c>
      <c r="M5" s="556" t="s">
        <v>835</v>
      </c>
      <c r="N5" s="554" t="s">
        <v>201</v>
      </c>
      <c r="O5" s="556" t="s">
        <v>836</v>
      </c>
      <c r="P5" s="84" t="s">
        <v>199</v>
      </c>
      <c r="Q5" s="556" t="s">
        <v>840</v>
      </c>
      <c r="R5" s="564" t="s">
        <v>841</v>
      </c>
      <c r="S5" s="85" t="s">
        <v>202</v>
      </c>
      <c r="U5" s="110" t="s">
        <v>240</v>
      </c>
      <c r="V5" s="109" t="s">
        <v>241</v>
      </c>
      <c r="W5" s="108" t="s">
        <v>242</v>
      </c>
      <c r="X5" s="572" t="s">
        <v>843</v>
      </c>
      <c r="Y5" s="107" t="s">
        <v>243</v>
      </c>
      <c r="Z5" s="106" t="s">
        <v>244</v>
      </c>
      <c r="AA5" s="572" t="s">
        <v>845</v>
      </c>
      <c r="AB5" s="105" t="s">
        <v>245</v>
      </c>
      <c r="AC5" s="572" t="s">
        <v>847</v>
      </c>
      <c r="AD5" s="104" t="s">
        <v>246</v>
      </c>
      <c r="AE5" s="572" t="s">
        <v>850</v>
      </c>
      <c r="AF5" s="103" t="s">
        <v>852</v>
      </c>
      <c r="AG5" s="102" t="s">
        <v>247</v>
      </c>
      <c r="AI5" s="112" t="s">
        <v>249</v>
      </c>
      <c r="AJ5" s="112" t="s">
        <v>250</v>
      </c>
      <c r="AK5" s="112" t="s">
        <v>251</v>
      </c>
      <c r="AL5" s="112" t="s">
        <v>252</v>
      </c>
      <c r="AM5" s="112" t="s">
        <v>438</v>
      </c>
      <c r="AN5" s="112" t="s">
        <v>253</v>
      </c>
      <c r="AO5" s="112" t="s">
        <v>254</v>
      </c>
    </row>
    <row r="6" spans="1:42" ht="16.5" thickBot="1" x14ac:dyDescent="0.3">
      <c r="A6" s="42" t="s">
        <v>3</v>
      </c>
      <c r="B6" s="250" t="s">
        <v>58</v>
      </c>
      <c r="C6" s="799" t="s">
        <v>1190</v>
      </c>
      <c r="D6" s="799" t="s">
        <v>1022</v>
      </c>
      <c r="E6" s="91" t="s">
        <v>809</v>
      </c>
      <c r="F6" s="92" t="s">
        <v>810</v>
      </c>
      <c r="G6" s="7" t="s">
        <v>811</v>
      </c>
      <c r="H6" s="3" t="s">
        <v>812</v>
      </c>
      <c r="I6" s="33" t="s">
        <v>813</v>
      </c>
      <c r="J6" s="557" t="s">
        <v>832</v>
      </c>
      <c r="K6" s="68" t="s">
        <v>814</v>
      </c>
      <c r="L6" s="34" t="s">
        <v>815</v>
      </c>
      <c r="M6" s="557" t="s">
        <v>838</v>
      </c>
      <c r="N6" s="69" t="s">
        <v>816</v>
      </c>
      <c r="O6" s="557" t="s">
        <v>837</v>
      </c>
      <c r="P6" s="66" t="s">
        <v>817</v>
      </c>
      <c r="Q6" s="557" t="s">
        <v>839</v>
      </c>
      <c r="R6" s="67" t="s">
        <v>842</v>
      </c>
      <c r="S6" s="70" t="s">
        <v>818</v>
      </c>
      <c r="U6" s="93" t="s">
        <v>819</v>
      </c>
      <c r="V6" s="94" t="s">
        <v>820</v>
      </c>
      <c r="W6" s="95" t="s">
        <v>821</v>
      </c>
      <c r="X6" s="573" t="s">
        <v>844</v>
      </c>
      <c r="Y6" s="96" t="s">
        <v>822</v>
      </c>
      <c r="Z6" s="97" t="s">
        <v>823</v>
      </c>
      <c r="AA6" s="573" t="s">
        <v>846</v>
      </c>
      <c r="AB6" s="98" t="s">
        <v>849</v>
      </c>
      <c r="AC6" s="573" t="s">
        <v>848</v>
      </c>
      <c r="AD6" s="99" t="s">
        <v>824</v>
      </c>
      <c r="AE6" s="573" t="s">
        <v>851</v>
      </c>
      <c r="AF6" s="100" t="s">
        <v>853</v>
      </c>
      <c r="AG6" s="101" t="s">
        <v>825</v>
      </c>
      <c r="AI6" s="113"/>
      <c r="AJ6" s="113"/>
      <c r="AK6" s="113"/>
      <c r="AL6" s="113"/>
      <c r="AM6" s="113"/>
      <c r="AN6" s="113"/>
      <c r="AO6" s="113"/>
    </row>
    <row r="7" spans="1:42" ht="18.600000000000001" customHeight="1" x14ac:dyDescent="0.25">
      <c r="A7" s="1756" t="s">
        <v>33</v>
      </c>
      <c r="B7" s="746" t="s">
        <v>217</v>
      </c>
      <c r="C7" s="747" t="s">
        <v>429</v>
      </c>
      <c r="D7" s="815" t="s">
        <v>1024</v>
      </c>
      <c r="E7" s="1759">
        <v>20700</v>
      </c>
      <c r="F7" s="647">
        <f>'exchange rates'!$O$3</f>
        <v>18.600290000000001</v>
      </c>
      <c r="G7" s="625" t="s">
        <v>5</v>
      </c>
      <c r="H7" s="593" t="s">
        <v>5</v>
      </c>
      <c r="I7" s="594" t="s">
        <v>5</v>
      </c>
      <c r="J7" s="595" t="s">
        <v>5</v>
      </c>
      <c r="K7" s="566" t="s">
        <v>5</v>
      </c>
      <c r="L7" s="596" t="s">
        <v>5</v>
      </c>
      <c r="M7" s="595" t="s">
        <v>5</v>
      </c>
      <c r="N7" s="626" t="s">
        <v>5</v>
      </c>
      <c r="O7" s="595" t="s">
        <v>5</v>
      </c>
      <c r="P7" s="597" t="s">
        <v>5</v>
      </c>
      <c r="Q7" s="595" t="s">
        <v>5</v>
      </c>
      <c r="R7" s="570" t="s">
        <v>5</v>
      </c>
      <c r="S7" s="571">
        <f>1483.5/F7</f>
        <v>79.756820995801675</v>
      </c>
      <c r="T7" s="397"/>
      <c r="U7" s="1762" t="str">
        <f>Tabel6689262829[[#This Row],[Fix.ch. 2017]]</f>
        <v>n/a</v>
      </c>
      <c r="V7" s="1765" t="s">
        <v>5</v>
      </c>
      <c r="W7" s="1768" t="s">
        <v>5</v>
      </c>
      <c r="X7" s="1771" t="s">
        <v>5</v>
      </c>
      <c r="Y7" s="1774" t="str">
        <f>Tabel6689262829[[#This Row],[Total. ch. DW 2017]]</f>
        <v>n/a</v>
      </c>
      <c r="Z7" s="1777" t="s">
        <v>5</v>
      </c>
      <c r="AA7" s="1771" t="s">
        <v>5</v>
      </c>
      <c r="AB7" s="1810" t="s">
        <v>5</v>
      </c>
      <c r="AC7" s="1771" t="s">
        <v>5</v>
      </c>
      <c r="AD7" s="1812" t="s">
        <v>5</v>
      </c>
      <c r="AE7" s="1771" t="s">
        <v>5</v>
      </c>
      <c r="AF7" s="1814" t="s">
        <v>5</v>
      </c>
      <c r="AG7" s="1793">
        <f>MEDIAN(S7:S13)</f>
        <v>79.756820995801675</v>
      </c>
      <c r="AH7" s="397"/>
      <c r="AI7" s="591" t="s">
        <v>429</v>
      </c>
      <c r="AJ7" s="591"/>
      <c r="AK7" s="591"/>
      <c r="AL7" s="591"/>
      <c r="AM7" s="591" t="s">
        <v>429</v>
      </c>
      <c r="AN7" s="591" t="s">
        <v>429</v>
      </c>
      <c r="AO7" s="396"/>
      <c r="AP7" s="397"/>
    </row>
    <row r="8" spans="1:42" ht="15.75" x14ac:dyDescent="0.25">
      <c r="A8" s="1757"/>
      <c r="B8" s="747" t="s">
        <v>942</v>
      </c>
      <c r="C8" s="747"/>
      <c r="D8" s="815" t="s">
        <v>1024</v>
      </c>
      <c r="E8" s="1760"/>
      <c r="F8" s="647">
        <f>'exchange rates'!$O$3</f>
        <v>18.600290000000001</v>
      </c>
      <c r="G8" s="625" t="s">
        <v>5</v>
      </c>
      <c r="H8" s="593" t="s">
        <v>5</v>
      </c>
      <c r="I8" s="594" t="s">
        <v>5</v>
      </c>
      <c r="J8" s="595" t="s">
        <v>5</v>
      </c>
      <c r="K8" s="566" t="s">
        <v>5</v>
      </c>
      <c r="L8" s="596" t="s">
        <v>5</v>
      </c>
      <c r="M8" s="595" t="s">
        <v>5</v>
      </c>
      <c r="N8" s="626" t="s">
        <v>5</v>
      </c>
      <c r="O8" s="595" t="s">
        <v>5</v>
      </c>
      <c r="P8" s="597" t="s">
        <v>5</v>
      </c>
      <c r="Q8" s="595" t="s">
        <v>5</v>
      </c>
      <c r="R8" s="570" t="s">
        <v>5</v>
      </c>
      <c r="S8" s="571">
        <f>1972.29/F8</f>
        <v>106.03544353340726</v>
      </c>
      <c r="T8" s="397"/>
      <c r="U8" s="1763"/>
      <c r="V8" s="1766"/>
      <c r="W8" s="1769"/>
      <c r="X8" s="1772"/>
      <c r="Y8" s="1775"/>
      <c r="Z8" s="1778"/>
      <c r="AA8" s="1772"/>
      <c r="AB8" s="1781"/>
      <c r="AC8" s="1772"/>
      <c r="AD8" s="1785"/>
      <c r="AE8" s="1772"/>
      <c r="AF8" s="1788"/>
      <c r="AG8" s="1791"/>
      <c r="AH8" s="397"/>
      <c r="AI8" s="396"/>
      <c r="AJ8" s="396"/>
      <c r="AK8" s="396"/>
      <c r="AL8" s="396"/>
      <c r="AM8" s="396"/>
      <c r="AN8" s="396"/>
      <c r="AO8" s="396"/>
      <c r="AP8" s="397"/>
    </row>
    <row r="9" spans="1:42" ht="15.75" x14ac:dyDescent="0.25">
      <c r="A9" s="1757"/>
      <c r="B9" s="747" t="s">
        <v>943</v>
      </c>
      <c r="C9" s="747"/>
      <c r="D9" s="815" t="s">
        <v>1024</v>
      </c>
      <c r="E9" s="1760"/>
      <c r="F9" s="647">
        <f>'exchange rates'!$O$3</f>
        <v>18.600290000000001</v>
      </c>
      <c r="G9" s="625" t="s">
        <v>5</v>
      </c>
      <c r="H9" s="593" t="s">
        <v>5</v>
      </c>
      <c r="I9" s="594" t="s">
        <v>5</v>
      </c>
      <c r="J9" s="595" t="s">
        <v>5</v>
      </c>
      <c r="K9" s="566" t="s">
        <v>5</v>
      </c>
      <c r="L9" s="596" t="s">
        <v>5</v>
      </c>
      <c r="M9" s="595" t="s">
        <v>5</v>
      </c>
      <c r="N9" s="626" t="s">
        <v>5</v>
      </c>
      <c r="O9" s="595" t="s">
        <v>5</v>
      </c>
      <c r="P9" s="597" t="s">
        <v>5</v>
      </c>
      <c r="Q9" s="595" t="s">
        <v>5</v>
      </c>
      <c r="R9" s="570" t="s">
        <v>5</v>
      </c>
      <c r="S9" s="571">
        <f>1941.35/F9</f>
        <v>104.3720286081561</v>
      </c>
      <c r="T9" s="397"/>
      <c r="U9" s="1763"/>
      <c r="V9" s="1766"/>
      <c r="W9" s="1769"/>
      <c r="X9" s="1772"/>
      <c r="Y9" s="1775"/>
      <c r="Z9" s="1778"/>
      <c r="AA9" s="1772"/>
      <c r="AB9" s="1781"/>
      <c r="AC9" s="1772"/>
      <c r="AD9" s="1785"/>
      <c r="AE9" s="1772"/>
      <c r="AF9" s="1788"/>
      <c r="AG9" s="1791"/>
      <c r="AH9" s="397"/>
      <c r="AI9" s="396"/>
      <c r="AJ9" s="396"/>
      <c r="AK9" s="396"/>
      <c r="AL9" s="396"/>
      <c r="AM9" s="396"/>
      <c r="AN9" s="396"/>
      <c r="AO9" s="396"/>
      <c r="AP9" s="397"/>
    </row>
    <row r="10" spans="1:42" ht="15.75" x14ac:dyDescent="0.25">
      <c r="A10" s="1757"/>
      <c r="B10" s="747" t="s">
        <v>944</v>
      </c>
      <c r="C10" s="747"/>
      <c r="D10" s="815" t="s">
        <v>1024</v>
      </c>
      <c r="E10" s="1760"/>
      <c r="F10" s="647">
        <f>'exchange rates'!$O$3</f>
        <v>18.600290000000001</v>
      </c>
      <c r="G10" s="625" t="s">
        <v>5</v>
      </c>
      <c r="H10" s="593" t="s">
        <v>5</v>
      </c>
      <c r="I10" s="594" t="s">
        <v>5</v>
      </c>
      <c r="J10" s="595" t="s">
        <v>5</v>
      </c>
      <c r="K10" s="566" t="s">
        <v>5</v>
      </c>
      <c r="L10" s="596" t="s">
        <v>5</v>
      </c>
      <c r="M10" s="595" t="s">
        <v>5</v>
      </c>
      <c r="N10" s="626" t="s">
        <v>5</v>
      </c>
      <c r="O10" s="595" t="s">
        <v>5</v>
      </c>
      <c r="P10" s="597" t="s">
        <v>5</v>
      </c>
      <c r="Q10" s="595" t="s">
        <v>5</v>
      </c>
      <c r="R10" s="570" t="s">
        <v>5</v>
      </c>
      <c r="S10" s="571">
        <f>783/F10</f>
        <v>42.096117856226968</v>
      </c>
      <c r="T10" s="397"/>
      <c r="U10" s="1763"/>
      <c r="V10" s="1766"/>
      <c r="W10" s="1769"/>
      <c r="X10" s="1772"/>
      <c r="Y10" s="1775"/>
      <c r="Z10" s="1778"/>
      <c r="AA10" s="1772"/>
      <c r="AB10" s="1781"/>
      <c r="AC10" s="1772"/>
      <c r="AD10" s="1785"/>
      <c r="AE10" s="1772"/>
      <c r="AF10" s="1788"/>
      <c r="AG10" s="1791"/>
      <c r="AH10" s="397"/>
      <c r="AI10" s="396"/>
      <c r="AJ10" s="396"/>
      <c r="AK10" s="396"/>
      <c r="AL10" s="396"/>
      <c r="AM10" s="396"/>
      <c r="AN10" s="396"/>
      <c r="AO10" s="396"/>
      <c r="AP10" s="397"/>
    </row>
    <row r="11" spans="1:42" ht="15.75" x14ac:dyDescent="0.25">
      <c r="A11" s="1757"/>
      <c r="B11" s="747" t="s">
        <v>945</v>
      </c>
      <c r="C11" s="747"/>
      <c r="D11" s="815" t="s">
        <v>1024</v>
      </c>
      <c r="E11" s="1760"/>
      <c r="F11" s="647">
        <f>'exchange rates'!$O$3</f>
        <v>18.600290000000001</v>
      </c>
      <c r="G11" s="625" t="s">
        <v>5</v>
      </c>
      <c r="H11" s="593" t="s">
        <v>5</v>
      </c>
      <c r="I11" s="594" t="s">
        <v>5</v>
      </c>
      <c r="J11" s="595" t="s">
        <v>5</v>
      </c>
      <c r="K11" s="566" t="s">
        <v>5</v>
      </c>
      <c r="L11" s="596" t="s">
        <v>5</v>
      </c>
      <c r="M11" s="595" t="s">
        <v>5</v>
      </c>
      <c r="N11" s="626" t="s">
        <v>5</v>
      </c>
      <c r="O11" s="595" t="s">
        <v>5</v>
      </c>
      <c r="P11" s="597" t="s">
        <v>5</v>
      </c>
      <c r="Q11" s="595" t="s">
        <v>5</v>
      </c>
      <c r="R11" s="570" t="s">
        <v>5</v>
      </c>
      <c r="S11" s="571">
        <f>1155.25/F11</f>
        <v>62.109246683788257</v>
      </c>
      <c r="T11" s="397"/>
      <c r="U11" s="1763"/>
      <c r="V11" s="1766"/>
      <c r="W11" s="1769"/>
      <c r="X11" s="1772"/>
      <c r="Y11" s="1775"/>
      <c r="Z11" s="1778"/>
      <c r="AA11" s="1772"/>
      <c r="AB11" s="1781"/>
      <c r="AC11" s="1772"/>
      <c r="AD11" s="1785"/>
      <c r="AE11" s="1772"/>
      <c r="AF11" s="1788"/>
      <c r="AG11" s="1791"/>
      <c r="AH11" s="397"/>
      <c r="AI11" s="396"/>
      <c r="AJ11" s="396"/>
      <c r="AK11" s="396"/>
      <c r="AL11" s="396"/>
      <c r="AM11" s="396"/>
      <c r="AN11" s="396"/>
      <c r="AO11" s="396"/>
      <c r="AP11" s="397"/>
    </row>
    <row r="12" spans="1:42" ht="15.75" x14ac:dyDescent="0.25">
      <c r="A12" s="1757"/>
      <c r="B12" s="747" t="s">
        <v>946</v>
      </c>
      <c r="C12" s="747"/>
      <c r="D12" s="815" t="s">
        <v>1024</v>
      </c>
      <c r="E12" s="1760"/>
      <c r="F12" s="647">
        <f>'exchange rates'!$O$3</f>
        <v>18.600290000000001</v>
      </c>
      <c r="G12" s="625" t="s">
        <v>5</v>
      </c>
      <c r="H12" s="593" t="s">
        <v>5</v>
      </c>
      <c r="I12" s="594" t="s">
        <v>5</v>
      </c>
      <c r="J12" s="595" t="s">
        <v>5</v>
      </c>
      <c r="K12" s="566" t="s">
        <v>5</v>
      </c>
      <c r="L12" s="596" t="s">
        <v>5</v>
      </c>
      <c r="M12" s="595" t="s">
        <v>5</v>
      </c>
      <c r="N12" s="626" t="s">
        <v>5</v>
      </c>
      <c r="O12" s="595" t="s">
        <v>5</v>
      </c>
      <c r="P12" s="597" t="s">
        <v>5</v>
      </c>
      <c r="Q12" s="595" t="s">
        <v>5</v>
      </c>
      <c r="R12" s="570" t="s">
        <v>5</v>
      </c>
      <c r="S12" s="571">
        <f>619.48/F12</f>
        <v>33.30485707480905</v>
      </c>
      <c r="T12" s="397"/>
      <c r="U12" s="1763"/>
      <c r="V12" s="1766"/>
      <c r="W12" s="1769"/>
      <c r="X12" s="1772"/>
      <c r="Y12" s="1775"/>
      <c r="Z12" s="1778"/>
      <c r="AA12" s="1772"/>
      <c r="AB12" s="1781"/>
      <c r="AC12" s="1772"/>
      <c r="AD12" s="1785"/>
      <c r="AE12" s="1772"/>
      <c r="AF12" s="1788"/>
      <c r="AG12" s="1791"/>
      <c r="AH12" s="397"/>
      <c r="AI12" s="396"/>
      <c r="AJ12" s="396"/>
      <c r="AK12" s="396"/>
      <c r="AL12" s="396"/>
      <c r="AM12" s="396"/>
      <c r="AN12" s="396"/>
      <c r="AO12" s="396"/>
      <c r="AP12" s="397"/>
    </row>
    <row r="13" spans="1:42" ht="16.5" thickBot="1" x14ac:dyDescent="0.3">
      <c r="A13" s="1758"/>
      <c r="B13" s="747" t="s">
        <v>947</v>
      </c>
      <c r="C13" s="747"/>
      <c r="D13" s="815" t="s">
        <v>1024</v>
      </c>
      <c r="E13" s="1761"/>
      <c r="F13" s="647">
        <f>'exchange rates'!$O$3</f>
        <v>18.600290000000001</v>
      </c>
      <c r="G13" s="625" t="s">
        <v>5</v>
      </c>
      <c r="H13" s="593" t="s">
        <v>5</v>
      </c>
      <c r="I13" s="594" t="s">
        <v>5</v>
      </c>
      <c r="J13" s="595" t="s">
        <v>5</v>
      </c>
      <c r="K13" s="566" t="s">
        <v>5</v>
      </c>
      <c r="L13" s="596" t="s">
        <v>5</v>
      </c>
      <c r="M13" s="595" t="s">
        <v>5</v>
      </c>
      <c r="N13" s="626" t="s">
        <v>5</v>
      </c>
      <c r="O13" s="595" t="s">
        <v>5</v>
      </c>
      <c r="P13" s="597" t="s">
        <v>5</v>
      </c>
      <c r="Q13" s="595" t="s">
        <v>5</v>
      </c>
      <c r="R13" s="570" t="s">
        <v>5</v>
      </c>
      <c r="S13" s="571">
        <f>1941.86/F13</f>
        <v>104.3994475354954</v>
      </c>
      <c r="T13" s="397"/>
      <c r="U13" s="1764"/>
      <c r="V13" s="1767"/>
      <c r="W13" s="1770"/>
      <c r="X13" s="1773"/>
      <c r="Y13" s="1776"/>
      <c r="Z13" s="1779"/>
      <c r="AA13" s="1773"/>
      <c r="AB13" s="1811"/>
      <c r="AC13" s="1773"/>
      <c r="AD13" s="1813"/>
      <c r="AE13" s="1773"/>
      <c r="AF13" s="1815"/>
      <c r="AG13" s="1794"/>
      <c r="AH13" s="397"/>
      <c r="AI13" s="396"/>
      <c r="AJ13" s="396"/>
      <c r="AK13" s="396"/>
      <c r="AL13" s="396"/>
      <c r="AM13" s="396"/>
      <c r="AN13" s="396"/>
      <c r="AO13" s="396"/>
      <c r="AP13" s="397"/>
    </row>
    <row r="14" spans="1:42" ht="15.6" customHeight="1" thickBot="1" x14ac:dyDescent="0.3">
      <c r="A14" s="868" t="s">
        <v>524</v>
      </c>
      <c r="B14" s="751" t="s">
        <v>526</v>
      </c>
      <c r="C14" s="752" t="s">
        <v>429</v>
      </c>
      <c r="D14" s="816" t="s">
        <v>1026</v>
      </c>
      <c r="E14" s="885">
        <v>9100</v>
      </c>
      <c r="F14" s="647">
        <f>'exchange rates'!O4</f>
        <v>483.08548000000002</v>
      </c>
      <c r="G14" s="625">
        <f>(127.5*200)/F14</f>
        <v>52.78568919107235</v>
      </c>
      <c r="H14" s="593">
        <f>0</f>
        <v>0</v>
      </c>
      <c r="I14" s="594">
        <f>0</f>
        <v>0</v>
      </c>
      <c r="J14" s="595">
        <f>(25.5*200)/F14</f>
        <v>10.557137838214471</v>
      </c>
      <c r="K14" s="566">
        <f>Tabel6689262829[[#This Row],[Fix.ch. 2017]]+Tabel6689262829[[#This Row],[Var. ch. 2017]]+Tabel6689262829[[#This Row],[Oth. ch. DW 2017]]+Tabel6689262829[[#This Row],[VAT DW 2017]]</f>
        <v>63.342827029286823</v>
      </c>
      <c r="L14" s="596">
        <f>(22.5*200)/F14</f>
        <v>9.3151216219539439</v>
      </c>
      <c r="M14" s="595">
        <f>(4.5*200)/F14</f>
        <v>1.8630243243907889</v>
      </c>
      <c r="N14" s="626">
        <v>0</v>
      </c>
      <c r="O14" s="595">
        <v>0</v>
      </c>
      <c r="P14" s="597">
        <v>0</v>
      </c>
      <c r="Q14" s="595">
        <v>0</v>
      </c>
      <c r="R14" s="570">
        <f>Tabel6689262829[[#This Row],[VAT DW 2017]]+Tabel6689262829[[#This Row],[VAT Sew. 2017]]+Tabel6689262829[[#This Row],[VAT WW 2017]]+Tabel6689262829[[#This Row],[VAT Other ch. 2017]]</f>
        <v>12.42016216260526</v>
      </c>
      <c r="S14" s="571">
        <f>Tabel6689262829[[#This Row],[Total. ch. DW 2017]]+Tabel6689262829[[#This Row],[Sew. 2017]]+Tabel6689262829[[#This Row],[VAT Sew. 2017]]+Tabel6689262829[[#This Row],[WW 2017]]+Tabel6689262829[[#This Row],[VAT WW 2017]]+Tabel6689262829[[#This Row],[Other ch. 2017]]+Tabel6689262829[[#This Row],[VAT Other ch. 2017]]</f>
        <v>74.520972975631565</v>
      </c>
      <c r="T14" s="397"/>
      <c r="U14" s="882">
        <f t="shared" ref="U14:AG14" si="0">MEDIAN(G14:G14)</f>
        <v>52.78568919107235</v>
      </c>
      <c r="V14" s="879">
        <f t="shared" si="0"/>
        <v>0</v>
      </c>
      <c r="W14" s="883">
        <f t="shared" si="0"/>
        <v>0</v>
      </c>
      <c r="X14" s="878">
        <f t="shared" si="0"/>
        <v>10.557137838214471</v>
      </c>
      <c r="Y14" s="884">
        <f t="shared" si="0"/>
        <v>63.342827029286823</v>
      </c>
      <c r="Z14" s="896">
        <f t="shared" si="0"/>
        <v>9.3151216219539439</v>
      </c>
      <c r="AA14" s="878">
        <f t="shared" si="0"/>
        <v>1.8630243243907889</v>
      </c>
      <c r="AB14" s="876">
        <f t="shared" si="0"/>
        <v>0</v>
      </c>
      <c r="AC14" s="878">
        <f t="shared" si="0"/>
        <v>0</v>
      </c>
      <c r="AD14" s="895">
        <f t="shared" si="0"/>
        <v>0</v>
      </c>
      <c r="AE14" s="878">
        <f t="shared" si="0"/>
        <v>0</v>
      </c>
      <c r="AF14" s="893">
        <f t="shared" si="0"/>
        <v>12.42016216260526</v>
      </c>
      <c r="AG14" s="877">
        <f t="shared" si="0"/>
        <v>74.520972975631565</v>
      </c>
      <c r="AH14" s="397"/>
      <c r="AI14" s="398"/>
      <c r="AJ14" s="591" t="s">
        <v>429</v>
      </c>
      <c r="AK14" s="398"/>
      <c r="AL14" s="398"/>
      <c r="AM14" s="398"/>
      <c r="AN14" s="591" t="s">
        <v>429</v>
      </c>
      <c r="AO14" s="398"/>
      <c r="AP14" s="397"/>
    </row>
    <row r="15" spans="1:42" ht="18" customHeight="1" x14ac:dyDescent="0.25">
      <c r="A15" s="1795" t="s">
        <v>34</v>
      </c>
      <c r="B15" s="664" t="s">
        <v>176</v>
      </c>
      <c r="C15" s="653"/>
      <c r="D15" s="653" t="s">
        <v>1028</v>
      </c>
      <c r="E15" s="1798">
        <v>49900</v>
      </c>
      <c r="F15" s="616">
        <f>'exchange rates'!$O$5</f>
        <v>1.2820499999999999</v>
      </c>
      <c r="G15" s="625">
        <f>192.28/F15</f>
        <v>149.97854997854998</v>
      </c>
      <c r="H15" s="593">
        <f>703.52/F15</f>
        <v>548.74614874614872</v>
      </c>
      <c r="I15" s="594">
        <v>0</v>
      </c>
      <c r="J15" s="595">
        <v>0</v>
      </c>
      <c r="K15" s="566">
        <f>Tabel6689262829[[#This Row],[Fix.ch. 2017]]+Tabel6689262829[[#This Row],[Var. ch. 2017]]+Tabel6689262829[[#This Row],[Oth. ch. DW 2017]]+Tabel6689262829[[#This Row],[VAT DW 2017]]</f>
        <v>698.72469872469867</v>
      </c>
      <c r="L15" s="596">
        <f>522/F15</f>
        <v>407.1604071604072</v>
      </c>
      <c r="M15" s="595">
        <v>0</v>
      </c>
      <c r="N15" s="626">
        <v>0</v>
      </c>
      <c r="O15" s="595">
        <v>0</v>
      </c>
      <c r="P15" s="597">
        <v>0</v>
      </c>
      <c r="Q15" s="595">
        <v>0</v>
      </c>
      <c r="R15" s="570">
        <f>Tabel6689262829[[#This Row],[VAT DW 2017]]+Tabel6689262829[[#This Row],[VAT Sew. 2017]]+Tabel6689262829[[#This Row],[VAT WW 2017]]+Tabel6689262829[[#This Row],[VAT Other ch. 2017]]</f>
        <v>0</v>
      </c>
      <c r="S15" s="571">
        <f>Tabel6689262829[[#This Row],[Total. ch. DW 2017]]+Tabel6689262829[[#This Row],[Sew. 2017]]+Tabel6689262829[[#This Row],[VAT Sew. 2017]]+Tabel6689262829[[#This Row],[WW 2017]]+Tabel6689262829[[#This Row],[VAT WW 2017]]+Tabel6689262829[[#This Row],[Other ch. 2017]]+Tabel6689262829[[#This Row],[VAT Other ch. 2017]]</f>
        <v>1105.885105885106</v>
      </c>
      <c r="T15" s="397"/>
      <c r="U15" s="1800">
        <f>MEDIAN(G15:G23)</f>
        <v>129.72192972192974</v>
      </c>
      <c r="V15" s="1802">
        <f>MEDIAN(H15:H23)</f>
        <v>336.16473616473621</v>
      </c>
      <c r="W15" s="1804">
        <f>MEDIAN(I15:I23)</f>
        <v>0</v>
      </c>
      <c r="X15" s="1771">
        <f>MEDIAN(J15:J23)</f>
        <v>0</v>
      </c>
      <c r="Y15" s="1806">
        <f>SUM(U15:X23)</f>
        <v>465.88666588666592</v>
      </c>
      <c r="Z15" s="1808">
        <f t="shared" ref="Z15:AF15" si="1">MEDIAN(L15:L23)</f>
        <v>455.52045552045553</v>
      </c>
      <c r="AA15" s="1771">
        <f t="shared" si="1"/>
        <v>0</v>
      </c>
      <c r="AB15" s="1780">
        <f t="shared" si="1"/>
        <v>0</v>
      </c>
      <c r="AC15" s="1771">
        <f t="shared" si="1"/>
        <v>0</v>
      </c>
      <c r="AD15" s="1784">
        <f t="shared" si="1"/>
        <v>0</v>
      </c>
      <c r="AE15" s="1771">
        <f t="shared" si="1"/>
        <v>0</v>
      </c>
      <c r="AF15" s="1787">
        <f t="shared" si="1"/>
        <v>0</v>
      </c>
      <c r="AG15" s="1790">
        <f>Y15+Z15+AA15+AB15+AC15+AD15+AE15</f>
        <v>921.40712140712139</v>
      </c>
      <c r="AH15" s="397"/>
      <c r="AI15" s="398"/>
      <c r="AJ15" s="591" t="s">
        <v>429</v>
      </c>
      <c r="AK15" s="398"/>
      <c r="AL15" s="396"/>
      <c r="AM15" s="591" t="s">
        <v>429</v>
      </c>
      <c r="AN15" s="396"/>
      <c r="AO15" s="398"/>
      <c r="AP15" s="397"/>
    </row>
    <row r="16" spans="1:42" ht="15.75" x14ac:dyDescent="0.25">
      <c r="A16" s="1796"/>
      <c r="B16" s="261" t="s">
        <v>177</v>
      </c>
      <c r="C16" s="261"/>
      <c r="D16" s="261" t="s">
        <v>1028</v>
      </c>
      <c r="E16" s="1760"/>
      <c r="F16" s="616">
        <f>'exchange rates'!$O$5</f>
        <v>1.2820499999999999</v>
      </c>
      <c r="G16" s="310"/>
      <c r="H16" s="311"/>
      <c r="I16" s="312"/>
      <c r="J16" s="558"/>
      <c r="K16" s="313">
        <f>Tabel6689262829[[#This Row],[Fix.ch. 2017]]+Tabel6689262829[[#This Row],[Var. ch. 2017]]+Tabel6689262829[[#This Row],[Oth. ch. DW 2017]]+Tabel6689262829[[#This Row],[VAT DW 2017]]</f>
        <v>0</v>
      </c>
      <c r="L16" s="314"/>
      <c r="M16" s="558"/>
      <c r="N16" s="315"/>
      <c r="O16" s="558"/>
      <c r="P16" s="316"/>
      <c r="Q16" s="558"/>
      <c r="R16" s="317">
        <f>Tabel6689262829[[#This Row],[VAT DW 2017]]+Tabel6689262829[[#This Row],[VAT Sew. 2017]]+Tabel6689262829[[#This Row],[VAT WW 2017]]+Tabel6689262829[[#This Row],[VAT Other ch. 2017]]</f>
        <v>0</v>
      </c>
      <c r="S16" s="318">
        <f>Tabel6689262829[[#This Row],[Total. ch. DW 2017]]+Tabel6689262829[[#This Row],[Sew. 2017]]+Tabel6689262829[[#This Row],[VAT Sew. 2017]]+Tabel6689262829[[#This Row],[WW 2017]]+Tabel6689262829[[#This Row],[VAT WW 2017]]+Tabel6689262829[[#This Row],[Other ch. 2017]]+Tabel6689262829[[#This Row],[VAT Other ch. 2017]]</f>
        <v>0</v>
      </c>
      <c r="T16" s="397"/>
      <c r="U16" s="1763"/>
      <c r="V16" s="1766"/>
      <c r="W16" s="1769"/>
      <c r="X16" s="1783"/>
      <c r="Y16" s="1775"/>
      <c r="Z16" s="1778"/>
      <c r="AA16" s="1783"/>
      <c r="AB16" s="1781"/>
      <c r="AC16" s="1783"/>
      <c r="AD16" s="1785"/>
      <c r="AE16" s="1783"/>
      <c r="AF16" s="1788"/>
      <c r="AG16" s="1791"/>
      <c r="AH16" s="397"/>
      <c r="AI16" s="398"/>
      <c r="AJ16" s="398"/>
      <c r="AK16" s="398"/>
      <c r="AL16" s="396"/>
      <c r="AM16" s="396"/>
      <c r="AN16" s="396"/>
      <c r="AO16" s="398"/>
      <c r="AP16" s="397"/>
    </row>
    <row r="17" spans="1:42" ht="15.75" x14ac:dyDescent="0.25">
      <c r="A17" s="1796"/>
      <c r="B17" s="631" t="s">
        <v>178</v>
      </c>
      <c r="C17" s="631"/>
      <c r="D17" s="631" t="s">
        <v>1028</v>
      </c>
      <c r="E17" s="1760"/>
      <c r="F17" s="616">
        <f>'exchange rates'!$O$5</f>
        <v>1.2820499999999999</v>
      </c>
      <c r="G17" s="625">
        <f>166.31/F17</f>
        <v>129.72192972192974</v>
      </c>
      <c r="H17" s="593">
        <f>430.98/F17</f>
        <v>336.16473616473621</v>
      </c>
      <c r="I17" s="594">
        <v>0</v>
      </c>
      <c r="J17" s="595">
        <v>0</v>
      </c>
      <c r="K17" s="566">
        <f>Tabel6689262829[[#This Row],[Fix.ch. 2017]]+Tabel6689262829[[#This Row],[Var. ch. 2017]]+Tabel6689262829[[#This Row],[Oth. ch. DW 2017]]+Tabel6689262829[[#This Row],[VAT DW 2017]]</f>
        <v>465.88666588666592</v>
      </c>
      <c r="L17" s="596">
        <f>622.16/F17</f>
        <v>485.28528528528528</v>
      </c>
      <c r="M17" s="595">
        <v>0</v>
      </c>
      <c r="N17" s="626">
        <v>0</v>
      </c>
      <c r="O17" s="595">
        <v>0</v>
      </c>
      <c r="P17" s="597">
        <v>0</v>
      </c>
      <c r="Q17" s="595">
        <v>0</v>
      </c>
      <c r="R17" s="570">
        <f>Tabel6689262829[[#This Row],[VAT DW 2017]]+Tabel6689262829[[#This Row],[VAT Sew. 2017]]+Tabel6689262829[[#This Row],[VAT WW 2017]]+Tabel6689262829[[#This Row],[VAT Other ch. 2017]]</f>
        <v>0</v>
      </c>
      <c r="S17" s="571">
        <f>Tabel6689262829[[#This Row],[Total. ch. DW 2017]]+Tabel6689262829[[#This Row],[Sew. 2017]]+Tabel6689262829[[#This Row],[VAT Sew. 2017]]+Tabel6689262829[[#This Row],[WW 2017]]+Tabel6689262829[[#This Row],[VAT WW 2017]]+Tabel6689262829[[#This Row],[Other ch. 2017]]+Tabel6689262829[[#This Row],[VAT Other ch. 2017]]</f>
        <v>951.17195117195115</v>
      </c>
      <c r="T17" s="397"/>
      <c r="U17" s="1763"/>
      <c r="V17" s="1766"/>
      <c r="W17" s="1769"/>
      <c r="X17" s="1783"/>
      <c r="Y17" s="1775"/>
      <c r="Z17" s="1778"/>
      <c r="AA17" s="1783"/>
      <c r="AB17" s="1781"/>
      <c r="AC17" s="1783"/>
      <c r="AD17" s="1785"/>
      <c r="AE17" s="1783"/>
      <c r="AF17" s="1788"/>
      <c r="AG17" s="1791"/>
      <c r="AH17" s="397"/>
      <c r="AI17" s="398"/>
      <c r="AJ17" s="591" t="s">
        <v>429</v>
      </c>
      <c r="AK17" s="398"/>
      <c r="AL17" s="396"/>
      <c r="AM17" s="591" t="s">
        <v>429</v>
      </c>
      <c r="AN17" s="396"/>
      <c r="AO17" s="398"/>
      <c r="AP17" s="397"/>
    </row>
    <row r="18" spans="1:42" ht="15.75" x14ac:dyDescent="0.25">
      <c r="A18" s="1796"/>
      <c r="B18" s="631" t="s">
        <v>179</v>
      </c>
      <c r="C18" s="631"/>
      <c r="D18" s="631" t="s">
        <v>1028</v>
      </c>
      <c r="E18" s="1760"/>
      <c r="F18" s="616">
        <f>'exchange rates'!$O$5</f>
        <v>1.2820499999999999</v>
      </c>
      <c r="G18" s="625">
        <f>236.32/F18</f>
        <v>184.32978432978433</v>
      </c>
      <c r="H18" s="593">
        <f>342.6/F18</f>
        <v>267.22826722826727</v>
      </c>
      <c r="I18" s="594">
        <v>0</v>
      </c>
      <c r="J18" s="595">
        <v>0</v>
      </c>
      <c r="K18" s="566">
        <f>Tabel6689262829[[#This Row],[Fix.ch. 2017]]+Tabel6689262829[[#This Row],[Var. ch. 2017]]+Tabel6689262829[[#This Row],[Oth. ch. DW 2017]]+Tabel6689262829[[#This Row],[VAT DW 2017]]</f>
        <v>451.5580515580516</v>
      </c>
      <c r="L18" s="596">
        <f>758/F18</f>
        <v>591.24059124059124</v>
      </c>
      <c r="M18" s="595">
        <v>0</v>
      </c>
      <c r="N18" s="626">
        <v>0</v>
      </c>
      <c r="O18" s="595">
        <v>0</v>
      </c>
      <c r="P18" s="597">
        <v>0</v>
      </c>
      <c r="Q18" s="595">
        <v>0</v>
      </c>
      <c r="R18" s="570">
        <f>Tabel6689262829[[#This Row],[VAT DW 2017]]+Tabel6689262829[[#This Row],[VAT Sew. 2017]]+Tabel6689262829[[#This Row],[VAT WW 2017]]+Tabel6689262829[[#This Row],[VAT Other ch. 2017]]</f>
        <v>0</v>
      </c>
      <c r="S18" s="571">
        <f>Tabel6689262829[[#This Row],[Total. ch. DW 2017]]+Tabel6689262829[[#This Row],[Sew. 2017]]+Tabel6689262829[[#This Row],[VAT Sew. 2017]]+Tabel6689262829[[#This Row],[WW 2017]]+Tabel6689262829[[#This Row],[VAT WW 2017]]+Tabel6689262829[[#This Row],[Other ch. 2017]]+Tabel6689262829[[#This Row],[VAT Other ch. 2017]]</f>
        <v>1042.798642798643</v>
      </c>
      <c r="T18" s="397"/>
      <c r="U18" s="1763"/>
      <c r="V18" s="1766"/>
      <c r="W18" s="1769"/>
      <c r="X18" s="1783"/>
      <c r="Y18" s="1775"/>
      <c r="Z18" s="1778"/>
      <c r="AA18" s="1783"/>
      <c r="AB18" s="1781"/>
      <c r="AC18" s="1783"/>
      <c r="AD18" s="1785"/>
      <c r="AE18" s="1783"/>
      <c r="AF18" s="1788"/>
      <c r="AG18" s="1791"/>
      <c r="AH18" s="397"/>
      <c r="AI18" s="398"/>
      <c r="AJ18" s="591" t="s">
        <v>429</v>
      </c>
      <c r="AK18" s="398"/>
      <c r="AL18" s="396"/>
      <c r="AM18" s="591" t="s">
        <v>429</v>
      </c>
      <c r="AN18" s="396"/>
      <c r="AO18" s="398"/>
      <c r="AP18" s="397"/>
    </row>
    <row r="19" spans="1:42" ht="15.75" x14ac:dyDescent="0.25">
      <c r="A19" s="1796"/>
      <c r="B19" s="631" t="s">
        <v>180</v>
      </c>
      <c r="C19" s="631"/>
      <c r="D19" s="631" t="s">
        <v>1028</v>
      </c>
      <c r="E19" s="1760"/>
      <c r="F19" s="616">
        <f>'exchange rates'!$O$5</f>
        <v>1.2820499999999999</v>
      </c>
      <c r="G19" s="625">
        <f>90/F19</f>
        <v>70.200070200070201</v>
      </c>
      <c r="H19" s="593">
        <f>400/F19</f>
        <v>312.00031200031202</v>
      </c>
      <c r="I19" s="594">
        <v>0</v>
      </c>
      <c r="J19" s="595">
        <v>0</v>
      </c>
      <c r="K19" s="566">
        <f>Tabel6689262829[[#This Row],[Fix.ch. 2017]]+Tabel6689262829[[#This Row],[Var. ch. 2017]]+Tabel6689262829[[#This Row],[Oth. ch. DW 2017]]+Tabel6689262829[[#This Row],[VAT DW 2017]]</f>
        <v>382.20038220038225</v>
      </c>
      <c r="L19" s="596">
        <f>584/F19</f>
        <v>455.52045552045553</v>
      </c>
      <c r="M19" s="595">
        <v>0</v>
      </c>
      <c r="N19" s="626">
        <v>0</v>
      </c>
      <c r="O19" s="595">
        <v>0</v>
      </c>
      <c r="P19" s="597">
        <v>0</v>
      </c>
      <c r="Q19" s="595">
        <v>0</v>
      </c>
      <c r="R19" s="570">
        <f>Tabel6689262829[[#This Row],[VAT DW 2017]]+Tabel6689262829[[#This Row],[VAT Sew. 2017]]+Tabel6689262829[[#This Row],[VAT WW 2017]]+Tabel6689262829[[#This Row],[VAT Other ch. 2017]]</f>
        <v>0</v>
      </c>
      <c r="S19" s="571">
        <f>Tabel6689262829[[#This Row],[Total. ch. DW 2017]]+Tabel6689262829[[#This Row],[Sew. 2017]]+Tabel6689262829[[#This Row],[VAT Sew. 2017]]+Tabel6689262829[[#This Row],[WW 2017]]+Tabel6689262829[[#This Row],[VAT WW 2017]]+Tabel6689262829[[#This Row],[Other ch. 2017]]+Tabel6689262829[[#This Row],[VAT Other ch. 2017]]</f>
        <v>837.72083772083784</v>
      </c>
      <c r="T19" s="397"/>
      <c r="U19" s="1763"/>
      <c r="V19" s="1766"/>
      <c r="W19" s="1769"/>
      <c r="X19" s="1783"/>
      <c r="Y19" s="1775"/>
      <c r="Z19" s="1778"/>
      <c r="AA19" s="1783"/>
      <c r="AB19" s="1781"/>
      <c r="AC19" s="1783"/>
      <c r="AD19" s="1785"/>
      <c r="AE19" s="1783"/>
      <c r="AF19" s="1788"/>
      <c r="AG19" s="1791"/>
      <c r="AH19" s="397"/>
      <c r="AI19" s="398"/>
      <c r="AJ19" s="591" t="s">
        <v>429</v>
      </c>
      <c r="AK19" s="396"/>
      <c r="AL19" s="396"/>
      <c r="AM19" s="591" t="s">
        <v>429</v>
      </c>
      <c r="AN19" s="396"/>
      <c r="AO19" s="398"/>
      <c r="AP19" s="397"/>
    </row>
    <row r="20" spans="1:42" ht="15.75" x14ac:dyDescent="0.25">
      <c r="A20" s="1796"/>
      <c r="B20" s="631" t="s">
        <v>544</v>
      </c>
      <c r="C20" s="631" t="s">
        <v>429</v>
      </c>
      <c r="D20" s="631" t="s">
        <v>1028</v>
      </c>
      <c r="E20" s="1760"/>
      <c r="F20" s="616">
        <f>'exchange rates'!$O$5</f>
        <v>1.2820499999999999</v>
      </c>
      <c r="G20" s="625">
        <f>101.48/F20</f>
        <v>79.154479154479162</v>
      </c>
      <c r="H20" s="593">
        <f>522/F20</f>
        <v>407.1604071604072</v>
      </c>
      <c r="I20" s="594">
        <v>0</v>
      </c>
      <c r="J20" s="595">
        <v>0</v>
      </c>
      <c r="K20" s="566">
        <f>Tabel6689262829[[#This Row],[Fix.ch. 2017]]+Tabel6689262829[[#This Row],[Var. ch. 2017]]+Tabel6689262829[[#This Row],[Oth. ch. DW 2017]]+Tabel6689262829[[#This Row],[VAT DW 2017]]</f>
        <v>486.31488631488639</v>
      </c>
      <c r="L20" s="596">
        <f>529/F20</f>
        <v>412.62041262041265</v>
      </c>
      <c r="M20" s="595">
        <v>0</v>
      </c>
      <c r="N20" s="626">
        <v>0</v>
      </c>
      <c r="O20" s="595">
        <v>0</v>
      </c>
      <c r="P20" s="597">
        <v>0</v>
      </c>
      <c r="Q20" s="595">
        <v>0</v>
      </c>
      <c r="R20" s="570">
        <f>Tabel6689262829[[#This Row],[VAT DW 2017]]+Tabel6689262829[[#This Row],[VAT Sew. 2017]]+Tabel6689262829[[#This Row],[VAT WW 2017]]+Tabel6689262829[[#This Row],[VAT Other ch. 2017]]</f>
        <v>0</v>
      </c>
      <c r="S20" s="571">
        <f>Tabel6689262829[[#This Row],[Total. ch. DW 2017]]+Tabel6689262829[[#This Row],[Sew. 2017]]+Tabel6689262829[[#This Row],[VAT Sew. 2017]]+Tabel6689262829[[#This Row],[WW 2017]]+Tabel6689262829[[#This Row],[VAT WW 2017]]+Tabel6689262829[[#This Row],[Other ch. 2017]]+Tabel6689262829[[#This Row],[VAT Other ch. 2017]]</f>
        <v>898.93529893529899</v>
      </c>
      <c r="T20" s="397"/>
      <c r="U20" s="1763"/>
      <c r="V20" s="1766"/>
      <c r="W20" s="1769"/>
      <c r="X20" s="1783"/>
      <c r="Y20" s="1775"/>
      <c r="Z20" s="1778"/>
      <c r="AA20" s="1783"/>
      <c r="AB20" s="1781"/>
      <c r="AC20" s="1783"/>
      <c r="AD20" s="1785"/>
      <c r="AE20" s="1783"/>
      <c r="AF20" s="1788"/>
      <c r="AG20" s="1791"/>
      <c r="AH20" s="397"/>
      <c r="AI20" s="396"/>
      <c r="AJ20" s="591" t="s">
        <v>429</v>
      </c>
      <c r="AK20" s="396"/>
      <c r="AL20" s="396"/>
      <c r="AM20" s="591" t="s">
        <v>429</v>
      </c>
      <c r="AN20" s="396"/>
      <c r="AO20" s="396"/>
      <c r="AP20" s="399"/>
    </row>
    <row r="21" spans="1:42" ht="15.75" x14ac:dyDescent="0.25">
      <c r="A21" s="1796"/>
      <c r="B21" s="261" t="s">
        <v>545</v>
      </c>
      <c r="C21" s="261"/>
      <c r="D21" s="261" t="s">
        <v>1028</v>
      </c>
      <c r="E21" s="1760"/>
      <c r="F21" s="616">
        <f>'exchange rates'!$O$5</f>
        <v>1.2820499999999999</v>
      </c>
      <c r="G21" s="310"/>
      <c r="H21" s="311"/>
      <c r="I21" s="312"/>
      <c r="J21" s="558"/>
      <c r="K21" s="313">
        <f>Tabel6689262829[[#This Row],[Fix.ch. 2017]]+Tabel6689262829[[#This Row],[Var. ch. 2017]]+Tabel6689262829[[#This Row],[Oth. ch. DW 2017]]+Tabel6689262829[[#This Row],[VAT DW 2017]]</f>
        <v>0</v>
      </c>
      <c r="L21" s="314"/>
      <c r="M21" s="558"/>
      <c r="N21" s="315"/>
      <c r="O21" s="558"/>
      <c r="P21" s="316"/>
      <c r="Q21" s="558"/>
      <c r="R21" s="317">
        <f>Tabel6689262829[[#This Row],[VAT DW 2017]]+Tabel6689262829[[#This Row],[VAT Sew. 2017]]+Tabel6689262829[[#This Row],[VAT WW 2017]]+Tabel6689262829[[#This Row],[VAT Other ch. 2017]]</f>
        <v>0</v>
      </c>
      <c r="S21" s="318">
        <f>Tabel6689262829[[#This Row],[Total. ch. DW 2017]]+Tabel6689262829[[#This Row],[Sew. 2017]]+Tabel6689262829[[#This Row],[VAT Sew. 2017]]+Tabel6689262829[[#This Row],[WW 2017]]+Tabel6689262829[[#This Row],[VAT WW 2017]]+Tabel6689262829[[#This Row],[Other ch. 2017]]+Tabel6689262829[[#This Row],[VAT Other ch. 2017]]</f>
        <v>0</v>
      </c>
      <c r="T21" s="397"/>
      <c r="U21" s="1763"/>
      <c r="V21" s="1766"/>
      <c r="W21" s="1769"/>
      <c r="X21" s="1783"/>
      <c r="Y21" s="1775"/>
      <c r="Z21" s="1778"/>
      <c r="AA21" s="1783"/>
      <c r="AB21" s="1781"/>
      <c r="AC21" s="1783"/>
      <c r="AD21" s="1785"/>
      <c r="AE21" s="1783"/>
      <c r="AF21" s="1788"/>
      <c r="AG21" s="1791"/>
      <c r="AH21" s="397"/>
      <c r="AI21" s="396"/>
      <c r="AJ21" s="396"/>
      <c r="AK21" s="396"/>
      <c r="AL21" s="396"/>
      <c r="AM21" s="396"/>
      <c r="AN21" s="396"/>
      <c r="AO21" s="396"/>
      <c r="AP21" s="399"/>
    </row>
    <row r="22" spans="1:42" ht="15.75" x14ac:dyDescent="0.25">
      <c r="A22" s="1796"/>
      <c r="B22" s="261" t="s">
        <v>779</v>
      </c>
      <c r="C22" s="261"/>
      <c r="D22" s="261" t="s">
        <v>1028</v>
      </c>
      <c r="E22" s="1760"/>
      <c r="F22" s="616">
        <f>'exchange rates'!$O$5</f>
        <v>1.2820499999999999</v>
      </c>
      <c r="G22" s="310"/>
      <c r="H22" s="311"/>
      <c r="I22" s="312"/>
      <c r="J22" s="558"/>
      <c r="K22" s="313">
        <f>Tabel6689262829[[#This Row],[Fix.ch. 2017]]+Tabel6689262829[[#This Row],[Var. ch. 2017]]+Tabel6689262829[[#This Row],[Oth. ch. DW 2017]]+Tabel6689262829[[#This Row],[VAT DW 2017]]</f>
        <v>0</v>
      </c>
      <c r="L22" s="314"/>
      <c r="M22" s="558"/>
      <c r="N22" s="315"/>
      <c r="O22" s="558"/>
      <c r="P22" s="316"/>
      <c r="Q22" s="558"/>
      <c r="R22" s="317">
        <f>Tabel6689262829[[#This Row],[VAT DW 2017]]+Tabel6689262829[[#This Row],[VAT Sew. 2017]]+Tabel6689262829[[#This Row],[VAT WW 2017]]+Tabel6689262829[[#This Row],[VAT Other ch. 2017]]</f>
        <v>0</v>
      </c>
      <c r="S22" s="318">
        <f>Tabel6689262829[[#This Row],[Total. ch. DW 2017]]+Tabel6689262829[[#This Row],[Sew. 2017]]+Tabel6689262829[[#This Row],[VAT Sew. 2017]]+Tabel6689262829[[#This Row],[WW 2017]]+Tabel6689262829[[#This Row],[VAT WW 2017]]+Tabel6689262829[[#This Row],[Other ch. 2017]]+Tabel6689262829[[#This Row],[VAT Other ch. 2017]]</f>
        <v>0</v>
      </c>
      <c r="T22" s="397"/>
      <c r="U22" s="1763"/>
      <c r="V22" s="1766"/>
      <c r="W22" s="1769"/>
      <c r="X22" s="1783"/>
      <c r="Y22" s="1775"/>
      <c r="Z22" s="1778"/>
      <c r="AA22" s="1783"/>
      <c r="AB22" s="1781"/>
      <c r="AC22" s="1783"/>
      <c r="AD22" s="1785"/>
      <c r="AE22" s="1783"/>
      <c r="AF22" s="1788"/>
      <c r="AG22" s="1791"/>
      <c r="AH22" s="397"/>
      <c r="AI22" s="396"/>
      <c r="AJ22" s="396"/>
      <c r="AK22" s="396"/>
      <c r="AL22" s="396"/>
      <c r="AM22" s="396"/>
      <c r="AN22" s="396"/>
      <c r="AO22" s="396"/>
      <c r="AP22" s="399"/>
    </row>
    <row r="23" spans="1:42" ht="16.5" thickBot="1" x14ac:dyDescent="0.3">
      <c r="A23" s="1797"/>
      <c r="B23" s="262" t="s">
        <v>546</v>
      </c>
      <c r="C23" s="261"/>
      <c r="D23" s="261" t="s">
        <v>1028</v>
      </c>
      <c r="E23" s="1799"/>
      <c r="F23" s="616">
        <f>'exchange rates'!$O$5</f>
        <v>1.2820499999999999</v>
      </c>
      <c r="G23" s="310"/>
      <c r="H23" s="311"/>
      <c r="I23" s="312"/>
      <c r="J23" s="558"/>
      <c r="K23" s="313">
        <f>Tabel6689262829[[#This Row],[Fix.ch. 2017]]+Tabel6689262829[[#This Row],[Var. ch. 2017]]+Tabel6689262829[[#This Row],[Oth. ch. DW 2017]]+Tabel6689262829[[#This Row],[VAT DW 2017]]</f>
        <v>0</v>
      </c>
      <c r="L23" s="314"/>
      <c r="M23" s="558"/>
      <c r="N23" s="315"/>
      <c r="O23" s="558"/>
      <c r="P23" s="316"/>
      <c r="Q23" s="558"/>
      <c r="R23" s="317">
        <f>Tabel6689262829[[#This Row],[VAT DW 2017]]+Tabel6689262829[[#This Row],[VAT Sew. 2017]]+Tabel6689262829[[#This Row],[VAT WW 2017]]+Tabel6689262829[[#This Row],[VAT Other ch. 2017]]</f>
        <v>0</v>
      </c>
      <c r="S23" s="318">
        <f>Tabel6689262829[[#This Row],[Total. ch. DW 2017]]+Tabel6689262829[[#This Row],[Sew. 2017]]+Tabel6689262829[[#This Row],[VAT Sew. 2017]]+Tabel6689262829[[#This Row],[WW 2017]]+Tabel6689262829[[#This Row],[VAT WW 2017]]+Tabel6689262829[[#This Row],[Other ch. 2017]]+Tabel6689262829[[#This Row],[VAT Other ch. 2017]]</f>
        <v>0</v>
      </c>
      <c r="T23" s="397"/>
      <c r="U23" s="1801"/>
      <c r="V23" s="1803"/>
      <c r="W23" s="1805"/>
      <c r="X23" s="1773"/>
      <c r="Y23" s="1807"/>
      <c r="Z23" s="1809"/>
      <c r="AA23" s="1773"/>
      <c r="AB23" s="1782"/>
      <c r="AC23" s="1773"/>
      <c r="AD23" s="1786"/>
      <c r="AE23" s="1773"/>
      <c r="AF23" s="1789"/>
      <c r="AG23" s="1792"/>
      <c r="AH23" s="397"/>
      <c r="AI23" s="396"/>
      <c r="AJ23" s="396"/>
      <c r="AK23" s="396"/>
      <c r="AL23" s="396"/>
      <c r="AM23" s="396"/>
      <c r="AN23" s="396"/>
      <c r="AO23" s="396"/>
      <c r="AP23" s="399"/>
    </row>
    <row r="24" spans="1:42" ht="15.75" customHeight="1" x14ac:dyDescent="0.25">
      <c r="A24" s="1795" t="s">
        <v>4</v>
      </c>
      <c r="B24" s="724" t="s">
        <v>932</v>
      </c>
      <c r="C24" s="724"/>
      <c r="D24" s="806" t="s">
        <v>1030</v>
      </c>
      <c r="E24" s="1760">
        <v>49200</v>
      </c>
      <c r="F24" s="616">
        <f>'exchange rates'!O6</f>
        <v>0.83301000000000003</v>
      </c>
      <c r="G24" s="625">
        <f>36.66/F24</f>
        <v>44.009075521302258</v>
      </c>
      <c r="H24" s="593">
        <f>297.2/F24</f>
        <v>356.77843003085195</v>
      </c>
      <c r="I24" s="594">
        <v>0</v>
      </c>
      <c r="J24" s="595">
        <f>33.39/F24</f>
        <v>40.083552418338314</v>
      </c>
      <c r="K24" s="566">
        <f>Tabel6689262829[[#This Row],[Fix.ch. 2017]]+Tabel6689262829[[#This Row],[Var. ch. 2017]]+Tabel6689262829[[#This Row],[Oth. ch. DW 2017]]+Tabel6689262829[[#This Row],[VAT DW 2017]]</f>
        <v>440.87105797049253</v>
      </c>
      <c r="L24" s="596">
        <v>0</v>
      </c>
      <c r="M24" s="595">
        <v>0</v>
      </c>
      <c r="N24" s="626">
        <f>386.4/F24</f>
        <v>463.85997767133642</v>
      </c>
      <c r="O24" s="595">
        <f>38.64/F24</f>
        <v>46.385997767133645</v>
      </c>
      <c r="P24" s="597">
        <v>0</v>
      </c>
      <c r="Q24" s="595">
        <v>0</v>
      </c>
      <c r="R24" s="570">
        <f>Tabel6689262829[[#This Row],[VAT DW 2017]]+Tabel6689262829[[#This Row],[VAT Sew. 2017]]+Tabel6689262829[[#This Row],[VAT WW 2017]]+Tabel6689262829[[#This Row],[VAT Other ch. 2017]]</f>
        <v>86.469550185471959</v>
      </c>
      <c r="S24" s="571">
        <f>Tabel6689262829[[#This Row],[Total. ch. DW 2017]]+Tabel6689262829[[#This Row],[Sew. 2017]]+Tabel6689262829[[#This Row],[VAT Sew. 2017]]+Tabel6689262829[[#This Row],[WW 2017]]+Tabel6689262829[[#This Row],[VAT WW 2017]]+Tabel6689262829[[#This Row],[Other ch. 2017]]+Tabel6689262829[[#This Row],[VAT Other ch. 2017]]</f>
        <v>951.11703340896258</v>
      </c>
      <c r="T24" s="397"/>
      <c r="U24" s="1824">
        <f>Tabel6689262829[[#This Row],[Fix.ch. 2017]]</f>
        <v>44.009075521302258</v>
      </c>
      <c r="V24" s="1825">
        <f>Tabel6689262829[[#This Row],[Var. ch. 2017]]</f>
        <v>356.77843003085195</v>
      </c>
      <c r="W24" s="1826">
        <f>Tabel6689262829[[#This Row],[Oth. ch. DW 2017]]</f>
        <v>0</v>
      </c>
      <c r="X24" s="1771">
        <f>Tabel6689262829[[#This Row],[VAT DW 2017]]</f>
        <v>40.083552418338314</v>
      </c>
      <c r="Y24" s="1827">
        <f>Tabel6689262829[[#This Row],[Total. ch. DW 2017]]</f>
        <v>440.87105797049253</v>
      </c>
      <c r="Z24" s="1828">
        <f>L24</f>
        <v>0</v>
      </c>
      <c r="AA24" s="1771">
        <f>Tabel6689262829[[#This Row],[VAT Sew. 2017]]</f>
        <v>0</v>
      </c>
      <c r="AB24" s="1829">
        <f>Tabel6689262829[[#This Row],[WW 2017]]</f>
        <v>463.85997767133642</v>
      </c>
      <c r="AC24" s="1771">
        <f>Tabel6689262829[[#This Row],[VAT WW 2017]]</f>
        <v>46.385997767133645</v>
      </c>
      <c r="AD24" s="1830">
        <f>Tabel6689262829[[#This Row],[Other ch. 2017]]</f>
        <v>0</v>
      </c>
      <c r="AE24" s="1771">
        <f>Tabel6689262829[[#This Row],[VAT Other ch. 2017]]</f>
        <v>0</v>
      </c>
      <c r="AF24" s="1816">
        <f>Tabel6689262829[[#This Row],[Total VAT 2017]]</f>
        <v>86.469550185471959</v>
      </c>
      <c r="AG24" s="1817">
        <f>Y24+Z24+AA24+AB24+AC24+AD24+AE24</f>
        <v>951.11703340896258</v>
      </c>
      <c r="AH24" s="397"/>
      <c r="AI24" s="398"/>
      <c r="AJ24" s="591" t="s">
        <v>429</v>
      </c>
      <c r="AK24" s="614"/>
      <c r="AL24" s="614"/>
      <c r="AM24" s="591" t="s">
        <v>429</v>
      </c>
      <c r="AN24" s="591" t="s">
        <v>429</v>
      </c>
      <c r="AO24" s="398"/>
      <c r="AP24" s="397"/>
    </row>
    <row r="25" spans="1:42" ht="15.75" customHeight="1" x14ac:dyDescent="0.25">
      <c r="A25" s="1796"/>
      <c r="B25" s="452" t="s">
        <v>60</v>
      </c>
      <c r="C25" s="452"/>
      <c r="D25" s="452" t="s">
        <v>1030</v>
      </c>
      <c r="E25" s="1760"/>
      <c r="F25" s="306">
        <f>'exchange rates'!K6</f>
        <v>0.72762000000000004</v>
      </c>
      <c r="G25" s="310">
        <f>17.52/F25</f>
        <v>24.078502515049063</v>
      </c>
      <c r="H25" s="311">
        <f>262/F25</f>
        <v>360.07806272504877</v>
      </c>
      <c r="I25" s="312">
        <v>0</v>
      </c>
      <c r="J25" s="558"/>
      <c r="K25" s="313">
        <f>Tabel6689262829[[#This Row],[Fix.ch. 2017]]+Tabel6689262829[[#This Row],[Var. ch. 2017]]+Tabel6689262829[[#This Row],[Oth. ch. DW 2017]]+Tabel6689262829[[#This Row],[VAT DW 2017]]</f>
        <v>384.15656524009785</v>
      </c>
      <c r="L25" s="314">
        <v>0</v>
      </c>
      <c r="M25" s="558"/>
      <c r="N25" s="315">
        <f>382.6/F25</f>
        <v>525.82391907863996</v>
      </c>
      <c r="O25" s="558"/>
      <c r="P25" s="316">
        <v>0</v>
      </c>
      <c r="Q25" s="558"/>
      <c r="R25" s="317">
        <f>Tabel6689262829[[#This Row],[VAT DW 2017]]+Tabel6689262829[[#This Row],[VAT Sew. 2017]]+Tabel6689262829[[#This Row],[VAT WW 2017]]+Tabel6689262829[[#This Row],[VAT Other ch. 2017]]</f>
        <v>0</v>
      </c>
      <c r="S25" s="318">
        <f>Tabel6689262829[[#This Row],[Total. ch. DW 2017]]+Tabel6689262829[[#This Row],[Sew. 2017]]+Tabel6689262829[[#This Row],[VAT Sew. 2017]]+Tabel6689262829[[#This Row],[WW 2017]]+Tabel6689262829[[#This Row],[VAT WW 2017]]+Tabel6689262829[[#This Row],[Other ch. 2017]]+Tabel6689262829[[#This Row],[VAT Other ch. 2017]]</f>
        <v>909.98048431873781</v>
      </c>
      <c r="T25" s="397"/>
      <c r="U25" s="1763"/>
      <c r="V25" s="1766"/>
      <c r="W25" s="1769"/>
      <c r="X25" s="1772"/>
      <c r="Y25" s="1775"/>
      <c r="Z25" s="1778"/>
      <c r="AA25" s="1772"/>
      <c r="AB25" s="1781"/>
      <c r="AC25" s="1772"/>
      <c r="AD25" s="1785"/>
      <c r="AE25" s="1772"/>
      <c r="AF25" s="1788"/>
      <c r="AG25" s="1791"/>
      <c r="AH25" s="397"/>
      <c r="AI25" s="398"/>
      <c r="AJ25" s="396" t="s">
        <v>429</v>
      </c>
      <c r="AK25" s="398"/>
      <c r="AL25" s="398"/>
      <c r="AM25" s="396" t="s">
        <v>429</v>
      </c>
      <c r="AN25" s="396"/>
      <c r="AO25" s="398"/>
      <c r="AP25" s="397"/>
    </row>
    <row r="26" spans="1:42" ht="15.75" customHeight="1" x14ac:dyDescent="0.25">
      <c r="A26" s="1796"/>
      <c r="B26" s="452" t="s">
        <v>61</v>
      </c>
      <c r="C26" s="452"/>
      <c r="D26" s="452" t="s">
        <v>1030</v>
      </c>
      <c r="E26" s="1760"/>
      <c r="F26" s="306">
        <f>'exchange rates'!K6</f>
        <v>0.72762000000000004</v>
      </c>
      <c r="G26" s="310">
        <f>62.59/F26</f>
        <v>86.020175366262606</v>
      </c>
      <c r="H26" s="311">
        <f>165.58/F26</f>
        <v>227.5638382672274</v>
      </c>
      <c r="I26" s="312">
        <v>0</v>
      </c>
      <c r="J26" s="558"/>
      <c r="K26" s="313">
        <f>Tabel6689262829[[#This Row],[Fix.ch. 2017]]+Tabel6689262829[[#This Row],[Var. ch. 2017]]+Tabel6689262829[[#This Row],[Oth. ch. DW 2017]]+Tabel6689262829[[#This Row],[VAT DW 2017]]</f>
        <v>313.58401363349003</v>
      </c>
      <c r="L26" s="314">
        <f>0</f>
        <v>0</v>
      </c>
      <c r="M26" s="558"/>
      <c r="N26" s="315">
        <f>192.04/F26</f>
        <v>263.92897391495558</v>
      </c>
      <c r="O26" s="558"/>
      <c r="P26" s="316">
        <v>0</v>
      </c>
      <c r="Q26" s="558"/>
      <c r="R26" s="317">
        <f>Tabel6689262829[[#This Row],[VAT DW 2017]]+Tabel6689262829[[#This Row],[VAT Sew. 2017]]+Tabel6689262829[[#This Row],[VAT WW 2017]]+Tabel6689262829[[#This Row],[VAT Other ch. 2017]]</f>
        <v>0</v>
      </c>
      <c r="S26" s="318">
        <f>Tabel6689262829[[#This Row],[Total. ch. DW 2017]]+Tabel6689262829[[#This Row],[Sew. 2017]]+Tabel6689262829[[#This Row],[VAT Sew. 2017]]+Tabel6689262829[[#This Row],[WW 2017]]+Tabel6689262829[[#This Row],[VAT WW 2017]]+Tabel6689262829[[#This Row],[Other ch. 2017]]+Tabel6689262829[[#This Row],[VAT Other ch. 2017]]</f>
        <v>577.51298754844561</v>
      </c>
      <c r="T26" s="397"/>
      <c r="U26" s="1763"/>
      <c r="V26" s="1766"/>
      <c r="W26" s="1769"/>
      <c r="X26" s="1772"/>
      <c r="Y26" s="1775"/>
      <c r="Z26" s="1778"/>
      <c r="AA26" s="1772"/>
      <c r="AB26" s="1781"/>
      <c r="AC26" s="1772"/>
      <c r="AD26" s="1785"/>
      <c r="AE26" s="1772"/>
      <c r="AF26" s="1788"/>
      <c r="AG26" s="1791"/>
      <c r="AH26" s="397"/>
      <c r="AI26" s="398"/>
      <c r="AJ26" s="396" t="s">
        <v>429</v>
      </c>
      <c r="AK26" s="398"/>
      <c r="AL26" s="398"/>
      <c r="AM26" s="396" t="s">
        <v>429</v>
      </c>
      <c r="AN26" s="396"/>
      <c r="AO26" s="398"/>
      <c r="AP26" s="397"/>
    </row>
    <row r="27" spans="1:42" ht="16.5" customHeight="1" x14ac:dyDescent="0.25">
      <c r="A27" s="1796"/>
      <c r="B27" s="452" t="s">
        <v>62</v>
      </c>
      <c r="C27" s="452"/>
      <c r="D27" s="452" t="s">
        <v>1030</v>
      </c>
      <c r="E27" s="1760"/>
      <c r="F27" s="306">
        <f>'exchange rates'!K6</f>
        <v>0.72762000000000004</v>
      </c>
      <c r="G27" s="310">
        <f>23.4/F27</f>
        <v>32.159643770099777</v>
      </c>
      <c r="H27" s="311">
        <f>293.62/F27</f>
        <v>403.53481212720925</v>
      </c>
      <c r="I27" s="312">
        <v>0</v>
      </c>
      <c r="J27" s="558"/>
      <c r="K27" s="313">
        <f>Tabel6689262829[[#This Row],[Fix.ch. 2017]]+Tabel6689262829[[#This Row],[Var. ch. 2017]]+Tabel6689262829[[#This Row],[Oth. ch. DW 2017]]+Tabel6689262829[[#This Row],[VAT DW 2017]]</f>
        <v>435.69445589730901</v>
      </c>
      <c r="L27" s="314">
        <v>0</v>
      </c>
      <c r="M27" s="558"/>
      <c r="N27" s="315">
        <f>496/F27</f>
        <v>681.67450042604651</v>
      </c>
      <c r="O27" s="558"/>
      <c r="P27" s="316">
        <v>0</v>
      </c>
      <c r="Q27" s="558"/>
      <c r="R27" s="317">
        <f>Tabel6689262829[[#This Row],[VAT DW 2017]]+Tabel6689262829[[#This Row],[VAT Sew. 2017]]+Tabel6689262829[[#This Row],[VAT WW 2017]]+Tabel6689262829[[#This Row],[VAT Other ch. 2017]]</f>
        <v>0</v>
      </c>
      <c r="S27" s="318">
        <f>Tabel6689262829[[#This Row],[Total. ch. DW 2017]]+Tabel6689262829[[#This Row],[Sew. 2017]]+Tabel6689262829[[#This Row],[VAT Sew. 2017]]+Tabel6689262829[[#This Row],[WW 2017]]+Tabel6689262829[[#This Row],[VAT WW 2017]]+Tabel6689262829[[#This Row],[Other ch. 2017]]+Tabel6689262829[[#This Row],[VAT Other ch. 2017]]</f>
        <v>1117.3689563233556</v>
      </c>
      <c r="T27" s="397"/>
      <c r="U27" s="1763"/>
      <c r="V27" s="1766"/>
      <c r="W27" s="1769"/>
      <c r="X27" s="1772"/>
      <c r="Y27" s="1775"/>
      <c r="Z27" s="1778"/>
      <c r="AA27" s="1772"/>
      <c r="AB27" s="1781"/>
      <c r="AC27" s="1772"/>
      <c r="AD27" s="1785"/>
      <c r="AE27" s="1772"/>
      <c r="AF27" s="1788"/>
      <c r="AG27" s="1791"/>
      <c r="AH27" s="397"/>
      <c r="AI27" s="398"/>
      <c r="AJ27" s="396" t="s">
        <v>429</v>
      </c>
      <c r="AK27" s="398"/>
      <c r="AL27" s="398"/>
      <c r="AM27" s="396" t="s">
        <v>429</v>
      </c>
      <c r="AN27" s="396"/>
      <c r="AO27" s="398"/>
      <c r="AP27" s="397"/>
    </row>
    <row r="28" spans="1:42" ht="16.5" customHeight="1" thickBot="1" x14ac:dyDescent="0.3">
      <c r="A28" s="1797"/>
      <c r="B28" s="453" t="s">
        <v>63</v>
      </c>
      <c r="C28" s="801" t="s">
        <v>429</v>
      </c>
      <c r="D28" s="801" t="s">
        <v>1030</v>
      </c>
      <c r="E28" s="1799"/>
      <c r="F28" s="306">
        <f>'exchange rates'!K6</f>
        <v>0.72762000000000004</v>
      </c>
      <c r="G28" s="310">
        <f>21.72/F28</f>
        <v>29.850746268656714</v>
      </c>
      <c r="H28" s="311">
        <f>311.4/F28</f>
        <v>427.97064401748162</v>
      </c>
      <c r="I28" s="312">
        <v>0</v>
      </c>
      <c r="J28" s="558"/>
      <c r="K28" s="313">
        <f>Tabel6689262829[[#This Row],[Fix.ch. 2017]]+Tabel6689262829[[#This Row],[Var. ch. 2017]]+Tabel6689262829[[#This Row],[Oth. ch. DW 2017]]+Tabel6689262829[[#This Row],[VAT DW 2017]]</f>
        <v>457.82139028613835</v>
      </c>
      <c r="L28" s="314">
        <v>0</v>
      </c>
      <c r="M28" s="558"/>
      <c r="N28" s="315">
        <f>354.6/F28</f>
        <v>487.34229405458893</v>
      </c>
      <c r="O28" s="558"/>
      <c r="P28" s="316">
        <v>0</v>
      </c>
      <c r="Q28" s="558"/>
      <c r="R28" s="317">
        <f>Tabel6689262829[[#This Row],[VAT DW 2017]]+Tabel6689262829[[#This Row],[VAT Sew. 2017]]+Tabel6689262829[[#This Row],[VAT WW 2017]]+Tabel6689262829[[#This Row],[VAT Other ch. 2017]]</f>
        <v>0</v>
      </c>
      <c r="S28" s="318">
        <f>Tabel6689262829[[#This Row],[Total. ch. DW 2017]]+Tabel6689262829[[#This Row],[Sew. 2017]]+Tabel6689262829[[#This Row],[VAT Sew. 2017]]+Tabel6689262829[[#This Row],[WW 2017]]+Tabel6689262829[[#This Row],[VAT WW 2017]]+Tabel6689262829[[#This Row],[Other ch. 2017]]+Tabel6689262829[[#This Row],[VAT Other ch. 2017]]</f>
        <v>945.16368434072729</v>
      </c>
      <c r="T28" s="397"/>
      <c r="U28" s="1801"/>
      <c r="V28" s="1803"/>
      <c r="W28" s="1805"/>
      <c r="X28" s="1773"/>
      <c r="Y28" s="1807"/>
      <c r="Z28" s="1809"/>
      <c r="AA28" s="1773"/>
      <c r="AB28" s="1782"/>
      <c r="AC28" s="1773"/>
      <c r="AD28" s="1786"/>
      <c r="AE28" s="1773"/>
      <c r="AF28" s="1789"/>
      <c r="AG28" s="1792"/>
      <c r="AH28" s="397"/>
      <c r="AI28" s="398"/>
      <c r="AJ28" s="396" t="s">
        <v>429</v>
      </c>
      <c r="AK28" s="398"/>
      <c r="AL28" s="398"/>
      <c r="AM28" s="396" t="s">
        <v>429</v>
      </c>
      <c r="AN28" s="396"/>
      <c r="AO28" s="398"/>
      <c r="AP28" s="397"/>
    </row>
    <row r="29" spans="1:42" ht="15.75" customHeight="1" x14ac:dyDescent="0.25">
      <c r="A29" s="1818" t="s">
        <v>6</v>
      </c>
      <c r="B29" s="735" t="s">
        <v>67</v>
      </c>
      <c r="C29" s="802"/>
      <c r="D29" s="802" t="s">
        <v>1032</v>
      </c>
      <c r="E29" s="1821">
        <v>46300</v>
      </c>
      <c r="F29" s="616">
        <f>'exchange rates'!$O$7</f>
        <v>0.83301000000000003</v>
      </c>
      <c r="G29" s="625">
        <v>0</v>
      </c>
      <c r="H29" s="593">
        <f>345.08/F29</f>
        <v>414.25673161186535</v>
      </c>
      <c r="I29" s="594">
        <v>0</v>
      </c>
      <c r="J29" s="595">
        <f>20.7/F29</f>
        <v>24.849641660964451</v>
      </c>
      <c r="K29" s="566">
        <f>Tabel6689262829[[#This Row],[Fix.ch. 2017]]+Tabel6689262829[[#This Row],[Var. ch. 2017]]+Tabel6689262829[[#This Row],[Oth. ch. DW 2017]]+Tabel6689262829[[#This Row],[VAT DW 2017]]</f>
        <v>439.10637327282979</v>
      </c>
      <c r="L29" s="596">
        <f>265.28/F29</f>
        <v>318.4595623101763</v>
      </c>
      <c r="M29" s="595">
        <f>15.92/F29</f>
        <v>19.111415229108893</v>
      </c>
      <c r="N29" s="626">
        <f>189.48/F29</f>
        <v>227.46425613137896</v>
      </c>
      <c r="O29" s="595">
        <f>11.37/F29</f>
        <v>13.649295926819605</v>
      </c>
      <c r="P29" s="597">
        <v>0</v>
      </c>
      <c r="Q29" s="595">
        <v>0</v>
      </c>
      <c r="R29" s="570">
        <f>Tabel6689262829[[#This Row],[VAT DW 2017]]+Tabel6689262829[[#This Row],[VAT Sew. 2017]]+Tabel6689262829[[#This Row],[VAT WW 2017]]+Tabel6689262829[[#This Row],[VAT Other ch. 2017]]</f>
        <v>57.610352816892949</v>
      </c>
      <c r="S29" s="571">
        <f>Tabel6689262829[[#This Row],[Total. ch. DW 2017]]+Tabel6689262829[[#This Row],[Sew. 2017]]+Tabel6689262829[[#This Row],[VAT Sew. 2017]]+Tabel6689262829[[#This Row],[WW 2017]]+Tabel6689262829[[#This Row],[VAT WW 2017]]+Tabel6689262829[[#This Row],[Other ch. 2017]]+Tabel6689262829[[#This Row],[VAT Other ch. 2017]]</f>
        <v>1017.7909028703135</v>
      </c>
      <c r="T29" s="397"/>
      <c r="U29" s="1824">
        <f>MEDIAN(G29:G36)</f>
        <v>0</v>
      </c>
      <c r="V29" s="1825">
        <f>MEDIAN(H29:H36)</f>
        <v>466.14686498361357</v>
      </c>
      <c r="W29" s="1826">
        <f>MEDIAN(I29:I36)</f>
        <v>0</v>
      </c>
      <c r="X29" s="1771">
        <f>MEDIAN(J29:J36)</f>
        <v>27.964850361940432</v>
      </c>
      <c r="Y29" s="1827">
        <f>SUM(U29:X36)</f>
        <v>494.11171534555399</v>
      </c>
      <c r="Z29" s="1828">
        <f t="shared" ref="Z29:AF29" si="2">MEDIAN(L29:L36)</f>
        <v>293.4598624266215</v>
      </c>
      <c r="AA29" s="1771">
        <f t="shared" si="2"/>
        <v>17.610833003205244</v>
      </c>
      <c r="AB29" s="1829">
        <f t="shared" si="2"/>
        <v>238.83866940372866</v>
      </c>
      <c r="AC29" s="1771">
        <f t="shared" si="2"/>
        <v>14.33356142183167</v>
      </c>
      <c r="AD29" s="1830">
        <f t="shared" si="2"/>
        <v>0</v>
      </c>
      <c r="AE29" s="1771">
        <f t="shared" si="2"/>
        <v>0</v>
      </c>
      <c r="AF29" s="1816">
        <f t="shared" si="2"/>
        <v>58.06052748466405</v>
      </c>
      <c r="AG29" s="1817">
        <f>Y29+Z29+AA29+AB29+AC29+AD29+AE29</f>
        <v>1058.3546416009412</v>
      </c>
      <c r="AH29" s="397"/>
      <c r="AI29" s="398"/>
      <c r="AJ29" s="398"/>
      <c r="AK29" s="398"/>
      <c r="AL29" s="591" t="s">
        <v>429</v>
      </c>
      <c r="AM29" s="591" t="s">
        <v>429</v>
      </c>
      <c r="AN29" s="614"/>
      <c r="AO29" s="398"/>
      <c r="AP29" s="397"/>
    </row>
    <row r="30" spans="1:42" ht="15.75" customHeight="1" x14ac:dyDescent="0.25">
      <c r="A30" s="1819"/>
      <c r="B30" s="685" t="s">
        <v>71</v>
      </c>
      <c r="C30" s="802"/>
      <c r="D30" s="802" t="s">
        <v>1032</v>
      </c>
      <c r="E30" s="1822"/>
      <c r="F30" s="616">
        <f>'exchange rates'!$O$7</f>
        <v>0.83301000000000003</v>
      </c>
      <c r="G30" s="625">
        <f>0/F30</f>
        <v>0</v>
      </c>
      <c r="H30" s="593">
        <f>295.61/F30</f>
        <v>354.86968943950251</v>
      </c>
      <c r="I30" s="594">
        <v>0</v>
      </c>
      <c r="J30" s="595">
        <f>17.74/F30</f>
        <v>21.296262950024605</v>
      </c>
      <c r="K30" s="566">
        <f>Tabel6689262829[[#This Row],[Fix.ch. 2017]]+Tabel6689262829[[#This Row],[Var. ch. 2017]]+Tabel6689262829[[#This Row],[Oth. ch. DW 2017]]+Tabel6689262829[[#This Row],[VAT DW 2017]]</f>
        <v>376.16595238952709</v>
      </c>
      <c r="L30" s="596">
        <f>223.63/F30</f>
        <v>268.4601625430667</v>
      </c>
      <c r="M30" s="595">
        <f>13.42/F30</f>
        <v>16.110250777301591</v>
      </c>
      <c r="N30" s="626">
        <f>208.43/F30</f>
        <v>250.21308267607833</v>
      </c>
      <c r="O30" s="595">
        <f>12.51/F30</f>
        <v>15.017826916843735</v>
      </c>
      <c r="P30" s="597">
        <v>0</v>
      </c>
      <c r="Q30" s="595">
        <v>0</v>
      </c>
      <c r="R30" s="570">
        <f>Tabel6689262829[[#This Row],[VAT DW 2017]]+Tabel6689262829[[#This Row],[VAT Sew. 2017]]+Tabel6689262829[[#This Row],[VAT WW 2017]]+Tabel6689262829[[#This Row],[VAT Other ch. 2017]]</f>
        <v>52.424340644169931</v>
      </c>
      <c r="S30" s="571">
        <f>Tabel6689262829[[#This Row],[Total. ch. DW 2017]]+Tabel6689262829[[#This Row],[Sew. 2017]]+Tabel6689262829[[#This Row],[VAT Sew. 2017]]+Tabel6689262829[[#This Row],[WW 2017]]+Tabel6689262829[[#This Row],[VAT WW 2017]]+Tabel6689262829[[#This Row],[Other ch. 2017]]+Tabel6689262829[[#This Row],[VAT Other ch. 2017]]</f>
        <v>925.96727530281748</v>
      </c>
      <c r="T30" s="397"/>
      <c r="U30" s="1763"/>
      <c r="V30" s="1766"/>
      <c r="W30" s="1769"/>
      <c r="X30" s="1772"/>
      <c r="Y30" s="1775"/>
      <c r="Z30" s="1778"/>
      <c r="AA30" s="1772"/>
      <c r="AB30" s="1781"/>
      <c r="AC30" s="1772"/>
      <c r="AD30" s="1785"/>
      <c r="AE30" s="1772"/>
      <c r="AF30" s="1788"/>
      <c r="AG30" s="1791"/>
      <c r="AH30" s="397"/>
      <c r="AI30" s="398"/>
      <c r="AJ30" s="398"/>
      <c r="AK30" s="398"/>
      <c r="AL30" s="591" t="s">
        <v>429</v>
      </c>
      <c r="AM30" s="591" t="s">
        <v>429</v>
      </c>
      <c r="AN30" s="614"/>
      <c r="AO30" s="398"/>
      <c r="AP30" s="397"/>
    </row>
    <row r="31" spans="1:42" ht="15.75" customHeight="1" x14ac:dyDescent="0.25">
      <c r="A31" s="1819"/>
      <c r="B31" s="685" t="s">
        <v>68</v>
      </c>
      <c r="C31" s="802" t="s">
        <v>429</v>
      </c>
      <c r="D31" s="802" t="s">
        <v>1032</v>
      </c>
      <c r="E31" s="1822"/>
      <c r="F31" s="616">
        <f>'exchange rates'!$O$7</f>
        <v>0.83301000000000003</v>
      </c>
      <c r="G31" s="625">
        <f>24/F31</f>
        <v>28.81117873735009</v>
      </c>
      <c r="H31" s="593">
        <f>456.92/F31</f>
        <v>548.51682452791681</v>
      </c>
      <c r="I31" s="594">
        <v>0</v>
      </c>
      <c r="J31" s="595">
        <f>28.86/F31</f>
        <v>34.645442431663483</v>
      </c>
      <c r="K31" s="566">
        <f>Tabel6689262829[[#This Row],[Fix.ch. 2017]]+Tabel6689262829[[#This Row],[Var. ch. 2017]]+Tabel6689262829[[#This Row],[Oth. ch. DW 2017]]+Tabel6689262829[[#This Row],[VAT DW 2017]]</f>
        <v>611.97344569693041</v>
      </c>
      <c r="L31" s="596">
        <f>213.7/F31</f>
        <v>256.5395373404881</v>
      </c>
      <c r="M31" s="595">
        <f>12.82/F31</f>
        <v>15.389971308867841</v>
      </c>
      <c r="N31" s="626">
        <f>117.7/F31</f>
        <v>141.29482239108773</v>
      </c>
      <c r="O31" s="595">
        <f>7.06/F31</f>
        <v>8.4752884119038185</v>
      </c>
      <c r="P31" s="597">
        <v>0</v>
      </c>
      <c r="Q31" s="595">
        <v>0</v>
      </c>
      <c r="R31" s="570">
        <f>Tabel6689262829[[#This Row],[VAT DW 2017]]+Tabel6689262829[[#This Row],[VAT Sew. 2017]]+Tabel6689262829[[#This Row],[VAT WW 2017]]+Tabel6689262829[[#This Row],[VAT Other ch. 2017]]</f>
        <v>58.510702152435144</v>
      </c>
      <c r="S31" s="571">
        <f>Tabel6689262829[[#This Row],[Total. ch. DW 2017]]+Tabel6689262829[[#This Row],[Sew. 2017]]+Tabel6689262829[[#This Row],[VAT Sew. 2017]]+Tabel6689262829[[#This Row],[WW 2017]]+Tabel6689262829[[#This Row],[VAT WW 2017]]+Tabel6689262829[[#This Row],[Other ch. 2017]]+Tabel6689262829[[#This Row],[VAT Other ch. 2017]]</f>
        <v>1033.673065149278</v>
      </c>
      <c r="T31" s="397"/>
      <c r="U31" s="1763"/>
      <c r="V31" s="1766"/>
      <c r="W31" s="1769"/>
      <c r="X31" s="1772"/>
      <c r="Y31" s="1775"/>
      <c r="Z31" s="1778"/>
      <c r="AA31" s="1772"/>
      <c r="AB31" s="1781"/>
      <c r="AC31" s="1772"/>
      <c r="AD31" s="1785"/>
      <c r="AE31" s="1772"/>
      <c r="AF31" s="1788"/>
      <c r="AG31" s="1791"/>
      <c r="AH31" s="397"/>
      <c r="AI31" s="398"/>
      <c r="AJ31" s="398"/>
      <c r="AK31" s="398"/>
      <c r="AL31" s="591" t="s">
        <v>429</v>
      </c>
      <c r="AM31" s="591" t="s">
        <v>429</v>
      </c>
      <c r="AN31" s="614"/>
      <c r="AO31" s="398"/>
      <c r="AP31" s="397"/>
    </row>
    <row r="32" spans="1:42" ht="15.75" customHeight="1" x14ac:dyDescent="0.25">
      <c r="A32" s="1819"/>
      <c r="B32" s="685" t="s">
        <v>72</v>
      </c>
      <c r="C32" s="802"/>
      <c r="D32" s="802" t="s">
        <v>1032</v>
      </c>
      <c r="E32" s="1822"/>
      <c r="F32" s="616">
        <f>'exchange rates'!$O$7</f>
        <v>0.83301000000000003</v>
      </c>
      <c r="G32" s="625">
        <f>56.17/F32</f>
        <v>67.430162903206437</v>
      </c>
      <c r="H32" s="593">
        <f>519.59/F32</f>
        <v>623.75001500582232</v>
      </c>
      <c r="I32" s="594">
        <f>5.18/F32</f>
        <v>6.2184127441447279</v>
      </c>
      <c r="J32" s="595">
        <f>34.86/F32</f>
        <v>41.848237116001009</v>
      </c>
      <c r="K32" s="566">
        <f>Tabel6689262829[[#This Row],[Fix.ch. 2017]]+Tabel6689262829[[#This Row],[Var. ch. 2017]]+Tabel6689262829[[#This Row],[Oth. ch. DW 2017]]+Tabel6689262829[[#This Row],[VAT DW 2017]]</f>
        <v>739.2468277691745</v>
      </c>
      <c r="L32" s="596">
        <v>0</v>
      </c>
      <c r="M32" s="595">
        <v>0</v>
      </c>
      <c r="N32" s="626">
        <f>448/F32</f>
        <v>537.80866976386835</v>
      </c>
      <c r="O32" s="595">
        <f>26.86/F32</f>
        <v>32.244510870217646</v>
      </c>
      <c r="P32" s="597">
        <v>0</v>
      </c>
      <c r="Q32" s="595">
        <v>0</v>
      </c>
      <c r="R32" s="570">
        <f>Tabel6689262829[[#This Row],[VAT DW 2017]]+Tabel6689262829[[#This Row],[VAT Sew. 2017]]+Tabel6689262829[[#This Row],[VAT WW 2017]]+Tabel6689262829[[#This Row],[VAT Other ch. 2017]]</f>
        <v>74.092747986218654</v>
      </c>
      <c r="S32" s="571">
        <f>Tabel6689262829[[#This Row],[Total. ch. DW 2017]]+Tabel6689262829[[#This Row],[Sew. 2017]]+Tabel6689262829[[#This Row],[VAT Sew. 2017]]+Tabel6689262829[[#This Row],[WW 2017]]+Tabel6689262829[[#This Row],[VAT WW 2017]]+Tabel6689262829[[#This Row],[Other ch. 2017]]+Tabel6689262829[[#This Row],[VAT Other ch. 2017]]</f>
        <v>1309.3000084032606</v>
      </c>
      <c r="T32" s="397"/>
      <c r="U32" s="1763"/>
      <c r="V32" s="1766"/>
      <c r="W32" s="1769"/>
      <c r="X32" s="1772"/>
      <c r="Y32" s="1775"/>
      <c r="Z32" s="1778"/>
      <c r="AA32" s="1772"/>
      <c r="AB32" s="1781"/>
      <c r="AC32" s="1772"/>
      <c r="AD32" s="1785"/>
      <c r="AE32" s="1772"/>
      <c r="AF32" s="1788"/>
      <c r="AG32" s="1791"/>
      <c r="AH32" s="397"/>
      <c r="AI32" s="398"/>
      <c r="AJ32" s="398"/>
      <c r="AK32" s="398"/>
      <c r="AL32" s="591" t="s">
        <v>429</v>
      </c>
      <c r="AM32" s="591" t="s">
        <v>429</v>
      </c>
      <c r="AN32" s="591" t="s">
        <v>429</v>
      </c>
      <c r="AO32" s="398"/>
      <c r="AP32" s="397"/>
    </row>
    <row r="33" spans="1:42" ht="15.75" customHeight="1" x14ac:dyDescent="0.25">
      <c r="A33" s="1819"/>
      <c r="B33" s="685" t="s">
        <v>69</v>
      </c>
      <c r="C33" s="802"/>
      <c r="D33" s="802" t="s">
        <v>1032</v>
      </c>
      <c r="E33" s="1822"/>
      <c r="F33" s="616">
        <f>'exchange rates'!$O$7</f>
        <v>0.83301000000000003</v>
      </c>
      <c r="G33" s="625">
        <v>0</v>
      </c>
      <c r="H33" s="593">
        <f>345.08/F33</f>
        <v>414.25673161186535</v>
      </c>
      <c r="I33" s="594">
        <v>0</v>
      </c>
      <c r="J33" s="595">
        <f>20.7/F33</f>
        <v>24.849641660964451</v>
      </c>
      <c r="K33" s="566">
        <f>Tabel6689262829[[#This Row],[Fix.ch. 2017]]+Tabel6689262829[[#This Row],[Var. ch. 2017]]+Tabel6689262829[[#This Row],[Oth. ch. DW 2017]]+Tabel6689262829[[#This Row],[VAT DW 2017]]</f>
        <v>439.10637327282979</v>
      </c>
      <c r="L33" s="596">
        <f>265.28/F33</f>
        <v>318.4595623101763</v>
      </c>
      <c r="M33" s="595">
        <f>15.92/F33</f>
        <v>19.111415229108893</v>
      </c>
      <c r="N33" s="626">
        <f>189.48/F33</f>
        <v>227.46425613137896</v>
      </c>
      <c r="O33" s="595">
        <f>11.37/F33</f>
        <v>13.649295926819605</v>
      </c>
      <c r="P33" s="597">
        <v>0</v>
      </c>
      <c r="Q33" s="595">
        <v>0</v>
      </c>
      <c r="R33" s="570">
        <f>Tabel6689262829[[#This Row],[VAT DW 2017]]+Tabel6689262829[[#This Row],[VAT Sew. 2017]]+Tabel6689262829[[#This Row],[VAT WW 2017]]+Tabel6689262829[[#This Row],[VAT Other ch. 2017]]</f>
        <v>57.610352816892949</v>
      </c>
      <c r="S33" s="571">
        <f>Tabel6689262829[[#This Row],[Total. ch. DW 2017]]+Tabel6689262829[[#This Row],[Sew. 2017]]+Tabel6689262829[[#This Row],[VAT Sew. 2017]]+Tabel6689262829[[#This Row],[WW 2017]]+Tabel6689262829[[#This Row],[VAT WW 2017]]+Tabel6689262829[[#This Row],[Other ch. 2017]]+Tabel6689262829[[#This Row],[VAT Other ch. 2017]]</f>
        <v>1017.7909028703135</v>
      </c>
      <c r="T33" s="397"/>
      <c r="U33" s="1763"/>
      <c r="V33" s="1766"/>
      <c r="W33" s="1769"/>
      <c r="X33" s="1772"/>
      <c r="Y33" s="1775"/>
      <c r="Z33" s="1778"/>
      <c r="AA33" s="1772"/>
      <c r="AB33" s="1781"/>
      <c r="AC33" s="1772"/>
      <c r="AD33" s="1785"/>
      <c r="AE33" s="1772"/>
      <c r="AF33" s="1788"/>
      <c r="AG33" s="1791"/>
      <c r="AH33" s="397"/>
      <c r="AI33" s="398"/>
      <c r="AJ33" s="398"/>
      <c r="AK33" s="398"/>
      <c r="AL33" s="591" t="s">
        <v>429</v>
      </c>
      <c r="AM33" s="591" t="s">
        <v>429</v>
      </c>
      <c r="AN33" s="614"/>
      <c r="AO33" s="398"/>
      <c r="AP33" s="397"/>
    </row>
    <row r="34" spans="1:42" ht="15.75" customHeight="1" x14ac:dyDescent="0.25">
      <c r="A34" s="1819"/>
      <c r="B34" s="685" t="s">
        <v>70</v>
      </c>
      <c r="C34" s="802"/>
      <c r="D34" s="802" t="s">
        <v>1032</v>
      </c>
      <c r="E34" s="1822"/>
      <c r="F34" s="616">
        <f>'exchange rates'!$O$7</f>
        <v>0.83301000000000003</v>
      </c>
      <c r="G34" s="625">
        <v>0</v>
      </c>
      <c r="H34" s="593">
        <f>345.08/F34</f>
        <v>414.25673161186535</v>
      </c>
      <c r="I34" s="594">
        <v>0</v>
      </c>
      <c r="J34" s="595">
        <f>20.7/F34</f>
        <v>24.849641660964451</v>
      </c>
      <c r="K34" s="566">
        <f>Tabel6689262829[[#This Row],[Fix.ch. 2017]]+Tabel6689262829[[#This Row],[Var. ch. 2017]]+Tabel6689262829[[#This Row],[Oth. ch. DW 2017]]+Tabel6689262829[[#This Row],[VAT DW 2017]]</f>
        <v>439.10637327282979</v>
      </c>
      <c r="L34" s="596">
        <f>265.28/F34</f>
        <v>318.4595623101763</v>
      </c>
      <c r="M34" s="595">
        <f>15.92/F34</f>
        <v>19.111415229108893</v>
      </c>
      <c r="N34" s="626">
        <f>189.48/F34</f>
        <v>227.46425613137896</v>
      </c>
      <c r="O34" s="595">
        <f>11.37/F34</f>
        <v>13.649295926819605</v>
      </c>
      <c r="P34" s="597">
        <v>0</v>
      </c>
      <c r="Q34" s="595">
        <v>0</v>
      </c>
      <c r="R34" s="570">
        <f>Tabel6689262829[[#This Row],[VAT DW 2017]]+Tabel6689262829[[#This Row],[VAT Sew. 2017]]+Tabel6689262829[[#This Row],[VAT WW 2017]]+Tabel6689262829[[#This Row],[VAT Other ch. 2017]]</f>
        <v>57.610352816892949</v>
      </c>
      <c r="S34" s="571">
        <f>Tabel6689262829[[#This Row],[Total. ch. DW 2017]]+Tabel6689262829[[#This Row],[Sew. 2017]]+Tabel6689262829[[#This Row],[VAT Sew. 2017]]+Tabel6689262829[[#This Row],[WW 2017]]+Tabel6689262829[[#This Row],[VAT WW 2017]]+Tabel6689262829[[#This Row],[Other ch. 2017]]+Tabel6689262829[[#This Row],[VAT Other ch. 2017]]</f>
        <v>1017.7909028703135</v>
      </c>
      <c r="T34" s="397"/>
      <c r="U34" s="1763"/>
      <c r="V34" s="1766"/>
      <c r="W34" s="1769"/>
      <c r="X34" s="1772"/>
      <c r="Y34" s="1775"/>
      <c r="Z34" s="1778"/>
      <c r="AA34" s="1772"/>
      <c r="AB34" s="1781"/>
      <c r="AC34" s="1772"/>
      <c r="AD34" s="1785"/>
      <c r="AE34" s="1772"/>
      <c r="AF34" s="1788"/>
      <c r="AG34" s="1791"/>
      <c r="AH34" s="397"/>
      <c r="AI34" s="398"/>
      <c r="AJ34" s="398"/>
      <c r="AK34" s="398"/>
      <c r="AL34" s="591" t="s">
        <v>429</v>
      </c>
      <c r="AM34" s="591" t="s">
        <v>429</v>
      </c>
      <c r="AN34" s="614"/>
      <c r="AO34" s="398"/>
      <c r="AP34" s="397"/>
    </row>
    <row r="35" spans="1:42" ht="16.5" customHeight="1" x14ac:dyDescent="0.25">
      <c r="A35" s="1819"/>
      <c r="B35" s="735" t="s">
        <v>216</v>
      </c>
      <c r="C35" s="802"/>
      <c r="D35" s="802" t="s">
        <v>1032</v>
      </c>
      <c r="E35" s="1822"/>
      <c r="F35" s="616">
        <f>'exchange rates'!$O$7</f>
        <v>0.83301000000000003</v>
      </c>
      <c r="G35" s="625">
        <f>0</f>
        <v>0</v>
      </c>
      <c r="H35" s="593">
        <f>431.53/F35</f>
        <v>518.03699835536179</v>
      </c>
      <c r="I35" s="594">
        <v>0</v>
      </c>
      <c r="J35" s="595">
        <f>25.89/F35</f>
        <v>31.080059062916412</v>
      </c>
      <c r="K35" s="566">
        <f>Tabel6689262829[[#This Row],[Fix.ch. 2017]]+Tabel6689262829[[#This Row],[Var. ch. 2017]]+Tabel6689262829[[#This Row],[Oth. ch. DW 2017]]+Tabel6689262829[[#This Row],[VAT DW 2017]]</f>
        <v>549.11705741827825</v>
      </c>
      <c r="L35" s="596">
        <f>291.81/F35</f>
        <v>350.30791947275543</v>
      </c>
      <c r="M35" s="595">
        <f>17.51/F35</f>
        <v>21.020155820458339</v>
      </c>
      <c r="N35" s="626">
        <f>208.43/F35</f>
        <v>250.21308267607833</v>
      </c>
      <c r="O35" s="595">
        <f>12.51/F35</f>
        <v>15.017826916843735</v>
      </c>
      <c r="P35" s="597">
        <v>0</v>
      </c>
      <c r="Q35" s="595">
        <v>0</v>
      </c>
      <c r="R35" s="570">
        <f>Tabel6689262829[[#This Row],[VAT DW 2017]]+Tabel6689262829[[#This Row],[VAT Sew. 2017]]+Tabel6689262829[[#This Row],[VAT WW 2017]]+Tabel6689262829[[#This Row],[VAT Other ch. 2017]]</f>
        <v>67.118041800218478</v>
      </c>
      <c r="S35" s="571">
        <f>Tabel6689262829[[#This Row],[Total. ch. DW 2017]]+Tabel6689262829[[#This Row],[Sew. 2017]]+Tabel6689262829[[#This Row],[VAT Sew. 2017]]+Tabel6689262829[[#This Row],[WW 2017]]+Tabel6689262829[[#This Row],[VAT WW 2017]]+Tabel6689262829[[#This Row],[Other ch. 2017]]+Tabel6689262829[[#This Row],[VAT Other ch. 2017]]</f>
        <v>1185.6760423044138</v>
      </c>
      <c r="T35" s="397"/>
      <c r="U35" s="1763"/>
      <c r="V35" s="1766"/>
      <c r="W35" s="1769"/>
      <c r="X35" s="1772"/>
      <c r="Y35" s="1775"/>
      <c r="Z35" s="1778"/>
      <c r="AA35" s="1772"/>
      <c r="AB35" s="1781"/>
      <c r="AC35" s="1772"/>
      <c r="AD35" s="1785"/>
      <c r="AE35" s="1772"/>
      <c r="AF35" s="1788"/>
      <c r="AG35" s="1791"/>
      <c r="AH35" s="397"/>
      <c r="AI35" s="398"/>
      <c r="AJ35" s="398"/>
      <c r="AK35" s="398"/>
      <c r="AL35" s="591" t="s">
        <v>429</v>
      </c>
      <c r="AM35" s="591" t="s">
        <v>429</v>
      </c>
      <c r="AN35" s="614"/>
      <c r="AO35" s="398"/>
      <c r="AP35" s="397"/>
    </row>
    <row r="36" spans="1:42" ht="17.25" customHeight="1" thickBot="1" x14ac:dyDescent="0.3">
      <c r="A36" s="1820"/>
      <c r="B36" s="736" t="s">
        <v>629</v>
      </c>
      <c r="C36" s="802"/>
      <c r="D36" s="807" t="s">
        <v>1032</v>
      </c>
      <c r="E36" s="1823"/>
      <c r="F36" s="616">
        <f>'exchange rates'!$O$7</f>
        <v>0.83301000000000003</v>
      </c>
      <c r="G36" s="625">
        <f>52.4/F36</f>
        <v>62.904406909881033</v>
      </c>
      <c r="H36" s="593">
        <f>484.7/F36</f>
        <v>581.86576391639949</v>
      </c>
      <c r="I36" s="594">
        <f>5.18/F36</f>
        <v>6.2184127441447279</v>
      </c>
      <c r="J36" s="595">
        <f>32.54/F36</f>
        <v>39.063156504723828</v>
      </c>
      <c r="K36" s="566">
        <f>Tabel6689262829[[#This Row],[Fix.ch. 2017]]+Tabel6689262829[[#This Row],[Var. ch. 2017]]+Tabel6689262829[[#This Row],[Oth. ch. DW 2017]]+Tabel6689262829[[#This Row],[VAT DW 2017]]</f>
        <v>690.05174007514904</v>
      </c>
      <c r="L36" s="596">
        <f>0/F36</f>
        <v>0</v>
      </c>
      <c r="M36" s="595">
        <v>0</v>
      </c>
      <c r="N36" s="626">
        <f>448/F36</f>
        <v>537.80866976386835</v>
      </c>
      <c r="O36" s="595">
        <f>26.88/F36</f>
        <v>32.268520185832102</v>
      </c>
      <c r="P36" s="597">
        <v>0</v>
      </c>
      <c r="Q36" s="595">
        <v>0</v>
      </c>
      <c r="R36" s="570">
        <f>Tabel6689262829[[#This Row],[VAT DW 2017]]+Tabel6689262829[[#This Row],[VAT Sew. 2017]]+Tabel6689262829[[#This Row],[VAT WW 2017]]+Tabel6689262829[[#This Row],[VAT Other ch. 2017]]</f>
        <v>71.331676690555923</v>
      </c>
      <c r="S36" s="571">
        <f>Tabel6689262829[[#This Row],[Total. ch. DW 2017]]+Tabel6689262829[[#This Row],[Sew. 2017]]+Tabel6689262829[[#This Row],[VAT Sew. 2017]]+Tabel6689262829[[#This Row],[WW 2017]]+Tabel6689262829[[#This Row],[VAT WW 2017]]+Tabel6689262829[[#This Row],[Other ch. 2017]]+Tabel6689262829[[#This Row],[VAT Other ch. 2017]]</f>
        <v>1260.1289300248495</v>
      </c>
      <c r="T36" s="397"/>
      <c r="U36" s="1764"/>
      <c r="V36" s="1767"/>
      <c r="W36" s="1770"/>
      <c r="X36" s="1773"/>
      <c r="Y36" s="1776"/>
      <c r="Z36" s="1779"/>
      <c r="AA36" s="1773"/>
      <c r="AB36" s="1811"/>
      <c r="AC36" s="1773"/>
      <c r="AD36" s="1813"/>
      <c r="AE36" s="1773"/>
      <c r="AF36" s="1815"/>
      <c r="AG36" s="1794"/>
      <c r="AH36" s="397"/>
      <c r="AI36" s="398"/>
      <c r="AJ36" s="398"/>
      <c r="AK36" s="398"/>
      <c r="AL36" s="591" t="s">
        <v>429</v>
      </c>
      <c r="AM36" s="591" t="s">
        <v>429</v>
      </c>
      <c r="AN36" s="591" t="s">
        <v>429</v>
      </c>
      <c r="AO36" s="398"/>
      <c r="AP36" s="397"/>
    </row>
    <row r="37" spans="1:42" ht="18" customHeight="1" x14ac:dyDescent="0.25">
      <c r="A37" s="1878" t="s">
        <v>49</v>
      </c>
      <c r="B37" s="729" t="s">
        <v>935</v>
      </c>
      <c r="C37" s="803"/>
      <c r="D37" s="803" t="s">
        <v>1034</v>
      </c>
      <c r="E37" s="1879">
        <v>15500</v>
      </c>
      <c r="F37" s="616">
        <f>'exchange rates'!$O$8</f>
        <v>3.3117299999999998</v>
      </c>
      <c r="G37" s="625" t="s">
        <v>5</v>
      </c>
      <c r="H37" s="593" t="s">
        <v>5</v>
      </c>
      <c r="I37" s="594" t="s">
        <v>5</v>
      </c>
      <c r="J37" s="595" t="s">
        <v>5</v>
      </c>
      <c r="K37" s="566" t="s">
        <v>5</v>
      </c>
      <c r="L37" s="596" t="s">
        <v>5</v>
      </c>
      <c r="M37" s="595" t="s">
        <v>5</v>
      </c>
      <c r="N37" s="626" t="s">
        <v>5</v>
      </c>
      <c r="O37" s="595" t="s">
        <v>5</v>
      </c>
      <c r="P37" s="597" t="s">
        <v>5</v>
      </c>
      <c r="Q37" s="595" t="s">
        <v>5</v>
      </c>
      <c r="R37" s="570" t="s">
        <v>5</v>
      </c>
      <c r="S37" s="571">
        <f>592/F37</f>
        <v>178.75853405923792</v>
      </c>
      <c r="T37" s="397"/>
      <c r="U37" s="1881" t="s">
        <v>5</v>
      </c>
      <c r="V37" s="1895" t="s">
        <v>5</v>
      </c>
      <c r="W37" s="1898" t="s">
        <v>5</v>
      </c>
      <c r="X37" s="1860" t="s">
        <v>5</v>
      </c>
      <c r="Y37" s="1901" t="s">
        <v>5</v>
      </c>
      <c r="Z37" s="1904" t="s">
        <v>5</v>
      </c>
      <c r="AA37" s="1860" t="s">
        <v>5</v>
      </c>
      <c r="AB37" s="1863" t="s">
        <v>5</v>
      </c>
      <c r="AC37" s="1860" t="s">
        <v>5</v>
      </c>
      <c r="AD37" s="1866" t="s">
        <v>5</v>
      </c>
      <c r="AE37" s="1860" t="s">
        <v>5</v>
      </c>
      <c r="AF37" s="1869" t="s">
        <v>5</v>
      </c>
      <c r="AG37" s="1831">
        <f>Tabel6689262829[[#This Row],[total charge 2017]]</f>
        <v>178.75853405923792</v>
      </c>
      <c r="AH37" s="397"/>
      <c r="AI37" s="396"/>
      <c r="AJ37" s="398"/>
      <c r="AK37" s="398"/>
      <c r="AL37" s="591" t="s">
        <v>429</v>
      </c>
      <c r="AM37" s="398"/>
      <c r="AN37" s="398"/>
      <c r="AO37" s="398"/>
      <c r="AP37" s="397"/>
    </row>
    <row r="38" spans="1:42" ht="15.75" x14ac:dyDescent="0.25">
      <c r="A38" s="1757"/>
      <c r="B38" s="632" t="s">
        <v>462</v>
      </c>
      <c r="C38" s="803"/>
      <c r="D38" s="803" t="s">
        <v>1034</v>
      </c>
      <c r="E38" s="1880"/>
      <c r="F38" s="616">
        <f>'exchange rates'!$O$8</f>
        <v>3.3117299999999998</v>
      </c>
      <c r="G38" s="625" t="s">
        <v>5</v>
      </c>
      <c r="H38" s="593" t="s">
        <v>5</v>
      </c>
      <c r="I38" s="594" t="s">
        <v>5</v>
      </c>
      <c r="J38" s="595" t="s">
        <v>5</v>
      </c>
      <c r="K38" s="566" t="s">
        <v>5</v>
      </c>
      <c r="L38" s="596" t="s">
        <v>5</v>
      </c>
      <c r="M38" s="595" t="s">
        <v>5</v>
      </c>
      <c r="N38" s="626" t="s">
        <v>5</v>
      </c>
      <c r="O38" s="595" t="s">
        <v>5</v>
      </c>
      <c r="P38" s="597" t="s">
        <v>5</v>
      </c>
      <c r="Q38" s="595" t="s">
        <v>5</v>
      </c>
      <c r="R38" s="570" t="s">
        <v>5</v>
      </c>
      <c r="S38" s="571">
        <f>486/F38</f>
        <v>146.75109383917169</v>
      </c>
      <c r="T38" s="397"/>
      <c r="U38" s="1882"/>
      <c r="V38" s="1896"/>
      <c r="W38" s="1899"/>
      <c r="X38" s="1861"/>
      <c r="Y38" s="1902"/>
      <c r="Z38" s="1905"/>
      <c r="AA38" s="1861"/>
      <c r="AB38" s="1864"/>
      <c r="AC38" s="1861"/>
      <c r="AD38" s="1867"/>
      <c r="AE38" s="1861"/>
      <c r="AF38" s="1870"/>
      <c r="AG38" s="1832"/>
      <c r="AH38" s="397"/>
      <c r="AI38" s="396"/>
      <c r="AJ38" s="398"/>
      <c r="AK38" s="398"/>
      <c r="AL38" s="591" t="s">
        <v>429</v>
      </c>
      <c r="AM38" s="398"/>
      <c r="AN38" s="398"/>
      <c r="AO38" s="398"/>
      <c r="AP38" s="397"/>
    </row>
    <row r="39" spans="1:42" ht="16.5" thickBot="1" x14ac:dyDescent="0.3">
      <c r="A39" s="1758"/>
      <c r="B39" s="730" t="s">
        <v>933</v>
      </c>
      <c r="C39" s="803" t="s">
        <v>429</v>
      </c>
      <c r="D39" s="810" t="s">
        <v>1034</v>
      </c>
      <c r="E39" s="1799"/>
      <c r="F39" s="616">
        <f>'exchange rates'!$O$8</f>
        <v>3.3117299999999998</v>
      </c>
      <c r="G39" s="625" t="s">
        <v>5</v>
      </c>
      <c r="H39" s="593" t="s">
        <v>5</v>
      </c>
      <c r="I39" s="594" t="s">
        <v>5</v>
      </c>
      <c r="J39" s="595" t="s">
        <v>5</v>
      </c>
      <c r="K39" s="566" t="s">
        <v>5</v>
      </c>
      <c r="L39" s="596" t="s">
        <v>5</v>
      </c>
      <c r="M39" s="595" t="s">
        <v>5</v>
      </c>
      <c r="N39" s="626" t="s">
        <v>5</v>
      </c>
      <c r="O39" s="595" t="s">
        <v>5</v>
      </c>
      <c r="P39" s="597" t="s">
        <v>5</v>
      </c>
      <c r="Q39" s="595" t="s">
        <v>5</v>
      </c>
      <c r="R39" s="570" t="s">
        <v>5</v>
      </c>
      <c r="S39" s="571">
        <f>874/F39</f>
        <v>263.91040332394249</v>
      </c>
      <c r="T39" s="397"/>
      <c r="U39" s="1883"/>
      <c r="V39" s="1897"/>
      <c r="W39" s="1900"/>
      <c r="X39" s="1862"/>
      <c r="Y39" s="1903"/>
      <c r="Z39" s="1906"/>
      <c r="AA39" s="1862"/>
      <c r="AB39" s="1865"/>
      <c r="AC39" s="1862"/>
      <c r="AD39" s="1868"/>
      <c r="AE39" s="1862"/>
      <c r="AF39" s="1871"/>
      <c r="AG39" s="1792"/>
      <c r="AH39" s="397"/>
      <c r="AI39" s="396"/>
      <c r="AJ39" s="398"/>
      <c r="AK39" s="398"/>
      <c r="AL39" s="591" t="s">
        <v>429</v>
      </c>
      <c r="AM39" s="398"/>
      <c r="AN39" s="398"/>
      <c r="AO39" s="398"/>
      <c r="AP39" s="397"/>
    </row>
    <row r="40" spans="1:42" ht="18.75" customHeight="1" x14ac:dyDescent="0.25">
      <c r="A40" s="1833" t="s">
        <v>487</v>
      </c>
      <c r="B40" s="277" t="s">
        <v>481</v>
      </c>
      <c r="C40" s="804"/>
      <c r="D40" s="804" t="s">
        <v>1034</v>
      </c>
      <c r="E40" s="1836">
        <v>11600</v>
      </c>
      <c r="F40" s="306">
        <v>1.86534</v>
      </c>
      <c r="G40" s="310">
        <f>132.88/F40</f>
        <v>71.236342972326753</v>
      </c>
      <c r="H40" s="311">
        <v>0</v>
      </c>
      <c r="I40" s="312">
        <v>0</v>
      </c>
      <c r="J40" s="558"/>
      <c r="K40" s="313">
        <f>Tabel6689262829[[#This Row],[Fix.ch. 2017]]+Tabel6689262829[[#This Row],[Var. ch. 2017]]+Tabel6689262829[[#This Row],[Oth. ch. DW 2017]]+Tabel6689262829[[#This Row],[VAT DW 2017]]</f>
        <v>71.236342972326753</v>
      </c>
      <c r="L40" s="314">
        <f>132.88/F40</f>
        <v>71.236342972326753</v>
      </c>
      <c r="M40" s="558"/>
      <c r="N40" s="315">
        <v>0</v>
      </c>
      <c r="O40" s="558"/>
      <c r="P40" s="316">
        <v>0</v>
      </c>
      <c r="Q40" s="558"/>
      <c r="R40" s="317">
        <f>Tabel6689262829[[#This Row],[VAT DW 2017]]+Tabel6689262829[[#This Row],[VAT Sew. 2017]]+Tabel6689262829[[#This Row],[VAT WW 2017]]+Tabel6689262829[[#This Row],[VAT Other ch. 2017]]</f>
        <v>0</v>
      </c>
      <c r="S40" s="318">
        <f>Tabel6689262829[[#This Row],[Total. ch. DW 2017]]+Tabel6689262829[[#This Row],[Sew. 2017]]+Tabel6689262829[[#This Row],[VAT Sew. 2017]]+Tabel6689262829[[#This Row],[WW 2017]]+Tabel6689262829[[#This Row],[VAT WW 2017]]+Tabel6689262829[[#This Row],[Other ch. 2017]]+Tabel6689262829[[#This Row],[VAT Other ch. 2017]]</f>
        <v>142.47268594465351</v>
      </c>
      <c r="T40" s="397"/>
      <c r="U40" s="1839">
        <f>SUM(G40:G44)/5</f>
        <v>197.96069349287529</v>
      </c>
      <c r="V40" s="1842">
        <f>SUM(H40:H44)/5</f>
        <v>0</v>
      </c>
      <c r="W40" s="1845">
        <f>SUM(I40:I44)/5</f>
        <v>0</v>
      </c>
      <c r="X40" s="575"/>
      <c r="Y40" s="1848">
        <f>SUM(K40:K44)/5</f>
        <v>197.96069349287529</v>
      </c>
      <c r="Z40" s="1851">
        <f>SUM(L40:L44)/5</f>
        <v>197.96069349287529</v>
      </c>
      <c r="AA40" s="575"/>
      <c r="AB40" s="1854">
        <f>SUM(N40:N44)/5</f>
        <v>0</v>
      </c>
      <c r="AC40" s="575"/>
      <c r="AD40" s="1857">
        <f>SUM(P40:P44)/5</f>
        <v>0</v>
      </c>
      <c r="AE40" s="575"/>
      <c r="AF40" s="1872">
        <f t="shared" ref="AF40:AG40" si="3">SUM(R40:R44)/5</f>
        <v>0</v>
      </c>
      <c r="AG40" s="1875">
        <f t="shared" si="3"/>
        <v>395.92138698575059</v>
      </c>
      <c r="AH40" s="397"/>
      <c r="AI40" s="396"/>
      <c r="AJ40" s="398"/>
      <c r="AK40" s="398"/>
      <c r="AL40" s="398"/>
      <c r="AM40" s="398"/>
      <c r="AN40" s="398"/>
      <c r="AO40" s="398"/>
      <c r="AP40" s="397"/>
    </row>
    <row r="41" spans="1:42" ht="18.75" customHeight="1" x14ac:dyDescent="0.25">
      <c r="A41" s="1834"/>
      <c r="B41" s="277" t="s">
        <v>482</v>
      </c>
      <c r="C41" s="804"/>
      <c r="D41" s="804" t="s">
        <v>1034</v>
      </c>
      <c r="E41" s="1837"/>
      <c r="F41" s="306">
        <v>1.86534</v>
      </c>
      <c r="G41" s="310">
        <f>83.04/F41</f>
        <v>44.517353404741229</v>
      </c>
      <c r="H41" s="311">
        <v>0</v>
      </c>
      <c r="I41" s="312">
        <v>0</v>
      </c>
      <c r="J41" s="558"/>
      <c r="K41" s="313">
        <f>Tabel6689262829[[#This Row],[Fix.ch. 2017]]+Tabel6689262829[[#This Row],[Var. ch. 2017]]+Tabel6689262829[[#This Row],[Oth. ch. DW 2017]]+Tabel6689262829[[#This Row],[VAT DW 2017]]</f>
        <v>44.517353404741229</v>
      </c>
      <c r="L41" s="314">
        <f>83.04/F41</f>
        <v>44.517353404741229</v>
      </c>
      <c r="M41" s="558"/>
      <c r="N41" s="315">
        <v>0</v>
      </c>
      <c r="O41" s="558"/>
      <c r="P41" s="316">
        <v>0</v>
      </c>
      <c r="Q41" s="558"/>
      <c r="R41" s="317">
        <f>Tabel6689262829[[#This Row],[VAT DW 2017]]+Tabel6689262829[[#This Row],[VAT Sew. 2017]]+Tabel6689262829[[#This Row],[VAT WW 2017]]+Tabel6689262829[[#This Row],[VAT Other ch. 2017]]</f>
        <v>0</v>
      </c>
      <c r="S41" s="318">
        <f>Tabel6689262829[[#This Row],[Total. ch. DW 2017]]+Tabel6689262829[[#This Row],[Sew. 2017]]+Tabel6689262829[[#This Row],[VAT Sew. 2017]]+Tabel6689262829[[#This Row],[WW 2017]]+Tabel6689262829[[#This Row],[VAT WW 2017]]+Tabel6689262829[[#This Row],[Other ch. 2017]]+Tabel6689262829[[#This Row],[VAT Other ch. 2017]]</f>
        <v>89.034706809482458</v>
      </c>
      <c r="T41" s="397"/>
      <c r="U41" s="1840"/>
      <c r="V41" s="1843"/>
      <c r="W41" s="1846"/>
      <c r="X41" s="576"/>
      <c r="Y41" s="1849"/>
      <c r="Z41" s="1852"/>
      <c r="AA41" s="576"/>
      <c r="AB41" s="1855"/>
      <c r="AC41" s="576"/>
      <c r="AD41" s="1858"/>
      <c r="AE41" s="576"/>
      <c r="AF41" s="1873"/>
      <c r="AG41" s="1876"/>
      <c r="AH41" s="397"/>
      <c r="AI41" s="396"/>
      <c r="AJ41" s="398"/>
      <c r="AK41" s="398"/>
      <c r="AL41" s="398"/>
      <c r="AM41" s="398"/>
      <c r="AN41" s="398"/>
      <c r="AO41" s="398"/>
      <c r="AP41" s="397"/>
    </row>
    <row r="42" spans="1:42" ht="18.75" customHeight="1" x14ac:dyDescent="0.25">
      <c r="A42" s="1834"/>
      <c r="B42" s="277" t="s">
        <v>483</v>
      </c>
      <c r="C42" s="804"/>
      <c r="D42" s="804" t="s">
        <v>1034</v>
      </c>
      <c r="E42" s="1837"/>
      <c r="F42" s="306">
        <v>1.86534</v>
      </c>
      <c r="G42" s="310">
        <f>371.52/F42</f>
        <v>199.1701244813278</v>
      </c>
      <c r="H42" s="311">
        <v>0</v>
      </c>
      <c r="I42" s="312">
        <v>0</v>
      </c>
      <c r="J42" s="558"/>
      <c r="K42" s="313">
        <f>Tabel6689262829[[#This Row],[Fix.ch. 2017]]+Tabel6689262829[[#This Row],[Var. ch. 2017]]+Tabel6689262829[[#This Row],[Oth. ch. DW 2017]]+Tabel6689262829[[#This Row],[VAT DW 2017]]</f>
        <v>199.1701244813278</v>
      </c>
      <c r="L42" s="314">
        <f>371.52/F42</f>
        <v>199.1701244813278</v>
      </c>
      <c r="M42" s="558"/>
      <c r="N42" s="315">
        <v>0</v>
      </c>
      <c r="O42" s="558"/>
      <c r="P42" s="316">
        <v>0</v>
      </c>
      <c r="Q42" s="558"/>
      <c r="R42" s="317">
        <f>Tabel6689262829[[#This Row],[VAT DW 2017]]+Tabel6689262829[[#This Row],[VAT Sew. 2017]]+Tabel6689262829[[#This Row],[VAT WW 2017]]+Tabel6689262829[[#This Row],[VAT Other ch. 2017]]</f>
        <v>0</v>
      </c>
      <c r="S42" s="318">
        <f>Tabel6689262829[[#This Row],[Total. ch. DW 2017]]+Tabel6689262829[[#This Row],[Sew. 2017]]+Tabel6689262829[[#This Row],[VAT Sew. 2017]]+Tabel6689262829[[#This Row],[WW 2017]]+Tabel6689262829[[#This Row],[VAT WW 2017]]+Tabel6689262829[[#This Row],[Other ch. 2017]]+Tabel6689262829[[#This Row],[VAT Other ch. 2017]]</f>
        <v>398.34024896265561</v>
      </c>
      <c r="T42" s="397"/>
      <c r="U42" s="1840"/>
      <c r="V42" s="1843"/>
      <c r="W42" s="1846"/>
      <c r="X42" s="576"/>
      <c r="Y42" s="1849"/>
      <c r="Z42" s="1852"/>
      <c r="AA42" s="576"/>
      <c r="AB42" s="1855"/>
      <c r="AC42" s="576"/>
      <c r="AD42" s="1858"/>
      <c r="AE42" s="576"/>
      <c r="AF42" s="1873"/>
      <c r="AG42" s="1876"/>
      <c r="AH42" s="397"/>
      <c r="AI42" s="396"/>
      <c r="AJ42" s="398"/>
      <c r="AK42" s="398"/>
      <c r="AL42" s="396" t="s">
        <v>429</v>
      </c>
      <c r="AM42" s="398"/>
      <c r="AN42" s="398"/>
      <c r="AO42" s="398" t="s">
        <v>486</v>
      </c>
      <c r="AP42" s="397"/>
    </row>
    <row r="43" spans="1:42" ht="18.75" customHeight="1" x14ac:dyDescent="0.25">
      <c r="A43" s="1834"/>
      <c r="B43" s="277" t="s">
        <v>484</v>
      </c>
      <c r="C43" s="804"/>
      <c r="D43" s="804" t="s">
        <v>1034</v>
      </c>
      <c r="E43" s="1837"/>
      <c r="F43" s="306">
        <v>1.86534</v>
      </c>
      <c r="G43" s="310">
        <f>420.12/F43</f>
        <v>225.22435588150151</v>
      </c>
      <c r="H43" s="311">
        <v>0</v>
      </c>
      <c r="I43" s="312">
        <v>0</v>
      </c>
      <c r="J43" s="558"/>
      <c r="K43" s="313">
        <f>Tabel6689262829[[#This Row],[Fix.ch. 2017]]+Tabel6689262829[[#This Row],[Var. ch. 2017]]+Tabel6689262829[[#This Row],[Oth. ch. DW 2017]]+Tabel6689262829[[#This Row],[VAT DW 2017]]</f>
        <v>225.22435588150151</v>
      </c>
      <c r="L43" s="314">
        <f>420.12/F43</f>
        <v>225.22435588150151</v>
      </c>
      <c r="M43" s="558"/>
      <c r="N43" s="315">
        <v>0</v>
      </c>
      <c r="O43" s="558"/>
      <c r="P43" s="316">
        <v>0</v>
      </c>
      <c r="Q43" s="558"/>
      <c r="R43" s="317">
        <f>Tabel6689262829[[#This Row],[VAT DW 2017]]+Tabel6689262829[[#This Row],[VAT Sew. 2017]]+Tabel6689262829[[#This Row],[VAT WW 2017]]+Tabel6689262829[[#This Row],[VAT Other ch. 2017]]</f>
        <v>0</v>
      </c>
      <c r="S43" s="318">
        <f>Tabel6689262829[[#This Row],[Total. ch. DW 2017]]+Tabel6689262829[[#This Row],[Sew. 2017]]+Tabel6689262829[[#This Row],[VAT Sew. 2017]]+Tabel6689262829[[#This Row],[WW 2017]]+Tabel6689262829[[#This Row],[VAT WW 2017]]+Tabel6689262829[[#This Row],[Other ch. 2017]]+Tabel6689262829[[#This Row],[VAT Other ch. 2017]]</f>
        <v>450.44871176300302</v>
      </c>
      <c r="T43" s="397"/>
      <c r="U43" s="1840"/>
      <c r="V43" s="1843"/>
      <c r="W43" s="1846"/>
      <c r="X43" s="576"/>
      <c r="Y43" s="1849"/>
      <c r="Z43" s="1852"/>
      <c r="AA43" s="576"/>
      <c r="AB43" s="1855"/>
      <c r="AC43" s="576"/>
      <c r="AD43" s="1858"/>
      <c r="AE43" s="576"/>
      <c r="AF43" s="1873"/>
      <c r="AG43" s="1876"/>
      <c r="AH43" s="397"/>
      <c r="AI43" s="396"/>
      <c r="AJ43" s="398"/>
      <c r="AK43" s="398"/>
      <c r="AL43" s="398"/>
      <c r="AM43" s="398"/>
      <c r="AN43" s="398"/>
      <c r="AO43" s="398"/>
      <c r="AP43" s="397"/>
    </row>
    <row r="44" spans="1:42" ht="19.5" customHeight="1" thickBot="1" x14ac:dyDescent="0.3">
      <c r="A44" s="1835"/>
      <c r="B44" s="277" t="s">
        <v>485</v>
      </c>
      <c r="C44" s="804"/>
      <c r="D44" s="800" t="s">
        <v>1034</v>
      </c>
      <c r="E44" s="1838"/>
      <c r="F44" s="306">
        <v>1.86534</v>
      </c>
      <c r="G44" s="310">
        <f>838.76/F44</f>
        <v>449.65529072447919</v>
      </c>
      <c r="H44" s="311">
        <v>0</v>
      </c>
      <c r="I44" s="312">
        <v>0</v>
      </c>
      <c r="J44" s="558"/>
      <c r="K44" s="313">
        <f>Tabel6689262829[[#This Row],[Fix.ch. 2017]]+Tabel6689262829[[#This Row],[Var. ch. 2017]]+Tabel6689262829[[#This Row],[Oth. ch. DW 2017]]+Tabel6689262829[[#This Row],[VAT DW 2017]]</f>
        <v>449.65529072447919</v>
      </c>
      <c r="L44" s="314">
        <f>838.76/F44</f>
        <v>449.65529072447919</v>
      </c>
      <c r="M44" s="558"/>
      <c r="N44" s="315">
        <v>0</v>
      </c>
      <c r="O44" s="558"/>
      <c r="P44" s="316">
        <v>0</v>
      </c>
      <c r="Q44" s="558"/>
      <c r="R44" s="317">
        <f>Tabel6689262829[[#This Row],[VAT DW 2017]]+Tabel6689262829[[#This Row],[VAT Sew. 2017]]+Tabel6689262829[[#This Row],[VAT WW 2017]]+Tabel6689262829[[#This Row],[VAT Other ch. 2017]]</f>
        <v>0</v>
      </c>
      <c r="S44" s="318">
        <f>Tabel6689262829[[#This Row],[Total. ch. DW 2017]]+Tabel6689262829[[#This Row],[Sew. 2017]]+Tabel6689262829[[#This Row],[VAT Sew. 2017]]+Tabel6689262829[[#This Row],[WW 2017]]+Tabel6689262829[[#This Row],[VAT WW 2017]]+Tabel6689262829[[#This Row],[Other ch. 2017]]+Tabel6689262829[[#This Row],[VAT Other ch. 2017]]</f>
        <v>899.31058144895837</v>
      </c>
      <c r="T44" s="397"/>
      <c r="U44" s="1841"/>
      <c r="V44" s="1844"/>
      <c r="W44" s="1847"/>
      <c r="X44" s="577"/>
      <c r="Y44" s="1850"/>
      <c r="Z44" s="1853"/>
      <c r="AA44" s="577"/>
      <c r="AB44" s="1856"/>
      <c r="AC44" s="577"/>
      <c r="AD44" s="1859"/>
      <c r="AE44" s="577"/>
      <c r="AF44" s="1874"/>
      <c r="AG44" s="1877"/>
      <c r="AH44" s="397"/>
      <c r="AI44" s="396"/>
      <c r="AJ44" s="398"/>
      <c r="AK44" s="398"/>
      <c r="AL44" s="398"/>
      <c r="AM44" s="398"/>
      <c r="AN44" s="398"/>
      <c r="AO44" s="398"/>
      <c r="AP44" s="397"/>
    </row>
    <row r="45" spans="1:42" ht="15.75" customHeight="1" x14ac:dyDescent="0.25">
      <c r="A45" s="1818" t="s">
        <v>7</v>
      </c>
      <c r="B45" s="623" t="s">
        <v>73</v>
      </c>
      <c r="C45" s="802" t="s">
        <v>429</v>
      </c>
      <c r="D45" s="802" t="s">
        <v>1036</v>
      </c>
      <c r="E45" s="1884">
        <v>21600</v>
      </c>
      <c r="F45" s="647">
        <f>'exchange rates'!$O$9</f>
        <v>1.6293800000000001</v>
      </c>
      <c r="G45" s="625">
        <f>233.6/F45</f>
        <v>143.36741582687893</v>
      </c>
      <c r="H45" s="593">
        <f>0/F45</f>
        <v>0</v>
      </c>
      <c r="I45" s="594">
        <v>0</v>
      </c>
      <c r="J45" s="595">
        <f>46.72/F45</f>
        <v>28.673483165375785</v>
      </c>
      <c r="K45" s="566">
        <f>Tabel6689262829[[#This Row],[Fix.ch. 2017]]+Tabel6689262829[[#This Row],[Var. ch. 2017]]+Tabel6689262829[[#This Row],[Oth. ch. DW 2017]]+Tabel6689262829[[#This Row],[VAT DW 2017]]</f>
        <v>172.04089899225471</v>
      </c>
      <c r="L45" s="596">
        <f>68.4/F45</f>
        <v>41.97915771643202</v>
      </c>
      <c r="M45" s="595">
        <f>13.68/F45</f>
        <v>8.3958315432864037</v>
      </c>
      <c r="N45" s="626">
        <f>57.8/F45</f>
        <v>35.473615731136995</v>
      </c>
      <c r="O45" s="595">
        <f>11.56/F45</f>
        <v>7.0947231462273992</v>
      </c>
      <c r="P45" s="597">
        <v>0</v>
      </c>
      <c r="Q45" s="595">
        <v>0</v>
      </c>
      <c r="R45" s="570">
        <f>Tabel6689262829[[#This Row],[VAT DW 2017]]+Tabel6689262829[[#This Row],[VAT Sew. 2017]]+Tabel6689262829[[#This Row],[VAT WW 2017]]+Tabel6689262829[[#This Row],[VAT Other ch. 2017]]</f>
        <v>44.164037854889592</v>
      </c>
      <c r="S45" s="571">
        <f>Tabel6689262829[[#This Row],[Total. ch. DW 2017]]+Tabel6689262829[[#This Row],[Sew. 2017]]+Tabel6689262829[[#This Row],[VAT Sew. 2017]]+Tabel6689262829[[#This Row],[WW 2017]]+Tabel6689262829[[#This Row],[VAT WW 2017]]+Tabel6689262829[[#This Row],[Other ch. 2017]]+Tabel6689262829[[#This Row],[VAT Other ch. 2017]]</f>
        <v>264.98422712933751</v>
      </c>
      <c r="T45" s="397"/>
      <c r="U45" s="1885">
        <f>MEDIAN(G45:G49)</f>
        <v>181.66419128748359</v>
      </c>
      <c r="V45" s="1887">
        <f>MEDIAN(H45:H49)</f>
        <v>0</v>
      </c>
      <c r="W45" s="1889">
        <f>MEDIAN(I45:I49)</f>
        <v>0</v>
      </c>
      <c r="X45" s="1771">
        <f>MEDIAN(J45:J49)</f>
        <v>36.332838257496718</v>
      </c>
      <c r="Y45" s="1891">
        <f>SUM(U45:X49)</f>
        <v>217.99702954498031</v>
      </c>
      <c r="Z45" s="1893">
        <f t="shared" ref="Z45:AF45" si="4">MEDIAN(L45:L49)</f>
        <v>14.72952902330948</v>
      </c>
      <c r="AA45" s="1771">
        <f t="shared" si="4"/>
        <v>2.9459058046618956</v>
      </c>
      <c r="AB45" s="1910">
        <f t="shared" si="4"/>
        <v>38.051283310216157</v>
      </c>
      <c r="AC45" s="1771">
        <f t="shared" si="4"/>
        <v>7.6102566620432315</v>
      </c>
      <c r="AD45" s="1912">
        <f t="shared" si="4"/>
        <v>0</v>
      </c>
      <c r="AE45" s="1771">
        <f t="shared" si="4"/>
        <v>0</v>
      </c>
      <c r="AF45" s="1914">
        <f t="shared" si="4"/>
        <v>52.289828032748645</v>
      </c>
      <c r="AG45" s="1909">
        <f>Y45+Z45+AA45+AB45+AC45+AD45+AE45</f>
        <v>281.3340043452111</v>
      </c>
      <c r="AH45" s="397"/>
      <c r="AI45" s="396"/>
      <c r="AJ45" s="396"/>
      <c r="AK45" s="396"/>
      <c r="AL45" s="396"/>
      <c r="AM45" s="396"/>
      <c r="AN45" s="396"/>
      <c r="AO45" s="398"/>
      <c r="AP45" s="397"/>
    </row>
    <row r="46" spans="1:42" ht="15.75" customHeight="1" x14ac:dyDescent="0.25">
      <c r="A46" s="1819"/>
      <c r="B46" s="685" t="s">
        <v>74</v>
      </c>
      <c r="C46" s="802"/>
      <c r="D46" s="802" t="s">
        <v>1036</v>
      </c>
      <c r="E46" s="1880"/>
      <c r="F46" s="647">
        <f>'exchange rates'!$O$9</f>
        <v>1.6293800000000001</v>
      </c>
      <c r="G46" s="625">
        <f>257.4/F46</f>
        <v>157.97419877499416</v>
      </c>
      <c r="H46" s="593">
        <v>0</v>
      </c>
      <c r="I46" s="594">
        <v>0</v>
      </c>
      <c r="J46" s="595">
        <f>51.48/F46</f>
        <v>31.59483975499883</v>
      </c>
      <c r="K46" s="566">
        <f>Tabel6689262829[[#This Row],[Fix.ch. 2017]]+Tabel6689262829[[#This Row],[Var. ch. 2017]]+Tabel6689262829[[#This Row],[Oth. ch. DW 2017]]+Tabel6689262829[[#This Row],[VAT DW 2017]]</f>
        <v>189.56903852999301</v>
      </c>
      <c r="L46" s="596">
        <f>57.2/F46</f>
        <v>35.105377505554259</v>
      </c>
      <c r="M46" s="595">
        <f>11.44/F46</f>
        <v>7.0210755011108512</v>
      </c>
      <c r="N46" s="626">
        <f>111.4/F46</f>
        <v>68.369563883194843</v>
      </c>
      <c r="O46" s="595">
        <f>22.28/F46</f>
        <v>13.673912776638968</v>
      </c>
      <c r="P46" s="597">
        <v>0</v>
      </c>
      <c r="Q46" s="595">
        <v>0</v>
      </c>
      <c r="R46" s="570">
        <f>Tabel6689262829[[#This Row],[VAT DW 2017]]+Tabel6689262829[[#This Row],[VAT Sew. 2017]]+Tabel6689262829[[#This Row],[VAT WW 2017]]+Tabel6689262829[[#This Row],[VAT Other ch. 2017]]</f>
        <v>52.289828032748645</v>
      </c>
      <c r="S46" s="571">
        <f>Tabel6689262829[[#This Row],[Total. ch. DW 2017]]+Tabel6689262829[[#This Row],[Sew. 2017]]+Tabel6689262829[[#This Row],[VAT Sew. 2017]]+Tabel6689262829[[#This Row],[WW 2017]]+Tabel6689262829[[#This Row],[VAT WW 2017]]+Tabel6689262829[[#This Row],[Other ch. 2017]]+Tabel6689262829[[#This Row],[VAT Other ch. 2017]]</f>
        <v>313.73896819649195</v>
      </c>
      <c r="T46" s="397"/>
      <c r="U46" s="1886"/>
      <c r="V46" s="1888"/>
      <c r="W46" s="1890"/>
      <c r="X46" s="1772"/>
      <c r="Y46" s="1892"/>
      <c r="Z46" s="1894"/>
      <c r="AA46" s="1772"/>
      <c r="AB46" s="1911"/>
      <c r="AC46" s="1772"/>
      <c r="AD46" s="1913"/>
      <c r="AE46" s="1772"/>
      <c r="AF46" s="1915"/>
      <c r="AG46" s="1832"/>
      <c r="AH46" s="397"/>
      <c r="AI46" s="396"/>
      <c r="AJ46" s="396"/>
      <c r="AK46" s="396"/>
      <c r="AL46" s="396"/>
      <c r="AM46" s="396"/>
      <c r="AN46" s="396"/>
      <c r="AO46" s="398"/>
      <c r="AP46" s="397"/>
    </row>
    <row r="47" spans="1:42" ht="15.75" customHeight="1" x14ac:dyDescent="0.25">
      <c r="A47" s="1819"/>
      <c r="B47" s="685" t="s">
        <v>75</v>
      </c>
      <c r="C47" s="802"/>
      <c r="D47" s="802" t="s">
        <v>1036</v>
      </c>
      <c r="E47" s="1880"/>
      <c r="F47" s="647">
        <f>'exchange rates'!$O$9</f>
        <v>1.6293800000000001</v>
      </c>
      <c r="G47" s="625">
        <f>296/F47</f>
        <v>181.66419128748359</v>
      </c>
      <c r="H47" s="593">
        <v>0</v>
      </c>
      <c r="I47" s="594">
        <v>0</v>
      </c>
      <c r="J47" s="595">
        <f>59.2/F47</f>
        <v>36.332838257496718</v>
      </c>
      <c r="K47" s="566">
        <f>Tabel6689262829[[#This Row],[Fix.ch. 2017]]+Tabel6689262829[[#This Row],[Var. ch. 2017]]+Tabel6689262829[[#This Row],[Oth. ch. DW 2017]]+Tabel6689262829[[#This Row],[VAT DW 2017]]</f>
        <v>217.99702954498031</v>
      </c>
      <c r="L47" s="596">
        <f>24/F47</f>
        <v>14.72952902330948</v>
      </c>
      <c r="M47" s="595">
        <f>4.8/F47</f>
        <v>2.9459058046618956</v>
      </c>
      <c r="N47" s="626">
        <f>62/F47</f>
        <v>38.051283310216157</v>
      </c>
      <c r="O47" s="595">
        <f>12.4/F47</f>
        <v>7.6102566620432315</v>
      </c>
      <c r="P47" s="597">
        <v>0</v>
      </c>
      <c r="Q47" s="595">
        <v>0</v>
      </c>
      <c r="R47" s="570">
        <f>Tabel6689262829[[#This Row],[VAT DW 2017]]+Tabel6689262829[[#This Row],[VAT Sew. 2017]]+Tabel6689262829[[#This Row],[VAT WW 2017]]+Tabel6689262829[[#This Row],[VAT Other ch. 2017]]</f>
        <v>46.88900072420185</v>
      </c>
      <c r="S47" s="571">
        <f>Tabel6689262829[[#This Row],[Total. ch. DW 2017]]+Tabel6689262829[[#This Row],[Sew. 2017]]+Tabel6689262829[[#This Row],[VAT Sew. 2017]]+Tabel6689262829[[#This Row],[WW 2017]]+Tabel6689262829[[#This Row],[VAT WW 2017]]+Tabel6689262829[[#This Row],[Other ch. 2017]]+Tabel6689262829[[#This Row],[VAT Other ch. 2017]]</f>
        <v>281.3340043452111</v>
      </c>
      <c r="T47" s="397"/>
      <c r="U47" s="1886"/>
      <c r="V47" s="1888"/>
      <c r="W47" s="1890"/>
      <c r="X47" s="1772"/>
      <c r="Y47" s="1892"/>
      <c r="Z47" s="1894"/>
      <c r="AA47" s="1772"/>
      <c r="AB47" s="1911"/>
      <c r="AC47" s="1772"/>
      <c r="AD47" s="1913"/>
      <c r="AE47" s="1772"/>
      <c r="AF47" s="1915"/>
      <c r="AG47" s="1832"/>
      <c r="AH47" s="397"/>
      <c r="AI47" s="396"/>
      <c r="AJ47" s="396"/>
      <c r="AK47" s="396"/>
      <c r="AL47" s="396"/>
      <c r="AM47" s="396"/>
      <c r="AN47" s="396"/>
      <c r="AO47" s="398"/>
      <c r="AP47" s="397"/>
    </row>
    <row r="48" spans="1:42" ht="15.75" customHeight="1" x14ac:dyDescent="0.25">
      <c r="A48" s="1819"/>
      <c r="B48" s="685" t="s">
        <v>76</v>
      </c>
      <c r="C48" s="802"/>
      <c r="D48" s="802" t="s">
        <v>1036</v>
      </c>
      <c r="E48" s="1880"/>
      <c r="F48" s="647">
        <f>'exchange rates'!$O$9</f>
        <v>1.6293800000000001</v>
      </c>
      <c r="G48" s="625">
        <f>420/F48</f>
        <v>257.76675790791586</v>
      </c>
      <c r="H48" s="593">
        <v>0</v>
      </c>
      <c r="I48" s="594">
        <v>0</v>
      </c>
      <c r="J48" s="595">
        <f>84/F48</f>
        <v>51.553351581583179</v>
      </c>
      <c r="K48" s="566">
        <f>Tabel6689262829[[#This Row],[Fix.ch. 2017]]+Tabel6689262829[[#This Row],[Var. ch. 2017]]+Tabel6689262829[[#This Row],[Oth. ch. DW 2017]]+Tabel6689262829[[#This Row],[VAT DW 2017]]</f>
        <v>309.32010948949903</v>
      </c>
      <c r="L48" s="596">
        <f>16/F48</f>
        <v>9.8196860155396521</v>
      </c>
      <c r="M48" s="595">
        <f>3.2/F48</f>
        <v>1.9639372031079307</v>
      </c>
      <c r="N48" s="626">
        <f>34/F48</f>
        <v>20.866832783021763</v>
      </c>
      <c r="O48" s="595">
        <f>6.8/F48</f>
        <v>4.1733665566043525</v>
      </c>
      <c r="P48" s="597">
        <v>0</v>
      </c>
      <c r="Q48" s="595">
        <v>0</v>
      </c>
      <c r="R48" s="570">
        <f>Tabel6689262829[[#This Row],[VAT DW 2017]]+Tabel6689262829[[#This Row],[VAT Sew. 2017]]+Tabel6689262829[[#This Row],[VAT WW 2017]]+Tabel6689262829[[#This Row],[VAT Other ch. 2017]]</f>
        <v>57.690655341295461</v>
      </c>
      <c r="S48" s="571">
        <f>Tabel6689262829[[#This Row],[Total. ch. DW 2017]]+Tabel6689262829[[#This Row],[Sew. 2017]]+Tabel6689262829[[#This Row],[VAT Sew. 2017]]+Tabel6689262829[[#This Row],[WW 2017]]+Tabel6689262829[[#This Row],[VAT WW 2017]]+Tabel6689262829[[#This Row],[Other ch. 2017]]+Tabel6689262829[[#This Row],[VAT Other ch. 2017]]</f>
        <v>346.14393204777281</v>
      </c>
      <c r="T48" s="397"/>
      <c r="U48" s="1886"/>
      <c r="V48" s="1888"/>
      <c r="W48" s="1890"/>
      <c r="X48" s="1772"/>
      <c r="Y48" s="1892"/>
      <c r="Z48" s="1894"/>
      <c r="AA48" s="1772"/>
      <c r="AB48" s="1911"/>
      <c r="AC48" s="1772"/>
      <c r="AD48" s="1913"/>
      <c r="AE48" s="1772"/>
      <c r="AF48" s="1915"/>
      <c r="AG48" s="1832"/>
      <c r="AH48" s="397"/>
      <c r="AI48" s="396"/>
      <c r="AJ48" s="396"/>
      <c r="AK48" s="396"/>
      <c r="AL48" s="396"/>
      <c r="AM48" s="396"/>
      <c r="AN48" s="396"/>
      <c r="AO48" s="398"/>
      <c r="AP48" s="397"/>
    </row>
    <row r="49" spans="1:42" ht="16.5" customHeight="1" thickBot="1" x14ac:dyDescent="0.3">
      <c r="A49" s="1820"/>
      <c r="B49" s="624" t="s">
        <v>77</v>
      </c>
      <c r="C49" s="802"/>
      <c r="D49" s="802" t="s">
        <v>1036</v>
      </c>
      <c r="E49" s="1799"/>
      <c r="F49" s="647">
        <f>'exchange rates'!$O$9</f>
        <v>1.6293800000000001</v>
      </c>
      <c r="G49" s="625">
        <f>362/F49</f>
        <v>222.17039610158466</v>
      </c>
      <c r="H49" s="593">
        <v>0</v>
      </c>
      <c r="I49" s="594">
        <v>0</v>
      </c>
      <c r="J49" s="595">
        <f>72.4/F49</f>
        <v>44.434079220316931</v>
      </c>
      <c r="K49" s="566">
        <f>Tabel6689262829[[#This Row],[Fix.ch. 2017]]+Tabel6689262829[[#This Row],[Var. ch. 2017]]+Tabel6689262829[[#This Row],[Oth. ch. DW 2017]]+Tabel6689262829[[#This Row],[VAT DW 2017]]</f>
        <v>266.60447532190159</v>
      </c>
      <c r="L49" s="596">
        <f>20/F49</f>
        <v>12.274607519424565</v>
      </c>
      <c r="M49" s="595">
        <f>4/F49</f>
        <v>2.454921503884913</v>
      </c>
      <c r="N49" s="626">
        <f>72/F49</f>
        <v>44.188587069928438</v>
      </c>
      <c r="O49" s="595">
        <f>14.4/F49</f>
        <v>8.837717413985688</v>
      </c>
      <c r="P49" s="597">
        <v>0</v>
      </c>
      <c r="Q49" s="595">
        <v>0</v>
      </c>
      <c r="R49" s="570">
        <f>Tabel6689262829[[#This Row],[VAT DW 2017]]+Tabel6689262829[[#This Row],[VAT Sew. 2017]]+Tabel6689262829[[#This Row],[VAT WW 2017]]+Tabel6689262829[[#This Row],[VAT Other ch. 2017]]</f>
        <v>55.726718138187529</v>
      </c>
      <c r="S49" s="571">
        <f>Tabel6689262829[[#This Row],[Total. ch. DW 2017]]+Tabel6689262829[[#This Row],[Sew. 2017]]+Tabel6689262829[[#This Row],[VAT Sew. 2017]]+Tabel6689262829[[#This Row],[WW 2017]]+Tabel6689262829[[#This Row],[VAT WW 2017]]+Tabel6689262829[[#This Row],[Other ch. 2017]]+Tabel6689262829[[#This Row],[VAT Other ch. 2017]]</f>
        <v>334.36030882912519</v>
      </c>
      <c r="T49" s="397"/>
      <c r="U49" s="1801"/>
      <c r="V49" s="1803"/>
      <c r="W49" s="1805"/>
      <c r="X49" s="1773"/>
      <c r="Y49" s="1807"/>
      <c r="Z49" s="1809"/>
      <c r="AA49" s="1773"/>
      <c r="AB49" s="1782"/>
      <c r="AC49" s="1773"/>
      <c r="AD49" s="1786"/>
      <c r="AE49" s="1773"/>
      <c r="AF49" s="1789"/>
      <c r="AG49" s="1792"/>
      <c r="AH49" s="397"/>
      <c r="AI49" s="396"/>
      <c r="AJ49" s="396"/>
      <c r="AK49" s="396"/>
      <c r="AL49" s="396"/>
      <c r="AM49" s="396"/>
      <c r="AN49" s="396"/>
      <c r="AO49" s="398"/>
      <c r="AP49" s="397"/>
    </row>
    <row r="50" spans="1:42" ht="16.5" customHeight="1" thickBot="1" x14ac:dyDescent="0.3">
      <c r="A50" s="869" t="s">
        <v>501</v>
      </c>
      <c r="B50" s="265" t="s">
        <v>504</v>
      </c>
      <c r="C50" s="1045"/>
      <c r="D50" s="811" t="s">
        <v>1038</v>
      </c>
      <c r="E50" s="300">
        <v>1500</v>
      </c>
      <c r="F50" s="305">
        <v>506.17869999999999</v>
      </c>
      <c r="G50" s="310">
        <f>12000/F50</f>
        <v>23.707042591875162</v>
      </c>
      <c r="H50" s="311">
        <f>64348/F50</f>
        <v>127.12506472516525</v>
      </c>
      <c r="I50" s="312">
        <v>0</v>
      </c>
      <c r="J50" s="558"/>
      <c r="K50" s="313">
        <f>Tabel6689262829[[#This Row],[Fix.ch. 2017]]+Tabel6689262829[[#This Row],[Var. ch. 2017]]+Tabel6689262829[[#This Row],[Oth. ch. DW 2017]]+Tabel6689262829[[#This Row],[VAT DW 2017]]</f>
        <v>150.8321073170404</v>
      </c>
      <c r="L50" s="314">
        <f>12000/F50</f>
        <v>23.707042591875162</v>
      </c>
      <c r="M50" s="558"/>
      <c r="N50" s="315">
        <v>0</v>
      </c>
      <c r="O50" s="558"/>
      <c r="P50" s="316">
        <v>0</v>
      </c>
      <c r="Q50" s="558"/>
      <c r="R50" s="317">
        <f>Tabel6689262829[[#This Row],[VAT DW 2017]]+Tabel6689262829[[#This Row],[VAT Sew. 2017]]+Tabel6689262829[[#This Row],[VAT WW 2017]]+Tabel6689262829[[#This Row],[VAT Other ch. 2017]]</f>
        <v>0</v>
      </c>
      <c r="S50" s="318">
        <f>Tabel6689262829[[#This Row],[Total. ch. DW 2017]]+Tabel6689262829[[#This Row],[Sew. 2017]]+Tabel6689262829[[#This Row],[VAT Sew. 2017]]+Tabel6689262829[[#This Row],[WW 2017]]+Tabel6689262829[[#This Row],[VAT WW 2017]]+Tabel6689262829[[#This Row],[Other ch. 2017]]+Tabel6689262829[[#This Row],[VAT Other ch. 2017]]</f>
        <v>174.53914990891556</v>
      </c>
      <c r="T50" s="397"/>
      <c r="U50" s="892">
        <f>Tabel6689262829[[#This Row],[Fix.ch. 2017]]</f>
        <v>23.707042591875162</v>
      </c>
      <c r="V50" s="891">
        <f>Tabel6689262829[[#This Row],[Var. ch. 2017]]</f>
        <v>127.12506472516525</v>
      </c>
      <c r="W50" s="889">
        <v>0</v>
      </c>
      <c r="X50" s="576"/>
      <c r="Y50" s="880">
        <f>Tabel6689262829[[#This Row],[Total. ch. DW 2017]]</f>
        <v>150.8321073170404</v>
      </c>
      <c r="Z50" s="881">
        <f>Tabel6689262829[[#This Row],[Sew. 2017]]</f>
        <v>23.707042591875162</v>
      </c>
      <c r="AA50" s="576"/>
      <c r="AB50" s="872">
        <v>0</v>
      </c>
      <c r="AC50" s="576"/>
      <c r="AD50" s="897">
        <v>0</v>
      </c>
      <c r="AE50" s="576"/>
      <c r="AF50" s="874">
        <f>Tabel6689262829[[#This Row],[Total VAT 2017]]</f>
        <v>0</v>
      </c>
      <c r="AG50" s="873">
        <f>Tabel6689262829[[#This Row],[total charge 2017]]</f>
        <v>174.53914990891556</v>
      </c>
      <c r="AH50" s="397"/>
      <c r="AI50" s="396"/>
      <c r="AJ50" s="396"/>
      <c r="AK50" s="396"/>
      <c r="AL50" s="396" t="s">
        <v>429</v>
      </c>
      <c r="AM50" s="396" t="s">
        <v>429</v>
      </c>
      <c r="AN50" s="396"/>
      <c r="AO50" s="398"/>
      <c r="AP50" s="397"/>
    </row>
    <row r="51" spans="1:42" ht="16.5" customHeight="1" x14ac:dyDescent="0.25">
      <c r="A51" s="1878" t="s">
        <v>343</v>
      </c>
      <c r="B51" s="740" t="s">
        <v>548</v>
      </c>
      <c r="C51" s="806"/>
      <c r="D51" s="806" t="s">
        <v>1040</v>
      </c>
      <c r="E51" s="1798">
        <v>48100</v>
      </c>
      <c r="F51" s="647">
        <f>'exchange rates'!$O$11</f>
        <v>1.25759</v>
      </c>
      <c r="G51" s="625">
        <f>187.08/F51</f>
        <v>148.76072487853753</v>
      </c>
      <c r="H51" s="593">
        <f>349.92/F51</f>
        <v>278.24648732893871</v>
      </c>
      <c r="I51" s="594">
        <v>0</v>
      </c>
      <c r="J51" s="595">
        <v>0</v>
      </c>
      <c r="K51" s="566">
        <f>Tabel6689262829[[#This Row],[Fix.ch. 2017]]+Tabel6689262829[[#This Row],[Var. ch. 2017]]+Tabel6689262829[[#This Row],[Oth. ch. DW 2017]]+Tabel6689262829[[#This Row],[VAT DW 2017]]</f>
        <v>427.00721220747624</v>
      </c>
      <c r="L51" s="596">
        <v>0</v>
      </c>
      <c r="M51" s="595">
        <v>0</v>
      </c>
      <c r="N51" s="626">
        <f>576/F51</f>
        <v>458.01890918343815</v>
      </c>
      <c r="O51" s="595">
        <v>0</v>
      </c>
      <c r="P51" s="597">
        <v>0</v>
      </c>
      <c r="Q51" s="595">
        <v>0</v>
      </c>
      <c r="R51" s="570">
        <f>Tabel6689262829[[#This Row],[VAT DW 2017]]+Tabel6689262829[[#This Row],[VAT Sew. 2017]]+Tabel6689262829[[#This Row],[VAT WW 2017]]+Tabel6689262829[[#This Row],[VAT Other ch. 2017]]</f>
        <v>0</v>
      </c>
      <c r="S51" s="571">
        <f>Tabel6689262829[[#This Row],[Total. ch. DW 2017]]+Tabel6689262829[[#This Row],[Sew. 2017]]+Tabel6689262829[[#This Row],[VAT Sew. 2017]]+Tabel6689262829[[#This Row],[WW 2017]]+Tabel6689262829[[#This Row],[VAT WW 2017]]+Tabel6689262829[[#This Row],[Other ch. 2017]]+Tabel6689262829[[#This Row],[VAT Other ch. 2017]]</f>
        <v>885.02612139091434</v>
      </c>
      <c r="T51" s="397"/>
      <c r="U51" s="1800">
        <f>MEDIAN(G51:G56)</f>
        <v>158.20736488044594</v>
      </c>
      <c r="V51" s="1802">
        <f>MEDIAN(H51:H56)</f>
        <v>280.92621601634875</v>
      </c>
      <c r="W51" s="1804">
        <f>MEDIAN(I51:I56)</f>
        <v>0</v>
      </c>
      <c r="X51" s="1771">
        <f>MEDIAN(J51:J56)</f>
        <v>0</v>
      </c>
      <c r="Y51" s="1806">
        <f>SUM(U51:X56)</f>
        <v>439.13358089679468</v>
      </c>
      <c r="Z51" s="1808">
        <f t="shared" ref="Z51:AE51" si="5">MEDIAN(L51:L56)</f>
        <v>0</v>
      </c>
      <c r="AA51" s="1771">
        <f t="shared" si="5"/>
        <v>0</v>
      </c>
      <c r="AB51" s="1780">
        <f>MEDIAN(N51:N56)</f>
        <v>400.36895967684222</v>
      </c>
      <c r="AC51" s="1771">
        <f t="shared" si="5"/>
        <v>0</v>
      </c>
      <c r="AD51" s="1784">
        <f>MEDIAN(P51:P56)</f>
        <v>0</v>
      </c>
      <c r="AE51" s="1771">
        <f t="shared" si="5"/>
        <v>0</v>
      </c>
      <c r="AF51" s="1787">
        <f>MEDIAN(R51:R56)</f>
        <v>0</v>
      </c>
      <c r="AG51" s="1790">
        <f>Y51+Z51+AA51+AB51+AC51+AD51+AE51</f>
        <v>839.50254057363691</v>
      </c>
      <c r="AH51" s="397"/>
      <c r="AI51" s="396"/>
      <c r="AJ51" s="591" t="s">
        <v>429</v>
      </c>
      <c r="AK51" s="591"/>
      <c r="AL51" s="591"/>
      <c r="AM51" s="591" t="s">
        <v>429</v>
      </c>
      <c r="AN51" s="591" t="s">
        <v>429</v>
      </c>
      <c r="AO51" s="398"/>
      <c r="AP51" s="397"/>
    </row>
    <row r="52" spans="1:42" ht="16.5" customHeight="1" x14ac:dyDescent="0.25">
      <c r="A52" s="1757"/>
      <c r="B52" s="724" t="s">
        <v>940</v>
      </c>
      <c r="C52" s="724" t="s">
        <v>429</v>
      </c>
      <c r="D52" s="724" t="s">
        <v>1040</v>
      </c>
      <c r="E52" s="1760"/>
      <c r="F52" s="647">
        <f>'exchange rates'!$O$11</f>
        <v>1.25759</v>
      </c>
      <c r="G52" s="625">
        <f>109.68/F52</f>
        <v>87.214433957013028</v>
      </c>
      <c r="H52" s="593">
        <f>379.32/F52</f>
        <v>301.62453581851003</v>
      </c>
      <c r="I52" s="594">
        <v>0</v>
      </c>
      <c r="J52" s="595">
        <v>0</v>
      </c>
      <c r="K52" s="566">
        <f>Tabel6689262829[[#This Row],[Fix.ch. 2017]]+Tabel6689262829[[#This Row],[Var. ch. 2017]]+Tabel6689262829[[#This Row],[Oth. ch. DW 2017]]+Tabel6689262829[[#This Row],[VAT DW 2017]]</f>
        <v>388.83896977552308</v>
      </c>
      <c r="L52" s="596">
        <v>0</v>
      </c>
      <c r="M52" s="595">
        <v>0</v>
      </c>
      <c r="N52" s="626">
        <f>540/F52</f>
        <v>429.39272735947327</v>
      </c>
      <c r="O52" s="595">
        <v>0</v>
      </c>
      <c r="P52" s="597">
        <v>0</v>
      </c>
      <c r="Q52" s="595">
        <v>0</v>
      </c>
      <c r="R52" s="570">
        <f>Tabel6689262829[[#This Row],[VAT DW 2017]]+Tabel6689262829[[#This Row],[VAT Sew. 2017]]+Tabel6689262829[[#This Row],[VAT WW 2017]]+Tabel6689262829[[#This Row],[VAT Other ch. 2017]]</f>
        <v>0</v>
      </c>
      <c r="S52" s="571">
        <f>Tabel6689262829[[#This Row],[Total. ch. DW 2017]]+Tabel6689262829[[#This Row],[Sew. 2017]]+Tabel6689262829[[#This Row],[WW 2017]]+Tabel6689262829[[#This Row],[Other ch. 2017]]+Tabel6689262829[[#This Row],[Total VAT 2017]]</f>
        <v>818.23169713499635</v>
      </c>
      <c r="T52" s="397"/>
      <c r="U52" s="1763"/>
      <c r="V52" s="1766"/>
      <c r="W52" s="1769"/>
      <c r="X52" s="1772"/>
      <c r="Y52" s="1775"/>
      <c r="Z52" s="1778"/>
      <c r="AA52" s="1772"/>
      <c r="AB52" s="1781"/>
      <c r="AC52" s="1772"/>
      <c r="AD52" s="1785"/>
      <c r="AE52" s="1772"/>
      <c r="AF52" s="1788"/>
      <c r="AG52" s="1791"/>
      <c r="AH52" s="397"/>
      <c r="AI52" s="396"/>
      <c r="AJ52" s="591" t="s">
        <v>429</v>
      </c>
      <c r="AK52" s="591"/>
      <c r="AL52" s="591"/>
      <c r="AM52" s="591" t="s">
        <v>429</v>
      </c>
      <c r="AN52" s="591" t="s">
        <v>429</v>
      </c>
      <c r="AO52" s="398"/>
      <c r="AP52" s="397"/>
    </row>
    <row r="53" spans="1:42" ht="16.5" customHeight="1" x14ac:dyDescent="0.25">
      <c r="A53" s="1757"/>
      <c r="B53" s="724" t="s">
        <v>549</v>
      </c>
      <c r="C53" s="724"/>
      <c r="D53" s="724" t="s">
        <v>1040</v>
      </c>
      <c r="E53" s="1760"/>
      <c r="F53" s="647">
        <f>'exchange rates'!$O$11</f>
        <v>1.25759</v>
      </c>
      <c r="G53" s="625">
        <f>179.34/F53</f>
        <v>142.60609578638508</v>
      </c>
      <c r="H53" s="593">
        <f>356.66/F53</f>
        <v>283.60594470375878</v>
      </c>
      <c r="I53" s="594">
        <v>0</v>
      </c>
      <c r="J53" s="595">
        <v>0</v>
      </c>
      <c r="K53" s="566">
        <f>Tabel6689262829[[#This Row],[Fix.ch. 2017]]+Tabel6689262829[[#This Row],[Var. ch. 2017]]+Tabel6689262829[[#This Row],[Oth. ch. DW 2017]]+Tabel6689262829[[#This Row],[VAT DW 2017]]</f>
        <v>426.21204049014386</v>
      </c>
      <c r="L53" s="596">
        <v>0</v>
      </c>
      <c r="M53" s="595">
        <v>0</v>
      </c>
      <c r="N53" s="626">
        <f>511/F53</f>
        <v>406.33274755683493</v>
      </c>
      <c r="O53" s="595">
        <v>0</v>
      </c>
      <c r="P53" s="597">
        <v>0</v>
      </c>
      <c r="Q53" s="595">
        <v>0</v>
      </c>
      <c r="R53" s="570">
        <f>Tabel6689262829[[#This Row],[VAT DW 2017]]+Tabel6689262829[[#This Row],[VAT Sew. 2017]]+Tabel6689262829[[#This Row],[VAT WW 2017]]+Tabel6689262829[[#This Row],[VAT Other ch. 2017]]</f>
        <v>0</v>
      </c>
      <c r="S53" s="571">
        <f>Tabel6689262829[[#This Row],[Total. ch. DW 2017]]+Tabel6689262829[[#This Row],[Sew. 2017]]+Tabel6689262829[[#This Row],[VAT Sew. 2017]]+Tabel6689262829[[#This Row],[WW 2017]]+Tabel6689262829[[#This Row],[VAT WW 2017]]+Tabel6689262829[[#This Row],[Other ch. 2017]]+Tabel6689262829[[#This Row],[VAT Other ch. 2017]]</f>
        <v>832.54478804697874</v>
      </c>
      <c r="T53" s="397"/>
      <c r="U53" s="1763"/>
      <c r="V53" s="1766"/>
      <c r="W53" s="1769"/>
      <c r="X53" s="1772"/>
      <c r="Y53" s="1775"/>
      <c r="Z53" s="1778"/>
      <c r="AA53" s="1772"/>
      <c r="AB53" s="1781"/>
      <c r="AC53" s="1772"/>
      <c r="AD53" s="1785"/>
      <c r="AE53" s="1772"/>
      <c r="AF53" s="1788"/>
      <c r="AG53" s="1791"/>
      <c r="AH53" s="397"/>
      <c r="AI53" s="396"/>
      <c r="AJ53" s="591" t="s">
        <v>429</v>
      </c>
      <c r="AK53" s="591"/>
      <c r="AL53" s="591"/>
      <c r="AM53" s="591" t="s">
        <v>429</v>
      </c>
      <c r="AN53" s="591" t="s">
        <v>429</v>
      </c>
      <c r="AO53" s="398"/>
      <c r="AP53" s="397"/>
    </row>
    <row r="54" spans="1:42" ht="16.5" customHeight="1" x14ac:dyDescent="0.25">
      <c r="A54" s="1757"/>
      <c r="B54" s="724" t="s">
        <v>722</v>
      </c>
      <c r="C54" s="724"/>
      <c r="D54" s="724" t="s">
        <v>1040</v>
      </c>
      <c r="E54" s="1760"/>
      <c r="F54" s="647">
        <f>'exchange rates'!$O$11</f>
        <v>1.25759</v>
      </c>
      <c r="G54" s="625">
        <f>240/F54</f>
        <v>190.84121215976592</v>
      </c>
      <c r="H54" s="593">
        <f>721/F54</f>
        <v>573.31880819663002</v>
      </c>
      <c r="I54" s="594">
        <v>0</v>
      </c>
      <c r="J54" s="595">
        <v>0</v>
      </c>
      <c r="K54" s="566">
        <f>Tabel6689262829[[#This Row],[Fix.ch. 2017]]+Tabel6689262829[[#This Row],[Var. ch. 2017]]+Tabel6689262829[[#This Row],[Oth. ch. DW 2017]]+Tabel6689262829[[#This Row],[VAT DW 2017]]</f>
        <v>764.16002035639599</v>
      </c>
      <c r="L54" s="596">
        <v>0</v>
      </c>
      <c r="M54" s="595">
        <v>0</v>
      </c>
      <c r="N54" s="626">
        <f>496/F54</f>
        <v>394.40517179684952</v>
      </c>
      <c r="O54" s="595">
        <v>0</v>
      </c>
      <c r="P54" s="597">
        <v>0</v>
      </c>
      <c r="Q54" s="595">
        <v>0</v>
      </c>
      <c r="R54" s="570">
        <f>Tabel6689262829[[#This Row],[VAT DW 2017]]+Tabel6689262829[[#This Row],[VAT Sew. 2017]]+Tabel6689262829[[#This Row],[VAT WW 2017]]+Tabel6689262829[[#This Row],[VAT Other ch. 2017]]</f>
        <v>0</v>
      </c>
      <c r="S54" s="571">
        <f>Tabel6689262829[[#This Row],[Total. ch. DW 2017]]+Tabel6689262829[[#This Row],[Sew. 2017]]+Tabel6689262829[[#This Row],[VAT Sew. 2017]]+Tabel6689262829[[#This Row],[WW 2017]]+Tabel6689262829[[#This Row],[VAT WW 2017]]+Tabel6689262829[[#This Row],[Other ch. 2017]]+Tabel6689262829[[#This Row],[VAT Other ch. 2017]]</f>
        <v>1158.5651921532456</v>
      </c>
      <c r="T54" s="397"/>
      <c r="U54" s="1763"/>
      <c r="V54" s="1766"/>
      <c r="W54" s="1769"/>
      <c r="X54" s="1772"/>
      <c r="Y54" s="1775"/>
      <c r="Z54" s="1778"/>
      <c r="AA54" s="1772"/>
      <c r="AB54" s="1781"/>
      <c r="AC54" s="1772"/>
      <c r="AD54" s="1785"/>
      <c r="AE54" s="1772"/>
      <c r="AF54" s="1788"/>
      <c r="AG54" s="1791"/>
      <c r="AH54" s="397"/>
      <c r="AI54" s="396"/>
      <c r="AJ54" s="396"/>
      <c r="AK54" s="396"/>
      <c r="AL54" s="591" t="s">
        <v>429</v>
      </c>
      <c r="AM54" s="591" t="s">
        <v>429</v>
      </c>
      <c r="AN54" s="591" t="s">
        <v>429</v>
      </c>
      <c r="AO54" s="398"/>
      <c r="AP54" s="397"/>
    </row>
    <row r="55" spans="1:42" ht="16.5" customHeight="1" x14ac:dyDescent="0.25">
      <c r="A55" s="1757"/>
      <c r="B55" s="724" t="s">
        <v>723</v>
      </c>
      <c r="C55" s="724"/>
      <c r="D55" s="724" t="s">
        <v>1040</v>
      </c>
      <c r="E55" s="1760"/>
      <c r="F55" s="647">
        <f>'exchange rates'!$O$11</f>
        <v>1.25759</v>
      </c>
      <c r="G55" s="625">
        <f>616/F55</f>
        <v>489.8257778767325</v>
      </c>
      <c r="H55" s="593">
        <f>0</f>
        <v>0</v>
      </c>
      <c r="I55" s="594">
        <v>0</v>
      </c>
      <c r="J55" s="595">
        <v>0</v>
      </c>
      <c r="K55" s="566">
        <f>Tabel6689262829[[#This Row],[Fix.ch. 2017]]+Tabel6689262829[[#This Row],[Var. ch. 2017]]+Tabel6689262829[[#This Row],[Oth. ch. DW 2017]]+Tabel6689262829[[#This Row],[VAT DW 2017]]</f>
        <v>489.8257778767325</v>
      </c>
      <c r="L55" s="596">
        <v>0</v>
      </c>
      <c r="M55" s="595">
        <v>0</v>
      </c>
      <c r="N55" s="626">
        <f>384/F55</f>
        <v>305.34593945562546</v>
      </c>
      <c r="O55" s="595">
        <v>0</v>
      </c>
      <c r="P55" s="597">
        <v>0</v>
      </c>
      <c r="Q55" s="595">
        <v>0</v>
      </c>
      <c r="R55" s="570">
        <f>Tabel6689262829[[#This Row],[VAT DW 2017]]+Tabel6689262829[[#This Row],[VAT Sew. 2017]]+Tabel6689262829[[#This Row],[VAT WW 2017]]+Tabel6689262829[[#This Row],[VAT Other ch. 2017]]</f>
        <v>0</v>
      </c>
      <c r="S55" s="571">
        <f>Tabel6689262829[[#This Row],[Total. ch. DW 2017]]+Tabel6689262829[[#This Row],[Sew. 2017]]+Tabel6689262829[[#This Row],[VAT Sew. 2017]]+Tabel6689262829[[#This Row],[WW 2017]]+Tabel6689262829[[#This Row],[VAT WW 2017]]+Tabel6689262829[[#This Row],[Other ch. 2017]]+Tabel6689262829[[#This Row],[VAT Other ch. 2017]]</f>
        <v>795.17171733235796</v>
      </c>
      <c r="T55" s="397"/>
      <c r="U55" s="1763"/>
      <c r="V55" s="1766"/>
      <c r="W55" s="1769"/>
      <c r="X55" s="1772"/>
      <c r="Y55" s="1775"/>
      <c r="Z55" s="1778"/>
      <c r="AA55" s="1772"/>
      <c r="AB55" s="1781"/>
      <c r="AC55" s="1772"/>
      <c r="AD55" s="1785"/>
      <c r="AE55" s="1772"/>
      <c r="AF55" s="1788"/>
      <c r="AG55" s="1791"/>
      <c r="AH55" s="397"/>
      <c r="AI55" s="591" t="s">
        <v>429</v>
      </c>
      <c r="AJ55" s="591"/>
      <c r="AK55" s="591"/>
      <c r="AL55" s="591"/>
      <c r="AM55" s="591" t="s">
        <v>429</v>
      </c>
      <c r="AN55" s="591" t="s">
        <v>429</v>
      </c>
      <c r="AO55" s="398"/>
      <c r="AP55" s="397"/>
    </row>
    <row r="56" spans="1:42" ht="16.5" customHeight="1" thickBot="1" x14ac:dyDescent="0.3">
      <c r="A56" s="1758"/>
      <c r="B56" s="743" t="s">
        <v>552</v>
      </c>
      <c r="C56" s="807"/>
      <c r="D56" s="807" t="s">
        <v>1040</v>
      </c>
      <c r="E56" s="1799"/>
      <c r="F56" s="647">
        <f>'exchange rates'!$O$11</f>
        <v>1.25759</v>
      </c>
      <c r="G56" s="625">
        <f>210.84/F56</f>
        <v>167.65400488235434</v>
      </c>
      <c r="H56" s="593">
        <f>209.16/F56</f>
        <v>166.31811639723597</v>
      </c>
      <c r="I56" s="594">
        <v>0</v>
      </c>
      <c r="J56" s="595">
        <v>0</v>
      </c>
      <c r="K56" s="566">
        <f>Tabel6689262829[[#This Row],[Fix.ch. 2017]]+Tabel6689262829[[#This Row],[Var. ch. 2017]]+Tabel6689262829[[#This Row],[Oth. ch. DW 2017]]+Tabel6689262829[[#This Row],[VAT DW 2017]]</f>
        <v>333.97212127959028</v>
      </c>
      <c r="L56" s="596">
        <v>0</v>
      </c>
      <c r="M56" s="595">
        <v>0</v>
      </c>
      <c r="N56" s="626">
        <f>424/F56</f>
        <v>337.15280814891975</v>
      </c>
      <c r="O56" s="595">
        <v>0</v>
      </c>
      <c r="P56" s="597">
        <v>0</v>
      </c>
      <c r="Q56" s="595">
        <v>0</v>
      </c>
      <c r="R56" s="570">
        <f>Tabel6689262829[[#This Row],[VAT DW 2017]]+Tabel6689262829[[#This Row],[VAT Sew. 2017]]+Tabel6689262829[[#This Row],[VAT WW 2017]]+Tabel6689262829[[#This Row],[VAT Other ch. 2017]]</f>
        <v>0</v>
      </c>
      <c r="S56" s="571">
        <f>Tabel6689262829[[#This Row],[Total. ch. DW 2017]]+Tabel6689262829[[#This Row],[Sew. 2017]]+Tabel6689262829[[#This Row],[VAT Sew. 2017]]+Tabel6689262829[[#This Row],[WW 2017]]+Tabel6689262829[[#This Row],[VAT WW 2017]]+Tabel6689262829[[#This Row],[Other ch. 2017]]+Tabel6689262829[[#This Row],[VAT Other ch. 2017]]</f>
        <v>671.12492942851009</v>
      </c>
      <c r="T56" s="397"/>
      <c r="U56" s="1801"/>
      <c r="V56" s="1803"/>
      <c r="W56" s="1805"/>
      <c r="X56" s="1773"/>
      <c r="Y56" s="1807"/>
      <c r="Z56" s="1809"/>
      <c r="AA56" s="1773"/>
      <c r="AB56" s="1782"/>
      <c r="AC56" s="1773"/>
      <c r="AD56" s="1786"/>
      <c r="AE56" s="1773"/>
      <c r="AF56" s="1789"/>
      <c r="AG56" s="1792"/>
      <c r="AH56" s="397"/>
      <c r="AI56" s="396"/>
      <c r="AJ56" s="396"/>
      <c r="AK56" s="591" t="s">
        <v>429</v>
      </c>
      <c r="AL56" s="591"/>
      <c r="AM56" s="591" t="s">
        <v>429</v>
      </c>
      <c r="AN56" s="591" t="s">
        <v>429</v>
      </c>
      <c r="AO56" s="398"/>
      <c r="AP56" s="397"/>
    </row>
    <row r="57" spans="1:42" ht="16.5" customHeight="1" x14ac:dyDescent="0.25">
      <c r="A57" s="1833" t="s">
        <v>489</v>
      </c>
      <c r="B57" s="288" t="s">
        <v>728</v>
      </c>
      <c r="C57" s="805"/>
      <c r="D57" s="805" t="s">
        <v>1042</v>
      </c>
      <c r="E57" s="1837">
        <v>23800</v>
      </c>
      <c r="F57" s="306">
        <f>'exchange rates'!$M$12</f>
        <v>711.02919999999995</v>
      </c>
      <c r="G57" s="310">
        <f>10990/F57</f>
        <v>15.456467891895299</v>
      </c>
      <c r="H57" s="311">
        <f>284335/F57</f>
        <v>399.89215632775705</v>
      </c>
      <c r="I57" s="312">
        <v>0</v>
      </c>
      <c r="J57" s="558"/>
      <c r="K57" s="313">
        <f>Tabel6689262829[[#This Row],[Fix.ch. 2017]]+Tabel6689262829[[#This Row],[Var. ch. 2017]]+Tabel6689262829[[#This Row],[Oth. ch. DW 2017]]+Tabel6689262829[[#This Row],[VAT DW 2017]]</f>
        <v>415.34862421965232</v>
      </c>
      <c r="L57" s="314">
        <f>64761/F57</f>
        <v>91.080647602095667</v>
      </c>
      <c r="M57" s="558"/>
      <c r="N57" s="315">
        <v>0</v>
      </c>
      <c r="O57" s="558"/>
      <c r="P57" s="316">
        <v>0</v>
      </c>
      <c r="Q57" s="558"/>
      <c r="R57" s="317">
        <f>Tabel6689262829[[#This Row],[VAT DW 2017]]+Tabel6689262829[[#This Row],[VAT Sew. 2017]]+Tabel6689262829[[#This Row],[VAT WW 2017]]+Tabel6689262829[[#This Row],[VAT Other ch. 2017]]</f>
        <v>0</v>
      </c>
      <c r="S57" s="318">
        <f>Tabel6689262829[[#This Row],[Total. ch. DW 2017]]+Tabel6689262829[[#This Row],[Sew. 2017]]+Tabel6689262829[[#This Row],[VAT Sew. 2017]]+Tabel6689262829[[#This Row],[WW 2017]]+Tabel6689262829[[#This Row],[VAT WW 2017]]+Tabel6689262829[[#This Row],[Other ch. 2017]]+Tabel6689262829[[#This Row],[VAT Other ch. 2017]]</f>
        <v>506.42927182174799</v>
      </c>
      <c r="T57" s="397"/>
      <c r="U57" s="1927">
        <f>MEDIAN(G57:G62)</f>
        <v>16.670904654829929</v>
      </c>
      <c r="V57" s="1928">
        <f>MEDIAN(H57:H62)</f>
        <v>155.12935333738756</v>
      </c>
      <c r="W57" s="1929">
        <f>MEDIAN(I57:I62)</f>
        <v>0</v>
      </c>
      <c r="X57" s="575"/>
      <c r="Y57" s="1930">
        <f>SUM(U57:W62)</f>
        <v>171.8002579922175</v>
      </c>
      <c r="Z57" s="1918">
        <f>MEDIAN(L57:L62)</f>
        <v>139.88314403965407</v>
      </c>
      <c r="AA57" s="575"/>
      <c r="AB57" s="1919">
        <f>MEDIAN(N57:N62)</f>
        <v>0</v>
      </c>
      <c r="AC57" s="575"/>
      <c r="AD57" s="1920">
        <f>MEDIAN(P57:P62)</f>
        <v>0</v>
      </c>
      <c r="AE57" s="575"/>
      <c r="AF57" s="1921">
        <f>MEDIAN(R57:R62)</f>
        <v>0</v>
      </c>
      <c r="AG57" s="1922">
        <f>SUM(Y57:AF62)</f>
        <v>311.68340203187154</v>
      </c>
      <c r="AH57" s="397"/>
      <c r="AI57" s="396"/>
      <c r="AJ57" s="396"/>
      <c r="AK57" s="396"/>
      <c r="AL57" s="396"/>
      <c r="AM57" s="396"/>
      <c r="AN57" s="396"/>
      <c r="AO57" s="398"/>
      <c r="AP57" s="397"/>
    </row>
    <row r="58" spans="1:42" ht="16.5" customHeight="1" x14ac:dyDescent="0.25">
      <c r="A58" s="1834"/>
      <c r="B58" s="525" t="s">
        <v>492</v>
      </c>
      <c r="C58" s="805"/>
      <c r="D58" s="805" t="s">
        <v>1042</v>
      </c>
      <c r="E58" s="1837"/>
      <c r="F58" s="306">
        <f>'exchange rates'!$M$12</f>
        <v>711.02919999999995</v>
      </c>
      <c r="G58" s="310">
        <f>12717/F58</f>
        <v>17.885341417764561</v>
      </c>
      <c r="H58" s="311">
        <f>135129/F58</f>
        <v>190.04704729426021</v>
      </c>
      <c r="I58" s="312">
        <v>0</v>
      </c>
      <c r="J58" s="558"/>
      <c r="K58" s="313">
        <f>Tabel6689262829[[#This Row],[Fix.ch. 2017]]+Tabel6689262829[[#This Row],[Var. ch. 2017]]+Tabel6689262829[[#This Row],[Oth. ch. DW 2017]]+Tabel6689262829[[#This Row],[VAT DW 2017]]</f>
        <v>207.93238871202476</v>
      </c>
      <c r="L58" s="314">
        <f>99461/F58</f>
        <v>139.88314403965407</v>
      </c>
      <c r="M58" s="558"/>
      <c r="N58" s="315">
        <v>0</v>
      </c>
      <c r="O58" s="558"/>
      <c r="P58" s="316">
        <v>0</v>
      </c>
      <c r="Q58" s="558"/>
      <c r="R58" s="317">
        <f>Tabel6689262829[[#This Row],[VAT DW 2017]]+Tabel6689262829[[#This Row],[VAT Sew. 2017]]+Tabel6689262829[[#This Row],[VAT WW 2017]]+Tabel6689262829[[#This Row],[VAT Other ch. 2017]]</f>
        <v>0</v>
      </c>
      <c r="S58" s="318">
        <f>Tabel6689262829[[#This Row],[Total. ch. DW 2017]]+Tabel6689262829[[#This Row],[Sew. 2017]]+Tabel6689262829[[#This Row],[VAT Sew. 2017]]+Tabel6689262829[[#This Row],[WW 2017]]+Tabel6689262829[[#This Row],[VAT WW 2017]]+Tabel6689262829[[#This Row],[Other ch. 2017]]+Tabel6689262829[[#This Row],[VAT Other ch. 2017]]</f>
        <v>347.8155327516788</v>
      </c>
      <c r="T58" s="397"/>
      <c r="U58" s="1840"/>
      <c r="V58" s="1843"/>
      <c r="W58" s="1846"/>
      <c r="X58" s="576"/>
      <c r="Y58" s="1849"/>
      <c r="Z58" s="1852"/>
      <c r="AA58" s="576"/>
      <c r="AB58" s="1855"/>
      <c r="AC58" s="576"/>
      <c r="AD58" s="1858"/>
      <c r="AE58" s="576"/>
      <c r="AF58" s="1873"/>
      <c r="AG58" s="1876"/>
      <c r="AH58" s="397"/>
      <c r="AI58" s="396"/>
      <c r="AJ58" s="396"/>
      <c r="AK58" s="396"/>
      <c r="AL58" s="396"/>
      <c r="AM58" s="396"/>
      <c r="AN58" s="396"/>
      <c r="AO58" s="398"/>
      <c r="AP58" s="397"/>
    </row>
    <row r="59" spans="1:42" ht="16.5" customHeight="1" x14ac:dyDescent="0.25">
      <c r="A59" s="1834"/>
      <c r="B59" s="525" t="s">
        <v>729</v>
      </c>
      <c r="C59" s="805"/>
      <c r="D59" s="805" t="s">
        <v>1042</v>
      </c>
      <c r="E59" s="1837"/>
      <c r="F59" s="306">
        <f>'exchange rates'!$M$12</f>
        <v>711.02919999999995</v>
      </c>
      <c r="G59" s="310">
        <f>12717/F59</f>
        <v>17.885341417764561</v>
      </c>
      <c r="H59" s="311">
        <f>135129/F59</f>
        <v>190.04704729426021</v>
      </c>
      <c r="I59" s="312">
        <v>0</v>
      </c>
      <c r="J59" s="558"/>
      <c r="K59" s="313">
        <f>Tabel6689262829[[#This Row],[Fix.ch. 2017]]+Tabel6689262829[[#This Row],[Var. ch. 2017]]+Tabel6689262829[[#This Row],[Oth. ch. DW 2017]]+Tabel6689262829[[#This Row],[VAT DW 2017]]</f>
        <v>207.93238871202476</v>
      </c>
      <c r="L59" s="314">
        <f>99461/F59</f>
        <v>139.88314403965407</v>
      </c>
      <c r="M59" s="558"/>
      <c r="N59" s="315">
        <v>0</v>
      </c>
      <c r="O59" s="558"/>
      <c r="P59" s="316">
        <v>0</v>
      </c>
      <c r="Q59" s="558"/>
      <c r="R59" s="317">
        <f>Tabel6689262829[[#This Row],[VAT DW 2017]]+Tabel6689262829[[#This Row],[VAT Sew. 2017]]+Tabel6689262829[[#This Row],[VAT WW 2017]]+Tabel6689262829[[#This Row],[VAT Other ch. 2017]]</f>
        <v>0</v>
      </c>
      <c r="S59" s="318">
        <f>Tabel6689262829[[#This Row],[Total. ch. DW 2017]]+Tabel6689262829[[#This Row],[Sew. 2017]]+Tabel6689262829[[#This Row],[VAT Sew. 2017]]+Tabel6689262829[[#This Row],[WW 2017]]+Tabel6689262829[[#This Row],[VAT WW 2017]]+Tabel6689262829[[#This Row],[Other ch. 2017]]+Tabel6689262829[[#This Row],[VAT Other ch. 2017]]</f>
        <v>347.8155327516788</v>
      </c>
      <c r="T59" s="397"/>
      <c r="U59" s="1840"/>
      <c r="V59" s="1843"/>
      <c r="W59" s="1846"/>
      <c r="X59" s="576"/>
      <c r="Y59" s="1849"/>
      <c r="Z59" s="1852"/>
      <c r="AA59" s="576"/>
      <c r="AB59" s="1855"/>
      <c r="AC59" s="576"/>
      <c r="AD59" s="1858"/>
      <c r="AE59" s="576"/>
      <c r="AF59" s="1873"/>
      <c r="AG59" s="1876"/>
      <c r="AH59" s="397"/>
      <c r="AI59" s="396"/>
      <c r="AJ59" s="396"/>
      <c r="AK59" s="396"/>
      <c r="AL59" s="396"/>
      <c r="AM59" s="396"/>
      <c r="AN59" s="396"/>
      <c r="AO59" s="398"/>
      <c r="AP59" s="397"/>
    </row>
    <row r="60" spans="1:42" ht="16.5" customHeight="1" x14ac:dyDescent="0.25">
      <c r="A60" s="1834"/>
      <c r="B60" s="525" t="s">
        <v>493</v>
      </c>
      <c r="C60" s="805"/>
      <c r="D60" s="805" t="s">
        <v>1042</v>
      </c>
      <c r="E60" s="1837"/>
      <c r="F60" s="306">
        <f>'exchange rates'!$M$12</f>
        <v>711.02919999999995</v>
      </c>
      <c r="G60" s="310">
        <f>7685/F60</f>
        <v>10.80827622831805</v>
      </c>
      <c r="H60" s="311">
        <f>81904/F60</f>
        <v>115.19076853665082</v>
      </c>
      <c r="I60" s="312">
        <v>0</v>
      </c>
      <c r="J60" s="558"/>
      <c r="K60" s="313">
        <f>Tabel6689262829[[#This Row],[Fix.ch. 2017]]+Tabel6689262829[[#This Row],[Var. ch. 2017]]+Tabel6689262829[[#This Row],[Oth. ch. DW 2017]]+Tabel6689262829[[#This Row],[VAT DW 2017]]</f>
        <v>125.99904476496887</v>
      </c>
      <c r="L60" s="314">
        <f>104035/F60</f>
        <v>146.31607253260486</v>
      </c>
      <c r="M60" s="558"/>
      <c r="N60" s="315">
        <v>0</v>
      </c>
      <c r="O60" s="558"/>
      <c r="P60" s="316">
        <v>0</v>
      </c>
      <c r="Q60" s="558"/>
      <c r="R60" s="317">
        <f>Tabel6689262829[[#This Row],[VAT DW 2017]]+Tabel6689262829[[#This Row],[VAT Sew. 2017]]+Tabel6689262829[[#This Row],[VAT WW 2017]]+Tabel6689262829[[#This Row],[VAT Other ch. 2017]]</f>
        <v>0</v>
      </c>
      <c r="S60" s="318">
        <f>Tabel6689262829[[#This Row],[Total. ch. DW 2017]]+Tabel6689262829[[#This Row],[Sew. 2017]]+Tabel6689262829[[#This Row],[VAT Sew. 2017]]+Tabel6689262829[[#This Row],[WW 2017]]+Tabel6689262829[[#This Row],[VAT WW 2017]]+Tabel6689262829[[#This Row],[Other ch. 2017]]+Tabel6689262829[[#This Row],[VAT Other ch. 2017]]</f>
        <v>272.31511729757375</v>
      </c>
      <c r="T60" s="397"/>
      <c r="U60" s="1840"/>
      <c r="V60" s="1843"/>
      <c r="W60" s="1846"/>
      <c r="X60" s="576"/>
      <c r="Y60" s="1849"/>
      <c r="Z60" s="1852"/>
      <c r="AA60" s="576"/>
      <c r="AB60" s="1855"/>
      <c r="AC60" s="576"/>
      <c r="AD60" s="1858"/>
      <c r="AE60" s="576"/>
      <c r="AF60" s="1873"/>
      <c r="AG60" s="1876"/>
      <c r="AH60" s="397"/>
      <c r="AI60" s="396"/>
      <c r="AJ60" s="396"/>
      <c r="AK60" s="396"/>
      <c r="AL60" s="396"/>
      <c r="AM60" s="396"/>
      <c r="AN60" s="396"/>
      <c r="AO60" s="398"/>
      <c r="AP60" s="397"/>
    </row>
    <row r="61" spans="1:42" ht="16.5" customHeight="1" x14ac:dyDescent="0.25">
      <c r="A61" s="1834"/>
      <c r="B61" s="288" t="s">
        <v>730</v>
      </c>
      <c r="C61" s="805"/>
      <c r="D61" s="805" t="s">
        <v>1042</v>
      </c>
      <c r="E61" s="1837"/>
      <c r="F61" s="306">
        <f>'exchange rates'!$M$12</f>
        <v>711.02919999999995</v>
      </c>
      <c r="G61" s="310">
        <f>12923/F61</f>
        <v>18.17506228998753</v>
      </c>
      <c r="H61" s="311">
        <f>85474/F61</f>
        <v>120.2116593805149</v>
      </c>
      <c r="I61" s="312">
        <v>0</v>
      </c>
      <c r="J61" s="558"/>
      <c r="K61" s="313">
        <f>Tabel6689262829[[#This Row],[Fix.ch. 2017]]+Tabel6689262829[[#This Row],[Var. ch. 2017]]+Tabel6689262829[[#This Row],[Oth. ch. DW 2017]]+Tabel6689262829[[#This Row],[VAT DW 2017]]</f>
        <v>138.38672167050242</v>
      </c>
      <c r="L61" s="314">
        <f>139941/F61</f>
        <v>196.81470184346861</v>
      </c>
      <c r="M61" s="558"/>
      <c r="N61" s="315">
        <v>0</v>
      </c>
      <c r="O61" s="558"/>
      <c r="P61" s="316">
        <v>0</v>
      </c>
      <c r="Q61" s="558"/>
      <c r="R61" s="317">
        <f>Tabel6689262829[[#This Row],[VAT DW 2017]]+Tabel6689262829[[#This Row],[VAT Sew. 2017]]+Tabel6689262829[[#This Row],[VAT WW 2017]]+Tabel6689262829[[#This Row],[VAT Other ch. 2017]]</f>
        <v>0</v>
      </c>
      <c r="S61" s="318">
        <f>Tabel6689262829[[#This Row],[Total. ch. DW 2017]]+Tabel6689262829[[#This Row],[Sew. 2017]]+Tabel6689262829[[#This Row],[VAT Sew. 2017]]+Tabel6689262829[[#This Row],[WW 2017]]+Tabel6689262829[[#This Row],[VAT WW 2017]]+Tabel6689262829[[#This Row],[Other ch. 2017]]+Tabel6689262829[[#This Row],[VAT Other ch. 2017]]</f>
        <v>335.20142351397101</v>
      </c>
      <c r="T61" s="397"/>
      <c r="U61" s="1840"/>
      <c r="V61" s="1843"/>
      <c r="W61" s="1846"/>
      <c r="X61" s="576"/>
      <c r="Y61" s="1849"/>
      <c r="Z61" s="1852"/>
      <c r="AA61" s="576"/>
      <c r="AB61" s="1855"/>
      <c r="AC61" s="576"/>
      <c r="AD61" s="1858"/>
      <c r="AE61" s="576"/>
      <c r="AF61" s="1873"/>
      <c r="AG61" s="1876"/>
      <c r="AH61" s="397"/>
      <c r="AI61" s="396"/>
      <c r="AJ61" s="396"/>
      <c r="AK61" s="396"/>
      <c r="AL61" s="396"/>
      <c r="AM61" s="396"/>
      <c r="AN61" s="396"/>
      <c r="AO61" s="398"/>
      <c r="AP61" s="397"/>
    </row>
    <row r="62" spans="1:42" ht="16.5" customHeight="1" thickBot="1" x14ac:dyDescent="0.3">
      <c r="A62" s="1835"/>
      <c r="B62" s="288" t="s">
        <v>731</v>
      </c>
      <c r="C62" s="805" t="s">
        <v>429</v>
      </c>
      <c r="D62" s="801" t="s">
        <v>1042</v>
      </c>
      <c r="E62" s="1838"/>
      <c r="F62" s="306">
        <f>'exchange rates'!$M$12</f>
        <v>711.02919999999995</v>
      </c>
      <c r="G62" s="310">
        <f>7300/F62</f>
        <v>10.266807607901336</v>
      </c>
      <c r="H62" s="311">
        <f>67207/F62</f>
        <v>94.520731356743156</v>
      </c>
      <c r="I62" s="312">
        <v>0</v>
      </c>
      <c r="J62" s="558"/>
      <c r="K62" s="313">
        <f>Tabel6689262829[[#This Row],[Fix.ch. 2017]]+Tabel6689262829[[#This Row],[Var. ch. 2017]]+Tabel6689262829[[#This Row],[Oth. ch. DW 2017]]+Tabel6689262829[[#This Row],[VAT DW 2017]]</f>
        <v>104.7875389646445</v>
      </c>
      <c r="L62" s="314">
        <f>90496/F62</f>
        <v>127.27466044995059</v>
      </c>
      <c r="M62" s="558"/>
      <c r="N62" s="315">
        <v>0</v>
      </c>
      <c r="O62" s="558"/>
      <c r="P62" s="316">
        <v>0</v>
      </c>
      <c r="Q62" s="558"/>
      <c r="R62" s="317">
        <f>Tabel6689262829[[#This Row],[VAT DW 2017]]+Tabel6689262829[[#This Row],[VAT Sew. 2017]]+Tabel6689262829[[#This Row],[VAT WW 2017]]+Tabel6689262829[[#This Row],[VAT Other ch. 2017]]</f>
        <v>0</v>
      </c>
      <c r="S62" s="318">
        <f>Tabel6689262829[[#This Row],[Total. ch. DW 2017]]+Tabel6689262829[[#This Row],[Sew. 2017]]+Tabel6689262829[[#This Row],[VAT Sew. 2017]]+Tabel6689262829[[#This Row],[WW 2017]]+Tabel6689262829[[#This Row],[VAT WW 2017]]+Tabel6689262829[[#This Row],[Other ch. 2017]]+Tabel6689262829[[#This Row],[VAT Other ch. 2017]]</f>
        <v>232.06219941459509</v>
      </c>
      <c r="T62" s="397"/>
      <c r="U62" s="1841"/>
      <c r="V62" s="1844"/>
      <c r="W62" s="1847"/>
      <c r="X62" s="577"/>
      <c r="Y62" s="1850"/>
      <c r="Z62" s="1853"/>
      <c r="AA62" s="577"/>
      <c r="AB62" s="1856"/>
      <c r="AC62" s="577"/>
      <c r="AD62" s="1859"/>
      <c r="AE62" s="577"/>
      <c r="AF62" s="1874"/>
      <c r="AG62" s="1877"/>
      <c r="AH62" s="397"/>
      <c r="AI62" s="396"/>
      <c r="AJ62" s="396"/>
      <c r="AK62" s="396"/>
      <c r="AL62" s="396"/>
      <c r="AM62" s="396"/>
      <c r="AN62" s="396"/>
      <c r="AO62" s="398"/>
      <c r="AP62" s="397"/>
    </row>
    <row r="63" spans="1:42" ht="18" customHeight="1" x14ac:dyDescent="0.25">
      <c r="A63" s="1818" t="s">
        <v>8</v>
      </c>
      <c r="B63" s="623" t="s">
        <v>78</v>
      </c>
      <c r="C63" s="802" t="s">
        <v>429</v>
      </c>
      <c r="D63" s="802" t="s">
        <v>1044</v>
      </c>
      <c r="E63" s="1879">
        <v>16600</v>
      </c>
      <c r="F63" s="647">
        <f>'exchange rates'!$O$13</f>
        <v>6.50176</v>
      </c>
      <c r="G63" s="686">
        <f>(4.07*200)/F63</f>
        <v>125.19686977064671</v>
      </c>
      <c r="H63" s="593">
        <v>0</v>
      </c>
      <c r="I63" s="594">
        <v>0</v>
      </c>
      <c r="J63" s="595">
        <v>0</v>
      </c>
      <c r="K63" s="566">
        <f>Tabel6689262829[[#This Row],[Fix.ch. 2017]]+Tabel6689262829[[#This Row],[Var. ch. 2017]]+Tabel6689262829[[#This Row],[Oth. ch. DW 2017]]+Tabel6689262829[[#This Row],[VAT DW 2017]]</f>
        <v>125.19686977064671</v>
      </c>
      <c r="L63" s="596">
        <v>0</v>
      </c>
      <c r="M63" s="595">
        <v>0</v>
      </c>
      <c r="N63" s="626">
        <f>(1.36*200)/F63</f>
        <v>41.834826262427406</v>
      </c>
      <c r="O63" s="595">
        <v>0</v>
      </c>
      <c r="P63" s="597">
        <f>(1.57*200)/F63</f>
        <v>48.294615611772812</v>
      </c>
      <c r="Q63" s="595">
        <v>0</v>
      </c>
      <c r="R63" s="570">
        <f>Tabel6689262829[[#This Row],[VAT DW 2017]]+Tabel6689262829[[#This Row],[VAT Sew. 2017]]+Tabel6689262829[[#This Row],[VAT WW 2017]]+Tabel6689262829[[#This Row],[VAT Other ch. 2017]]</f>
        <v>0</v>
      </c>
      <c r="S63" s="571">
        <f>Tabel6689262829[[#This Row],[Total. ch. DW 2017]]+Tabel6689262829[[#This Row],[Sew. 2017]]+Tabel6689262829[[#This Row],[VAT Sew. 2017]]+Tabel6689262829[[#This Row],[WW 2017]]+Tabel6689262829[[#This Row],[VAT WW 2017]]+Tabel6689262829[[#This Row],[Other ch. 2017]]+Tabel6689262829[[#This Row],[VAT Other ch. 2017]]</f>
        <v>215.32631164484695</v>
      </c>
      <c r="T63" s="397"/>
      <c r="U63" s="1924">
        <f>MEDIAN(G63:G67)</f>
        <v>120.27512550447879</v>
      </c>
      <c r="V63" s="1925">
        <f>MEDIAN(H63:H67)</f>
        <v>0</v>
      </c>
      <c r="W63" s="1926">
        <f>MEDIAN(I63:I67)</f>
        <v>0</v>
      </c>
      <c r="X63" s="1908">
        <f>MEDIAN(J63:J67)</f>
        <v>0</v>
      </c>
      <c r="Y63" s="1916">
        <f>SUM(U63:X67)</f>
        <v>120.27512550447879</v>
      </c>
      <c r="Z63" s="1917">
        <f t="shared" ref="Z63:AF63" si="6">MEDIAN(L63:L67)</f>
        <v>0</v>
      </c>
      <c r="AA63" s="1908">
        <f t="shared" si="6"/>
        <v>0</v>
      </c>
      <c r="AB63" s="1907">
        <f t="shared" si="6"/>
        <v>36.913081996259471</v>
      </c>
      <c r="AC63" s="1908">
        <f t="shared" si="6"/>
        <v>0</v>
      </c>
      <c r="AD63" s="1931">
        <f t="shared" si="6"/>
        <v>0</v>
      </c>
      <c r="AE63" s="1908">
        <f t="shared" si="6"/>
        <v>0</v>
      </c>
      <c r="AF63" s="1932">
        <f t="shared" si="6"/>
        <v>0</v>
      </c>
      <c r="AG63" s="1831">
        <f>Y63+Z63+AA63+AB63+AC63+AD63+AE63</f>
        <v>157.18820750073826</v>
      </c>
      <c r="AH63" s="397"/>
      <c r="AI63" s="398"/>
      <c r="AJ63" s="398"/>
      <c r="AK63" s="398"/>
      <c r="AL63" s="591" t="s">
        <v>429</v>
      </c>
      <c r="AM63" s="591"/>
      <c r="AN63" s="591" t="s">
        <v>429</v>
      </c>
      <c r="AO63" s="398"/>
      <c r="AP63" s="397"/>
    </row>
    <row r="64" spans="1:42" ht="15.75" x14ac:dyDescent="0.25">
      <c r="A64" s="1819"/>
      <c r="B64" s="685" t="s">
        <v>79</v>
      </c>
      <c r="C64" s="802"/>
      <c r="D64" s="802" t="s">
        <v>1044</v>
      </c>
      <c r="E64" s="1880"/>
      <c r="F64" s="647">
        <f>'exchange rates'!$O$13</f>
        <v>6.50176</v>
      </c>
      <c r="G64" s="686">
        <f>(3.3*200)/F64</f>
        <v>101.51097548971356</v>
      </c>
      <c r="H64" s="593">
        <v>0</v>
      </c>
      <c r="I64" s="594">
        <v>0</v>
      </c>
      <c r="J64" s="595">
        <v>0</v>
      </c>
      <c r="K64" s="566">
        <f>Tabel6689262829[[#This Row],[Fix.ch. 2017]]+Tabel6689262829[[#This Row],[Var. ch. 2017]]+Tabel6689262829[[#This Row],[Oth. ch. DW 2017]]+Tabel6689262829[[#This Row],[VAT DW 2017]]</f>
        <v>101.51097548971356</v>
      </c>
      <c r="L64" s="596">
        <v>0</v>
      </c>
      <c r="M64" s="595">
        <v>0</v>
      </c>
      <c r="N64" s="626">
        <f>(1.7*200)/F64</f>
        <v>52.293532828034259</v>
      </c>
      <c r="O64" s="595">
        <v>0</v>
      </c>
      <c r="P64" s="597">
        <v>0</v>
      </c>
      <c r="Q64" s="595">
        <v>0</v>
      </c>
      <c r="R64" s="570">
        <f>Tabel6689262829[[#This Row],[VAT DW 2017]]+Tabel6689262829[[#This Row],[VAT Sew. 2017]]+Tabel6689262829[[#This Row],[VAT WW 2017]]+Tabel6689262829[[#This Row],[VAT Other ch. 2017]]</f>
        <v>0</v>
      </c>
      <c r="S64" s="571">
        <f>Tabel6689262829[[#This Row],[Total. ch. DW 2017]]+Tabel6689262829[[#This Row],[Sew. 2017]]+Tabel6689262829[[#This Row],[VAT Sew. 2017]]+Tabel6689262829[[#This Row],[WW 2017]]+Tabel6689262829[[#This Row],[VAT WW 2017]]+Tabel6689262829[[#This Row],[Other ch. 2017]]+Tabel6689262829[[#This Row],[VAT Other ch. 2017]]</f>
        <v>153.80450831774783</v>
      </c>
      <c r="T64" s="397"/>
      <c r="U64" s="1763"/>
      <c r="V64" s="1766"/>
      <c r="W64" s="1769"/>
      <c r="X64" s="1783"/>
      <c r="Y64" s="1775"/>
      <c r="Z64" s="1778"/>
      <c r="AA64" s="1783"/>
      <c r="AB64" s="1781"/>
      <c r="AC64" s="1783"/>
      <c r="AD64" s="1785"/>
      <c r="AE64" s="1783"/>
      <c r="AF64" s="1788"/>
      <c r="AG64" s="1791"/>
      <c r="AH64" s="397"/>
      <c r="AI64" s="398"/>
      <c r="AJ64" s="398"/>
      <c r="AK64" s="398"/>
      <c r="AL64" s="591" t="s">
        <v>429</v>
      </c>
      <c r="AM64" s="591"/>
      <c r="AN64" s="591" t="s">
        <v>429</v>
      </c>
      <c r="AO64" s="398"/>
      <c r="AP64" s="397"/>
    </row>
    <row r="65" spans="1:42" ht="15.75" x14ac:dyDescent="0.25">
      <c r="A65" s="1819"/>
      <c r="B65" s="685" t="s">
        <v>80</v>
      </c>
      <c r="C65" s="802"/>
      <c r="D65" s="802" t="s">
        <v>1044</v>
      </c>
      <c r="E65" s="1880"/>
      <c r="F65" s="647">
        <f>'exchange rates'!$O$13</f>
        <v>6.50176</v>
      </c>
      <c r="G65" s="686">
        <f>(3.91*200)/F65</f>
        <v>120.27512550447879</v>
      </c>
      <c r="H65" s="593">
        <v>0</v>
      </c>
      <c r="I65" s="594">
        <f>(1.39*200)/F65</f>
        <v>42.757653312333893</v>
      </c>
      <c r="J65" s="595">
        <v>0</v>
      </c>
      <c r="K65" s="566">
        <f>Tabel6689262829[[#This Row],[Fix.ch. 2017]]+Tabel6689262829[[#This Row],[Var. ch. 2017]]+Tabel6689262829[[#This Row],[Oth. ch. DW 2017]]+Tabel6689262829[[#This Row],[VAT DW 2017]]</f>
        <v>163.03277881681268</v>
      </c>
      <c r="L65" s="596">
        <v>0</v>
      </c>
      <c r="M65" s="595">
        <v>0</v>
      </c>
      <c r="N65" s="626">
        <f>(0.9*200)/F65</f>
        <v>27.684811497194605</v>
      </c>
      <c r="O65" s="595">
        <v>0</v>
      </c>
      <c r="P65" s="597">
        <v>0</v>
      </c>
      <c r="Q65" s="595">
        <v>0</v>
      </c>
      <c r="R65" s="570">
        <f>Tabel6689262829[[#This Row],[VAT DW 2017]]+Tabel6689262829[[#This Row],[VAT Sew. 2017]]+Tabel6689262829[[#This Row],[VAT WW 2017]]+Tabel6689262829[[#This Row],[VAT Other ch. 2017]]</f>
        <v>0</v>
      </c>
      <c r="S65" s="571">
        <f>Tabel6689262829[[#This Row],[Total. ch. DW 2017]]+Tabel6689262829[[#This Row],[Sew. 2017]]+Tabel6689262829[[#This Row],[VAT Sew. 2017]]+Tabel6689262829[[#This Row],[WW 2017]]+Tabel6689262829[[#This Row],[VAT WW 2017]]+Tabel6689262829[[#This Row],[Other ch. 2017]]+Tabel6689262829[[#This Row],[VAT Other ch. 2017]]</f>
        <v>190.71759031400728</v>
      </c>
      <c r="T65" s="397"/>
      <c r="U65" s="1763"/>
      <c r="V65" s="1766"/>
      <c r="W65" s="1769"/>
      <c r="X65" s="1783"/>
      <c r="Y65" s="1775"/>
      <c r="Z65" s="1778"/>
      <c r="AA65" s="1783"/>
      <c r="AB65" s="1781"/>
      <c r="AC65" s="1783"/>
      <c r="AD65" s="1785"/>
      <c r="AE65" s="1783"/>
      <c r="AF65" s="1788"/>
      <c r="AG65" s="1791"/>
      <c r="AH65" s="397"/>
      <c r="AI65" s="398"/>
      <c r="AJ65" s="398"/>
      <c r="AK65" s="398"/>
      <c r="AL65" s="591" t="s">
        <v>429</v>
      </c>
      <c r="AM65" s="591"/>
      <c r="AN65" s="591" t="s">
        <v>429</v>
      </c>
      <c r="AO65" s="398"/>
      <c r="AP65" s="397"/>
    </row>
    <row r="66" spans="1:42" ht="15.75" x14ac:dyDescent="0.25">
      <c r="A66" s="1819"/>
      <c r="B66" s="624" t="s">
        <v>81</v>
      </c>
      <c r="C66" s="802"/>
      <c r="D66" s="802" t="s">
        <v>1044</v>
      </c>
      <c r="E66" s="1880"/>
      <c r="F66" s="647">
        <f>'exchange rates'!$O$13</f>
        <v>6.50176</v>
      </c>
      <c r="G66" s="686">
        <f>(4.01*200)/F66</f>
        <v>123.35121567083374</v>
      </c>
      <c r="H66" s="593">
        <v>0</v>
      </c>
      <c r="I66" s="594">
        <v>0</v>
      </c>
      <c r="J66" s="595">
        <v>0</v>
      </c>
      <c r="K66" s="566">
        <f>Tabel6689262829[[#This Row],[Fix.ch. 2017]]+Tabel6689262829[[#This Row],[Var. ch. 2017]]+Tabel6689262829[[#This Row],[Oth. ch. DW 2017]]+Tabel6689262829[[#This Row],[VAT DW 2017]]</f>
        <v>123.35121567083374</v>
      </c>
      <c r="L66" s="596">
        <v>0</v>
      </c>
      <c r="M66" s="595">
        <v>0</v>
      </c>
      <c r="N66" s="626">
        <f>(0.9*200)/F66</f>
        <v>27.684811497194605</v>
      </c>
      <c r="O66" s="595">
        <v>0</v>
      </c>
      <c r="P66" s="597">
        <v>0</v>
      </c>
      <c r="Q66" s="595">
        <v>0</v>
      </c>
      <c r="R66" s="570">
        <f>Tabel6689262829[[#This Row],[VAT DW 2017]]+Tabel6689262829[[#This Row],[VAT Sew. 2017]]+Tabel6689262829[[#This Row],[VAT WW 2017]]+Tabel6689262829[[#This Row],[VAT Other ch. 2017]]</f>
        <v>0</v>
      </c>
      <c r="S66" s="571">
        <f>Tabel6689262829[[#This Row],[Total. ch. DW 2017]]+Tabel6689262829[[#This Row],[Sew. 2017]]+Tabel6689262829[[#This Row],[VAT Sew. 2017]]+Tabel6689262829[[#This Row],[WW 2017]]+Tabel6689262829[[#This Row],[VAT WW 2017]]+Tabel6689262829[[#This Row],[Other ch. 2017]]+Tabel6689262829[[#This Row],[VAT Other ch. 2017]]</f>
        <v>151.03602716802834</v>
      </c>
      <c r="T66" s="397"/>
      <c r="U66" s="1763"/>
      <c r="V66" s="1766"/>
      <c r="W66" s="1769"/>
      <c r="X66" s="1783"/>
      <c r="Y66" s="1775"/>
      <c r="Z66" s="1778"/>
      <c r="AA66" s="1783"/>
      <c r="AB66" s="1781"/>
      <c r="AC66" s="1783"/>
      <c r="AD66" s="1785"/>
      <c r="AE66" s="1783"/>
      <c r="AF66" s="1788"/>
      <c r="AG66" s="1791"/>
      <c r="AH66" s="397"/>
      <c r="AI66" s="398"/>
      <c r="AJ66" s="398"/>
      <c r="AK66" s="398"/>
      <c r="AL66" s="591" t="s">
        <v>429</v>
      </c>
      <c r="AM66" s="591"/>
      <c r="AN66" s="591" t="s">
        <v>429</v>
      </c>
      <c r="AO66" s="398"/>
      <c r="AP66" s="397"/>
    </row>
    <row r="67" spans="1:42" ht="16.5" thickBot="1" x14ac:dyDescent="0.3">
      <c r="A67" s="1820"/>
      <c r="B67" s="684" t="s">
        <v>468</v>
      </c>
      <c r="C67" s="802"/>
      <c r="D67" s="802" t="s">
        <v>1044</v>
      </c>
      <c r="E67" s="1923"/>
      <c r="F67" s="647">
        <f>'exchange rates'!$O$13</f>
        <v>6.50176</v>
      </c>
      <c r="G67" s="686">
        <f>(2.97*200)/F67</f>
        <v>91.359877940742194</v>
      </c>
      <c r="H67" s="593">
        <v>0</v>
      </c>
      <c r="I67" s="594">
        <v>0</v>
      </c>
      <c r="J67" s="595">
        <v>0</v>
      </c>
      <c r="K67" s="566">
        <f>Tabel6689262829[[#This Row],[Fix.ch. 2017]]+Tabel6689262829[[#This Row],[Var. ch. 2017]]+Tabel6689262829[[#This Row],[Oth. ch. DW 2017]]+Tabel6689262829[[#This Row],[VAT DW 2017]]</f>
        <v>91.359877940742194</v>
      </c>
      <c r="L67" s="596">
        <v>0</v>
      </c>
      <c r="M67" s="595">
        <v>0</v>
      </c>
      <c r="N67" s="626">
        <f>(1.2*200)/F67</f>
        <v>36.913081996259471</v>
      </c>
      <c r="O67" s="595">
        <v>0</v>
      </c>
      <c r="P67" s="597">
        <v>0</v>
      </c>
      <c r="Q67" s="595">
        <v>0</v>
      </c>
      <c r="R67" s="570">
        <f>Tabel6689262829[[#This Row],[VAT DW 2017]]+Tabel6689262829[[#This Row],[VAT Sew. 2017]]+Tabel6689262829[[#This Row],[VAT WW 2017]]+Tabel6689262829[[#This Row],[VAT Other ch. 2017]]</f>
        <v>0</v>
      </c>
      <c r="S67" s="571">
        <f>Tabel6689262829[[#This Row],[Total. ch. DW 2017]]+Tabel6689262829[[#This Row],[Sew. 2017]]+Tabel6689262829[[#This Row],[VAT Sew. 2017]]+Tabel6689262829[[#This Row],[WW 2017]]+Tabel6689262829[[#This Row],[VAT WW 2017]]+Tabel6689262829[[#This Row],[Other ch. 2017]]+Tabel6689262829[[#This Row],[VAT Other ch. 2017]]</f>
        <v>128.27295993700167</v>
      </c>
      <c r="T67" s="397"/>
      <c r="U67" s="1801"/>
      <c r="V67" s="1803"/>
      <c r="W67" s="1805"/>
      <c r="X67" s="1773"/>
      <c r="Y67" s="1807"/>
      <c r="Z67" s="1809"/>
      <c r="AA67" s="1773"/>
      <c r="AB67" s="1782"/>
      <c r="AC67" s="1773"/>
      <c r="AD67" s="1786"/>
      <c r="AE67" s="1773"/>
      <c r="AF67" s="1789"/>
      <c r="AG67" s="1792"/>
      <c r="AH67" s="397"/>
      <c r="AI67" s="398"/>
      <c r="AJ67" s="398"/>
      <c r="AK67" s="398"/>
      <c r="AL67" s="591" t="s">
        <v>429</v>
      </c>
      <c r="AM67" s="591"/>
      <c r="AN67" s="591" t="s">
        <v>429</v>
      </c>
      <c r="AO67" s="398"/>
      <c r="AP67" s="397"/>
    </row>
    <row r="68" spans="1:42" ht="19.5" thickBot="1" x14ac:dyDescent="0.3">
      <c r="A68" s="694" t="s">
        <v>585</v>
      </c>
      <c r="B68" s="685" t="s">
        <v>84</v>
      </c>
      <c r="C68" s="802" t="s">
        <v>429</v>
      </c>
      <c r="D68" s="812" t="s">
        <v>1046</v>
      </c>
      <c r="E68" s="700">
        <v>61000</v>
      </c>
      <c r="F68" s="616">
        <f>'exchange rates'!O14</f>
        <v>7.8123899999999997</v>
      </c>
      <c r="G68" s="625">
        <f>0</f>
        <v>0</v>
      </c>
      <c r="H68" s="593">
        <f>890.28/F68</f>
        <v>113.95744452081885</v>
      </c>
      <c r="I68" s="594">
        <v>0</v>
      </c>
      <c r="J68" s="595">
        <v>0</v>
      </c>
      <c r="K68" s="566">
        <f>Tabel6689262829[[#This Row],[Fix.ch. 2017]]+Tabel6689262829[[#This Row],[Var. ch. 2017]]+Tabel6689262829[[#This Row],[Oth. ch. DW 2017]]+Tabel6689262829[[#This Row],[VAT DW 2017]]</f>
        <v>113.95744452081885</v>
      </c>
      <c r="L68" s="596">
        <v>0</v>
      </c>
      <c r="M68" s="595">
        <v>0</v>
      </c>
      <c r="N68" s="626">
        <f>584/F68</f>
        <v>74.75305252297953</v>
      </c>
      <c r="O68" s="595">
        <v>0</v>
      </c>
      <c r="P68" s="597">
        <v>0</v>
      </c>
      <c r="Q68" s="595">
        <v>0</v>
      </c>
      <c r="R68" s="570">
        <f>Tabel6689262829[[#This Row],[VAT DW 2017]]+Tabel6689262829[[#This Row],[VAT Sew. 2017]]+Tabel6689262829[[#This Row],[VAT WW 2017]]+Tabel6689262829[[#This Row],[VAT Other ch. 2017]]</f>
        <v>0</v>
      </c>
      <c r="S68" s="571">
        <f>Tabel6689262829[[#This Row],[Total. ch. DW 2017]]+Tabel6689262829[[#This Row],[Sew. 2017]]+Tabel6689262829[[#This Row],[VAT Sew. 2017]]+Tabel6689262829[[#This Row],[WW 2017]]+Tabel6689262829[[#This Row],[VAT WW 2017]]+Tabel6689262829[[#This Row],[Other ch. 2017]]+Tabel6689262829[[#This Row],[VAT Other ch. 2017]]</f>
        <v>188.7104970437984</v>
      </c>
      <c r="T68" s="397"/>
      <c r="U68" s="701">
        <f>Tabel6689262829[[#This Row],[Fix.ch. 2017]]</f>
        <v>0</v>
      </c>
      <c r="V68" s="702">
        <f>Tabel6689262829[[#This Row],[Var. ch. 2017]]</f>
        <v>113.95744452081885</v>
      </c>
      <c r="W68" s="703">
        <f>Tabel6689262829[[#This Row],[Oth. ch. DW 2017]]</f>
        <v>0</v>
      </c>
      <c r="X68" s="704">
        <f>Tabel6689262829[[#This Row],[VAT DW 2017]]</f>
        <v>0</v>
      </c>
      <c r="Y68" s="705">
        <f>SUM(U68:W68)</f>
        <v>113.95744452081885</v>
      </c>
      <c r="Z68" s="706">
        <f>Tabel6689262829[[#This Row],[Sew. 2017]]</f>
        <v>0</v>
      </c>
      <c r="AA68" s="704">
        <f>Tabel6689262829[[#This Row],[VAT Sew. 2017]]</f>
        <v>0</v>
      </c>
      <c r="AB68" s="707">
        <f>Tabel6689262829[[#This Row],[WW 2017]]</f>
        <v>74.75305252297953</v>
      </c>
      <c r="AC68" s="704">
        <f>Tabel6689262829[[#This Row],[VAT WW 2017]]</f>
        <v>0</v>
      </c>
      <c r="AD68" s="708">
        <f>Tabel6689262829[[#This Row],[Other ch. 2017]]</f>
        <v>0</v>
      </c>
      <c r="AE68" s="704">
        <f>Tabel6689262829[[#This Row],[VAT Other ch. 2017]]</f>
        <v>0</v>
      </c>
      <c r="AF68" s="709">
        <f>Tabel6689262829[[#This Row],[Total VAT 2017]]</f>
        <v>0</v>
      </c>
      <c r="AG68" s="710">
        <f>SUM(Y68:AF68)</f>
        <v>188.7104970437984</v>
      </c>
      <c r="AH68" s="397"/>
      <c r="AI68" s="398"/>
      <c r="AJ68" s="396"/>
      <c r="AK68" s="398"/>
      <c r="AL68" s="591" t="s">
        <v>429</v>
      </c>
      <c r="AM68" s="398"/>
      <c r="AN68" s="398"/>
      <c r="AO68" s="398"/>
      <c r="AP68" s="397"/>
    </row>
    <row r="69" spans="1:42" ht="18" customHeight="1" x14ac:dyDescent="0.25">
      <c r="A69" s="1818" t="s">
        <v>9</v>
      </c>
      <c r="B69" s="623" t="s">
        <v>82</v>
      </c>
      <c r="C69" s="802" t="s">
        <v>429</v>
      </c>
      <c r="D69" s="802" t="s">
        <v>1048</v>
      </c>
      <c r="E69" s="1948">
        <v>49800</v>
      </c>
      <c r="F69" s="616">
        <f>'exchange rates'!$O$15</f>
        <v>29.661809999999999</v>
      </c>
      <c r="G69" s="625">
        <f>816/F69</f>
        <v>27.510121600805885</v>
      </c>
      <c r="H69" s="593">
        <f>1558/F69</f>
        <v>52.525452762322999</v>
      </c>
      <c r="I69" s="594">
        <f>100/F69</f>
        <v>3.3713384314713095</v>
      </c>
      <c r="J69" s="595">
        <v>0</v>
      </c>
      <c r="K69" s="566" t="e">
        <f>#REF!+#REF!+#REF!+#REF!</f>
        <v>#REF!</v>
      </c>
      <c r="L69" s="596">
        <v>0</v>
      </c>
      <c r="M69" s="595">
        <v>0</v>
      </c>
      <c r="N69" s="626">
        <f>1000/F69</f>
        <v>33.713384314713096</v>
      </c>
      <c r="O69" s="595">
        <v>0</v>
      </c>
      <c r="P69" s="597">
        <v>0</v>
      </c>
      <c r="Q69" s="595">
        <f>118.5/F69</f>
        <v>3.9950360412935018</v>
      </c>
      <c r="R69" s="570" t="e">
        <f>#REF!+#REF!+#REF!+#REF!</f>
        <v>#REF!</v>
      </c>
      <c r="S69" s="571" t="e">
        <f>#REF!+#REF!+#REF!+#REF!+#REF!+#REF!+#REF!</f>
        <v>#REF!</v>
      </c>
      <c r="T69" s="397"/>
      <c r="U69" s="1949">
        <f>MEDIAN(G69:G70)</f>
        <v>20.976467720614487</v>
      </c>
      <c r="V69" s="1952">
        <f>MEDIAN(H69:H70)</f>
        <v>65.100545111710986</v>
      </c>
      <c r="W69" s="1953">
        <f>MEDIAN(I69:I70)</f>
        <v>3.3713384314713095</v>
      </c>
      <c r="X69" s="1938">
        <f>MEDIAN(J69:J70)</f>
        <v>0</v>
      </c>
      <c r="Y69" s="1940">
        <f>SUM(U69:X70)</f>
        <v>89.448351263796781</v>
      </c>
      <c r="Z69" s="1941">
        <f t="shared" ref="Z69:AF69" si="7">MEDIAN(L69:L70)</f>
        <v>0</v>
      </c>
      <c r="AA69" s="1938">
        <f t="shared" si="7"/>
        <v>0</v>
      </c>
      <c r="AB69" s="1942">
        <f t="shared" si="7"/>
        <v>33.713384314713096</v>
      </c>
      <c r="AC69" s="1938">
        <f t="shared" si="7"/>
        <v>0</v>
      </c>
      <c r="AD69" s="1943">
        <f t="shared" si="7"/>
        <v>0</v>
      </c>
      <c r="AE69" s="1938">
        <f t="shared" si="7"/>
        <v>4.2984565001259192</v>
      </c>
      <c r="AF69" s="1951" t="e">
        <f t="shared" si="7"/>
        <v>#REF!</v>
      </c>
      <c r="AG69" s="1933">
        <f>Y69+Z69+AA69+AB69+AC69+AD69+AE69</f>
        <v>127.4601920786358</v>
      </c>
      <c r="AH69" s="397"/>
      <c r="AI69" s="398"/>
      <c r="AJ69" s="398"/>
      <c r="AK69" s="398"/>
      <c r="AL69" s="591" t="s">
        <v>429</v>
      </c>
      <c r="AM69" s="591"/>
      <c r="AN69" s="591" t="s">
        <v>429</v>
      </c>
      <c r="AO69" s="398"/>
      <c r="AP69" s="397"/>
    </row>
    <row r="70" spans="1:42" ht="16.5" thickBot="1" x14ac:dyDescent="0.3">
      <c r="A70" s="1820"/>
      <c r="B70" s="624" t="s">
        <v>83</v>
      </c>
      <c r="C70" s="802"/>
      <c r="D70" s="802" t="s">
        <v>1048</v>
      </c>
      <c r="E70" s="1799"/>
      <c r="F70" s="616">
        <f>'exchange rates'!$O$15</f>
        <v>29.661809999999999</v>
      </c>
      <c r="G70" s="625">
        <f>428.4/F70</f>
        <v>14.442813840423089</v>
      </c>
      <c r="H70" s="593">
        <f>2304/F70</f>
        <v>77.675637461098972</v>
      </c>
      <c r="I70" s="594">
        <f>100/F70</f>
        <v>3.3713384314713095</v>
      </c>
      <c r="J70" s="595">
        <v>0</v>
      </c>
      <c r="K70" s="566" t="e">
        <f>#REF!+#REF!+#REF!+#REF!</f>
        <v>#REF!</v>
      </c>
      <c r="L70" s="596">
        <v>0</v>
      </c>
      <c r="M70" s="595">
        <v>0</v>
      </c>
      <c r="N70" s="626">
        <f>1000/F70</f>
        <v>33.713384314713096</v>
      </c>
      <c r="O70" s="595">
        <v>0</v>
      </c>
      <c r="P70" s="597">
        <v>0</v>
      </c>
      <c r="Q70" s="595">
        <f>136.5/F70</f>
        <v>4.6018769589583375</v>
      </c>
      <c r="R70" s="570" t="e">
        <f>#REF!+#REF!+#REF!+#REF!</f>
        <v>#REF!</v>
      </c>
      <c r="S70" s="571" t="e">
        <f>#REF!+#REF!+#REF!+#REF!+#REF!+#REF!+#REF!</f>
        <v>#REF!</v>
      </c>
      <c r="T70" s="397"/>
      <c r="U70" s="1801"/>
      <c r="V70" s="1803"/>
      <c r="W70" s="1805"/>
      <c r="X70" s="1773"/>
      <c r="Y70" s="1807"/>
      <c r="Z70" s="1809"/>
      <c r="AA70" s="1773"/>
      <c r="AB70" s="1782"/>
      <c r="AC70" s="1773"/>
      <c r="AD70" s="1786"/>
      <c r="AE70" s="1773"/>
      <c r="AF70" s="1789"/>
      <c r="AG70" s="1792"/>
      <c r="AH70" s="397"/>
      <c r="AI70" s="398"/>
      <c r="AJ70" s="398"/>
      <c r="AK70" s="398"/>
      <c r="AL70" s="591" t="s">
        <v>429</v>
      </c>
      <c r="AM70" s="591"/>
      <c r="AN70" s="591" t="s">
        <v>429</v>
      </c>
      <c r="AO70" s="398"/>
      <c r="AP70" s="397"/>
    </row>
    <row r="71" spans="1:42" ht="18" customHeight="1" x14ac:dyDescent="0.25">
      <c r="A71" s="1878" t="s">
        <v>10</v>
      </c>
      <c r="B71" s="638" t="s">
        <v>85</v>
      </c>
      <c r="C71" s="693"/>
      <c r="D71" s="806" t="s">
        <v>1050</v>
      </c>
      <c r="E71" s="1934">
        <v>36600</v>
      </c>
      <c r="F71" s="617">
        <f>'exchange rates'!$O$16</f>
        <v>0.83301000000000003</v>
      </c>
      <c r="G71" s="625">
        <f>66/F71</f>
        <v>79.230741527712752</v>
      </c>
      <c r="H71" s="593">
        <f>228/F71</f>
        <v>273.70619800482586</v>
      </c>
      <c r="I71" s="594">
        <v>0</v>
      </c>
      <c r="J71" s="595">
        <f>14.7/F71</f>
        <v>17.646846976626929</v>
      </c>
      <c r="K71" s="566">
        <f>Tabel6689262829[[#This Row],[Fix.ch. 2017]]+Tabel6689262829[[#This Row],[Var. ch. 2017]]+Tabel6689262829[[#This Row],[Oth. ch. DW 2017]]+Tabel6689262829[[#This Row],[VAT DW 2017]]</f>
        <v>370.58378650916558</v>
      </c>
      <c r="L71" s="596">
        <f>100/F71</f>
        <v>120.04657807229205</v>
      </c>
      <c r="M71" s="595">
        <v>0</v>
      </c>
      <c r="N71" s="626">
        <f>89.6/F71</f>
        <v>107.56173395277366</v>
      </c>
      <c r="O71" s="595">
        <v>0</v>
      </c>
      <c r="P71" s="597">
        <f>25.6/F71</f>
        <v>30.731923986506764</v>
      </c>
      <c r="Q71" s="595">
        <v>0</v>
      </c>
      <c r="R71" s="570">
        <f>Tabel6689262829[[#This Row],[VAT DW 2017]]+Tabel6689262829[[#This Row],[VAT Sew. 2017]]+Tabel6689262829[[#This Row],[VAT WW 2017]]+Tabel6689262829[[#This Row],[VAT Other ch. 2017]]</f>
        <v>17.646846976626929</v>
      </c>
      <c r="S71" s="571">
        <f>Tabel6689262829[[#This Row],[Total. ch. DW 2017]]+Tabel6689262829[[#This Row],[Sew. 2017]]+Tabel6689262829[[#This Row],[VAT Sew. 2017]]+Tabel6689262829[[#This Row],[WW 2017]]+Tabel6689262829[[#This Row],[VAT WW 2017]]+Tabel6689262829[[#This Row],[Other ch. 2017]]+Tabel6689262829[[#This Row],[VAT Other ch. 2017]]</f>
        <v>628.92402252073805</v>
      </c>
      <c r="T71" s="397"/>
      <c r="U71" s="1935">
        <f>MEDIAN(G71:G74)</f>
        <v>68.426549501206466</v>
      </c>
      <c r="V71" s="1936">
        <f>MEDIAN(H71:H74)</f>
        <v>264.10247175904249</v>
      </c>
      <c r="W71" s="1937">
        <f>MEDIAN(I71:I74)</f>
        <v>0</v>
      </c>
      <c r="X71" s="1938">
        <f>MEDIAN(J71:J74)</f>
        <v>16.44638119590401</v>
      </c>
      <c r="Y71" s="1939">
        <f>SUM(U71:X74)</f>
        <v>348.97540245615295</v>
      </c>
      <c r="Z71" s="1950">
        <f t="shared" ref="Z71:AF71" si="8">MEDIAN(L71:L74)</f>
        <v>126.04890697590665</v>
      </c>
      <c r="AA71" s="1938">
        <f t="shared" si="8"/>
        <v>0</v>
      </c>
      <c r="AB71" s="1946">
        <f t="shared" si="8"/>
        <v>159.99207692584724</v>
      </c>
      <c r="AC71" s="1938">
        <f t="shared" si="8"/>
        <v>0</v>
      </c>
      <c r="AD71" s="1947">
        <f t="shared" si="8"/>
        <v>36.374113155904489</v>
      </c>
      <c r="AE71" s="1938">
        <f t="shared" si="8"/>
        <v>0</v>
      </c>
      <c r="AF71" s="1944">
        <f t="shared" si="8"/>
        <v>16.44638119590401</v>
      </c>
      <c r="AG71" s="1945">
        <f>Y71+Z71+AA71+AB71+AC71+AD71+AE71</f>
        <v>671.39049951381139</v>
      </c>
      <c r="AH71" s="397"/>
      <c r="AI71" s="398"/>
      <c r="AJ71" s="398"/>
      <c r="AK71" s="398"/>
      <c r="AL71" s="591" t="s">
        <v>429</v>
      </c>
      <c r="AM71" s="591" t="s">
        <v>429</v>
      </c>
      <c r="AN71" s="591" t="s">
        <v>429</v>
      </c>
      <c r="AO71" s="398"/>
      <c r="AP71" s="397"/>
    </row>
    <row r="72" spans="1:42" ht="15.75" x14ac:dyDescent="0.25">
      <c r="A72" s="1757"/>
      <c r="B72" s="639" t="s">
        <v>878</v>
      </c>
      <c r="C72" s="639" t="s">
        <v>429</v>
      </c>
      <c r="D72" s="724" t="s">
        <v>1050</v>
      </c>
      <c r="E72" s="1760"/>
      <c r="F72" s="617">
        <f>'exchange rates'!$O$16</f>
        <v>0.83301000000000003</v>
      </c>
      <c r="G72" s="625">
        <f>42/F72</f>
        <v>50.419562790362662</v>
      </c>
      <c r="H72" s="593">
        <f>220/F72</f>
        <v>264.10247175904249</v>
      </c>
      <c r="I72" s="594">
        <f>0</f>
        <v>0</v>
      </c>
      <c r="J72" s="595">
        <f>13.1/F72</f>
        <v>15.726101727470258</v>
      </c>
      <c r="K72" s="566">
        <f>Tabel6689262829[[#This Row],[Fix.ch. 2017]]+Tabel6689262829[[#This Row],[Var. ch. 2017]]+Tabel6689262829[[#This Row],[Oth. ch. DW 2017]]+Tabel6689262829[[#This Row],[VAT DW 2017]]</f>
        <v>330.24813627687541</v>
      </c>
      <c r="L72" s="596">
        <f>110/F72</f>
        <v>132.05123587952124</v>
      </c>
      <c r="M72" s="595">
        <v>0</v>
      </c>
      <c r="N72" s="626">
        <f>109.5/F72</f>
        <v>131.4510029891598</v>
      </c>
      <c r="O72" s="595">
        <v>0</v>
      </c>
      <c r="P72" s="597">
        <f>0</f>
        <v>0</v>
      </c>
      <c r="Q72" s="595">
        <v>0</v>
      </c>
      <c r="R72" s="570">
        <f>Tabel6689262829[[#This Row],[VAT DW 2017]]+Tabel6689262829[[#This Row],[VAT Sew. 2017]]+Tabel6689262829[[#This Row],[VAT WW 2017]]+Tabel6689262829[[#This Row],[VAT Other ch. 2017]]</f>
        <v>15.726101727470258</v>
      </c>
      <c r="S72" s="571">
        <f>Tabel6689262829[[#This Row],[Total. ch. DW 2017]]+Tabel6689262829[[#This Row],[Sew. 2017]]+Tabel6689262829[[#This Row],[VAT Sew. 2017]]+Tabel6689262829[[#This Row],[WW 2017]]+Tabel6689262829[[#This Row],[VAT WW 2017]]+Tabel6689262829[[#This Row],[Other ch. 2017]]+Tabel6689262829[[#This Row],[VAT Other ch. 2017]]</f>
        <v>593.75037514555652</v>
      </c>
      <c r="T72" s="397"/>
      <c r="U72" s="1763"/>
      <c r="V72" s="1766"/>
      <c r="W72" s="1769"/>
      <c r="X72" s="1772"/>
      <c r="Y72" s="1775"/>
      <c r="Z72" s="1778"/>
      <c r="AA72" s="1772"/>
      <c r="AB72" s="1781"/>
      <c r="AC72" s="1772"/>
      <c r="AD72" s="1785"/>
      <c r="AE72" s="1772"/>
      <c r="AF72" s="1788"/>
      <c r="AG72" s="1791"/>
      <c r="AH72" s="397"/>
      <c r="AI72" s="398"/>
      <c r="AJ72" s="398"/>
      <c r="AK72" s="398"/>
      <c r="AL72" s="591" t="s">
        <v>429</v>
      </c>
      <c r="AM72" s="591" t="s">
        <v>429</v>
      </c>
      <c r="AN72" s="591" t="s">
        <v>429</v>
      </c>
      <c r="AO72" s="398"/>
      <c r="AP72" s="397"/>
    </row>
    <row r="73" spans="1:42" ht="15.75" x14ac:dyDescent="0.25">
      <c r="A73" s="1757"/>
      <c r="B73" s="639" t="s">
        <v>879</v>
      </c>
      <c r="C73" s="639"/>
      <c r="D73" s="724" t="s">
        <v>1050</v>
      </c>
      <c r="E73" s="1760"/>
      <c r="F73" s="617">
        <f>'exchange rates'!$O$16</f>
        <v>0.83301000000000003</v>
      </c>
      <c r="G73" s="625">
        <f>66/F73</f>
        <v>79.230741527712752</v>
      </c>
      <c r="H73" s="593">
        <f>220/F73</f>
        <v>264.10247175904249</v>
      </c>
      <c r="I73" s="594">
        <v>0</v>
      </c>
      <c r="J73" s="595">
        <f>14.3/F73</f>
        <v>17.166660664337762</v>
      </c>
      <c r="K73" s="566">
        <f>Tabel6689262829[[#This Row],[Fix.ch. 2017]]+Tabel6689262829[[#This Row],[Var. ch. 2017]]+Tabel6689262829[[#This Row],[Oth. ch. DW 2017]]+Tabel6689262829[[#This Row],[VAT DW 2017]]</f>
        <v>360.49987395109304</v>
      </c>
      <c r="L73" s="596">
        <f>128/F73</f>
        <v>153.65961993253381</v>
      </c>
      <c r="M73" s="595">
        <v>0</v>
      </c>
      <c r="N73" s="626">
        <f>157.05/F73</f>
        <v>188.53315086253468</v>
      </c>
      <c r="O73" s="595">
        <v>0</v>
      </c>
      <c r="P73" s="597">
        <f>36/F73</f>
        <v>43.216768106025135</v>
      </c>
      <c r="Q73" s="595">
        <v>0</v>
      </c>
      <c r="R73" s="570">
        <f>Tabel6689262829[[#This Row],[VAT DW 2017]]+Tabel6689262829[[#This Row],[VAT Sew. 2017]]+Tabel6689262829[[#This Row],[VAT WW 2017]]+Tabel6689262829[[#This Row],[VAT Other ch. 2017]]</f>
        <v>17.166660664337762</v>
      </c>
      <c r="S73" s="571">
        <f>Tabel6689262829[[#This Row],[Total. ch. DW 2017]]+Tabel6689262829[[#This Row],[Sew. 2017]]+Tabel6689262829[[#This Row],[VAT Sew. 2017]]+Tabel6689262829[[#This Row],[WW 2017]]+Tabel6689262829[[#This Row],[VAT WW 2017]]+Tabel6689262829[[#This Row],[Other ch. 2017]]+Tabel6689262829[[#This Row],[VAT Other ch. 2017]]</f>
        <v>745.90941285218662</v>
      </c>
      <c r="T73" s="397"/>
      <c r="U73" s="1763"/>
      <c r="V73" s="1766"/>
      <c r="W73" s="1769"/>
      <c r="X73" s="1772"/>
      <c r="Y73" s="1775"/>
      <c r="Z73" s="1778"/>
      <c r="AA73" s="1772"/>
      <c r="AB73" s="1781"/>
      <c r="AC73" s="1772"/>
      <c r="AD73" s="1785"/>
      <c r="AE73" s="1772"/>
      <c r="AF73" s="1788"/>
      <c r="AG73" s="1791"/>
      <c r="AH73" s="397"/>
      <c r="AI73" s="398"/>
      <c r="AJ73" s="398"/>
      <c r="AK73" s="398"/>
      <c r="AL73" s="591" t="s">
        <v>429</v>
      </c>
      <c r="AM73" s="591" t="s">
        <v>429</v>
      </c>
      <c r="AN73" s="591" t="s">
        <v>429</v>
      </c>
      <c r="AO73" s="398"/>
      <c r="AP73" s="397"/>
    </row>
    <row r="74" spans="1:42" ht="16.5" thickBot="1" x14ac:dyDescent="0.3">
      <c r="A74" s="1758"/>
      <c r="B74" s="640" t="s">
        <v>86</v>
      </c>
      <c r="C74" s="652"/>
      <c r="D74" s="807" t="s">
        <v>1050</v>
      </c>
      <c r="E74" s="1799"/>
      <c r="F74" s="617">
        <f>'exchange rates'!$O$16</f>
        <v>0.83301000000000003</v>
      </c>
      <c r="G74" s="625">
        <f>48/F74</f>
        <v>57.622357474700181</v>
      </c>
      <c r="H74" s="593">
        <f>208.6/F74</f>
        <v>250.41716185880119</v>
      </c>
      <c r="I74" s="594">
        <v>0</v>
      </c>
      <c r="J74" s="595">
        <f>12.83/F74</f>
        <v>15.401975966675069</v>
      </c>
      <c r="K74" s="566">
        <f>Tabel6689262829[[#This Row],[Fix.ch. 2017]]+Tabel6689262829[[#This Row],[Var. ch. 2017]]+Tabel6689262829[[#This Row],[Oth. ch. DW 2017]]+Tabel6689262829[[#This Row],[VAT DW 2017]]</f>
        <v>323.44149530017648</v>
      </c>
      <c r="L74" s="596">
        <f>85.44/F74</f>
        <v>102.56779630496632</v>
      </c>
      <c r="M74" s="595">
        <v>0</v>
      </c>
      <c r="N74" s="626">
        <f>157.5/F74</f>
        <v>189.07336046385998</v>
      </c>
      <c r="O74" s="595">
        <v>0</v>
      </c>
      <c r="P74" s="597">
        <f>35/F74</f>
        <v>42.016302325302213</v>
      </c>
      <c r="Q74" s="595">
        <v>0</v>
      </c>
      <c r="R74" s="570">
        <f>Tabel6689262829[[#This Row],[VAT DW 2017]]+Tabel6689262829[[#This Row],[VAT Sew. 2017]]+Tabel6689262829[[#This Row],[VAT WW 2017]]+Tabel6689262829[[#This Row],[VAT Other ch. 2017]]</f>
        <v>15.401975966675069</v>
      </c>
      <c r="S74" s="571">
        <f>Tabel6689262829[[#This Row],[Total. ch. DW 2017]]+Tabel6689262829[[#This Row],[Sew. 2017]]+Tabel6689262829[[#This Row],[VAT Sew. 2017]]+Tabel6689262829[[#This Row],[WW 2017]]+Tabel6689262829[[#This Row],[VAT WW 2017]]+Tabel6689262829[[#This Row],[Other ch. 2017]]+Tabel6689262829[[#This Row],[VAT Other ch. 2017]]</f>
        <v>657.09895439430511</v>
      </c>
      <c r="T74" s="397"/>
      <c r="U74" s="1801"/>
      <c r="V74" s="1803"/>
      <c r="W74" s="1805"/>
      <c r="X74" s="1773"/>
      <c r="Y74" s="1807"/>
      <c r="Z74" s="1809"/>
      <c r="AA74" s="1773"/>
      <c r="AB74" s="1782"/>
      <c r="AC74" s="1773"/>
      <c r="AD74" s="1786"/>
      <c r="AE74" s="1773"/>
      <c r="AF74" s="1789"/>
      <c r="AG74" s="1792"/>
      <c r="AH74" s="397"/>
      <c r="AI74" s="398"/>
      <c r="AJ74" s="398"/>
      <c r="AK74" s="398"/>
      <c r="AL74" s="591" t="s">
        <v>429</v>
      </c>
      <c r="AM74" s="591" t="s">
        <v>429</v>
      </c>
      <c r="AN74" s="591" t="s">
        <v>429</v>
      </c>
      <c r="AO74" s="398"/>
      <c r="AP74" s="397"/>
    </row>
    <row r="75" spans="1:42" ht="18" customHeight="1" x14ac:dyDescent="0.25">
      <c r="A75" s="1795" t="s">
        <v>910</v>
      </c>
      <c r="B75" s="693" t="s">
        <v>911</v>
      </c>
      <c r="C75" s="693" t="s">
        <v>429</v>
      </c>
      <c r="D75" s="806" t="s">
        <v>1052</v>
      </c>
      <c r="E75" s="1759">
        <v>35200</v>
      </c>
      <c r="F75" s="617">
        <f>'exchange rates'!$O$17</f>
        <v>21.275480000000002</v>
      </c>
      <c r="G75" s="625">
        <v>0</v>
      </c>
      <c r="H75" s="593">
        <f>8074/F75</f>
        <v>379.49790086992158</v>
      </c>
      <c r="I75" s="594">
        <v>0</v>
      </c>
      <c r="J75" s="595">
        <f>1212/F75</f>
        <v>56.966987348816566</v>
      </c>
      <c r="K75" s="566">
        <f>Tabel6689262829[[#This Row],[Fix.ch. 2017]]+Tabel6689262829[[#This Row],[Var. ch. 2017]]+Tabel6689262829[[#This Row],[Oth. ch. DW 2017]]+Tabel6689262829[[#This Row],[VAT DW 2017]]</f>
        <v>436.46488821873817</v>
      </c>
      <c r="L75" s="596">
        <v>0</v>
      </c>
      <c r="M75" s="595">
        <v>0</v>
      </c>
      <c r="N75" s="626">
        <f>6782/F75</f>
        <v>318.77071633636467</v>
      </c>
      <c r="O75" s="595">
        <f>1016/F75</f>
        <v>47.754504246202664</v>
      </c>
      <c r="P75" s="597">
        <v>0</v>
      </c>
      <c r="Q75" s="595">
        <v>0</v>
      </c>
      <c r="R75" s="570">
        <f>Tabel6689262829[[#This Row],[VAT DW 2017]]+Tabel6689262829[[#This Row],[VAT Sew. 2017]]+Tabel6689262829[[#This Row],[VAT WW 2017]]+Tabel6689262829[[#This Row],[VAT Other ch. 2017]]</f>
        <v>104.72149159501923</v>
      </c>
      <c r="S75" s="571">
        <f>Tabel6689262829[[#This Row],[Total. ch. DW 2017]]+Tabel6689262829[[#This Row],[Sew. 2017]]+Tabel6689262829[[#This Row],[VAT Sew. 2017]]+Tabel6689262829[[#This Row],[WW 2017]]+Tabel6689262829[[#This Row],[VAT WW 2017]]+Tabel6689262829[[#This Row],[Other ch. 2017]]+Tabel6689262829[[#This Row],[VAT Other ch. 2017]]</f>
        <v>802.9901088013055</v>
      </c>
      <c r="T75" s="397"/>
      <c r="U75" s="1762">
        <f>MEDIAN(G75:G79)</f>
        <v>0</v>
      </c>
      <c r="V75" s="1765">
        <f>MEDIAN(H75:H79)</f>
        <v>379.49790086992158</v>
      </c>
      <c r="W75" s="1768">
        <f>MEDIAN(I75:I79)</f>
        <v>0</v>
      </c>
      <c r="X75" s="1771">
        <f>MEDIAN(J75:J79)</f>
        <v>56.966987348816566</v>
      </c>
      <c r="Y75" s="1774">
        <f>SUM(U75:X79)</f>
        <v>436.46488821873817</v>
      </c>
      <c r="Z75" s="1777">
        <f t="shared" ref="Z75:AF75" si="9">MEDIAN(L75:L79)</f>
        <v>0</v>
      </c>
      <c r="AA75" s="1771">
        <f t="shared" si="9"/>
        <v>0</v>
      </c>
      <c r="AB75" s="1810">
        <f t="shared" si="9"/>
        <v>318.77071633636467</v>
      </c>
      <c r="AC75" s="1771">
        <f t="shared" si="9"/>
        <v>47.754504246202664</v>
      </c>
      <c r="AD75" s="1812">
        <f t="shared" si="9"/>
        <v>0</v>
      </c>
      <c r="AE75" s="1771">
        <f t="shared" si="9"/>
        <v>0</v>
      </c>
      <c r="AF75" s="1814">
        <f t="shared" si="9"/>
        <v>104.72149159501923</v>
      </c>
      <c r="AG75" s="1793">
        <f>Y75+Z75+AA75+AB75+AC75+AD75+AE75</f>
        <v>802.9901088013055</v>
      </c>
      <c r="AH75" s="397"/>
      <c r="AI75" s="398"/>
      <c r="AJ75" s="591" t="s">
        <v>429</v>
      </c>
      <c r="AK75" s="398"/>
      <c r="AL75" s="591"/>
      <c r="AM75" s="591"/>
      <c r="AN75" s="591" t="s">
        <v>429</v>
      </c>
      <c r="AO75" s="398"/>
      <c r="AP75" s="397"/>
    </row>
    <row r="76" spans="1:42" ht="18" customHeight="1" x14ac:dyDescent="0.25">
      <c r="A76" s="1796"/>
      <c r="B76" s="639" t="s">
        <v>912</v>
      </c>
      <c r="C76" s="639"/>
      <c r="D76" s="724" t="s">
        <v>1052</v>
      </c>
      <c r="E76" s="1760"/>
      <c r="F76" s="617">
        <f>'exchange rates'!$O$17</f>
        <v>21.275480000000002</v>
      </c>
      <c r="G76" s="625">
        <v>0</v>
      </c>
      <c r="H76" s="593">
        <f>6448/F76</f>
        <v>303.07189309007362</v>
      </c>
      <c r="I76" s="594">
        <v>0</v>
      </c>
      <c r="J76" s="595">
        <f>968/F76</f>
        <v>45.498385935358449</v>
      </c>
      <c r="K76" s="566">
        <f>Tabel6689262829[[#This Row],[Fix.ch. 2017]]+Tabel6689262829[[#This Row],[Var. ch. 2017]]+Tabel6689262829[[#This Row],[Oth. ch. DW 2017]]+Tabel6689262829[[#This Row],[VAT DW 2017]]</f>
        <v>348.57027902543206</v>
      </c>
      <c r="L76" s="596">
        <v>0</v>
      </c>
      <c r="M76" s="595">
        <v>0</v>
      </c>
      <c r="N76" s="626">
        <f>6724/F76</f>
        <v>316.04457337742787</v>
      </c>
      <c r="O76" s="595">
        <f>1008/F76</f>
        <v>47.378484527728631</v>
      </c>
      <c r="P76" s="597">
        <v>0</v>
      </c>
      <c r="Q76" s="595">
        <v>0</v>
      </c>
      <c r="R76" s="570">
        <f>Tabel6689262829[[#This Row],[VAT DW 2017]]+Tabel6689262829[[#This Row],[VAT Sew. 2017]]+Tabel6689262829[[#This Row],[VAT WW 2017]]+Tabel6689262829[[#This Row],[VAT Other ch. 2017]]</f>
        <v>92.876870463087073</v>
      </c>
      <c r="S76" s="571">
        <f>Tabel6689262829[[#This Row],[Total. ch. DW 2017]]+Tabel6689262829[[#This Row],[Sew. 2017]]+Tabel6689262829[[#This Row],[VAT Sew. 2017]]+Tabel6689262829[[#This Row],[WW 2017]]+Tabel6689262829[[#This Row],[VAT WW 2017]]+Tabel6689262829[[#This Row],[Other ch. 2017]]+Tabel6689262829[[#This Row],[VAT Other ch. 2017]]</f>
        <v>711.99333693058861</v>
      </c>
      <c r="T76" s="397"/>
      <c r="U76" s="1763"/>
      <c r="V76" s="1766"/>
      <c r="W76" s="1769"/>
      <c r="X76" s="1772"/>
      <c r="Y76" s="1775"/>
      <c r="Z76" s="1778"/>
      <c r="AA76" s="1772"/>
      <c r="AB76" s="1781"/>
      <c r="AC76" s="1772"/>
      <c r="AD76" s="1785"/>
      <c r="AE76" s="1772"/>
      <c r="AF76" s="1788"/>
      <c r="AG76" s="1791"/>
      <c r="AH76" s="397"/>
      <c r="AI76" s="398"/>
      <c r="AJ76" s="591" t="s">
        <v>429</v>
      </c>
      <c r="AK76" s="398"/>
      <c r="AL76" s="591"/>
      <c r="AM76" s="591"/>
      <c r="AN76" s="591" t="s">
        <v>429</v>
      </c>
      <c r="AO76" s="398"/>
      <c r="AP76" s="397"/>
    </row>
    <row r="77" spans="1:42" ht="18" customHeight="1" x14ac:dyDescent="0.25">
      <c r="A77" s="1796"/>
      <c r="B77" s="639" t="s">
        <v>913</v>
      </c>
      <c r="C77" s="639"/>
      <c r="D77" s="724" t="s">
        <v>1052</v>
      </c>
      <c r="E77" s="1760"/>
      <c r="F77" s="617">
        <f>'exchange rates'!$O$17</f>
        <v>21.275480000000002</v>
      </c>
      <c r="G77" s="625">
        <v>0</v>
      </c>
      <c r="H77" s="593">
        <f>6490/F77</f>
        <v>305.04599661206231</v>
      </c>
      <c r="I77" s="594">
        <v>0</v>
      </c>
      <c r="J77" s="595">
        <f>974/F77</f>
        <v>45.780400724213976</v>
      </c>
      <c r="K77" s="566">
        <f>Tabel6689262829[[#This Row],[Fix.ch. 2017]]+Tabel6689262829[[#This Row],[Var. ch. 2017]]+Tabel6689262829[[#This Row],[Oth. ch. DW 2017]]+Tabel6689262829[[#This Row],[VAT DW 2017]]</f>
        <v>350.82639733627627</v>
      </c>
      <c r="L77" s="596">
        <v>0</v>
      </c>
      <c r="M77" s="595">
        <v>0</v>
      </c>
      <c r="N77" s="626">
        <f>6834/F77</f>
        <v>321.2148445064459</v>
      </c>
      <c r="O77" s="595">
        <f>1026/F77</f>
        <v>48.224528894295212</v>
      </c>
      <c r="P77" s="597">
        <v>0</v>
      </c>
      <c r="Q77" s="595">
        <v>0</v>
      </c>
      <c r="R77" s="570">
        <f>Tabel6689262829[[#This Row],[VAT DW 2017]]+Tabel6689262829[[#This Row],[VAT Sew. 2017]]+Tabel6689262829[[#This Row],[VAT WW 2017]]+Tabel6689262829[[#This Row],[VAT Other ch. 2017]]</f>
        <v>94.004929618509181</v>
      </c>
      <c r="S77" s="571">
        <f>Tabel6689262829[[#This Row],[Total. ch. DW 2017]]+Tabel6689262829[[#This Row],[Sew. 2017]]+Tabel6689262829[[#This Row],[VAT Sew. 2017]]+Tabel6689262829[[#This Row],[WW 2017]]+Tabel6689262829[[#This Row],[VAT WW 2017]]+Tabel6689262829[[#This Row],[Other ch. 2017]]+Tabel6689262829[[#This Row],[VAT Other ch. 2017]]</f>
        <v>720.26577073701742</v>
      </c>
      <c r="T77" s="397"/>
      <c r="U77" s="1763"/>
      <c r="V77" s="1766"/>
      <c r="W77" s="1769"/>
      <c r="X77" s="1772"/>
      <c r="Y77" s="1775"/>
      <c r="Z77" s="1778"/>
      <c r="AA77" s="1772"/>
      <c r="AB77" s="1781"/>
      <c r="AC77" s="1772"/>
      <c r="AD77" s="1785"/>
      <c r="AE77" s="1772"/>
      <c r="AF77" s="1788"/>
      <c r="AG77" s="1791"/>
      <c r="AH77" s="397"/>
      <c r="AI77" s="398"/>
      <c r="AJ77" s="591" t="s">
        <v>429</v>
      </c>
      <c r="AK77" s="398"/>
      <c r="AL77" s="591"/>
      <c r="AM77" s="591"/>
      <c r="AN77" s="591" t="s">
        <v>429</v>
      </c>
      <c r="AO77" s="398"/>
      <c r="AP77" s="397"/>
    </row>
    <row r="78" spans="1:42" ht="18" customHeight="1" x14ac:dyDescent="0.25">
      <c r="A78" s="1796"/>
      <c r="B78" s="639" t="s">
        <v>914</v>
      </c>
      <c r="C78" s="639"/>
      <c r="D78" s="724" t="s">
        <v>1052</v>
      </c>
      <c r="E78" s="1760"/>
      <c r="F78" s="617">
        <f>'exchange rates'!$O$17</f>
        <v>21.275480000000002</v>
      </c>
      <c r="G78" s="625">
        <v>0</v>
      </c>
      <c r="H78" s="593">
        <f>9012/F78</f>
        <v>423.58621286100242</v>
      </c>
      <c r="I78" s="594">
        <v>0</v>
      </c>
      <c r="J78" s="595">
        <f>1352/F78</f>
        <v>63.547332422112213</v>
      </c>
      <c r="K78" s="566">
        <f>Tabel6689262829[[#This Row],[Fix.ch. 2017]]+Tabel6689262829[[#This Row],[Var. ch. 2017]]+Tabel6689262829[[#This Row],[Oth. ch. DW 2017]]+Tabel6689262829[[#This Row],[VAT DW 2017]]</f>
        <v>487.13354528311464</v>
      </c>
      <c r="L78" s="596">
        <v>0</v>
      </c>
      <c r="M78" s="595">
        <v>0</v>
      </c>
      <c r="N78" s="626">
        <f>5968/F78</f>
        <v>280.51070998163141</v>
      </c>
      <c r="O78" s="595">
        <f>896/F78</f>
        <v>42.114208469092112</v>
      </c>
      <c r="P78" s="597">
        <v>0</v>
      </c>
      <c r="Q78" s="595">
        <v>0</v>
      </c>
      <c r="R78" s="570">
        <f>Tabel6689262829[[#This Row],[VAT DW 2017]]+Tabel6689262829[[#This Row],[VAT Sew. 2017]]+Tabel6689262829[[#This Row],[VAT WW 2017]]+Tabel6689262829[[#This Row],[VAT Other ch. 2017]]</f>
        <v>105.66154089120433</v>
      </c>
      <c r="S78" s="571">
        <f>Tabel6689262829[[#This Row],[Total. ch. DW 2017]]+Tabel6689262829[[#This Row],[Sew. 2017]]+Tabel6689262829[[#This Row],[VAT Sew. 2017]]+Tabel6689262829[[#This Row],[WW 2017]]+Tabel6689262829[[#This Row],[VAT WW 2017]]+Tabel6689262829[[#This Row],[Other ch. 2017]]+Tabel6689262829[[#This Row],[VAT Other ch. 2017]]</f>
        <v>809.7584637338382</v>
      </c>
      <c r="T78" s="397"/>
      <c r="U78" s="1763"/>
      <c r="V78" s="1766"/>
      <c r="W78" s="1769"/>
      <c r="X78" s="1772"/>
      <c r="Y78" s="1775"/>
      <c r="Z78" s="1778"/>
      <c r="AA78" s="1772"/>
      <c r="AB78" s="1781"/>
      <c r="AC78" s="1772"/>
      <c r="AD78" s="1785"/>
      <c r="AE78" s="1772"/>
      <c r="AF78" s="1788"/>
      <c r="AG78" s="1791"/>
      <c r="AH78" s="397"/>
      <c r="AI78" s="398"/>
      <c r="AJ78" s="591" t="s">
        <v>429</v>
      </c>
      <c r="AK78" s="398"/>
      <c r="AL78" s="591"/>
      <c r="AM78" s="591"/>
      <c r="AN78" s="591" t="s">
        <v>429</v>
      </c>
      <c r="AO78" s="398"/>
      <c r="AP78" s="397"/>
    </row>
    <row r="79" spans="1:42" ht="18.600000000000001" customHeight="1" thickBot="1" x14ac:dyDescent="0.3">
      <c r="A79" s="1797"/>
      <c r="B79" s="652" t="s">
        <v>915</v>
      </c>
      <c r="C79" s="652"/>
      <c r="D79" s="807" t="s">
        <v>1052</v>
      </c>
      <c r="E79" s="1761"/>
      <c r="F79" s="617">
        <f>'exchange rates'!$O$17</f>
        <v>21.275480000000002</v>
      </c>
      <c r="G79" s="625">
        <v>0</v>
      </c>
      <c r="H79" s="593">
        <f>8692/F79</f>
        <v>408.54542412204091</v>
      </c>
      <c r="I79" s="594">
        <v>0</v>
      </c>
      <c r="J79" s="595">
        <f>1304/F79</f>
        <v>61.29121411126799</v>
      </c>
      <c r="K79" s="566">
        <f>Tabel6689262829[[#This Row],[Fix.ch. 2017]]+Tabel6689262829[[#This Row],[Var. ch. 2017]]+Tabel6689262829[[#This Row],[Oth. ch. DW 2017]]+Tabel6689262829[[#This Row],[VAT DW 2017]]</f>
        <v>469.83663823330892</v>
      </c>
      <c r="L79" s="596">
        <v>0</v>
      </c>
      <c r="M79" s="595">
        <v>0</v>
      </c>
      <c r="N79" s="626">
        <f>8404/F79</f>
        <v>395.00871425697562</v>
      </c>
      <c r="O79" s="595">
        <f>1260/F79</f>
        <v>59.223105659660789</v>
      </c>
      <c r="P79" s="597">
        <v>0</v>
      </c>
      <c r="Q79" s="595">
        <v>0</v>
      </c>
      <c r="R79" s="570">
        <f>Tabel6689262829[[#This Row],[VAT DW 2017]]+Tabel6689262829[[#This Row],[VAT Sew. 2017]]+Tabel6689262829[[#This Row],[VAT WW 2017]]+Tabel6689262829[[#This Row],[VAT Other ch. 2017]]</f>
        <v>120.51431977092878</v>
      </c>
      <c r="S79" s="571">
        <f>Tabel6689262829[[#This Row],[Total. ch. DW 2017]]+Tabel6689262829[[#This Row],[Sew. 2017]]+Tabel6689262829[[#This Row],[VAT Sew. 2017]]+Tabel6689262829[[#This Row],[WW 2017]]+Tabel6689262829[[#This Row],[VAT WW 2017]]+Tabel6689262829[[#This Row],[Other ch. 2017]]+Tabel6689262829[[#This Row],[VAT Other ch. 2017]]</f>
        <v>924.06845814994529</v>
      </c>
      <c r="T79" s="397"/>
      <c r="U79" s="1764"/>
      <c r="V79" s="1767"/>
      <c r="W79" s="1770"/>
      <c r="X79" s="1773"/>
      <c r="Y79" s="1776"/>
      <c r="Z79" s="1779"/>
      <c r="AA79" s="1773"/>
      <c r="AB79" s="1811"/>
      <c r="AC79" s="1773"/>
      <c r="AD79" s="1813"/>
      <c r="AE79" s="1773"/>
      <c r="AF79" s="1815"/>
      <c r="AG79" s="1794"/>
      <c r="AH79" s="397"/>
      <c r="AI79" s="398"/>
      <c r="AJ79" s="591" t="s">
        <v>429</v>
      </c>
      <c r="AK79" s="398"/>
      <c r="AL79" s="591"/>
      <c r="AM79" s="591"/>
      <c r="AN79" s="591" t="s">
        <v>429</v>
      </c>
      <c r="AO79" s="398"/>
      <c r="AP79" s="397"/>
    </row>
    <row r="80" spans="1:42" ht="18" customHeight="1" x14ac:dyDescent="0.25">
      <c r="A80" s="1818" t="s">
        <v>11</v>
      </c>
      <c r="B80" s="641" t="s">
        <v>87</v>
      </c>
      <c r="C80" s="1046"/>
      <c r="D80" s="802" t="s">
        <v>1054</v>
      </c>
      <c r="E80" s="1966">
        <v>49600</v>
      </c>
      <c r="F80" s="661">
        <f>'exchange rates'!$O$18</f>
        <v>6.2037399999999998</v>
      </c>
      <c r="G80" s="625">
        <f>550.4/F80</f>
        <v>88.720674947692842</v>
      </c>
      <c r="H80" s="593">
        <f>1638/F80</f>
        <v>264.03427609796671</v>
      </c>
      <c r="I80" s="594">
        <f>1306/F80</f>
        <v>210.51817129666944</v>
      </c>
      <c r="J80" s="595">
        <f>873.6/F80</f>
        <v>140.81828058558224</v>
      </c>
      <c r="K80" s="566">
        <f>Tabel6689262829[[#This Row],[Fix.ch. 2017]]+Tabel6689262829[[#This Row],[Var. ch. 2017]]+Tabel6689262829[[#This Row],[Oth. ch. DW 2017]]+Tabel6689262829[[#This Row],[VAT DW 2017]]</f>
        <v>704.09140292791119</v>
      </c>
      <c r="L80" s="596">
        <v>0</v>
      </c>
      <c r="M80" s="595">
        <f>4963.56/F80</f>
        <v>800.09155767327456</v>
      </c>
      <c r="N80" s="626">
        <f>114.04/F80</f>
        <v>18.382459613072115</v>
      </c>
      <c r="O80" s="595">
        <f>1269.4/F80</f>
        <v>204.61850432158667</v>
      </c>
      <c r="P80" s="597">
        <v>0</v>
      </c>
      <c r="Q80" s="595">
        <v>0</v>
      </c>
      <c r="R80" s="570">
        <f>Tabel6689262829[[#This Row],[VAT DW 2017]]+Tabel6689262829[[#This Row],[VAT Sew. 2017]]+Tabel6689262829[[#This Row],[VAT WW 2017]]+Tabel6689262829[[#This Row],[VAT Other ch. 2017]]</f>
        <v>1145.5283425804435</v>
      </c>
      <c r="S80" s="571">
        <f>Tabel6689262829[[#This Row],[Total. ch. DW 2017]]+Tabel6689262829[[#This Row],[Sew. 2017]]+Tabel6689262829[[#This Row],[VAT Sew. 2017]]+Tabel6689262829[[#This Row],[WW 2017]]+Tabel6689262829[[#This Row],[VAT WW 2017]]+Tabel6689262829[[#This Row],[Other ch. 2017]]+Tabel6689262829[[#This Row],[VAT Other ch. 2017]]</f>
        <v>1727.1839245358444</v>
      </c>
      <c r="T80" s="397"/>
      <c r="U80" s="1968">
        <f>MEDIAN(G80:G84)</f>
        <v>88.720674947692842</v>
      </c>
      <c r="V80" s="1971">
        <f>MEDIAN(H80:H84)</f>
        <v>259.64982413834235</v>
      </c>
      <c r="W80" s="1974">
        <f>MEDIAN(I80:I84)</f>
        <v>210.51817129666944</v>
      </c>
      <c r="X80" s="1771">
        <f>MEDIAN(J80:J84)</f>
        <v>133.01653518683892</v>
      </c>
      <c r="Y80" s="1977">
        <f>SUM(U80:X84)</f>
        <v>691.90520556954357</v>
      </c>
      <c r="Z80" s="1980">
        <f t="shared" ref="Z80:AF80" si="10">MEDIAN(L80:L84)</f>
        <v>0</v>
      </c>
      <c r="AA80" s="1771">
        <f t="shared" si="10"/>
        <v>800.09155767327456</v>
      </c>
      <c r="AB80" s="1954">
        <f t="shared" si="10"/>
        <v>18.382459613072115</v>
      </c>
      <c r="AC80" s="1771">
        <f t="shared" si="10"/>
        <v>204.61850432158667</v>
      </c>
      <c r="AD80" s="1957">
        <f t="shared" si="10"/>
        <v>0</v>
      </c>
      <c r="AE80" s="1771">
        <f t="shared" si="10"/>
        <v>0</v>
      </c>
      <c r="AF80" s="1960">
        <f t="shared" si="10"/>
        <v>1145.5283425804435</v>
      </c>
      <c r="AG80" s="1963">
        <f>Y80+Z80+AA80+AB80+AC80+AD80+AE80</f>
        <v>1714.9977271774769</v>
      </c>
      <c r="AH80" s="397"/>
      <c r="AI80" s="396"/>
      <c r="AJ80" s="591" t="s">
        <v>429</v>
      </c>
      <c r="AK80" s="591"/>
      <c r="AL80" s="591"/>
      <c r="AM80" s="591" t="s">
        <v>429</v>
      </c>
      <c r="AN80" s="591" t="s">
        <v>429</v>
      </c>
      <c r="AO80" s="396"/>
      <c r="AP80" s="397"/>
    </row>
    <row r="81" spans="1:42" ht="15.75" x14ac:dyDescent="0.25">
      <c r="A81" s="1819"/>
      <c r="B81" s="641" t="s">
        <v>213</v>
      </c>
      <c r="C81" s="1046"/>
      <c r="D81" s="802" t="s">
        <v>1054</v>
      </c>
      <c r="E81" s="1967"/>
      <c r="F81" s="661">
        <f>'exchange rates'!$O$18</f>
        <v>6.2037399999999998</v>
      </c>
      <c r="G81" s="625">
        <f>384/F81</f>
        <v>61.898145312343843</v>
      </c>
      <c r="H81" s="593">
        <f>1610.8/F81</f>
        <v>259.64982413834235</v>
      </c>
      <c r="I81" s="594">
        <f>1306/F81</f>
        <v>210.51817129666944</v>
      </c>
      <c r="J81" s="595">
        <f>825.2/F81</f>
        <v>133.01653518683892</v>
      </c>
      <c r="K81" s="566">
        <f>Tabel6689262829[[#This Row],[Fix.ch. 2017]]+Tabel6689262829[[#This Row],[Var. ch. 2017]]+Tabel6689262829[[#This Row],[Oth. ch. DW 2017]]+Tabel6689262829[[#This Row],[VAT DW 2017]]</f>
        <v>665.08267593419453</v>
      </c>
      <c r="L81" s="596">
        <v>0</v>
      </c>
      <c r="M81" s="595">
        <f>3108.83/F81</f>
        <v>501.12190388378622</v>
      </c>
      <c r="N81" s="626">
        <f>139.17/F81</f>
        <v>22.433241883122115</v>
      </c>
      <c r="O81" s="595">
        <f>812/F81</f>
        <v>130.88878644172709</v>
      </c>
      <c r="P81" s="597">
        <v>0</v>
      </c>
      <c r="Q81" s="595">
        <v>0</v>
      </c>
      <c r="R81" s="570">
        <f>Tabel6689262829[[#This Row],[VAT DW 2017]]+Tabel6689262829[[#This Row],[VAT Sew. 2017]]+Tabel6689262829[[#This Row],[VAT WW 2017]]+Tabel6689262829[[#This Row],[VAT Other ch. 2017]]</f>
        <v>765.02722551235229</v>
      </c>
      <c r="S81" s="571">
        <f>Tabel6689262829[[#This Row],[Total. ch. DW 2017]]+Tabel6689262829[[#This Row],[Sew. 2017]]+Tabel6689262829[[#This Row],[VAT Sew. 2017]]+Tabel6689262829[[#This Row],[WW 2017]]+Tabel6689262829[[#This Row],[VAT WW 2017]]+Tabel6689262829[[#This Row],[Other ch. 2017]]+Tabel6689262829[[#This Row],[VAT Other ch. 2017]]</f>
        <v>1319.5266081428297</v>
      </c>
      <c r="T81" s="397"/>
      <c r="U81" s="1969"/>
      <c r="V81" s="1972"/>
      <c r="W81" s="1975"/>
      <c r="X81" s="1772"/>
      <c r="Y81" s="1978"/>
      <c r="Z81" s="1981"/>
      <c r="AA81" s="1772"/>
      <c r="AB81" s="1955"/>
      <c r="AC81" s="1772"/>
      <c r="AD81" s="1958"/>
      <c r="AE81" s="1772"/>
      <c r="AF81" s="1961"/>
      <c r="AG81" s="1964"/>
      <c r="AH81" s="397"/>
      <c r="AI81" s="396"/>
      <c r="AJ81" s="591" t="s">
        <v>429</v>
      </c>
      <c r="AK81" s="591"/>
      <c r="AL81" s="591"/>
      <c r="AM81" s="591" t="s">
        <v>429</v>
      </c>
      <c r="AN81" s="591" t="s">
        <v>429</v>
      </c>
      <c r="AO81" s="396"/>
      <c r="AP81" s="397"/>
    </row>
    <row r="82" spans="1:42" ht="15.75" x14ac:dyDescent="0.25">
      <c r="A82" s="1819"/>
      <c r="B82" s="641" t="s">
        <v>88</v>
      </c>
      <c r="C82" s="1046" t="s">
        <v>429</v>
      </c>
      <c r="D82" s="802" t="s">
        <v>1054</v>
      </c>
      <c r="E82" s="1967"/>
      <c r="F82" s="661">
        <f>'exchange rates'!$O$18</f>
        <v>6.2037399999999998</v>
      </c>
      <c r="G82" s="625">
        <f>1000/F82</f>
        <v>161.19308675089545</v>
      </c>
      <c r="H82" s="593">
        <f>964.4/F82</f>
        <v>155.45461286256355</v>
      </c>
      <c r="I82" s="594">
        <f>1306/F82</f>
        <v>210.51817129666944</v>
      </c>
      <c r="J82" s="595">
        <f>817.6/F82</f>
        <v>131.79146772753211</v>
      </c>
      <c r="K82" s="566">
        <f>Tabel6689262829[[#This Row],[Fix.ch. 2017]]+Tabel6689262829[[#This Row],[Var. ch. 2017]]+Tabel6689262829[[#This Row],[Oth. ch. DW 2017]]+Tabel6689262829[[#This Row],[VAT DW 2017]]</f>
        <v>658.95733863766054</v>
      </c>
      <c r="L82" s="596">
        <v>0</v>
      </c>
      <c r="M82" s="595">
        <f>4752.65/F82</f>
        <v>766.09432374664311</v>
      </c>
      <c r="N82" s="626">
        <f>152.95/F82</f>
        <v>24.654482618549455</v>
      </c>
      <c r="O82" s="595">
        <f>1226.4/F82</f>
        <v>197.68720159129816</v>
      </c>
      <c r="P82" s="597">
        <v>0</v>
      </c>
      <c r="Q82" s="595">
        <v>0</v>
      </c>
      <c r="R82" s="570">
        <f>Tabel6689262829[[#This Row],[VAT DW 2017]]+Tabel6689262829[[#This Row],[VAT Sew. 2017]]+Tabel6689262829[[#This Row],[VAT WW 2017]]+Tabel6689262829[[#This Row],[VAT Other ch. 2017]]</f>
        <v>1095.5729930654734</v>
      </c>
      <c r="S82" s="571">
        <f>Tabel6689262829[[#This Row],[Total. ch. DW 2017]]+Tabel6689262829[[#This Row],[Sew. 2017]]+Tabel6689262829[[#This Row],[VAT Sew. 2017]]+Tabel6689262829[[#This Row],[WW 2017]]+Tabel6689262829[[#This Row],[VAT WW 2017]]+Tabel6689262829[[#This Row],[Other ch. 2017]]+Tabel6689262829[[#This Row],[VAT Other ch. 2017]]</f>
        <v>1647.3933465941514</v>
      </c>
      <c r="T82" s="397"/>
      <c r="U82" s="1969"/>
      <c r="V82" s="1972"/>
      <c r="W82" s="1975"/>
      <c r="X82" s="1772"/>
      <c r="Y82" s="1978"/>
      <c r="Z82" s="1981"/>
      <c r="AA82" s="1772"/>
      <c r="AB82" s="1955"/>
      <c r="AC82" s="1772"/>
      <c r="AD82" s="1958"/>
      <c r="AE82" s="1772"/>
      <c r="AF82" s="1961"/>
      <c r="AG82" s="1964"/>
      <c r="AH82" s="397"/>
      <c r="AI82" s="396"/>
      <c r="AJ82" s="591" t="s">
        <v>429</v>
      </c>
      <c r="AK82" s="591"/>
      <c r="AL82" s="591"/>
      <c r="AM82" s="591" t="s">
        <v>429</v>
      </c>
      <c r="AN82" s="591" t="s">
        <v>429</v>
      </c>
      <c r="AO82" s="396"/>
      <c r="AP82" s="397"/>
    </row>
    <row r="83" spans="1:42" ht="15.75" x14ac:dyDescent="0.25">
      <c r="A83" s="1819"/>
      <c r="B83" s="641" t="s">
        <v>89</v>
      </c>
      <c r="C83" s="1046"/>
      <c r="D83" s="802" t="s">
        <v>1054</v>
      </c>
      <c r="E83" s="1967"/>
      <c r="F83" s="661">
        <f>'exchange rates'!$O$18</f>
        <v>6.2037399999999998</v>
      </c>
      <c r="G83" s="625">
        <f>662.4/F83</f>
        <v>106.77430066379313</v>
      </c>
      <c r="H83" s="593">
        <f>914.8/F83</f>
        <v>147.45943575971913</v>
      </c>
      <c r="I83" s="594">
        <f t="shared" ref="I83:I84" si="11">1306/F83</f>
        <v>210.51817129666944</v>
      </c>
      <c r="J83" s="595">
        <f>720.8/F83</f>
        <v>116.18797693004542</v>
      </c>
      <c r="K83" s="566">
        <f>Tabel6689262829[[#This Row],[Fix.ch. 2017]]+Tabel6689262829[[#This Row],[Var. ch. 2017]]+Tabel6689262829[[#This Row],[Oth. ch. DW 2017]]+Tabel6689262829[[#This Row],[VAT DW 2017]]</f>
        <v>580.9398846502271</v>
      </c>
      <c r="L83" s="596">
        <v>0</v>
      </c>
      <c r="M83" s="595">
        <f>5184.01/F83</f>
        <v>835.62657364750942</v>
      </c>
      <c r="N83" s="626">
        <f>100.79/F83</f>
        <v>16.246651213622751</v>
      </c>
      <c r="O83" s="595">
        <f>1321.2/F83</f>
        <v>212.96830621528306</v>
      </c>
      <c r="P83" s="597">
        <v>0</v>
      </c>
      <c r="Q83" s="595">
        <v>0</v>
      </c>
      <c r="R83" s="570">
        <f>Tabel6689262829[[#This Row],[VAT DW 2017]]+Tabel6689262829[[#This Row],[VAT Sew. 2017]]+Tabel6689262829[[#This Row],[VAT WW 2017]]+Tabel6689262829[[#This Row],[VAT Other ch. 2017]]</f>
        <v>1164.7828567928379</v>
      </c>
      <c r="S83" s="571">
        <f>Tabel6689262829[[#This Row],[Total. ch. DW 2017]]+Tabel6689262829[[#This Row],[Sew. 2017]]+Tabel6689262829[[#This Row],[VAT Sew. 2017]]+Tabel6689262829[[#This Row],[WW 2017]]+Tabel6689262829[[#This Row],[VAT WW 2017]]+Tabel6689262829[[#This Row],[Other ch. 2017]]+Tabel6689262829[[#This Row],[VAT Other ch. 2017]]</f>
        <v>1645.7814157266423</v>
      </c>
      <c r="T83" s="397"/>
      <c r="U83" s="1969"/>
      <c r="V83" s="1972"/>
      <c r="W83" s="1975"/>
      <c r="X83" s="1772"/>
      <c r="Y83" s="1978"/>
      <c r="Z83" s="1981"/>
      <c r="AA83" s="1772"/>
      <c r="AB83" s="1955"/>
      <c r="AC83" s="1772"/>
      <c r="AD83" s="1958"/>
      <c r="AE83" s="1772"/>
      <c r="AF83" s="1961"/>
      <c r="AG83" s="1964"/>
      <c r="AH83" s="397"/>
      <c r="AI83" s="396"/>
      <c r="AJ83" s="591" t="s">
        <v>429</v>
      </c>
      <c r="AK83" s="591"/>
      <c r="AL83" s="591"/>
      <c r="AM83" s="591" t="s">
        <v>429</v>
      </c>
      <c r="AN83" s="591" t="s">
        <v>429</v>
      </c>
      <c r="AO83" s="396"/>
      <c r="AP83" s="397"/>
    </row>
    <row r="84" spans="1:42" ht="16.5" thickBot="1" x14ac:dyDescent="0.3">
      <c r="A84" s="1820"/>
      <c r="B84" s="544" t="s">
        <v>90</v>
      </c>
      <c r="C84" s="1046"/>
      <c r="D84" s="807" t="s">
        <v>1054</v>
      </c>
      <c r="E84" s="1923"/>
      <c r="F84" s="661">
        <f>'exchange rates'!$O$18</f>
        <v>6.2037399999999998</v>
      </c>
      <c r="G84" s="625">
        <f>480/F84</f>
        <v>77.372681640429803</v>
      </c>
      <c r="H84" s="593">
        <f>1844.4/F84</f>
        <v>297.30452920335154</v>
      </c>
      <c r="I84" s="594">
        <f t="shared" si="11"/>
        <v>210.51817129666944</v>
      </c>
      <c r="J84" s="595">
        <f>907.6/F84</f>
        <v>146.29884553511269</v>
      </c>
      <c r="K84" s="566">
        <f>Tabel6689262829[[#This Row],[Fix.ch. 2017]]+Tabel6689262829[[#This Row],[Var. ch. 2017]]+Tabel6689262829[[#This Row],[Oth. ch. DW 2017]]+Tabel6689262829[[#This Row],[VAT DW 2017]]</f>
        <v>731.49422767556348</v>
      </c>
      <c r="L84" s="596">
        <v>0</v>
      </c>
      <c r="M84" s="595">
        <f>6762.84/F84</f>
        <v>1090.1230548024257</v>
      </c>
      <c r="N84" s="626">
        <f>107.56/F84</f>
        <v>17.337928410926313</v>
      </c>
      <c r="O84" s="595">
        <f>1717.6/F84</f>
        <v>276.86524580333798</v>
      </c>
      <c r="P84" s="597">
        <v>0</v>
      </c>
      <c r="Q84" s="595">
        <v>0</v>
      </c>
      <c r="R84" s="570">
        <f>Tabel6689262829[[#This Row],[VAT DW 2017]]+Tabel6689262829[[#This Row],[VAT Sew. 2017]]+Tabel6689262829[[#This Row],[VAT WW 2017]]+Tabel6689262829[[#This Row],[VAT Other ch. 2017]]</f>
        <v>1513.2871461408763</v>
      </c>
      <c r="S84" s="571">
        <f>Tabel6689262829[[#This Row],[Total. ch. DW 2017]]+Tabel6689262829[[#This Row],[Sew. 2017]]+Tabel6689262829[[#This Row],[VAT Sew. 2017]]+Tabel6689262829[[#This Row],[WW 2017]]+Tabel6689262829[[#This Row],[VAT WW 2017]]+Tabel6689262829[[#This Row],[Other ch. 2017]]+Tabel6689262829[[#This Row],[VAT Other ch. 2017]]</f>
        <v>2115.8204566922532</v>
      </c>
      <c r="T84" s="397"/>
      <c r="U84" s="1970"/>
      <c r="V84" s="1973"/>
      <c r="W84" s="1976"/>
      <c r="X84" s="1773"/>
      <c r="Y84" s="1979"/>
      <c r="Z84" s="1982"/>
      <c r="AA84" s="1773"/>
      <c r="AB84" s="1956"/>
      <c r="AC84" s="1773"/>
      <c r="AD84" s="1959"/>
      <c r="AE84" s="1773"/>
      <c r="AF84" s="1962"/>
      <c r="AG84" s="1965"/>
      <c r="AH84" s="397"/>
      <c r="AI84" s="396"/>
      <c r="AJ84" s="591" t="s">
        <v>429</v>
      </c>
      <c r="AK84" s="591"/>
      <c r="AL84" s="591"/>
      <c r="AM84" s="591" t="s">
        <v>429</v>
      </c>
      <c r="AN84" s="591" t="s">
        <v>429</v>
      </c>
      <c r="AO84" s="396"/>
      <c r="AP84" s="397"/>
    </row>
    <row r="85" spans="1:42" ht="18" customHeight="1" x14ac:dyDescent="0.25">
      <c r="A85" s="1818" t="s">
        <v>12</v>
      </c>
      <c r="B85" s="546" t="s">
        <v>91</v>
      </c>
      <c r="C85" s="1046"/>
      <c r="D85" s="802" t="s">
        <v>1056</v>
      </c>
      <c r="E85" s="1966">
        <v>44000</v>
      </c>
      <c r="F85" s="616">
        <f>'exchange rates'!$O$19</f>
        <v>0.83301000000000003</v>
      </c>
      <c r="G85" s="625">
        <f>39.52/F85</f>
        <v>47.44240765416982</v>
      </c>
      <c r="H85" s="593">
        <f>226/F85</f>
        <v>271.30526644338005</v>
      </c>
      <c r="I85" s="594">
        <v>0</v>
      </c>
      <c r="J85" s="595">
        <f>63.72/F85</f>
        <v>76.493679547664485</v>
      </c>
      <c r="K85" s="566">
        <f>Tabel6689262829[[#This Row],[Fix.ch. 2017]]+Tabel6689262829[[#This Row],[Var. ch. 2017]]+Tabel6689262829[[#This Row],[Oth. ch. DW 2017]]+Tabel6689262829[[#This Row],[VAT DW 2017]]</f>
        <v>395.24135364521436</v>
      </c>
      <c r="L85" s="596">
        <f>278/F85</f>
        <v>333.72948704097189</v>
      </c>
      <c r="M85" s="595">
        <f>66.72/F85</f>
        <v>80.095076889833251</v>
      </c>
      <c r="N85" s="626">
        <v>0</v>
      </c>
      <c r="O85" s="595">
        <v>0</v>
      </c>
      <c r="P85" s="597">
        <f>39.52/F85</f>
        <v>47.44240765416982</v>
      </c>
      <c r="Q85" s="595">
        <f>9.48/F85</f>
        <v>11.380415601253286</v>
      </c>
      <c r="R85" s="570">
        <f>Tabel6689262829[[#This Row],[VAT DW 2017]]+Tabel6689262829[[#This Row],[VAT Sew. 2017]]+Tabel6689262829[[#This Row],[VAT WW 2017]]+Tabel6689262829[[#This Row],[VAT Other ch. 2017]]</f>
        <v>167.96917203875103</v>
      </c>
      <c r="S85" s="571">
        <f>Tabel6689262829[[#This Row],[Total. ch. DW 2017]]+Tabel6689262829[[#This Row],[Sew. 2017]]+Tabel6689262829[[#This Row],[VAT Sew. 2017]]+Tabel6689262829[[#This Row],[WW 2017]]+Tabel6689262829[[#This Row],[VAT WW 2017]]+Tabel6689262829[[#This Row],[Other ch. 2017]]+Tabel6689262829[[#This Row],[VAT Other ch. 2017]]</f>
        <v>867.88874083144265</v>
      </c>
      <c r="T85" s="397"/>
      <c r="U85" s="1968">
        <f>MEDIAN(G85:G90)</f>
        <v>48.894971248844556</v>
      </c>
      <c r="V85" s="1971">
        <f>MEDIAN(H85:H90)</f>
        <v>273.70619800482586</v>
      </c>
      <c r="W85" s="1974">
        <f>MEDIAN(I85:I90)</f>
        <v>0</v>
      </c>
      <c r="X85" s="1771">
        <f>MEDIAN(J85:J90)</f>
        <v>79.728934826712759</v>
      </c>
      <c r="Y85" s="1977">
        <f>SUM(U85:X90)</f>
        <v>402.33010408038319</v>
      </c>
      <c r="Z85" s="1980">
        <f t="shared" ref="Z85:AF85" si="12">MEDIAN(L85:L90)</f>
        <v>347.34276899436981</v>
      </c>
      <c r="AA85" s="1771">
        <f t="shared" si="12"/>
        <v>84.656846856580344</v>
      </c>
      <c r="AB85" s="1954">
        <f t="shared" si="12"/>
        <v>0</v>
      </c>
      <c r="AC85" s="1771">
        <f t="shared" si="12"/>
        <v>0</v>
      </c>
      <c r="AD85" s="1957">
        <f t="shared" si="12"/>
        <v>47.44240765416982</v>
      </c>
      <c r="AE85" s="1771">
        <f t="shared" si="12"/>
        <v>11.380415601253286</v>
      </c>
      <c r="AF85" s="1960">
        <f t="shared" si="12"/>
        <v>176.56450702872715</v>
      </c>
      <c r="AG85" s="1963">
        <f>Y85+Z85+AA85+AB85+AC85+AD85+AE85</f>
        <v>893.15254318675647</v>
      </c>
      <c r="AH85" s="397"/>
      <c r="AI85" s="400"/>
      <c r="AJ85" s="662" t="s">
        <v>429</v>
      </c>
      <c r="AK85" s="662"/>
      <c r="AL85" s="662"/>
      <c r="AM85" s="662" t="s">
        <v>429</v>
      </c>
      <c r="AN85" s="662" t="s">
        <v>429</v>
      </c>
      <c r="AO85" s="400"/>
      <c r="AP85" s="397"/>
    </row>
    <row r="86" spans="1:42" ht="15.75" x14ac:dyDescent="0.25">
      <c r="A86" s="1819"/>
      <c r="B86" s="547" t="s">
        <v>92</v>
      </c>
      <c r="C86" s="1046" t="s">
        <v>429</v>
      </c>
      <c r="D86" s="802" t="s">
        <v>1056</v>
      </c>
      <c r="E86" s="1967"/>
      <c r="F86" s="616">
        <f>'exchange rates'!$O$19</f>
        <v>0.83301000000000003</v>
      </c>
      <c r="G86" s="625">
        <f>39.52/F86</f>
        <v>47.44240765416982</v>
      </c>
      <c r="H86" s="593">
        <f>226/F86</f>
        <v>271.30526644338005</v>
      </c>
      <c r="I86" s="594">
        <v>0</v>
      </c>
      <c r="J86" s="595">
        <f>63.72/F86</f>
        <v>76.493679547664485</v>
      </c>
      <c r="K86" s="566">
        <f>Tabel6689262829[[#This Row],[Fix.ch. 2017]]+Tabel6689262829[[#This Row],[Var. ch. 2017]]+Tabel6689262829[[#This Row],[Oth. ch. DW 2017]]+Tabel6689262829[[#This Row],[VAT DW 2017]]</f>
        <v>395.24135364521436</v>
      </c>
      <c r="L86" s="596">
        <f>278/F86</f>
        <v>333.72948704097189</v>
      </c>
      <c r="M86" s="595">
        <f>66.72/F86</f>
        <v>80.095076889833251</v>
      </c>
      <c r="N86" s="626">
        <v>0</v>
      </c>
      <c r="O86" s="595">
        <v>0</v>
      </c>
      <c r="P86" s="597">
        <f>39.52/F86</f>
        <v>47.44240765416982</v>
      </c>
      <c r="Q86" s="595">
        <f>9.48/F86</f>
        <v>11.380415601253286</v>
      </c>
      <c r="R86" s="570">
        <f>Tabel6689262829[[#This Row],[VAT DW 2017]]+Tabel6689262829[[#This Row],[VAT Sew. 2017]]+Tabel6689262829[[#This Row],[VAT WW 2017]]+Tabel6689262829[[#This Row],[VAT Other ch. 2017]]</f>
        <v>167.96917203875103</v>
      </c>
      <c r="S86" s="571">
        <f>Tabel6689262829[[#This Row],[Total. ch. DW 2017]]+Tabel6689262829[[#This Row],[Sew. 2017]]+Tabel6689262829[[#This Row],[VAT Sew. 2017]]+Tabel6689262829[[#This Row],[WW 2017]]+Tabel6689262829[[#This Row],[VAT WW 2017]]+Tabel6689262829[[#This Row],[Other ch. 2017]]+Tabel6689262829[[#This Row],[VAT Other ch. 2017]]</f>
        <v>867.88874083144265</v>
      </c>
      <c r="T86" s="397"/>
      <c r="U86" s="1969"/>
      <c r="V86" s="1972"/>
      <c r="W86" s="1975"/>
      <c r="X86" s="1772"/>
      <c r="Y86" s="1978"/>
      <c r="Z86" s="1981"/>
      <c r="AA86" s="1772"/>
      <c r="AB86" s="1955"/>
      <c r="AC86" s="1772"/>
      <c r="AD86" s="1958"/>
      <c r="AE86" s="1772"/>
      <c r="AF86" s="1961"/>
      <c r="AG86" s="1964"/>
      <c r="AH86" s="397"/>
      <c r="AI86" s="400"/>
      <c r="AJ86" s="662" t="s">
        <v>429</v>
      </c>
      <c r="AK86" s="662"/>
      <c r="AL86" s="662"/>
      <c r="AM86" s="662" t="s">
        <v>429</v>
      </c>
      <c r="AN86" s="662" t="s">
        <v>429</v>
      </c>
      <c r="AO86" s="400"/>
      <c r="AP86" s="397"/>
    </row>
    <row r="87" spans="1:42" ht="15.75" x14ac:dyDescent="0.25">
      <c r="A87" s="1819"/>
      <c r="B87" s="547" t="s">
        <v>93</v>
      </c>
      <c r="C87" s="1046"/>
      <c r="D87" s="802" t="s">
        <v>1056</v>
      </c>
      <c r="E87" s="1967"/>
      <c r="F87" s="616">
        <f>'exchange rates'!$O$19</f>
        <v>0.83301000000000003</v>
      </c>
      <c r="G87" s="625">
        <f>41.94/F87</f>
        <v>50.347534843519284</v>
      </c>
      <c r="H87" s="593">
        <f>246/F87</f>
        <v>295.31458205783844</v>
      </c>
      <c r="I87" s="594">
        <v>0</v>
      </c>
      <c r="J87" s="595">
        <f>69.11/F87</f>
        <v>82.964190105761034</v>
      </c>
      <c r="K87" s="566">
        <f>Tabel6689262829[[#This Row],[Fix.ch. 2017]]+Tabel6689262829[[#This Row],[Var. ch. 2017]]+Tabel6689262829[[#This Row],[Oth. ch. DW 2017]]+Tabel6689262829[[#This Row],[VAT DW 2017]]</f>
        <v>428.62630700711873</v>
      </c>
      <c r="L87" s="596">
        <f>320/F87</f>
        <v>384.14904983133454</v>
      </c>
      <c r="M87" s="595">
        <f>76.8/F87</f>
        <v>92.195771959520286</v>
      </c>
      <c r="N87" s="626">
        <v>0</v>
      </c>
      <c r="O87" s="595">
        <v>0</v>
      </c>
      <c r="P87" s="597">
        <f>41.94/F87</f>
        <v>50.347534843519284</v>
      </c>
      <c r="Q87" s="595">
        <f>10.07/F87</f>
        <v>12.08869041187981</v>
      </c>
      <c r="R87" s="570">
        <f>Tabel6689262829[[#This Row],[VAT DW 2017]]+Tabel6689262829[[#This Row],[VAT Sew. 2017]]+Tabel6689262829[[#This Row],[VAT WW 2017]]+Tabel6689262829[[#This Row],[VAT Other ch. 2017]]</f>
        <v>187.24865247716113</v>
      </c>
      <c r="S87" s="571">
        <f>Tabel6689262829[[#This Row],[Total. ch. DW 2017]]+Tabel6689262829[[#This Row],[Sew. 2017]]+Tabel6689262829[[#This Row],[VAT Sew. 2017]]+Tabel6689262829[[#This Row],[WW 2017]]+Tabel6689262829[[#This Row],[VAT WW 2017]]+Tabel6689262829[[#This Row],[Other ch. 2017]]+Tabel6689262829[[#This Row],[VAT Other ch. 2017]]</f>
        <v>967.40735405337261</v>
      </c>
      <c r="T87" s="397"/>
      <c r="U87" s="1969"/>
      <c r="V87" s="1972"/>
      <c r="W87" s="1975"/>
      <c r="X87" s="1772"/>
      <c r="Y87" s="1978"/>
      <c r="Z87" s="1981"/>
      <c r="AA87" s="1772"/>
      <c r="AB87" s="1955"/>
      <c r="AC87" s="1772"/>
      <c r="AD87" s="1958"/>
      <c r="AE87" s="1772"/>
      <c r="AF87" s="1961"/>
      <c r="AG87" s="1964"/>
      <c r="AH87" s="397"/>
      <c r="AI87" s="400"/>
      <c r="AJ87" s="662" t="s">
        <v>429</v>
      </c>
      <c r="AK87" s="662"/>
      <c r="AL87" s="662"/>
      <c r="AM87" s="662" t="s">
        <v>429</v>
      </c>
      <c r="AN87" s="662" t="s">
        <v>429</v>
      </c>
      <c r="AO87" s="400"/>
      <c r="AP87" s="397"/>
    </row>
    <row r="88" spans="1:42" ht="15.75" x14ac:dyDescent="0.25">
      <c r="A88" s="1819"/>
      <c r="B88" s="547" t="s">
        <v>94</v>
      </c>
      <c r="C88" s="1046"/>
      <c r="D88" s="802" t="s">
        <v>1056</v>
      </c>
      <c r="E88" s="1967"/>
      <c r="F88" s="616">
        <f>'exchange rates'!$O$19</f>
        <v>0.83301000000000003</v>
      </c>
      <c r="G88" s="625">
        <f>80.65/F88</f>
        <v>96.817565215303546</v>
      </c>
      <c r="H88" s="593">
        <f>230/F88</f>
        <v>276.10712956627168</v>
      </c>
      <c r="I88" s="594">
        <v>0</v>
      </c>
      <c r="J88" s="595">
        <f>74.56/F88</f>
        <v>89.506728610700947</v>
      </c>
      <c r="K88" s="566">
        <f>Tabel6689262829[[#This Row],[Fix.ch. 2017]]+Tabel6689262829[[#This Row],[Var. ch. 2017]]+Tabel6689262829[[#This Row],[Oth. ch. DW 2017]]+Tabel6689262829[[#This Row],[VAT DW 2017]]</f>
        <v>462.4314233922762</v>
      </c>
      <c r="L88" s="596">
        <f>332/F88</f>
        <v>398.5546392000096</v>
      </c>
      <c r="M88" s="595">
        <f>79.68/F88</f>
        <v>95.653113408002312</v>
      </c>
      <c r="N88" s="626">
        <v>0</v>
      </c>
      <c r="O88" s="595">
        <v>0</v>
      </c>
      <c r="P88" s="597">
        <v>0</v>
      </c>
      <c r="Q88" s="595">
        <v>0</v>
      </c>
      <c r="R88" s="570">
        <f>Tabel6689262829[[#This Row],[VAT DW 2017]]+Tabel6689262829[[#This Row],[VAT Sew. 2017]]+Tabel6689262829[[#This Row],[VAT WW 2017]]+Tabel6689262829[[#This Row],[VAT Other ch. 2017]]</f>
        <v>185.15984201870327</v>
      </c>
      <c r="S88" s="571">
        <f>Tabel6689262829[[#This Row],[Total. ch. DW 2017]]+Tabel6689262829[[#This Row],[Sew. 2017]]+Tabel6689262829[[#This Row],[VAT Sew. 2017]]+Tabel6689262829[[#This Row],[WW 2017]]+Tabel6689262829[[#This Row],[VAT WW 2017]]+Tabel6689262829[[#This Row],[Other ch. 2017]]+Tabel6689262829[[#This Row],[VAT Other ch. 2017]]</f>
        <v>956.63917600028822</v>
      </c>
      <c r="T88" s="397"/>
      <c r="U88" s="1969"/>
      <c r="V88" s="1972"/>
      <c r="W88" s="1975"/>
      <c r="X88" s="1772"/>
      <c r="Y88" s="1978"/>
      <c r="Z88" s="1981"/>
      <c r="AA88" s="1772"/>
      <c r="AB88" s="1955"/>
      <c r="AC88" s="1772"/>
      <c r="AD88" s="1958"/>
      <c r="AE88" s="1772"/>
      <c r="AF88" s="1961"/>
      <c r="AG88" s="1964"/>
      <c r="AH88" s="397"/>
      <c r="AI88" s="400"/>
      <c r="AJ88" s="662" t="s">
        <v>429</v>
      </c>
      <c r="AK88" s="662"/>
      <c r="AL88" s="662"/>
      <c r="AM88" s="662" t="s">
        <v>429</v>
      </c>
      <c r="AN88" s="662" t="s">
        <v>429</v>
      </c>
      <c r="AO88" s="400"/>
      <c r="AP88" s="397"/>
    </row>
    <row r="89" spans="1:42" ht="15.75" x14ac:dyDescent="0.25">
      <c r="A89" s="1819"/>
      <c r="B89" s="547" t="s">
        <v>95</v>
      </c>
      <c r="C89" s="1046"/>
      <c r="D89" s="802" t="s">
        <v>1056</v>
      </c>
      <c r="E89" s="1967"/>
      <c r="F89" s="616">
        <f>'exchange rates'!$O$19</f>
        <v>0.83301000000000003</v>
      </c>
      <c r="G89" s="625">
        <f>108.06/F89</f>
        <v>129.72233226491878</v>
      </c>
      <c r="H89" s="593">
        <f>282.26/F89</f>
        <v>338.84347126685151</v>
      </c>
      <c r="I89" s="594">
        <v>0</v>
      </c>
      <c r="J89" s="595">
        <f>93.68/F89</f>
        <v>112.45963433812319</v>
      </c>
      <c r="K89" s="566">
        <f>Tabel6689262829[[#This Row],[Fix.ch. 2017]]+Tabel6689262829[[#This Row],[Var. ch. 2017]]+Tabel6689262829[[#This Row],[Oth. ch. DW 2017]]+Tabel6689262829[[#This Row],[VAT DW 2017]]</f>
        <v>581.02543786989349</v>
      </c>
      <c r="L89" s="596">
        <f>300.68/F89</f>
        <v>360.95605094776772</v>
      </c>
      <c r="M89" s="595">
        <f>74.32/F89</f>
        <v>89.218616823327437</v>
      </c>
      <c r="N89" s="626">
        <v>0</v>
      </c>
      <c r="O89" s="595">
        <v>0</v>
      </c>
      <c r="P89" s="597">
        <v>0</v>
      </c>
      <c r="Q89" s="595">
        <v>0</v>
      </c>
      <c r="R89" s="570">
        <f>Tabel6689262829[[#This Row],[VAT DW 2017]]+Tabel6689262829[[#This Row],[VAT Sew. 2017]]+Tabel6689262829[[#This Row],[VAT WW 2017]]+Tabel6689262829[[#This Row],[VAT Other ch. 2017]]</f>
        <v>201.67825116145065</v>
      </c>
      <c r="S89" s="571">
        <f>Tabel6689262829[[#This Row],[Total. ch. DW 2017]]+Tabel6689262829[[#This Row],[Sew. 2017]]+Tabel6689262829[[#This Row],[VAT Sew. 2017]]+Tabel6689262829[[#This Row],[WW 2017]]+Tabel6689262829[[#This Row],[VAT WW 2017]]+Tabel6689262829[[#This Row],[Other ch. 2017]]+Tabel6689262829[[#This Row],[VAT Other ch. 2017]]</f>
        <v>1031.2001056409886</v>
      </c>
      <c r="T89" s="397"/>
      <c r="U89" s="1969"/>
      <c r="V89" s="1972"/>
      <c r="W89" s="1975"/>
      <c r="X89" s="1772"/>
      <c r="Y89" s="1978"/>
      <c r="Z89" s="1981"/>
      <c r="AA89" s="1772"/>
      <c r="AB89" s="1955"/>
      <c r="AC89" s="1772"/>
      <c r="AD89" s="1958"/>
      <c r="AE89" s="1772"/>
      <c r="AF89" s="1961"/>
      <c r="AG89" s="1964"/>
      <c r="AH89" s="397"/>
      <c r="AI89" s="400"/>
      <c r="AJ89" s="662" t="s">
        <v>429</v>
      </c>
      <c r="AK89" s="662"/>
      <c r="AL89" s="662"/>
      <c r="AM89" s="662" t="s">
        <v>429</v>
      </c>
      <c r="AN89" s="662" t="s">
        <v>429</v>
      </c>
      <c r="AO89" s="400"/>
      <c r="AP89" s="397"/>
    </row>
    <row r="90" spans="1:42" ht="16.5" thickBot="1" x14ac:dyDescent="0.3">
      <c r="A90" s="1820"/>
      <c r="B90" s="613" t="s">
        <v>195</v>
      </c>
      <c r="C90" s="1046"/>
      <c r="D90" s="807" t="s">
        <v>1056</v>
      </c>
      <c r="E90" s="1923"/>
      <c r="F90" s="616">
        <f>'exchange rates'!$O$19</f>
        <v>0.83301000000000003</v>
      </c>
      <c r="G90" s="625">
        <f>39.52/F90</f>
        <v>47.44240765416982</v>
      </c>
      <c r="H90" s="593">
        <f>226/F90</f>
        <v>271.30526644338005</v>
      </c>
      <c r="I90" s="594">
        <v>0</v>
      </c>
      <c r="J90" s="595">
        <f>63.72/F90</f>
        <v>76.493679547664485</v>
      </c>
      <c r="K90" s="566">
        <f>Tabel6689262829[[#This Row],[Fix.ch. 2017]]+Tabel6689262829[[#This Row],[Var. ch. 2017]]+Tabel6689262829[[#This Row],[Oth. ch. DW 2017]]+Tabel6689262829[[#This Row],[VAT DW 2017]]</f>
        <v>395.24135364521436</v>
      </c>
      <c r="L90" s="596">
        <f>278/F90</f>
        <v>333.72948704097189</v>
      </c>
      <c r="M90" s="595">
        <f>66.72/F90</f>
        <v>80.095076889833251</v>
      </c>
      <c r="N90" s="626">
        <v>0</v>
      </c>
      <c r="O90" s="595">
        <v>0</v>
      </c>
      <c r="P90" s="597">
        <f>39.52/F90</f>
        <v>47.44240765416982</v>
      </c>
      <c r="Q90" s="595">
        <f>9.48/F90</f>
        <v>11.380415601253286</v>
      </c>
      <c r="R90" s="570">
        <f>Tabel6689262829[[#This Row],[VAT DW 2017]]+Tabel6689262829[[#This Row],[VAT Sew. 2017]]+Tabel6689262829[[#This Row],[VAT WW 2017]]+Tabel6689262829[[#This Row],[VAT Other ch. 2017]]</f>
        <v>167.96917203875103</v>
      </c>
      <c r="S90" s="571">
        <f>Tabel6689262829[[#This Row],[Total. ch. DW 2017]]+Tabel6689262829[[#This Row],[Sew. 2017]]+Tabel6689262829[[#This Row],[VAT Sew. 2017]]+Tabel6689262829[[#This Row],[WW 2017]]+Tabel6689262829[[#This Row],[VAT WW 2017]]+Tabel6689262829[[#This Row],[Other ch. 2017]]+Tabel6689262829[[#This Row],[VAT Other ch. 2017]]</f>
        <v>867.88874083144265</v>
      </c>
      <c r="T90" s="397"/>
      <c r="U90" s="1970"/>
      <c r="V90" s="1973"/>
      <c r="W90" s="1976"/>
      <c r="X90" s="1773"/>
      <c r="Y90" s="1979"/>
      <c r="Z90" s="1982"/>
      <c r="AA90" s="1773"/>
      <c r="AB90" s="1956"/>
      <c r="AC90" s="1773"/>
      <c r="AD90" s="1959"/>
      <c r="AE90" s="1773"/>
      <c r="AF90" s="1962"/>
      <c r="AG90" s="1965"/>
      <c r="AH90" s="397"/>
      <c r="AI90" s="400"/>
      <c r="AJ90" s="662" t="s">
        <v>429</v>
      </c>
      <c r="AK90" s="662"/>
      <c r="AL90" s="662"/>
      <c r="AM90" s="662" t="s">
        <v>429</v>
      </c>
      <c r="AN90" s="662" t="s">
        <v>429</v>
      </c>
      <c r="AO90" s="400"/>
      <c r="AP90" s="397"/>
    </row>
    <row r="91" spans="1:42" ht="15.75" customHeight="1" x14ac:dyDescent="0.25">
      <c r="A91" s="1878" t="s">
        <v>13</v>
      </c>
      <c r="B91" s="546" t="s">
        <v>97</v>
      </c>
      <c r="C91" s="1046"/>
      <c r="D91" s="802" t="s">
        <v>1058</v>
      </c>
      <c r="E91" s="1983">
        <v>43600</v>
      </c>
      <c r="F91" s="616">
        <f>'exchange rates'!$O$20</f>
        <v>0.83301000000000003</v>
      </c>
      <c r="G91" s="625">
        <f>55.32/F91</f>
        <v>66.409766989591958</v>
      </c>
      <c r="H91" s="593">
        <f>(1.08*200)/F91</f>
        <v>259.3006086361508</v>
      </c>
      <c r="I91" s="594">
        <f>(0.39*200)/F91</f>
        <v>93.63633089638779</v>
      </c>
      <c r="J91" s="595">
        <f>19.14/F91</f>
        <v>22.976915043036698</v>
      </c>
      <c r="K91" s="566">
        <f>Tabel6689262829[[#This Row],[Fix.ch. 2017]]+Tabel6689262829[[#This Row],[Var. ch. 2017]]+Tabel6689262829[[#This Row],[Oth. ch. DW 2017]]+Tabel6689262829[[#This Row],[VAT DW 2017]]</f>
        <v>442.32362156516723</v>
      </c>
      <c r="L91" s="596">
        <f>(1.1*200)/F91</f>
        <v>264.10247175904254</v>
      </c>
      <c r="M91" s="595">
        <f>26.72/F91</f>
        <v>32.076445660916434</v>
      </c>
      <c r="N91" s="626">
        <f>(0*200)/F91</f>
        <v>0</v>
      </c>
      <c r="O91" s="595">
        <v>0</v>
      </c>
      <c r="P91" s="597">
        <f>(0.24*200)/F91</f>
        <v>57.622357474700181</v>
      </c>
      <c r="Q91" s="595">
        <v>0</v>
      </c>
      <c r="R91" s="570">
        <f>Tabel6689262829[[#This Row],[VAT DW 2017]]+Tabel6689262829[[#This Row],[VAT Sew. 2017]]+Tabel6689262829[[#This Row],[VAT WW 2017]]+Tabel6689262829[[#This Row],[VAT Other ch. 2017]]</f>
        <v>55.053360703953132</v>
      </c>
      <c r="S91" s="571">
        <f>Tabel6689262829[[#This Row],[Total. ch. DW 2017]]+Tabel6689262829[[#This Row],[Sew. 2017]]+Tabel6689262829[[#This Row],[VAT Sew. 2017]]+Tabel6689262829[[#This Row],[WW 2017]]+Tabel6689262829[[#This Row],[VAT WW 2017]]+Tabel6689262829[[#This Row],[Other ch. 2017]]+Tabel6689262829[[#This Row],[VAT Other ch. 2017]]</f>
        <v>796.12489645982635</v>
      </c>
      <c r="T91" s="397"/>
      <c r="U91" s="1984">
        <f>MEDIAN(G91:G101)</f>
        <v>32.040431687494745</v>
      </c>
      <c r="V91" s="1985">
        <f>MEDIAN(H91:H101)</f>
        <v>273.70619800482581</v>
      </c>
      <c r="W91" s="1986">
        <f>MEDIAN(I91:I101)</f>
        <v>98.438194019279479</v>
      </c>
      <c r="X91" s="1938">
        <f>MEDIAN(J91:J101)</f>
        <v>23.553138617783702</v>
      </c>
      <c r="Y91" s="1987">
        <f>SUM(U91:X101)</f>
        <v>427.73796232938372</v>
      </c>
      <c r="Z91" s="2031">
        <f t="shared" ref="Z91:AF91" si="13">MEDIAN(L91:L101)</f>
        <v>278.5080611277175</v>
      </c>
      <c r="AA91" s="1938">
        <f t="shared" si="13"/>
        <v>34.861526272193608</v>
      </c>
      <c r="AB91" s="2032">
        <f t="shared" si="13"/>
        <v>0</v>
      </c>
      <c r="AC91" s="1938">
        <f t="shared" si="13"/>
        <v>0</v>
      </c>
      <c r="AD91" s="2028">
        <f t="shared" si="13"/>
        <v>63.864779534459373</v>
      </c>
      <c r="AE91" s="1938">
        <f t="shared" si="13"/>
        <v>0</v>
      </c>
      <c r="AF91" s="1988">
        <f t="shared" si="13"/>
        <v>59.603126012893</v>
      </c>
      <c r="AG91" s="1989">
        <f>Y91+Z91+AA91+AB91+AC91+AD91+AE91</f>
        <v>804.9723292637542</v>
      </c>
      <c r="AH91" s="397"/>
      <c r="AI91" s="614"/>
      <c r="AJ91" s="591"/>
      <c r="AK91" s="591"/>
      <c r="AL91" s="591" t="s">
        <v>429</v>
      </c>
      <c r="AM91" s="591" t="s">
        <v>429</v>
      </c>
      <c r="AN91" s="591"/>
      <c r="AO91" s="614"/>
    </row>
    <row r="92" spans="1:42" ht="15.75" customHeight="1" x14ac:dyDescent="0.25">
      <c r="A92" s="1757"/>
      <c r="B92" s="547" t="s">
        <v>98</v>
      </c>
      <c r="C92" s="1046"/>
      <c r="D92" s="802" t="s">
        <v>1058</v>
      </c>
      <c r="E92" s="1880"/>
      <c r="F92" s="616">
        <f>'exchange rates'!$O$20</f>
        <v>0.83301000000000003</v>
      </c>
      <c r="G92" s="625">
        <f>22.64/F92</f>
        <v>27.178545275566918</v>
      </c>
      <c r="H92" s="593">
        <f>(1.18*200)/F92</f>
        <v>283.30992425060924</v>
      </c>
      <c r="I92" s="594">
        <f>(0.5*200)/F92</f>
        <v>120.04657807229205</v>
      </c>
      <c r="J92" s="595">
        <f>19.75/F92</f>
        <v>23.709199169277678</v>
      </c>
      <c r="K92" s="566">
        <f>Tabel6689262829[[#This Row],[Fix.ch. 2017]]+Tabel6689262829[[#This Row],[Var. ch. 2017]]+Tabel6689262829[[#This Row],[Oth. ch. DW 2017]]+Tabel6689262829[[#This Row],[VAT DW 2017]]</f>
        <v>454.24424676774589</v>
      </c>
      <c r="L92" s="596">
        <f>(1.6*200)/F92</f>
        <v>384.14904983133454</v>
      </c>
      <c r="M92" s="595">
        <f>37.91/F92</f>
        <v>45.509657747205907</v>
      </c>
      <c r="N92" s="626">
        <f>(0*200)/F92</f>
        <v>0</v>
      </c>
      <c r="O92" s="595">
        <v>0</v>
      </c>
      <c r="P92" s="597">
        <f>(0.3*200)/F92</f>
        <v>72.027946843375233</v>
      </c>
      <c r="Q92" s="595">
        <v>0</v>
      </c>
      <c r="R92" s="570">
        <f>Tabel6689262829[[#This Row],[VAT DW 2017]]+Tabel6689262829[[#This Row],[VAT Sew. 2017]]+Tabel6689262829[[#This Row],[VAT WW 2017]]+Tabel6689262829[[#This Row],[VAT Other ch. 2017]]</f>
        <v>69.218856916483588</v>
      </c>
      <c r="S92" s="571">
        <f>Tabel6689262829[[#This Row],[Total. ch. DW 2017]]+Tabel6689262829[[#This Row],[Sew. 2017]]+Tabel6689262829[[#This Row],[VAT Sew. 2017]]+Tabel6689262829[[#This Row],[WW 2017]]+Tabel6689262829[[#This Row],[VAT WW 2017]]+Tabel6689262829[[#This Row],[Other ch. 2017]]+Tabel6689262829[[#This Row],[VAT Other ch. 2017]]</f>
        <v>955.93090118966165</v>
      </c>
      <c r="T92" s="397"/>
      <c r="U92" s="1763"/>
      <c r="V92" s="1766"/>
      <c r="W92" s="1769"/>
      <c r="X92" s="1772"/>
      <c r="Y92" s="1775"/>
      <c r="Z92" s="1778"/>
      <c r="AA92" s="1772"/>
      <c r="AB92" s="1781"/>
      <c r="AC92" s="1772"/>
      <c r="AD92" s="1785"/>
      <c r="AE92" s="1772"/>
      <c r="AF92" s="1788"/>
      <c r="AG92" s="1990"/>
      <c r="AH92" s="397"/>
      <c r="AI92" s="614"/>
      <c r="AJ92" s="591" t="s">
        <v>429</v>
      </c>
      <c r="AK92" s="591" t="s">
        <v>429</v>
      </c>
      <c r="AL92" s="591"/>
      <c r="AM92" s="591" t="s">
        <v>429</v>
      </c>
      <c r="AN92" s="591"/>
      <c r="AO92" s="614"/>
    </row>
    <row r="93" spans="1:42" ht="15.75" customHeight="1" x14ac:dyDescent="0.25">
      <c r="A93" s="1757"/>
      <c r="B93" s="547" t="s">
        <v>99</v>
      </c>
      <c r="C93" s="1046"/>
      <c r="D93" s="802" t="s">
        <v>1058</v>
      </c>
      <c r="E93" s="1880"/>
      <c r="F93" s="616">
        <f>'exchange rates'!$O$20</f>
        <v>0.83301000000000003</v>
      </c>
      <c r="G93" s="625">
        <f>37.32/F93</f>
        <v>44.801382936579394</v>
      </c>
      <c r="H93" s="593">
        <f>(1.14*200)/F93</f>
        <v>273.70619800482581</v>
      </c>
      <c r="I93" s="594">
        <f>(0.46*200)/F93</f>
        <v>110.44285182650869</v>
      </c>
      <c r="J93" s="595">
        <f>19.62/F93</f>
        <v>23.553138617783702</v>
      </c>
      <c r="K93" s="566">
        <f>Tabel6689262829[[#This Row],[Fix.ch. 2017]]+Tabel6689262829[[#This Row],[Var. ch. 2017]]+Tabel6689262829[[#This Row],[Oth. ch. DW 2017]]+Tabel6689262829[[#This Row],[VAT DW 2017]]</f>
        <v>452.50357138569757</v>
      </c>
      <c r="L93" s="596">
        <f>(1.46*200)/F93</f>
        <v>350.53600797109277</v>
      </c>
      <c r="M93" s="595">
        <f>34.58/F93</f>
        <v>41.512106697398586</v>
      </c>
      <c r="N93" s="626">
        <f>(0*200)/F93</f>
        <v>0</v>
      </c>
      <c r="O93" s="595">
        <v>0</v>
      </c>
      <c r="P93" s="597">
        <f>(0.266*200)/F93</f>
        <v>63.864779534459373</v>
      </c>
      <c r="Q93" s="595">
        <v>0</v>
      </c>
      <c r="R93" s="570">
        <f>Tabel6689262829[[#This Row],[VAT DW 2017]]+Tabel6689262829[[#This Row],[VAT Sew. 2017]]+Tabel6689262829[[#This Row],[VAT WW 2017]]+Tabel6689262829[[#This Row],[VAT Other ch. 2017]]</f>
        <v>65.065245315182295</v>
      </c>
      <c r="S93" s="571">
        <f>Tabel6689262829[[#This Row],[Total. ch. DW 2017]]+Tabel6689262829[[#This Row],[Sew. 2017]]+Tabel6689262829[[#This Row],[VAT Sew. 2017]]+Tabel6689262829[[#This Row],[WW 2017]]+Tabel6689262829[[#This Row],[VAT WW 2017]]+Tabel6689262829[[#This Row],[Other ch. 2017]]+Tabel6689262829[[#This Row],[VAT Other ch. 2017]]</f>
        <v>908.41646558864829</v>
      </c>
      <c r="T93" s="397"/>
      <c r="U93" s="1763"/>
      <c r="V93" s="1766"/>
      <c r="W93" s="1769"/>
      <c r="X93" s="1772"/>
      <c r="Y93" s="1775"/>
      <c r="Z93" s="1778"/>
      <c r="AA93" s="1772"/>
      <c r="AB93" s="1781"/>
      <c r="AC93" s="1772"/>
      <c r="AD93" s="1785"/>
      <c r="AE93" s="1772"/>
      <c r="AF93" s="1788"/>
      <c r="AG93" s="1990"/>
      <c r="AH93" s="397"/>
      <c r="AI93" s="614"/>
      <c r="AJ93" s="591" t="s">
        <v>429</v>
      </c>
      <c r="AK93" s="591" t="s">
        <v>429</v>
      </c>
      <c r="AL93" s="591"/>
      <c r="AM93" s="591" t="s">
        <v>429</v>
      </c>
      <c r="AN93" s="591"/>
      <c r="AO93" s="614"/>
    </row>
    <row r="94" spans="1:42" ht="15.75" customHeight="1" x14ac:dyDescent="0.25">
      <c r="A94" s="1757"/>
      <c r="B94" s="547" t="s">
        <v>100</v>
      </c>
      <c r="C94" s="1046"/>
      <c r="D94" s="802" t="s">
        <v>1058</v>
      </c>
      <c r="E94" s="1880"/>
      <c r="F94" s="616">
        <f>'exchange rates'!$O$20</f>
        <v>0.83301000000000003</v>
      </c>
      <c r="G94" s="625">
        <f>41.19/F94</f>
        <v>49.447185507977089</v>
      </c>
      <c r="H94" s="593">
        <f>(1.03*200)/F94</f>
        <v>247.2959508289216</v>
      </c>
      <c r="I94" s="594">
        <f>(0.35*200)/F94</f>
        <v>84.032604650604426</v>
      </c>
      <c r="J94" s="595">
        <f>17.39/F94</f>
        <v>20.876099926771587</v>
      </c>
      <c r="K94" s="566">
        <f>Tabel6689262829[[#This Row],[Fix.ch. 2017]]+Tabel6689262829[[#This Row],[Var. ch. 2017]]+Tabel6689262829[[#This Row],[Oth. ch. DW 2017]]+Tabel6689262829[[#This Row],[VAT DW 2017]]</f>
        <v>401.65184091427471</v>
      </c>
      <c r="L94" s="596">
        <f>(0.98*200)/F94</f>
        <v>235.29129302169241</v>
      </c>
      <c r="M94" s="595">
        <f>24.41/F94</f>
        <v>29.303369707446489</v>
      </c>
      <c r="N94" s="626">
        <v>0</v>
      </c>
      <c r="O94" s="595">
        <v>0</v>
      </c>
      <c r="P94" s="597">
        <f>(0.24131*200)/F94</f>
        <v>57.936879509249586</v>
      </c>
      <c r="Q94" s="595">
        <v>0</v>
      </c>
      <c r="R94" s="570">
        <f>Tabel6689262829[[#This Row],[VAT DW 2017]]+Tabel6689262829[[#This Row],[VAT Sew. 2017]]+Tabel6689262829[[#This Row],[VAT WW 2017]]+Tabel6689262829[[#This Row],[VAT Other ch. 2017]]</f>
        <v>50.17946963421808</v>
      </c>
      <c r="S94" s="571">
        <f>Tabel6689262829[[#This Row],[Total. ch. DW 2017]]+Tabel6689262829[[#This Row],[Sew. 2017]]+Tabel6689262829[[#This Row],[VAT Sew. 2017]]+Tabel6689262829[[#This Row],[WW 2017]]+Tabel6689262829[[#This Row],[VAT WW 2017]]+Tabel6689262829[[#This Row],[Other ch. 2017]]+Tabel6689262829[[#This Row],[VAT Other ch. 2017]]</f>
        <v>724.18338315266317</v>
      </c>
      <c r="T94" s="397"/>
      <c r="U94" s="1763"/>
      <c r="V94" s="1766"/>
      <c r="W94" s="1769"/>
      <c r="X94" s="1772"/>
      <c r="Y94" s="1775"/>
      <c r="Z94" s="1778"/>
      <c r="AA94" s="1772"/>
      <c r="AB94" s="1781"/>
      <c r="AC94" s="1772"/>
      <c r="AD94" s="1785"/>
      <c r="AE94" s="1772"/>
      <c r="AF94" s="1788"/>
      <c r="AG94" s="1990"/>
      <c r="AH94" s="397"/>
      <c r="AI94" s="614"/>
      <c r="AJ94" s="591" t="s">
        <v>429</v>
      </c>
      <c r="AK94" s="591"/>
      <c r="AL94" s="591"/>
      <c r="AM94" s="591" t="s">
        <v>429</v>
      </c>
      <c r="AN94" s="591"/>
      <c r="AO94" s="614"/>
    </row>
    <row r="95" spans="1:42" ht="15.75" customHeight="1" x14ac:dyDescent="0.25">
      <c r="A95" s="1757"/>
      <c r="B95" s="547" t="s">
        <v>101</v>
      </c>
      <c r="C95" s="1046" t="s">
        <v>429</v>
      </c>
      <c r="D95" s="802" t="s">
        <v>1058</v>
      </c>
      <c r="E95" s="1880"/>
      <c r="F95" s="616">
        <f>'exchange rates'!$O$20</f>
        <v>0.83301000000000003</v>
      </c>
      <c r="G95" s="625">
        <f>20.61/F95</f>
        <v>24.741599740699389</v>
      </c>
      <c r="H95" s="593">
        <f>(1.02*200)/F95</f>
        <v>244.89501926747576</v>
      </c>
      <c r="I95" s="594">
        <f>(0.48*200)/F95</f>
        <v>115.24471494940036</v>
      </c>
      <c r="J95" s="595">
        <f>17.7/F95</f>
        <v>21.248244318795692</v>
      </c>
      <c r="K95" s="566">
        <f>Tabel6689262829[[#This Row],[Fix.ch. 2017]]+Tabel6689262829[[#This Row],[Var. ch. 2017]]+Tabel6689262829[[#This Row],[Oth. ch. DW 2017]]+Tabel6689262829[[#This Row],[VAT DW 2017]]</f>
        <v>406.12957827637121</v>
      </c>
      <c r="L95" s="596">
        <f>(0.31*200)/F95</f>
        <v>74.428878404821063</v>
      </c>
      <c r="M95" s="595">
        <v>0</v>
      </c>
      <c r="N95" s="626">
        <f>(1.04*200)/F95</f>
        <v>249.69688239036745</v>
      </c>
      <c r="O95" s="595">
        <f>33.06/F95</f>
        <v>39.687398710699753</v>
      </c>
      <c r="P95" s="597">
        <f>(0.3*200)/F95</f>
        <v>72.027946843375233</v>
      </c>
      <c r="Q95" s="595">
        <v>0</v>
      </c>
      <c r="R95" s="570">
        <f>Tabel6689262829[[#This Row],[VAT DW 2017]]+Tabel6689262829[[#This Row],[VAT Sew. 2017]]+Tabel6689262829[[#This Row],[VAT WW 2017]]+Tabel6689262829[[#This Row],[VAT Other ch. 2017]]</f>
        <v>60.935643029495445</v>
      </c>
      <c r="S95" s="571">
        <f>Tabel6689262829[[#This Row],[Total. ch. DW 2017]]+Tabel6689262829[[#This Row],[Sew. 2017]]+Tabel6689262829[[#This Row],[VAT Sew. 2017]]+Tabel6689262829[[#This Row],[WW 2017]]+Tabel6689262829[[#This Row],[VAT WW 2017]]+Tabel6689262829[[#This Row],[Other ch. 2017]]+Tabel6689262829[[#This Row],[VAT Other ch. 2017]]</f>
        <v>841.97068462563482</v>
      </c>
      <c r="T95" s="397"/>
      <c r="U95" s="1763"/>
      <c r="V95" s="1766"/>
      <c r="W95" s="1769"/>
      <c r="X95" s="1772"/>
      <c r="Y95" s="1775"/>
      <c r="Z95" s="1778"/>
      <c r="AA95" s="1772"/>
      <c r="AB95" s="1781"/>
      <c r="AC95" s="1772"/>
      <c r="AD95" s="1785"/>
      <c r="AE95" s="1772"/>
      <c r="AF95" s="1788"/>
      <c r="AG95" s="1990"/>
      <c r="AH95" s="397"/>
      <c r="AI95" s="614"/>
      <c r="AJ95" s="591" t="s">
        <v>429</v>
      </c>
      <c r="AK95" s="591"/>
      <c r="AL95" s="591"/>
      <c r="AM95" s="591" t="s">
        <v>429</v>
      </c>
      <c r="AN95" s="591"/>
      <c r="AO95" s="614"/>
    </row>
    <row r="96" spans="1:42" ht="15.75" customHeight="1" x14ac:dyDescent="0.25">
      <c r="A96" s="1757"/>
      <c r="B96" s="547" t="s">
        <v>630</v>
      </c>
      <c r="C96" s="1046"/>
      <c r="D96" s="802" t="s">
        <v>1058</v>
      </c>
      <c r="E96" s="1880"/>
      <c r="F96" s="616">
        <f>'exchange rates'!$O$20</f>
        <v>0.83301000000000003</v>
      </c>
      <c r="G96" s="625">
        <f>26.69/F96</f>
        <v>32.040431687494745</v>
      </c>
      <c r="H96" s="593">
        <f>(1*200)/F96</f>
        <v>240.0931561445841</v>
      </c>
      <c r="I96" s="594">
        <f>(0.35*200)/F96</f>
        <v>84.032604650604426</v>
      </c>
      <c r="J96" s="595">
        <f>16.32/F96</f>
        <v>19.591601541398063</v>
      </c>
      <c r="K96" s="566">
        <f>Tabel6689262829[[#This Row],[Fix.ch. 2017]]+Tabel6689262829[[#This Row],[Var. ch. 2017]]+Tabel6689262829[[#This Row],[Oth. ch. DW 2017]]+Tabel6689262829[[#This Row],[VAT DW 2017]]</f>
        <v>375.75779402408131</v>
      </c>
      <c r="L96" s="596">
        <f>(0.5*200)/F96</f>
        <v>120.04657807229205</v>
      </c>
      <c r="M96" s="595">
        <v>0</v>
      </c>
      <c r="N96" s="626">
        <f>(0.47*200)/F96</f>
        <v>112.84378338795452</v>
      </c>
      <c r="O96" s="595">
        <f>26.36/F96</f>
        <v>31.644277979856181</v>
      </c>
      <c r="P96" s="597">
        <f>(0.35*200)/F96</f>
        <v>84.032604650604426</v>
      </c>
      <c r="Q96" s="595">
        <v>0</v>
      </c>
      <c r="R96" s="570">
        <f>Tabel6689262829[[#This Row],[VAT DW 2017]]+Tabel6689262829[[#This Row],[VAT Sew. 2017]]+Tabel6689262829[[#This Row],[VAT WW 2017]]+Tabel6689262829[[#This Row],[VAT Other ch. 2017]]</f>
        <v>51.235879521254247</v>
      </c>
      <c r="S96" s="571">
        <f>Tabel6689262829[[#This Row],[Total. ch. DW 2017]]+Tabel6689262829[[#This Row],[Sew. 2017]]+Tabel6689262829[[#This Row],[VAT Sew. 2017]]+Tabel6689262829[[#This Row],[WW 2017]]+Tabel6689262829[[#This Row],[VAT WW 2017]]+Tabel6689262829[[#This Row],[Other ch. 2017]]+Tabel6689262829[[#This Row],[VAT Other ch. 2017]]</f>
        <v>724.32503811478841</v>
      </c>
      <c r="T96" s="397"/>
      <c r="U96" s="1763"/>
      <c r="V96" s="1766"/>
      <c r="W96" s="1769"/>
      <c r="X96" s="1772"/>
      <c r="Y96" s="1775"/>
      <c r="Z96" s="1778"/>
      <c r="AA96" s="1772"/>
      <c r="AB96" s="1781"/>
      <c r="AC96" s="1772"/>
      <c r="AD96" s="1785"/>
      <c r="AE96" s="1772"/>
      <c r="AF96" s="1788"/>
      <c r="AG96" s="1990"/>
      <c r="AH96" s="397"/>
      <c r="AI96" s="614"/>
      <c r="AJ96" s="591" t="s">
        <v>429</v>
      </c>
      <c r="AK96" s="591"/>
      <c r="AL96" s="591"/>
      <c r="AM96" s="591" t="s">
        <v>429</v>
      </c>
      <c r="AN96" s="591"/>
      <c r="AO96" s="614"/>
    </row>
    <row r="97" spans="1:42" ht="15.75" customHeight="1" x14ac:dyDescent="0.25">
      <c r="A97" s="1757"/>
      <c r="B97" s="547" t="s">
        <v>631</v>
      </c>
      <c r="C97" s="1046"/>
      <c r="D97" s="802" t="s">
        <v>1058</v>
      </c>
      <c r="E97" s="1880"/>
      <c r="F97" s="616">
        <f>'exchange rates'!$O$20</f>
        <v>0.83301000000000003</v>
      </c>
      <c r="G97" s="625">
        <f>10.95/F97</f>
        <v>13.145100298915978</v>
      </c>
      <c r="H97" s="593">
        <f>(0.93*200)/F97</f>
        <v>223.28663521446322</v>
      </c>
      <c r="I97" s="594">
        <f>(0.44*200)/F97</f>
        <v>105.640988703617</v>
      </c>
      <c r="J97" s="595">
        <f>15.66/F97</f>
        <v>18.799294126120934</v>
      </c>
      <c r="K97" s="566">
        <f>Tabel6689262829[[#This Row],[Fix.ch. 2017]]+Tabel6689262829[[#This Row],[Var. ch. 2017]]+Tabel6689262829[[#This Row],[Oth. ch. DW 2017]]+Tabel6689262829[[#This Row],[VAT DW 2017]]</f>
        <v>360.87201834311708</v>
      </c>
      <c r="L97" s="596">
        <f>(1.16*200)/F97</f>
        <v>278.5080611277175</v>
      </c>
      <c r="M97" s="595">
        <f>29.2/F97</f>
        <v>35.053600797109276</v>
      </c>
      <c r="N97" s="626">
        <f>(0*200)/F97</f>
        <v>0</v>
      </c>
      <c r="O97" s="595">
        <v>0</v>
      </c>
      <c r="P97" s="597">
        <f>(0.3*200)/F97</f>
        <v>72.027946843375233</v>
      </c>
      <c r="Q97" s="595">
        <v>0</v>
      </c>
      <c r="R97" s="570">
        <f>Tabel6689262829[[#This Row],[VAT DW 2017]]+Tabel6689262829[[#This Row],[VAT Sew. 2017]]+Tabel6689262829[[#This Row],[VAT WW 2017]]+Tabel6689262829[[#This Row],[VAT Other ch. 2017]]</f>
        <v>53.85289492323021</v>
      </c>
      <c r="S97" s="571">
        <f>Tabel6689262829[[#This Row],[Total. ch. DW 2017]]+Tabel6689262829[[#This Row],[Sew. 2017]]+Tabel6689262829[[#This Row],[VAT Sew. 2017]]+Tabel6689262829[[#This Row],[WW 2017]]+Tabel6689262829[[#This Row],[VAT WW 2017]]+Tabel6689262829[[#This Row],[Other ch. 2017]]+Tabel6689262829[[#This Row],[VAT Other ch. 2017]]</f>
        <v>746.4616271113191</v>
      </c>
      <c r="T97" s="397"/>
      <c r="U97" s="1763"/>
      <c r="V97" s="1766"/>
      <c r="W97" s="1769"/>
      <c r="X97" s="1772"/>
      <c r="Y97" s="1775"/>
      <c r="Z97" s="1778"/>
      <c r="AA97" s="1772"/>
      <c r="AB97" s="1781"/>
      <c r="AC97" s="1772"/>
      <c r="AD97" s="1785"/>
      <c r="AE97" s="1772"/>
      <c r="AF97" s="1788"/>
      <c r="AG97" s="1990"/>
      <c r="AH97" s="397"/>
      <c r="AI97" s="614"/>
      <c r="AJ97" s="591" t="s">
        <v>429</v>
      </c>
      <c r="AK97" s="591"/>
      <c r="AL97" s="591"/>
      <c r="AM97" s="591"/>
      <c r="AN97" s="591"/>
      <c r="AO97" s="614"/>
    </row>
    <row r="98" spans="1:42" ht="15.75" customHeight="1" x14ac:dyDescent="0.25">
      <c r="A98" s="1757"/>
      <c r="B98" s="547" t="s">
        <v>632</v>
      </c>
      <c r="C98" s="1046"/>
      <c r="D98" s="802" t="s">
        <v>1058</v>
      </c>
      <c r="E98" s="1880"/>
      <c r="F98" s="616">
        <f>'exchange rates'!$O$20</f>
        <v>0.83301000000000003</v>
      </c>
      <c r="G98" s="625">
        <f>40.94/F98</f>
        <v>49.147069062796362</v>
      </c>
      <c r="H98" s="593">
        <f>(1.43*200)/F98</f>
        <v>343.33321328675527</v>
      </c>
      <c r="I98" s="594">
        <f>(0.41*200)/F98</f>
        <v>98.438194019279479</v>
      </c>
      <c r="J98" s="595">
        <f>22.52/F98</f>
        <v>27.034489381880167</v>
      </c>
      <c r="K98" s="566">
        <f>Tabel6689262829[[#This Row],[Fix.ch. 2017]]+Tabel6689262829[[#This Row],[Var. ch. 2017]]+Tabel6689262829[[#This Row],[Oth. ch. DW 2017]]+Tabel6689262829[[#This Row],[VAT DW 2017]]</f>
        <v>517.95296575071131</v>
      </c>
      <c r="L98" s="596">
        <f>(0.91*200)/F98</f>
        <v>218.48477209157153</v>
      </c>
      <c r="M98" s="595">
        <f>22.47/F98</f>
        <v>26.974466092844022</v>
      </c>
      <c r="N98" s="626">
        <v>0</v>
      </c>
      <c r="O98" s="595">
        <v>0</v>
      </c>
      <c r="P98" s="597">
        <f>(0.2097*200)/F98</f>
        <v>50.347534843519284</v>
      </c>
      <c r="Q98" s="595">
        <v>0</v>
      </c>
      <c r="R98" s="570">
        <f>Tabel6689262829[[#This Row],[VAT DW 2017]]+Tabel6689262829[[#This Row],[VAT Sew. 2017]]+Tabel6689262829[[#This Row],[VAT WW 2017]]+Tabel6689262829[[#This Row],[VAT Other ch. 2017]]</f>
        <v>54.008955474724189</v>
      </c>
      <c r="S98" s="571">
        <f>Tabel6689262829[[#This Row],[Total. ch. DW 2017]]+Tabel6689262829[[#This Row],[Sew. 2017]]+Tabel6689262829[[#This Row],[VAT Sew. 2017]]+Tabel6689262829[[#This Row],[WW 2017]]+Tabel6689262829[[#This Row],[VAT WW 2017]]+Tabel6689262829[[#This Row],[Other ch. 2017]]+Tabel6689262829[[#This Row],[VAT Other ch. 2017]]</f>
        <v>813.75973877864612</v>
      </c>
      <c r="T98" s="397"/>
      <c r="U98" s="1763"/>
      <c r="V98" s="1766"/>
      <c r="W98" s="1769"/>
      <c r="X98" s="1772"/>
      <c r="Y98" s="1775"/>
      <c r="Z98" s="1778"/>
      <c r="AA98" s="1772"/>
      <c r="AB98" s="1781"/>
      <c r="AC98" s="1772"/>
      <c r="AD98" s="1785"/>
      <c r="AE98" s="1772"/>
      <c r="AF98" s="1788"/>
      <c r="AG98" s="1990"/>
      <c r="AH98" s="397"/>
      <c r="AI98" s="614"/>
      <c r="AJ98" s="591" t="s">
        <v>429</v>
      </c>
      <c r="AK98" s="591"/>
      <c r="AL98" s="591"/>
      <c r="AM98" s="591" t="s">
        <v>429</v>
      </c>
      <c r="AN98" s="591"/>
      <c r="AO98" s="614"/>
    </row>
    <row r="99" spans="1:42" ht="15.75" customHeight="1" x14ac:dyDescent="0.25">
      <c r="A99" s="1757"/>
      <c r="B99" s="547" t="s">
        <v>633</v>
      </c>
      <c r="C99" s="1046"/>
      <c r="D99" s="802" t="s">
        <v>1058</v>
      </c>
      <c r="E99" s="1880"/>
      <c r="F99" s="616">
        <f>'exchange rates'!$O$20</f>
        <v>0.83301000000000003</v>
      </c>
      <c r="G99" s="625">
        <f>30.37/F99</f>
        <v>36.458145760555098</v>
      </c>
      <c r="H99" s="593">
        <f>(1.51*200)/F99</f>
        <v>362.54066577832197</v>
      </c>
      <c r="I99" s="594">
        <f>(0.52*200)/F99</f>
        <v>124.84844119518372</v>
      </c>
      <c r="J99" s="595">
        <f>23.96/F99</f>
        <v>28.763160106121177</v>
      </c>
      <c r="K99" s="566">
        <f>Tabel6689262829[[#This Row],[Fix.ch. 2017]]+Tabel6689262829[[#This Row],[Var. ch. 2017]]+Tabel6689262829[[#This Row],[Oth. ch. DW 2017]]+Tabel6689262829[[#This Row],[VAT DW 2017]]</f>
        <v>552.61041284018199</v>
      </c>
      <c r="L99" s="596">
        <f>(2.01*200)/F99</f>
        <v>482.58724385061396</v>
      </c>
      <c r="M99" s="595">
        <f>46.26/F99</f>
        <v>55.533547016242295</v>
      </c>
      <c r="N99" s="626">
        <f>(0*200)/F99</f>
        <v>0</v>
      </c>
      <c r="O99" s="595">
        <v>0</v>
      </c>
      <c r="P99" s="597">
        <f>(0.3*200)/F99</f>
        <v>72.027946843375233</v>
      </c>
      <c r="Q99" s="595">
        <v>0</v>
      </c>
      <c r="R99" s="570">
        <f>Tabel6689262829[[#This Row],[VAT DW 2017]]+Tabel6689262829[[#This Row],[VAT Sew. 2017]]+Tabel6689262829[[#This Row],[VAT WW 2017]]+Tabel6689262829[[#This Row],[VAT Other ch. 2017]]</f>
        <v>84.296707122363472</v>
      </c>
      <c r="S99" s="571">
        <f>Tabel6689262829[[#This Row],[Total. ch. DW 2017]]+Tabel6689262829[[#This Row],[Sew. 2017]]+Tabel6689262829[[#This Row],[VAT Sew. 2017]]+Tabel6689262829[[#This Row],[WW 2017]]+Tabel6689262829[[#This Row],[VAT WW 2017]]+Tabel6689262829[[#This Row],[Other ch. 2017]]+Tabel6689262829[[#This Row],[VAT Other ch. 2017]]</f>
        <v>1162.7591505504136</v>
      </c>
      <c r="T99" s="397"/>
      <c r="U99" s="1763"/>
      <c r="V99" s="1766"/>
      <c r="W99" s="1769"/>
      <c r="X99" s="1772"/>
      <c r="Y99" s="1775"/>
      <c r="Z99" s="1778"/>
      <c r="AA99" s="1772"/>
      <c r="AB99" s="1781"/>
      <c r="AC99" s="1772"/>
      <c r="AD99" s="1785"/>
      <c r="AE99" s="1772"/>
      <c r="AF99" s="1788"/>
      <c r="AG99" s="1990"/>
      <c r="AH99" s="397"/>
      <c r="AI99" s="614"/>
      <c r="AJ99" s="591" t="s">
        <v>429</v>
      </c>
      <c r="AK99" s="591"/>
      <c r="AL99" s="591"/>
      <c r="AM99" s="591" t="s">
        <v>429</v>
      </c>
      <c r="AN99" s="591"/>
      <c r="AO99" s="614"/>
    </row>
    <row r="100" spans="1:42" ht="15.75" customHeight="1" x14ac:dyDescent="0.25">
      <c r="A100" s="1757"/>
      <c r="B100" s="547" t="s">
        <v>634</v>
      </c>
      <c r="C100" s="1046"/>
      <c r="D100" s="802" t="s">
        <v>1058</v>
      </c>
      <c r="E100" s="1880"/>
      <c r="F100" s="616">
        <f>'exchange rates'!$O$20</f>
        <v>0.83301000000000003</v>
      </c>
      <c r="G100" s="625">
        <f>18.92/F100</f>
        <v>22.712812571277656</v>
      </c>
      <c r="H100" s="593">
        <f>(1.41*200)/F100</f>
        <v>338.53135016386358</v>
      </c>
      <c r="I100" s="594">
        <f>(0.37*200)/F100</f>
        <v>88.834467773496115</v>
      </c>
      <c r="J100" s="595">
        <f>20.61/F100</f>
        <v>24.741599740699389</v>
      </c>
      <c r="K100" s="566">
        <f>Tabel6689262829[[#This Row],[Fix.ch. 2017]]+Tabel6689262829[[#This Row],[Var. ch. 2017]]+Tabel6689262829[[#This Row],[Oth. ch. DW 2017]]+Tabel6689262829[[#This Row],[VAT DW 2017]]</f>
        <v>474.8202302493367</v>
      </c>
      <c r="L100" s="596">
        <f>(1.29*200)/F100</f>
        <v>309.7201714265135</v>
      </c>
      <c r="M100" s="595">
        <f>29.04/F100</f>
        <v>34.861526272193608</v>
      </c>
      <c r="N100" s="626">
        <f>(0*200)/F100</f>
        <v>0</v>
      </c>
      <c r="O100" s="595">
        <v>0</v>
      </c>
      <c r="P100" s="597">
        <f>(0.16*200)/F100</f>
        <v>38.414904983133454</v>
      </c>
      <c r="Q100" s="595">
        <v>0</v>
      </c>
      <c r="R100" s="570">
        <f>Tabel6689262829[[#This Row],[VAT DW 2017]]+Tabel6689262829[[#This Row],[VAT Sew. 2017]]+Tabel6689262829[[#This Row],[VAT WW 2017]]+Tabel6689262829[[#This Row],[VAT Other ch. 2017]]</f>
        <v>59.603126012893</v>
      </c>
      <c r="S100" s="571">
        <f>Tabel6689262829[[#This Row],[Total. ch. DW 2017]]+Tabel6689262829[[#This Row],[Sew. 2017]]+Tabel6689262829[[#This Row],[VAT Sew. 2017]]+Tabel6689262829[[#This Row],[WW 2017]]+Tabel6689262829[[#This Row],[VAT WW 2017]]+Tabel6689262829[[#This Row],[Other ch. 2017]]+Tabel6689262829[[#This Row],[VAT Other ch. 2017]]</f>
        <v>857.81683293117726</v>
      </c>
      <c r="T100" s="397"/>
      <c r="U100" s="1763"/>
      <c r="V100" s="1766"/>
      <c r="W100" s="1769"/>
      <c r="X100" s="1772"/>
      <c r="Y100" s="1775"/>
      <c r="Z100" s="1778"/>
      <c r="AA100" s="1772"/>
      <c r="AB100" s="1781"/>
      <c r="AC100" s="1772"/>
      <c r="AD100" s="1785"/>
      <c r="AE100" s="1772"/>
      <c r="AF100" s="1788"/>
      <c r="AG100" s="1990"/>
      <c r="AH100" s="397"/>
      <c r="AI100" s="614"/>
      <c r="AJ100" s="591" t="s">
        <v>429</v>
      </c>
      <c r="AK100" s="591"/>
      <c r="AL100" s="591"/>
      <c r="AM100" s="591"/>
      <c r="AN100" s="591"/>
      <c r="AO100" s="614"/>
    </row>
    <row r="101" spans="1:42" ht="16.5" customHeight="1" thickBot="1" x14ac:dyDescent="0.3">
      <c r="A101" s="1758"/>
      <c r="B101" s="547" t="s">
        <v>635</v>
      </c>
      <c r="C101" s="1046"/>
      <c r="D101" s="802" t="s">
        <v>1058</v>
      </c>
      <c r="E101" s="1761"/>
      <c r="F101" s="616">
        <f>'exchange rates'!$O$20</f>
        <v>0.83301000000000003</v>
      </c>
      <c r="G101" s="625">
        <f>12.36/F101</f>
        <v>14.837757049735297</v>
      </c>
      <c r="H101" s="593">
        <f>(1.62*200)/F101</f>
        <v>388.95091295422623</v>
      </c>
      <c r="I101" s="594">
        <f>(0.38*200)/F101</f>
        <v>91.23539933494196</v>
      </c>
      <c r="J101" s="595">
        <f>22.68/F101</f>
        <v>27.226563906795835</v>
      </c>
      <c r="K101" s="566">
        <f>Tabel6689262829[[#This Row],[Fix.ch. 2017]]+Tabel6689262829[[#This Row],[Var. ch. 2017]]+Tabel6689262829[[#This Row],[Oth. ch. DW 2017]]+Tabel6689262829[[#This Row],[VAT DW 2017]]</f>
        <v>522.25063324569931</v>
      </c>
      <c r="L101" s="596">
        <f>(2.04*200)/F101</f>
        <v>489.79003853495152</v>
      </c>
      <c r="M101" s="595">
        <f>44.96/F101</f>
        <v>53.972941501302508</v>
      </c>
      <c r="N101" s="626">
        <f>(0*200)/F101</f>
        <v>0</v>
      </c>
      <c r="O101" s="595">
        <v>0</v>
      </c>
      <c r="P101" s="597">
        <f>(0.209*200)/F101</f>
        <v>50.179469634218073</v>
      </c>
      <c r="Q101" s="595">
        <v>0</v>
      </c>
      <c r="R101" s="570">
        <f>Tabel6689262829[[#This Row],[VAT DW 2017]]+Tabel6689262829[[#This Row],[VAT Sew. 2017]]+Tabel6689262829[[#This Row],[VAT WW 2017]]+Tabel6689262829[[#This Row],[VAT Other ch. 2017]]</f>
        <v>81.199505408098346</v>
      </c>
      <c r="S101" s="571">
        <f>Tabel6689262829[[#This Row],[Total. ch. DW 2017]]+Tabel6689262829[[#This Row],[Sew. 2017]]+Tabel6689262829[[#This Row],[VAT Sew. 2017]]+Tabel6689262829[[#This Row],[WW 2017]]+Tabel6689262829[[#This Row],[VAT WW 2017]]+Tabel6689262829[[#This Row],[Other ch. 2017]]+Tabel6689262829[[#This Row],[VAT Other ch. 2017]]</f>
        <v>1116.1930829161715</v>
      </c>
      <c r="T101" s="397"/>
      <c r="U101" s="1764"/>
      <c r="V101" s="1767"/>
      <c r="W101" s="1770"/>
      <c r="X101" s="1773"/>
      <c r="Y101" s="1776"/>
      <c r="Z101" s="1779"/>
      <c r="AA101" s="1773"/>
      <c r="AB101" s="1811"/>
      <c r="AC101" s="1773"/>
      <c r="AD101" s="1813"/>
      <c r="AE101" s="1773"/>
      <c r="AF101" s="1815"/>
      <c r="AG101" s="1991"/>
      <c r="AH101" s="397"/>
      <c r="AI101" s="614"/>
      <c r="AJ101" s="591" t="s">
        <v>429</v>
      </c>
      <c r="AK101" s="591" t="s">
        <v>429</v>
      </c>
      <c r="AL101" s="591"/>
      <c r="AM101" s="591" t="s">
        <v>429</v>
      </c>
      <c r="AN101" s="591"/>
      <c r="AO101" s="614"/>
    </row>
    <row r="102" spans="1:42" ht="19.5" thickBot="1" x14ac:dyDescent="0.3">
      <c r="A102" s="870" t="s">
        <v>521</v>
      </c>
      <c r="B102" s="292" t="s">
        <v>522</v>
      </c>
      <c r="C102" s="1047"/>
      <c r="D102" s="811" t="s">
        <v>1060</v>
      </c>
      <c r="E102" s="301">
        <v>16000</v>
      </c>
      <c r="F102" s="308">
        <v>506.17869999999999</v>
      </c>
      <c r="G102" s="319">
        <f>3396/F102</f>
        <v>6.7090930535006708</v>
      </c>
      <c r="H102" s="320">
        <f>74524/F102</f>
        <v>147.22863684307538</v>
      </c>
      <c r="I102" s="321">
        <v>0</v>
      </c>
      <c r="J102" s="559"/>
      <c r="K102" s="313">
        <f>Tabel6689262829[[#This Row],[Fix.ch. 2017]]+Tabel6689262829[[#This Row],[Var. ch. 2017]]+Tabel6689262829[[#This Row],[Oth. ch. DW 2017]]+Tabel6689262829[[#This Row],[VAT DW 2017]]</f>
        <v>153.93772989657606</v>
      </c>
      <c r="L102" s="322">
        <v>0</v>
      </c>
      <c r="M102" s="559"/>
      <c r="N102" s="323">
        <v>0</v>
      </c>
      <c r="O102" s="559"/>
      <c r="P102" s="324">
        <v>0</v>
      </c>
      <c r="Q102" s="559"/>
      <c r="R102" s="317">
        <f>Tabel6689262829[[#This Row],[VAT DW 2017]]+Tabel6689262829[[#This Row],[VAT Sew. 2017]]+Tabel6689262829[[#This Row],[VAT WW 2017]]+Tabel6689262829[[#This Row],[VAT Other ch. 2017]]</f>
        <v>0</v>
      </c>
      <c r="S102" s="318">
        <f>Tabel6689262829[[#This Row],[Total. ch. DW 2017]]+Tabel6689262829[[#This Row],[Sew. 2017]]+Tabel6689262829[[#This Row],[VAT Sew. 2017]]+Tabel6689262829[[#This Row],[WW 2017]]+Tabel6689262829[[#This Row],[VAT WW 2017]]+Tabel6689262829[[#This Row],[Other ch. 2017]]+Tabel6689262829[[#This Row],[VAT Other ch. 2017]]</f>
        <v>153.93772989657606</v>
      </c>
      <c r="T102" s="397"/>
      <c r="U102" s="340">
        <f>Tabel6689262829[[#This Row],[Fix.ch. 2017]]</f>
        <v>6.7090930535006708</v>
      </c>
      <c r="V102" s="341">
        <f>Tabel6689262829[[#This Row],[Var. ch. 2017]]</f>
        <v>147.22863684307538</v>
      </c>
      <c r="W102" s="342">
        <v>0</v>
      </c>
      <c r="X102" s="581"/>
      <c r="Y102" s="343">
        <f>Tabel6689262829[[#This Row],[Total. ch. DW 2017]]</f>
        <v>153.93772989657606</v>
      </c>
      <c r="Z102" s="344">
        <v>0</v>
      </c>
      <c r="AA102" s="581"/>
      <c r="AB102" s="345">
        <v>0</v>
      </c>
      <c r="AC102" s="581"/>
      <c r="AD102" s="346">
        <v>0</v>
      </c>
      <c r="AE102" s="581"/>
      <c r="AF102" s="347">
        <f>Tabel6689262829[[#This Row],[Total VAT 2017]]</f>
        <v>0</v>
      </c>
      <c r="AG102" s="348">
        <f>Tabel6689262829[[#This Row],[total charge 2017]]</f>
        <v>153.93772989657606</v>
      </c>
      <c r="AH102" s="397"/>
      <c r="AI102" s="398"/>
      <c r="AJ102" s="398"/>
      <c r="AK102" s="398"/>
      <c r="AL102" s="396" t="s">
        <v>429</v>
      </c>
      <c r="AM102" s="398"/>
      <c r="AN102" s="398"/>
      <c r="AO102" s="398"/>
      <c r="AP102" s="397"/>
    </row>
    <row r="103" spans="1:42" ht="19.5" thickBot="1" x14ac:dyDescent="0.35">
      <c r="A103" s="669" t="s">
        <v>14</v>
      </c>
      <c r="B103" s="544" t="s">
        <v>939</v>
      </c>
      <c r="C103" s="1046" t="s">
        <v>429</v>
      </c>
      <c r="D103" s="812" t="s">
        <v>1062</v>
      </c>
      <c r="E103" s="671">
        <v>50200</v>
      </c>
      <c r="F103" s="616">
        <f>'exchange rates'!O22</f>
        <v>0.83301000000000003</v>
      </c>
      <c r="G103" s="549">
        <f>21.9/F103</f>
        <v>26.290200597831955</v>
      </c>
      <c r="H103" s="550">
        <f>338.8/F103</f>
        <v>406.71780650892543</v>
      </c>
      <c r="I103" s="551">
        <v>0</v>
      </c>
      <c r="J103" s="560">
        <f>25.25/F103</f>
        <v>30.311760963253743</v>
      </c>
      <c r="K103" s="566">
        <f>Tabel6689262829[[#This Row],[Fix.ch. 2017]]+Tabel6689262829[[#This Row],[Var. ch. 2017]]+Tabel6689262829[[#This Row],[Oth. ch. DW 2017]]+Tabel6689262829[[#This Row],[VAT DW 2017]]</f>
        <v>463.31976807001115</v>
      </c>
      <c r="L103" s="567">
        <f>0</f>
        <v>0</v>
      </c>
      <c r="M103" s="560">
        <v>0</v>
      </c>
      <c r="N103" s="568">
        <f>442/F103</f>
        <v>530.60587507953085</v>
      </c>
      <c r="O103" s="560">
        <v>0</v>
      </c>
      <c r="P103" s="569">
        <v>0</v>
      </c>
      <c r="Q103" s="560">
        <v>0</v>
      </c>
      <c r="R103" s="570">
        <f>Tabel6689262829[[#This Row],[VAT DW 2017]]+Tabel6689262829[[#This Row],[VAT Sew. 2017]]+Tabel6689262829[[#This Row],[VAT WW 2017]]+Tabel6689262829[[#This Row],[VAT Other ch. 2017]]</f>
        <v>30.311760963253743</v>
      </c>
      <c r="S103" s="571">
        <f>Tabel6689262829[[#This Row],[Total. ch. DW 2017]]+Tabel6689262829[[#This Row],[Sew. 2017]]+Tabel6689262829[[#This Row],[VAT Sew. 2017]]+Tabel6689262829[[#This Row],[WW 2017]]+Tabel6689262829[[#This Row],[VAT WW 2017]]+Tabel6689262829[[#This Row],[Other ch. 2017]]+Tabel6689262829[[#This Row],[VAT Other ch. 2017]]</f>
        <v>993.925643149542</v>
      </c>
      <c r="T103" s="397"/>
      <c r="U103" s="672">
        <f>Tabel6689262829[[#This Row],[Fix.ch. 2017]]</f>
        <v>26.290200597831955</v>
      </c>
      <c r="V103" s="673">
        <f>Tabel6689262829[[#This Row],[Var. ch. 2017]]</f>
        <v>406.71780650892543</v>
      </c>
      <c r="W103" s="674">
        <f>Tabel6689262829[[#This Row],[Oth. ch. DW 2017]]</f>
        <v>0</v>
      </c>
      <c r="X103" s="675">
        <f>Tabel6689262829[[#This Row],[VAT DW 2017]]</f>
        <v>30.311760963253743</v>
      </c>
      <c r="Y103" s="676">
        <f>Tabel6689262829[[#This Row],[Total. ch. DW 2017]]</f>
        <v>463.31976807001115</v>
      </c>
      <c r="Z103" s="677">
        <f>Tabel6689262829[[#This Row],[Sew. 2017]]</f>
        <v>0</v>
      </c>
      <c r="AA103" s="675">
        <f>Tabel6689262829[[#This Row],[VAT Sew. 2017]]</f>
        <v>0</v>
      </c>
      <c r="AB103" s="678">
        <f>Tabel6689262829[[#This Row],[WW 2017]]</f>
        <v>530.60587507953085</v>
      </c>
      <c r="AC103" s="675">
        <f>Tabel6689262829[[#This Row],[VAT WW 2017]]</f>
        <v>0</v>
      </c>
      <c r="AD103" s="679">
        <f>Tabel6689262829[[#This Row],[Other ch. 2017]]</f>
        <v>0</v>
      </c>
      <c r="AE103" s="675">
        <f>Tabel6689262829[[#This Row],[VAT Other ch. 2017]]</f>
        <v>0</v>
      </c>
      <c r="AF103" s="680">
        <f>Tabel6689262829[[#This Row],[Total VAT 2017]]</f>
        <v>30.311760963253743</v>
      </c>
      <c r="AG103" s="681">
        <f>Tabel6689262829[[#This Row],[total charge 2017]]</f>
        <v>993.925643149542</v>
      </c>
      <c r="AH103" s="397"/>
      <c r="AI103" s="398"/>
      <c r="AJ103" s="398"/>
      <c r="AK103" s="591" t="s">
        <v>429</v>
      </c>
      <c r="AL103" s="591"/>
      <c r="AM103" s="591" t="s">
        <v>429</v>
      </c>
      <c r="AN103" s="398"/>
      <c r="AO103" s="398"/>
      <c r="AP103" s="397"/>
    </row>
    <row r="104" spans="1:42" ht="15.6" customHeight="1" x14ac:dyDescent="0.25">
      <c r="A104" s="2004" t="s">
        <v>35</v>
      </c>
      <c r="B104" s="501" t="s">
        <v>712</v>
      </c>
      <c r="C104" s="457"/>
      <c r="D104" s="457" t="s">
        <v>1064</v>
      </c>
      <c r="E104" s="2007">
        <v>25600</v>
      </c>
      <c r="F104" s="306">
        <f>'exchange rates'!$M$23</f>
        <v>0.92093999999999998</v>
      </c>
      <c r="G104" s="319">
        <f>79.5/F104</f>
        <v>86.324842009251412</v>
      </c>
      <c r="H104" s="320">
        <f>74.92/F104</f>
        <v>81.351662431863105</v>
      </c>
      <c r="I104" s="321">
        <f>59.93/F104</f>
        <v>65.074814863074693</v>
      </c>
      <c r="J104" s="559"/>
      <c r="K104" s="313">
        <f>Tabel6689262829[[#This Row],[Fix.ch. 2017]]+Tabel6689262829[[#This Row],[Var. ch. 2017]]+Tabel6689262829[[#This Row],[Oth. ch. DW 2017]]+Tabel6689262829[[#This Row],[VAT DW 2017]]</f>
        <v>232.7513193041892</v>
      </c>
      <c r="L104" s="322">
        <f>67.42/F104</f>
        <v>73.207809412122401</v>
      </c>
      <c r="M104" s="559"/>
      <c r="N104" s="323">
        <v>0</v>
      </c>
      <c r="O104" s="559"/>
      <c r="P104" s="324">
        <f>13.25/F104</f>
        <v>14.387473668208569</v>
      </c>
      <c r="Q104" s="559"/>
      <c r="R104" s="317">
        <f>Tabel6689262829[[#This Row],[VAT DW 2017]]+Tabel6689262829[[#This Row],[VAT Sew. 2017]]+Tabel6689262829[[#This Row],[VAT WW 2017]]+Tabel6689262829[[#This Row],[VAT Other ch. 2017]]</f>
        <v>0</v>
      </c>
      <c r="S104" s="318">
        <f>Tabel6689262829[[#This Row],[Total. ch. DW 2017]]+Tabel6689262829[[#This Row],[Sew. 2017]]+Tabel6689262829[[#This Row],[VAT Sew. 2017]]+Tabel6689262829[[#This Row],[WW 2017]]+Tabel6689262829[[#This Row],[VAT WW 2017]]+Tabel6689262829[[#This Row],[Other ch. 2017]]+Tabel6689262829[[#This Row],[VAT Other ch. 2017]]</f>
        <v>320.34660238452017</v>
      </c>
      <c r="T104" s="397"/>
      <c r="U104" s="2009">
        <f>MEDIAN(G104:G108)</f>
        <v>52.989336981779488</v>
      </c>
      <c r="V104" s="2012">
        <f>MEDIAN(H104:H108)</f>
        <v>143.98332138901557</v>
      </c>
      <c r="W104" s="2014">
        <f>MEDIAN(I104:I108)</f>
        <v>0</v>
      </c>
      <c r="X104" s="575"/>
      <c r="Y104" s="2016">
        <f>SUM(U104:W108)</f>
        <v>196.97265837079505</v>
      </c>
      <c r="Z104" s="2018">
        <f>MEDIAN(L104:L108)</f>
        <v>115.18665711121245</v>
      </c>
      <c r="AA104" s="575"/>
      <c r="AB104" s="2020">
        <f>MEDIAN(N104:N108)</f>
        <v>0</v>
      </c>
      <c r="AC104" s="575"/>
      <c r="AD104" s="2029">
        <f>MEDIAN(P104:P108)</f>
        <v>13.03016483158512</v>
      </c>
      <c r="AE104" s="575"/>
      <c r="AF104" s="1992">
        <f>MEDIAN(R104:R108)</f>
        <v>0</v>
      </c>
      <c r="AG104" s="1994">
        <f>SUM(Y104:AF108)</f>
        <v>325.18948031359264</v>
      </c>
      <c r="AH104" s="397"/>
      <c r="AI104" s="398"/>
      <c r="AJ104" s="398"/>
      <c r="AK104" s="396" t="s">
        <v>429</v>
      </c>
      <c r="AL104" s="396" t="s">
        <v>429</v>
      </c>
      <c r="AM104" s="396" t="s">
        <v>429</v>
      </c>
      <c r="AN104" s="396" t="s">
        <v>429</v>
      </c>
      <c r="AO104" s="398"/>
      <c r="AP104" s="397"/>
    </row>
    <row r="105" spans="1:42" ht="15.6" customHeight="1" x14ac:dyDescent="0.25">
      <c r="A105" s="2005"/>
      <c r="B105" s="457" t="s">
        <v>713</v>
      </c>
      <c r="C105" s="457"/>
      <c r="D105" s="457" t="s">
        <v>1064</v>
      </c>
      <c r="E105" s="1837"/>
      <c r="F105" s="306">
        <f>'exchange rates'!$M$23</f>
        <v>0.92093999999999998</v>
      </c>
      <c r="G105" s="319">
        <f>51/F105</f>
        <v>55.378200534236761</v>
      </c>
      <c r="H105" s="320">
        <f>170/F105</f>
        <v>184.5940017807892</v>
      </c>
      <c r="I105" s="321">
        <f>0/F105</f>
        <v>0</v>
      </c>
      <c r="J105" s="559"/>
      <c r="K105" s="313">
        <f>Tabel6689262829[[#This Row],[Fix.ch. 2017]]+Tabel6689262829[[#This Row],[Var. ch. 2017]]+Tabel6689262829[[#This Row],[Oth. ch. DW 2017]]+Tabel6689262829[[#This Row],[VAT DW 2017]]</f>
        <v>239.97220231502595</v>
      </c>
      <c r="L105" s="322">
        <f>93.5/F105</f>
        <v>101.52670097943405</v>
      </c>
      <c r="M105" s="559"/>
      <c r="N105" s="323">
        <v>0</v>
      </c>
      <c r="O105" s="559"/>
      <c r="P105" s="324">
        <f>12/F105</f>
        <v>13.03016483158512</v>
      </c>
      <c r="Q105" s="559"/>
      <c r="R105" s="317">
        <f>Tabel6689262829[[#This Row],[VAT DW 2017]]+Tabel6689262829[[#This Row],[VAT Sew. 2017]]+Tabel6689262829[[#This Row],[VAT WW 2017]]+Tabel6689262829[[#This Row],[VAT Other ch. 2017]]</f>
        <v>0</v>
      </c>
      <c r="S105" s="318">
        <f>Tabel6689262829[[#This Row],[Total. ch. DW 2017]]+Tabel6689262829[[#This Row],[Sew. 2017]]+Tabel6689262829[[#This Row],[VAT Sew. 2017]]+Tabel6689262829[[#This Row],[WW 2017]]+Tabel6689262829[[#This Row],[VAT WW 2017]]+Tabel6689262829[[#This Row],[Other ch. 2017]]+Tabel6689262829[[#This Row],[VAT Other ch. 2017]]</f>
        <v>354.5290681260451</v>
      </c>
      <c r="T105" s="397"/>
      <c r="U105" s="2010"/>
      <c r="V105" s="1843"/>
      <c r="W105" s="1846"/>
      <c r="X105" s="576"/>
      <c r="Y105" s="1849"/>
      <c r="Z105" s="1852"/>
      <c r="AA105" s="576"/>
      <c r="AB105" s="1855"/>
      <c r="AC105" s="576"/>
      <c r="AD105" s="1858"/>
      <c r="AE105" s="576"/>
      <c r="AF105" s="1873"/>
      <c r="AG105" s="1876"/>
      <c r="AH105" s="397"/>
      <c r="AI105" s="398"/>
      <c r="AJ105" s="398"/>
      <c r="AK105" s="396" t="s">
        <v>429</v>
      </c>
      <c r="AL105" s="396" t="s">
        <v>429</v>
      </c>
      <c r="AM105" s="396" t="s">
        <v>429</v>
      </c>
      <c r="AN105" s="396" t="s">
        <v>429</v>
      </c>
      <c r="AO105" s="398"/>
      <c r="AP105" s="397"/>
    </row>
    <row r="106" spans="1:42" ht="15.6" customHeight="1" x14ac:dyDescent="0.25">
      <c r="A106" s="2005"/>
      <c r="B106" s="457" t="s">
        <v>714</v>
      </c>
      <c r="C106" s="457"/>
      <c r="D106" s="457" t="s">
        <v>1064</v>
      </c>
      <c r="E106" s="1837"/>
      <c r="F106" s="306">
        <f>'exchange rates'!$M$23</f>
        <v>0.92093999999999998</v>
      </c>
      <c r="G106" s="319">
        <f>48.8/F106</f>
        <v>52.989336981779488</v>
      </c>
      <c r="H106" s="320">
        <f>100/F106</f>
        <v>108.58470692987599</v>
      </c>
      <c r="I106" s="321">
        <f>80/F106</f>
        <v>86.867765543900802</v>
      </c>
      <c r="J106" s="559"/>
      <c r="K106" s="313">
        <f>Tabel6689262829[[#This Row],[Fix.ch. 2017]]+Tabel6689262829[[#This Row],[Var. ch. 2017]]+Tabel6689262829[[#This Row],[Oth. ch. DW 2017]]+Tabel6689262829[[#This Row],[VAT DW 2017]]</f>
        <v>248.44180945555627</v>
      </c>
      <c r="L106" s="322">
        <f>118/F106</f>
        <v>128.12995417725367</v>
      </c>
      <c r="M106" s="559"/>
      <c r="N106" s="323">
        <v>0</v>
      </c>
      <c r="O106" s="559"/>
      <c r="P106" s="324">
        <f>0/F106</f>
        <v>0</v>
      </c>
      <c r="Q106" s="559"/>
      <c r="R106" s="317">
        <f>Tabel6689262829[[#This Row],[VAT DW 2017]]+Tabel6689262829[[#This Row],[VAT Sew. 2017]]+Tabel6689262829[[#This Row],[VAT WW 2017]]+Tabel6689262829[[#This Row],[VAT Other ch. 2017]]</f>
        <v>0</v>
      </c>
      <c r="S106" s="318">
        <f>Tabel6689262829[[#This Row],[Total. ch. DW 2017]]+Tabel6689262829[[#This Row],[Sew. 2017]]+Tabel6689262829[[#This Row],[VAT Sew. 2017]]+Tabel6689262829[[#This Row],[WW 2017]]+Tabel6689262829[[#This Row],[VAT WW 2017]]+Tabel6689262829[[#This Row],[Other ch. 2017]]+Tabel6689262829[[#This Row],[VAT Other ch. 2017]]</f>
        <v>376.57176363280996</v>
      </c>
      <c r="T106" s="397"/>
      <c r="U106" s="2010"/>
      <c r="V106" s="1843"/>
      <c r="W106" s="1846"/>
      <c r="X106" s="576"/>
      <c r="Y106" s="1849"/>
      <c r="Z106" s="1852"/>
      <c r="AA106" s="576"/>
      <c r="AB106" s="1855"/>
      <c r="AC106" s="576"/>
      <c r="AD106" s="1858"/>
      <c r="AE106" s="576"/>
      <c r="AF106" s="1873"/>
      <c r="AG106" s="1876"/>
      <c r="AH106" s="397"/>
      <c r="AI106" s="398"/>
      <c r="AJ106" s="398"/>
      <c r="AK106" s="396" t="s">
        <v>429</v>
      </c>
      <c r="AL106" s="396" t="s">
        <v>429</v>
      </c>
      <c r="AM106" s="396" t="s">
        <v>429</v>
      </c>
      <c r="AN106" s="396" t="s">
        <v>429</v>
      </c>
      <c r="AO106" s="398"/>
      <c r="AP106" s="397"/>
    </row>
    <row r="107" spans="1:42" ht="15.6" customHeight="1" x14ac:dyDescent="0.25">
      <c r="A107" s="2005"/>
      <c r="B107" s="457" t="s">
        <v>715</v>
      </c>
      <c r="C107" s="457" t="s">
        <v>429</v>
      </c>
      <c r="D107" s="457" t="s">
        <v>1064</v>
      </c>
      <c r="E107" s="1837"/>
      <c r="F107" s="306">
        <f>'exchange rates'!$M$23</f>
        <v>0.92093999999999998</v>
      </c>
      <c r="G107" s="319">
        <f>12/F107</f>
        <v>13.03016483158512</v>
      </c>
      <c r="H107" s="320">
        <f>437.92/F107</f>
        <v>475.514148587313</v>
      </c>
      <c r="I107" s="321">
        <f>0/F107</f>
        <v>0</v>
      </c>
      <c r="J107" s="559"/>
      <c r="K107" s="313">
        <f>Tabel6689262829[[#This Row],[Fix.ch. 2017]]+Tabel6689262829[[#This Row],[Var. ch. 2017]]+Tabel6689262829[[#This Row],[Oth. ch. DW 2017]]+Tabel6689262829[[#This Row],[VAT DW 2017]]</f>
        <v>488.54431341889813</v>
      </c>
      <c r="L107" s="322">
        <f>328.44/F107</f>
        <v>356.63561144048475</v>
      </c>
      <c r="M107" s="559"/>
      <c r="N107" s="323">
        <v>0</v>
      </c>
      <c r="O107" s="559"/>
      <c r="P107" s="324">
        <f>0/F107</f>
        <v>0</v>
      </c>
      <c r="Q107" s="559"/>
      <c r="R107" s="317">
        <f>Tabel6689262829[[#This Row],[VAT DW 2017]]+Tabel6689262829[[#This Row],[VAT Sew. 2017]]+Tabel6689262829[[#This Row],[VAT WW 2017]]+Tabel6689262829[[#This Row],[VAT Other ch. 2017]]</f>
        <v>0</v>
      </c>
      <c r="S107" s="318">
        <f>Tabel6689262829[[#This Row],[Total. ch. DW 2017]]+Tabel6689262829[[#This Row],[Sew. 2017]]+Tabel6689262829[[#This Row],[VAT Sew. 2017]]+Tabel6689262829[[#This Row],[WW 2017]]+Tabel6689262829[[#This Row],[VAT WW 2017]]+Tabel6689262829[[#This Row],[Other ch. 2017]]+Tabel6689262829[[#This Row],[VAT Other ch. 2017]]</f>
        <v>845.17992485938294</v>
      </c>
      <c r="T107" s="397"/>
      <c r="U107" s="2010"/>
      <c r="V107" s="1843"/>
      <c r="W107" s="1846"/>
      <c r="X107" s="576"/>
      <c r="Y107" s="1849"/>
      <c r="Z107" s="1852"/>
      <c r="AA107" s="576"/>
      <c r="AB107" s="1855"/>
      <c r="AC107" s="576"/>
      <c r="AD107" s="1858"/>
      <c r="AE107" s="576"/>
      <c r="AF107" s="1873"/>
      <c r="AG107" s="1876"/>
      <c r="AH107" s="397"/>
      <c r="AI107" s="398"/>
      <c r="AJ107" s="398"/>
      <c r="AK107" s="396" t="s">
        <v>429</v>
      </c>
      <c r="AL107" s="396" t="s">
        <v>429</v>
      </c>
      <c r="AM107" s="396" t="s">
        <v>429</v>
      </c>
      <c r="AN107" s="396" t="s">
        <v>429</v>
      </c>
      <c r="AO107" s="398"/>
      <c r="AP107" s="397"/>
    </row>
    <row r="108" spans="1:42" ht="16.149999999999999" customHeight="1" thickBot="1" x14ac:dyDescent="0.3">
      <c r="A108" s="2006"/>
      <c r="B108" s="268" t="s">
        <v>716</v>
      </c>
      <c r="C108" s="457"/>
      <c r="D108" s="800" t="s">
        <v>1064</v>
      </c>
      <c r="E108" s="2008"/>
      <c r="F108" s="306">
        <f>'exchange rates'!$M$23</f>
        <v>0.92093999999999998</v>
      </c>
      <c r="G108" s="319">
        <f>24/F108</f>
        <v>26.06032966317024</v>
      </c>
      <c r="H108" s="320">
        <f>132.6/F108</f>
        <v>143.98332138901557</v>
      </c>
      <c r="I108" s="321">
        <f>0/F108</f>
        <v>0</v>
      </c>
      <c r="J108" s="559"/>
      <c r="K108" s="313">
        <f>Tabel6689262829[[#This Row],[Fix.ch. 2017]]+Tabel6689262829[[#This Row],[Var. ch. 2017]]+Tabel6689262829[[#This Row],[Oth. ch. DW 2017]]+Tabel6689262829[[#This Row],[VAT DW 2017]]</f>
        <v>170.04365105218582</v>
      </c>
      <c r="L108" s="322">
        <f>106.08/F108</f>
        <v>115.18665711121245</v>
      </c>
      <c r="M108" s="559"/>
      <c r="N108" s="323">
        <v>0</v>
      </c>
      <c r="O108" s="559"/>
      <c r="P108" s="324">
        <f>14/F108</f>
        <v>15.20185897018264</v>
      </c>
      <c r="Q108" s="559"/>
      <c r="R108" s="317">
        <f>Tabel6689262829[[#This Row],[VAT DW 2017]]+Tabel6689262829[[#This Row],[VAT Sew. 2017]]+Tabel6689262829[[#This Row],[VAT WW 2017]]+Tabel6689262829[[#This Row],[VAT Other ch. 2017]]</f>
        <v>0</v>
      </c>
      <c r="S108" s="318">
        <f>Tabel6689262829[[#This Row],[Total. ch. DW 2017]]+Tabel6689262829[[#This Row],[Sew. 2017]]+Tabel6689262829[[#This Row],[VAT Sew. 2017]]+Tabel6689262829[[#This Row],[WW 2017]]+Tabel6689262829[[#This Row],[VAT WW 2017]]+Tabel6689262829[[#This Row],[Other ch. 2017]]+Tabel6689262829[[#This Row],[VAT Other ch. 2017]]</f>
        <v>300.43216713358089</v>
      </c>
      <c r="T108" s="397"/>
      <c r="U108" s="2011"/>
      <c r="V108" s="2013"/>
      <c r="W108" s="2015"/>
      <c r="X108" s="577"/>
      <c r="Y108" s="2017"/>
      <c r="Z108" s="2019"/>
      <c r="AA108" s="577"/>
      <c r="AB108" s="2021"/>
      <c r="AC108" s="577"/>
      <c r="AD108" s="2030"/>
      <c r="AE108" s="577"/>
      <c r="AF108" s="1993"/>
      <c r="AG108" s="1995"/>
      <c r="AH108" s="397"/>
      <c r="AI108" s="398"/>
      <c r="AJ108" s="398"/>
      <c r="AK108" s="396" t="s">
        <v>429</v>
      </c>
      <c r="AL108" s="396" t="s">
        <v>429</v>
      </c>
      <c r="AM108" s="396" t="s">
        <v>429</v>
      </c>
      <c r="AN108" s="396" t="s">
        <v>429</v>
      </c>
      <c r="AO108" s="398"/>
      <c r="AP108" s="397"/>
    </row>
    <row r="109" spans="1:42" ht="15.75" customHeight="1" x14ac:dyDescent="0.25">
      <c r="A109" s="1818" t="s">
        <v>45</v>
      </c>
      <c r="B109" s="546" t="s">
        <v>102</v>
      </c>
      <c r="C109" s="1046" t="s">
        <v>429</v>
      </c>
      <c r="D109" s="802" t="s">
        <v>1066</v>
      </c>
      <c r="E109" s="1983">
        <v>28900</v>
      </c>
      <c r="F109" s="616">
        <f>'exchange rates'!$O$24</f>
        <v>258.86743000000001</v>
      </c>
      <c r="G109" s="549">
        <f>1700/F109</f>
        <v>6.5670679389832856</v>
      </c>
      <c r="H109" s="550">
        <f>34480/F109</f>
        <v>133.19558972714333</v>
      </c>
      <c r="I109" s="551">
        <v>0</v>
      </c>
      <c r="J109" s="560">
        <f>9768.6/F109</f>
        <v>37.735917569854188</v>
      </c>
      <c r="K109" s="566">
        <f>Tabel6689262829[[#This Row],[Fix.ch. 2017]]+Tabel6689262829[[#This Row],[Var. ch. 2017]]+Tabel6689262829[[#This Row],[Oth. ch. DW 2017]]+Tabel6689262829[[#This Row],[VAT DW 2017]]</f>
        <v>177.49857523598081</v>
      </c>
      <c r="L109" s="567">
        <f>914/F109</f>
        <v>3.5307647624886607</v>
      </c>
      <c r="M109" s="560">
        <f>246.78/F109</f>
        <v>0.95330648587193834</v>
      </c>
      <c r="N109" s="568">
        <f>59132/F109</f>
        <v>228.42580080468213</v>
      </c>
      <c r="O109" s="560">
        <f>15965.64/F109</f>
        <v>61.674966217264178</v>
      </c>
      <c r="P109" s="569">
        <v>0</v>
      </c>
      <c r="Q109" s="560">
        <f>0</f>
        <v>0</v>
      </c>
      <c r="R109" s="570">
        <f>Tabel6689262829[[#This Row],[VAT DW 2017]]+Tabel6689262829[[#This Row],[VAT Sew. 2017]]+Tabel6689262829[[#This Row],[VAT WW 2017]]+Tabel6689262829[[#This Row],[VAT Other ch. 2017]]</f>
        <v>100.3641902729903</v>
      </c>
      <c r="S109" s="571">
        <f>Tabel6689262829[[#This Row],[Total. ch. DW 2017]]+Tabel6689262829[[#This Row],[Sew. 2017]]+Tabel6689262829[[#This Row],[VAT Sew. 2017]]+Tabel6689262829[[#This Row],[WW 2017]]+Tabel6689262829[[#This Row],[VAT WW 2017]]+Tabel6689262829[[#This Row],[Other ch. 2017]]+Tabel6689262829[[#This Row],[VAT Other ch. 2017]]</f>
        <v>472.08341350628774</v>
      </c>
      <c r="T109" s="397"/>
      <c r="U109" s="1824">
        <f>MEDIAN(G109:G113)</f>
        <v>0</v>
      </c>
      <c r="V109" s="1825">
        <f>MEDIAN(H109:H113)</f>
        <v>189.2088162655302</v>
      </c>
      <c r="W109" s="1826">
        <f>MEDIAN(I109:I113)</f>
        <v>0</v>
      </c>
      <c r="X109" s="1938">
        <f>MEDIAN(J109:J113)</f>
        <v>51.966676534008158</v>
      </c>
      <c r="Y109" s="1827">
        <f>SUM(U109:X113)</f>
        <v>241.17549279953835</v>
      </c>
      <c r="Z109" s="1828">
        <f t="shared" ref="Z109:AF109" si="14">MEDIAN(L109:L113)</f>
        <v>3.2989858940539563</v>
      </c>
      <c r="AA109" s="1938">
        <f t="shared" si="14"/>
        <v>0.89072619139456821</v>
      </c>
      <c r="AB109" s="1829">
        <f t="shared" si="14"/>
        <v>150.42448561412303</v>
      </c>
      <c r="AC109" s="1938">
        <f t="shared" si="14"/>
        <v>40.614611115813211</v>
      </c>
      <c r="AD109" s="1830">
        <f t="shared" si="14"/>
        <v>0</v>
      </c>
      <c r="AE109" s="1938">
        <f t="shared" si="14"/>
        <v>0</v>
      </c>
      <c r="AF109" s="1816">
        <f t="shared" si="14"/>
        <v>95.159595782289017</v>
      </c>
      <c r="AG109" s="1817">
        <f>Y109+Z109+AA109+AB109+AC109+AD109+AE109</f>
        <v>436.4043016149231</v>
      </c>
      <c r="AH109" s="397"/>
      <c r="AI109" s="398"/>
      <c r="AJ109" s="398"/>
      <c r="AK109" s="398"/>
      <c r="AL109" s="398"/>
      <c r="AM109" s="591" t="s">
        <v>429</v>
      </c>
      <c r="AN109" s="398"/>
      <c r="AO109" s="398"/>
      <c r="AP109" s="397"/>
    </row>
    <row r="110" spans="1:42" ht="15.75" customHeight="1" x14ac:dyDescent="0.25">
      <c r="A110" s="1819"/>
      <c r="B110" s="547" t="s">
        <v>103</v>
      </c>
      <c r="C110" s="1046"/>
      <c r="D110" s="802" t="s">
        <v>1066</v>
      </c>
      <c r="E110" s="1760"/>
      <c r="F110" s="616">
        <f>'exchange rates'!$O$24</f>
        <v>258.86743000000001</v>
      </c>
      <c r="G110" s="549">
        <f>1231/F110</f>
        <v>4.7553297840520141</v>
      </c>
      <c r="H110" s="550">
        <f>48980/F110</f>
        <v>189.2088162655302</v>
      </c>
      <c r="I110" s="551">
        <v>0</v>
      </c>
      <c r="J110" s="560">
        <f>13556.97/F110</f>
        <v>52.370319433387195</v>
      </c>
      <c r="K110" s="566">
        <f>Tabel6689262829[[#This Row],[Fix.ch. 2017]]+Tabel6689262829[[#This Row],[Var. ch. 2017]]+Tabel6689262829[[#This Row],[Oth. ch. DW 2017]]+Tabel6689262829[[#This Row],[VAT DW 2017]]</f>
        <v>246.33446548296939</v>
      </c>
      <c r="L110" s="567">
        <f>854/F110</f>
        <v>3.2989858940539563</v>
      </c>
      <c r="M110" s="560">
        <f>230.58/F110</f>
        <v>0.89072619139456821</v>
      </c>
      <c r="N110" s="568">
        <f>38940/F110</f>
        <v>150.42448561412303</v>
      </c>
      <c r="O110" s="560">
        <f>10513.8/F110</f>
        <v>40.614611115813211</v>
      </c>
      <c r="P110" s="569">
        <f>1231/F110</f>
        <v>4.7553297840520141</v>
      </c>
      <c r="Q110" s="560">
        <f>332.37/F110</f>
        <v>1.2839390416940439</v>
      </c>
      <c r="R110" s="570">
        <f>Tabel6689262829[[#This Row],[VAT DW 2017]]+Tabel6689262829[[#This Row],[VAT Sew. 2017]]+Tabel6689262829[[#This Row],[VAT WW 2017]]+Tabel6689262829[[#This Row],[VAT Other ch. 2017]]</f>
        <v>95.159595782289017</v>
      </c>
      <c r="S110" s="571">
        <f>Tabel6689262829[[#This Row],[Total. ch. DW 2017]]+Tabel6689262829[[#This Row],[Sew. 2017]]+Tabel6689262829[[#This Row],[VAT Sew. 2017]]+Tabel6689262829[[#This Row],[WW 2017]]+Tabel6689262829[[#This Row],[VAT WW 2017]]+Tabel6689262829[[#This Row],[Other ch. 2017]]+Tabel6689262829[[#This Row],[VAT Other ch. 2017]]</f>
        <v>447.60254312410024</v>
      </c>
      <c r="T110" s="397"/>
      <c r="U110" s="1763"/>
      <c r="V110" s="1766"/>
      <c r="W110" s="1769"/>
      <c r="X110" s="1772"/>
      <c r="Y110" s="1775"/>
      <c r="Z110" s="1778"/>
      <c r="AA110" s="1772"/>
      <c r="AB110" s="1781"/>
      <c r="AC110" s="1772"/>
      <c r="AD110" s="1785"/>
      <c r="AE110" s="1772"/>
      <c r="AF110" s="1788"/>
      <c r="AG110" s="1791"/>
      <c r="AH110" s="397"/>
      <c r="AI110" s="398"/>
      <c r="AJ110" s="398"/>
      <c r="AK110" s="398"/>
      <c r="AL110" s="398"/>
      <c r="AM110" s="591" t="s">
        <v>429</v>
      </c>
      <c r="AN110" s="398"/>
      <c r="AO110" s="398"/>
      <c r="AP110" s="397"/>
    </row>
    <row r="111" spans="1:42" ht="15.75" customHeight="1" x14ac:dyDescent="0.25">
      <c r="A111" s="1819"/>
      <c r="B111" s="547" t="s">
        <v>104</v>
      </c>
      <c r="C111" s="1046"/>
      <c r="D111" s="802" t="s">
        <v>1066</v>
      </c>
      <c r="E111" s="1760"/>
      <c r="F111" s="616">
        <f>'exchange rates'!$O$24</f>
        <v>258.86743000000001</v>
      </c>
      <c r="G111" s="549">
        <v>0</v>
      </c>
      <c r="H111" s="550">
        <f>49824/F111</f>
        <v>192.46917234817835</v>
      </c>
      <c r="I111" s="551">
        <v>0</v>
      </c>
      <c r="J111" s="560">
        <f>13452.48/F111</f>
        <v>51.966676534008158</v>
      </c>
      <c r="K111" s="566">
        <f>Tabel6689262829[[#This Row],[Fix.ch. 2017]]+Tabel6689262829[[#This Row],[Var. ch. 2017]]+Tabel6689262829[[#This Row],[Oth. ch. DW 2017]]+Tabel6689262829[[#This Row],[VAT DW 2017]]</f>
        <v>244.43584888218652</v>
      </c>
      <c r="L111" s="567">
        <v>0</v>
      </c>
      <c r="M111" s="560">
        <v>0</v>
      </c>
      <c r="N111" s="568">
        <f>38322/F111</f>
        <v>148.03716326924555</v>
      </c>
      <c r="O111" s="560">
        <f>10346.94/F111</f>
        <v>39.970034082696309</v>
      </c>
      <c r="P111" s="569">
        <v>0</v>
      </c>
      <c r="Q111" s="560">
        <v>0</v>
      </c>
      <c r="R111" s="570">
        <f>Tabel6689262829[[#This Row],[VAT DW 2017]]+Tabel6689262829[[#This Row],[VAT Sew. 2017]]+Tabel6689262829[[#This Row],[VAT WW 2017]]+Tabel6689262829[[#This Row],[VAT Other ch. 2017]]</f>
        <v>91.93671061670446</v>
      </c>
      <c r="S111" s="571">
        <f>Tabel6689262829[[#This Row],[Total. ch. DW 2017]]+Tabel6689262829[[#This Row],[Sew. 2017]]+Tabel6689262829[[#This Row],[VAT Sew. 2017]]+Tabel6689262829[[#This Row],[WW 2017]]+Tabel6689262829[[#This Row],[VAT WW 2017]]+Tabel6689262829[[#This Row],[Other ch. 2017]]+Tabel6689262829[[#This Row],[VAT Other ch. 2017]]</f>
        <v>432.44304623412836</v>
      </c>
      <c r="T111" s="397"/>
      <c r="U111" s="1763"/>
      <c r="V111" s="1766"/>
      <c r="W111" s="1769"/>
      <c r="X111" s="1772"/>
      <c r="Y111" s="1775"/>
      <c r="Z111" s="1778"/>
      <c r="AA111" s="1772"/>
      <c r="AB111" s="1781"/>
      <c r="AC111" s="1772"/>
      <c r="AD111" s="1785"/>
      <c r="AE111" s="1772"/>
      <c r="AF111" s="1788"/>
      <c r="AG111" s="1791"/>
      <c r="AH111" s="397"/>
      <c r="AI111" s="398"/>
      <c r="AJ111" s="398"/>
      <c r="AK111" s="398"/>
      <c r="AL111" s="398"/>
      <c r="AM111" s="398"/>
      <c r="AN111" s="398"/>
      <c r="AO111" s="398"/>
      <c r="AP111" s="397"/>
    </row>
    <row r="112" spans="1:42" ht="16.5" customHeight="1" x14ac:dyDescent="0.25">
      <c r="A112" s="1819"/>
      <c r="B112" s="543" t="s">
        <v>105</v>
      </c>
      <c r="C112" s="1046"/>
      <c r="D112" s="802" t="s">
        <v>1066</v>
      </c>
      <c r="E112" s="1760"/>
      <c r="F112" s="616">
        <f>'exchange rates'!$O$24</f>
        <v>258.86743000000001</v>
      </c>
      <c r="G112" s="549">
        <v>0</v>
      </c>
      <c r="H112" s="550">
        <f>68000/F112</f>
        <v>262.68271755933142</v>
      </c>
      <c r="I112" s="551">
        <v>0</v>
      </c>
      <c r="J112" s="560">
        <f>18360/F112</f>
        <v>70.924333741019481</v>
      </c>
      <c r="K112" s="566">
        <f>Tabel6689262829[[#This Row],[Fix.ch. 2017]]+Tabel6689262829[[#This Row],[Var. ch. 2017]]+Tabel6689262829[[#This Row],[Oth. ch. DW 2017]]+Tabel6689262829[[#This Row],[VAT DW 2017]]</f>
        <v>333.60705130035092</v>
      </c>
      <c r="L112" s="567">
        <f>800/F112</f>
        <v>3.0903849124627225</v>
      </c>
      <c r="M112" s="560">
        <f>216/F112</f>
        <v>0.8344039263649351</v>
      </c>
      <c r="N112" s="568">
        <f>49600/F112</f>
        <v>191.60386457268879</v>
      </c>
      <c r="O112" s="560">
        <f>13392/F112</f>
        <v>51.733043434625976</v>
      </c>
      <c r="P112" s="569">
        <v>0</v>
      </c>
      <c r="Q112" s="560">
        <v>0</v>
      </c>
      <c r="R112" s="570">
        <f>Tabel6689262829[[#This Row],[VAT DW 2017]]+Tabel6689262829[[#This Row],[VAT Sew. 2017]]+Tabel6689262829[[#This Row],[VAT WW 2017]]+Tabel6689262829[[#This Row],[VAT Other ch. 2017]]</f>
        <v>123.49178110201041</v>
      </c>
      <c r="S112" s="571">
        <f>Tabel6689262829[[#This Row],[Total. ch. DW 2017]]+Tabel6689262829[[#This Row],[Sew. 2017]]+Tabel6689262829[[#This Row],[VAT Sew. 2017]]+Tabel6689262829[[#This Row],[WW 2017]]+Tabel6689262829[[#This Row],[VAT WW 2017]]+Tabel6689262829[[#This Row],[Other ch. 2017]]+Tabel6689262829[[#This Row],[VAT Other ch. 2017]]</f>
        <v>580.86874814649332</v>
      </c>
      <c r="T112" s="397"/>
      <c r="U112" s="1763"/>
      <c r="V112" s="1766"/>
      <c r="W112" s="1769"/>
      <c r="X112" s="1772"/>
      <c r="Y112" s="1775"/>
      <c r="Z112" s="1778"/>
      <c r="AA112" s="1772"/>
      <c r="AB112" s="1781"/>
      <c r="AC112" s="1772"/>
      <c r="AD112" s="1785"/>
      <c r="AE112" s="1772"/>
      <c r="AF112" s="1788"/>
      <c r="AG112" s="1791"/>
      <c r="AH112" s="397"/>
      <c r="AI112" s="398"/>
      <c r="AJ112" s="398"/>
      <c r="AK112" s="398"/>
      <c r="AL112" s="398"/>
      <c r="AM112" s="398"/>
      <c r="AN112" s="398"/>
      <c r="AO112" s="398"/>
      <c r="AP112" s="397"/>
    </row>
    <row r="113" spans="1:42" ht="17.25" customHeight="1" thickBot="1" x14ac:dyDescent="0.3">
      <c r="A113" s="1820"/>
      <c r="B113" s="548" t="s">
        <v>613</v>
      </c>
      <c r="C113" s="1046"/>
      <c r="D113" s="802" t="s">
        <v>1066</v>
      </c>
      <c r="E113" s="1996"/>
      <c r="F113" s="616">
        <f>'exchange rates'!$O$24</f>
        <v>258.86743000000001</v>
      </c>
      <c r="G113" s="549">
        <v>0</v>
      </c>
      <c r="H113" s="550">
        <f>43560/F113</f>
        <v>168.27145848359524</v>
      </c>
      <c r="I113" s="551">
        <v>0</v>
      </c>
      <c r="J113" s="560">
        <f>11761.2/F113</f>
        <v>45.433293790570715</v>
      </c>
      <c r="K113" s="566">
        <f>Tabel6689262829[[#This Row],[Fix.ch. 2017]]+Tabel6689262829[[#This Row],[Var. ch. 2017]]+Tabel6689262829[[#This Row],[Oth. ch. DW 2017]]+Tabel6689262829[[#This Row],[VAT DW 2017]]</f>
        <v>213.70475227416597</v>
      </c>
      <c r="L113" s="567">
        <f>1260/F113</f>
        <v>4.8673562371287877</v>
      </c>
      <c r="M113" s="560">
        <f>340.2/F113</f>
        <v>1.3141861840247728</v>
      </c>
      <c r="N113" s="568">
        <f>26460/F113</f>
        <v>102.21448097970455</v>
      </c>
      <c r="O113" s="560">
        <f>7144.2/F113</f>
        <v>27.597909864520229</v>
      </c>
      <c r="P113" s="569">
        <v>0</v>
      </c>
      <c r="Q113" s="560">
        <v>0</v>
      </c>
      <c r="R113" s="570">
        <f>Tabel6689262829[[#This Row],[VAT DW 2017]]+Tabel6689262829[[#This Row],[VAT Sew. 2017]]+Tabel6689262829[[#This Row],[VAT WW 2017]]+Tabel6689262829[[#This Row],[VAT Other ch. 2017]]</f>
        <v>74.345389839115711</v>
      </c>
      <c r="S113" s="571">
        <f>Tabel6689262829[[#This Row],[Total. ch. DW 2017]]+Tabel6689262829[[#This Row],[Sew. 2017]]+Tabel6689262829[[#This Row],[VAT Sew. 2017]]+Tabel6689262829[[#This Row],[WW 2017]]+Tabel6689262829[[#This Row],[VAT WW 2017]]+Tabel6689262829[[#This Row],[Other ch. 2017]]+Tabel6689262829[[#This Row],[VAT Other ch. 2017]]</f>
        <v>349.69868553954427</v>
      </c>
      <c r="T113" s="397"/>
      <c r="U113" s="1997"/>
      <c r="V113" s="1998"/>
      <c r="W113" s="1999"/>
      <c r="X113" s="1773"/>
      <c r="Y113" s="2000"/>
      <c r="Z113" s="2026"/>
      <c r="AA113" s="1773"/>
      <c r="AB113" s="2027"/>
      <c r="AC113" s="1773"/>
      <c r="AD113" s="2003"/>
      <c r="AE113" s="1773"/>
      <c r="AF113" s="2001"/>
      <c r="AG113" s="2002"/>
      <c r="AH113" s="397"/>
      <c r="AI113" s="398"/>
      <c r="AJ113" s="398"/>
      <c r="AK113" s="398"/>
      <c r="AL113" s="398"/>
      <c r="AM113" s="398"/>
      <c r="AN113" s="398"/>
      <c r="AO113" s="398"/>
      <c r="AP113" s="397"/>
    </row>
    <row r="114" spans="1:42" ht="17.25" customHeight="1" thickBot="1" x14ac:dyDescent="0.3">
      <c r="A114" s="871" t="s">
        <v>754</v>
      </c>
      <c r="B114" s="455" t="s">
        <v>755</v>
      </c>
      <c r="C114" s="1048"/>
      <c r="D114" s="811" t="s">
        <v>1068</v>
      </c>
      <c r="E114" s="890">
        <v>46600</v>
      </c>
      <c r="F114" s="306">
        <f>'exchange rates'!M25</f>
        <v>130.32431</v>
      </c>
      <c r="G114" s="319"/>
      <c r="H114" s="320"/>
      <c r="I114" s="321"/>
      <c r="J114" s="559"/>
      <c r="K114" s="313">
        <f>Tabel6689262829[[#This Row],[Fix.ch. 2017]]+Tabel6689262829[[#This Row],[Var. ch. 2017]]+Tabel6689262829[[#This Row],[Oth. ch. DW 2017]]+Tabel6689262829[[#This Row],[VAT DW 2017]]</f>
        <v>0</v>
      </c>
      <c r="L114" s="322"/>
      <c r="M114" s="559"/>
      <c r="N114" s="323"/>
      <c r="O114" s="559"/>
      <c r="P114" s="324"/>
      <c r="Q114" s="559"/>
      <c r="R114" s="317">
        <f>Tabel6689262829[[#This Row],[VAT DW 2017]]+Tabel6689262829[[#This Row],[VAT Sew. 2017]]+Tabel6689262829[[#This Row],[VAT WW 2017]]+Tabel6689262829[[#This Row],[VAT Other ch. 2017]]</f>
        <v>0</v>
      </c>
      <c r="S114" s="318">
        <f>Tabel6689262829[[#This Row],[Total. ch. DW 2017]]+Tabel6689262829[[#This Row],[Sew. 2017]]+Tabel6689262829[[#This Row],[VAT Sew. 2017]]+Tabel6689262829[[#This Row],[WW 2017]]+Tabel6689262829[[#This Row],[VAT WW 2017]]+Tabel6689262829[[#This Row],[Other ch. 2017]]+Tabel6689262829[[#This Row],[VAT Other ch. 2017]]</f>
        <v>0</v>
      </c>
      <c r="T114" s="397"/>
      <c r="U114" s="892"/>
      <c r="V114" s="891"/>
      <c r="W114" s="889"/>
      <c r="X114" s="576"/>
      <c r="Y114" s="880"/>
      <c r="Z114" s="881"/>
      <c r="AA114" s="576"/>
      <c r="AB114" s="872"/>
      <c r="AC114" s="576"/>
      <c r="AD114" s="897"/>
      <c r="AE114" s="576"/>
      <c r="AF114" s="874"/>
      <c r="AG114" s="873"/>
      <c r="AH114" s="397"/>
      <c r="AI114" s="398"/>
      <c r="AJ114" s="398"/>
      <c r="AK114" s="398"/>
      <c r="AL114" s="398"/>
      <c r="AM114" s="398"/>
      <c r="AN114" s="398"/>
      <c r="AO114" s="398"/>
      <c r="AP114" s="397"/>
    </row>
    <row r="115" spans="1:42" ht="18" customHeight="1" x14ac:dyDescent="0.25">
      <c r="A115" s="1833" t="s">
        <v>466</v>
      </c>
      <c r="B115" s="299" t="s">
        <v>606</v>
      </c>
      <c r="C115" s="1048" t="s">
        <v>429</v>
      </c>
      <c r="D115" s="805" t="s">
        <v>1070</v>
      </c>
      <c r="E115" s="2039">
        <v>12800</v>
      </c>
      <c r="F115" s="307">
        <f>'exchange rates'!K28</f>
        <v>11241.536700000001</v>
      </c>
      <c r="G115" s="319">
        <f>0</f>
        <v>0</v>
      </c>
      <c r="H115" s="320">
        <f>466512/F115</f>
        <v>41.498952718804006</v>
      </c>
      <c r="I115" s="321">
        <v>0</v>
      </c>
      <c r="J115" s="559"/>
      <c r="K115" s="313">
        <f>Tabel6689262829[[#This Row],[Fix.ch. 2017]]+Tabel6689262829[[#This Row],[Var. ch. 2017]]+Tabel6689262829[[#This Row],[Oth. ch. DW 2017]]+Tabel6689262829[[#This Row],[VAT DW 2017]]</f>
        <v>41.498952718804006</v>
      </c>
      <c r="L115" s="322">
        <f>71496/F115</f>
        <v>6.3599845739951189</v>
      </c>
      <c r="M115" s="559"/>
      <c r="N115" s="323">
        <v>0</v>
      </c>
      <c r="O115" s="559"/>
      <c r="P115" s="324">
        <v>0</v>
      </c>
      <c r="Q115" s="559"/>
      <c r="R115" s="317">
        <f>Tabel6689262829[[#This Row],[VAT DW 2017]]+Tabel6689262829[[#This Row],[VAT Sew. 2017]]+Tabel6689262829[[#This Row],[VAT WW 2017]]+Tabel6689262829[[#This Row],[VAT Other ch. 2017]]</f>
        <v>0</v>
      </c>
      <c r="S115" s="318">
        <f>Tabel6689262829[[#This Row],[Total. ch. DW 2017]]+Tabel6689262829[[#This Row],[Sew. 2017]]+Tabel6689262829[[#This Row],[VAT Sew. 2017]]+Tabel6689262829[[#This Row],[WW 2017]]+Tabel6689262829[[#This Row],[VAT WW 2017]]+Tabel6689262829[[#This Row],[Other ch. 2017]]+Tabel6689262829[[#This Row],[VAT Other ch. 2017]]</f>
        <v>47.858937292799126</v>
      </c>
      <c r="T115" s="397"/>
      <c r="U115" s="2041">
        <f>SUM(G115:G119)/5</f>
        <v>0</v>
      </c>
      <c r="V115" s="2043">
        <f>SUM(H115:H119)/5</f>
        <v>37.034153880403203</v>
      </c>
      <c r="W115" s="2045">
        <f>SUM(I115:I119)/5</f>
        <v>0</v>
      </c>
      <c r="X115" s="575"/>
      <c r="Y115" s="2047">
        <f>SUM(K115:K119)/5</f>
        <v>37.034153880403203</v>
      </c>
      <c r="Z115" s="2022">
        <f>SUM(L115:L119)/5</f>
        <v>6.3599845739951189</v>
      </c>
      <c r="AA115" s="575"/>
      <c r="AB115" s="2024">
        <f>SUM(N115:N119)/5</f>
        <v>0</v>
      </c>
      <c r="AC115" s="575"/>
      <c r="AD115" s="2033">
        <f>SUM(P115:P119)/5</f>
        <v>0</v>
      </c>
      <c r="AE115" s="575"/>
      <c r="AF115" s="2035">
        <f t="shared" ref="AF115:AG115" si="15">SUM(R115:R119)/5</f>
        <v>0</v>
      </c>
      <c r="AG115" s="2037">
        <f t="shared" si="15"/>
        <v>43.394138454398316</v>
      </c>
      <c r="AH115" s="397"/>
      <c r="AI115" s="398"/>
      <c r="AJ115" s="398"/>
      <c r="AK115" s="398"/>
      <c r="AL115" s="396" t="s">
        <v>429</v>
      </c>
      <c r="AM115" s="398"/>
      <c r="AN115" s="398"/>
      <c r="AO115" s="398"/>
      <c r="AP115" s="397"/>
    </row>
    <row r="116" spans="1:42" ht="18.75" x14ac:dyDescent="0.25">
      <c r="A116" s="1834"/>
      <c r="B116" s="298" t="s">
        <v>607</v>
      </c>
      <c r="C116" s="1048"/>
      <c r="D116" s="805" t="s">
        <v>1070</v>
      </c>
      <c r="E116" s="1837"/>
      <c r="F116" s="307">
        <f>'exchange rates'!K28</f>
        <v>11241.536700000001</v>
      </c>
      <c r="G116" s="319">
        <f>0</f>
        <v>0</v>
      </c>
      <c r="H116" s="320">
        <f>408600/F116</f>
        <v>36.347343864473615</v>
      </c>
      <c r="I116" s="321">
        <v>0</v>
      </c>
      <c r="J116" s="559"/>
      <c r="K116" s="313">
        <f>Tabel6689262829[[#This Row],[Fix.ch. 2017]]+Tabel6689262829[[#This Row],[Var. ch. 2017]]+Tabel6689262829[[#This Row],[Oth. ch. DW 2017]]+Tabel6689262829[[#This Row],[VAT DW 2017]]</f>
        <v>36.347343864473615</v>
      </c>
      <c r="L116" s="322">
        <f>71496/F116</f>
        <v>6.3599845739951189</v>
      </c>
      <c r="M116" s="559"/>
      <c r="N116" s="323">
        <v>0</v>
      </c>
      <c r="O116" s="559"/>
      <c r="P116" s="324">
        <v>0</v>
      </c>
      <c r="Q116" s="559"/>
      <c r="R116" s="317">
        <f>Tabel6689262829[[#This Row],[VAT DW 2017]]+Tabel6689262829[[#This Row],[VAT Sew. 2017]]+Tabel6689262829[[#This Row],[VAT WW 2017]]+Tabel6689262829[[#This Row],[VAT Other ch. 2017]]</f>
        <v>0</v>
      </c>
      <c r="S116" s="318">
        <f>Tabel6689262829[[#This Row],[Total. ch. DW 2017]]+Tabel6689262829[[#This Row],[Sew. 2017]]+Tabel6689262829[[#This Row],[VAT Sew. 2017]]+Tabel6689262829[[#This Row],[WW 2017]]+Tabel6689262829[[#This Row],[VAT WW 2017]]+Tabel6689262829[[#This Row],[Other ch. 2017]]+Tabel6689262829[[#This Row],[VAT Other ch. 2017]]</f>
        <v>42.707328438468735</v>
      </c>
      <c r="T116" s="397"/>
      <c r="U116" s="1840"/>
      <c r="V116" s="1843"/>
      <c r="W116" s="1846"/>
      <c r="X116" s="576"/>
      <c r="Y116" s="1849"/>
      <c r="Z116" s="1852"/>
      <c r="AA116" s="576"/>
      <c r="AB116" s="1855"/>
      <c r="AC116" s="576"/>
      <c r="AD116" s="1858"/>
      <c r="AE116" s="576"/>
      <c r="AF116" s="1873"/>
      <c r="AG116" s="1876"/>
      <c r="AH116" s="397"/>
      <c r="AI116" s="398"/>
      <c r="AJ116" s="398"/>
      <c r="AK116" s="398"/>
      <c r="AL116" s="396" t="s">
        <v>429</v>
      </c>
      <c r="AM116" s="398"/>
      <c r="AN116" s="398"/>
      <c r="AO116" s="398"/>
      <c r="AP116" s="397"/>
    </row>
    <row r="117" spans="1:42" ht="18.75" x14ac:dyDescent="0.25">
      <c r="A117" s="1834"/>
      <c r="B117" s="298" t="s">
        <v>608</v>
      </c>
      <c r="C117" s="1048"/>
      <c r="D117" s="805" t="s">
        <v>1070</v>
      </c>
      <c r="E117" s="1837"/>
      <c r="F117" s="307">
        <f>'exchange rates'!K28</f>
        <v>11241.536700000001</v>
      </c>
      <c r="G117" s="319">
        <f>0</f>
        <v>0</v>
      </c>
      <c r="H117" s="320">
        <f>366780/F117</f>
        <v>32.62721190066479</v>
      </c>
      <c r="I117" s="321">
        <v>0</v>
      </c>
      <c r="J117" s="559"/>
      <c r="K117" s="313">
        <f>Tabel6689262829[[#This Row],[Fix.ch. 2017]]+Tabel6689262829[[#This Row],[Var. ch. 2017]]+Tabel6689262829[[#This Row],[Oth. ch. DW 2017]]+Tabel6689262829[[#This Row],[VAT DW 2017]]</f>
        <v>32.62721190066479</v>
      </c>
      <c r="L117" s="322">
        <f t="shared" ref="L117:L119" si="16">71496/F117</f>
        <v>6.3599845739951189</v>
      </c>
      <c r="M117" s="559"/>
      <c r="N117" s="323">
        <v>0</v>
      </c>
      <c r="O117" s="559"/>
      <c r="P117" s="324">
        <v>0</v>
      </c>
      <c r="Q117" s="559"/>
      <c r="R117" s="317">
        <f>Tabel6689262829[[#This Row],[VAT DW 2017]]+Tabel6689262829[[#This Row],[VAT Sew. 2017]]+Tabel6689262829[[#This Row],[VAT WW 2017]]+Tabel6689262829[[#This Row],[VAT Other ch. 2017]]</f>
        <v>0</v>
      </c>
      <c r="S117" s="318">
        <f>Tabel6689262829[[#This Row],[Total. ch. DW 2017]]+Tabel6689262829[[#This Row],[Sew. 2017]]+Tabel6689262829[[#This Row],[VAT Sew. 2017]]+Tabel6689262829[[#This Row],[WW 2017]]+Tabel6689262829[[#This Row],[VAT WW 2017]]+Tabel6689262829[[#This Row],[Other ch. 2017]]+Tabel6689262829[[#This Row],[VAT Other ch. 2017]]</f>
        <v>38.98719647465991</v>
      </c>
      <c r="T117" s="397"/>
      <c r="U117" s="1840"/>
      <c r="V117" s="1843"/>
      <c r="W117" s="1846"/>
      <c r="X117" s="576"/>
      <c r="Y117" s="1849"/>
      <c r="Z117" s="1852"/>
      <c r="AA117" s="576"/>
      <c r="AB117" s="1855"/>
      <c r="AC117" s="576"/>
      <c r="AD117" s="1858"/>
      <c r="AE117" s="576"/>
      <c r="AF117" s="1873"/>
      <c r="AG117" s="1876"/>
      <c r="AH117" s="397"/>
      <c r="AI117" s="398"/>
      <c r="AJ117" s="398"/>
      <c r="AK117" s="398"/>
      <c r="AL117" s="396" t="s">
        <v>429</v>
      </c>
      <c r="AM117" s="398"/>
      <c r="AN117" s="398"/>
      <c r="AO117" s="398"/>
      <c r="AP117" s="397"/>
    </row>
    <row r="118" spans="1:42" ht="18.75" x14ac:dyDescent="0.25">
      <c r="A118" s="1834"/>
      <c r="B118" s="298" t="s">
        <v>609</v>
      </c>
      <c r="C118" s="1048"/>
      <c r="D118" s="805" t="s">
        <v>1070</v>
      </c>
      <c r="E118" s="1837"/>
      <c r="F118" s="307">
        <f>'exchange rates'!K28</f>
        <v>11241.536700000001</v>
      </c>
      <c r="G118" s="319">
        <f>0</f>
        <v>0</v>
      </c>
      <c r="H118" s="320">
        <f>418248/F118</f>
        <v>37.205589516956344</v>
      </c>
      <c r="I118" s="321">
        <v>0</v>
      </c>
      <c r="J118" s="559"/>
      <c r="K118" s="313">
        <f>Tabel6689262829[[#This Row],[Fix.ch. 2017]]+Tabel6689262829[[#This Row],[Var. ch. 2017]]+Tabel6689262829[[#This Row],[Oth. ch. DW 2017]]+Tabel6689262829[[#This Row],[VAT DW 2017]]</f>
        <v>37.205589516956344</v>
      </c>
      <c r="L118" s="322">
        <f t="shared" si="16"/>
        <v>6.3599845739951189</v>
      </c>
      <c r="M118" s="559"/>
      <c r="N118" s="323">
        <v>0</v>
      </c>
      <c r="O118" s="559"/>
      <c r="P118" s="324">
        <v>0</v>
      </c>
      <c r="Q118" s="559"/>
      <c r="R118" s="317">
        <f>Tabel6689262829[[#This Row],[VAT DW 2017]]+Tabel6689262829[[#This Row],[VAT Sew. 2017]]+Tabel6689262829[[#This Row],[VAT WW 2017]]+Tabel6689262829[[#This Row],[VAT Other ch. 2017]]</f>
        <v>0</v>
      </c>
      <c r="S118" s="318">
        <f>Tabel6689262829[[#This Row],[Total. ch. DW 2017]]+Tabel6689262829[[#This Row],[Sew. 2017]]+Tabel6689262829[[#This Row],[VAT Sew. 2017]]+Tabel6689262829[[#This Row],[WW 2017]]+Tabel6689262829[[#This Row],[VAT WW 2017]]+Tabel6689262829[[#This Row],[Other ch. 2017]]+Tabel6689262829[[#This Row],[VAT Other ch. 2017]]</f>
        <v>43.565574090951465</v>
      </c>
      <c r="T118" s="397"/>
      <c r="U118" s="1840"/>
      <c r="V118" s="1843"/>
      <c r="W118" s="1846"/>
      <c r="X118" s="576"/>
      <c r="Y118" s="1849"/>
      <c r="Z118" s="1852"/>
      <c r="AA118" s="576"/>
      <c r="AB118" s="1855"/>
      <c r="AC118" s="576"/>
      <c r="AD118" s="1858"/>
      <c r="AE118" s="576"/>
      <c r="AF118" s="1873"/>
      <c r="AG118" s="1876"/>
      <c r="AH118" s="397"/>
      <c r="AI118" s="398"/>
      <c r="AJ118" s="398"/>
      <c r="AK118" s="398"/>
      <c r="AL118" s="396" t="s">
        <v>429</v>
      </c>
      <c r="AM118" s="398"/>
      <c r="AN118" s="398"/>
      <c r="AO118" s="398"/>
      <c r="AP118" s="397"/>
    </row>
    <row r="119" spans="1:42" ht="19.5" thickBot="1" x14ac:dyDescent="0.3">
      <c r="A119" s="1835"/>
      <c r="B119" s="293" t="s">
        <v>610</v>
      </c>
      <c r="C119" s="1048"/>
      <c r="D119" s="805" t="s">
        <v>1070</v>
      </c>
      <c r="E119" s="2040"/>
      <c r="F119" s="307">
        <f>'exchange rates'!K28</f>
        <v>11241.536700000001</v>
      </c>
      <c r="G119" s="319">
        <f>0</f>
        <v>0</v>
      </c>
      <c r="H119" s="320">
        <f>421464/F119</f>
        <v>37.491671401117252</v>
      </c>
      <c r="I119" s="321">
        <v>0</v>
      </c>
      <c r="J119" s="559"/>
      <c r="K119" s="313">
        <f>Tabel6689262829[[#This Row],[Fix.ch. 2017]]+Tabel6689262829[[#This Row],[Var. ch. 2017]]+Tabel6689262829[[#This Row],[Oth. ch. DW 2017]]+Tabel6689262829[[#This Row],[VAT DW 2017]]</f>
        <v>37.491671401117252</v>
      </c>
      <c r="L119" s="322">
        <f t="shared" si="16"/>
        <v>6.3599845739951189</v>
      </c>
      <c r="M119" s="559"/>
      <c r="N119" s="323">
        <v>0</v>
      </c>
      <c r="O119" s="559"/>
      <c r="P119" s="324">
        <v>0</v>
      </c>
      <c r="Q119" s="559"/>
      <c r="R119" s="317">
        <f>Tabel6689262829[[#This Row],[VAT DW 2017]]+Tabel6689262829[[#This Row],[VAT Sew. 2017]]+Tabel6689262829[[#This Row],[VAT WW 2017]]+Tabel6689262829[[#This Row],[VAT Other ch. 2017]]</f>
        <v>0</v>
      </c>
      <c r="S119" s="318">
        <f>Tabel6689262829[[#This Row],[Total. ch. DW 2017]]+Tabel6689262829[[#This Row],[Sew. 2017]]+Tabel6689262829[[#This Row],[VAT Sew. 2017]]+Tabel6689262829[[#This Row],[WW 2017]]+Tabel6689262829[[#This Row],[VAT WW 2017]]+Tabel6689262829[[#This Row],[Other ch. 2017]]+Tabel6689262829[[#This Row],[VAT Other ch. 2017]]</f>
        <v>43.851655975112372</v>
      </c>
      <c r="T119" s="397"/>
      <c r="U119" s="2042"/>
      <c r="V119" s="2044"/>
      <c r="W119" s="2046"/>
      <c r="X119" s="577"/>
      <c r="Y119" s="2048"/>
      <c r="Z119" s="2023"/>
      <c r="AA119" s="577"/>
      <c r="AB119" s="2025"/>
      <c r="AC119" s="577"/>
      <c r="AD119" s="2034"/>
      <c r="AE119" s="577"/>
      <c r="AF119" s="2036"/>
      <c r="AG119" s="2038"/>
      <c r="AH119" s="397"/>
      <c r="AI119" s="398"/>
      <c r="AJ119" s="398"/>
      <c r="AK119" s="398"/>
      <c r="AL119" s="396" t="s">
        <v>429</v>
      </c>
      <c r="AM119" s="398"/>
      <c r="AN119" s="398"/>
      <c r="AO119" s="398"/>
      <c r="AP119" s="397"/>
    </row>
    <row r="120" spans="1:42" ht="19.5" thickBot="1" x14ac:dyDescent="0.35">
      <c r="A120" s="267" t="s">
        <v>16</v>
      </c>
      <c r="B120" s="296" t="s">
        <v>106</v>
      </c>
      <c r="C120" s="1048" t="s">
        <v>429</v>
      </c>
      <c r="D120" s="811" t="s">
        <v>1072</v>
      </c>
      <c r="E120" s="301">
        <v>34900</v>
      </c>
      <c r="F120" s="308">
        <f>'exchange rates'!K29</f>
        <v>3.4691000000000001</v>
      </c>
      <c r="G120" s="319">
        <v>0</v>
      </c>
      <c r="H120" s="320">
        <f>1632.16/F120</f>
        <v>470.48514023810213</v>
      </c>
      <c r="I120" s="321">
        <v>0</v>
      </c>
      <c r="J120" s="559"/>
      <c r="K120" s="313">
        <f>Tabel6689262829[[#This Row],[Fix.ch. 2017]]+Tabel6689262829[[#This Row],[Var. ch. 2017]]+Tabel6689262829[[#This Row],[Oth. ch. DW 2017]]+Tabel6689262829[[#This Row],[VAT DW 2017]]</f>
        <v>470.48514023810213</v>
      </c>
      <c r="L120" s="322">
        <v>0</v>
      </c>
      <c r="M120" s="559"/>
      <c r="N120" s="323">
        <v>0</v>
      </c>
      <c r="O120" s="559"/>
      <c r="P120" s="324">
        <v>0</v>
      </c>
      <c r="Q120" s="559"/>
      <c r="R120" s="317">
        <f>Tabel6689262829[[#This Row],[VAT DW 2017]]+Tabel6689262829[[#This Row],[VAT Sew. 2017]]+Tabel6689262829[[#This Row],[VAT WW 2017]]+Tabel6689262829[[#This Row],[VAT Other ch. 2017]]</f>
        <v>0</v>
      </c>
      <c r="S120" s="318">
        <f>Tabel6689262829[[#This Row],[Total. ch. DW 2017]]+Tabel6689262829[[#This Row],[Sew. 2017]]+Tabel6689262829[[#This Row],[VAT Sew. 2017]]+Tabel6689262829[[#This Row],[WW 2017]]+Tabel6689262829[[#This Row],[VAT WW 2017]]+Tabel6689262829[[#This Row],[Other ch. 2017]]+Tabel6689262829[[#This Row],[VAT Other ch. 2017]]</f>
        <v>470.48514023810213</v>
      </c>
      <c r="T120" s="397"/>
      <c r="U120" s="331">
        <v>0</v>
      </c>
      <c r="V120" s="332">
        <f>Tabel6689262829[[#This Row],[Var. ch. 2017]]</f>
        <v>470.48514023810213</v>
      </c>
      <c r="W120" s="333">
        <v>0</v>
      </c>
      <c r="X120" s="574"/>
      <c r="Y120" s="334">
        <f>Tabel6689262829[[#This Row],[Total. ch. DW 2017]]</f>
        <v>470.48514023810213</v>
      </c>
      <c r="Z120" s="335">
        <v>0</v>
      </c>
      <c r="AA120" s="574"/>
      <c r="AB120" s="336">
        <v>0</v>
      </c>
      <c r="AC120" s="574"/>
      <c r="AD120" s="337">
        <v>0</v>
      </c>
      <c r="AE120" s="574"/>
      <c r="AF120" s="338">
        <f>Tabel6689262829[[#This Row],[Total VAT 2017]]</f>
        <v>0</v>
      </c>
      <c r="AG120" s="339">
        <f>Tabel6689262829[[#This Row],[total charge 2017]]</f>
        <v>470.48514023810213</v>
      </c>
      <c r="AH120" s="397"/>
      <c r="AI120" s="398"/>
      <c r="AJ120" s="398"/>
      <c r="AK120" s="398"/>
      <c r="AL120" s="396" t="s">
        <v>429</v>
      </c>
      <c r="AM120" s="398"/>
      <c r="AN120" s="398"/>
      <c r="AO120" s="398" t="s">
        <v>590</v>
      </c>
      <c r="AP120" s="397"/>
    </row>
    <row r="121" spans="1:42" ht="18" customHeight="1" x14ac:dyDescent="0.25">
      <c r="A121" s="1818" t="s">
        <v>17</v>
      </c>
      <c r="B121" s="546" t="s">
        <v>107</v>
      </c>
      <c r="C121" s="1046"/>
      <c r="D121" s="802" t="s">
        <v>1074</v>
      </c>
      <c r="E121" s="1966">
        <v>38000</v>
      </c>
      <c r="F121" s="616">
        <f>'exchange rates'!$O$30</f>
        <v>0.83301000000000003</v>
      </c>
      <c r="G121" s="549">
        <f>25.34/F121</f>
        <v>30.419802883518805</v>
      </c>
      <c r="H121" s="550">
        <f>220.98/F121</f>
        <v>265.27892822415095</v>
      </c>
      <c r="I121" s="551">
        <f>0.8/F121</f>
        <v>0.96037262457833639</v>
      </c>
      <c r="J121" s="560">
        <f>24.71/F121</f>
        <v>29.663509441663365</v>
      </c>
      <c r="K121" s="566">
        <f>Tabel6689262829[[#This Row],[Fix.ch. 2017]]+Tabel6689262829[[#This Row],[Var. ch. 2017]]+Tabel6689262829[[#This Row],[Oth. ch. DW 2017]]+Tabel6689262829[[#This Row],[VAT DW 2017]]</f>
        <v>326.32261317391146</v>
      </c>
      <c r="L121" s="567">
        <f>43.86/F121</f>
        <v>52.652429142507287</v>
      </c>
      <c r="M121" s="560">
        <f>4.39/F121</f>
        <v>5.2700447773736201</v>
      </c>
      <c r="N121" s="568">
        <f>118.19/F121</f>
        <v>141.88305062364196</v>
      </c>
      <c r="O121" s="560">
        <f>11.82/F121</f>
        <v>14.18950552814492</v>
      </c>
      <c r="P121" s="569">
        <f>1.6/F121</f>
        <v>1.9207452491566728</v>
      </c>
      <c r="Q121" s="560">
        <f>0.16/F121</f>
        <v>0.19207452491566729</v>
      </c>
      <c r="R121" s="570">
        <f>Tabel6689262829[[#This Row],[VAT DW 2017]]+Tabel6689262829[[#This Row],[VAT Sew. 2017]]+Tabel6689262829[[#This Row],[VAT WW 2017]]+Tabel6689262829[[#This Row],[VAT Other ch. 2017]]</f>
        <v>49.315134272097573</v>
      </c>
      <c r="S121" s="571">
        <f>Tabel6689262829[[#This Row],[Total. ch. DW 2017]]+Tabel6689262829[[#This Row],[Sew. 2017]]+Tabel6689262829[[#This Row],[VAT Sew. 2017]]+Tabel6689262829[[#This Row],[WW 2017]]+Tabel6689262829[[#This Row],[VAT WW 2017]]+Tabel6689262829[[#This Row],[Other ch. 2017]]+Tabel6689262829[[#This Row],[VAT Other ch. 2017]]</f>
        <v>542.4304630196516</v>
      </c>
      <c r="T121" s="397"/>
      <c r="U121" s="1924">
        <f>MEDIAN(G121:G125)</f>
        <v>13.013049063036458</v>
      </c>
      <c r="V121" s="1925">
        <f>MEDIAN(H121:H125)</f>
        <v>180.92219781275136</v>
      </c>
      <c r="W121" s="1926">
        <f>MEDIAN(I121:I125)</f>
        <v>0.96037262457833639</v>
      </c>
      <c r="X121" s="1938">
        <f>MEDIAN(J121:J125)</f>
        <v>19.231461807181184</v>
      </c>
      <c r="Y121" s="1916">
        <f>SUM(U121:X125)</f>
        <v>214.12708130754731</v>
      </c>
      <c r="Z121" s="1917">
        <f t="shared" ref="Z121:AF121" si="17">MEDIAN(L121:L125)</f>
        <v>52.652429142507287</v>
      </c>
      <c r="AA121" s="1938">
        <f t="shared" si="17"/>
        <v>5.2700447773736201</v>
      </c>
      <c r="AB121" s="1907">
        <f t="shared" si="17"/>
        <v>141.88305062364196</v>
      </c>
      <c r="AC121" s="1938">
        <f t="shared" si="17"/>
        <v>14.18950552814492</v>
      </c>
      <c r="AD121" s="1931">
        <f t="shared" si="17"/>
        <v>1.9207452491566728</v>
      </c>
      <c r="AE121" s="1938">
        <f t="shared" si="17"/>
        <v>0.19207452491566729</v>
      </c>
      <c r="AF121" s="1932">
        <f t="shared" si="17"/>
        <v>36.506164391784012</v>
      </c>
      <c r="AG121" s="1831">
        <f>Y121+Z121+AA121+AB121+AC121+AD121+AE121</f>
        <v>430.23493115328745</v>
      </c>
      <c r="AH121" s="397"/>
      <c r="AI121" s="398"/>
      <c r="AJ121" s="398"/>
      <c r="AK121" s="398"/>
      <c r="AL121" s="591" t="s">
        <v>429</v>
      </c>
      <c r="AM121" s="591" t="s">
        <v>429</v>
      </c>
      <c r="AN121" s="398"/>
      <c r="AO121" s="398"/>
      <c r="AP121" s="397"/>
    </row>
    <row r="122" spans="1:42" ht="15.75" x14ac:dyDescent="0.25">
      <c r="A122" s="1819"/>
      <c r="B122" s="547" t="s">
        <v>108</v>
      </c>
      <c r="C122" s="1046"/>
      <c r="D122" s="802" t="s">
        <v>1074</v>
      </c>
      <c r="E122" s="1760"/>
      <c r="F122" s="616">
        <f>'exchange rates'!$O$30</f>
        <v>0.83301000000000003</v>
      </c>
      <c r="G122" s="549">
        <f>0.5/F122</f>
        <v>0.60023289036146021</v>
      </c>
      <c r="H122" s="550">
        <f>39.17/F122</f>
        <v>47.022244630916795</v>
      </c>
      <c r="I122" s="551">
        <f>0.8/F122</f>
        <v>0.96037262457833639</v>
      </c>
      <c r="J122" s="560">
        <f>4.05/F122</f>
        <v>4.861886411927828</v>
      </c>
      <c r="K122" s="566">
        <f>Tabel6689262829[[#This Row],[Fix.ch. 2017]]+Tabel6689262829[[#This Row],[Var. ch. 2017]]+Tabel6689262829[[#This Row],[Oth. ch. DW 2017]]+Tabel6689262829[[#This Row],[VAT DW 2017]]</f>
        <v>53.444736557784417</v>
      </c>
      <c r="L122" s="567">
        <f>27.85/F122</f>
        <v>33.432971993133336</v>
      </c>
      <c r="M122" s="560">
        <f>2.79/F122</f>
        <v>3.3492995282169482</v>
      </c>
      <c r="N122" s="568">
        <f>71.43/F122</f>
        <v>85.749270717038215</v>
      </c>
      <c r="O122" s="560">
        <f>7.14/F122</f>
        <v>8.5713256743616508</v>
      </c>
      <c r="P122" s="569">
        <f>1.6/F122</f>
        <v>1.9207452491566728</v>
      </c>
      <c r="Q122" s="560">
        <f>0.16/F122</f>
        <v>0.19207452491566729</v>
      </c>
      <c r="R122" s="570">
        <f>Tabel6689262829[[#This Row],[VAT DW 2017]]+Tabel6689262829[[#This Row],[VAT Sew. 2017]]+Tabel6689262829[[#This Row],[VAT WW 2017]]+Tabel6689262829[[#This Row],[VAT Other ch. 2017]]</f>
        <v>16.974586139422094</v>
      </c>
      <c r="S122" s="571">
        <f>Tabel6689262829[[#This Row],[Total. ch. DW 2017]]+Tabel6689262829[[#This Row],[Sew. 2017]]+Tabel6689262829[[#This Row],[VAT Sew. 2017]]+Tabel6689262829[[#This Row],[WW 2017]]+Tabel6689262829[[#This Row],[VAT WW 2017]]+Tabel6689262829[[#This Row],[Other ch. 2017]]+Tabel6689262829[[#This Row],[VAT Other ch. 2017]]</f>
        <v>186.6604242446069</v>
      </c>
      <c r="T122" s="397"/>
      <c r="U122" s="1886"/>
      <c r="V122" s="1888"/>
      <c r="W122" s="1890"/>
      <c r="X122" s="1772"/>
      <c r="Y122" s="1892"/>
      <c r="Z122" s="1894"/>
      <c r="AA122" s="1772"/>
      <c r="AB122" s="1911"/>
      <c r="AC122" s="1772"/>
      <c r="AD122" s="1913"/>
      <c r="AE122" s="1772"/>
      <c r="AF122" s="1915"/>
      <c r="AG122" s="1832"/>
      <c r="AH122" s="397"/>
      <c r="AI122" s="398"/>
      <c r="AJ122" s="398"/>
      <c r="AK122" s="398"/>
      <c r="AL122" s="591" t="s">
        <v>429</v>
      </c>
      <c r="AM122" s="591" t="s">
        <v>429</v>
      </c>
      <c r="AN122" s="398"/>
      <c r="AO122" s="398"/>
      <c r="AP122" s="397"/>
    </row>
    <row r="123" spans="1:42" ht="15.75" x14ac:dyDescent="0.25">
      <c r="A123" s="1819"/>
      <c r="B123" s="547" t="s">
        <v>109</v>
      </c>
      <c r="C123" s="1046"/>
      <c r="D123" s="802" t="s">
        <v>1074</v>
      </c>
      <c r="E123" s="1760"/>
      <c r="F123" s="616">
        <f>'exchange rates'!$O$30</f>
        <v>0.83301000000000003</v>
      </c>
      <c r="G123" s="549">
        <f>10.84/F123</f>
        <v>13.013049063036458</v>
      </c>
      <c r="H123" s="550">
        <f>164.48/F123</f>
        <v>197.45261161330595</v>
      </c>
      <c r="I123" s="551">
        <f>0.8/F123</f>
        <v>0.96037262457833639</v>
      </c>
      <c r="J123" s="560">
        <f>17.61/F123</f>
        <v>21.140202398530629</v>
      </c>
      <c r="K123" s="566">
        <f>Tabel6689262829[[#This Row],[Fix.ch. 2017]]+Tabel6689262829[[#This Row],[Var. ch. 2017]]+Tabel6689262829[[#This Row],[Oth. ch. DW 2017]]+Tabel6689262829[[#This Row],[VAT DW 2017]]</f>
        <v>232.56623569945134</v>
      </c>
      <c r="L123" s="567">
        <f>23.25/F123</f>
        <v>27.910829401807902</v>
      </c>
      <c r="M123" s="560">
        <f>2.32/F123</f>
        <v>2.7850806112771753</v>
      </c>
      <c r="N123" s="568">
        <f>62.08/F123</f>
        <v>74.524915667278904</v>
      </c>
      <c r="O123" s="560">
        <f>6.21/F123</f>
        <v>7.4548924982893361</v>
      </c>
      <c r="P123" s="569">
        <f>1.6/F123</f>
        <v>1.9207452491566728</v>
      </c>
      <c r="Q123" s="560">
        <f>0.16/F123</f>
        <v>0.19207452491566729</v>
      </c>
      <c r="R123" s="570">
        <f>Tabel6689262829[[#This Row],[VAT DW 2017]]+Tabel6689262829[[#This Row],[VAT Sew. 2017]]+Tabel6689262829[[#This Row],[VAT WW 2017]]+Tabel6689262829[[#This Row],[VAT Other ch. 2017]]</f>
        <v>31.572250033012811</v>
      </c>
      <c r="S123" s="571">
        <f>Tabel6689262829[[#This Row],[Total. ch. DW 2017]]+Tabel6689262829[[#This Row],[Sew. 2017]]+Tabel6689262829[[#This Row],[VAT Sew. 2017]]+Tabel6689262829[[#This Row],[WW 2017]]+Tabel6689262829[[#This Row],[VAT WW 2017]]+Tabel6689262829[[#This Row],[Other ch. 2017]]+Tabel6689262829[[#This Row],[VAT Other ch. 2017]]</f>
        <v>347.35477365217696</v>
      </c>
      <c r="T123" s="397"/>
      <c r="U123" s="1886"/>
      <c r="V123" s="1888"/>
      <c r="W123" s="1890"/>
      <c r="X123" s="1772"/>
      <c r="Y123" s="1892"/>
      <c r="Z123" s="1894"/>
      <c r="AA123" s="1772"/>
      <c r="AB123" s="1911"/>
      <c r="AC123" s="1772"/>
      <c r="AD123" s="1913"/>
      <c r="AE123" s="1772"/>
      <c r="AF123" s="1915"/>
      <c r="AG123" s="1832"/>
      <c r="AH123" s="397"/>
      <c r="AI123" s="398"/>
      <c r="AJ123" s="398"/>
      <c r="AK123" s="398"/>
      <c r="AL123" s="591" t="s">
        <v>429</v>
      </c>
      <c r="AM123" s="591" t="s">
        <v>429</v>
      </c>
      <c r="AN123" s="398"/>
      <c r="AO123" s="398"/>
      <c r="AP123" s="397"/>
    </row>
    <row r="124" spans="1:42" ht="15.75" x14ac:dyDescent="0.25">
      <c r="A124" s="1819"/>
      <c r="B124" s="547" t="s">
        <v>110</v>
      </c>
      <c r="C124" s="1046" t="s">
        <v>429</v>
      </c>
      <c r="D124" s="802" t="s">
        <v>1074</v>
      </c>
      <c r="E124" s="1760"/>
      <c r="F124" s="616">
        <f>'exchange rates'!$O$30</f>
        <v>0.83301000000000003</v>
      </c>
      <c r="G124" s="549">
        <f>18.35/F124</f>
        <v>22.028547076265593</v>
      </c>
      <c r="H124" s="550">
        <f>105.09/F124</f>
        <v>126.15694889617171</v>
      </c>
      <c r="I124" s="551">
        <f>0.8/F124</f>
        <v>0.96037262457833639</v>
      </c>
      <c r="J124" s="560">
        <f>12.42/F124</f>
        <v>14.909784996578672</v>
      </c>
      <c r="K124" s="566">
        <f>Tabel6689262829[[#This Row],[Fix.ch. 2017]]+Tabel6689262829[[#This Row],[Var. ch. 2017]]+Tabel6689262829[[#This Row],[Oth. ch. DW 2017]]+Tabel6689262829[[#This Row],[VAT DW 2017]]</f>
        <v>164.05565359359431</v>
      </c>
      <c r="L124" s="567">
        <f>45.82/F124</f>
        <v>55.005342072724218</v>
      </c>
      <c r="M124" s="560">
        <f>4.58/F124</f>
        <v>5.498133275710976</v>
      </c>
      <c r="N124" s="568">
        <f>132.55/F124</f>
        <v>159.12173923482311</v>
      </c>
      <c r="O124" s="560">
        <f>13.25/F124</f>
        <v>15.906171594578696</v>
      </c>
      <c r="P124" s="569">
        <f>1.6/F124</f>
        <v>1.9207452491566728</v>
      </c>
      <c r="Q124" s="560">
        <f>0.16/F124</f>
        <v>0.19207452491566729</v>
      </c>
      <c r="R124" s="570">
        <f>Tabel6689262829[[#This Row],[VAT DW 2017]]+Tabel6689262829[[#This Row],[VAT Sew. 2017]]+Tabel6689262829[[#This Row],[VAT WW 2017]]+Tabel6689262829[[#This Row],[VAT Other ch. 2017]]</f>
        <v>36.506164391784012</v>
      </c>
      <c r="S124" s="571">
        <f>Tabel6689262829[[#This Row],[Total. ch. DW 2017]]+Tabel6689262829[[#This Row],[Sew. 2017]]+Tabel6689262829[[#This Row],[VAT Sew. 2017]]+Tabel6689262829[[#This Row],[WW 2017]]+Tabel6689262829[[#This Row],[VAT WW 2017]]+Tabel6689262829[[#This Row],[Other ch. 2017]]+Tabel6689262829[[#This Row],[VAT Other ch. 2017]]</f>
        <v>401.69985954550367</v>
      </c>
      <c r="T124" s="397"/>
      <c r="U124" s="1886"/>
      <c r="V124" s="1888"/>
      <c r="W124" s="1890"/>
      <c r="X124" s="1772"/>
      <c r="Y124" s="1892"/>
      <c r="Z124" s="1894"/>
      <c r="AA124" s="1772"/>
      <c r="AB124" s="1911"/>
      <c r="AC124" s="1772"/>
      <c r="AD124" s="1913"/>
      <c r="AE124" s="1772"/>
      <c r="AF124" s="1915"/>
      <c r="AG124" s="1832"/>
      <c r="AH124" s="397"/>
      <c r="AI124" s="398"/>
      <c r="AJ124" s="398"/>
      <c r="AK124" s="398"/>
      <c r="AL124" s="591" t="s">
        <v>429</v>
      </c>
      <c r="AM124" s="591" t="s">
        <v>429</v>
      </c>
      <c r="AN124" s="398"/>
      <c r="AO124" s="398"/>
      <c r="AP124" s="397"/>
    </row>
    <row r="125" spans="1:42" ht="16.5" thickBot="1" x14ac:dyDescent="0.3">
      <c r="A125" s="1820"/>
      <c r="B125" s="613" t="s">
        <v>111</v>
      </c>
      <c r="C125" s="1046"/>
      <c r="D125" s="807" t="s">
        <v>1074</v>
      </c>
      <c r="E125" s="1799"/>
      <c r="F125" s="616">
        <f>'exchange rates'!$O$30</f>
        <v>0.83301000000000003</v>
      </c>
      <c r="G125" s="549">
        <f>8.64/F125</f>
        <v>10.372024345446034</v>
      </c>
      <c r="H125" s="550">
        <f>150.71/F125</f>
        <v>180.92219781275136</v>
      </c>
      <c r="I125" s="551">
        <f>0.8/F125</f>
        <v>0.96037262457833639</v>
      </c>
      <c r="J125" s="560">
        <f>16.02/F125</f>
        <v>19.231461807181184</v>
      </c>
      <c r="K125" s="566">
        <f>Tabel6689262829[[#This Row],[Fix.ch. 2017]]+Tabel6689262829[[#This Row],[Var. ch. 2017]]+Tabel6689262829[[#This Row],[Oth. ch. DW 2017]]+Tabel6689262829[[#This Row],[VAT DW 2017]]</f>
        <v>211.48605658995689</v>
      </c>
      <c r="L125" s="567">
        <f>53.07/F125</f>
        <v>63.708718982965387</v>
      </c>
      <c r="M125" s="560">
        <f>5.31/F125</f>
        <v>6.3744732956387073</v>
      </c>
      <c r="N125" s="568">
        <f>141.5/F125</f>
        <v>169.86590797229326</v>
      </c>
      <c r="O125" s="560">
        <f>14.15/F125</f>
        <v>16.986590797229326</v>
      </c>
      <c r="P125" s="569">
        <f>1.6/F125</f>
        <v>1.9207452491566728</v>
      </c>
      <c r="Q125" s="560">
        <f>0.16/F125</f>
        <v>0.19207452491566729</v>
      </c>
      <c r="R125" s="570">
        <f>Tabel6689262829[[#This Row],[VAT DW 2017]]+Tabel6689262829[[#This Row],[VAT Sew. 2017]]+Tabel6689262829[[#This Row],[VAT WW 2017]]+Tabel6689262829[[#This Row],[VAT Other ch. 2017]]</f>
        <v>42.784600424964886</v>
      </c>
      <c r="S125" s="571">
        <f>Tabel6689262829[[#This Row],[Total. ch. DW 2017]]+Tabel6689262829[[#This Row],[Sew. 2017]]+Tabel6689262829[[#This Row],[VAT Sew. 2017]]+Tabel6689262829[[#This Row],[WW 2017]]+Tabel6689262829[[#This Row],[VAT WW 2017]]+Tabel6689262829[[#This Row],[Other ch. 2017]]+Tabel6689262829[[#This Row],[VAT Other ch. 2017]]</f>
        <v>470.53456741215587</v>
      </c>
      <c r="T125" s="397"/>
      <c r="U125" s="1801"/>
      <c r="V125" s="1803"/>
      <c r="W125" s="1805"/>
      <c r="X125" s="1773"/>
      <c r="Y125" s="1807"/>
      <c r="Z125" s="1809"/>
      <c r="AA125" s="1773"/>
      <c r="AB125" s="1782"/>
      <c r="AC125" s="1773"/>
      <c r="AD125" s="1786"/>
      <c r="AE125" s="1773"/>
      <c r="AF125" s="1789"/>
      <c r="AG125" s="1792"/>
      <c r="AH125" s="397"/>
      <c r="AI125" s="398"/>
      <c r="AJ125" s="398"/>
      <c r="AK125" s="398"/>
      <c r="AL125" s="591" t="s">
        <v>429</v>
      </c>
      <c r="AM125" s="591" t="s">
        <v>429</v>
      </c>
      <c r="AN125" s="398"/>
      <c r="AO125" s="398"/>
      <c r="AP125" s="397"/>
    </row>
    <row r="126" spans="1:42" ht="18" customHeight="1" x14ac:dyDescent="0.25">
      <c r="A126" s="1818" t="s">
        <v>18</v>
      </c>
      <c r="B126" s="546" t="s">
        <v>112</v>
      </c>
      <c r="C126" s="1046"/>
      <c r="D126" s="802" t="s">
        <v>1076</v>
      </c>
      <c r="E126" s="1966">
        <v>42700</v>
      </c>
      <c r="F126" s="617">
        <f>'exchange rates'!$O$31</f>
        <v>112.66098</v>
      </c>
      <c r="G126" s="549">
        <f>7500/F126</f>
        <v>66.571407420741423</v>
      </c>
      <c r="H126" s="550">
        <f>11568/F126</f>
        <v>102.67973880575155</v>
      </c>
      <c r="I126" s="551">
        <f>0</f>
        <v>0</v>
      </c>
      <c r="J126" s="560">
        <f>1520/F126</f>
        <v>13.49180523727026</v>
      </c>
      <c r="K126" s="566">
        <f>Tabel6689262829[[#This Row],[Fix.ch. 2017]]+Tabel6689262829[[#This Row],[Var. ch. 2017]]+Tabel6689262829[[#This Row],[Oth. ch. DW 2017]]+Tabel6689262829[[#This Row],[VAT DW 2017]]</f>
        <v>182.74295146376323</v>
      </c>
      <c r="L126" s="567">
        <f>14496/F126</f>
        <v>128.66921626280902</v>
      </c>
      <c r="M126" s="560">
        <f>1156/F126</f>
        <v>10.260872930450278</v>
      </c>
      <c r="N126" s="568">
        <v>0</v>
      </c>
      <c r="O126" s="560">
        <v>0</v>
      </c>
      <c r="P126" s="569">
        <v>0</v>
      </c>
      <c r="Q126" s="560">
        <v>0</v>
      </c>
      <c r="R126" s="570">
        <f>Tabel6689262829[[#This Row],[VAT DW 2017]]+Tabel6689262829[[#This Row],[VAT Sew. 2017]]+Tabel6689262829[[#This Row],[VAT WW 2017]]+Tabel6689262829[[#This Row],[VAT Other ch. 2017]]</f>
        <v>23.752678167720539</v>
      </c>
      <c r="S126" s="571">
        <f>Tabel6689262829[[#This Row],[Total. ch. DW 2017]]+Tabel6689262829[[#This Row],[Sew. 2017]]+Tabel6689262829[[#This Row],[VAT Sew. 2017]]+Tabel6689262829[[#This Row],[WW 2017]]+Tabel6689262829[[#This Row],[VAT WW 2017]]+Tabel6689262829[[#This Row],[Other ch. 2017]]+Tabel6689262829[[#This Row],[VAT Other ch. 2017]]</f>
        <v>321.67304065702251</v>
      </c>
      <c r="T126" s="397"/>
      <c r="U126" s="1800">
        <f>MEDIAN(G126:G133)</f>
        <v>90.537114092208327</v>
      </c>
      <c r="V126" s="1802">
        <f>MEDIAN(H126:H133)</f>
        <v>109.92270793312822</v>
      </c>
      <c r="W126" s="1804">
        <f>MEDIAN(I126:I133)</f>
        <v>0</v>
      </c>
      <c r="X126" s="1771">
        <f>MEDIAN(J126:J133)</f>
        <v>16.505270946515822</v>
      </c>
      <c r="Y126" s="1806">
        <f>SUM(U126:X133)</f>
        <v>216.96509297185239</v>
      </c>
      <c r="Z126" s="1808">
        <f t="shared" ref="Z126:AF126" si="18">MEDIAN(L126:L133)</f>
        <v>151.55202804023185</v>
      </c>
      <c r="AA126" s="1771">
        <f t="shared" si="18"/>
        <v>12.102681869090791</v>
      </c>
      <c r="AB126" s="1780">
        <f t="shared" si="18"/>
        <v>0</v>
      </c>
      <c r="AC126" s="1771">
        <f t="shared" si="18"/>
        <v>0</v>
      </c>
      <c r="AD126" s="1784">
        <f t="shared" si="18"/>
        <v>0</v>
      </c>
      <c r="AE126" s="1771">
        <f t="shared" si="18"/>
        <v>0</v>
      </c>
      <c r="AF126" s="1787">
        <f t="shared" si="18"/>
        <v>29.912752401053144</v>
      </c>
      <c r="AG126" s="1790">
        <f>Y126+Z126+AA126+AB126+AC126+AD126+AE126</f>
        <v>380.61980288117502</v>
      </c>
      <c r="AH126" s="397"/>
      <c r="AI126" s="591" t="s">
        <v>429</v>
      </c>
      <c r="AJ126" s="396"/>
      <c r="AK126" s="398"/>
      <c r="AL126" s="591" t="s">
        <v>429</v>
      </c>
      <c r="AM126" s="398"/>
      <c r="AN126" s="398"/>
      <c r="AO126" s="398"/>
      <c r="AP126" s="397"/>
    </row>
    <row r="127" spans="1:42" ht="15.75" x14ac:dyDescent="0.25">
      <c r="A127" s="1819"/>
      <c r="B127" s="547" t="s">
        <v>113</v>
      </c>
      <c r="C127" s="1046"/>
      <c r="D127" s="802" t="s">
        <v>1076</v>
      </c>
      <c r="E127" s="1967"/>
      <c r="F127" s="617">
        <f>'exchange rates'!$O$31</f>
        <v>112.66098</v>
      </c>
      <c r="G127" s="549">
        <f>10200/F127</f>
        <v>90.537114092208327</v>
      </c>
      <c r="H127" s="550">
        <f>8960/F127</f>
        <v>79.530641398645741</v>
      </c>
      <c r="I127" s="551">
        <v>0</v>
      </c>
      <c r="J127" s="560">
        <f>1528/F127</f>
        <v>13.562814738519052</v>
      </c>
      <c r="K127" s="566">
        <f>Tabel6689262829[[#This Row],[Fix.ch. 2017]]+Tabel6689262829[[#This Row],[Var. ch. 2017]]+Tabel6689262829[[#This Row],[Oth. ch. DW 2017]]+Tabel6689262829[[#This Row],[VAT DW 2017]]</f>
        <v>183.63057022937312</v>
      </c>
      <c r="L127" s="567">
        <f>11480/F127</f>
        <v>101.89863429201486</v>
      </c>
      <c r="M127" s="560">
        <f>916/F127</f>
        <v>8.1305878929865525</v>
      </c>
      <c r="N127" s="568">
        <v>0</v>
      </c>
      <c r="O127" s="560">
        <v>0</v>
      </c>
      <c r="P127" s="569">
        <v>0</v>
      </c>
      <c r="Q127" s="560">
        <v>0</v>
      </c>
      <c r="R127" s="570">
        <f>Tabel6689262829[[#This Row],[VAT DW 2017]]+Tabel6689262829[[#This Row],[VAT Sew. 2017]]+Tabel6689262829[[#This Row],[VAT WW 2017]]+Tabel6689262829[[#This Row],[VAT Other ch. 2017]]</f>
        <v>21.693402631505606</v>
      </c>
      <c r="S127" s="571">
        <f>Tabel6689262829[[#This Row],[Total. ch. DW 2017]]+Tabel6689262829[[#This Row],[Sew. 2017]]+Tabel6689262829[[#This Row],[VAT Sew. 2017]]+Tabel6689262829[[#This Row],[WW 2017]]+Tabel6689262829[[#This Row],[VAT WW 2017]]+Tabel6689262829[[#This Row],[Other ch. 2017]]+Tabel6689262829[[#This Row],[VAT Other ch. 2017]]</f>
        <v>293.65979241437458</v>
      </c>
      <c r="T127" s="397"/>
      <c r="U127" s="1763"/>
      <c r="V127" s="1766"/>
      <c r="W127" s="1769"/>
      <c r="X127" s="1772"/>
      <c r="Y127" s="1775"/>
      <c r="Z127" s="1778"/>
      <c r="AA127" s="1772"/>
      <c r="AB127" s="1781"/>
      <c r="AC127" s="1772"/>
      <c r="AD127" s="1785"/>
      <c r="AE127" s="1772"/>
      <c r="AF127" s="1788"/>
      <c r="AG127" s="1791"/>
      <c r="AH127" s="397"/>
      <c r="AI127" s="591" t="s">
        <v>429</v>
      </c>
      <c r="AJ127" s="396"/>
      <c r="AK127" s="398"/>
      <c r="AL127" s="591" t="s">
        <v>429</v>
      </c>
      <c r="AM127" s="398"/>
      <c r="AN127" s="398"/>
      <c r="AO127" s="398"/>
      <c r="AP127" s="397"/>
    </row>
    <row r="128" spans="1:42" ht="15.75" x14ac:dyDescent="0.25">
      <c r="A128" s="1819"/>
      <c r="B128" s="547" t="s">
        <v>114</v>
      </c>
      <c r="C128" s="1046"/>
      <c r="D128" s="802" t="s">
        <v>1076</v>
      </c>
      <c r="E128" s="1967"/>
      <c r="F128" s="617">
        <f>'exchange rates'!$O$31</f>
        <v>112.66098</v>
      </c>
      <c r="G128" s="549">
        <f>9720/F128</f>
        <v>86.27654401728087</v>
      </c>
      <c r="H128" s="550">
        <f>10320/F128</f>
        <v>91.602256610940188</v>
      </c>
      <c r="I128" s="551">
        <v>0</v>
      </c>
      <c r="J128" s="560">
        <f>1601/F128</f>
        <v>14.210776437414268</v>
      </c>
      <c r="K128" s="566">
        <f>Tabel6689262829[[#This Row],[Fix.ch. 2017]]+Tabel6689262829[[#This Row],[Var. ch. 2017]]+Tabel6689262829[[#This Row],[Oth. ch. DW 2017]]+Tabel6689262829[[#This Row],[VAT DW 2017]]</f>
        <v>192.08957706563532</v>
      </c>
      <c r="L128" s="567">
        <f>18180/F128</f>
        <v>161.36909158787719</v>
      </c>
      <c r="M128" s="560">
        <f>1453/F128</f>
        <v>12.897100664311637</v>
      </c>
      <c r="N128" s="568">
        <v>0</v>
      </c>
      <c r="O128" s="560">
        <v>0</v>
      </c>
      <c r="P128" s="569">
        <v>0</v>
      </c>
      <c r="Q128" s="560">
        <v>0</v>
      </c>
      <c r="R128" s="570">
        <f>Tabel6689262829[[#This Row],[VAT DW 2017]]+Tabel6689262829[[#This Row],[VAT Sew. 2017]]+Tabel6689262829[[#This Row],[VAT WW 2017]]+Tabel6689262829[[#This Row],[VAT Other ch. 2017]]</f>
        <v>27.107877101725904</v>
      </c>
      <c r="S128" s="571">
        <f>Tabel6689262829[[#This Row],[Total. ch. DW 2017]]+Tabel6689262829[[#This Row],[Sew. 2017]]+Tabel6689262829[[#This Row],[VAT Sew. 2017]]+Tabel6689262829[[#This Row],[WW 2017]]+Tabel6689262829[[#This Row],[VAT WW 2017]]+Tabel6689262829[[#This Row],[Other ch. 2017]]+Tabel6689262829[[#This Row],[VAT Other ch. 2017]]</f>
        <v>366.35576931782418</v>
      </c>
      <c r="T128" s="397"/>
      <c r="U128" s="1763"/>
      <c r="V128" s="1766"/>
      <c r="W128" s="1769"/>
      <c r="X128" s="1772"/>
      <c r="Y128" s="1775"/>
      <c r="Z128" s="1778"/>
      <c r="AA128" s="1772"/>
      <c r="AB128" s="1781"/>
      <c r="AC128" s="1772"/>
      <c r="AD128" s="1785"/>
      <c r="AE128" s="1772"/>
      <c r="AF128" s="1788"/>
      <c r="AG128" s="1791"/>
      <c r="AH128" s="397"/>
      <c r="AI128" s="591" t="s">
        <v>429</v>
      </c>
      <c r="AJ128" s="396"/>
      <c r="AK128" s="398"/>
      <c r="AL128" s="591" t="s">
        <v>429</v>
      </c>
      <c r="AM128" s="398"/>
      <c r="AN128" s="398"/>
      <c r="AO128" s="398"/>
      <c r="AP128" s="397"/>
    </row>
    <row r="129" spans="1:42" ht="15.75" x14ac:dyDescent="0.25">
      <c r="A129" s="1819"/>
      <c r="B129" s="547" t="s">
        <v>115</v>
      </c>
      <c r="C129" s="1046"/>
      <c r="D129" s="802" t="s">
        <v>1076</v>
      </c>
      <c r="E129" s="1967"/>
      <c r="F129" s="617">
        <f>'exchange rates'!$O$31</f>
        <v>112.66098</v>
      </c>
      <c r="G129" s="549">
        <f>10200/F129</f>
        <v>90.537114092208327</v>
      </c>
      <c r="H129" s="550">
        <f>13200/F129</f>
        <v>117.16567706050489</v>
      </c>
      <c r="I129" s="551">
        <v>0</v>
      </c>
      <c r="J129" s="560">
        <f>1871/F129</f>
        <v>16.607347104560958</v>
      </c>
      <c r="K129" s="566">
        <f>Tabel6689262829[[#This Row],[Fix.ch. 2017]]+Tabel6689262829[[#This Row],[Var. ch. 2017]]+Tabel6689262829[[#This Row],[Oth. ch. DW 2017]]+Tabel6689262829[[#This Row],[VAT DW 2017]]</f>
        <v>224.31013825727416</v>
      </c>
      <c r="L129" s="567">
        <f>21624/F129</f>
        <v>191.93868187548165</v>
      </c>
      <c r="M129" s="560">
        <f>1729/F129</f>
        <v>15.346928457394922</v>
      </c>
      <c r="N129" s="568">
        <v>0</v>
      </c>
      <c r="O129" s="560">
        <v>0</v>
      </c>
      <c r="P129" s="569">
        <v>0</v>
      </c>
      <c r="Q129" s="560">
        <v>0</v>
      </c>
      <c r="R129" s="570">
        <f>Tabel6689262829[[#This Row],[VAT DW 2017]]+Tabel6689262829[[#This Row],[VAT Sew. 2017]]+Tabel6689262829[[#This Row],[VAT WW 2017]]+Tabel6689262829[[#This Row],[VAT Other ch. 2017]]</f>
        <v>31.954275561955882</v>
      </c>
      <c r="S129" s="571">
        <f>Tabel6689262829[[#This Row],[Total. ch. DW 2017]]+Tabel6689262829[[#This Row],[Sew. 2017]]+Tabel6689262829[[#This Row],[VAT Sew. 2017]]+Tabel6689262829[[#This Row],[WW 2017]]+Tabel6689262829[[#This Row],[VAT WW 2017]]+Tabel6689262829[[#This Row],[Other ch. 2017]]+Tabel6689262829[[#This Row],[VAT Other ch. 2017]]</f>
        <v>431.59574859015072</v>
      </c>
      <c r="T129" s="397"/>
      <c r="U129" s="1763"/>
      <c r="V129" s="1766"/>
      <c r="W129" s="1769"/>
      <c r="X129" s="1772"/>
      <c r="Y129" s="1775"/>
      <c r="Z129" s="1778"/>
      <c r="AA129" s="1772"/>
      <c r="AB129" s="1781"/>
      <c r="AC129" s="1772"/>
      <c r="AD129" s="1785"/>
      <c r="AE129" s="1772"/>
      <c r="AF129" s="1788"/>
      <c r="AG129" s="1791"/>
      <c r="AH129" s="397"/>
      <c r="AI129" s="591" t="s">
        <v>429</v>
      </c>
      <c r="AJ129" s="396"/>
      <c r="AK129" s="398"/>
      <c r="AL129" s="591" t="s">
        <v>429</v>
      </c>
      <c r="AM129" s="398"/>
      <c r="AN129" s="398"/>
      <c r="AO129" s="398"/>
      <c r="AP129" s="397"/>
    </row>
    <row r="130" spans="1:42" ht="15.75" x14ac:dyDescent="0.25">
      <c r="A130" s="1819"/>
      <c r="B130" s="547" t="s">
        <v>116</v>
      </c>
      <c r="C130" s="1046"/>
      <c r="D130" s="802" t="s">
        <v>1076</v>
      </c>
      <c r="E130" s="1967"/>
      <c r="F130" s="617">
        <f>'exchange rates'!$O$31</f>
        <v>112.66098</v>
      </c>
      <c r="G130" s="549">
        <f>15840/F130</f>
        <v>140.59881247260589</v>
      </c>
      <c r="H130" s="550">
        <f>16800/F130</f>
        <v>149.11995262246077</v>
      </c>
      <c r="I130" s="551">
        <v>0</v>
      </c>
      <c r="J130" s="560">
        <f>2602/F130</f>
        <v>23.095840281169224</v>
      </c>
      <c r="K130" s="566">
        <f>Tabel6689262829[[#This Row],[Fix.ch. 2017]]+Tabel6689262829[[#This Row],[Var. ch. 2017]]+Tabel6689262829[[#This Row],[Oth. ch. DW 2017]]+Tabel6689262829[[#This Row],[VAT DW 2017]]</f>
        <v>312.81460537623587</v>
      </c>
      <c r="L130" s="567">
        <f>12828/F130</f>
        <v>113.86373525243611</v>
      </c>
      <c r="M130" s="560">
        <f>1022/F130</f>
        <v>9.0714637845330302</v>
      </c>
      <c r="N130" s="568">
        <v>0</v>
      </c>
      <c r="O130" s="560">
        <v>0</v>
      </c>
      <c r="P130" s="569">
        <v>0</v>
      </c>
      <c r="Q130" s="560">
        <v>0</v>
      </c>
      <c r="R130" s="570">
        <f>Tabel6689262829[[#This Row],[VAT DW 2017]]+Tabel6689262829[[#This Row],[VAT Sew. 2017]]+Tabel6689262829[[#This Row],[VAT WW 2017]]+Tabel6689262829[[#This Row],[VAT Other ch. 2017]]</f>
        <v>32.167304065702254</v>
      </c>
      <c r="S130" s="571">
        <f>Tabel6689262829[[#This Row],[Total. ch. DW 2017]]+Tabel6689262829[[#This Row],[Sew. 2017]]+Tabel6689262829[[#This Row],[VAT Sew. 2017]]+Tabel6689262829[[#This Row],[WW 2017]]+Tabel6689262829[[#This Row],[VAT WW 2017]]+Tabel6689262829[[#This Row],[Other ch. 2017]]+Tabel6689262829[[#This Row],[VAT Other ch. 2017]]</f>
        <v>435.74980441320503</v>
      </c>
      <c r="T130" s="397"/>
      <c r="U130" s="1763"/>
      <c r="V130" s="1766"/>
      <c r="W130" s="1769"/>
      <c r="X130" s="1772"/>
      <c r="Y130" s="1775"/>
      <c r="Z130" s="1778"/>
      <c r="AA130" s="1772"/>
      <c r="AB130" s="1781"/>
      <c r="AC130" s="1772"/>
      <c r="AD130" s="1785"/>
      <c r="AE130" s="1772"/>
      <c r="AF130" s="1788"/>
      <c r="AG130" s="1791"/>
      <c r="AH130" s="397"/>
      <c r="AI130" s="591" t="s">
        <v>429</v>
      </c>
      <c r="AJ130" s="396"/>
      <c r="AK130" s="398"/>
      <c r="AL130" s="591" t="s">
        <v>429</v>
      </c>
      <c r="AM130" s="398"/>
      <c r="AN130" s="398"/>
      <c r="AO130" s="398"/>
      <c r="AP130" s="397"/>
    </row>
    <row r="131" spans="1:42" ht="15.75" x14ac:dyDescent="0.25">
      <c r="A131" s="1819"/>
      <c r="B131" s="547" t="s">
        <v>117</v>
      </c>
      <c r="C131" s="1046"/>
      <c r="D131" s="802" t="s">
        <v>1076</v>
      </c>
      <c r="E131" s="1967"/>
      <c r="F131" s="617">
        <f>'exchange rates'!$O$31</f>
        <v>112.66098</v>
      </c>
      <c r="G131" s="549">
        <f>15000/F131</f>
        <v>133.14281484148285</v>
      </c>
      <c r="H131" s="550">
        <f>24252/F131</f>
        <v>215.26530303570945</v>
      </c>
      <c r="I131" s="551">
        <v>0</v>
      </c>
      <c r="J131" s="560">
        <f>3133/F131</f>
        <v>27.809095926557713</v>
      </c>
      <c r="K131" s="566">
        <f>Tabel6689262829[[#This Row],[Fix.ch. 2017]]+Tabel6689262829[[#This Row],[Var. ch. 2017]]+Tabel6689262829[[#This Row],[Oth. ch. DW 2017]]+Tabel6689262829[[#This Row],[VAT DW 2017]]</f>
        <v>376.21721380374998</v>
      </c>
      <c r="L131" s="567">
        <f>16668/F131</f>
        <v>147.94829585185573</v>
      </c>
      <c r="M131" s="560">
        <f>1331/F131</f>
        <v>11.814205770267577</v>
      </c>
      <c r="N131" s="568">
        <v>0</v>
      </c>
      <c r="O131" s="560">
        <v>0</v>
      </c>
      <c r="P131" s="569">
        <v>0</v>
      </c>
      <c r="Q131" s="560">
        <v>0</v>
      </c>
      <c r="R131" s="570">
        <f>Tabel6689262829[[#This Row],[VAT DW 2017]]+Tabel6689262829[[#This Row],[VAT Sew. 2017]]+Tabel6689262829[[#This Row],[VAT WW 2017]]+Tabel6689262829[[#This Row],[VAT Other ch. 2017]]</f>
        <v>39.623301696825294</v>
      </c>
      <c r="S131" s="571">
        <f>Tabel6689262829[[#This Row],[Total. ch. DW 2017]]+Tabel6689262829[[#This Row],[Sew. 2017]]+Tabel6689262829[[#This Row],[VAT Sew. 2017]]+Tabel6689262829[[#This Row],[WW 2017]]+Tabel6689262829[[#This Row],[VAT WW 2017]]+Tabel6689262829[[#This Row],[Other ch. 2017]]+Tabel6689262829[[#This Row],[VAT Other ch. 2017]]</f>
        <v>535.97971542587334</v>
      </c>
      <c r="T131" s="397"/>
      <c r="U131" s="1763"/>
      <c r="V131" s="1766"/>
      <c r="W131" s="1769"/>
      <c r="X131" s="1772"/>
      <c r="Y131" s="1775"/>
      <c r="Z131" s="1778"/>
      <c r="AA131" s="1772"/>
      <c r="AB131" s="1781"/>
      <c r="AC131" s="1772"/>
      <c r="AD131" s="1785"/>
      <c r="AE131" s="1772"/>
      <c r="AF131" s="1788"/>
      <c r="AG131" s="1791"/>
      <c r="AH131" s="397"/>
      <c r="AI131" s="591" t="s">
        <v>429</v>
      </c>
      <c r="AJ131" s="396"/>
      <c r="AK131" s="398"/>
      <c r="AL131" s="591" t="s">
        <v>429</v>
      </c>
      <c r="AM131" s="398"/>
      <c r="AN131" s="398"/>
      <c r="AO131" s="398"/>
      <c r="AP131" s="397"/>
    </row>
    <row r="132" spans="1:42" ht="15.75" x14ac:dyDescent="0.25">
      <c r="A132" s="1819"/>
      <c r="B132" s="547" t="s">
        <v>118</v>
      </c>
      <c r="C132" s="1046" t="s">
        <v>429</v>
      </c>
      <c r="D132" s="802" t="s">
        <v>1076</v>
      </c>
      <c r="E132" s="1967"/>
      <c r="F132" s="617">
        <f>'exchange rates'!$O$31</f>
        <v>112.66098</v>
      </c>
      <c r="G132" s="549">
        <f>14040/F132</f>
        <v>124.62167469162793</v>
      </c>
      <c r="H132" s="550">
        <f>11560/F132</f>
        <v>102.60872930450277</v>
      </c>
      <c r="I132" s="551">
        <v>0</v>
      </c>
      <c r="J132" s="560">
        <f>2045/F132</f>
        <v>18.15180375672216</v>
      </c>
      <c r="K132" s="566">
        <f>Tabel6689262829[[#This Row],[Fix.ch. 2017]]+Tabel6689262829[[#This Row],[Var. ch. 2017]]+Tabel6689262829[[#This Row],[Oth. ch. DW 2017]]+Tabel6689262829[[#This Row],[VAT DW 2017]]</f>
        <v>245.38220775285285</v>
      </c>
      <c r="L132" s="567">
        <f>18160/F132</f>
        <v>161.1915678347552</v>
      </c>
      <c r="M132" s="560">
        <f>1451/F132</f>
        <v>12.87934828899944</v>
      </c>
      <c r="N132" s="568">
        <v>0</v>
      </c>
      <c r="O132" s="560">
        <v>0</v>
      </c>
      <c r="P132" s="569">
        <v>0</v>
      </c>
      <c r="Q132" s="560">
        <v>0</v>
      </c>
      <c r="R132" s="570">
        <f>Tabel6689262829[[#This Row],[VAT DW 2017]]+Tabel6689262829[[#This Row],[VAT Sew. 2017]]+Tabel6689262829[[#This Row],[VAT WW 2017]]+Tabel6689262829[[#This Row],[VAT Other ch. 2017]]</f>
        <v>31.031152045721598</v>
      </c>
      <c r="S132" s="571">
        <f>Tabel6689262829[[#This Row],[Total. ch. DW 2017]]+Tabel6689262829[[#This Row],[Sew. 2017]]+Tabel6689262829[[#This Row],[VAT Sew. 2017]]+Tabel6689262829[[#This Row],[WW 2017]]+Tabel6689262829[[#This Row],[VAT WW 2017]]+Tabel6689262829[[#This Row],[Other ch. 2017]]+Tabel6689262829[[#This Row],[VAT Other ch. 2017]]</f>
        <v>419.45312387660749</v>
      </c>
      <c r="T132" s="397"/>
      <c r="U132" s="1763"/>
      <c r="V132" s="1766"/>
      <c r="W132" s="1769"/>
      <c r="X132" s="1772"/>
      <c r="Y132" s="1775"/>
      <c r="Z132" s="1778"/>
      <c r="AA132" s="1772"/>
      <c r="AB132" s="1781"/>
      <c r="AC132" s="1772"/>
      <c r="AD132" s="1785"/>
      <c r="AE132" s="1772"/>
      <c r="AF132" s="1788"/>
      <c r="AG132" s="1791"/>
      <c r="AH132" s="397"/>
      <c r="AI132" s="591" t="s">
        <v>429</v>
      </c>
      <c r="AJ132" s="396"/>
      <c r="AK132" s="398"/>
      <c r="AL132" s="591" t="s">
        <v>429</v>
      </c>
      <c r="AM132" s="398"/>
      <c r="AN132" s="398"/>
      <c r="AO132" s="398"/>
      <c r="AP132" s="397"/>
    </row>
    <row r="133" spans="1:42" ht="16.5" thickBot="1" x14ac:dyDescent="0.3">
      <c r="A133" s="1820"/>
      <c r="B133" s="613" t="s">
        <v>119</v>
      </c>
      <c r="C133" s="1046"/>
      <c r="D133" s="802" t="s">
        <v>1076</v>
      </c>
      <c r="E133" s="1799"/>
      <c r="F133" s="617">
        <f>'exchange rates'!$O$31</f>
        <v>112.66098</v>
      </c>
      <c r="G133" s="549">
        <f>9480/F133</f>
        <v>84.146258979817148</v>
      </c>
      <c r="H133" s="550">
        <f>13672/F133</f>
        <v>121.35523763418355</v>
      </c>
      <c r="I133" s="551">
        <v>0</v>
      </c>
      <c r="J133" s="560">
        <f>1848/F133</f>
        <v>16.403194788470685</v>
      </c>
      <c r="K133" s="566">
        <f>Tabel6689262829[[#This Row],[Fix.ch. 2017]]+Tabel6689262829[[#This Row],[Var. ch. 2017]]+Tabel6689262829[[#This Row],[Oth. ch. DW 2017]]+Tabel6689262829[[#This Row],[VAT DW 2017]]</f>
        <v>221.90469140247137</v>
      </c>
      <c r="L133" s="567">
        <f>17480/F133</f>
        <v>155.15576022860799</v>
      </c>
      <c r="M133" s="560">
        <f>1396/F133</f>
        <v>12.391157967914003</v>
      </c>
      <c r="N133" s="568">
        <v>0</v>
      </c>
      <c r="O133" s="560">
        <v>0</v>
      </c>
      <c r="P133" s="569">
        <v>0</v>
      </c>
      <c r="Q133" s="560">
        <v>0</v>
      </c>
      <c r="R133" s="570">
        <f>Tabel6689262829[[#This Row],[VAT DW 2017]]+Tabel6689262829[[#This Row],[VAT Sew. 2017]]+Tabel6689262829[[#This Row],[VAT WW 2017]]+Tabel6689262829[[#This Row],[VAT Other ch. 2017]]</f>
        <v>28.79435275638469</v>
      </c>
      <c r="S133" s="571">
        <f>Tabel6689262829[[#This Row],[Total. ch. DW 2017]]+Tabel6689262829[[#This Row],[Sew. 2017]]+Tabel6689262829[[#This Row],[VAT Sew. 2017]]+Tabel6689262829[[#This Row],[WW 2017]]+Tabel6689262829[[#This Row],[VAT WW 2017]]+Tabel6689262829[[#This Row],[Other ch. 2017]]+Tabel6689262829[[#This Row],[VAT Other ch. 2017]]</f>
        <v>389.45160959899334</v>
      </c>
      <c r="T133" s="397"/>
      <c r="U133" s="1801"/>
      <c r="V133" s="1803"/>
      <c r="W133" s="1805"/>
      <c r="X133" s="1773"/>
      <c r="Y133" s="1807"/>
      <c r="Z133" s="1809"/>
      <c r="AA133" s="1773"/>
      <c r="AB133" s="1782"/>
      <c r="AC133" s="1773"/>
      <c r="AD133" s="1786"/>
      <c r="AE133" s="1773"/>
      <c r="AF133" s="1789"/>
      <c r="AG133" s="1792"/>
      <c r="AH133" s="397"/>
      <c r="AI133" s="591" t="s">
        <v>429</v>
      </c>
      <c r="AJ133" s="396"/>
      <c r="AK133" s="398"/>
      <c r="AL133" s="591" t="s">
        <v>429</v>
      </c>
      <c r="AM133" s="398"/>
      <c r="AN133" s="398"/>
      <c r="AO133" s="398"/>
      <c r="AP133" s="397"/>
    </row>
    <row r="134" spans="1:42" ht="19.5" thickBot="1" x14ac:dyDescent="0.3">
      <c r="A134" s="871" t="s">
        <v>742</v>
      </c>
      <c r="B134" s="260" t="s">
        <v>743</v>
      </c>
      <c r="C134" s="1049"/>
      <c r="D134" s="817" t="s">
        <v>1078</v>
      </c>
      <c r="E134" s="890">
        <v>3300</v>
      </c>
      <c r="F134" s="307">
        <f>'exchange rates'!M32</f>
        <v>102.86302000000001</v>
      </c>
      <c r="G134" s="319">
        <f>600/F134</f>
        <v>5.8330000421920332</v>
      </c>
      <c r="H134" s="320">
        <f>4603.08/F134</f>
        <v>44.749609723688842</v>
      </c>
      <c r="I134" s="321">
        <f>0</f>
        <v>0</v>
      </c>
      <c r="J134" s="559"/>
      <c r="K134" s="313">
        <f>Tabel6689262829[[#This Row],[Fix.ch. 2017]]+Tabel6689262829[[#This Row],[Var. ch. 2017]]+Tabel6689262829[[#This Row],[Oth. ch. DW 2017]]+Tabel6689262829[[#This Row],[VAT DW 2017]]</f>
        <v>50.582609765880875</v>
      </c>
      <c r="L134" s="322">
        <f>0</f>
        <v>0</v>
      </c>
      <c r="M134" s="559"/>
      <c r="N134" s="323">
        <f>3452.31/F134</f>
        <v>33.56220729276663</v>
      </c>
      <c r="O134" s="559"/>
      <c r="P134" s="324">
        <f>0</f>
        <v>0</v>
      </c>
      <c r="Q134" s="559"/>
      <c r="R134" s="317">
        <f>Tabel6689262829[[#This Row],[VAT DW 2017]]+Tabel6689262829[[#This Row],[VAT Sew. 2017]]+Tabel6689262829[[#This Row],[VAT WW 2017]]+Tabel6689262829[[#This Row],[VAT Other ch. 2017]]</f>
        <v>0</v>
      </c>
      <c r="S134" s="318">
        <f>Tabel6689262829[[#This Row],[Total. ch. DW 2017]]+Tabel6689262829[[#This Row],[Sew. 2017]]+Tabel6689262829[[#This Row],[VAT Sew. 2017]]+Tabel6689262829[[#This Row],[WW 2017]]+Tabel6689262829[[#This Row],[VAT WW 2017]]+Tabel6689262829[[#This Row],[Other ch. 2017]]+Tabel6689262829[[#This Row],[VAT Other ch. 2017]]</f>
        <v>84.144817058647504</v>
      </c>
      <c r="T134" s="397"/>
      <c r="U134" s="892">
        <f>Tabel6689262829[[#This Row],[Fix.ch. 2017]]</f>
        <v>5.8330000421920332</v>
      </c>
      <c r="V134" s="891">
        <f>Tabel6689262829[[#This Row],[Var. ch. 2017]]</f>
        <v>44.749609723688842</v>
      </c>
      <c r="W134" s="889">
        <f>Tabel6689262829[[#This Row],[Oth. ch. DW 2017]]</f>
        <v>0</v>
      </c>
      <c r="X134" s="576"/>
      <c r="Y134" s="880">
        <f>SUM(U134:W134)</f>
        <v>50.582609765880875</v>
      </c>
      <c r="Z134" s="881">
        <f>Tabel6689262829[[#This Row],[Sew. 2017]]</f>
        <v>0</v>
      </c>
      <c r="AA134" s="576"/>
      <c r="AB134" s="872">
        <f>Tabel6689262829[[#This Row],[WW 2017]]</f>
        <v>33.56220729276663</v>
      </c>
      <c r="AC134" s="576"/>
      <c r="AD134" s="897">
        <f>Tabel6689262829[[#This Row],[Other ch. 2017]]</f>
        <v>0</v>
      </c>
      <c r="AE134" s="576"/>
      <c r="AF134" s="874">
        <f>Tabel6689262829[[#This Row],[Total VAT 2017]]</f>
        <v>0</v>
      </c>
      <c r="AG134" s="873">
        <f>SUM(Y134:AF134)</f>
        <v>84.144817058647504</v>
      </c>
      <c r="AH134" s="397"/>
      <c r="AI134" s="396"/>
      <c r="AJ134" s="396" t="s">
        <v>429</v>
      </c>
      <c r="AK134" s="398"/>
      <c r="AL134" s="396" t="s">
        <v>429</v>
      </c>
      <c r="AM134" s="396" t="s">
        <v>429</v>
      </c>
      <c r="AN134" s="398"/>
      <c r="AO134" s="398" t="s">
        <v>745</v>
      </c>
      <c r="AP134" s="397"/>
    </row>
    <row r="135" spans="1:42" ht="18.75" customHeight="1" x14ac:dyDescent="0.25">
      <c r="A135" s="1833" t="s">
        <v>19</v>
      </c>
      <c r="B135" s="291" t="s">
        <v>120</v>
      </c>
      <c r="C135" s="1048"/>
      <c r="D135" s="805" t="s">
        <v>1080</v>
      </c>
      <c r="E135" s="2054">
        <v>18700</v>
      </c>
      <c r="F135" s="307">
        <v>2.6644800000000002</v>
      </c>
      <c r="G135" s="319">
        <f>39/F135</f>
        <v>14.637002341920374</v>
      </c>
      <c r="H135" s="320">
        <f>364/F135</f>
        <v>136.61202185792348</v>
      </c>
      <c r="I135" s="321">
        <v>0</v>
      </c>
      <c r="J135" s="559"/>
      <c r="K135" s="313">
        <f>Tabel6689262829[[#This Row],[Fix.ch. 2017]]+Tabel6689262829[[#This Row],[Var. ch. 2017]]+Tabel6689262829[[#This Row],[Oth. ch. DW 2017]]+Tabel6689262829[[#This Row],[VAT DW 2017]]</f>
        <v>151.24902419984386</v>
      </c>
      <c r="L135" s="322">
        <f>398/F135</f>
        <v>149.37248543805919</v>
      </c>
      <c r="M135" s="559"/>
      <c r="N135" s="323">
        <v>0</v>
      </c>
      <c r="O135" s="559"/>
      <c r="P135" s="324">
        <v>0</v>
      </c>
      <c r="Q135" s="559"/>
      <c r="R135" s="317">
        <f>Tabel6689262829[[#This Row],[VAT DW 2017]]+Tabel6689262829[[#This Row],[VAT Sew. 2017]]+Tabel6689262829[[#This Row],[VAT WW 2017]]+Tabel6689262829[[#This Row],[VAT Other ch. 2017]]</f>
        <v>0</v>
      </c>
      <c r="S135" s="318">
        <f>Tabel6689262829[[#This Row],[Total. ch. DW 2017]]+Tabel6689262829[[#This Row],[Sew. 2017]]+Tabel6689262829[[#This Row],[VAT Sew. 2017]]+Tabel6689262829[[#This Row],[WW 2017]]+Tabel6689262829[[#This Row],[VAT WW 2017]]+Tabel6689262829[[#This Row],[Other ch. 2017]]+Tabel6689262829[[#This Row],[VAT Other ch. 2017]]</f>
        <v>300.62150963790305</v>
      </c>
      <c r="T135" s="397"/>
      <c r="U135" s="2057">
        <f>SUM(G135:G139)/5</f>
        <v>14.29472167177085</v>
      </c>
      <c r="V135" s="2059">
        <f>SUM(H135:H139)/5</f>
        <v>145.16903861166153</v>
      </c>
      <c r="W135" s="2061">
        <f>SUM(I135:I139)/5</f>
        <v>0</v>
      </c>
      <c r="X135" s="575"/>
      <c r="Y135" s="2063">
        <f>SUM(K135:K139)/5</f>
        <v>159.46376028343238</v>
      </c>
      <c r="Z135" s="2065">
        <f>SUM(L135:L139)/5</f>
        <v>181.19858283792709</v>
      </c>
      <c r="AA135" s="575"/>
      <c r="AB135" s="2067">
        <f>SUM(N135:N139)/5</f>
        <v>0</v>
      </c>
      <c r="AC135" s="575"/>
      <c r="AD135" s="2069">
        <f>SUM(P135:P139)/5</f>
        <v>0</v>
      </c>
      <c r="AE135" s="575"/>
      <c r="AF135" s="2071">
        <f t="shared" ref="AF135:AG135" si="19">SUM(R135:R139)/5</f>
        <v>0</v>
      </c>
      <c r="AG135" s="2049">
        <f t="shared" si="19"/>
        <v>340.66234312135947</v>
      </c>
      <c r="AH135" s="397"/>
      <c r="AI135" s="398"/>
      <c r="AJ135" s="398"/>
      <c r="AK135" s="398"/>
      <c r="AL135" s="398"/>
      <c r="AM135" s="396" t="s">
        <v>429</v>
      </c>
      <c r="AN135" s="398"/>
      <c r="AO135" s="398" t="s">
        <v>444</v>
      </c>
      <c r="AP135" s="397"/>
    </row>
    <row r="136" spans="1:42" ht="18.75" customHeight="1" x14ac:dyDescent="0.25">
      <c r="A136" s="1834"/>
      <c r="B136" s="269" t="s">
        <v>121</v>
      </c>
      <c r="C136" s="1048"/>
      <c r="D136" s="805" t="s">
        <v>1080</v>
      </c>
      <c r="E136" s="2055"/>
      <c r="F136" s="307">
        <v>2.6644800000000002</v>
      </c>
      <c r="G136" s="319">
        <f>47.04/F136</f>
        <v>17.65447667087011</v>
      </c>
      <c r="H136" s="320">
        <f>330/F136</f>
        <v>123.85155827778777</v>
      </c>
      <c r="I136" s="321">
        <v>0</v>
      </c>
      <c r="J136" s="559"/>
      <c r="K136" s="313">
        <f>Tabel6689262829[[#This Row],[Fix.ch. 2017]]+Tabel6689262829[[#This Row],[Var. ch. 2017]]+Tabel6689262829[[#This Row],[Oth. ch. DW 2017]]+Tabel6689262829[[#This Row],[VAT DW 2017]]</f>
        <v>141.50603494865788</v>
      </c>
      <c r="L136" s="322">
        <f>468/F136</f>
        <v>175.64402810304449</v>
      </c>
      <c r="M136" s="559"/>
      <c r="N136" s="323">
        <v>0</v>
      </c>
      <c r="O136" s="559"/>
      <c r="P136" s="324">
        <v>0</v>
      </c>
      <c r="Q136" s="559"/>
      <c r="R136" s="317">
        <f>Tabel6689262829[[#This Row],[VAT DW 2017]]+Tabel6689262829[[#This Row],[VAT Sew. 2017]]+Tabel6689262829[[#This Row],[VAT WW 2017]]+Tabel6689262829[[#This Row],[VAT Other ch. 2017]]</f>
        <v>0</v>
      </c>
      <c r="S136" s="318">
        <f>Tabel6689262829[[#This Row],[Total. ch. DW 2017]]+Tabel6689262829[[#This Row],[Sew. 2017]]+Tabel6689262829[[#This Row],[VAT Sew. 2017]]+Tabel6689262829[[#This Row],[WW 2017]]+Tabel6689262829[[#This Row],[VAT WW 2017]]+Tabel6689262829[[#This Row],[Other ch. 2017]]+Tabel6689262829[[#This Row],[VAT Other ch. 2017]]</f>
        <v>317.15006305170238</v>
      </c>
      <c r="T136" s="397"/>
      <c r="U136" s="2058"/>
      <c r="V136" s="2060"/>
      <c r="W136" s="2062"/>
      <c r="X136" s="576"/>
      <c r="Y136" s="2064"/>
      <c r="Z136" s="2066"/>
      <c r="AA136" s="576"/>
      <c r="AB136" s="2068"/>
      <c r="AC136" s="576"/>
      <c r="AD136" s="2070"/>
      <c r="AE136" s="576"/>
      <c r="AF136" s="2072"/>
      <c r="AG136" s="2050"/>
      <c r="AH136" s="397"/>
      <c r="AI136" s="398"/>
      <c r="AJ136" s="398"/>
      <c r="AK136" s="398"/>
      <c r="AL136" s="398"/>
      <c r="AM136" s="396" t="s">
        <v>429</v>
      </c>
      <c r="AN136" s="398"/>
      <c r="AO136" s="398" t="s">
        <v>444</v>
      </c>
      <c r="AP136" s="397"/>
    </row>
    <row r="137" spans="1:42" ht="18.75" customHeight="1" x14ac:dyDescent="0.25">
      <c r="A137" s="1834"/>
      <c r="B137" s="269" t="s">
        <v>122</v>
      </c>
      <c r="C137" s="1048"/>
      <c r="D137" s="805" t="s">
        <v>1080</v>
      </c>
      <c r="E137" s="2055"/>
      <c r="F137" s="307">
        <v>2.6644800000000002</v>
      </c>
      <c r="G137" s="319">
        <f>30.84/F137</f>
        <v>11.574491082687803</v>
      </c>
      <c r="H137" s="320">
        <f>334/F137</f>
        <v>125.35278928721551</v>
      </c>
      <c r="I137" s="321">
        <v>0</v>
      </c>
      <c r="J137" s="559"/>
      <c r="K137" s="313">
        <f>Tabel6689262829[[#This Row],[Fix.ch. 2017]]+Tabel6689262829[[#This Row],[Var. ch. 2017]]+Tabel6689262829[[#This Row],[Oth. ch. DW 2017]]+Tabel6689262829[[#This Row],[VAT DW 2017]]</f>
        <v>136.92728036990331</v>
      </c>
      <c r="L137" s="322">
        <f>636/F137</f>
        <v>238.69573049900916</v>
      </c>
      <c r="M137" s="559"/>
      <c r="N137" s="323">
        <v>0</v>
      </c>
      <c r="O137" s="559"/>
      <c r="P137" s="324">
        <v>0</v>
      </c>
      <c r="Q137" s="559"/>
      <c r="R137" s="317">
        <f>Tabel6689262829[[#This Row],[VAT DW 2017]]+Tabel6689262829[[#This Row],[VAT Sew. 2017]]+Tabel6689262829[[#This Row],[VAT WW 2017]]+Tabel6689262829[[#This Row],[VAT Other ch. 2017]]</f>
        <v>0</v>
      </c>
      <c r="S137" s="318">
        <f>Tabel6689262829[[#This Row],[Total. ch. DW 2017]]+Tabel6689262829[[#This Row],[Sew. 2017]]+Tabel6689262829[[#This Row],[VAT Sew. 2017]]+Tabel6689262829[[#This Row],[WW 2017]]+Tabel6689262829[[#This Row],[VAT WW 2017]]+Tabel6689262829[[#This Row],[Other ch. 2017]]+Tabel6689262829[[#This Row],[VAT Other ch. 2017]]</f>
        <v>375.6230108689125</v>
      </c>
      <c r="T137" s="397"/>
      <c r="U137" s="2058"/>
      <c r="V137" s="2060"/>
      <c r="W137" s="2062"/>
      <c r="X137" s="576"/>
      <c r="Y137" s="2064"/>
      <c r="Z137" s="2066"/>
      <c r="AA137" s="576"/>
      <c r="AB137" s="2068"/>
      <c r="AC137" s="576"/>
      <c r="AD137" s="2070"/>
      <c r="AE137" s="576"/>
      <c r="AF137" s="2072"/>
      <c r="AG137" s="2050"/>
      <c r="AH137" s="397"/>
      <c r="AI137" s="398"/>
      <c r="AJ137" s="398"/>
      <c r="AK137" s="398"/>
      <c r="AL137" s="398"/>
      <c r="AM137" s="396" t="s">
        <v>429</v>
      </c>
      <c r="AN137" s="398"/>
      <c r="AO137" s="398" t="s">
        <v>444</v>
      </c>
      <c r="AP137" s="397"/>
    </row>
    <row r="138" spans="1:42" ht="18.75" customHeight="1" x14ac:dyDescent="0.25">
      <c r="A138" s="1834"/>
      <c r="B138" s="269" t="s">
        <v>123</v>
      </c>
      <c r="C138" s="1048"/>
      <c r="D138" s="805" t="s">
        <v>1080</v>
      </c>
      <c r="E138" s="2055"/>
      <c r="F138" s="307">
        <v>2.6644800000000002</v>
      </c>
      <c r="G138" s="319">
        <f>34.68/F138</f>
        <v>13.015672851738424</v>
      </c>
      <c r="H138" s="320">
        <f>570/F138</f>
        <v>213.92541884345161</v>
      </c>
      <c r="I138" s="321">
        <v>0</v>
      </c>
      <c r="J138" s="559"/>
      <c r="K138" s="313">
        <f>Tabel6689262829[[#This Row],[Fix.ch. 2017]]+Tabel6689262829[[#This Row],[Var. ch. 2017]]+Tabel6689262829[[#This Row],[Oth. ch. DW 2017]]+Tabel6689262829[[#This Row],[VAT DW 2017]]</f>
        <v>226.94109169519004</v>
      </c>
      <c r="L138" s="322">
        <f>526/F138</f>
        <v>197.41187773974659</v>
      </c>
      <c r="M138" s="559"/>
      <c r="N138" s="323">
        <v>0</v>
      </c>
      <c r="O138" s="559"/>
      <c r="P138" s="324">
        <v>0</v>
      </c>
      <c r="Q138" s="559"/>
      <c r="R138" s="317">
        <f>Tabel6689262829[[#This Row],[VAT DW 2017]]+Tabel6689262829[[#This Row],[VAT Sew. 2017]]+Tabel6689262829[[#This Row],[VAT WW 2017]]+Tabel6689262829[[#This Row],[VAT Other ch. 2017]]</f>
        <v>0</v>
      </c>
      <c r="S138" s="318">
        <f>Tabel6689262829[[#This Row],[Total. ch. DW 2017]]+Tabel6689262829[[#This Row],[Sew. 2017]]+Tabel6689262829[[#This Row],[VAT Sew. 2017]]+Tabel6689262829[[#This Row],[WW 2017]]+Tabel6689262829[[#This Row],[VAT WW 2017]]+Tabel6689262829[[#This Row],[Other ch. 2017]]+Tabel6689262829[[#This Row],[VAT Other ch. 2017]]</f>
        <v>424.35296943493665</v>
      </c>
      <c r="T138" s="397"/>
      <c r="U138" s="2058"/>
      <c r="V138" s="2060"/>
      <c r="W138" s="2062"/>
      <c r="X138" s="576"/>
      <c r="Y138" s="2064"/>
      <c r="Z138" s="2066"/>
      <c r="AA138" s="576"/>
      <c r="AB138" s="2068"/>
      <c r="AC138" s="576"/>
      <c r="AD138" s="2070"/>
      <c r="AE138" s="576"/>
      <c r="AF138" s="2072"/>
      <c r="AG138" s="2050"/>
      <c r="AH138" s="397"/>
      <c r="AI138" s="398"/>
      <c r="AJ138" s="398"/>
      <c r="AK138" s="398"/>
      <c r="AL138" s="398"/>
      <c r="AM138" s="396" t="s">
        <v>429</v>
      </c>
      <c r="AN138" s="398"/>
      <c r="AO138" s="398" t="s">
        <v>444</v>
      </c>
      <c r="AP138" s="397"/>
    </row>
    <row r="139" spans="1:42" ht="19.5" customHeight="1" thickBot="1" x14ac:dyDescent="0.3">
      <c r="A139" s="1835"/>
      <c r="B139" s="290" t="s">
        <v>124</v>
      </c>
      <c r="C139" s="1048" t="s">
        <v>429</v>
      </c>
      <c r="D139" s="805" t="s">
        <v>1080</v>
      </c>
      <c r="E139" s="2056"/>
      <c r="F139" s="307">
        <v>2.6644800000000002</v>
      </c>
      <c r="G139" s="319">
        <f>38.88/F139</f>
        <v>14.591965411637542</v>
      </c>
      <c r="H139" s="320">
        <f>336/F139</f>
        <v>126.10340479192938</v>
      </c>
      <c r="I139" s="321">
        <v>0</v>
      </c>
      <c r="J139" s="559"/>
      <c r="K139" s="313">
        <f>Tabel6689262829[[#This Row],[Fix.ch. 2017]]+Tabel6689262829[[#This Row],[Var. ch. 2017]]+Tabel6689262829[[#This Row],[Oth. ch. DW 2017]]+Tabel6689262829[[#This Row],[VAT DW 2017]]</f>
        <v>140.69537020356691</v>
      </c>
      <c r="L139" s="322">
        <f>386/F139</f>
        <v>144.86879240977601</v>
      </c>
      <c r="M139" s="559"/>
      <c r="N139" s="323">
        <v>0</v>
      </c>
      <c r="O139" s="559"/>
      <c r="P139" s="324">
        <v>0</v>
      </c>
      <c r="Q139" s="559"/>
      <c r="R139" s="317">
        <f>Tabel6689262829[[#This Row],[VAT DW 2017]]+Tabel6689262829[[#This Row],[VAT Sew. 2017]]+Tabel6689262829[[#This Row],[VAT WW 2017]]+Tabel6689262829[[#This Row],[VAT Other ch. 2017]]</f>
        <v>0</v>
      </c>
      <c r="S139" s="318">
        <f>Tabel6689262829[[#This Row],[Total. ch. DW 2017]]+Tabel6689262829[[#This Row],[Sew. 2017]]+Tabel6689262829[[#This Row],[VAT Sew. 2017]]+Tabel6689262829[[#This Row],[WW 2017]]+Tabel6689262829[[#This Row],[VAT WW 2017]]+Tabel6689262829[[#This Row],[Other ch. 2017]]+Tabel6689262829[[#This Row],[VAT Other ch. 2017]]</f>
        <v>285.56416261334289</v>
      </c>
      <c r="T139" s="397"/>
      <c r="U139" s="1841"/>
      <c r="V139" s="1844"/>
      <c r="W139" s="1847"/>
      <c r="X139" s="577"/>
      <c r="Y139" s="1850"/>
      <c r="Z139" s="1853"/>
      <c r="AA139" s="577"/>
      <c r="AB139" s="1856"/>
      <c r="AC139" s="577"/>
      <c r="AD139" s="1859"/>
      <c r="AE139" s="577"/>
      <c r="AF139" s="1874"/>
      <c r="AG139" s="2051"/>
      <c r="AH139" s="397"/>
      <c r="AI139" s="398"/>
      <c r="AJ139" s="398"/>
      <c r="AK139" s="398"/>
      <c r="AL139" s="398"/>
      <c r="AM139" s="396" t="s">
        <v>429</v>
      </c>
      <c r="AN139" s="398"/>
      <c r="AO139" s="398" t="s">
        <v>444</v>
      </c>
      <c r="AP139" s="397"/>
    </row>
    <row r="140" spans="1:42" ht="16.5" thickBot="1" x14ac:dyDescent="0.3">
      <c r="A140" s="270" t="s">
        <v>50</v>
      </c>
      <c r="B140" s="297"/>
      <c r="C140" s="1050"/>
      <c r="D140" s="817" t="s">
        <v>1082</v>
      </c>
      <c r="E140" s="303"/>
      <c r="F140" s="309"/>
      <c r="G140" s="325"/>
      <c r="H140" s="326"/>
      <c r="I140" s="327"/>
      <c r="J140" s="561"/>
      <c r="K140" s="313">
        <f>Tabel6689262829[[#This Row],[Fix.ch. 2017]]+Tabel6689262829[[#This Row],[Var. ch. 2017]]+Tabel6689262829[[#This Row],[Oth. ch. DW 2017]]+Tabel6689262829[[#This Row],[VAT DW 2017]]</f>
        <v>0</v>
      </c>
      <c r="L140" s="328"/>
      <c r="M140" s="561"/>
      <c r="N140" s="329"/>
      <c r="O140" s="561"/>
      <c r="P140" s="330"/>
      <c r="Q140" s="561"/>
      <c r="R140" s="317">
        <f>Tabel6689262829[[#This Row],[VAT DW 2017]]+Tabel6689262829[[#This Row],[VAT Sew. 2017]]+Tabel6689262829[[#This Row],[VAT WW 2017]]+Tabel6689262829[[#This Row],[VAT Other ch. 2017]]</f>
        <v>0</v>
      </c>
      <c r="S140" s="318">
        <f>Tabel6689262829[[#This Row],[Total. ch. DW 2017]]+Tabel6689262829[[#This Row],[Sew. 2017]]+Tabel6689262829[[#This Row],[VAT Sew. 2017]]+Tabel6689262829[[#This Row],[WW 2017]]+Tabel6689262829[[#This Row],[VAT WW 2017]]+Tabel6689262829[[#This Row],[Other ch. 2017]]+Tabel6689262829[[#This Row],[VAT Other ch. 2017]]</f>
        <v>0</v>
      </c>
      <c r="T140" s="397"/>
      <c r="U140" s="349"/>
      <c r="V140" s="350"/>
      <c r="W140" s="351"/>
      <c r="X140" s="582"/>
      <c r="Y140" s="352"/>
      <c r="Z140" s="353"/>
      <c r="AA140" s="582"/>
      <c r="AB140" s="354"/>
      <c r="AC140" s="582"/>
      <c r="AD140" s="355"/>
      <c r="AE140" s="582"/>
      <c r="AF140" s="356"/>
      <c r="AG140" s="357"/>
      <c r="AH140" s="397"/>
      <c r="AI140" s="398"/>
      <c r="AJ140" s="398"/>
      <c r="AK140" s="398"/>
      <c r="AL140" s="398"/>
      <c r="AM140" s="398"/>
      <c r="AN140" s="398"/>
      <c r="AO140" s="398"/>
      <c r="AP140" s="397"/>
    </row>
    <row r="141" spans="1:42" ht="19.5" thickBot="1" x14ac:dyDescent="0.35">
      <c r="A141" s="695" t="s">
        <v>586</v>
      </c>
      <c r="B141" s="813" t="s">
        <v>587</v>
      </c>
      <c r="C141" s="760"/>
      <c r="D141" s="812" t="s">
        <v>1084</v>
      </c>
      <c r="E141" s="697">
        <v>114400</v>
      </c>
      <c r="F141" s="616">
        <f>'exchange rates'!O37</f>
        <v>8.0445100000000007</v>
      </c>
      <c r="G141" s="549">
        <f>0</f>
        <v>0</v>
      </c>
      <c r="H141" s="550">
        <f>5476.02/F141</f>
        <v>680.71517096752939</v>
      </c>
      <c r="I141" s="551">
        <v>0</v>
      </c>
      <c r="J141" s="560">
        <v>0</v>
      </c>
      <c r="K141" s="566">
        <f>Tabel6689262829[[#This Row],[Fix.ch. 2017]]+Tabel6689262829[[#This Row],[Var. ch. 2017]]+Tabel6689262829[[#This Row],[Oth. ch. DW 2017]]+Tabel6689262829[[#This Row],[VAT DW 2017]]</f>
        <v>680.71517096752939</v>
      </c>
      <c r="L141" s="567">
        <v>0</v>
      </c>
      <c r="M141" s="560">
        <v>0</v>
      </c>
      <c r="N141" s="568">
        <v>0</v>
      </c>
      <c r="O141" s="560">
        <v>0</v>
      </c>
      <c r="P141" s="569">
        <v>0</v>
      </c>
      <c r="Q141" s="560">
        <v>0</v>
      </c>
      <c r="R141" s="570">
        <f>Tabel6689262829[[#This Row],[VAT DW 2017]]+Tabel6689262829[[#This Row],[VAT Sew. 2017]]+Tabel6689262829[[#This Row],[VAT WW 2017]]+Tabel6689262829[[#This Row],[VAT Other ch. 2017]]</f>
        <v>0</v>
      </c>
      <c r="S141" s="571">
        <f>Tabel6689262829[[#This Row],[Total. ch. DW 2017]]+Tabel6689262829[[#This Row],[Sew. 2017]]+Tabel6689262829[[#This Row],[VAT Sew. 2017]]+Tabel6689262829[[#This Row],[WW 2017]]+Tabel6689262829[[#This Row],[VAT WW 2017]]+Tabel6689262829[[#This Row],[Other ch. 2017]]+Tabel6689262829[[#This Row],[VAT Other ch. 2017]]</f>
        <v>680.71517096752939</v>
      </c>
      <c r="T141" s="397"/>
      <c r="U141" s="672">
        <v>0</v>
      </c>
      <c r="V141" s="673">
        <f>Tabel6689262829[[#This Row],[Var. ch. 2017]]</f>
        <v>680.71517096752939</v>
      </c>
      <c r="W141" s="674">
        <v>0</v>
      </c>
      <c r="X141" s="675">
        <v>0</v>
      </c>
      <c r="Y141" s="676">
        <f>Tabel6689262829[[#This Row],[Total. ch. DW 2017]]</f>
        <v>680.71517096752939</v>
      </c>
      <c r="Z141" s="677">
        <v>0</v>
      </c>
      <c r="AA141" s="675">
        <v>0</v>
      </c>
      <c r="AB141" s="678">
        <v>0</v>
      </c>
      <c r="AC141" s="675">
        <v>0</v>
      </c>
      <c r="AD141" s="679">
        <v>0</v>
      </c>
      <c r="AE141" s="675">
        <v>0</v>
      </c>
      <c r="AF141" s="680">
        <v>0</v>
      </c>
      <c r="AG141" s="681">
        <f>Tabel6689262829[[#This Row],[total charge 2017]]</f>
        <v>680.71517096752939</v>
      </c>
      <c r="AH141" s="397"/>
      <c r="AI141" s="398"/>
      <c r="AJ141" s="396"/>
      <c r="AK141" s="398"/>
      <c r="AL141" s="591" t="s">
        <v>429</v>
      </c>
      <c r="AM141" s="398"/>
      <c r="AN141" s="398"/>
      <c r="AO141" s="398"/>
      <c r="AP141" s="397"/>
    </row>
    <row r="142" spans="1:42" ht="19.5" thickBot="1" x14ac:dyDescent="0.35">
      <c r="A142" s="267" t="s">
        <v>36</v>
      </c>
      <c r="B142" s="457" t="s">
        <v>181</v>
      </c>
      <c r="C142" s="457"/>
      <c r="D142" s="808" t="s">
        <v>1086</v>
      </c>
      <c r="E142" s="301">
        <v>900</v>
      </c>
      <c r="F142" s="306">
        <v>163.83132000000001</v>
      </c>
      <c r="G142" s="319">
        <f>363/F142</f>
        <v>2.2156935560306783</v>
      </c>
      <c r="H142" s="320">
        <f>(124*200)/F142</f>
        <v>151.37520713377637</v>
      </c>
      <c r="I142" s="321">
        <v>0</v>
      </c>
      <c r="J142" s="559"/>
      <c r="K142" s="313">
        <f>Tabel6689262829[[#This Row],[Fix.ch. 2017]]+Tabel6689262829[[#This Row],[Var. ch. 2017]]+Tabel6689262829[[#This Row],[Oth. ch. DW 2017]]+Tabel6689262829[[#This Row],[VAT DW 2017]]</f>
        <v>153.59090068980706</v>
      </c>
      <c r="L142" s="322">
        <v>0</v>
      </c>
      <c r="M142" s="559"/>
      <c r="N142" s="323">
        <v>0</v>
      </c>
      <c r="O142" s="559"/>
      <c r="P142" s="324">
        <v>0</v>
      </c>
      <c r="Q142" s="559"/>
      <c r="R142" s="317">
        <f>Tabel6689262829[[#This Row],[VAT DW 2017]]+Tabel6689262829[[#This Row],[VAT Sew. 2017]]+Tabel6689262829[[#This Row],[VAT WW 2017]]+Tabel6689262829[[#This Row],[VAT Other ch. 2017]]</f>
        <v>0</v>
      </c>
      <c r="S142" s="318">
        <f>Tabel6689262829[[#This Row],[Total. ch. DW 2017]]+Tabel6689262829[[#This Row],[Sew. 2017]]+Tabel6689262829[[#This Row],[VAT Sew. 2017]]+Tabel6689262829[[#This Row],[WW 2017]]+Tabel6689262829[[#This Row],[VAT WW 2017]]+Tabel6689262829[[#This Row],[Other ch. 2017]]+Tabel6689262829[[#This Row],[VAT Other ch. 2017]]</f>
        <v>153.59090068980706</v>
      </c>
      <c r="T142" s="397"/>
      <c r="U142" s="331">
        <f>Tabel6689262829[[#This Row],[Fix.ch. 2017]]</f>
        <v>2.2156935560306783</v>
      </c>
      <c r="V142" s="332">
        <f>Tabel6689262829[[#This Row],[Var. ch. 2017]]</f>
        <v>151.37520713377637</v>
      </c>
      <c r="W142" s="333">
        <v>0</v>
      </c>
      <c r="X142" s="574"/>
      <c r="Y142" s="334">
        <v>0</v>
      </c>
      <c r="Z142" s="335">
        <v>0</v>
      </c>
      <c r="AA142" s="574"/>
      <c r="AB142" s="336">
        <v>0</v>
      </c>
      <c r="AC142" s="574"/>
      <c r="AD142" s="337">
        <v>0</v>
      </c>
      <c r="AE142" s="574"/>
      <c r="AF142" s="338">
        <v>0</v>
      </c>
      <c r="AG142" s="339">
        <f>Tabel6689262829[[#This Row],[total charge 2017]]</f>
        <v>153.59090068980706</v>
      </c>
      <c r="AH142" s="397"/>
      <c r="AI142" s="398"/>
      <c r="AJ142" s="398"/>
      <c r="AK142" s="398"/>
      <c r="AL142" s="396" t="s">
        <v>429</v>
      </c>
      <c r="AM142" s="396" t="s">
        <v>429</v>
      </c>
      <c r="AN142" s="398"/>
      <c r="AO142" s="398"/>
      <c r="AP142" s="397"/>
    </row>
    <row r="143" spans="1:42" ht="19.5" thickBot="1" x14ac:dyDescent="0.35">
      <c r="A143" s="669" t="s">
        <v>774</v>
      </c>
      <c r="B143" s="776" t="s">
        <v>775</v>
      </c>
      <c r="C143" s="776"/>
      <c r="D143" s="818" t="s">
        <v>1088</v>
      </c>
      <c r="E143" s="671">
        <v>42500</v>
      </c>
      <c r="F143" s="616">
        <f>'exchange rates'!O39</f>
        <v>0.83301000000000003</v>
      </c>
      <c r="G143" s="549">
        <f>59/F143</f>
        <v>70.827481062652311</v>
      </c>
      <c r="H143" s="550">
        <f>657.34/F143</f>
        <v>789.11417630040455</v>
      </c>
      <c r="I143" s="551">
        <v>0</v>
      </c>
      <c r="J143" s="560">
        <v>0</v>
      </c>
      <c r="K143" s="566">
        <f>Tabel6689262829[[#This Row],[Fix.ch. 2017]]+Tabel6689262829[[#This Row],[Var. ch. 2017]]+Tabel6689262829[[#This Row],[Oth. ch. DW 2017]]+Tabel6689262829[[#This Row],[VAT DW 2017]]</f>
        <v>859.94165736305683</v>
      </c>
      <c r="L143" s="567">
        <v>0</v>
      </c>
      <c r="M143" s="560">
        <v>0</v>
      </c>
      <c r="N143" s="568">
        <v>0</v>
      </c>
      <c r="O143" s="560">
        <v>0</v>
      </c>
      <c r="P143" s="569">
        <v>0</v>
      </c>
      <c r="Q143" s="560">
        <v>0</v>
      </c>
      <c r="R143" s="570">
        <f>Tabel6689262829[[#This Row],[VAT DW 2017]]+Tabel6689262829[[#This Row],[VAT Sew. 2017]]+Tabel6689262829[[#This Row],[VAT WW 2017]]+Tabel6689262829[[#This Row],[VAT Other ch. 2017]]</f>
        <v>0</v>
      </c>
      <c r="S143" s="571">
        <f>Tabel6689262829[[#This Row],[Total. ch. DW 2017]]+Tabel6689262829[[#This Row],[Sew. 2017]]+Tabel6689262829[[#This Row],[VAT Sew. 2017]]+Tabel6689262829[[#This Row],[WW 2017]]+Tabel6689262829[[#This Row],[VAT WW 2017]]+Tabel6689262829[[#This Row],[Other ch. 2017]]+Tabel6689262829[[#This Row],[VAT Other ch. 2017]]</f>
        <v>859.94165736305683</v>
      </c>
      <c r="T143" s="397"/>
      <c r="U143" s="672">
        <f>Tabel6689262829[[#This Row],[Fix.ch. 2017]]</f>
        <v>70.827481062652311</v>
      </c>
      <c r="V143" s="673">
        <f>Tabel6689262829[[#This Row],[Var. ch. 2017]]</f>
        <v>789.11417630040455</v>
      </c>
      <c r="W143" s="674">
        <f>Tabel6689262829[[#This Row],[Oth. ch. DW 2017]]</f>
        <v>0</v>
      </c>
      <c r="X143" s="675">
        <f>Tabel6689262829[[#This Row],[VAT DW 2017]]</f>
        <v>0</v>
      </c>
      <c r="Y143" s="676">
        <f>Tabel6689262829[[#This Row],[Total. ch. DW 2017]]</f>
        <v>859.94165736305683</v>
      </c>
      <c r="Z143" s="677">
        <f>Tabel6689262829[[#This Row],[Sew. 2017]]</f>
        <v>0</v>
      </c>
      <c r="AA143" s="675">
        <f>Tabel6689262829[[#This Row],[VAT Sew. 2017]]</f>
        <v>0</v>
      </c>
      <c r="AB143" s="678">
        <f>Tabel6689262829[[#This Row],[WW 2017]]</f>
        <v>0</v>
      </c>
      <c r="AC143" s="675">
        <f>Tabel6689262829[[#This Row],[VAT WW 2017]]</f>
        <v>0</v>
      </c>
      <c r="AD143" s="679">
        <f>Tabel6689262829[[#This Row],[Other ch. 2017]]</f>
        <v>0</v>
      </c>
      <c r="AE143" s="675">
        <f>Tabel6689262829[[#This Row],[VAT Other ch. 2017]]</f>
        <v>0</v>
      </c>
      <c r="AF143" s="680">
        <f>Tabel6689262829[[#This Row],[Total VAT 2017]]</f>
        <v>0</v>
      </c>
      <c r="AG143" s="681">
        <f>Tabel6689262829[[#This Row],[total charge 2017]]</f>
        <v>859.94165736305683</v>
      </c>
      <c r="AH143" s="397"/>
      <c r="AI143" s="398"/>
      <c r="AJ143" s="398"/>
      <c r="AK143" s="398"/>
      <c r="AL143" s="591" t="s">
        <v>429</v>
      </c>
      <c r="AM143" s="591" t="s">
        <v>429</v>
      </c>
      <c r="AN143" s="398"/>
      <c r="AO143" s="398"/>
      <c r="AP143" s="397"/>
    </row>
    <row r="144" spans="1:42" ht="19.5" thickBot="1" x14ac:dyDescent="0.35">
      <c r="A144" s="267" t="s">
        <v>37</v>
      </c>
      <c r="B144" s="814" t="s">
        <v>37</v>
      </c>
      <c r="C144" s="814"/>
      <c r="D144" s="808" t="s">
        <v>1090</v>
      </c>
      <c r="E144" s="301">
        <v>19500</v>
      </c>
      <c r="F144" s="306">
        <f>'exchange rates'!M40</f>
        <v>35.849890000000002</v>
      </c>
      <c r="G144" s="319">
        <f>660/F144</f>
        <v>18.410098329450939</v>
      </c>
      <c r="H144" s="320">
        <f>732/F144</f>
        <v>20.418472692663769</v>
      </c>
      <c r="I144" s="321">
        <v>0</v>
      </c>
      <c r="J144" s="559"/>
      <c r="K144" s="313">
        <f>Tabel6689262829[[#This Row],[Fix.ch. 2017]]+Tabel6689262829[[#This Row],[Var. ch. 2017]]+Tabel6689262829[[#This Row],[Oth. ch. DW 2017]]+Tabel6689262829[[#This Row],[VAT DW 2017]]</f>
        <v>38.828571022114708</v>
      </c>
      <c r="L144" s="322">
        <f>7.515/F144</f>
        <v>0.2096240741603391</v>
      </c>
      <c r="M144" s="559"/>
      <c r="N144" s="323">
        <f>1650/F144</f>
        <v>46.025245823627351</v>
      </c>
      <c r="O144" s="559"/>
      <c r="P144" s="324">
        <v>0</v>
      </c>
      <c r="Q144" s="559"/>
      <c r="R144" s="317">
        <f>Tabel6689262829[[#This Row],[VAT DW 2017]]+Tabel6689262829[[#This Row],[VAT Sew. 2017]]+Tabel6689262829[[#This Row],[VAT WW 2017]]+Tabel6689262829[[#This Row],[VAT Other ch. 2017]]</f>
        <v>0</v>
      </c>
      <c r="S144" s="318">
        <f>Tabel6689262829[[#This Row],[Total. ch. DW 2017]]+Tabel6689262829[[#This Row],[Sew. 2017]]+Tabel6689262829[[#This Row],[VAT Sew. 2017]]+Tabel6689262829[[#This Row],[WW 2017]]+Tabel6689262829[[#This Row],[VAT WW 2017]]+Tabel6689262829[[#This Row],[Other ch. 2017]]+Tabel6689262829[[#This Row],[VAT Other ch. 2017]]</f>
        <v>85.063440919902405</v>
      </c>
      <c r="T144" s="397"/>
      <c r="U144" s="331">
        <f>Tabel6689262829[[#This Row],[Fix.ch. 2017]]</f>
        <v>18.410098329450939</v>
      </c>
      <c r="V144" s="332">
        <f>Tabel6689262829[[#This Row],[Var. ch. 2017]]</f>
        <v>20.418472692663769</v>
      </c>
      <c r="W144" s="333">
        <v>0</v>
      </c>
      <c r="X144" s="574"/>
      <c r="Y144" s="334">
        <f>Tabel6689262829[[#This Row],[Total. ch. DW 2017]]</f>
        <v>38.828571022114708</v>
      </c>
      <c r="Z144" s="335">
        <f>Tabel6689262829[[#This Row],[Sew. 2017]]</f>
        <v>0.2096240741603391</v>
      </c>
      <c r="AA144" s="574"/>
      <c r="AB144" s="336">
        <f>Tabel6689262829[[#This Row],[WW 2017]]</f>
        <v>46.025245823627351</v>
      </c>
      <c r="AC144" s="574"/>
      <c r="AD144" s="337">
        <v>0</v>
      </c>
      <c r="AE144" s="574"/>
      <c r="AF144" s="338">
        <v>0</v>
      </c>
      <c r="AG144" s="339">
        <f>Tabel6689262829[[#This Row],[total charge 2017]]</f>
        <v>85.063440919902405</v>
      </c>
      <c r="AH144" s="397"/>
      <c r="AI144" s="398"/>
      <c r="AJ144" s="398"/>
      <c r="AK144" s="398"/>
      <c r="AL144" s="396" t="s">
        <v>429</v>
      </c>
      <c r="AM144" s="398"/>
      <c r="AN144" s="398"/>
      <c r="AO144" s="398"/>
      <c r="AP144" s="397"/>
    </row>
    <row r="145" spans="1:42" ht="18" customHeight="1" x14ac:dyDescent="0.25">
      <c r="A145" s="1795" t="s">
        <v>38</v>
      </c>
      <c r="B145" s="659" t="s">
        <v>620</v>
      </c>
      <c r="C145" s="752"/>
      <c r="D145" s="816" t="s">
        <v>1092</v>
      </c>
      <c r="E145" s="1983">
        <v>19500</v>
      </c>
      <c r="F145" s="616">
        <f>'exchange rates'!$O$41</f>
        <v>19.670400000000001</v>
      </c>
      <c r="G145" s="549">
        <f>2780/F145</f>
        <v>141.32910362778591</v>
      </c>
      <c r="H145" s="550">
        <v>0</v>
      </c>
      <c r="I145" s="551">
        <v>0</v>
      </c>
      <c r="J145" s="560">
        <v>0</v>
      </c>
      <c r="K145" s="566">
        <f>Tabel6689262829[[#This Row],[Fix.ch. 2017]]+Tabel6689262829[[#This Row],[Var. ch. 2017]]+Tabel6689262829[[#This Row],[Oth. ch. DW 2017]]+Tabel6689262829[[#This Row],[VAT DW 2017]]</f>
        <v>141.32910362778591</v>
      </c>
      <c r="L145" s="567">
        <v>0</v>
      </c>
      <c r="M145" s="560">
        <v>0</v>
      </c>
      <c r="N145" s="568">
        <f>920/F145</f>
        <v>46.770782495526269</v>
      </c>
      <c r="O145" s="560">
        <v>0</v>
      </c>
      <c r="P145" s="569">
        <v>0</v>
      </c>
      <c r="Q145" s="560">
        <v>0</v>
      </c>
      <c r="R145" s="570">
        <f>Tabel6689262829[[#This Row],[VAT DW 2017]]+Tabel6689262829[[#This Row],[VAT Sew. 2017]]+Tabel6689262829[[#This Row],[VAT WW 2017]]+Tabel6689262829[[#This Row],[VAT Other ch. 2017]]</f>
        <v>0</v>
      </c>
      <c r="S145" s="571">
        <f>Tabel6689262829[[#This Row],[Total. ch. DW 2017]]+Tabel6689262829[[#This Row],[Sew. 2017]]+Tabel6689262829[[#This Row],[VAT Sew. 2017]]+Tabel6689262829[[#This Row],[WW 2017]]+Tabel6689262829[[#This Row],[VAT WW 2017]]+Tabel6689262829[[#This Row],[Other ch. 2017]]+Tabel6689262829[[#This Row],[VAT Other ch. 2017]]</f>
        <v>188.09988612331219</v>
      </c>
      <c r="T145" s="397"/>
      <c r="U145" s="1824">
        <f>MEDIAN(G145:G150)</f>
        <v>174.88205628761997</v>
      </c>
      <c r="V145" s="1825">
        <f>MEDIAN(H145:H150)</f>
        <v>0</v>
      </c>
      <c r="W145" s="1826">
        <f>MEDIAN(I145:I150)</f>
        <v>0</v>
      </c>
      <c r="X145" s="1908">
        <f>MEDIAN(J145:J150)</f>
        <v>0</v>
      </c>
      <c r="Y145" s="1827">
        <f>SUM(U145:X150)</f>
        <v>174.88205628761997</v>
      </c>
      <c r="Z145" s="1828">
        <f t="shared" ref="Z145:AF145" si="20">MEDIAN(L145:L150)</f>
        <v>0</v>
      </c>
      <c r="AA145" s="1908">
        <f t="shared" si="20"/>
        <v>0</v>
      </c>
      <c r="AB145" s="1829">
        <f t="shared" si="20"/>
        <v>17.28485440052058</v>
      </c>
      <c r="AC145" s="1908">
        <f t="shared" si="20"/>
        <v>0</v>
      </c>
      <c r="AD145" s="1830">
        <f t="shared" si="20"/>
        <v>0</v>
      </c>
      <c r="AE145" s="1908">
        <f t="shared" si="20"/>
        <v>0</v>
      </c>
      <c r="AF145" s="1816">
        <f t="shared" si="20"/>
        <v>0</v>
      </c>
      <c r="AG145" s="2052">
        <f>Y145+Z145+AA145+AB145+AC145+AD145+AE145</f>
        <v>192.16691068814055</v>
      </c>
      <c r="AH145" s="397"/>
      <c r="AI145" s="591" t="s">
        <v>429</v>
      </c>
      <c r="AJ145" s="591" t="s">
        <v>429</v>
      </c>
      <c r="AK145" s="591"/>
      <c r="AL145" s="591"/>
      <c r="AM145" s="591" t="s">
        <v>429</v>
      </c>
      <c r="AN145" s="591" t="s">
        <v>429</v>
      </c>
      <c r="AO145" s="398"/>
      <c r="AP145" s="397"/>
    </row>
    <row r="146" spans="1:42" ht="15.75" x14ac:dyDescent="0.25">
      <c r="A146" s="1796"/>
      <c r="B146" s="657" t="s">
        <v>889</v>
      </c>
      <c r="C146" s="747" t="s">
        <v>429</v>
      </c>
      <c r="D146" s="815" t="s">
        <v>1092</v>
      </c>
      <c r="E146" s="1880"/>
      <c r="F146" s="616">
        <f>'exchange rates'!$O$41</f>
        <v>19.670400000000001</v>
      </c>
      <c r="G146" s="549">
        <f>4160/F146</f>
        <v>211.48527737107531</v>
      </c>
      <c r="H146" s="550">
        <v>0</v>
      </c>
      <c r="I146" s="551">
        <v>0</v>
      </c>
      <c r="J146" s="560">
        <v>0</v>
      </c>
      <c r="K146" s="566">
        <f>Tabel6689262829[[#This Row],[Fix.ch. 2017]]+Tabel6689262829[[#This Row],[Var. ch. 2017]]+Tabel6689262829[[#This Row],[Oth. ch. DW 2017]]</f>
        <v>211.48527737107531</v>
      </c>
      <c r="L146" s="567">
        <v>0</v>
      </c>
      <c r="M146" s="560">
        <v>0</v>
      </c>
      <c r="N146" s="568">
        <v>0</v>
      </c>
      <c r="O146" s="560">
        <v>0</v>
      </c>
      <c r="P146" s="569">
        <v>0</v>
      </c>
      <c r="Q146" s="560">
        <v>0</v>
      </c>
      <c r="R146" s="570">
        <f>Tabel6689262829[[#This Row],[VAT DW 2017]]+Tabel6689262829[[#This Row],[VAT Sew. 2017]]+Tabel6689262829[[#This Row],[VAT WW 2017]]+Tabel6689262829[[#This Row],[VAT Other ch. 2017]]</f>
        <v>0</v>
      </c>
      <c r="S146" s="571">
        <f>Tabel6689262829[[#This Row],[Total. ch. DW 2017]]+Tabel6689262829[[#This Row],[Sew. 2017]]+Tabel6689262829[[#This Row],[VAT Sew. 2017]]+Tabel6689262829[[#This Row],[WW 2017]]+Tabel6689262829[[#This Row],[VAT WW 2017]]+Tabel6689262829[[#This Row],[Other ch. 2017]]+Tabel6689262829[[#This Row],[VAT Other ch. 2017]]</f>
        <v>211.48527737107531</v>
      </c>
      <c r="T146" s="397"/>
      <c r="U146" s="1886"/>
      <c r="V146" s="1888"/>
      <c r="W146" s="1890"/>
      <c r="X146" s="1783"/>
      <c r="Y146" s="1892"/>
      <c r="Z146" s="1894"/>
      <c r="AA146" s="1783"/>
      <c r="AB146" s="1911"/>
      <c r="AC146" s="1783"/>
      <c r="AD146" s="1913"/>
      <c r="AE146" s="1783"/>
      <c r="AF146" s="1915"/>
      <c r="AG146" s="2053"/>
      <c r="AH146" s="397"/>
      <c r="AI146" s="396"/>
      <c r="AJ146" s="398"/>
      <c r="AK146" s="398"/>
      <c r="AL146" s="396"/>
      <c r="AM146" s="591" t="s">
        <v>429</v>
      </c>
      <c r="AN146" s="591" t="s">
        <v>429</v>
      </c>
      <c r="AO146" s="398"/>
      <c r="AP146" s="397"/>
    </row>
    <row r="147" spans="1:42" ht="15.75" x14ac:dyDescent="0.25">
      <c r="A147" s="1796"/>
      <c r="B147" s="657" t="s">
        <v>621</v>
      </c>
      <c r="C147" s="747"/>
      <c r="D147" s="815" t="s">
        <v>1092</v>
      </c>
      <c r="E147" s="1760"/>
      <c r="F147" s="616">
        <f>'exchange rates'!$O$41</f>
        <v>19.670400000000001</v>
      </c>
      <c r="G147" s="549">
        <f>2260/F147</f>
        <v>114.8934439564015</v>
      </c>
      <c r="H147" s="550">
        <v>0</v>
      </c>
      <c r="I147" s="551">
        <v>0</v>
      </c>
      <c r="J147" s="560">
        <v>0</v>
      </c>
      <c r="K147" s="566">
        <f>Tabel6689262829[[#This Row],[Fix.ch. 2017]]+Tabel6689262829[[#This Row],[Var. ch. 2017]]+Tabel6689262829[[#This Row],[Oth. ch. DW 2017]]+Tabel6689262829[[#This Row],[VAT DW 2017]]</f>
        <v>114.8934439564015</v>
      </c>
      <c r="L147" s="567">
        <v>0</v>
      </c>
      <c r="M147" s="560">
        <v>0</v>
      </c>
      <c r="N147" s="568">
        <f>160/F147</f>
        <v>8.1340491296567432</v>
      </c>
      <c r="O147" s="560">
        <v>0</v>
      </c>
      <c r="P147" s="569">
        <v>0</v>
      </c>
      <c r="Q147" s="560">
        <v>0</v>
      </c>
      <c r="R147" s="570">
        <f>Tabel6689262829[[#This Row],[VAT DW 2017]]+Tabel6689262829[[#This Row],[VAT Sew. 2017]]+Tabel6689262829[[#This Row],[VAT WW 2017]]+Tabel6689262829[[#This Row],[VAT Other ch. 2017]]</f>
        <v>0</v>
      </c>
      <c r="S147" s="571">
        <f>Tabel6689262829[[#This Row],[Total. ch. DW 2017]]+Tabel6689262829[[#This Row],[Sew. 2017]]+Tabel6689262829[[#This Row],[VAT Sew. 2017]]+Tabel6689262829[[#This Row],[WW 2017]]+Tabel6689262829[[#This Row],[VAT WW 2017]]+Tabel6689262829[[#This Row],[Other ch. 2017]]+Tabel6689262829[[#This Row],[VAT Other ch. 2017]]</f>
        <v>123.02749308605824</v>
      </c>
      <c r="T147" s="397"/>
      <c r="U147" s="1886"/>
      <c r="V147" s="1888"/>
      <c r="W147" s="1890"/>
      <c r="X147" s="1783"/>
      <c r="Y147" s="1892"/>
      <c r="Z147" s="1894"/>
      <c r="AA147" s="1783"/>
      <c r="AB147" s="1911"/>
      <c r="AC147" s="1783"/>
      <c r="AD147" s="1913"/>
      <c r="AE147" s="1783"/>
      <c r="AF147" s="1915"/>
      <c r="AG147" s="2053"/>
      <c r="AH147" s="397"/>
      <c r="AI147" s="591" t="s">
        <v>429</v>
      </c>
      <c r="AJ147" s="398"/>
      <c r="AK147" s="398"/>
      <c r="AL147" s="396"/>
      <c r="AM147" s="591" t="s">
        <v>429</v>
      </c>
      <c r="AN147" s="591" t="s">
        <v>429</v>
      </c>
      <c r="AO147" s="398"/>
      <c r="AP147" s="397"/>
    </row>
    <row r="148" spans="1:42" ht="15.75" x14ac:dyDescent="0.25">
      <c r="A148" s="1796"/>
      <c r="B148" s="657" t="s">
        <v>622</v>
      </c>
      <c r="C148" s="747"/>
      <c r="D148" s="815" t="s">
        <v>1092</v>
      </c>
      <c r="E148" s="1760"/>
      <c r="F148" s="616">
        <f>'exchange rates'!$O$41</f>
        <v>19.670400000000001</v>
      </c>
      <c r="G148" s="549">
        <f>4600/F148</f>
        <v>233.85391247763135</v>
      </c>
      <c r="H148" s="550">
        <v>0</v>
      </c>
      <c r="I148" s="551">
        <v>0</v>
      </c>
      <c r="J148" s="560">
        <v>0</v>
      </c>
      <c r="K148" s="566">
        <f>Tabel6689262829[[#This Row],[Fix.ch. 2017]]+Tabel6689262829[[#This Row],[Var. ch. 2017]]+Tabel6689262829[[#This Row],[Oth. ch. DW 2017]]+Tabel6689262829[[#This Row],[VAT DW 2017]]</f>
        <v>233.85391247763135</v>
      </c>
      <c r="L148" s="567">
        <v>0</v>
      </c>
      <c r="M148" s="560">
        <v>0</v>
      </c>
      <c r="N148" s="568">
        <v>0</v>
      </c>
      <c r="O148" s="560">
        <v>0</v>
      </c>
      <c r="P148" s="569">
        <v>0</v>
      </c>
      <c r="Q148" s="560">
        <v>0</v>
      </c>
      <c r="R148" s="570">
        <f>Tabel6689262829[[#This Row],[VAT DW 2017]]+Tabel6689262829[[#This Row],[VAT Sew. 2017]]+Tabel6689262829[[#This Row],[VAT WW 2017]]+Tabel6689262829[[#This Row],[VAT Other ch. 2017]]</f>
        <v>0</v>
      </c>
      <c r="S148" s="571">
        <f>Tabel6689262829[[#This Row],[Total. ch. DW 2017]]+Tabel6689262829[[#This Row],[Sew. 2017]]+Tabel6689262829[[#This Row],[VAT Sew. 2017]]+Tabel6689262829[[#This Row],[WW 2017]]+Tabel6689262829[[#This Row],[VAT WW 2017]]+Tabel6689262829[[#This Row],[Other ch. 2017]]+Tabel6689262829[[#This Row],[VAT Other ch. 2017]]</f>
        <v>233.85391247763135</v>
      </c>
      <c r="T148" s="397"/>
      <c r="U148" s="1886"/>
      <c r="V148" s="1888"/>
      <c r="W148" s="1890"/>
      <c r="X148" s="1783"/>
      <c r="Y148" s="1892"/>
      <c r="Z148" s="1894"/>
      <c r="AA148" s="1783"/>
      <c r="AB148" s="1911"/>
      <c r="AC148" s="1783"/>
      <c r="AD148" s="1913"/>
      <c r="AE148" s="1783"/>
      <c r="AF148" s="1915"/>
      <c r="AG148" s="2053"/>
      <c r="AH148" s="397"/>
      <c r="AI148" s="396"/>
      <c r="AJ148" s="398"/>
      <c r="AK148" s="398"/>
      <c r="AL148" s="396"/>
      <c r="AM148" s="591" t="s">
        <v>429</v>
      </c>
      <c r="AN148" s="591" t="s">
        <v>429</v>
      </c>
      <c r="AO148" s="398"/>
      <c r="AP148" s="397"/>
    </row>
    <row r="149" spans="1:42" ht="15.75" x14ac:dyDescent="0.25">
      <c r="A149" s="1796"/>
      <c r="B149" s="657" t="s">
        <v>623</v>
      </c>
      <c r="C149" s="747"/>
      <c r="D149" s="815" t="s">
        <v>1092</v>
      </c>
      <c r="E149" s="1760"/>
      <c r="F149" s="616">
        <f>'exchange rates'!$O$41</f>
        <v>19.670400000000001</v>
      </c>
      <c r="G149" s="549">
        <f>2400/F149</f>
        <v>122.01073694485115</v>
      </c>
      <c r="H149" s="550">
        <v>0</v>
      </c>
      <c r="I149" s="551">
        <v>0</v>
      </c>
      <c r="J149" s="560">
        <v>0</v>
      </c>
      <c r="K149" s="566">
        <f>Tabel6689262829[[#This Row],[Fix.ch. 2017]]+Tabel6689262829[[#This Row],[Var. ch. 2017]]+Tabel6689262829[[#This Row],[Oth. ch. DW 2017]]+Tabel6689262829[[#This Row],[VAT DW 2017]]</f>
        <v>122.01073694485115</v>
      </c>
      <c r="L149" s="567">
        <v>0</v>
      </c>
      <c r="M149" s="560">
        <v>0</v>
      </c>
      <c r="N149" s="568">
        <f>520/F149</f>
        <v>26.435659671384414</v>
      </c>
      <c r="O149" s="560">
        <v>0</v>
      </c>
      <c r="P149" s="569">
        <v>0</v>
      </c>
      <c r="Q149" s="560">
        <v>0</v>
      </c>
      <c r="R149" s="570">
        <f>Tabel6689262829[[#This Row],[VAT DW 2017]]+Tabel6689262829[[#This Row],[VAT Sew. 2017]]+Tabel6689262829[[#This Row],[VAT WW 2017]]+Tabel6689262829[[#This Row],[VAT Other ch. 2017]]</f>
        <v>0</v>
      </c>
      <c r="S149" s="571">
        <f>Tabel6689262829[[#This Row],[Total. ch. DW 2017]]+Tabel6689262829[[#This Row],[Sew. 2017]]+Tabel6689262829[[#This Row],[VAT Sew. 2017]]+Tabel6689262829[[#This Row],[WW 2017]]+Tabel6689262829[[#This Row],[VAT WW 2017]]+Tabel6689262829[[#This Row],[Other ch. 2017]]+Tabel6689262829[[#This Row],[VAT Other ch. 2017]]</f>
        <v>148.44639661623557</v>
      </c>
      <c r="T149" s="397"/>
      <c r="U149" s="1886"/>
      <c r="V149" s="1888"/>
      <c r="W149" s="1890"/>
      <c r="X149" s="1783"/>
      <c r="Y149" s="1892"/>
      <c r="Z149" s="1894"/>
      <c r="AA149" s="1783"/>
      <c r="AB149" s="1911"/>
      <c r="AC149" s="1783"/>
      <c r="AD149" s="1913"/>
      <c r="AE149" s="1783"/>
      <c r="AF149" s="1915"/>
      <c r="AG149" s="2053"/>
      <c r="AH149" s="397"/>
      <c r="AI149" s="396"/>
      <c r="AJ149" s="398"/>
      <c r="AK149" s="398"/>
      <c r="AL149" s="396"/>
      <c r="AM149" s="591" t="s">
        <v>429</v>
      </c>
      <c r="AN149" s="591" t="s">
        <v>429</v>
      </c>
      <c r="AO149" s="398"/>
      <c r="AP149" s="397"/>
    </row>
    <row r="150" spans="1:42" ht="16.5" thickBot="1" x14ac:dyDescent="0.3">
      <c r="A150" s="1797"/>
      <c r="B150" s="657" t="s">
        <v>624</v>
      </c>
      <c r="C150" s="747"/>
      <c r="D150" s="819" t="s">
        <v>1092</v>
      </c>
      <c r="E150" s="1761"/>
      <c r="F150" s="616">
        <f>'exchange rates'!$O$41</f>
        <v>19.670400000000001</v>
      </c>
      <c r="G150" s="549">
        <f>4100/F150</f>
        <v>208.43500894745404</v>
      </c>
      <c r="H150" s="550">
        <v>0</v>
      </c>
      <c r="I150" s="551">
        <v>0</v>
      </c>
      <c r="J150" s="560">
        <v>0</v>
      </c>
      <c r="K150" s="566">
        <f>Tabel6689262829[[#This Row],[Fix.ch. 2017]]+Tabel6689262829[[#This Row],[Var. ch. 2017]]+Tabel6689262829[[#This Row],[Oth. ch. DW 2017]]+Tabel6689262829[[#This Row],[VAT DW 2017]]</f>
        <v>208.43500894745404</v>
      </c>
      <c r="L150" s="567">
        <v>0</v>
      </c>
      <c r="M150" s="560">
        <v>0</v>
      </c>
      <c r="N150" s="568">
        <f>680/F150</f>
        <v>34.569708801041159</v>
      </c>
      <c r="O150" s="560">
        <v>0</v>
      </c>
      <c r="P150" s="569">
        <v>0</v>
      </c>
      <c r="Q150" s="560">
        <v>0</v>
      </c>
      <c r="R150" s="570">
        <f>Tabel6689262829[[#This Row],[VAT DW 2017]]+Tabel6689262829[[#This Row],[VAT Sew. 2017]]+Tabel6689262829[[#This Row],[VAT WW 2017]]+Tabel6689262829[[#This Row],[VAT Other ch. 2017]]</f>
        <v>0</v>
      </c>
      <c r="S150" s="571">
        <f>Tabel6689262829[[#This Row],[Total. ch. DW 2017]]+Tabel6689262829[[#This Row],[Sew. 2017]]+Tabel6689262829[[#This Row],[VAT Sew. 2017]]+Tabel6689262829[[#This Row],[WW 2017]]+Tabel6689262829[[#This Row],[VAT WW 2017]]+Tabel6689262829[[#This Row],[Other ch. 2017]]+Tabel6689262829[[#This Row],[VAT Other ch. 2017]]</f>
        <v>243.00471774849518</v>
      </c>
      <c r="T150" s="397"/>
      <c r="U150" s="1764"/>
      <c r="V150" s="1767"/>
      <c r="W150" s="1770"/>
      <c r="X150" s="1773"/>
      <c r="Y150" s="1776"/>
      <c r="Z150" s="1779"/>
      <c r="AA150" s="1773"/>
      <c r="AB150" s="1811"/>
      <c r="AC150" s="1773"/>
      <c r="AD150" s="1813"/>
      <c r="AE150" s="1773"/>
      <c r="AF150" s="1815"/>
      <c r="AG150" s="1991"/>
      <c r="AH150" s="397"/>
      <c r="AI150" s="396"/>
      <c r="AJ150" s="398"/>
      <c r="AK150" s="398"/>
      <c r="AL150" s="396"/>
      <c r="AM150" s="591" t="s">
        <v>429</v>
      </c>
      <c r="AN150" s="591" t="s">
        <v>429</v>
      </c>
      <c r="AO150" s="398"/>
      <c r="AP150" s="397"/>
    </row>
    <row r="151" spans="1:42" ht="18.75" x14ac:dyDescent="0.25">
      <c r="A151" s="2082" t="s">
        <v>39</v>
      </c>
      <c r="B151" s="271" t="s">
        <v>494</v>
      </c>
      <c r="C151" s="1051"/>
      <c r="D151" s="820" t="s">
        <v>1094</v>
      </c>
      <c r="E151" s="2085">
        <v>5100</v>
      </c>
      <c r="F151" s="306">
        <v>8.5832200000000007</v>
      </c>
      <c r="G151" s="319">
        <f>84/F151</f>
        <v>9.7865369872844923</v>
      </c>
      <c r="H151" s="320">
        <f>1362.08/F151</f>
        <v>158.69102737667214</v>
      </c>
      <c r="I151" s="321">
        <v>0</v>
      </c>
      <c r="J151" s="559"/>
      <c r="K151" s="313">
        <f>Tabel6689262829[[#This Row],[Fix.ch. 2017]]+Tabel6689262829[[#This Row],[Var. ch. 2017]]+Tabel6689262829[[#This Row],[Oth. ch. DW 2017]]+Tabel6689262829[[#This Row],[VAT DW 2017]]</f>
        <v>168.47756436395662</v>
      </c>
      <c r="L151" s="322">
        <f>343.44/F151</f>
        <v>40.012955510868878</v>
      </c>
      <c r="M151" s="559"/>
      <c r="N151" s="323">
        <v>0</v>
      </c>
      <c r="O151" s="559"/>
      <c r="P151" s="324">
        <v>0</v>
      </c>
      <c r="Q151" s="559"/>
      <c r="R151" s="317">
        <f>Tabel6689262829[[#This Row],[VAT DW 2017]]+Tabel6689262829[[#This Row],[VAT Sew. 2017]]+Tabel6689262829[[#This Row],[VAT WW 2017]]+Tabel6689262829[[#This Row],[VAT Other ch. 2017]]</f>
        <v>0</v>
      </c>
      <c r="S151" s="318">
        <f>Tabel6689262829[[#This Row],[Total. ch. DW 2017]]+Tabel6689262829[[#This Row],[Sew. 2017]]+Tabel6689262829[[#This Row],[VAT Sew. 2017]]+Tabel6689262829[[#This Row],[WW 2017]]+Tabel6689262829[[#This Row],[VAT WW 2017]]+Tabel6689262829[[#This Row],[Other ch. 2017]]+Tabel6689262829[[#This Row],[VAT Other ch. 2017]]</f>
        <v>208.49051987482551</v>
      </c>
      <c r="T151" s="397"/>
      <c r="U151" s="2087">
        <f>SUM(G151:G155)/5</f>
        <v>9.38109474066842</v>
      </c>
      <c r="V151" s="2089">
        <f>SUM(H151:H155)/5</f>
        <v>129.00333441295922</v>
      </c>
      <c r="W151" s="2090">
        <f>SUM(I151:I155)/5</f>
        <v>0</v>
      </c>
      <c r="X151" s="575"/>
      <c r="Y151" s="2091">
        <f>SUM(K151:K155)/5</f>
        <v>138.38442915362765</v>
      </c>
      <c r="Z151" s="2092">
        <f>SUM(L151:L155)/5</f>
        <v>34.621971707587591</v>
      </c>
      <c r="AA151" s="575"/>
      <c r="AB151" s="2073">
        <f>SUM(N151:N155)/5</f>
        <v>0</v>
      </c>
      <c r="AC151" s="575"/>
      <c r="AD151" s="2074">
        <f>SUM(P151:P155)/5</f>
        <v>0</v>
      </c>
      <c r="AE151" s="575"/>
      <c r="AF151" s="2075">
        <f t="shared" ref="AF151:AG151" si="21">SUM(R151:R155)/5</f>
        <v>0</v>
      </c>
      <c r="AG151" s="2076">
        <f t="shared" si="21"/>
        <v>173.00640086121524</v>
      </c>
      <c r="AH151" s="397"/>
      <c r="AI151" s="398"/>
      <c r="AJ151" s="398"/>
      <c r="AK151" s="398"/>
      <c r="AL151" s="396" t="s">
        <v>429</v>
      </c>
      <c r="AM151" s="398"/>
      <c r="AN151" s="398"/>
      <c r="AO151" s="398"/>
      <c r="AP151" s="397"/>
    </row>
    <row r="152" spans="1:42" ht="18.75" x14ac:dyDescent="0.25">
      <c r="A152" s="2083"/>
      <c r="B152" s="272" t="s">
        <v>495</v>
      </c>
      <c r="C152" s="764" t="s">
        <v>429</v>
      </c>
      <c r="D152" s="821" t="s">
        <v>1094</v>
      </c>
      <c r="E152" s="2086"/>
      <c r="F152" s="306">
        <v>8.5832200000000007</v>
      </c>
      <c r="G152" s="319">
        <f>102.6/F152</f>
        <v>11.953555891611771</v>
      </c>
      <c r="H152" s="320">
        <f>1117.04/F152</f>
        <v>130.1423009080508</v>
      </c>
      <c r="I152" s="321">
        <v>0</v>
      </c>
      <c r="J152" s="559"/>
      <c r="K152" s="313">
        <f>Tabel6689262829[[#This Row],[Fix.ch. 2017]]+Tabel6689262829[[#This Row],[Var. ch. 2017]]+Tabel6689262829[[#This Row],[Oth. ch. DW 2017]]+Tabel6689262829[[#This Row],[VAT DW 2017]]</f>
        <v>142.09585679966256</v>
      </c>
      <c r="L152" s="322">
        <f>328.8/F152</f>
        <v>38.307301921656439</v>
      </c>
      <c r="M152" s="559"/>
      <c r="N152" s="323">
        <v>0</v>
      </c>
      <c r="O152" s="559"/>
      <c r="P152" s="324">
        <v>0</v>
      </c>
      <c r="Q152" s="559"/>
      <c r="R152" s="317">
        <f>Tabel6689262829[[#This Row],[VAT DW 2017]]+Tabel6689262829[[#This Row],[VAT Sew. 2017]]+Tabel6689262829[[#This Row],[VAT WW 2017]]+Tabel6689262829[[#This Row],[VAT Other ch. 2017]]</f>
        <v>0</v>
      </c>
      <c r="S152" s="318">
        <f>Tabel6689262829[[#This Row],[Total. ch. DW 2017]]+Tabel6689262829[[#This Row],[Sew. 2017]]+Tabel6689262829[[#This Row],[VAT Sew. 2017]]+Tabel6689262829[[#This Row],[WW 2017]]+Tabel6689262829[[#This Row],[VAT WW 2017]]+Tabel6689262829[[#This Row],[Other ch. 2017]]+Tabel6689262829[[#This Row],[VAT Other ch. 2017]]</f>
        <v>180.40315872131899</v>
      </c>
      <c r="T152" s="397"/>
      <c r="U152" s="2058"/>
      <c r="V152" s="2060"/>
      <c r="W152" s="2062"/>
      <c r="X152" s="576"/>
      <c r="Y152" s="2064"/>
      <c r="Z152" s="2066"/>
      <c r="AA152" s="576"/>
      <c r="AB152" s="2068"/>
      <c r="AC152" s="576"/>
      <c r="AD152" s="2070"/>
      <c r="AE152" s="576"/>
      <c r="AF152" s="2072"/>
      <c r="AG152" s="2077"/>
      <c r="AH152" s="397"/>
      <c r="AI152" s="398"/>
      <c r="AJ152" s="398"/>
      <c r="AK152" s="398"/>
      <c r="AL152" s="396" t="s">
        <v>429</v>
      </c>
      <c r="AM152" s="398"/>
      <c r="AN152" s="398"/>
      <c r="AO152" s="398"/>
      <c r="AP152" s="397"/>
    </row>
    <row r="153" spans="1:42" ht="18.75" x14ac:dyDescent="0.25">
      <c r="A153" s="2083"/>
      <c r="B153" s="272" t="s">
        <v>496</v>
      </c>
      <c r="C153" s="764"/>
      <c r="D153" s="821" t="s">
        <v>1094</v>
      </c>
      <c r="E153" s="2086"/>
      <c r="F153" s="306">
        <v>8.5832200000000007</v>
      </c>
      <c r="G153" s="319">
        <f>72/F153</f>
        <v>8.3884602748152783</v>
      </c>
      <c r="H153" s="320">
        <f>1045.2/F153</f>
        <v>121.77248165606846</v>
      </c>
      <c r="I153" s="321">
        <v>0</v>
      </c>
      <c r="J153" s="559"/>
      <c r="K153" s="313">
        <f>Tabel6689262829[[#This Row],[Fix.ch. 2017]]+Tabel6689262829[[#This Row],[Var. ch. 2017]]+Tabel6689262829[[#This Row],[Oth. ch. DW 2017]]+Tabel6689262829[[#This Row],[VAT DW 2017]]</f>
        <v>130.16094193088375</v>
      </c>
      <c r="L153" s="322">
        <f>223.4/F153</f>
        <v>26.027528130468518</v>
      </c>
      <c r="M153" s="559"/>
      <c r="N153" s="323">
        <v>0</v>
      </c>
      <c r="O153" s="559"/>
      <c r="P153" s="324">
        <v>0</v>
      </c>
      <c r="Q153" s="559"/>
      <c r="R153" s="317">
        <f>Tabel6689262829[[#This Row],[VAT DW 2017]]+Tabel6689262829[[#This Row],[VAT Sew. 2017]]+Tabel6689262829[[#This Row],[VAT WW 2017]]+Tabel6689262829[[#This Row],[VAT Other ch. 2017]]</f>
        <v>0</v>
      </c>
      <c r="S153" s="318">
        <f>Tabel6689262829[[#This Row],[Total. ch. DW 2017]]+Tabel6689262829[[#This Row],[Sew. 2017]]+Tabel6689262829[[#This Row],[VAT Sew. 2017]]+Tabel6689262829[[#This Row],[WW 2017]]+Tabel6689262829[[#This Row],[VAT WW 2017]]+Tabel6689262829[[#This Row],[Other ch. 2017]]+Tabel6689262829[[#This Row],[VAT Other ch. 2017]]</f>
        <v>156.18847006135226</v>
      </c>
      <c r="T153" s="397"/>
      <c r="U153" s="2058"/>
      <c r="V153" s="2060"/>
      <c r="W153" s="2062"/>
      <c r="X153" s="576"/>
      <c r="Y153" s="2064"/>
      <c r="Z153" s="2066"/>
      <c r="AA153" s="576"/>
      <c r="AB153" s="2068"/>
      <c r="AC153" s="576"/>
      <c r="AD153" s="2070"/>
      <c r="AE153" s="576"/>
      <c r="AF153" s="2072"/>
      <c r="AG153" s="2077"/>
      <c r="AH153" s="397"/>
      <c r="AI153" s="398"/>
      <c r="AJ153" s="398"/>
      <c r="AK153" s="398"/>
      <c r="AL153" s="396" t="s">
        <v>429</v>
      </c>
      <c r="AM153" s="398"/>
      <c r="AN153" s="398"/>
      <c r="AO153" s="398"/>
      <c r="AP153" s="397"/>
    </row>
    <row r="154" spans="1:42" ht="18.75" x14ac:dyDescent="0.25">
      <c r="A154" s="2083"/>
      <c r="B154" s="272" t="s">
        <v>497</v>
      </c>
      <c r="C154" s="764"/>
      <c r="D154" s="821" t="s">
        <v>1094</v>
      </c>
      <c r="E154" s="2086"/>
      <c r="F154" s="306">
        <v>8.5832200000000007</v>
      </c>
      <c r="G154" s="319">
        <f>72/F154</f>
        <v>8.3884602748152783</v>
      </c>
      <c r="H154" s="320">
        <f>1074.24/F154</f>
        <v>125.15582730024396</v>
      </c>
      <c r="I154" s="321">
        <v>0</v>
      </c>
      <c r="J154" s="559"/>
      <c r="K154" s="313">
        <f>Tabel6689262829[[#This Row],[Fix.ch. 2017]]+Tabel6689262829[[#This Row],[Var. ch. 2017]]+Tabel6689262829[[#This Row],[Oth. ch. DW 2017]]+Tabel6689262829[[#This Row],[VAT DW 2017]]</f>
        <v>133.54428757505923</v>
      </c>
      <c r="L154" s="322">
        <f>233.08/F154</f>
        <v>27.155310011860351</v>
      </c>
      <c r="M154" s="559"/>
      <c r="N154" s="323">
        <v>0</v>
      </c>
      <c r="O154" s="559"/>
      <c r="P154" s="324">
        <v>0</v>
      </c>
      <c r="Q154" s="559"/>
      <c r="R154" s="317">
        <f>Tabel6689262829[[#This Row],[VAT DW 2017]]+Tabel6689262829[[#This Row],[VAT Sew. 2017]]+Tabel6689262829[[#This Row],[VAT WW 2017]]+Tabel6689262829[[#This Row],[VAT Other ch. 2017]]</f>
        <v>0</v>
      </c>
      <c r="S154" s="318">
        <f>Tabel6689262829[[#This Row],[Total. ch. DW 2017]]+Tabel6689262829[[#This Row],[Sew. 2017]]+Tabel6689262829[[#This Row],[VAT Sew. 2017]]+Tabel6689262829[[#This Row],[WW 2017]]+Tabel6689262829[[#This Row],[VAT WW 2017]]+Tabel6689262829[[#This Row],[Other ch. 2017]]+Tabel6689262829[[#This Row],[VAT Other ch. 2017]]</f>
        <v>160.69959758691959</v>
      </c>
      <c r="T154" s="397"/>
      <c r="U154" s="2058"/>
      <c r="V154" s="2060"/>
      <c r="W154" s="2062"/>
      <c r="X154" s="576"/>
      <c r="Y154" s="2064"/>
      <c r="Z154" s="2066"/>
      <c r="AA154" s="576"/>
      <c r="AB154" s="2068"/>
      <c r="AC154" s="576"/>
      <c r="AD154" s="2070"/>
      <c r="AE154" s="576"/>
      <c r="AF154" s="2072"/>
      <c r="AG154" s="2077"/>
      <c r="AH154" s="397"/>
      <c r="AI154" s="398"/>
      <c r="AJ154" s="398"/>
      <c r="AK154" s="398"/>
      <c r="AL154" s="396" t="s">
        <v>429</v>
      </c>
      <c r="AM154" s="398"/>
      <c r="AN154" s="398"/>
      <c r="AO154" s="398"/>
      <c r="AP154" s="397"/>
    </row>
    <row r="155" spans="1:42" ht="19.5" thickBot="1" x14ac:dyDescent="0.3">
      <c r="A155" s="2084"/>
      <c r="B155" s="273" t="s">
        <v>498</v>
      </c>
      <c r="C155" s="1052"/>
      <c r="D155" s="822" t="s">
        <v>1094</v>
      </c>
      <c r="E155" s="2008"/>
      <c r="F155" s="306">
        <v>8.5832200000000007</v>
      </c>
      <c r="G155" s="319">
        <f>72/F155</f>
        <v>8.3884602748152783</v>
      </c>
      <c r="H155" s="320">
        <f>937.76/F155</f>
        <v>109.25503482376077</v>
      </c>
      <c r="I155" s="321">
        <v>0</v>
      </c>
      <c r="J155" s="559"/>
      <c r="K155" s="313">
        <f>Tabel6689262829[[#This Row],[Fix.ch. 2017]]+Tabel6689262829[[#This Row],[Var. ch. 2017]]+Tabel6689262829[[#This Row],[Oth. ch. DW 2017]]+Tabel6689262829[[#This Row],[VAT DW 2017]]</f>
        <v>117.64349509857604</v>
      </c>
      <c r="L155" s="322">
        <f>357.12/F155</f>
        <v>41.606762963083781</v>
      </c>
      <c r="M155" s="559"/>
      <c r="N155" s="323">
        <v>0</v>
      </c>
      <c r="O155" s="559"/>
      <c r="P155" s="324">
        <v>0</v>
      </c>
      <c r="Q155" s="559"/>
      <c r="R155" s="317">
        <f>Tabel6689262829[[#This Row],[VAT DW 2017]]+Tabel6689262829[[#This Row],[VAT Sew. 2017]]+Tabel6689262829[[#This Row],[VAT WW 2017]]+Tabel6689262829[[#This Row],[VAT Other ch. 2017]]</f>
        <v>0</v>
      </c>
      <c r="S155" s="318">
        <f>Tabel6689262829[[#This Row],[Total. ch. DW 2017]]+Tabel6689262829[[#This Row],[Sew. 2017]]+Tabel6689262829[[#This Row],[VAT Sew. 2017]]+Tabel6689262829[[#This Row],[WW 2017]]+Tabel6689262829[[#This Row],[VAT WW 2017]]+Tabel6689262829[[#This Row],[Other ch. 2017]]+Tabel6689262829[[#This Row],[VAT Other ch. 2017]]</f>
        <v>159.25025806165982</v>
      </c>
      <c r="T155" s="397"/>
      <c r="U155" s="2088"/>
      <c r="V155" s="2013"/>
      <c r="W155" s="2015"/>
      <c r="X155" s="577"/>
      <c r="Y155" s="2017"/>
      <c r="Z155" s="2019"/>
      <c r="AA155" s="577"/>
      <c r="AB155" s="2021"/>
      <c r="AC155" s="577"/>
      <c r="AD155" s="2030"/>
      <c r="AE155" s="577"/>
      <c r="AF155" s="1993"/>
      <c r="AG155" s="1995"/>
      <c r="AH155" s="397"/>
      <c r="AI155" s="398"/>
      <c r="AJ155" s="398"/>
      <c r="AK155" s="398"/>
      <c r="AL155" s="396" t="s">
        <v>429</v>
      </c>
      <c r="AM155" s="398"/>
      <c r="AN155" s="398"/>
      <c r="AO155" s="398"/>
      <c r="AP155" s="397"/>
    </row>
    <row r="156" spans="1:42" ht="19.5" thickBot="1" x14ac:dyDescent="0.3">
      <c r="A156" s="869" t="s">
        <v>734</v>
      </c>
      <c r="B156" s="260" t="s">
        <v>735</v>
      </c>
      <c r="C156" s="1049"/>
      <c r="D156" s="817" t="s">
        <v>1104</v>
      </c>
      <c r="E156" s="886">
        <v>11300</v>
      </c>
      <c r="F156" s="306">
        <f>'exchange rates'!M43</f>
        <v>15.682219999999999</v>
      </c>
      <c r="G156" s="319"/>
      <c r="H156" s="320"/>
      <c r="I156" s="321"/>
      <c r="J156" s="559"/>
      <c r="K156" s="313">
        <f>Tabel6689262829[[#This Row],[Fix.ch. 2017]]+Tabel6689262829[[#This Row],[Var. ch. 2017]]+Tabel6689262829[[#This Row],[Oth. ch. DW 2017]]+Tabel6689262829[[#This Row],[VAT DW 2017]]</f>
        <v>0</v>
      </c>
      <c r="L156" s="322"/>
      <c r="M156" s="559"/>
      <c r="N156" s="323"/>
      <c r="O156" s="559"/>
      <c r="P156" s="324"/>
      <c r="Q156" s="559"/>
      <c r="R156" s="317">
        <f>Tabel6689262829[[#This Row],[VAT DW 2017]]+Tabel6689262829[[#This Row],[VAT Sew. 2017]]+Tabel6689262829[[#This Row],[VAT WW 2017]]+Tabel6689262829[[#This Row],[VAT Other ch. 2017]]</f>
        <v>0</v>
      </c>
      <c r="S156" s="318">
        <f>Tabel6689262829[[#This Row],[Total. ch. DW 2017]]+Tabel6689262829[[#This Row],[Sew. 2017]]+Tabel6689262829[[#This Row],[VAT Sew. 2017]]+Tabel6689262829[[#This Row],[WW 2017]]+Tabel6689262829[[#This Row],[VAT WW 2017]]+Tabel6689262829[[#This Row],[Other ch. 2017]]+Tabel6689262829[[#This Row],[VAT Other ch. 2017]]</f>
        <v>0</v>
      </c>
      <c r="T156" s="397"/>
      <c r="U156" s="898"/>
      <c r="V156" s="888"/>
      <c r="W156" s="887"/>
      <c r="X156" s="576"/>
      <c r="Y156" s="900"/>
      <c r="Z156" s="901"/>
      <c r="AA156" s="576"/>
      <c r="AB156" s="902"/>
      <c r="AC156" s="576"/>
      <c r="AD156" s="899"/>
      <c r="AE156" s="576"/>
      <c r="AF156" s="894"/>
      <c r="AG156" s="875"/>
      <c r="AH156" s="397"/>
      <c r="AI156" s="398"/>
      <c r="AJ156" s="398"/>
      <c r="AK156" s="398"/>
      <c r="AL156" s="396"/>
      <c r="AM156" s="398"/>
      <c r="AN156" s="398"/>
      <c r="AO156" s="398"/>
      <c r="AP156" s="397"/>
    </row>
    <row r="157" spans="1:42" ht="15.75" customHeight="1" x14ac:dyDescent="0.25">
      <c r="A157" s="2078" t="s">
        <v>20</v>
      </c>
      <c r="B157" s="631" t="s">
        <v>182</v>
      </c>
      <c r="C157" s="631" t="s">
        <v>429</v>
      </c>
      <c r="D157" s="631" t="s">
        <v>1106</v>
      </c>
      <c r="E157" s="1966">
        <v>53600</v>
      </c>
      <c r="F157" s="616">
        <f>'exchange rates'!$O$44</f>
        <v>0.83301000000000003</v>
      </c>
      <c r="G157" s="549">
        <f>42.15/F157</f>
        <v>50.599632657471098</v>
      </c>
      <c r="H157" s="550">
        <f>236/F157</f>
        <v>283.30992425060924</v>
      </c>
      <c r="I157" s="551">
        <v>0</v>
      </c>
      <c r="J157" s="560">
        <f>16.69/F157</f>
        <v>20.035773880265545</v>
      </c>
      <c r="K157" s="566">
        <f>Tabel6689262829[[#This Row],[Fix.ch. 2017]]+Tabel6689262829[[#This Row],[Var. ch. 2017]]+Tabel6689262829[[#This Row],[Oth. ch. DW 2017]]+Tabel6689262829[[#This Row],[VAT DW 2017]]</f>
        <v>353.94533078834587</v>
      </c>
      <c r="L157" s="567">
        <f>128/F157</f>
        <v>153.65961993253381</v>
      </c>
      <c r="M157" s="560">
        <v>0</v>
      </c>
      <c r="N157" s="568">
        <f>157.95/F157</f>
        <v>189.61357006518529</v>
      </c>
      <c r="O157" s="560">
        <v>0</v>
      </c>
      <c r="P157" s="569">
        <f>67.2/F157</f>
        <v>80.671300464580256</v>
      </c>
      <c r="Q157" s="560">
        <f>4.03/F157</f>
        <v>4.8378770963133695</v>
      </c>
      <c r="R157" s="570">
        <f>Tabel6689262829[[#This Row],[VAT DW 2017]]+Tabel6689262829[[#This Row],[VAT Sew. 2017]]+Tabel6689262829[[#This Row],[VAT WW 2017]]+Tabel6689262829[[#This Row],[VAT Other ch. 2017]]</f>
        <v>24.873650976578915</v>
      </c>
      <c r="S157" s="571">
        <f>Tabel6689262829[[#This Row],[Total. ch. DW 2017]]+Tabel6689262829[[#This Row],[Sew. 2017]]+Tabel6689262829[[#This Row],[VAT Sew. 2017]]+Tabel6689262829[[#This Row],[WW 2017]]+Tabel6689262829[[#This Row],[VAT WW 2017]]+Tabel6689262829[[#This Row],[Other ch. 2017]]+Tabel6689262829[[#This Row],[VAT Other ch. 2017]]</f>
        <v>782.72769834695862</v>
      </c>
      <c r="T157" s="397"/>
      <c r="U157" s="2080">
        <f>MEDIAN(G157:G161)</f>
        <v>70.827481062652311</v>
      </c>
      <c r="V157" s="1825">
        <f>MEDIAN(H157:H161)</f>
        <v>216.08384053012568</v>
      </c>
      <c r="W157" s="1826">
        <f>MEDIAN(I157:I161)</f>
        <v>0</v>
      </c>
      <c r="X157" s="1771">
        <f>MEDIAN(J157:J161)</f>
        <v>17.778898212506451</v>
      </c>
      <c r="Y157" s="1827">
        <f>SUM(U157:X161)</f>
        <v>304.69021980528447</v>
      </c>
      <c r="Z157" s="1828">
        <f t="shared" ref="Z157:AF157" si="22">MEDIAN(L157:L161)</f>
        <v>172.86707242410054</v>
      </c>
      <c r="AA157" s="1771">
        <f t="shared" si="22"/>
        <v>0</v>
      </c>
      <c r="AB157" s="1829">
        <f t="shared" si="22"/>
        <v>191.94247367978772</v>
      </c>
      <c r="AC157" s="1771">
        <f t="shared" si="22"/>
        <v>0</v>
      </c>
      <c r="AD157" s="1830">
        <f t="shared" si="22"/>
        <v>80.671300464580256</v>
      </c>
      <c r="AE157" s="1771">
        <f t="shared" si="22"/>
        <v>4.8378770963133695</v>
      </c>
      <c r="AF157" s="1816">
        <f t="shared" si="22"/>
        <v>22.616775308819822</v>
      </c>
      <c r="AG157" s="1817">
        <f>Y157+Z157+AA157+AB157+AC157+AD157+AE157</f>
        <v>755.00894347006636</v>
      </c>
      <c r="AH157" s="397"/>
      <c r="AI157" s="591" t="s">
        <v>429</v>
      </c>
      <c r="AJ157" s="591" t="s">
        <v>429</v>
      </c>
      <c r="AK157" s="591"/>
      <c r="AL157" s="591"/>
      <c r="AM157" s="591" t="s">
        <v>429</v>
      </c>
      <c r="AN157" s="591"/>
      <c r="AO157" s="712" t="s">
        <v>925</v>
      </c>
      <c r="AP157" s="430"/>
    </row>
    <row r="158" spans="1:42" ht="15.75" customHeight="1" x14ac:dyDescent="0.25">
      <c r="A158" s="2079"/>
      <c r="B158" s="631" t="s">
        <v>183</v>
      </c>
      <c r="C158" s="631"/>
      <c r="D158" s="631" t="s">
        <v>1106</v>
      </c>
      <c r="E158" s="1967"/>
      <c r="F158" s="616">
        <f>'exchange rates'!$O$44</f>
        <v>0.83301000000000003</v>
      </c>
      <c r="G158" s="549">
        <f>59/F158</f>
        <v>70.827481062652311</v>
      </c>
      <c r="H158" s="550">
        <f>180/F158</f>
        <v>216.08384053012568</v>
      </c>
      <c r="I158" s="551">
        <f>7.84/F158</f>
        <v>9.4116517208676953</v>
      </c>
      <c r="J158" s="560">
        <f>14.81/F158</f>
        <v>17.778898212506451</v>
      </c>
      <c r="K158" s="566">
        <f>Tabel6689262829[[#This Row],[Fix.ch. 2017]]+Tabel6689262829[[#This Row],[Var. ch. 2017]]+Tabel6689262829[[#This Row],[Oth. ch. DW 2017]]+Tabel6689262829[[#This Row],[VAT DW 2017]]</f>
        <v>314.10187152615214</v>
      </c>
      <c r="L158" s="567">
        <f>190/F158</f>
        <v>228.08849833735488</v>
      </c>
      <c r="M158" s="560">
        <v>0</v>
      </c>
      <c r="N158" s="568">
        <f>159.89/F158</f>
        <v>191.94247367978772</v>
      </c>
      <c r="O158" s="560">
        <v>0</v>
      </c>
      <c r="P158" s="569">
        <f>67.2/F158</f>
        <v>80.671300464580256</v>
      </c>
      <c r="Q158" s="560">
        <f>4.03/F158</f>
        <v>4.8378770963133695</v>
      </c>
      <c r="R158" s="570">
        <f>Tabel6689262829[[#This Row],[VAT DW 2017]]+Tabel6689262829[[#This Row],[VAT Sew. 2017]]+Tabel6689262829[[#This Row],[VAT WW 2017]]+Tabel6689262829[[#This Row],[VAT Other ch. 2017]]</f>
        <v>22.616775308819822</v>
      </c>
      <c r="S158" s="571">
        <f>Tabel6689262829[[#This Row],[Total. ch. DW 2017]]+Tabel6689262829[[#This Row],[Sew. 2017]]+Tabel6689262829[[#This Row],[VAT Sew. 2017]]+Tabel6689262829[[#This Row],[WW 2017]]+Tabel6689262829[[#This Row],[VAT WW 2017]]+Tabel6689262829[[#This Row],[Other ch. 2017]]+Tabel6689262829[[#This Row],[VAT Other ch. 2017]]</f>
        <v>819.6420211041883</v>
      </c>
      <c r="T158" s="397"/>
      <c r="U158" s="2081"/>
      <c r="V158" s="1766"/>
      <c r="W158" s="1769"/>
      <c r="X158" s="1783"/>
      <c r="Y158" s="1775"/>
      <c r="Z158" s="1778"/>
      <c r="AA158" s="1783"/>
      <c r="AB158" s="1781"/>
      <c r="AC158" s="1783"/>
      <c r="AD158" s="1785"/>
      <c r="AE158" s="1783"/>
      <c r="AF158" s="1788"/>
      <c r="AG158" s="1791"/>
      <c r="AH158" s="397"/>
      <c r="AI158" s="591" t="s">
        <v>429</v>
      </c>
      <c r="AJ158" s="591" t="s">
        <v>429</v>
      </c>
      <c r="AK158" s="591"/>
      <c r="AL158" s="591"/>
      <c r="AM158" s="591" t="s">
        <v>429</v>
      </c>
      <c r="AN158" s="591"/>
      <c r="AO158" s="712" t="s">
        <v>925</v>
      </c>
      <c r="AP158" s="430"/>
    </row>
    <row r="159" spans="1:42" ht="15.75" customHeight="1" x14ac:dyDescent="0.25">
      <c r="A159" s="2079"/>
      <c r="B159" s="631" t="s">
        <v>184</v>
      </c>
      <c r="C159" s="631"/>
      <c r="D159" s="631" t="s">
        <v>1106</v>
      </c>
      <c r="E159" s="1967"/>
      <c r="F159" s="616">
        <f>'exchange rates'!$O$44</f>
        <v>0.83301000000000003</v>
      </c>
      <c r="G159" s="549">
        <f>61.18/F159</f>
        <v>73.444496464628273</v>
      </c>
      <c r="H159" s="550">
        <f>204/F159</f>
        <v>244.89501926747576</v>
      </c>
      <c r="I159" s="551">
        <f>18.4/F159</f>
        <v>22.088570365301734</v>
      </c>
      <c r="J159" s="560">
        <f>17.01/F159</f>
        <v>20.419922930096877</v>
      </c>
      <c r="K159" s="566">
        <f>Tabel6689262829[[#This Row],[Fix.ch. 2017]]+Tabel6689262829[[#This Row],[Var. ch. 2017]]+Tabel6689262829[[#This Row],[Oth. ch. DW 2017]]+Tabel6689262829[[#This Row],[VAT DW 2017]]</f>
        <v>360.84800902750266</v>
      </c>
      <c r="L159" s="567">
        <f>137/F159</f>
        <v>164.4638119590401</v>
      </c>
      <c r="M159" s="560">
        <v>0</v>
      </c>
      <c r="N159" s="568">
        <f>280.5/F159</f>
        <v>336.7306514927792</v>
      </c>
      <c r="O159" s="560">
        <v>0</v>
      </c>
      <c r="P159" s="569">
        <f>67.2/F159</f>
        <v>80.671300464580256</v>
      </c>
      <c r="Q159" s="560">
        <f t="shared" ref="Q159:Q161" si="23">4.03/F159</f>
        <v>4.8378770963133695</v>
      </c>
      <c r="R159" s="570">
        <f>Tabel6689262829[[#This Row],[VAT DW 2017]]+Tabel6689262829[[#This Row],[VAT Sew. 2017]]+Tabel6689262829[[#This Row],[VAT WW 2017]]+Tabel6689262829[[#This Row],[VAT Other ch. 2017]]</f>
        <v>25.257800026410248</v>
      </c>
      <c r="S159" s="571">
        <f>Tabel6689262829[[#This Row],[Total. ch. DW 2017]]+Tabel6689262829[[#This Row],[Sew. 2017]]+Tabel6689262829[[#This Row],[VAT Sew. 2017]]+Tabel6689262829[[#This Row],[WW 2017]]+Tabel6689262829[[#This Row],[VAT WW 2017]]+Tabel6689262829[[#This Row],[Other ch. 2017]]+Tabel6689262829[[#This Row],[VAT Other ch. 2017]]</f>
        <v>947.55165004021558</v>
      </c>
      <c r="T159" s="397"/>
      <c r="U159" s="2081"/>
      <c r="V159" s="1766"/>
      <c r="W159" s="1769"/>
      <c r="X159" s="1783"/>
      <c r="Y159" s="1775"/>
      <c r="Z159" s="1778"/>
      <c r="AA159" s="1783"/>
      <c r="AB159" s="1781"/>
      <c r="AC159" s="1783"/>
      <c r="AD159" s="1785"/>
      <c r="AE159" s="1783"/>
      <c r="AF159" s="1788"/>
      <c r="AG159" s="1791"/>
      <c r="AH159" s="397"/>
      <c r="AI159" s="614"/>
      <c r="AJ159" s="591" t="s">
        <v>429</v>
      </c>
      <c r="AK159" s="591"/>
      <c r="AL159" s="591"/>
      <c r="AM159" s="591" t="s">
        <v>429</v>
      </c>
      <c r="AN159" s="591"/>
      <c r="AO159" s="712" t="s">
        <v>925</v>
      </c>
      <c r="AP159" s="430"/>
    </row>
    <row r="160" spans="1:42" ht="15.75" customHeight="1" x14ac:dyDescent="0.25">
      <c r="A160" s="2079"/>
      <c r="B160" s="631" t="s">
        <v>185</v>
      </c>
      <c r="C160" s="631"/>
      <c r="D160" s="631" t="s">
        <v>1106</v>
      </c>
      <c r="E160" s="1967"/>
      <c r="F160" s="616">
        <f>'exchange rates'!$O$44</f>
        <v>0.83301000000000003</v>
      </c>
      <c r="G160" s="549">
        <f>45/F160</f>
        <v>54.020960132531421</v>
      </c>
      <c r="H160" s="550">
        <f>126/F160</f>
        <v>151.25868837108797</v>
      </c>
      <c r="I160" s="551">
        <v>0</v>
      </c>
      <c r="J160" s="560">
        <f>10.26/F160</f>
        <v>12.316778910217163</v>
      </c>
      <c r="K160" s="566">
        <f>Tabel6689262829[[#This Row],[Fix.ch. 2017]]+Tabel6689262829[[#This Row],[Var. ch. 2017]]+Tabel6689262829[[#This Row],[Oth. ch. DW 2017]]+Tabel6689262829[[#This Row],[VAT DW 2017]]</f>
        <v>217.59642741383655</v>
      </c>
      <c r="L160" s="567">
        <f>220/F160</f>
        <v>264.10247175904249</v>
      </c>
      <c r="M160" s="560">
        <v>0</v>
      </c>
      <c r="N160" s="568">
        <f>192.24/F160</f>
        <v>230.77754168617423</v>
      </c>
      <c r="O160" s="560">
        <v>0</v>
      </c>
      <c r="P160" s="569">
        <f>67.2/F160</f>
        <v>80.671300464580256</v>
      </c>
      <c r="Q160" s="560">
        <f t="shared" si="23"/>
        <v>4.8378770963133695</v>
      </c>
      <c r="R160" s="570">
        <f>Tabel6689262829[[#This Row],[VAT DW 2017]]+Tabel6689262829[[#This Row],[VAT Sew. 2017]]+Tabel6689262829[[#This Row],[VAT WW 2017]]+Tabel6689262829[[#This Row],[VAT Other ch. 2017]]</f>
        <v>17.154656006530534</v>
      </c>
      <c r="S160" s="571">
        <f>Tabel6689262829[[#This Row],[Total. ch. DW 2017]]+Tabel6689262829[[#This Row],[Sew. 2017]]+Tabel6689262829[[#This Row],[VAT Sew. 2017]]+Tabel6689262829[[#This Row],[WW 2017]]+Tabel6689262829[[#This Row],[VAT WW 2017]]+Tabel6689262829[[#This Row],[Other ch. 2017]]+Tabel6689262829[[#This Row],[VAT Other ch. 2017]]</f>
        <v>797.98561841994683</v>
      </c>
      <c r="T160" s="397"/>
      <c r="U160" s="2081"/>
      <c r="V160" s="1766"/>
      <c r="W160" s="1769"/>
      <c r="X160" s="1783"/>
      <c r="Y160" s="1775"/>
      <c r="Z160" s="1778"/>
      <c r="AA160" s="1783"/>
      <c r="AB160" s="1781"/>
      <c r="AC160" s="1783"/>
      <c r="AD160" s="1785"/>
      <c r="AE160" s="1783"/>
      <c r="AF160" s="1788"/>
      <c r="AG160" s="1791"/>
      <c r="AH160" s="397"/>
      <c r="AI160" s="614"/>
      <c r="AJ160" s="591" t="s">
        <v>429</v>
      </c>
      <c r="AK160" s="591"/>
      <c r="AL160" s="591"/>
      <c r="AM160" s="591" t="s">
        <v>429</v>
      </c>
      <c r="AN160" s="591"/>
      <c r="AO160" s="712" t="s">
        <v>925</v>
      </c>
      <c r="AP160" s="430"/>
    </row>
    <row r="161" spans="1:42" ht="16.5" customHeight="1" thickBot="1" x14ac:dyDescent="0.3">
      <c r="A161" s="2079"/>
      <c r="B161" s="631" t="s">
        <v>186</v>
      </c>
      <c r="C161" s="631"/>
      <c r="D161" s="631" t="s">
        <v>1106</v>
      </c>
      <c r="E161" s="1967"/>
      <c r="F161" s="616">
        <f>'exchange rates'!$O$44</f>
        <v>0.83301000000000003</v>
      </c>
      <c r="G161" s="549">
        <f>70.44/F161</f>
        <v>84.560809594122517</v>
      </c>
      <c r="H161" s="550">
        <f>92.3/F161</f>
        <v>110.80299156072556</v>
      </c>
      <c r="I161" s="551">
        <v>0</v>
      </c>
      <c r="J161" s="560">
        <f>9.76/F161</f>
        <v>11.716546019855704</v>
      </c>
      <c r="K161" s="566">
        <f>Tabel6689262829[[#This Row],[Fix.ch. 2017]]+Tabel6689262829[[#This Row],[Var. ch. 2017]]+Tabel6689262829[[#This Row],[Oth. ch. DW 2017]]+Tabel6689262829[[#This Row],[VAT DW 2017]]</f>
        <v>207.0803471747038</v>
      </c>
      <c r="L161" s="567">
        <f>144/F161</f>
        <v>172.86707242410054</v>
      </c>
      <c r="M161" s="560">
        <v>0</v>
      </c>
      <c r="N161" s="568">
        <f>145.44/F161</f>
        <v>174.59574314834154</v>
      </c>
      <c r="O161" s="560">
        <v>0</v>
      </c>
      <c r="P161" s="569">
        <f>67.2/F161</f>
        <v>80.671300464580256</v>
      </c>
      <c r="Q161" s="560">
        <f t="shared" si="23"/>
        <v>4.8378770963133695</v>
      </c>
      <c r="R161" s="570">
        <f>Tabel6689262829[[#This Row],[VAT DW 2017]]+Tabel6689262829[[#This Row],[VAT Sew. 2017]]+Tabel6689262829[[#This Row],[VAT WW 2017]]+Tabel6689262829[[#This Row],[VAT Other ch. 2017]]</f>
        <v>16.554423116169072</v>
      </c>
      <c r="S161" s="571">
        <f>Tabel6689262829[[#This Row],[Total. ch. DW 2017]]+Tabel6689262829[[#This Row],[Sew. 2017]]+Tabel6689262829[[#This Row],[VAT Sew. 2017]]+Tabel6689262829[[#This Row],[WW 2017]]+Tabel6689262829[[#This Row],[VAT WW 2017]]+Tabel6689262829[[#This Row],[Other ch. 2017]]+Tabel6689262829[[#This Row],[VAT Other ch. 2017]]</f>
        <v>640.05234030803945</v>
      </c>
      <c r="T161" s="397"/>
      <c r="U161" s="2081"/>
      <c r="V161" s="1766"/>
      <c r="W161" s="1769"/>
      <c r="X161" s="1773"/>
      <c r="Y161" s="1775"/>
      <c r="Z161" s="1778"/>
      <c r="AA161" s="1773"/>
      <c r="AB161" s="1781"/>
      <c r="AC161" s="1773"/>
      <c r="AD161" s="1785"/>
      <c r="AE161" s="1773"/>
      <c r="AF161" s="1788"/>
      <c r="AG161" s="1791"/>
      <c r="AH161" s="397"/>
      <c r="AI161" s="614"/>
      <c r="AJ161" s="591" t="s">
        <v>429</v>
      </c>
      <c r="AK161" s="591"/>
      <c r="AL161" s="591"/>
      <c r="AM161" s="591" t="s">
        <v>429</v>
      </c>
      <c r="AN161" s="591"/>
      <c r="AO161" s="712" t="s">
        <v>925</v>
      </c>
      <c r="AP161" s="430"/>
    </row>
    <row r="162" spans="1:42" ht="18.75" x14ac:dyDescent="0.25">
      <c r="A162" s="2004" t="s">
        <v>527</v>
      </c>
      <c r="B162" s="275" t="s">
        <v>528</v>
      </c>
      <c r="C162" s="809" t="s">
        <v>429</v>
      </c>
      <c r="D162" s="809" t="s">
        <v>1108</v>
      </c>
      <c r="E162" s="2111">
        <v>27900</v>
      </c>
      <c r="F162" s="306">
        <v>1.28559</v>
      </c>
      <c r="G162" s="319">
        <f>125/F162</f>
        <v>97.231621278945852</v>
      </c>
      <c r="H162" s="320">
        <v>0</v>
      </c>
      <c r="I162" s="321">
        <f>220/F162</f>
        <v>171.12765345094471</v>
      </c>
      <c r="J162" s="559"/>
      <c r="K162" s="313">
        <f>Tabel6689262829[[#This Row],[Fix.ch. 2017]]+Tabel6689262829[[#This Row],[Var. ch. 2017]]+Tabel6689262829[[#This Row],[Oth. ch. DW 2017]]+Tabel6689262829[[#This Row],[VAT DW 2017]]</f>
        <v>268.35927472989056</v>
      </c>
      <c r="L162" s="322">
        <v>0</v>
      </c>
      <c r="M162" s="559"/>
      <c r="N162" s="323">
        <f>280/F162</f>
        <v>217.7988316648387</v>
      </c>
      <c r="O162" s="559"/>
      <c r="P162" s="324">
        <v>0</v>
      </c>
      <c r="Q162" s="559"/>
      <c r="R162" s="317">
        <f>Tabel6689262829[[#This Row],[VAT DW 2017]]+Tabel6689262829[[#This Row],[VAT Sew. 2017]]+Tabel6689262829[[#This Row],[VAT WW 2017]]+Tabel6689262829[[#This Row],[VAT Other ch. 2017]]</f>
        <v>0</v>
      </c>
      <c r="S162" s="318">
        <f>Tabel6689262829[[#This Row],[Total. ch. DW 2017]]+Tabel6689262829[[#This Row],[Sew. 2017]]+Tabel6689262829[[#This Row],[VAT Sew. 2017]]+Tabel6689262829[[#This Row],[WW 2017]]+Tabel6689262829[[#This Row],[VAT WW 2017]]+Tabel6689262829[[#This Row],[Other ch. 2017]]+Tabel6689262829[[#This Row],[VAT Other ch. 2017]]</f>
        <v>486.15810639472926</v>
      </c>
      <c r="T162" s="397"/>
      <c r="U162" s="2112">
        <f>SUM(G162:G166)/5</f>
        <v>118.23365147519814</v>
      </c>
      <c r="V162" s="2113">
        <f>SUM(H162:H166)/5</f>
        <v>98.009474249177416</v>
      </c>
      <c r="W162" s="2114">
        <f>SUM(I162:I166)/5</f>
        <v>34.22553069018894</v>
      </c>
      <c r="X162" s="575"/>
      <c r="Y162" s="2115">
        <f>SUM(K162:K166)/5</f>
        <v>250.46865641456452</v>
      </c>
      <c r="Z162" s="2116">
        <f>SUM(L162:L166)/5</f>
        <v>0</v>
      </c>
      <c r="AA162" s="575"/>
      <c r="AB162" s="2117">
        <f>SUM(N162:N166)/5</f>
        <v>238.80086186109102</v>
      </c>
      <c r="AC162" s="575"/>
      <c r="AD162" s="2118">
        <f>SUM(P162:P166)/5</f>
        <v>0</v>
      </c>
      <c r="AE162" s="575"/>
      <c r="AF162" s="2093">
        <f t="shared" ref="AF162:AG162" si="24">SUM(R162:R166)/5</f>
        <v>0</v>
      </c>
      <c r="AG162" s="2094">
        <f t="shared" si="24"/>
        <v>489.26951827565551</v>
      </c>
      <c r="AH162" s="397"/>
      <c r="AI162" s="398"/>
      <c r="AJ162" s="398"/>
      <c r="AK162" s="398"/>
      <c r="AL162" s="398"/>
      <c r="AM162" s="398"/>
      <c r="AN162" s="398"/>
      <c r="AO162" s="398"/>
      <c r="AP162" s="397"/>
    </row>
    <row r="163" spans="1:42" ht="18.75" x14ac:dyDescent="0.25">
      <c r="A163" s="2005"/>
      <c r="B163" s="261" t="s">
        <v>529</v>
      </c>
      <c r="C163" s="261"/>
      <c r="D163" s="261" t="s">
        <v>1108</v>
      </c>
      <c r="E163" s="1837"/>
      <c r="F163" s="306">
        <v>1.28559</v>
      </c>
      <c r="G163" s="319">
        <f>360/F163</f>
        <v>280.02706928336403</v>
      </c>
      <c r="H163" s="320">
        <v>0</v>
      </c>
      <c r="I163" s="321">
        <v>0</v>
      </c>
      <c r="J163" s="559"/>
      <c r="K163" s="313">
        <f>Tabel6689262829[[#This Row],[Fix.ch. 2017]]+Tabel6689262829[[#This Row],[Var. ch. 2017]]+Tabel6689262829[[#This Row],[Oth. ch. DW 2017]]+Tabel6689262829[[#This Row],[VAT DW 2017]]</f>
        <v>280.02706928336403</v>
      </c>
      <c r="L163" s="322">
        <v>0</v>
      </c>
      <c r="M163" s="559"/>
      <c r="N163" s="323">
        <f>310/F163</f>
        <v>241.13442077178573</v>
      </c>
      <c r="O163" s="559"/>
      <c r="P163" s="324">
        <v>0</v>
      </c>
      <c r="Q163" s="559"/>
      <c r="R163" s="317">
        <f>Tabel6689262829[[#This Row],[VAT DW 2017]]+Tabel6689262829[[#This Row],[VAT Sew. 2017]]+Tabel6689262829[[#This Row],[VAT WW 2017]]+Tabel6689262829[[#This Row],[VAT Other ch. 2017]]</f>
        <v>0</v>
      </c>
      <c r="S163" s="318">
        <f>Tabel6689262829[[#This Row],[Total. ch. DW 2017]]+Tabel6689262829[[#This Row],[Sew. 2017]]+Tabel6689262829[[#This Row],[VAT Sew. 2017]]+Tabel6689262829[[#This Row],[WW 2017]]+Tabel6689262829[[#This Row],[VAT WW 2017]]+Tabel6689262829[[#This Row],[Other ch. 2017]]+Tabel6689262829[[#This Row],[VAT Other ch. 2017]]</f>
        <v>521.16149005514978</v>
      </c>
      <c r="T163" s="397"/>
      <c r="U163" s="1840"/>
      <c r="V163" s="1843"/>
      <c r="W163" s="1846"/>
      <c r="X163" s="576"/>
      <c r="Y163" s="1849"/>
      <c r="Z163" s="1852"/>
      <c r="AA163" s="576"/>
      <c r="AB163" s="1855"/>
      <c r="AC163" s="576"/>
      <c r="AD163" s="1858"/>
      <c r="AE163" s="576"/>
      <c r="AF163" s="1873"/>
      <c r="AG163" s="1876"/>
      <c r="AH163" s="397"/>
      <c r="AI163" s="398"/>
      <c r="AJ163" s="398"/>
      <c r="AK163" s="398"/>
      <c r="AL163" s="398"/>
      <c r="AM163" s="398"/>
      <c r="AN163" s="398"/>
      <c r="AO163" s="398"/>
      <c r="AP163" s="397"/>
    </row>
    <row r="164" spans="1:42" ht="18.75" x14ac:dyDescent="0.25">
      <c r="A164" s="2005"/>
      <c r="B164" s="261" t="s">
        <v>530</v>
      </c>
      <c r="C164" s="261"/>
      <c r="D164" s="261" t="s">
        <v>1108</v>
      </c>
      <c r="E164" s="1837"/>
      <c r="F164" s="306">
        <v>1.28559</v>
      </c>
      <c r="G164" s="319">
        <f>225/F164</f>
        <v>175.01691830210254</v>
      </c>
      <c r="H164" s="320">
        <v>0</v>
      </c>
      <c r="I164" s="321">
        <v>0</v>
      </c>
      <c r="J164" s="559"/>
      <c r="K164" s="313">
        <f>Tabel6689262829[[#This Row],[Fix.ch. 2017]]+Tabel6689262829[[#This Row],[Var. ch. 2017]]+Tabel6689262829[[#This Row],[Oth. ch. DW 2017]]+Tabel6689262829[[#This Row],[VAT DW 2017]]</f>
        <v>175.01691830210254</v>
      </c>
      <c r="L164" s="322">
        <v>0</v>
      </c>
      <c r="M164" s="559"/>
      <c r="N164" s="323">
        <f>125/F164</f>
        <v>97.231621278945852</v>
      </c>
      <c r="O164" s="559"/>
      <c r="P164" s="324">
        <v>0</v>
      </c>
      <c r="Q164" s="559"/>
      <c r="R164" s="317">
        <f>Tabel6689262829[[#This Row],[VAT DW 2017]]+Tabel6689262829[[#This Row],[VAT Sew. 2017]]+Tabel6689262829[[#This Row],[VAT WW 2017]]+Tabel6689262829[[#This Row],[VAT Other ch. 2017]]</f>
        <v>0</v>
      </c>
      <c r="S164" s="318">
        <f>Tabel6689262829[[#This Row],[Total. ch. DW 2017]]+Tabel6689262829[[#This Row],[Sew. 2017]]+Tabel6689262829[[#This Row],[VAT Sew. 2017]]+Tabel6689262829[[#This Row],[WW 2017]]+Tabel6689262829[[#This Row],[VAT WW 2017]]+Tabel6689262829[[#This Row],[Other ch. 2017]]+Tabel6689262829[[#This Row],[VAT Other ch. 2017]]</f>
        <v>272.24853958104836</v>
      </c>
      <c r="T164" s="397"/>
      <c r="U164" s="1840"/>
      <c r="V164" s="1843"/>
      <c r="W164" s="1846"/>
      <c r="X164" s="576"/>
      <c r="Y164" s="1849"/>
      <c r="Z164" s="1852"/>
      <c r="AA164" s="576"/>
      <c r="AB164" s="1855"/>
      <c r="AC164" s="576"/>
      <c r="AD164" s="1858"/>
      <c r="AE164" s="576"/>
      <c r="AF164" s="1873"/>
      <c r="AG164" s="1876"/>
      <c r="AH164" s="397"/>
      <c r="AI164" s="398"/>
      <c r="AJ164" s="398"/>
      <c r="AK164" s="398"/>
      <c r="AL164" s="398"/>
      <c r="AM164" s="398"/>
      <c r="AN164" s="398"/>
      <c r="AO164" s="398"/>
      <c r="AP164" s="397"/>
    </row>
    <row r="165" spans="1:42" ht="18.75" x14ac:dyDescent="0.25">
      <c r="A165" s="2005"/>
      <c r="B165" s="261" t="s">
        <v>531</v>
      </c>
      <c r="C165" s="261"/>
      <c r="D165" s="261" t="s">
        <v>1108</v>
      </c>
      <c r="E165" s="1837"/>
      <c r="F165" s="306">
        <v>1.28559</v>
      </c>
      <c r="G165" s="319">
        <f>25/F165</f>
        <v>19.446324255789172</v>
      </c>
      <c r="H165" s="320">
        <f>280/F165</f>
        <v>217.7988316648387</v>
      </c>
      <c r="I165" s="321">
        <v>0</v>
      </c>
      <c r="J165" s="559"/>
      <c r="K165" s="313">
        <f>Tabel6689262829[[#This Row],[Fix.ch. 2017]]+Tabel6689262829[[#This Row],[Var. ch. 2017]]+Tabel6689262829[[#This Row],[Oth. ch. DW 2017]]+Tabel6689262829[[#This Row],[VAT DW 2017]]</f>
        <v>237.24515592062787</v>
      </c>
      <c r="L165" s="322">
        <v>0</v>
      </c>
      <c r="M165" s="559"/>
      <c r="N165" s="323">
        <f>280/F165</f>
        <v>217.7988316648387</v>
      </c>
      <c r="O165" s="559"/>
      <c r="P165" s="324">
        <v>0</v>
      </c>
      <c r="Q165" s="559"/>
      <c r="R165" s="317">
        <f>Tabel6689262829[[#This Row],[VAT DW 2017]]+Tabel6689262829[[#This Row],[VAT Sew. 2017]]+Tabel6689262829[[#This Row],[VAT WW 2017]]+Tabel6689262829[[#This Row],[VAT Other ch. 2017]]</f>
        <v>0</v>
      </c>
      <c r="S165" s="318">
        <f>Tabel6689262829[[#This Row],[Total. ch. DW 2017]]+Tabel6689262829[[#This Row],[Sew. 2017]]+Tabel6689262829[[#This Row],[VAT Sew. 2017]]+Tabel6689262829[[#This Row],[WW 2017]]+Tabel6689262829[[#This Row],[VAT WW 2017]]+Tabel6689262829[[#This Row],[Other ch. 2017]]+Tabel6689262829[[#This Row],[VAT Other ch. 2017]]</f>
        <v>455.04398758546654</v>
      </c>
      <c r="T165" s="397"/>
      <c r="U165" s="1840"/>
      <c r="V165" s="1843"/>
      <c r="W165" s="1846"/>
      <c r="X165" s="576"/>
      <c r="Y165" s="1849"/>
      <c r="Z165" s="1852"/>
      <c r="AA165" s="576"/>
      <c r="AB165" s="1855"/>
      <c r="AC165" s="576"/>
      <c r="AD165" s="1858"/>
      <c r="AE165" s="576"/>
      <c r="AF165" s="1873"/>
      <c r="AG165" s="1876"/>
      <c r="AH165" s="397"/>
      <c r="AI165" s="398"/>
      <c r="AJ165" s="398"/>
      <c r="AK165" s="398"/>
      <c r="AL165" s="398"/>
      <c r="AM165" s="398"/>
      <c r="AN165" s="398"/>
      <c r="AO165" s="398"/>
      <c r="AP165" s="397"/>
    </row>
    <row r="166" spans="1:42" ht="19.5" thickBot="1" x14ac:dyDescent="0.3">
      <c r="A166" s="2006"/>
      <c r="B166" s="262" t="s">
        <v>532</v>
      </c>
      <c r="C166" s="800"/>
      <c r="D166" s="800" t="s">
        <v>1108</v>
      </c>
      <c r="E166" s="1838"/>
      <c r="F166" s="306">
        <v>1.28559</v>
      </c>
      <c r="G166" s="319">
        <f>25/F166</f>
        <v>19.446324255789172</v>
      </c>
      <c r="H166" s="320">
        <f>350/F166</f>
        <v>272.24853958104836</v>
      </c>
      <c r="I166" s="321">
        <v>0</v>
      </c>
      <c r="J166" s="559"/>
      <c r="K166" s="313">
        <f>Tabel6689262829[[#This Row],[Fix.ch. 2017]]+Tabel6689262829[[#This Row],[Var. ch. 2017]]+Tabel6689262829[[#This Row],[Oth. ch. DW 2017]]+Tabel6689262829[[#This Row],[VAT DW 2017]]</f>
        <v>291.69486383683756</v>
      </c>
      <c r="L166" s="322">
        <v>0</v>
      </c>
      <c r="M166" s="559"/>
      <c r="N166" s="323">
        <f>540/F166</f>
        <v>420.04060392504607</v>
      </c>
      <c r="O166" s="559"/>
      <c r="P166" s="324">
        <v>0</v>
      </c>
      <c r="Q166" s="559"/>
      <c r="R166" s="317">
        <f>Tabel6689262829[[#This Row],[VAT DW 2017]]+Tabel6689262829[[#This Row],[VAT Sew. 2017]]+Tabel6689262829[[#This Row],[VAT WW 2017]]+Tabel6689262829[[#This Row],[VAT Other ch. 2017]]</f>
        <v>0</v>
      </c>
      <c r="S166" s="318">
        <f>Tabel6689262829[[#This Row],[Total. ch. DW 2017]]+Tabel6689262829[[#This Row],[Sew. 2017]]+Tabel6689262829[[#This Row],[VAT Sew. 2017]]+Tabel6689262829[[#This Row],[WW 2017]]+Tabel6689262829[[#This Row],[VAT WW 2017]]+Tabel6689262829[[#This Row],[Other ch. 2017]]+Tabel6689262829[[#This Row],[VAT Other ch. 2017]]</f>
        <v>711.73546776188368</v>
      </c>
      <c r="T166" s="397"/>
      <c r="U166" s="1841"/>
      <c r="V166" s="1844"/>
      <c r="W166" s="1847"/>
      <c r="X166" s="577"/>
      <c r="Y166" s="1850"/>
      <c r="Z166" s="1853"/>
      <c r="AA166" s="577"/>
      <c r="AB166" s="1856"/>
      <c r="AC166" s="577"/>
      <c r="AD166" s="1859"/>
      <c r="AE166" s="577"/>
      <c r="AF166" s="1874"/>
      <c r="AG166" s="1877"/>
      <c r="AH166" s="397"/>
      <c r="AI166" s="398"/>
      <c r="AJ166" s="398"/>
      <c r="AK166" s="398"/>
      <c r="AL166" s="398"/>
      <c r="AM166" s="398"/>
      <c r="AN166" s="398"/>
      <c r="AO166" s="398"/>
      <c r="AP166" s="397"/>
    </row>
    <row r="167" spans="1:42" ht="19.5" thickBot="1" x14ac:dyDescent="0.35">
      <c r="A167" s="267" t="s">
        <v>46</v>
      </c>
      <c r="B167" s="295" t="s">
        <v>477</v>
      </c>
      <c r="C167" s="1048"/>
      <c r="D167" s="811" t="s">
        <v>1110</v>
      </c>
      <c r="E167" s="302">
        <v>39500</v>
      </c>
      <c r="F167" s="306">
        <v>0.64417999999999997</v>
      </c>
      <c r="G167" s="319">
        <f>94/F167</f>
        <v>145.92194728181565</v>
      </c>
      <c r="H167" s="320">
        <f>208/F167</f>
        <v>322.89111738954949</v>
      </c>
      <c r="I167" s="321">
        <v>0</v>
      </c>
      <c r="J167" s="559"/>
      <c r="K167" s="313">
        <f>Tabel6689262829[[#This Row],[Fix.ch. 2017]]+Tabel6689262829[[#This Row],[Var. ch. 2017]]+Tabel6689262829[[#This Row],[Oth. ch. DW 2017]]+Tabel6689262829[[#This Row],[VAT DW 2017]]</f>
        <v>468.81306467136517</v>
      </c>
      <c r="L167" s="322">
        <v>0</v>
      </c>
      <c r="M167" s="559"/>
      <c r="N167" s="323">
        <f>449/F167</f>
        <v>697.01015244186408</v>
      </c>
      <c r="O167" s="559"/>
      <c r="P167" s="324">
        <v>0</v>
      </c>
      <c r="Q167" s="559"/>
      <c r="R167" s="317">
        <f>Tabel6689262829[[#This Row],[VAT DW 2017]]+Tabel6689262829[[#This Row],[VAT Sew. 2017]]+Tabel6689262829[[#This Row],[VAT WW 2017]]+Tabel6689262829[[#This Row],[VAT Other ch. 2017]]</f>
        <v>0</v>
      </c>
      <c r="S167" s="318">
        <f>Tabel6689262829[[#This Row],[Total. ch. DW 2017]]+Tabel6689262829[[#This Row],[Sew. 2017]]+Tabel6689262829[[#This Row],[VAT Sew. 2017]]+Tabel6689262829[[#This Row],[WW 2017]]+Tabel6689262829[[#This Row],[VAT WW 2017]]+Tabel6689262829[[#This Row],[Other ch. 2017]]+Tabel6689262829[[#This Row],[VAT Other ch. 2017]]</f>
        <v>1165.8232171132292</v>
      </c>
      <c r="T167" s="397"/>
      <c r="U167" s="385">
        <f>Tabel6689262829[[#This Row],[Fix.ch. 2017]]</f>
        <v>145.92194728181565</v>
      </c>
      <c r="V167" s="386">
        <f>Tabel6689262829[[#This Row],[Var. ch. 2017]]</f>
        <v>322.89111738954949</v>
      </c>
      <c r="W167" s="387">
        <v>0</v>
      </c>
      <c r="X167" s="574"/>
      <c r="Y167" s="388">
        <f>Tabel6689262829[[#This Row],[Total. ch. DW 2017]]</f>
        <v>468.81306467136517</v>
      </c>
      <c r="Z167" s="389">
        <v>0</v>
      </c>
      <c r="AA167" s="574"/>
      <c r="AB167" s="390">
        <f>Tabel6689262829[[#This Row],[WW 2017]]</f>
        <v>697.01015244186408</v>
      </c>
      <c r="AC167" s="574"/>
      <c r="AD167" s="391">
        <v>0</v>
      </c>
      <c r="AE167" s="574"/>
      <c r="AF167" s="392">
        <f>Tabel6689262829[[#This Row],[Total VAT 2017]]</f>
        <v>0</v>
      </c>
      <c r="AG167" s="393">
        <f>Tabel6689262829[[#This Row],[total charge 2017]]</f>
        <v>1165.8232171132292</v>
      </c>
      <c r="AH167" s="397"/>
      <c r="AI167" s="398"/>
      <c r="AJ167" s="398"/>
      <c r="AK167" s="398"/>
      <c r="AL167" s="398"/>
      <c r="AM167" s="398"/>
      <c r="AN167" s="398"/>
      <c r="AO167" s="398" t="s">
        <v>476</v>
      </c>
      <c r="AP167" s="397"/>
    </row>
    <row r="168" spans="1:42" ht="15.75" customHeight="1" x14ac:dyDescent="0.25">
      <c r="A168" s="1818" t="s">
        <v>21</v>
      </c>
      <c r="B168" s="546" t="s">
        <v>125</v>
      </c>
      <c r="C168" s="1046"/>
      <c r="D168" s="802" t="s">
        <v>1112</v>
      </c>
      <c r="E168" s="1983">
        <v>70600</v>
      </c>
      <c r="F168" s="617">
        <f>'exchange rates'!$O$47</f>
        <v>8.20533</v>
      </c>
      <c r="G168" s="549">
        <f>2459/F168</f>
        <v>299.6832546649556</v>
      </c>
      <c r="H168" s="550">
        <v>0</v>
      </c>
      <c r="I168" s="551">
        <v>0</v>
      </c>
      <c r="J168" s="560">
        <f>614.25/F168</f>
        <v>74.859877664883683</v>
      </c>
      <c r="K168" s="566">
        <f>Tabel6689262829[[#This Row],[Fix.ch. 2017]]+Tabel6689262829[[#This Row],[Var. ch. 2017]]+Tabel6689262829[[#This Row],[Oth. ch. DW 2017]]+Tabel6689262829[[#This Row],[VAT DW 2017]]</f>
        <v>374.5431323298393</v>
      </c>
      <c r="L168" s="567">
        <f>3428/F168</f>
        <v>417.77722529136548</v>
      </c>
      <c r="M168" s="560">
        <f>857/F168</f>
        <v>104.44430632284137</v>
      </c>
      <c r="N168" s="568">
        <f>0</f>
        <v>0</v>
      </c>
      <c r="O168" s="560">
        <v>0</v>
      </c>
      <c r="P168" s="569">
        <v>0</v>
      </c>
      <c r="Q168" s="560">
        <v>0</v>
      </c>
      <c r="R168" s="570">
        <f>Tabel6689262829[[#This Row],[VAT DW 2017]]+Tabel6689262829[[#This Row],[VAT Sew. 2017]]+Tabel6689262829[[#This Row],[VAT WW 2017]]+Tabel6689262829[[#This Row],[VAT Other ch. 2017]]</f>
        <v>179.30418398772505</v>
      </c>
      <c r="S168" s="571">
        <f>Tabel6689262829[[#This Row],[Total. ch. DW 2017]]+Tabel6689262829[[#This Row],[Sew. 2017]]+Tabel6689262829[[#This Row],[VAT Sew. 2017]]+Tabel6689262829[[#This Row],[WW 2017]]+Tabel6689262829[[#This Row],[VAT WW 2017]]+Tabel6689262829[[#This Row],[Other ch. 2017]]+Tabel6689262829[[#This Row],[VAT Other ch. 2017]]</f>
        <v>896.76466394404611</v>
      </c>
      <c r="T168" s="397"/>
      <c r="U168" s="2080">
        <f>MEDIAN(G168:G170)</f>
        <v>38.609050458665287</v>
      </c>
      <c r="V168" s="2096">
        <f>MEDIAN(H168:H170)</f>
        <v>213.03226073783748</v>
      </c>
      <c r="W168" s="2099">
        <f>MEDIAN(I168:I170)</f>
        <v>0</v>
      </c>
      <c r="X168" s="2102">
        <f>MEDIAN(J168:J170)</f>
        <v>65.884004665260264</v>
      </c>
      <c r="Y168" s="2105">
        <f>SUM(U168:X170)</f>
        <v>317.52531586176303</v>
      </c>
      <c r="Z168" s="2108">
        <f t="shared" ref="Z168:AF168" si="25">MEDIAN(L168:L170)</f>
        <v>357.32871194699055</v>
      </c>
      <c r="AA168" s="2102">
        <f t="shared" si="25"/>
        <v>94.024250091099319</v>
      </c>
      <c r="AB168" s="2119">
        <f t="shared" si="25"/>
        <v>0</v>
      </c>
      <c r="AC168" s="2102">
        <f t="shared" si="25"/>
        <v>0</v>
      </c>
      <c r="AD168" s="2122">
        <f t="shared" si="25"/>
        <v>0</v>
      </c>
      <c r="AE168" s="2102">
        <f t="shared" si="25"/>
        <v>0</v>
      </c>
      <c r="AF168" s="2125">
        <f t="shared" si="25"/>
        <v>158.25079551949767</v>
      </c>
      <c r="AG168" s="1817">
        <f>Y168+Z168+AA168+AB168+AC168+AD168+AE168</f>
        <v>768.87827789985295</v>
      </c>
      <c r="AH168" s="397"/>
      <c r="AI168" s="591" t="s">
        <v>429</v>
      </c>
      <c r="AJ168" s="591" t="s">
        <v>429</v>
      </c>
      <c r="AK168" s="396"/>
      <c r="AL168" s="396"/>
      <c r="AM168" s="591" t="s">
        <v>429</v>
      </c>
      <c r="AN168" s="591" t="s">
        <v>429</v>
      </c>
      <c r="AO168" s="398"/>
      <c r="AP168" s="397"/>
    </row>
    <row r="169" spans="1:42" ht="16.5" customHeight="1" x14ac:dyDescent="0.25">
      <c r="A169" s="1819"/>
      <c r="B169" s="547" t="s">
        <v>126</v>
      </c>
      <c r="C169" s="1046" t="s">
        <v>429</v>
      </c>
      <c r="D169" s="802" t="s">
        <v>1112</v>
      </c>
      <c r="E169" s="1760"/>
      <c r="F169" s="617">
        <f>'exchange rates'!$O$47</f>
        <v>8.20533</v>
      </c>
      <c r="G169" s="549">
        <f>308/F169</f>
        <v>37.536576834813467</v>
      </c>
      <c r="H169" s="550">
        <f>1954/F169</f>
        <v>238.13789329618675</v>
      </c>
      <c r="I169" s="551">
        <v>0</v>
      </c>
      <c r="J169" s="560">
        <f>527/F169</f>
        <v>64.226545428398367</v>
      </c>
      <c r="K169" s="566">
        <f>Tabel6689262829[[#This Row],[Fix.ch. 2017]]+Tabel6689262829[[#This Row],[Var. ch. 2017]]+Tabel6689262829[[#This Row],[Oth. ch. DW 2017]]+Tabel6689262829[[#This Row],[VAT DW 2017]]</f>
        <v>339.90101555939856</v>
      </c>
      <c r="L169" s="567">
        <f>2932/F169</f>
        <v>357.32871194699055</v>
      </c>
      <c r="M169" s="560">
        <f>771.5/F169</f>
        <v>94.024250091099319</v>
      </c>
      <c r="N169" s="568">
        <v>0</v>
      </c>
      <c r="O169" s="560">
        <v>0</v>
      </c>
      <c r="P169" s="569">
        <v>0</v>
      </c>
      <c r="Q169" s="560">
        <v>0</v>
      </c>
      <c r="R169" s="570">
        <f>Tabel6689262829[[#This Row],[VAT DW 2017]]+Tabel6689262829[[#This Row],[VAT Sew. 2017]]+Tabel6689262829[[#This Row],[VAT WW 2017]]+Tabel6689262829[[#This Row],[VAT Other ch. 2017]]</f>
        <v>158.25079551949767</v>
      </c>
      <c r="S169" s="571">
        <f>Tabel6689262829[[#This Row],[Total. ch. DW 2017]]+Tabel6689262829[[#This Row],[Sew. 2017]]+Tabel6689262829[[#This Row],[VAT Sew. 2017]]+Tabel6689262829[[#This Row],[WW 2017]]+Tabel6689262829[[#This Row],[VAT WW 2017]]+Tabel6689262829[[#This Row],[Other ch. 2017]]+Tabel6689262829[[#This Row],[VAT Other ch. 2017]]</f>
        <v>791.25397759748842</v>
      </c>
      <c r="T169" s="397"/>
      <c r="U169" s="2081"/>
      <c r="V169" s="2097"/>
      <c r="W169" s="2100"/>
      <c r="X169" s="2103"/>
      <c r="Y169" s="2106"/>
      <c r="Z169" s="2109"/>
      <c r="AA169" s="2103"/>
      <c r="AB169" s="2120"/>
      <c r="AC169" s="2103"/>
      <c r="AD169" s="2123"/>
      <c r="AE169" s="2103"/>
      <c r="AF169" s="2126"/>
      <c r="AG169" s="1791"/>
      <c r="AH169" s="397"/>
      <c r="AI169" s="591" t="s">
        <v>429</v>
      </c>
      <c r="AJ169" s="591" t="s">
        <v>429</v>
      </c>
      <c r="AK169" s="591"/>
      <c r="AL169" s="591"/>
      <c r="AM169" s="591" t="s">
        <v>429</v>
      </c>
      <c r="AN169" s="591" t="s">
        <v>429</v>
      </c>
      <c r="AO169" s="398"/>
      <c r="AP169" s="397"/>
    </row>
    <row r="170" spans="1:42" ht="18" customHeight="1" thickBot="1" x14ac:dyDescent="0.3">
      <c r="A170" s="1820"/>
      <c r="B170" s="641" t="s">
        <v>127</v>
      </c>
      <c r="C170" s="1046"/>
      <c r="D170" s="807" t="s">
        <v>1112</v>
      </c>
      <c r="E170" s="1996"/>
      <c r="F170" s="617">
        <f>'exchange rates'!$O$47</f>
        <v>8.20533</v>
      </c>
      <c r="G170" s="549">
        <f>316.8/F170</f>
        <v>38.609050458665287</v>
      </c>
      <c r="H170" s="550">
        <f>1748/F170</f>
        <v>213.03226073783748</v>
      </c>
      <c r="I170" s="551">
        <f>97.6/F170</f>
        <v>11.894707464538293</v>
      </c>
      <c r="J170" s="560">
        <f>540.6/F170</f>
        <v>65.884004665260264</v>
      </c>
      <c r="K170" s="566">
        <f>Tabel6689262829[[#This Row],[Fix.ch. 2017]]+Tabel6689262829[[#This Row],[Var. ch. 2017]]+Tabel6689262829[[#This Row],[Oth. ch. DW 2017]]+Tabel6689262829[[#This Row],[VAT DW 2017]]</f>
        <v>329.4200233263013</v>
      </c>
      <c r="L170" s="567">
        <f>2239.6/F170</f>
        <v>272.9445372702865</v>
      </c>
      <c r="M170" s="560">
        <f>559.9/F170</f>
        <v>68.236134317571626</v>
      </c>
      <c r="N170" s="568">
        <v>0</v>
      </c>
      <c r="O170" s="560">
        <v>0</v>
      </c>
      <c r="P170" s="569">
        <v>0</v>
      </c>
      <c r="Q170" s="560">
        <v>0</v>
      </c>
      <c r="R170" s="570">
        <f>Tabel6689262829[[#This Row],[VAT DW 2017]]+Tabel6689262829[[#This Row],[VAT Sew. 2017]]+Tabel6689262829[[#This Row],[VAT WW 2017]]+Tabel6689262829[[#This Row],[VAT Other ch. 2017]]</f>
        <v>134.12013898283189</v>
      </c>
      <c r="S170" s="571">
        <f>Tabel6689262829[[#This Row],[Total. ch. DW 2017]]+Tabel6689262829[[#This Row],[Sew. 2017]]+Tabel6689262829[[#This Row],[VAT Sew. 2017]]+Tabel6689262829[[#This Row],[WW 2017]]+Tabel6689262829[[#This Row],[VAT WW 2017]]+Tabel6689262829[[#This Row],[Other ch. 2017]]+Tabel6689262829[[#This Row],[VAT Other ch. 2017]]</f>
        <v>670.60069491415948</v>
      </c>
      <c r="T170" s="397"/>
      <c r="U170" s="2095"/>
      <c r="V170" s="2098"/>
      <c r="W170" s="2101"/>
      <c r="X170" s="2104"/>
      <c r="Y170" s="2107"/>
      <c r="Z170" s="2110"/>
      <c r="AA170" s="2104"/>
      <c r="AB170" s="2121"/>
      <c r="AC170" s="2104"/>
      <c r="AD170" s="2124"/>
      <c r="AE170" s="2104"/>
      <c r="AF170" s="2127"/>
      <c r="AG170" s="2002"/>
      <c r="AH170" s="397"/>
      <c r="AI170" s="591" t="s">
        <v>429</v>
      </c>
      <c r="AJ170" s="591" t="s">
        <v>429</v>
      </c>
      <c r="AK170" s="396"/>
      <c r="AL170" s="396"/>
      <c r="AM170" s="591" t="s">
        <v>429</v>
      </c>
      <c r="AN170" s="591" t="s">
        <v>429</v>
      </c>
      <c r="AO170" s="398"/>
      <c r="AP170" s="397"/>
    </row>
    <row r="171" spans="1:42" ht="18" customHeight="1" x14ac:dyDescent="0.25">
      <c r="A171" s="1818" t="s">
        <v>22</v>
      </c>
      <c r="B171" s="546" t="s">
        <v>128</v>
      </c>
      <c r="C171" s="1046"/>
      <c r="D171" s="802" t="s">
        <v>1114</v>
      </c>
      <c r="E171" s="1884">
        <v>29300</v>
      </c>
      <c r="F171" s="661">
        <f>'exchange rates'!$O$48</f>
        <v>3.4784999999999999</v>
      </c>
      <c r="G171" s="549">
        <v>0</v>
      </c>
      <c r="H171" s="550">
        <f>954/F171</f>
        <v>274.2561448900388</v>
      </c>
      <c r="I171" s="551">
        <v>0</v>
      </c>
      <c r="J171" s="560">
        <f>76.32/F171</f>
        <v>21.940491591203102</v>
      </c>
      <c r="K171" s="566">
        <f>Tabel6689262829[[#This Row],[Fix.ch. 2017]]+Tabel6689262829[[#This Row],[Var. ch. 2017]]+Tabel6689262829[[#This Row],[Oth. ch. DW 2017]]+Tabel6689262829[[#This Row],[VAT DW 2017]]</f>
        <v>296.19663648124191</v>
      </c>
      <c r="L171" s="567">
        <v>0</v>
      </c>
      <c r="M171" s="560">
        <v>0</v>
      </c>
      <c r="N171" s="568">
        <f>976/F171</f>
        <v>280.58071007618224</v>
      </c>
      <c r="O171" s="560">
        <f>78.08/F171</f>
        <v>22.446456806094581</v>
      </c>
      <c r="P171" s="569">
        <v>0</v>
      </c>
      <c r="Q171" s="560">
        <v>0</v>
      </c>
      <c r="R171" s="570">
        <f>Tabel6689262829[[#This Row],[VAT DW 2017]]+Tabel6689262829[[#This Row],[VAT Sew. 2017]]+Tabel6689262829[[#This Row],[VAT WW 2017]]+Tabel6689262829[[#This Row],[VAT Other ch. 2017]]</f>
        <v>44.386948397297687</v>
      </c>
      <c r="S171" s="571">
        <f>Tabel6689262829[[#This Row],[Total. ch. DW 2017]]+Tabel6689262829[[#This Row],[Sew. 2017]]+Tabel6689262829[[#This Row],[VAT Sew. 2017]]+Tabel6689262829[[#This Row],[WW 2017]]+Tabel6689262829[[#This Row],[VAT WW 2017]]+Tabel6689262829[[#This Row],[Other ch. 2017]]+Tabel6689262829[[#This Row],[VAT Other ch. 2017]]</f>
        <v>599.22380336351875</v>
      </c>
      <c r="T171" s="397"/>
      <c r="U171" s="1885">
        <f>MEDIAN(G171:G176)</f>
        <v>0</v>
      </c>
      <c r="V171" s="1887">
        <f>MEDIAN(H171:H176)</f>
        <v>217.91001868621532</v>
      </c>
      <c r="W171" s="1889">
        <f>MEDIAN(I171:I176)</f>
        <v>0</v>
      </c>
      <c r="X171" s="1771">
        <f>MEDIAN(J171:J176)</f>
        <v>17.432801494897227</v>
      </c>
      <c r="Y171" s="1891">
        <f>SUM(U171:X176)</f>
        <v>235.34282018111256</v>
      </c>
      <c r="Z171" s="1893">
        <f t="shared" ref="Z171:AF171" si="26">MEDIAN(L171:L176)</f>
        <v>0</v>
      </c>
      <c r="AA171" s="1771">
        <f t="shared" si="26"/>
        <v>0</v>
      </c>
      <c r="AB171" s="1910">
        <f t="shared" si="26"/>
        <v>298.69196492741122</v>
      </c>
      <c r="AC171" s="1771">
        <f t="shared" si="26"/>
        <v>23.895357194192897</v>
      </c>
      <c r="AD171" s="1912">
        <f t="shared" si="26"/>
        <v>0</v>
      </c>
      <c r="AE171" s="1771">
        <f t="shared" si="26"/>
        <v>0</v>
      </c>
      <c r="AF171" s="1914">
        <f t="shared" si="26"/>
        <v>42.639068564036222</v>
      </c>
      <c r="AG171" s="1909">
        <f>Y171+Z171+AA171+AB171+AC171+AD171+AE171</f>
        <v>557.93014230271672</v>
      </c>
      <c r="AH171" s="397"/>
      <c r="AI171" s="398"/>
      <c r="AJ171" s="591" t="s">
        <v>429</v>
      </c>
      <c r="AK171" s="398"/>
      <c r="AL171" s="398"/>
      <c r="AM171" s="398"/>
      <c r="AN171" s="398"/>
      <c r="AO171" s="398"/>
      <c r="AP171" s="397"/>
    </row>
    <row r="172" spans="1:42" ht="15.75" x14ac:dyDescent="0.25">
      <c r="A172" s="1819"/>
      <c r="B172" s="641" t="s">
        <v>891</v>
      </c>
      <c r="C172" s="1046" t="s">
        <v>429</v>
      </c>
      <c r="D172" s="802" t="s">
        <v>1114</v>
      </c>
      <c r="E172" s="1760"/>
      <c r="F172" s="661">
        <f>'exchange rates'!$O$48</f>
        <v>3.4784999999999999</v>
      </c>
      <c r="G172" s="549">
        <v>0</v>
      </c>
      <c r="H172" s="550">
        <f>840/F172</f>
        <v>241.48339801638639</v>
      </c>
      <c r="I172" s="551">
        <v>0</v>
      </c>
      <c r="J172" s="560">
        <f>67.2/F172</f>
        <v>19.318671841310913</v>
      </c>
      <c r="K172" s="566">
        <f>Tabel6689262829[[#This Row],[Fix.ch. 2017]]+Tabel6689262829[[#This Row],[Var. ch. 2017]]+Tabel6689262829[[#This Row],[Oth. ch. DW 2017]]+Tabel6689262829[[#This Row],[VAT DW 2017]]</f>
        <v>260.80206985769729</v>
      </c>
      <c r="L172" s="567">
        <v>0</v>
      </c>
      <c r="M172" s="560">
        <v>0</v>
      </c>
      <c r="N172" s="568">
        <f>1284/F172</f>
        <v>369.12462268219059</v>
      </c>
      <c r="O172" s="560">
        <f>102.72/F172</f>
        <v>29.529969814575249</v>
      </c>
      <c r="P172" s="569">
        <v>0</v>
      </c>
      <c r="Q172" s="560">
        <v>0</v>
      </c>
      <c r="R172" s="570">
        <f>Tabel6689262829[[#This Row],[VAT DW 2017]]+Tabel6689262829[[#This Row],[VAT Sew. 2017]]+Tabel6689262829[[#This Row],[VAT WW 2017]]+Tabel6689262829[[#This Row],[VAT Other ch. 2017]]</f>
        <v>48.848641655886162</v>
      </c>
      <c r="S172" s="571">
        <f>Tabel6689262829[[#This Row],[Total. ch. DW 2017]]+Tabel6689262829[[#This Row],[Sew. 2017]]+Tabel6689262829[[#This Row],[VAT Sew. 2017]]+Tabel6689262829[[#This Row],[WW 2017]]+Tabel6689262829[[#This Row],[VAT WW 2017]]+Tabel6689262829[[#This Row],[Other ch. 2017]]+Tabel6689262829[[#This Row],[VAT Other ch. 2017]]</f>
        <v>659.45666235446311</v>
      </c>
      <c r="T172" s="397"/>
      <c r="U172" s="1763"/>
      <c r="V172" s="1766"/>
      <c r="W172" s="1769"/>
      <c r="X172" s="1772"/>
      <c r="Y172" s="1775"/>
      <c r="Z172" s="1778"/>
      <c r="AA172" s="1772"/>
      <c r="AB172" s="1781"/>
      <c r="AC172" s="1772"/>
      <c r="AD172" s="1785"/>
      <c r="AE172" s="1772"/>
      <c r="AF172" s="1788"/>
      <c r="AG172" s="1791"/>
      <c r="AH172" s="397"/>
      <c r="AI172" s="398"/>
      <c r="AJ172" s="591" t="s">
        <v>429</v>
      </c>
      <c r="AK172" s="398"/>
      <c r="AL172" s="398"/>
      <c r="AM172" s="398"/>
      <c r="AN172" s="398"/>
      <c r="AO172" s="398"/>
      <c r="AP172" s="397"/>
    </row>
    <row r="173" spans="1:42" ht="15.75" x14ac:dyDescent="0.25">
      <c r="A173" s="1819"/>
      <c r="B173" s="547" t="s">
        <v>129</v>
      </c>
      <c r="C173" s="1046"/>
      <c r="D173" s="802" t="s">
        <v>1114</v>
      </c>
      <c r="E173" s="1880"/>
      <c r="F173" s="661">
        <f>'exchange rates'!$O$48</f>
        <v>3.4784999999999999</v>
      </c>
      <c r="G173" s="549">
        <v>0</v>
      </c>
      <c r="H173" s="550">
        <f>896/F173</f>
        <v>257.58229121747883</v>
      </c>
      <c r="I173" s="551">
        <v>0</v>
      </c>
      <c r="J173" s="560">
        <f>71.68/F173</f>
        <v>20.606583297398306</v>
      </c>
      <c r="K173" s="566">
        <f>Tabel6689262829[[#This Row],[Fix.ch. 2017]]+Tabel6689262829[[#This Row],[Var. ch. 2017]]+Tabel6689262829[[#This Row],[Oth. ch. DW 2017]]+Tabel6689262829[[#This Row],[VAT DW 2017]]</f>
        <v>278.18887451487711</v>
      </c>
      <c r="L173" s="567">
        <v>0</v>
      </c>
      <c r="M173" s="560">
        <v>0</v>
      </c>
      <c r="N173" s="568">
        <f>1102/F173</f>
        <v>316.8032197786402</v>
      </c>
      <c r="O173" s="560">
        <f>88.16/F173</f>
        <v>25.344257582291217</v>
      </c>
      <c r="P173" s="569">
        <v>0</v>
      </c>
      <c r="Q173" s="560">
        <v>0</v>
      </c>
      <c r="R173" s="570">
        <f>Tabel6689262829[[#This Row],[VAT DW 2017]]+Tabel6689262829[[#This Row],[VAT Sew. 2017]]+Tabel6689262829[[#This Row],[VAT WW 2017]]+Tabel6689262829[[#This Row],[VAT Other ch. 2017]]</f>
        <v>45.950840879689522</v>
      </c>
      <c r="S173" s="571">
        <f>Tabel6689262829[[#This Row],[Total. ch. DW 2017]]+Tabel6689262829[[#This Row],[Sew. 2017]]+Tabel6689262829[[#This Row],[VAT Sew. 2017]]+Tabel6689262829[[#This Row],[WW 2017]]+Tabel6689262829[[#This Row],[VAT WW 2017]]+Tabel6689262829[[#This Row],[Other ch. 2017]]+Tabel6689262829[[#This Row],[VAT Other ch. 2017]]</f>
        <v>620.33635187580853</v>
      </c>
      <c r="T173" s="397"/>
      <c r="U173" s="1886"/>
      <c r="V173" s="1888"/>
      <c r="W173" s="1890"/>
      <c r="X173" s="1772"/>
      <c r="Y173" s="1892"/>
      <c r="Z173" s="1894"/>
      <c r="AA173" s="1772"/>
      <c r="AB173" s="1911"/>
      <c r="AC173" s="1772"/>
      <c r="AD173" s="1913"/>
      <c r="AE173" s="1772"/>
      <c r="AF173" s="1915"/>
      <c r="AG173" s="1832"/>
      <c r="AH173" s="397"/>
      <c r="AI173" s="398"/>
      <c r="AJ173" s="591" t="s">
        <v>429</v>
      </c>
      <c r="AK173" s="398"/>
      <c r="AL173" s="398"/>
      <c r="AM173" s="398"/>
      <c r="AN173" s="398"/>
      <c r="AO173" s="398"/>
      <c r="AP173" s="397"/>
    </row>
    <row r="174" spans="1:42" ht="15.75" x14ac:dyDescent="0.25">
      <c r="A174" s="1819"/>
      <c r="B174" s="547" t="s">
        <v>130</v>
      </c>
      <c r="C174" s="1046"/>
      <c r="D174" s="802" t="s">
        <v>1114</v>
      </c>
      <c r="E174" s="1880"/>
      <c r="F174" s="661">
        <f>'exchange rates'!$O$48</f>
        <v>3.4784999999999999</v>
      </c>
      <c r="G174" s="549">
        <v>0</v>
      </c>
      <c r="H174" s="550">
        <f>668/F174</f>
        <v>192.03679747017392</v>
      </c>
      <c r="I174" s="551">
        <v>0</v>
      </c>
      <c r="J174" s="560">
        <f>53.44/F174</f>
        <v>15.362943797613914</v>
      </c>
      <c r="K174" s="566">
        <f>Tabel6689262829[[#This Row],[Fix.ch. 2017]]+Tabel6689262829[[#This Row],[Var. ch. 2017]]+Tabel6689262829[[#This Row],[Oth. ch. DW 2017]]+Tabel6689262829[[#This Row],[VAT DW 2017]]</f>
        <v>207.39974126778785</v>
      </c>
      <c r="L174" s="567">
        <v>0</v>
      </c>
      <c r="M174" s="560">
        <v>0</v>
      </c>
      <c r="N174" s="568">
        <f>1110/F174</f>
        <v>319.10306166451056</v>
      </c>
      <c r="O174" s="560">
        <f>88.8/F174</f>
        <v>25.528244933160845</v>
      </c>
      <c r="P174" s="569">
        <v>0</v>
      </c>
      <c r="Q174" s="560">
        <v>0</v>
      </c>
      <c r="R174" s="570">
        <f>Tabel6689262829[[#This Row],[VAT DW 2017]]+Tabel6689262829[[#This Row],[VAT Sew. 2017]]+Tabel6689262829[[#This Row],[VAT WW 2017]]+Tabel6689262829[[#This Row],[VAT Other ch. 2017]]</f>
        <v>40.891188730774758</v>
      </c>
      <c r="S174" s="571">
        <f>Tabel6689262829[[#This Row],[Total. ch. DW 2017]]+Tabel6689262829[[#This Row],[Sew. 2017]]+Tabel6689262829[[#This Row],[VAT Sew. 2017]]+Tabel6689262829[[#This Row],[WW 2017]]+Tabel6689262829[[#This Row],[VAT WW 2017]]+Tabel6689262829[[#This Row],[Other ch. 2017]]+Tabel6689262829[[#This Row],[VAT Other ch. 2017]]</f>
        <v>552.0310478654593</v>
      </c>
      <c r="T174" s="397"/>
      <c r="U174" s="1886"/>
      <c r="V174" s="1888"/>
      <c r="W174" s="1890"/>
      <c r="X174" s="1772"/>
      <c r="Y174" s="1892"/>
      <c r="Z174" s="1894"/>
      <c r="AA174" s="1772"/>
      <c r="AB174" s="1911"/>
      <c r="AC174" s="1772"/>
      <c r="AD174" s="1913"/>
      <c r="AE174" s="1772"/>
      <c r="AF174" s="1915"/>
      <c r="AG174" s="1832"/>
      <c r="AH174" s="397"/>
      <c r="AI174" s="396"/>
      <c r="AJ174" s="591" t="s">
        <v>429</v>
      </c>
      <c r="AK174" s="398"/>
      <c r="AL174" s="398"/>
      <c r="AM174" s="398"/>
      <c r="AN174" s="398"/>
      <c r="AO174" s="398"/>
      <c r="AP174" s="397"/>
    </row>
    <row r="175" spans="1:42" ht="15.75" x14ac:dyDescent="0.25">
      <c r="A175" s="1819"/>
      <c r="B175" s="547" t="s">
        <v>131</v>
      </c>
      <c r="C175" s="1046"/>
      <c r="D175" s="802" t="s">
        <v>1114</v>
      </c>
      <c r="E175" s="1880"/>
      <c r="F175" s="661">
        <f>'exchange rates'!$O$48</f>
        <v>3.4784999999999999</v>
      </c>
      <c r="G175" s="549">
        <v>0</v>
      </c>
      <c r="H175" s="550">
        <f>676/F175</f>
        <v>194.33663935604429</v>
      </c>
      <c r="I175" s="551">
        <v>0</v>
      </c>
      <c r="J175" s="560">
        <f>54.08/F175</f>
        <v>15.546931148483541</v>
      </c>
      <c r="K175" s="566">
        <f>Tabel6689262829[[#This Row],[Fix.ch. 2017]]+Tabel6689262829[[#This Row],[Var. ch. 2017]]+Tabel6689262829[[#This Row],[Oth. ch. DW 2017]]+Tabel6689262829[[#This Row],[VAT DW 2017]]</f>
        <v>209.88357050452782</v>
      </c>
      <c r="L175" s="567">
        <v>0</v>
      </c>
      <c r="M175" s="560">
        <v>0</v>
      </c>
      <c r="N175" s="568">
        <f>664/F175</f>
        <v>190.88687652723877</v>
      </c>
      <c r="O175" s="560">
        <f>53.12/F175</f>
        <v>15.2709501221791</v>
      </c>
      <c r="P175" s="569">
        <v>0</v>
      </c>
      <c r="Q175" s="560">
        <v>0</v>
      </c>
      <c r="R175" s="570">
        <f>Tabel6689262829[[#This Row],[VAT DW 2017]]+Tabel6689262829[[#This Row],[VAT Sew. 2017]]+Tabel6689262829[[#This Row],[VAT WW 2017]]+Tabel6689262829[[#This Row],[VAT Other ch. 2017]]</f>
        <v>30.817881270662639</v>
      </c>
      <c r="S175" s="571">
        <f>Tabel6689262829[[#This Row],[Total. ch. DW 2017]]+Tabel6689262829[[#This Row],[Sew. 2017]]+Tabel6689262829[[#This Row],[VAT Sew. 2017]]+Tabel6689262829[[#This Row],[WW 2017]]+Tabel6689262829[[#This Row],[VAT WW 2017]]+Tabel6689262829[[#This Row],[Other ch. 2017]]+Tabel6689262829[[#This Row],[VAT Other ch. 2017]]</f>
        <v>416.0413971539457</v>
      </c>
      <c r="T175" s="397"/>
      <c r="U175" s="1886"/>
      <c r="V175" s="1888"/>
      <c r="W175" s="1890"/>
      <c r="X175" s="1772"/>
      <c r="Y175" s="1892"/>
      <c r="Z175" s="1894"/>
      <c r="AA175" s="1772"/>
      <c r="AB175" s="1911"/>
      <c r="AC175" s="1772"/>
      <c r="AD175" s="1913"/>
      <c r="AE175" s="1772"/>
      <c r="AF175" s="1915"/>
      <c r="AG175" s="1832"/>
      <c r="AH175" s="397"/>
      <c r="AI175" s="396"/>
      <c r="AJ175" s="591" t="s">
        <v>429</v>
      </c>
      <c r="AK175" s="398"/>
      <c r="AL175" s="398"/>
      <c r="AM175" s="398"/>
      <c r="AN175" s="398"/>
      <c r="AO175" s="398"/>
      <c r="AP175" s="397"/>
    </row>
    <row r="176" spans="1:42" ht="16.5" thickBot="1" x14ac:dyDescent="0.3">
      <c r="A176" s="1820"/>
      <c r="B176" s="543" t="s">
        <v>132</v>
      </c>
      <c r="C176" s="1046"/>
      <c r="D176" s="802" t="s">
        <v>1114</v>
      </c>
      <c r="E176" s="1799"/>
      <c r="F176" s="661">
        <f>'exchange rates'!$O$48</f>
        <v>3.4784999999999999</v>
      </c>
      <c r="G176" s="549">
        <v>0</v>
      </c>
      <c r="H176" s="550">
        <f>590/F176</f>
        <v>169.61333908293804</v>
      </c>
      <c r="I176" s="551">
        <v>0</v>
      </c>
      <c r="J176" s="560">
        <f>47.2/F176</f>
        <v>13.569067126635044</v>
      </c>
      <c r="K176" s="566">
        <f>Tabel6689262829[[#This Row],[Fix.ch. 2017]]+Tabel6689262829[[#This Row],[Var. ch. 2017]]+Tabel6689262829[[#This Row],[Oth. ch. DW 2017]]+Tabel6689262829[[#This Row],[VAT DW 2017]]</f>
        <v>183.18240620957309</v>
      </c>
      <c r="L176" s="567">
        <v>0</v>
      </c>
      <c r="M176" s="560">
        <v>0</v>
      </c>
      <c r="N176" s="568">
        <f>902/F176</f>
        <v>259.30717263188154</v>
      </c>
      <c r="O176" s="560">
        <f>72.16/F176</f>
        <v>20.744573810550524</v>
      </c>
      <c r="P176" s="569">
        <v>0</v>
      </c>
      <c r="Q176" s="560">
        <v>0</v>
      </c>
      <c r="R176" s="570">
        <f>Tabel6689262829[[#This Row],[VAT DW 2017]]+Tabel6689262829[[#This Row],[VAT Sew. 2017]]+Tabel6689262829[[#This Row],[VAT WW 2017]]+Tabel6689262829[[#This Row],[VAT Other ch. 2017]]</f>
        <v>34.313640937185568</v>
      </c>
      <c r="S176" s="571">
        <f>Tabel6689262829[[#This Row],[Total. ch. DW 2017]]+Tabel6689262829[[#This Row],[Sew. 2017]]+Tabel6689262829[[#This Row],[VAT Sew. 2017]]+Tabel6689262829[[#This Row],[WW 2017]]+Tabel6689262829[[#This Row],[VAT WW 2017]]+Tabel6689262829[[#This Row],[Other ch. 2017]]+Tabel6689262829[[#This Row],[VAT Other ch. 2017]]</f>
        <v>463.23415265200521</v>
      </c>
      <c r="T176" s="397"/>
      <c r="U176" s="1801"/>
      <c r="V176" s="1803"/>
      <c r="W176" s="1805"/>
      <c r="X176" s="1773"/>
      <c r="Y176" s="1807"/>
      <c r="Z176" s="1809"/>
      <c r="AA176" s="1773"/>
      <c r="AB176" s="1782"/>
      <c r="AC176" s="1773"/>
      <c r="AD176" s="1786"/>
      <c r="AE176" s="1773"/>
      <c r="AF176" s="1789"/>
      <c r="AG176" s="1792"/>
      <c r="AH176" s="397"/>
      <c r="AI176" s="396"/>
      <c r="AJ176" s="591" t="s">
        <v>429</v>
      </c>
      <c r="AK176" s="398"/>
      <c r="AL176" s="398"/>
      <c r="AM176" s="398"/>
      <c r="AN176" s="398"/>
      <c r="AO176" s="398"/>
      <c r="AP176" s="397"/>
    </row>
    <row r="177" spans="1:42" ht="18" customHeight="1" x14ac:dyDescent="0.25">
      <c r="A177" s="1878" t="s">
        <v>23</v>
      </c>
      <c r="B177" s="638" t="s">
        <v>133</v>
      </c>
      <c r="C177" s="693" t="s">
        <v>429</v>
      </c>
      <c r="D177" s="806" t="s">
        <v>1116</v>
      </c>
      <c r="E177" s="1934">
        <v>30300</v>
      </c>
      <c r="F177" s="616">
        <f>'exchange rates'!$O$49</f>
        <v>0.83301000000000003</v>
      </c>
      <c r="G177" s="549">
        <f>57/F177</f>
        <v>68.426549501206466</v>
      </c>
      <c r="H177" s="550">
        <f>103.69/F177</f>
        <v>124.47629680315961</v>
      </c>
      <c r="I177" s="551">
        <f>4.52/F177</f>
        <v>5.4261053288675996</v>
      </c>
      <c r="J177" s="560">
        <f>9.91/F177</f>
        <v>11.896615886964142</v>
      </c>
      <c r="K177" s="566">
        <f>Tabel6689262829[[#This Row],[Fix.ch. 2017]]+Tabel6689262829[[#This Row],[Var. ch. 2017]]+Tabel6689262829[[#This Row],[Oth. ch. DW 2017]]+Tabel6689262829[[#This Row],[VAT DW 2017]]</f>
        <v>210.22556752019784</v>
      </c>
      <c r="L177" s="567">
        <f>106.56/F177</f>
        <v>127.9216335938344</v>
      </c>
      <c r="M177" s="560">
        <f>0</f>
        <v>0</v>
      </c>
      <c r="N177" s="568">
        <v>0</v>
      </c>
      <c r="O177" s="560">
        <v>0</v>
      </c>
      <c r="P177" s="569">
        <f>14.53/F177</f>
        <v>17.442767793904032</v>
      </c>
      <c r="Q177" s="560">
        <v>0</v>
      </c>
      <c r="R177" s="570">
        <f>Tabel6689262829[[#This Row],[VAT DW 2017]]+Tabel6689262829[[#This Row],[VAT Sew. 2017]]+Tabel6689262829[[#This Row],[VAT WW 2017]]+Tabel6689262829[[#This Row],[VAT Other ch. 2017]]</f>
        <v>11.896615886964142</v>
      </c>
      <c r="S177" s="571">
        <f>Tabel6689262829[[#This Row],[Total. ch. DW 2017]]+Tabel6689262829[[#This Row],[Sew. 2017]]+Tabel6689262829[[#This Row],[VAT Sew. 2017]]+Tabel6689262829[[#This Row],[WW 2017]]+Tabel6689262829[[#This Row],[VAT WW 2017]]+Tabel6689262829[[#This Row],[Other ch. 2017]]+Tabel6689262829[[#This Row],[VAT Other ch. 2017]]</f>
        <v>355.58996890793622</v>
      </c>
      <c r="T177" s="397"/>
      <c r="U177" s="1935">
        <f>MEDIAN(G177:G183)</f>
        <v>56.181798537832677</v>
      </c>
      <c r="V177" s="1936">
        <f>MEDIAN(H177:H183)</f>
        <v>163.26334617831719</v>
      </c>
      <c r="W177" s="1937">
        <f>MEDIAN(I177:I183)</f>
        <v>5.450114644482059</v>
      </c>
      <c r="X177" s="1938">
        <f>MEDIAN(J177:J183)</f>
        <v>13.517244690940084</v>
      </c>
      <c r="Y177" s="1939">
        <f>SUM(U177:X183)</f>
        <v>238.412504051572</v>
      </c>
      <c r="Z177" s="1950">
        <f t="shared" ref="Z177:AF177" si="27">MEDIAN(L177:L183)</f>
        <v>171.4505228028475</v>
      </c>
      <c r="AA177" s="1938">
        <f t="shared" si="27"/>
        <v>0</v>
      </c>
      <c r="AB177" s="1946">
        <f t="shared" si="27"/>
        <v>0</v>
      </c>
      <c r="AC177" s="1938">
        <f t="shared" si="27"/>
        <v>0</v>
      </c>
      <c r="AD177" s="1947">
        <f t="shared" si="27"/>
        <v>0</v>
      </c>
      <c r="AE177" s="1938">
        <f t="shared" si="27"/>
        <v>0</v>
      </c>
      <c r="AF177" s="1944">
        <f t="shared" si="27"/>
        <v>14.693701156048547</v>
      </c>
      <c r="AG177" s="1945">
        <f>Y177+Z177+AA177+AB177+AC177+AD177+AE177</f>
        <v>409.8630268544195</v>
      </c>
      <c r="AH177" s="397"/>
      <c r="AI177" s="398"/>
      <c r="AJ177" s="398"/>
      <c r="AK177" s="398"/>
      <c r="AL177" s="591" t="s">
        <v>429</v>
      </c>
      <c r="AM177" s="591" t="s">
        <v>429</v>
      </c>
      <c r="AN177" s="614"/>
      <c r="AO177" s="398"/>
      <c r="AP177" s="397"/>
    </row>
    <row r="178" spans="1:42" ht="15.6" customHeight="1" x14ac:dyDescent="0.25">
      <c r="A178" s="1757"/>
      <c r="B178" s="639" t="s">
        <v>134</v>
      </c>
      <c r="C178" s="639"/>
      <c r="D178" s="724" t="s">
        <v>1116</v>
      </c>
      <c r="E178" s="1760"/>
      <c r="F178" s="616">
        <f>'exchange rates'!$O$49</f>
        <v>0.83301000000000003</v>
      </c>
      <c r="G178" s="549">
        <f>48.84/F178</f>
        <v>58.630748730507442</v>
      </c>
      <c r="H178" s="550">
        <f>150.66/F178</f>
        <v>180.8621745237152</v>
      </c>
      <c r="I178" s="551">
        <f>4.54/F178</f>
        <v>5.450114644482059</v>
      </c>
      <c r="J178" s="560">
        <f>12.24/F178</f>
        <v>14.693701156048547</v>
      </c>
      <c r="K178" s="566">
        <f>Tabel6689262829[[#This Row],[Fix.ch. 2017]]+Tabel6689262829[[#This Row],[Var. ch. 2017]]+Tabel6689262829[[#This Row],[Oth. ch. DW 2017]]+Tabel6689262829[[#This Row],[VAT DW 2017]]</f>
        <v>259.63673905475321</v>
      </c>
      <c r="L178" s="567">
        <f>177.83/F178</f>
        <v>213.47882978595695</v>
      </c>
      <c r="M178" s="560">
        <v>0</v>
      </c>
      <c r="N178" s="568">
        <v>0</v>
      </c>
      <c r="O178" s="560">
        <v>0</v>
      </c>
      <c r="P178" s="569">
        <v>0</v>
      </c>
      <c r="Q178" s="560"/>
      <c r="R178" s="570">
        <f>Tabel6689262829[[#This Row],[VAT DW 2017]]+Tabel6689262829[[#This Row],[VAT Sew. 2017]]+Tabel6689262829[[#This Row],[VAT WW 2017]]+Tabel6689262829[[#This Row],[VAT Other ch. 2017]]</f>
        <v>14.693701156048547</v>
      </c>
      <c r="S178" s="571">
        <f>Tabel6689262829[[#This Row],[Total. ch. DW 2017]]+Tabel6689262829[[#This Row],[Sew. 2017]]+Tabel6689262829[[#This Row],[VAT Sew. 2017]]+Tabel6689262829[[#This Row],[WW 2017]]+Tabel6689262829[[#This Row],[VAT WW 2017]]+Tabel6689262829[[#This Row],[Other ch. 2017]]+Tabel6689262829[[#This Row],[VAT Other ch. 2017]]</f>
        <v>473.11556884071013</v>
      </c>
      <c r="T178" s="397"/>
      <c r="U178" s="1763"/>
      <c r="V178" s="1766"/>
      <c r="W178" s="1769"/>
      <c r="X178" s="1772"/>
      <c r="Y178" s="1775"/>
      <c r="Z178" s="1778"/>
      <c r="AA178" s="1772"/>
      <c r="AB178" s="1781"/>
      <c r="AC178" s="1772"/>
      <c r="AD178" s="1785"/>
      <c r="AE178" s="1772"/>
      <c r="AF178" s="1788"/>
      <c r="AG178" s="1791"/>
      <c r="AH178" s="397"/>
      <c r="AI178" s="398"/>
      <c r="AJ178" s="398"/>
      <c r="AK178" s="398"/>
      <c r="AL178" s="591" t="s">
        <v>429</v>
      </c>
      <c r="AM178" s="591" t="s">
        <v>429</v>
      </c>
      <c r="AN178" s="614"/>
      <c r="AO178" s="398"/>
      <c r="AP178" s="397"/>
    </row>
    <row r="179" spans="1:42" ht="15.6" customHeight="1" x14ac:dyDescent="0.25">
      <c r="A179" s="1757"/>
      <c r="B179" s="639" t="s">
        <v>135</v>
      </c>
      <c r="C179" s="639"/>
      <c r="D179" s="724" t="s">
        <v>1116</v>
      </c>
      <c r="E179" s="1760"/>
      <c r="F179" s="616">
        <f>'exchange rates'!$O$49</f>
        <v>0.83301000000000003</v>
      </c>
      <c r="G179" s="549">
        <f>41.62/F179</f>
        <v>49.963385793687948</v>
      </c>
      <c r="H179" s="550">
        <f>157.77/F179</f>
        <v>189.39748622465518</v>
      </c>
      <c r="I179" s="551">
        <f>4.08/F179</f>
        <v>4.8979003853495158</v>
      </c>
      <c r="J179" s="560">
        <f>12.21/F179</f>
        <v>14.65768718262686</v>
      </c>
      <c r="K179" s="566">
        <f>Tabel6689262829[[#This Row],[Fix.ch. 2017]]+Tabel6689262829[[#This Row],[Var. ch. 2017]]+Tabel6689262829[[#This Row],[Oth. ch. DW 2017]]+Tabel6689262829[[#This Row],[VAT DW 2017]]</f>
        <v>258.91645958631949</v>
      </c>
      <c r="L179" s="567">
        <f>88.08/F179</f>
        <v>105.73702596607482</v>
      </c>
      <c r="M179" s="560">
        <f>5.28/F179</f>
        <v>6.3384593222170205</v>
      </c>
      <c r="N179" s="568">
        <v>0</v>
      </c>
      <c r="O179" s="560">
        <v>0</v>
      </c>
      <c r="P179" s="569">
        <v>0</v>
      </c>
      <c r="Q179" s="560">
        <v>0</v>
      </c>
      <c r="R179" s="570">
        <f>Tabel6689262829[[#This Row],[VAT DW 2017]]+Tabel6689262829[[#This Row],[VAT Sew. 2017]]+Tabel6689262829[[#This Row],[VAT WW 2017]]+Tabel6689262829[[#This Row],[VAT Other ch. 2017]]</f>
        <v>20.996146504843882</v>
      </c>
      <c r="S179" s="571">
        <f>Tabel6689262829[[#This Row],[Total. ch. DW 2017]]+Tabel6689262829[[#This Row],[Sew. 2017]]+Tabel6689262829[[#This Row],[VAT Sew. 2017]]+Tabel6689262829[[#This Row],[WW 2017]]+Tabel6689262829[[#This Row],[VAT WW 2017]]+Tabel6689262829[[#This Row],[Other ch. 2017]]+Tabel6689262829[[#This Row],[VAT Other ch. 2017]]</f>
        <v>370.99194487461136</v>
      </c>
      <c r="T179" s="397"/>
      <c r="U179" s="1763"/>
      <c r="V179" s="1766"/>
      <c r="W179" s="1769"/>
      <c r="X179" s="1772"/>
      <c r="Y179" s="1775"/>
      <c r="Z179" s="1778"/>
      <c r="AA179" s="1772"/>
      <c r="AB179" s="1781"/>
      <c r="AC179" s="1772"/>
      <c r="AD179" s="1785"/>
      <c r="AE179" s="1772"/>
      <c r="AF179" s="1788"/>
      <c r="AG179" s="1791"/>
      <c r="AH179" s="397"/>
      <c r="AI179" s="398"/>
      <c r="AJ179" s="398"/>
      <c r="AK179" s="398"/>
      <c r="AL179" s="591" t="s">
        <v>429</v>
      </c>
      <c r="AM179" s="591" t="s">
        <v>429</v>
      </c>
      <c r="AN179" s="614"/>
      <c r="AO179" s="398"/>
      <c r="AP179" s="397"/>
    </row>
    <row r="180" spans="1:42" ht="15.6" customHeight="1" x14ac:dyDescent="0.25">
      <c r="A180" s="1757"/>
      <c r="B180" s="639" t="s">
        <v>136</v>
      </c>
      <c r="C180" s="639"/>
      <c r="D180" s="724" t="s">
        <v>1116</v>
      </c>
      <c r="E180" s="1760"/>
      <c r="F180" s="616">
        <f>'exchange rates'!$O$49</f>
        <v>0.83301000000000003</v>
      </c>
      <c r="G180" s="549">
        <f>38.11/F180</f>
        <v>45.749750903350495</v>
      </c>
      <c r="H180" s="550">
        <f>175.63/F180</f>
        <v>210.83780506836652</v>
      </c>
      <c r="I180" s="551">
        <f>5/F180</f>
        <v>6.0023289036146021</v>
      </c>
      <c r="J180" s="560">
        <f>13.12/F180</f>
        <v>15.750111043084715</v>
      </c>
      <c r="K180" s="566">
        <f>Tabel6689262829[[#This Row],[Fix.ch. 2017]]+Tabel6689262829[[#This Row],[Var. ch. 2017]]+Tabel6689262829[[#This Row],[Oth. ch. DW 2017]]+Tabel6689262829[[#This Row],[VAT DW 2017]]</f>
        <v>278.33999591841632</v>
      </c>
      <c r="L180" s="567">
        <f>182.36/F180</f>
        <v>218.91693977263179</v>
      </c>
      <c r="M180" s="560">
        <v>0</v>
      </c>
      <c r="N180" s="568">
        <v>0</v>
      </c>
      <c r="O180" s="560">
        <v>0</v>
      </c>
      <c r="P180" s="569">
        <v>0</v>
      </c>
      <c r="Q180" s="560">
        <v>0</v>
      </c>
      <c r="R180" s="570">
        <f>Tabel6689262829[[#This Row],[VAT DW 2017]]+Tabel6689262829[[#This Row],[VAT Sew. 2017]]+Tabel6689262829[[#This Row],[VAT WW 2017]]+Tabel6689262829[[#This Row],[VAT Other ch. 2017]]</f>
        <v>15.750111043084715</v>
      </c>
      <c r="S180" s="571">
        <f>Tabel6689262829[[#This Row],[Total. ch. DW 2017]]+Tabel6689262829[[#This Row],[Sew. 2017]]+Tabel6689262829[[#This Row],[VAT Sew. 2017]]+Tabel6689262829[[#This Row],[WW 2017]]+Tabel6689262829[[#This Row],[VAT WW 2017]]+Tabel6689262829[[#This Row],[Other ch. 2017]]+Tabel6689262829[[#This Row],[VAT Other ch. 2017]]</f>
        <v>497.25693569104811</v>
      </c>
      <c r="T180" s="397"/>
      <c r="U180" s="1763"/>
      <c r="V180" s="1766"/>
      <c r="W180" s="1769"/>
      <c r="X180" s="1772"/>
      <c r="Y180" s="1775"/>
      <c r="Z180" s="1778"/>
      <c r="AA180" s="1772"/>
      <c r="AB180" s="1781"/>
      <c r="AC180" s="1772"/>
      <c r="AD180" s="1785"/>
      <c r="AE180" s="1772"/>
      <c r="AF180" s="1788"/>
      <c r="AG180" s="1791"/>
      <c r="AH180" s="397"/>
      <c r="AI180" s="398"/>
      <c r="AJ180" s="398"/>
      <c r="AK180" s="398"/>
      <c r="AL180" s="591" t="s">
        <v>429</v>
      </c>
      <c r="AM180" s="591" t="s">
        <v>429</v>
      </c>
      <c r="AN180" s="614"/>
      <c r="AO180" s="398"/>
      <c r="AP180" s="397"/>
    </row>
    <row r="181" spans="1:42" ht="15.6" customHeight="1" x14ac:dyDescent="0.25">
      <c r="A181" s="1757"/>
      <c r="B181" s="639" t="s">
        <v>137</v>
      </c>
      <c r="C181" s="639"/>
      <c r="D181" s="724" t="s">
        <v>1116</v>
      </c>
      <c r="E181" s="1760"/>
      <c r="F181" s="616">
        <f>'exchange rates'!$O$49</f>
        <v>0.83301000000000003</v>
      </c>
      <c r="G181" s="549">
        <f>55.97/F181</f>
        <v>67.190069747061855</v>
      </c>
      <c r="H181" s="550">
        <f>112.38/F181</f>
        <v>134.9083444376418</v>
      </c>
      <c r="I181" s="551">
        <f>3.42/F181</f>
        <v>4.1055929700723874</v>
      </c>
      <c r="J181" s="560">
        <f>10.31/F181</f>
        <v>12.37680219925331</v>
      </c>
      <c r="K181" s="566">
        <f>Tabel6689262829[[#This Row],[Fix.ch. 2017]]+Tabel6689262829[[#This Row],[Var. ch. 2017]]+Tabel6689262829[[#This Row],[Oth. ch. DW 2017]]+Tabel6689262829[[#This Row],[VAT DW 2017]]</f>
        <v>218.58080935402936</v>
      </c>
      <c r="L181" s="567">
        <f>142.82/F181</f>
        <v>171.4505228028475</v>
      </c>
      <c r="M181" s="560">
        <v>0</v>
      </c>
      <c r="N181" s="568">
        <v>0</v>
      </c>
      <c r="O181" s="560">
        <v>0</v>
      </c>
      <c r="P181" s="569">
        <v>0</v>
      </c>
      <c r="Q181" s="560">
        <v>0</v>
      </c>
      <c r="R181" s="570">
        <f>Tabel6689262829[[#This Row],[VAT DW 2017]]+Tabel6689262829[[#This Row],[VAT Sew. 2017]]+Tabel6689262829[[#This Row],[VAT WW 2017]]+Tabel6689262829[[#This Row],[VAT Other ch. 2017]]</f>
        <v>12.37680219925331</v>
      </c>
      <c r="S181" s="571">
        <f>Tabel6689262829[[#This Row],[Total. ch. DW 2017]]+Tabel6689262829[[#This Row],[Sew. 2017]]+Tabel6689262829[[#This Row],[VAT Sew. 2017]]+Tabel6689262829[[#This Row],[WW 2017]]+Tabel6689262829[[#This Row],[VAT WW 2017]]+Tabel6689262829[[#This Row],[Other ch. 2017]]+Tabel6689262829[[#This Row],[VAT Other ch. 2017]]</f>
        <v>390.03133215687683</v>
      </c>
      <c r="T181" s="397"/>
      <c r="U181" s="1763"/>
      <c r="V181" s="1766"/>
      <c r="W181" s="1769"/>
      <c r="X181" s="1772"/>
      <c r="Y181" s="1775"/>
      <c r="Z181" s="1778"/>
      <c r="AA181" s="1772"/>
      <c r="AB181" s="1781"/>
      <c r="AC181" s="1772"/>
      <c r="AD181" s="1785"/>
      <c r="AE181" s="1772"/>
      <c r="AF181" s="1788"/>
      <c r="AG181" s="1791"/>
      <c r="AH181" s="397"/>
      <c r="AI181" s="398"/>
      <c r="AJ181" s="398"/>
      <c r="AK181" s="398"/>
      <c r="AL181" s="591" t="s">
        <v>429</v>
      </c>
      <c r="AM181" s="591" t="s">
        <v>429</v>
      </c>
      <c r="AN181" s="614"/>
      <c r="AO181" s="398"/>
      <c r="AP181" s="397"/>
    </row>
    <row r="182" spans="1:42" ht="15.6" customHeight="1" x14ac:dyDescent="0.25">
      <c r="A182" s="1757"/>
      <c r="B182" s="639" t="s">
        <v>138</v>
      </c>
      <c r="C182" s="639"/>
      <c r="D182" s="724" t="s">
        <v>1116</v>
      </c>
      <c r="E182" s="1760"/>
      <c r="F182" s="616">
        <f>'exchange rates'!$O$49</f>
        <v>0.83301000000000003</v>
      </c>
      <c r="G182" s="549">
        <f>46.8/F182</f>
        <v>56.181798537832677</v>
      </c>
      <c r="H182" s="550">
        <f>136/F182</f>
        <v>163.26334617831719</v>
      </c>
      <c r="I182" s="551">
        <f>4.86/F182</f>
        <v>5.8342636943133934</v>
      </c>
      <c r="J182" s="560">
        <f>11.26/F182</f>
        <v>13.517244690940084</v>
      </c>
      <c r="K182" s="566">
        <f>Tabel6689262829[[#This Row],[Fix.ch. 2017]]+Tabel6689262829[[#This Row],[Var. ch. 2017]]+Tabel6689262829[[#This Row],[Oth. ch. DW 2017]]+Tabel6689262829[[#This Row],[VAT DW 2017]]</f>
        <v>238.79665310140334</v>
      </c>
      <c r="L182" s="567">
        <f>133.32/F182</f>
        <v>160.04609788597975</v>
      </c>
      <c r="M182" s="560">
        <f>8/F182</f>
        <v>9.6037262457833634</v>
      </c>
      <c r="N182" s="568">
        <v>0</v>
      </c>
      <c r="O182" s="560">
        <v>0</v>
      </c>
      <c r="P182" s="569">
        <v>0</v>
      </c>
      <c r="Q182" s="560">
        <v>0</v>
      </c>
      <c r="R182" s="570">
        <f>Tabel6689262829[[#This Row],[VAT DW 2017]]+Tabel6689262829[[#This Row],[VAT Sew. 2017]]+Tabel6689262829[[#This Row],[VAT WW 2017]]+Tabel6689262829[[#This Row],[VAT Other ch. 2017]]</f>
        <v>23.120970936723445</v>
      </c>
      <c r="S182" s="571">
        <f>Tabel6689262829[[#This Row],[Total. ch. DW 2017]]+Tabel6689262829[[#This Row],[Sew. 2017]]+Tabel6689262829[[#This Row],[VAT Sew. 2017]]+Tabel6689262829[[#This Row],[WW 2017]]+Tabel6689262829[[#This Row],[VAT WW 2017]]+Tabel6689262829[[#This Row],[Other ch. 2017]]+Tabel6689262829[[#This Row],[VAT Other ch. 2017]]</f>
        <v>408.44647723316643</v>
      </c>
      <c r="T182" s="397"/>
      <c r="U182" s="1763"/>
      <c r="V182" s="1766"/>
      <c r="W182" s="1769"/>
      <c r="X182" s="1772"/>
      <c r="Y182" s="1775"/>
      <c r="Z182" s="1778"/>
      <c r="AA182" s="1772"/>
      <c r="AB182" s="1781"/>
      <c r="AC182" s="1772"/>
      <c r="AD182" s="1785"/>
      <c r="AE182" s="1772"/>
      <c r="AF182" s="1788"/>
      <c r="AG182" s="1791"/>
      <c r="AH182" s="397"/>
      <c r="AI182" s="398"/>
      <c r="AJ182" s="398"/>
      <c r="AK182" s="398"/>
      <c r="AL182" s="591" t="s">
        <v>429</v>
      </c>
      <c r="AM182" s="591" t="s">
        <v>429</v>
      </c>
      <c r="AN182" s="614"/>
      <c r="AO182" s="398"/>
      <c r="AP182" s="397"/>
    </row>
    <row r="183" spans="1:42" ht="16.149999999999999" customHeight="1" thickBot="1" x14ac:dyDescent="0.3">
      <c r="A183" s="1758"/>
      <c r="B183" s="640" t="s">
        <v>139</v>
      </c>
      <c r="C183" s="652"/>
      <c r="D183" s="807" t="s">
        <v>1116</v>
      </c>
      <c r="E183" s="1799"/>
      <c r="F183" s="616">
        <f>'exchange rates'!$O$49</f>
        <v>0.83301000000000003</v>
      </c>
      <c r="G183" s="549">
        <f>33.94/F183</f>
        <v>40.743808597735921</v>
      </c>
      <c r="H183" s="550">
        <f>111.18/F183</f>
        <v>133.46778550077431</v>
      </c>
      <c r="I183" s="551">
        <f>5.36/F183</f>
        <v>6.4344965846748536</v>
      </c>
      <c r="J183" s="560">
        <f>9.03/F183</f>
        <v>10.840205999927971</v>
      </c>
      <c r="K183" s="566">
        <f>Tabel6689262829[[#This Row],[Fix.ch. 2017]]+Tabel6689262829[[#This Row],[Var. ch. 2017]]+Tabel6689262829[[#This Row],[Oth. ch. DW 2017]]+Tabel6689262829[[#This Row],[VAT DW 2017]]</f>
        <v>191.48629668311307</v>
      </c>
      <c r="L183" s="567">
        <f>198.69/F183</f>
        <v>238.52054597183707</v>
      </c>
      <c r="M183" s="560">
        <v>0</v>
      </c>
      <c r="N183" s="568">
        <v>0</v>
      </c>
      <c r="O183" s="560">
        <v>0</v>
      </c>
      <c r="P183" s="569">
        <v>0</v>
      </c>
      <c r="Q183" s="560">
        <v>0</v>
      </c>
      <c r="R183" s="570">
        <f>Tabel6689262829[[#This Row],[VAT DW 2017]]+Tabel6689262829[[#This Row],[VAT Sew. 2017]]+Tabel6689262829[[#This Row],[VAT WW 2017]]+Tabel6689262829[[#This Row],[VAT Other ch. 2017]]</f>
        <v>10.840205999927971</v>
      </c>
      <c r="S183" s="571">
        <f>Tabel6689262829[[#This Row],[Total. ch. DW 2017]]+Tabel6689262829[[#This Row],[Sew. 2017]]+Tabel6689262829[[#This Row],[VAT Sew. 2017]]+Tabel6689262829[[#This Row],[WW 2017]]+Tabel6689262829[[#This Row],[VAT WW 2017]]+Tabel6689262829[[#This Row],[Other ch. 2017]]+Tabel6689262829[[#This Row],[VAT Other ch. 2017]]</f>
        <v>430.00684265495011</v>
      </c>
      <c r="T183" s="397"/>
      <c r="U183" s="1801"/>
      <c r="V183" s="1803"/>
      <c r="W183" s="1805"/>
      <c r="X183" s="1773"/>
      <c r="Y183" s="1807"/>
      <c r="Z183" s="1809"/>
      <c r="AA183" s="1773"/>
      <c r="AB183" s="1782"/>
      <c r="AC183" s="1773"/>
      <c r="AD183" s="1786"/>
      <c r="AE183" s="1773"/>
      <c r="AF183" s="1789"/>
      <c r="AG183" s="1792"/>
      <c r="AH183" s="397"/>
      <c r="AI183" s="398"/>
      <c r="AJ183" s="398"/>
      <c r="AK183" s="398"/>
      <c r="AL183" s="591" t="s">
        <v>429</v>
      </c>
      <c r="AM183" s="591" t="s">
        <v>429</v>
      </c>
      <c r="AN183" s="591" t="s">
        <v>429</v>
      </c>
      <c r="AO183" s="398"/>
      <c r="AP183" s="397"/>
    </row>
    <row r="184" spans="1:42" ht="18.75" customHeight="1" x14ac:dyDescent="0.25">
      <c r="A184" s="1878" t="s">
        <v>40</v>
      </c>
      <c r="B184" s="630" t="s">
        <v>869</v>
      </c>
      <c r="C184" s="754"/>
      <c r="D184" s="754" t="s">
        <v>1118</v>
      </c>
      <c r="E184" s="1983">
        <v>24000</v>
      </c>
      <c r="F184" s="616">
        <f>'exchange rates'!$O$50</f>
        <v>3.8868399999999999</v>
      </c>
      <c r="G184" s="549">
        <v>0</v>
      </c>
      <c r="H184" s="550">
        <f>526/F184</f>
        <v>135.32844161323851</v>
      </c>
      <c r="I184" s="551">
        <v>0</v>
      </c>
      <c r="J184" s="560">
        <f>47.34/F184</f>
        <v>12.179559745191469</v>
      </c>
      <c r="K184" s="566">
        <f>Tabel6689262829[[#This Row],[Fix.ch. 2017]]+Tabel6689262829[[#This Row],[Var. ch. 2017]]+Tabel6689262829[[#This Row],[Oth. ch. DW 2017]]+Tabel6689262829[[#This Row],[VAT DW 2017]]</f>
        <v>147.50800135842996</v>
      </c>
      <c r="L184" s="567">
        <v>0</v>
      </c>
      <c r="M184" s="560">
        <v>0</v>
      </c>
      <c r="N184" s="568">
        <f>558/F184</f>
        <v>143.56135060872072</v>
      </c>
      <c r="O184" s="560">
        <f>106.02/F184</f>
        <v>27.276656615656936</v>
      </c>
      <c r="P184" s="569">
        <v>0</v>
      </c>
      <c r="Q184" s="560">
        <v>0</v>
      </c>
      <c r="R184" s="570">
        <f>Tabel6689262829[[#This Row],[VAT DW 2017]]+Tabel6689262829[[#This Row],[VAT Sew. 2017]]+Tabel6689262829[[#This Row],[VAT WW 2017]]+Tabel6689262829[[#This Row],[VAT Other ch. 2017]]</f>
        <v>39.456216360848401</v>
      </c>
      <c r="S184" s="571">
        <f>Tabel6689262829[[#This Row],[Total. ch. DW 2017]]+Tabel6689262829[[#This Row],[Sew. 2017]]+Tabel6689262829[[#This Row],[VAT Sew. 2017]]+Tabel6689262829[[#This Row],[WW 2017]]+Tabel6689262829[[#This Row],[VAT WW 2017]]+Tabel6689262829[[#This Row],[Other ch. 2017]]+Tabel6689262829[[#This Row],[VAT Other ch. 2017]]</f>
        <v>318.3460085828076</v>
      </c>
      <c r="T184" s="397"/>
      <c r="U184" s="1824">
        <f>MEDIAN(G184:G224)</f>
        <v>0</v>
      </c>
      <c r="V184" s="2128">
        <f>MEDIAN(H184:H224)</f>
        <v>183.69678196169639</v>
      </c>
      <c r="W184" s="1826">
        <f>MEDIAN(I184:I224)</f>
        <v>0</v>
      </c>
      <c r="X184" s="1938">
        <f>MEDIAN(J184:J224)</f>
        <v>16.532710376552679</v>
      </c>
      <c r="Y184" s="1827">
        <f>SUM(U184:X224)</f>
        <v>200.22949233824906</v>
      </c>
      <c r="Z184" s="1828">
        <f t="shared" ref="Z184:AF184" si="28">MEDIAN(L184:L224)</f>
        <v>0</v>
      </c>
      <c r="AA184" s="1938">
        <f t="shared" si="28"/>
        <v>0</v>
      </c>
      <c r="AB184" s="1829">
        <f t="shared" si="28"/>
        <v>133.78477117658562</v>
      </c>
      <c r="AC184" s="1938">
        <f t="shared" si="28"/>
        <v>25.419106523551264</v>
      </c>
      <c r="AD184" s="1830">
        <f t="shared" si="28"/>
        <v>0</v>
      </c>
      <c r="AE184" s="1938">
        <f t="shared" si="28"/>
        <v>0</v>
      </c>
      <c r="AF184" s="2136">
        <f t="shared" si="28"/>
        <v>42.353171213633701</v>
      </c>
      <c r="AG184" s="2052">
        <f>Y184+Z184+AA184+AB184+AC184+AD184+AE184</f>
        <v>359.43337003838593</v>
      </c>
      <c r="AH184" s="397"/>
      <c r="AI184" s="591" t="s">
        <v>429</v>
      </c>
      <c r="AJ184" s="591" t="s">
        <v>429</v>
      </c>
      <c r="AK184" s="591"/>
      <c r="AL184" s="591"/>
      <c r="AM184" s="591"/>
      <c r="AN184" s="591" t="s">
        <v>429</v>
      </c>
      <c r="AO184" s="614"/>
      <c r="AP184" s="397"/>
    </row>
    <row r="185" spans="1:42" ht="15.75" customHeight="1" x14ac:dyDescent="0.25">
      <c r="A185" s="1757"/>
      <c r="B185" s="274" t="s">
        <v>188</v>
      </c>
      <c r="C185" s="457"/>
      <c r="D185" s="457" t="s">
        <v>1118</v>
      </c>
      <c r="E185" s="1880"/>
      <c r="F185" s="616">
        <f>'exchange rates'!$O$50</f>
        <v>3.8868399999999999</v>
      </c>
      <c r="G185" s="319"/>
      <c r="H185" s="320"/>
      <c r="I185" s="321"/>
      <c r="J185" s="559"/>
      <c r="K185" s="313"/>
      <c r="L185" s="322"/>
      <c r="M185" s="559"/>
      <c r="N185" s="323"/>
      <c r="O185" s="559"/>
      <c r="P185" s="324"/>
      <c r="Q185" s="559"/>
      <c r="R185" s="317"/>
      <c r="S185" s="318"/>
      <c r="T185" s="397"/>
      <c r="U185" s="1763"/>
      <c r="V185" s="2129"/>
      <c r="W185" s="1769"/>
      <c r="X185" s="1772"/>
      <c r="Y185" s="1775"/>
      <c r="Z185" s="1778"/>
      <c r="AA185" s="1772"/>
      <c r="AB185" s="1781"/>
      <c r="AC185" s="1772"/>
      <c r="AD185" s="1785"/>
      <c r="AE185" s="1772"/>
      <c r="AF185" s="2137"/>
      <c r="AG185" s="1990"/>
      <c r="AH185" s="397"/>
      <c r="AI185" s="396"/>
      <c r="AJ185" s="396"/>
      <c r="AK185" s="398"/>
      <c r="AL185" s="398"/>
      <c r="AM185" s="398"/>
      <c r="AN185" s="396"/>
      <c r="AO185" s="398"/>
      <c r="AP185" s="397"/>
    </row>
    <row r="186" spans="1:42" ht="15.75" customHeight="1" x14ac:dyDescent="0.25">
      <c r="A186" s="1757"/>
      <c r="B186" s="630" t="s">
        <v>189</v>
      </c>
      <c r="C186" s="754"/>
      <c r="D186" s="754" t="s">
        <v>1118</v>
      </c>
      <c r="E186" s="1880"/>
      <c r="F186" s="616">
        <f>'exchange rates'!$O$50</f>
        <v>3.8868399999999999</v>
      </c>
      <c r="G186" s="549">
        <v>0</v>
      </c>
      <c r="H186" s="550">
        <f>640/F186</f>
        <v>164.65817990964382</v>
      </c>
      <c r="I186" s="551">
        <v>0</v>
      </c>
      <c r="J186" s="560">
        <f>57.6/F186</f>
        <v>14.819236191867946</v>
      </c>
      <c r="K186" s="566">
        <f>Tabel6689262829[[#This Row],[Fix.ch. 2017]]+Tabel6689262829[[#This Row],[Var. ch. 2017]]+Tabel6689262829[[#This Row],[Oth. ch. DW 2017]]+Tabel6689262829[[#This Row],[VAT DW 2017]]</f>
        <v>179.47741610151178</v>
      </c>
      <c r="L186" s="567">
        <v>0</v>
      </c>
      <c r="M186" s="560">
        <v>0</v>
      </c>
      <c r="N186" s="568">
        <f>360/F186</f>
        <v>92.620226199174652</v>
      </c>
      <c r="O186" s="560">
        <f>68.4/F186</f>
        <v>17.597842977843186</v>
      </c>
      <c r="P186" s="569">
        <v>0</v>
      </c>
      <c r="Q186" s="560">
        <v>0</v>
      </c>
      <c r="R186" s="570">
        <f>Tabel6689262829[[#This Row],[VAT DW 2017]]+Tabel6689262829[[#This Row],[VAT Sew. 2017]]+Tabel6689262829[[#This Row],[VAT WW 2017]]+Tabel6689262829[[#This Row],[VAT Other ch. 2017]]</f>
        <v>32.41707916971113</v>
      </c>
      <c r="S186" s="571">
        <f>Tabel6689262829[[#This Row],[Total. ch. DW 2017]]+Tabel6689262829[[#This Row],[Sew. 2017]]+Tabel6689262829[[#This Row],[VAT Sew. 2017]]+Tabel6689262829[[#This Row],[WW 2017]]+Tabel6689262829[[#This Row],[VAT WW 2017]]+Tabel6689262829[[#This Row],[Other ch. 2017]]+Tabel6689262829[[#This Row],[VAT Other ch. 2017]]</f>
        <v>289.69548527852959</v>
      </c>
      <c r="T186" s="397"/>
      <c r="U186" s="1763"/>
      <c r="V186" s="2129"/>
      <c r="W186" s="1769"/>
      <c r="X186" s="1772"/>
      <c r="Y186" s="1775"/>
      <c r="Z186" s="1778"/>
      <c r="AA186" s="1772"/>
      <c r="AB186" s="1781"/>
      <c r="AC186" s="1772"/>
      <c r="AD186" s="1785"/>
      <c r="AE186" s="1772"/>
      <c r="AF186" s="2137"/>
      <c r="AG186" s="1990"/>
      <c r="AH186" s="397"/>
      <c r="AI186" s="591" t="s">
        <v>429</v>
      </c>
      <c r="AJ186" s="591" t="s">
        <v>429</v>
      </c>
      <c r="AK186" s="591"/>
      <c r="AL186" s="591"/>
      <c r="AM186" s="591"/>
      <c r="AN186" s="591" t="s">
        <v>429</v>
      </c>
      <c r="AO186" s="398"/>
      <c r="AP186" s="397"/>
    </row>
    <row r="187" spans="1:42" ht="15.75" customHeight="1" x14ac:dyDescent="0.25">
      <c r="A187" s="1757"/>
      <c r="B187" s="630" t="s">
        <v>190</v>
      </c>
      <c r="C187" s="754"/>
      <c r="D187" s="754" t="s">
        <v>1118</v>
      </c>
      <c r="E187" s="1880"/>
      <c r="F187" s="616">
        <f>'exchange rates'!$O$50</f>
        <v>3.8868399999999999</v>
      </c>
      <c r="G187" s="549">
        <v>0</v>
      </c>
      <c r="H187" s="550">
        <f>744/F187</f>
        <v>191.41513414496094</v>
      </c>
      <c r="I187" s="551">
        <v>0</v>
      </c>
      <c r="J187" s="560">
        <f>66.96/F187</f>
        <v>17.227362073046486</v>
      </c>
      <c r="K187" s="566">
        <f>Tabel6689262829[[#This Row],[Fix.ch. 2017]]+Tabel6689262829[[#This Row],[Var. ch. 2017]]+Tabel6689262829[[#This Row],[Oth. ch. DW 2017]]+Tabel6689262829[[#This Row],[VAT DW 2017]]</f>
        <v>208.64249621800744</v>
      </c>
      <c r="L187" s="567">
        <v>0</v>
      </c>
      <c r="M187" s="560">
        <v>0</v>
      </c>
      <c r="N187" s="568">
        <f>514/F187</f>
        <v>132.2411007399327</v>
      </c>
      <c r="O187" s="560">
        <f>97.66/F187</f>
        <v>25.125809140587211</v>
      </c>
      <c r="P187" s="569">
        <v>0</v>
      </c>
      <c r="Q187" s="560">
        <v>0</v>
      </c>
      <c r="R187" s="570">
        <f>Tabel6689262829[[#This Row],[VAT DW 2017]]+Tabel6689262829[[#This Row],[VAT Sew. 2017]]+Tabel6689262829[[#This Row],[VAT WW 2017]]+Tabel6689262829[[#This Row],[VAT Other ch. 2017]]</f>
        <v>42.353171213633701</v>
      </c>
      <c r="S187" s="571">
        <f>Tabel6689262829[[#This Row],[Total. ch. DW 2017]]+Tabel6689262829[[#This Row],[Sew. 2017]]+Tabel6689262829[[#This Row],[VAT Sew. 2017]]+Tabel6689262829[[#This Row],[WW 2017]]+Tabel6689262829[[#This Row],[VAT WW 2017]]+Tabel6689262829[[#This Row],[Other ch. 2017]]+Tabel6689262829[[#This Row],[VAT Other ch. 2017]]</f>
        <v>366.00940609852734</v>
      </c>
      <c r="T187" s="397"/>
      <c r="U187" s="1763"/>
      <c r="V187" s="2129"/>
      <c r="W187" s="1769"/>
      <c r="X187" s="1772"/>
      <c r="Y187" s="1775"/>
      <c r="Z187" s="1778"/>
      <c r="AA187" s="1772"/>
      <c r="AB187" s="1781"/>
      <c r="AC187" s="1772"/>
      <c r="AD187" s="1785"/>
      <c r="AE187" s="1772"/>
      <c r="AF187" s="2137"/>
      <c r="AG187" s="1990"/>
      <c r="AH187" s="397"/>
      <c r="AI187" s="591" t="s">
        <v>429</v>
      </c>
      <c r="AJ187" s="591" t="s">
        <v>429</v>
      </c>
      <c r="AK187" s="591"/>
      <c r="AL187" s="591"/>
      <c r="AM187" s="591"/>
      <c r="AN187" s="591" t="s">
        <v>429</v>
      </c>
      <c r="AO187" s="398"/>
      <c r="AP187" s="397"/>
    </row>
    <row r="188" spans="1:42" ht="15.75" customHeight="1" x14ac:dyDescent="0.25">
      <c r="A188" s="1757"/>
      <c r="B188" s="631" t="s">
        <v>191</v>
      </c>
      <c r="C188" s="754"/>
      <c r="D188" s="754" t="s">
        <v>1118</v>
      </c>
      <c r="E188" s="1880"/>
      <c r="F188" s="616">
        <f>'exchange rates'!$O$50</f>
        <v>3.8868399999999999</v>
      </c>
      <c r="G188" s="549">
        <v>0</v>
      </c>
      <c r="H188" s="550">
        <f>570/F188</f>
        <v>146.64869148202655</v>
      </c>
      <c r="I188" s="551">
        <v>0</v>
      </c>
      <c r="J188" s="560">
        <f>51.3/F188</f>
        <v>13.198382233382388</v>
      </c>
      <c r="K188" s="566">
        <f>Tabel6689262829[[#This Row],[Fix.ch. 2017]]+Tabel6689262829[[#This Row],[Var. ch. 2017]]+Tabel6689262829[[#This Row],[Oth. ch. DW 2017]]+Tabel6689262829[[#This Row],[VAT DW 2017]]</f>
        <v>159.84707371540892</v>
      </c>
      <c r="L188" s="567">
        <v>0</v>
      </c>
      <c r="M188" s="560">
        <v>0</v>
      </c>
      <c r="N188" s="568">
        <f>568/F188</f>
        <v>146.1341346698089</v>
      </c>
      <c r="O188" s="560">
        <f>107.92/F188</f>
        <v>27.76548558726369</v>
      </c>
      <c r="P188" s="569">
        <v>0</v>
      </c>
      <c r="Q188" s="560">
        <v>0</v>
      </c>
      <c r="R188" s="570">
        <f>Tabel6689262829[[#This Row],[VAT DW 2017]]+Tabel6689262829[[#This Row],[VAT Sew. 2017]]+Tabel6689262829[[#This Row],[VAT WW 2017]]+Tabel6689262829[[#This Row],[VAT Other ch. 2017]]</f>
        <v>40.96386782064608</v>
      </c>
      <c r="S188" s="571">
        <f>Tabel6689262829[[#This Row],[Total. ch. DW 2017]]+Tabel6689262829[[#This Row],[Sew. 2017]]+Tabel6689262829[[#This Row],[VAT Sew. 2017]]+Tabel6689262829[[#This Row],[WW 2017]]+Tabel6689262829[[#This Row],[VAT WW 2017]]+Tabel6689262829[[#This Row],[Other ch. 2017]]+Tabel6689262829[[#This Row],[VAT Other ch. 2017]]</f>
        <v>333.74669397248152</v>
      </c>
      <c r="T188" s="397"/>
      <c r="U188" s="1763"/>
      <c r="V188" s="2129"/>
      <c r="W188" s="1769"/>
      <c r="X188" s="1772"/>
      <c r="Y188" s="1775"/>
      <c r="Z188" s="1778"/>
      <c r="AA188" s="1772"/>
      <c r="AB188" s="1781"/>
      <c r="AC188" s="1772"/>
      <c r="AD188" s="1785"/>
      <c r="AE188" s="1772"/>
      <c r="AF188" s="2137"/>
      <c r="AG188" s="1990"/>
      <c r="AH188" s="397"/>
      <c r="AI188" s="591" t="s">
        <v>429</v>
      </c>
      <c r="AJ188" s="591" t="s">
        <v>429</v>
      </c>
      <c r="AK188" s="591"/>
      <c r="AL188" s="591"/>
      <c r="AM188" s="591"/>
      <c r="AN188" s="591" t="s">
        <v>429</v>
      </c>
      <c r="AO188" s="398"/>
      <c r="AP188" s="397"/>
    </row>
    <row r="189" spans="1:42" ht="15.75" customHeight="1" x14ac:dyDescent="0.25">
      <c r="A189" s="1757"/>
      <c r="B189" s="631" t="s">
        <v>218</v>
      </c>
      <c r="C189" s="754"/>
      <c r="D189" s="754" t="s">
        <v>1118</v>
      </c>
      <c r="E189" s="1880"/>
      <c r="F189" s="616">
        <f>'exchange rates'!$O$50</f>
        <v>3.8868399999999999</v>
      </c>
      <c r="G189" s="549">
        <v>0</v>
      </c>
      <c r="H189" s="550">
        <f>804/F189</f>
        <v>206.85183851149006</v>
      </c>
      <c r="I189" s="551">
        <v>0</v>
      </c>
      <c r="J189" s="560">
        <f>72.36/F189</f>
        <v>18.616665466034107</v>
      </c>
      <c r="K189" s="566">
        <f>Tabel6689262829[[#This Row],[Fix.ch. 2017]]+Tabel6689262829[[#This Row],[Var. ch. 2017]]+Tabel6689262829[[#This Row],[Oth. ch. DW 2017]]+Tabel6689262829[[#This Row],[VAT DW 2017]]</f>
        <v>225.46850397752416</v>
      </c>
      <c r="L189" s="567">
        <v>0</v>
      </c>
      <c r="M189" s="560">
        <v>0</v>
      </c>
      <c r="N189" s="568">
        <f>484/F189</f>
        <v>124.52274855666815</v>
      </c>
      <c r="O189" s="560">
        <f>91.96/F189</f>
        <v>23.659322225766946</v>
      </c>
      <c r="P189" s="569">
        <v>0</v>
      </c>
      <c r="Q189" s="560">
        <v>0</v>
      </c>
      <c r="R189" s="570">
        <f>Tabel6689262829[[#This Row],[VAT DW 2017]]+Tabel6689262829[[#This Row],[VAT Sew. 2017]]+Tabel6689262829[[#This Row],[VAT WW 2017]]+Tabel6689262829[[#This Row],[VAT Other ch. 2017]]</f>
        <v>42.275987691801049</v>
      </c>
      <c r="S189" s="571">
        <f>Tabel6689262829[[#This Row],[Total. ch. DW 2017]]+Tabel6689262829[[#This Row],[Sew. 2017]]+Tabel6689262829[[#This Row],[VAT Sew. 2017]]+Tabel6689262829[[#This Row],[WW 2017]]+Tabel6689262829[[#This Row],[VAT WW 2017]]+Tabel6689262829[[#This Row],[Other ch. 2017]]+Tabel6689262829[[#This Row],[VAT Other ch. 2017]]</f>
        <v>373.65057475995928</v>
      </c>
      <c r="T189" s="397"/>
      <c r="U189" s="1763"/>
      <c r="V189" s="2129"/>
      <c r="W189" s="1769"/>
      <c r="X189" s="1772"/>
      <c r="Y189" s="1775"/>
      <c r="Z189" s="1778"/>
      <c r="AA189" s="1772"/>
      <c r="AB189" s="1781"/>
      <c r="AC189" s="1772"/>
      <c r="AD189" s="1785"/>
      <c r="AE189" s="1772"/>
      <c r="AF189" s="2137"/>
      <c r="AG189" s="1990"/>
      <c r="AH189" s="397"/>
      <c r="AI189" s="591" t="s">
        <v>429</v>
      </c>
      <c r="AJ189" s="591" t="s">
        <v>429</v>
      </c>
      <c r="AK189" s="591"/>
      <c r="AL189" s="591"/>
      <c r="AM189" s="591"/>
      <c r="AN189" s="591" t="s">
        <v>429</v>
      </c>
      <c r="AO189" s="398"/>
      <c r="AP189" s="397"/>
    </row>
    <row r="190" spans="1:42" ht="16.5" customHeight="1" x14ac:dyDescent="0.25">
      <c r="A190" s="1757"/>
      <c r="B190" s="632" t="s">
        <v>219</v>
      </c>
      <c r="C190" s="925"/>
      <c r="D190" s="754" t="s">
        <v>1118</v>
      </c>
      <c r="E190" s="1880"/>
      <c r="F190" s="616">
        <f>'exchange rates'!$O$50</f>
        <v>3.8868399999999999</v>
      </c>
      <c r="G190" s="549">
        <v>0</v>
      </c>
      <c r="H190" s="550">
        <f>616/F190</f>
        <v>158.48349816303218</v>
      </c>
      <c r="I190" s="551">
        <v>0</v>
      </c>
      <c r="J190" s="560">
        <f>55.44/F190</f>
        <v>14.263514834672897</v>
      </c>
      <c r="K190" s="566">
        <f>Tabel6689262829[[#This Row],[Fix.ch. 2017]]+Tabel6689262829[[#This Row],[Var. ch. 2017]]+Tabel6689262829[[#This Row],[Oth. ch. DW 2017]]+Tabel6689262829[[#This Row],[VAT DW 2017]]</f>
        <v>172.74701299770507</v>
      </c>
      <c r="L190" s="567">
        <v>0</v>
      </c>
      <c r="M190" s="560">
        <v>0</v>
      </c>
      <c r="N190" s="568">
        <f>426/F190</f>
        <v>109.60060100235667</v>
      </c>
      <c r="O190" s="560">
        <f>80.94/F190</f>
        <v>20.824114190447766</v>
      </c>
      <c r="P190" s="569">
        <v>0</v>
      </c>
      <c r="Q190" s="560">
        <v>0</v>
      </c>
      <c r="R190" s="570">
        <f>Tabel6689262829[[#This Row],[VAT DW 2017]]+Tabel6689262829[[#This Row],[VAT Sew. 2017]]+Tabel6689262829[[#This Row],[VAT WW 2017]]+Tabel6689262829[[#This Row],[VAT Other ch. 2017]]</f>
        <v>35.087629025120663</v>
      </c>
      <c r="S190" s="571">
        <f>Tabel6689262829[[#This Row],[Total. ch. DW 2017]]+Tabel6689262829[[#This Row],[Sew. 2017]]+Tabel6689262829[[#This Row],[VAT Sew. 2017]]+Tabel6689262829[[#This Row],[WW 2017]]+Tabel6689262829[[#This Row],[VAT WW 2017]]+Tabel6689262829[[#This Row],[Other ch. 2017]]+Tabel6689262829[[#This Row],[VAT Other ch. 2017]]</f>
        <v>303.1717281905095</v>
      </c>
      <c r="T190" s="397"/>
      <c r="U190" s="1763"/>
      <c r="V190" s="2129"/>
      <c r="W190" s="1769"/>
      <c r="X190" s="1772"/>
      <c r="Y190" s="1775"/>
      <c r="Z190" s="1778"/>
      <c r="AA190" s="1772"/>
      <c r="AB190" s="1781"/>
      <c r="AC190" s="1772"/>
      <c r="AD190" s="1785"/>
      <c r="AE190" s="1772"/>
      <c r="AF190" s="2137"/>
      <c r="AG190" s="1990"/>
      <c r="AH190" s="397"/>
      <c r="AI190" s="591" t="s">
        <v>429</v>
      </c>
      <c r="AJ190" s="591" t="s">
        <v>429</v>
      </c>
      <c r="AK190" s="591"/>
      <c r="AL190" s="591"/>
      <c r="AM190" s="591"/>
      <c r="AN190" s="591" t="s">
        <v>429</v>
      </c>
      <c r="AO190" s="398"/>
      <c r="AP190" s="397"/>
    </row>
    <row r="191" spans="1:42" ht="15.75" customHeight="1" x14ac:dyDescent="0.25">
      <c r="A191" s="1757"/>
      <c r="B191" s="632" t="s">
        <v>513</v>
      </c>
      <c r="C191" s="925"/>
      <c r="D191" s="754" t="s">
        <v>1118</v>
      </c>
      <c r="E191" s="1880"/>
      <c r="F191" s="616">
        <f>'exchange rates'!$O$50</f>
        <v>3.8868399999999999</v>
      </c>
      <c r="G191" s="549">
        <v>0</v>
      </c>
      <c r="H191" s="550">
        <f>818/F191</f>
        <v>210.45373619701351</v>
      </c>
      <c r="I191" s="551">
        <v>0</v>
      </c>
      <c r="J191" s="560">
        <f>73.62/F191</f>
        <v>18.940836257731217</v>
      </c>
      <c r="K191" s="566">
        <f>Tabel6689262829[[#This Row],[Fix.ch. 2017]]+Tabel6689262829[[#This Row],[Var. ch. 2017]]+Tabel6689262829[[#This Row],[Oth. ch. DW 2017]]+Tabel6689262829[[#This Row],[VAT DW 2017]]</f>
        <v>229.39457245474472</v>
      </c>
      <c r="L191" s="567">
        <v>0</v>
      </c>
      <c r="M191" s="560">
        <v>0</v>
      </c>
      <c r="N191" s="568">
        <f>726/F191</f>
        <v>186.78412283500222</v>
      </c>
      <c r="O191" s="560">
        <f>137.94/F191</f>
        <v>35.488983338650421</v>
      </c>
      <c r="P191" s="569">
        <v>0</v>
      </c>
      <c r="Q191" s="560">
        <v>0</v>
      </c>
      <c r="R191" s="570">
        <f>Tabel6689262829[[#This Row],[VAT DW 2017]]+Tabel6689262829[[#This Row],[VAT Sew. 2017]]+Tabel6689262829[[#This Row],[VAT WW 2017]]+Tabel6689262829[[#This Row],[VAT Other ch. 2017]]</f>
        <v>54.429819596381634</v>
      </c>
      <c r="S191" s="571">
        <f>Tabel6689262829[[#This Row],[Total. ch. DW 2017]]+Tabel6689262829[[#This Row],[Sew. 2017]]+Tabel6689262829[[#This Row],[VAT Sew. 2017]]+Tabel6689262829[[#This Row],[WW 2017]]+Tabel6689262829[[#This Row],[VAT WW 2017]]+Tabel6689262829[[#This Row],[Other ch. 2017]]+Tabel6689262829[[#This Row],[VAT Other ch. 2017]]</f>
        <v>451.66767862839737</v>
      </c>
      <c r="T191" s="397"/>
      <c r="U191" s="1763"/>
      <c r="V191" s="2129"/>
      <c r="W191" s="1769"/>
      <c r="X191" s="1772"/>
      <c r="Y191" s="1775"/>
      <c r="Z191" s="1778"/>
      <c r="AA191" s="1772"/>
      <c r="AB191" s="1781"/>
      <c r="AC191" s="1772"/>
      <c r="AD191" s="1785"/>
      <c r="AE191" s="1772"/>
      <c r="AF191" s="2137"/>
      <c r="AG191" s="1990"/>
      <c r="AH191" s="397"/>
      <c r="AI191" s="591" t="s">
        <v>429</v>
      </c>
      <c r="AJ191" s="591" t="s">
        <v>429</v>
      </c>
      <c r="AK191" s="591"/>
      <c r="AL191" s="591"/>
      <c r="AM191" s="591"/>
      <c r="AN191" s="591" t="s">
        <v>429</v>
      </c>
      <c r="AO191" s="398"/>
      <c r="AP191" s="397"/>
    </row>
    <row r="192" spans="1:42" ht="15.75" customHeight="1" x14ac:dyDescent="0.25">
      <c r="A192" s="1757"/>
      <c r="B192" s="632" t="s">
        <v>514</v>
      </c>
      <c r="C192" s="925"/>
      <c r="D192" s="754" t="s">
        <v>1118</v>
      </c>
      <c r="E192" s="1880"/>
      <c r="F192" s="616">
        <f>'exchange rates'!$O$50</f>
        <v>3.8868399999999999</v>
      </c>
      <c r="G192" s="549">
        <v>0</v>
      </c>
      <c r="H192" s="550">
        <f>640/F192</f>
        <v>164.65817990964382</v>
      </c>
      <c r="I192" s="551">
        <v>0</v>
      </c>
      <c r="J192" s="560">
        <f>57.6/F192</f>
        <v>14.819236191867946</v>
      </c>
      <c r="K192" s="566">
        <f>Tabel6689262829[[#This Row],[Fix.ch. 2017]]+Tabel6689262829[[#This Row],[Var. ch. 2017]]+Tabel6689262829[[#This Row],[Oth. ch. DW 2017]]+Tabel6689262829[[#This Row],[VAT DW 2017]]</f>
        <v>179.47741610151178</v>
      </c>
      <c r="L192" s="567">
        <v>0</v>
      </c>
      <c r="M192" s="560">
        <v>0</v>
      </c>
      <c r="N192" s="568">
        <f>642/F192</f>
        <v>165.17273672186147</v>
      </c>
      <c r="O192" s="560">
        <f>121.98/F192</f>
        <v>31.38281997715368</v>
      </c>
      <c r="P192" s="569">
        <v>0</v>
      </c>
      <c r="Q192" s="560">
        <v>0</v>
      </c>
      <c r="R192" s="570">
        <f>Tabel6689262829[[#This Row],[VAT DW 2017]]+Tabel6689262829[[#This Row],[VAT Sew. 2017]]+Tabel6689262829[[#This Row],[VAT WW 2017]]+Tabel6689262829[[#This Row],[VAT Other ch. 2017]]</f>
        <v>46.202056169021624</v>
      </c>
      <c r="S192" s="571">
        <f>Tabel6689262829[[#This Row],[Total. ch. DW 2017]]+Tabel6689262829[[#This Row],[Sew. 2017]]+Tabel6689262829[[#This Row],[VAT Sew. 2017]]+Tabel6689262829[[#This Row],[WW 2017]]+Tabel6689262829[[#This Row],[VAT WW 2017]]+Tabel6689262829[[#This Row],[Other ch. 2017]]+Tabel6689262829[[#This Row],[VAT Other ch. 2017]]</f>
        <v>376.03297280052692</v>
      </c>
      <c r="T192" s="397"/>
      <c r="U192" s="1763"/>
      <c r="V192" s="2129"/>
      <c r="W192" s="1769"/>
      <c r="X192" s="1772"/>
      <c r="Y192" s="1775"/>
      <c r="Z192" s="1778"/>
      <c r="AA192" s="1772"/>
      <c r="AB192" s="1781"/>
      <c r="AC192" s="1772"/>
      <c r="AD192" s="1785"/>
      <c r="AE192" s="1772"/>
      <c r="AF192" s="2137"/>
      <c r="AG192" s="1990"/>
      <c r="AH192" s="397"/>
      <c r="AI192" s="591" t="s">
        <v>429</v>
      </c>
      <c r="AJ192" s="591" t="s">
        <v>429</v>
      </c>
      <c r="AK192" s="591"/>
      <c r="AL192" s="591"/>
      <c r="AM192" s="591"/>
      <c r="AN192" s="591" t="s">
        <v>429</v>
      </c>
      <c r="AO192" s="398"/>
      <c r="AP192" s="397"/>
    </row>
    <row r="193" spans="1:42" ht="15.75" customHeight="1" x14ac:dyDescent="0.25">
      <c r="A193" s="1757"/>
      <c r="B193" s="632" t="s">
        <v>515</v>
      </c>
      <c r="C193" s="925"/>
      <c r="D193" s="754" t="s">
        <v>1118</v>
      </c>
      <c r="E193" s="1880"/>
      <c r="F193" s="616">
        <f>'exchange rates'!$O$50</f>
        <v>3.8868399999999999</v>
      </c>
      <c r="G193" s="549">
        <v>0</v>
      </c>
      <c r="H193" s="550">
        <f>742/F193</f>
        <v>190.90057733274332</v>
      </c>
      <c r="I193" s="551">
        <v>0</v>
      </c>
      <c r="J193" s="560">
        <f>66.78/F193</f>
        <v>17.181051959946899</v>
      </c>
      <c r="K193" s="566">
        <f>Tabel6689262829[[#This Row],[Fix.ch. 2017]]+Tabel6689262829[[#This Row],[Var. ch. 2017]]+Tabel6689262829[[#This Row],[Oth. ch. DW 2017]]+Tabel6689262829[[#This Row],[VAT DW 2017]]</f>
        <v>208.08162929269022</v>
      </c>
      <c r="L193" s="567">
        <v>0</v>
      </c>
      <c r="M193" s="560">
        <v>0</v>
      </c>
      <c r="N193" s="568">
        <f>552/F193</f>
        <v>142.0176801720678</v>
      </c>
      <c r="O193" s="560">
        <f>104.88/F193</f>
        <v>26.98335923269288</v>
      </c>
      <c r="P193" s="569">
        <v>0</v>
      </c>
      <c r="Q193" s="560">
        <v>0</v>
      </c>
      <c r="R193" s="570">
        <f>Tabel6689262829[[#This Row],[VAT DW 2017]]+Tabel6689262829[[#This Row],[VAT Sew. 2017]]+Tabel6689262829[[#This Row],[VAT WW 2017]]+Tabel6689262829[[#This Row],[VAT Other ch. 2017]]</f>
        <v>44.164411192639776</v>
      </c>
      <c r="S193" s="571">
        <f>Tabel6689262829[[#This Row],[Total. ch. DW 2017]]+Tabel6689262829[[#This Row],[Sew. 2017]]+Tabel6689262829[[#This Row],[VAT Sew. 2017]]+Tabel6689262829[[#This Row],[WW 2017]]+Tabel6689262829[[#This Row],[VAT WW 2017]]+Tabel6689262829[[#This Row],[Other ch. 2017]]+Tabel6689262829[[#This Row],[VAT Other ch. 2017]]</f>
        <v>377.08266869745086</v>
      </c>
      <c r="T193" s="397"/>
      <c r="U193" s="1763"/>
      <c r="V193" s="2129"/>
      <c r="W193" s="1769"/>
      <c r="X193" s="1772"/>
      <c r="Y193" s="1775"/>
      <c r="Z193" s="1778"/>
      <c r="AA193" s="1772"/>
      <c r="AB193" s="1781"/>
      <c r="AC193" s="1772"/>
      <c r="AD193" s="1785"/>
      <c r="AE193" s="1772"/>
      <c r="AF193" s="2137"/>
      <c r="AG193" s="1990"/>
      <c r="AH193" s="397"/>
      <c r="AI193" s="591" t="s">
        <v>429</v>
      </c>
      <c r="AJ193" s="591" t="s">
        <v>429</v>
      </c>
      <c r="AK193" s="591"/>
      <c r="AL193" s="591"/>
      <c r="AM193" s="591"/>
      <c r="AN193" s="591" t="s">
        <v>429</v>
      </c>
      <c r="AO193" s="398"/>
      <c r="AP193" s="397"/>
    </row>
    <row r="194" spans="1:42" ht="15.75" customHeight="1" x14ac:dyDescent="0.25">
      <c r="A194" s="1757"/>
      <c r="B194" s="632" t="s">
        <v>516</v>
      </c>
      <c r="C194" s="925"/>
      <c r="D194" s="754" t="s">
        <v>1118</v>
      </c>
      <c r="E194" s="1880"/>
      <c r="F194" s="616">
        <f>'exchange rates'!$O$50</f>
        <v>3.8868399999999999</v>
      </c>
      <c r="G194" s="549">
        <v>0</v>
      </c>
      <c r="H194" s="550">
        <f>928/F194</f>
        <v>238.75436086898355</v>
      </c>
      <c r="I194" s="551">
        <v>0</v>
      </c>
      <c r="J194" s="560">
        <f>83.52/F194</f>
        <v>21.487892478208519</v>
      </c>
      <c r="K194" s="566">
        <f>Tabel6689262829[[#This Row],[Fix.ch. 2017]]+Tabel6689262829[[#This Row],[Var. ch. 2017]]+Tabel6689262829[[#This Row],[Oth. ch. DW 2017]]+Tabel6689262829[[#This Row],[VAT DW 2017]]</f>
        <v>260.24225334719205</v>
      </c>
      <c r="L194" s="567">
        <v>0</v>
      </c>
      <c r="M194" s="560">
        <v>0</v>
      </c>
      <c r="N194" s="568">
        <f>520/F194</f>
        <v>133.78477117658562</v>
      </c>
      <c r="O194" s="560">
        <f>98.8/F194</f>
        <v>25.419106523551264</v>
      </c>
      <c r="P194" s="569">
        <v>0</v>
      </c>
      <c r="Q194" s="560">
        <v>0</v>
      </c>
      <c r="R194" s="570">
        <f>Tabel6689262829[[#This Row],[VAT DW 2017]]+Tabel6689262829[[#This Row],[VAT Sew. 2017]]+Tabel6689262829[[#This Row],[VAT WW 2017]]+Tabel6689262829[[#This Row],[VAT Other ch. 2017]]</f>
        <v>46.906999001759786</v>
      </c>
      <c r="S194" s="571">
        <f>Tabel6689262829[[#This Row],[Total. ch. DW 2017]]+Tabel6689262829[[#This Row],[Sew. 2017]]+Tabel6689262829[[#This Row],[VAT Sew. 2017]]+Tabel6689262829[[#This Row],[WW 2017]]+Tabel6689262829[[#This Row],[VAT WW 2017]]+Tabel6689262829[[#This Row],[Other ch. 2017]]+Tabel6689262829[[#This Row],[VAT Other ch. 2017]]</f>
        <v>419.44613104732889</v>
      </c>
      <c r="T194" s="397"/>
      <c r="U194" s="1763"/>
      <c r="V194" s="2129"/>
      <c r="W194" s="1769"/>
      <c r="X194" s="1772"/>
      <c r="Y194" s="1775"/>
      <c r="Z194" s="1778"/>
      <c r="AA194" s="1772"/>
      <c r="AB194" s="1781"/>
      <c r="AC194" s="1772"/>
      <c r="AD194" s="1785"/>
      <c r="AE194" s="1772"/>
      <c r="AF194" s="2137"/>
      <c r="AG194" s="1990"/>
      <c r="AH194" s="397"/>
      <c r="AI194" s="591" t="s">
        <v>429</v>
      </c>
      <c r="AJ194" s="591" t="s">
        <v>429</v>
      </c>
      <c r="AK194" s="591"/>
      <c r="AL194" s="591"/>
      <c r="AM194" s="591"/>
      <c r="AN194" s="591" t="s">
        <v>429</v>
      </c>
      <c r="AO194" s="398"/>
      <c r="AP194" s="397"/>
    </row>
    <row r="195" spans="1:42" ht="15.75" customHeight="1" x14ac:dyDescent="0.25">
      <c r="A195" s="1757"/>
      <c r="B195" s="632" t="s">
        <v>875</v>
      </c>
      <c r="C195" s="925"/>
      <c r="D195" s="754" t="s">
        <v>1118</v>
      </c>
      <c r="E195" s="1880"/>
      <c r="F195" s="616">
        <f>'exchange rates'!$O$50</f>
        <v>3.8868399999999999</v>
      </c>
      <c r="G195" s="549">
        <v>0</v>
      </c>
      <c r="H195" s="550">
        <f>700/F195</f>
        <v>180.09488427617293</v>
      </c>
      <c r="I195" s="551">
        <v>0</v>
      </c>
      <c r="J195" s="560">
        <f>63/F195</f>
        <v>16.208539584855565</v>
      </c>
      <c r="K195" s="566">
        <f>Tabel6689262829[[#This Row],[Fix.ch. 2017]]+Tabel6689262829[[#This Row],[Var. ch. 2017]]+Tabel6689262829[[#This Row],[Oth. ch. DW 2017]]+Tabel6689262829[[#This Row],[VAT DW 2017]]</f>
        <v>196.30342386102851</v>
      </c>
      <c r="L195" s="567">
        <v>0</v>
      </c>
      <c r="M195" s="560">
        <v>0</v>
      </c>
      <c r="N195" s="568">
        <f>594/F195</f>
        <v>152.82337322863819</v>
      </c>
      <c r="O195" s="560">
        <f>112.86/F195</f>
        <v>29.036440913441254</v>
      </c>
      <c r="P195" s="569">
        <v>0</v>
      </c>
      <c r="Q195" s="560">
        <v>0</v>
      </c>
      <c r="R195" s="570">
        <f>Tabel6689262829[[#This Row],[VAT DW 2017]]+Tabel6689262829[[#This Row],[VAT Sew. 2017]]+Tabel6689262829[[#This Row],[VAT WW 2017]]+Tabel6689262829[[#This Row],[VAT Other ch. 2017]]</f>
        <v>45.244980498296819</v>
      </c>
      <c r="S195" s="571">
        <f>Tabel6689262829[[#This Row],[Total. ch. DW 2017]]+Tabel6689262829[[#This Row],[Sew. 2017]]+Tabel6689262829[[#This Row],[VAT Sew. 2017]]+Tabel6689262829[[#This Row],[WW 2017]]+Tabel6689262829[[#This Row],[VAT WW 2017]]+Tabel6689262829[[#This Row],[Other ch. 2017]]+Tabel6689262829[[#This Row],[VAT Other ch. 2017]]</f>
        <v>378.16323800310795</v>
      </c>
      <c r="T195" s="397"/>
      <c r="U195" s="1763"/>
      <c r="V195" s="2129"/>
      <c r="W195" s="1769"/>
      <c r="X195" s="1772"/>
      <c r="Y195" s="1775"/>
      <c r="Z195" s="1778"/>
      <c r="AA195" s="1772"/>
      <c r="AB195" s="1781"/>
      <c r="AC195" s="1772"/>
      <c r="AD195" s="1785"/>
      <c r="AE195" s="1772"/>
      <c r="AF195" s="2137"/>
      <c r="AG195" s="1990"/>
      <c r="AH195" s="397"/>
      <c r="AI195" s="591" t="s">
        <v>429</v>
      </c>
      <c r="AJ195" s="591" t="s">
        <v>429</v>
      </c>
      <c r="AK195" s="591"/>
      <c r="AL195" s="591"/>
      <c r="AM195" s="591"/>
      <c r="AN195" s="591" t="s">
        <v>429</v>
      </c>
      <c r="AO195" s="398"/>
      <c r="AP195" s="397"/>
    </row>
    <row r="196" spans="1:42" ht="15.75" customHeight="1" x14ac:dyDescent="0.25">
      <c r="A196" s="1757"/>
      <c r="B196" s="632" t="s">
        <v>517</v>
      </c>
      <c r="C196" s="925"/>
      <c r="D196" s="754" t="s">
        <v>1118</v>
      </c>
      <c r="E196" s="1880"/>
      <c r="F196" s="616">
        <f>'exchange rates'!$O$50</f>
        <v>3.8868399999999999</v>
      </c>
      <c r="G196" s="549">
        <v>0</v>
      </c>
      <c r="H196" s="550">
        <f>688/F196</f>
        <v>177.00754340286713</v>
      </c>
      <c r="I196" s="551">
        <v>0</v>
      </c>
      <c r="J196" s="560">
        <f>61.92/F196</f>
        <v>15.930678906258041</v>
      </c>
      <c r="K196" s="566">
        <f>Tabel6689262829[[#This Row],[Fix.ch. 2017]]+Tabel6689262829[[#This Row],[Var. ch. 2017]]+Tabel6689262829[[#This Row],[Oth. ch. DW 2017]]+Tabel6689262829[[#This Row],[VAT DW 2017]]</f>
        <v>192.93822230912517</v>
      </c>
      <c r="L196" s="567">
        <v>0</v>
      </c>
      <c r="M196" s="560">
        <v>0</v>
      </c>
      <c r="N196" s="568">
        <f>598/F196</f>
        <v>153.85248685307346</v>
      </c>
      <c r="O196" s="560">
        <f>113.62/F196</f>
        <v>29.231972502083959</v>
      </c>
      <c r="P196" s="569">
        <v>0</v>
      </c>
      <c r="Q196" s="560">
        <v>0</v>
      </c>
      <c r="R196" s="570">
        <f>Tabel6689262829[[#This Row],[VAT DW 2017]]+Tabel6689262829[[#This Row],[VAT Sew. 2017]]+Tabel6689262829[[#This Row],[VAT WW 2017]]+Tabel6689262829[[#This Row],[VAT Other ch. 2017]]</f>
        <v>45.162651408342001</v>
      </c>
      <c r="S196" s="571">
        <f>Tabel6689262829[[#This Row],[Total. ch. DW 2017]]+Tabel6689262829[[#This Row],[Sew. 2017]]+Tabel6689262829[[#This Row],[VAT Sew. 2017]]+Tabel6689262829[[#This Row],[WW 2017]]+Tabel6689262829[[#This Row],[VAT WW 2017]]+Tabel6689262829[[#This Row],[Other ch. 2017]]+Tabel6689262829[[#This Row],[VAT Other ch. 2017]]</f>
        <v>376.02268166428257</v>
      </c>
      <c r="T196" s="397"/>
      <c r="U196" s="1763"/>
      <c r="V196" s="2129"/>
      <c r="W196" s="1769"/>
      <c r="X196" s="1772"/>
      <c r="Y196" s="1775"/>
      <c r="Z196" s="1778"/>
      <c r="AA196" s="1772"/>
      <c r="AB196" s="1781"/>
      <c r="AC196" s="1772"/>
      <c r="AD196" s="1785"/>
      <c r="AE196" s="1772"/>
      <c r="AF196" s="2137"/>
      <c r="AG196" s="1990"/>
      <c r="AH196" s="397"/>
      <c r="AI196" s="591" t="s">
        <v>429</v>
      </c>
      <c r="AJ196" s="591" t="s">
        <v>429</v>
      </c>
      <c r="AK196" s="591"/>
      <c r="AL196" s="591"/>
      <c r="AM196" s="591"/>
      <c r="AN196" s="591" t="s">
        <v>429</v>
      </c>
      <c r="AO196" s="398"/>
      <c r="AP196" s="397"/>
    </row>
    <row r="197" spans="1:42" ht="15.75" customHeight="1" x14ac:dyDescent="0.25">
      <c r="A197" s="1757"/>
      <c r="B197" s="456" t="s">
        <v>518</v>
      </c>
      <c r="C197" s="804"/>
      <c r="D197" s="804" t="s">
        <v>1118</v>
      </c>
      <c r="E197" s="1880"/>
      <c r="F197" s="616">
        <f>'exchange rates'!$O$50</f>
        <v>3.8868399999999999</v>
      </c>
      <c r="G197" s="319"/>
      <c r="H197" s="320"/>
      <c r="I197" s="321"/>
      <c r="J197" s="559"/>
      <c r="K197" s="313"/>
      <c r="L197" s="322"/>
      <c r="M197" s="559"/>
      <c r="N197" s="323"/>
      <c r="O197" s="559"/>
      <c r="P197" s="324"/>
      <c r="Q197" s="559"/>
      <c r="R197" s="317"/>
      <c r="S197" s="318"/>
      <c r="T197" s="397"/>
      <c r="U197" s="1763"/>
      <c r="V197" s="2129"/>
      <c r="W197" s="1769"/>
      <c r="X197" s="1772"/>
      <c r="Y197" s="1775"/>
      <c r="Z197" s="1778"/>
      <c r="AA197" s="1772"/>
      <c r="AB197" s="1781"/>
      <c r="AC197" s="1772"/>
      <c r="AD197" s="1785"/>
      <c r="AE197" s="1772"/>
      <c r="AF197" s="2137"/>
      <c r="AG197" s="1990"/>
      <c r="AH197" s="397"/>
      <c r="AI197" s="396"/>
      <c r="AJ197" s="396"/>
      <c r="AK197" s="398"/>
      <c r="AL197" s="398"/>
      <c r="AM197" s="398"/>
      <c r="AN197" s="396"/>
      <c r="AO197" s="398"/>
      <c r="AP197" s="397"/>
    </row>
    <row r="198" spans="1:42" ht="15.75" customHeight="1" x14ac:dyDescent="0.25">
      <c r="A198" s="1757"/>
      <c r="B198" s="456" t="s">
        <v>519</v>
      </c>
      <c r="C198" s="804"/>
      <c r="D198" s="804" t="s">
        <v>1118</v>
      </c>
      <c r="E198" s="1880"/>
      <c r="F198" s="616">
        <f>'exchange rates'!$O$50</f>
        <v>3.8868399999999999</v>
      </c>
      <c r="G198" s="319"/>
      <c r="H198" s="320"/>
      <c r="I198" s="321"/>
      <c r="J198" s="559"/>
      <c r="K198" s="313"/>
      <c r="L198" s="322"/>
      <c r="M198" s="559"/>
      <c r="N198" s="323"/>
      <c r="O198" s="559"/>
      <c r="P198" s="324"/>
      <c r="Q198" s="559"/>
      <c r="R198" s="317"/>
      <c r="S198" s="318"/>
      <c r="T198" s="397"/>
      <c r="U198" s="1763"/>
      <c r="V198" s="2129"/>
      <c r="W198" s="1769"/>
      <c r="X198" s="1772"/>
      <c r="Y198" s="1775"/>
      <c r="Z198" s="1778"/>
      <c r="AA198" s="1772"/>
      <c r="AB198" s="1781"/>
      <c r="AC198" s="1772"/>
      <c r="AD198" s="1785"/>
      <c r="AE198" s="1772"/>
      <c r="AF198" s="2137"/>
      <c r="AG198" s="1990"/>
      <c r="AH198" s="397"/>
      <c r="AI198" s="396"/>
      <c r="AJ198" s="396"/>
      <c r="AK198" s="398"/>
      <c r="AL198" s="398"/>
      <c r="AM198" s="398"/>
      <c r="AN198" s="396"/>
      <c r="AO198" s="398"/>
      <c r="AP198" s="397"/>
    </row>
    <row r="199" spans="1:42" ht="15.75" customHeight="1" x14ac:dyDescent="0.25">
      <c r="A199" s="1757"/>
      <c r="B199" s="456" t="s">
        <v>596</v>
      </c>
      <c r="C199" s="804"/>
      <c r="D199" s="804" t="s">
        <v>1118</v>
      </c>
      <c r="E199" s="1880"/>
      <c r="F199" s="616">
        <f>'exchange rates'!$O$50</f>
        <v>3.8868399999999999</v>
      </c>
      <c r="G199" s="319"/>
      <c r="H199" s="320"/>
      <c r="I199" s="321"/>
      <c r="J199" s="559"/>
      <c r="K199" s="313"/>
      <c r="L199" s="322"/>
      <c r="M199" s="559"/>
      <c r="N199" s="323"/>
      <c r="O199" s="559"/>
      <c r="P199" s="324"/>
      <c r="Q199" s="559"/>
      <c r="R199" s="317"/>
      <c r="S199" s="318"/>
      <c r="T199" s="397"/>
      <c r="U199" s="1763"/>
      <c r="V199" s="2129"/>
      <c r="W199" s="1769"/>
      <c r="X199" s="1772"/>
      <c r="Y199" s="1775"/>
      <c r="Z199" s="1778"/>
      <c r="AA199" s="1772"/>
      <c r="AB199" s="1781"/>
      <c r="AC199" s="1772"/>
      <c r="AD199" s="1785"/>
      <c r="AE199" s="1772"/>
      <c r="AF199" s="2137"/>
      <c r="AG199" s="1990"/>
      <c r="AH199" s="397"/>
      <c r="AI199" s="396"/>
      <c r="AJ199" s="396"/>
      <c r="AK199" s="398"/>
      <c r="AL199" s="398"/>
      <c r="AM199" s="398"/>
      <c r="AN199" s="396"/>
      <c r="AO199" s="398"/>
      <c r="AP199" s="397"/>
    </row>
    <row r="200" spans="1:42" ht="15.75" customHeight="1" x14ac:dyDescent="0.25">
      <c r="A200" s="1757"/>
      <c r="B200" s="632" t="s">
        <v>873</v>
      </c>
      <c r="C200" s="803"/>
      <c r="D200" s="803" t="s">
        <v>1118</v>
      </c>
      <c r="E200" s="1880"/>
      <c r="F200" s="616">
        <f>'exchange rates'!$O$50</f>
        <v>3.8868399999999999</v>
      </c>
      <c r="G200" s="549">
        <v>0</v>
      </c>
      <c r="H200" s="550">
        <f>764/F200</f>
        <v>196.56070226713732</v>
      </c>
      <c r="I200" s="551">
        <v>0</v>
      </c>
      <c r="J200" s="560">
        <f>68.76/F200</f>
        <v>17.690463204042359</v>
      </c>
      <c r="K200" s="566">
        <f>Tabel6689262829[[#This Row],[Fix.ch. 2017]]+Tabel6689262829[[#This Row],[Var. ch. 2017]]+Tabel6689262829[[#This Row],[Oth. ch. DW 2017]]+Tabel6689262829[[#This Row],[VAT DW 2017]]</f>
        <v>214.25116547117966</v>
      </c>
      <c r="L200" s="567">
        <v>0</v>
      </c>
      <c r="M200" s="560">
        <v>0</v>
      </c>
      <c r="N200" s="568">
        <f>304/F200</f>
        <v>78.212635457080822</v>
      </c>
      <c r="O200" s="560">
        <f>57.76/F200</f>
        <v>14.860400736845355</v>
      </c>
      <c r="P200" s="569">
        <v>0</v>
      </c>
      <c r="Q200" s="560">
        <v>0</v>
      </c>
      <c r="R200" s="570">
        <f>Tabel6689262829[[#This Row],[VAT DW 2017]]+Tabel6689262829[[#This Row],[VAT Sew. 2017]]+Tabel6689262829[[#This Row],[VAT WW 2017]]+Tabel6689262829[[#This Row],[VAT Other ch. 2017]]</f>
        <v>32.550863940887716</v>
      </c>
      <c r="S200" s="571">
        <f>Tabel6689262829[[#This Row],[Total. ch. DW 2017]]+Tabel6689262829[[#This Row],[Sew. 2017]]+Tabel6689262829[[#This Row],[VAT Sew. 2017]]+Tabel6689262829[[#This Row],[WW 2017]]+Tabel6689262829[[#This Row],[VAT WW 2017]]+Tabel6689262829[[#This Row],[Other ch. 2017]]+Tabel6689262829[[#This Row],[VAT Other ch. 2017]]</f>
        <v>307.32420166510582</v>
      </c>
      <c r="T200" s="397"/>
      <c r="U200" s="1763"/>
      <c r="V200" s="2129"/>
      <c r="W200" s="1769"/>
      <c r="X200" s="1772"/>
      <c r="Y200" s="1775"/>
      <c r="Z200" s="1778"/>
      <c r="AA200" s="1772"/>
      <c r="AB200" s="1781"/>
      <c r="AC200" s="1772"/>
      <c r="AD200" s="1785"/>
      <c r="AE200" s="1772"/>
      <c r="AF200" s="2137"/>
      <c r="AG200" s="1990"/>
      <c r="AH200" s="397"/>
      <c r="AI200" s="591" t="s">
        <v>429</v>
      </c>
      <c r="AJ200" s="591" t="s">
        <v>429</v>
      </c>
      <c r="AK200" s="591"/>
      <c r="AL200" s="591"/>
      <c r="AM200" s="591"/>
      <c r="AN200" s="591" t="s">
        <v>429</v>
      </c>
      <c r="AO200" s="398"/>
      <c r="AP200" s="397"/>
    </row>
    <row r="201" spans="1:42" ht="16.5" customHeight="1" x14ac:dyDescent="0.25">
      <c r="A201" s="1757"/>
      <c r="B201" s="633" t="s">
        <v>520</v>
      </c>
      <c r="C201" s="803"/>
      <c r="D201" s="803" t="s">
        <v>1118</v>
      </c>
      <c r="E201" s="1880"/>
      <c r="F201" s="616">
        <f>'exchange rates'!$O$50</f>
        <v>3.8868399999999999</v>
      </c>
      <c r="G201" s="549">
        <v>0</v>
      </c>
      <c r="H201" s="550">
        <f>638/F201</f>
        <v>164.1436230974262</v>
      </c>
      <c r="I201" s="551">
        <v>0</v>
      </c>
      <c r="J201" s="560">
        <f>57.42/F201</f>
        <v>14.772926078768357</v>
      </c>
      <c r="K201" s="566">
        <f>Tabel6689262829[[#This Row],[Fix.ch. 2017]]+Tabel6689262829[[#This Row],[Var. ch. 2017]]+Tabel6689262829[[#This Row],[Oth. ch. DW 2017]]+Tabel6689262829[[#This Row],[VAT DW 2017]]</f>
        <v>178.91654917619456</v>
      </c>
      <c r="L201" s="567">
        <v>0</v>
      </c>
      <c r="M201" s="560">
        <v>0</v>
      </c>
      <c r="N201" s="568">
        <f>614/F201</f>
        <v>157.96894135081456</v>
      </c>
      <c r="O201" s="560">
        <f>116.66/F201</f>
        <v>30.014098856654762</v>
      </c>
      <c r="P201" s="569">
        <v>0</v>
      </c>
      <c r="Q201" s="560">
        <v>0</v>
      </c>
      <c r="R201" s="570">
        <f>Tabel6689262829[[#This Row],[VAT DW 2017]]+Tabel6689262829[[#This Row],[VAT Sew. 2017]]+Tabel6689262829[[#This Row],[VAT WW 2017]]+Tabel6689262829[[#This Row],[VAT Other ch. 2017]]</f>
        <v>44.787024935423119</v>
      </c>
      <c r="S201" s="571">
        <f>Tabel6689262829[[#This Row],[Total. ch. DW 2017]]+Tabel6689262829[[#This Row],[Sew. 2017]]+Tabel6689262829[[#This Row],[VAT Sew. 2017]]+Tabel6689262829[[#This Row],[WW 2017]]+Tabel6689262829[[#This Row],[VAT WW 2017]]+Tabel6689262829[[#This Row],[Other ch. 2017]]+Tabel6689262829[[#This Row],[VAT Other ch. 2017]]</f>
        <v>366.89958938366385</v>
      </c>
      <c r="T201" s="397"/>
      <c r="U201" s="1763"/>
      <c r="V201" s="2129"/>
      <c r="W201" s="1769"/>
      <c r="X201" s="1772"/>
      <c r="Y201" s="1775"/>
      <c r="Z201" s="1778"/>
      <c r="AA201" s="1772"/>
      <c r="AB201" s="1781"/>
      <c r="AC201" s="1772"/>
      <c r="AD201" s="1785"/>
      <c r="AE201" s="1772"/>
      <c r="AF201" s="2137"/>
      <c r="AG201" s="1990"/>
      <c r="AH201" s="397"/>
      <c r="AI201" s="591" t="s">
        <v>429</v>
      </c>
      <c r="AJ201" s="591" t="s">
        <v>429</v>
      </c>
      <c r="AK201" s="591"/>
      <c r="AL201" s="591"/>
      <c r="AM201" s="591"/>
      <c r="AN201" s="591" t="s">
        <v>429</v>
      </c>
      <c r="AO201" s="398"/>
      <c r="AP201" s="397"/>
    </row>
    <row r="202" spans="1:42" ht="18" customHeight="1" x14ac:dyDescent="0.25">
      <c r="A202" s="1757"/>
      <c r="B202" s="633" t="s">
        <v>597</v>
      </c>
      <c r="C202" s="803"/>
      <c r="D202" s="803" t="s">
        <v>1118</v>
      </c>
      <c r="E202" s="1880"/>
      <c r="F202" s="616">
        <f>'exchange rates'!$O$50</f>
        <v>3.8868399999999999</v>
      </c>
      <c r="G202" s="549">
        <v>0</v>
      </c>
      <c r="H202" s="550">
        <f>820/F202</f>
        <v>210.96829300923116</v>
      </c>
      <c r="I202" s="551">
        <v>0</v>
      </c>
      <c r="J202" s="560">
        <f>73.8/F202</f>
        <v>18.987146370830803</v>
      </c>
      <c r="K202" s="566">
        <f>Tabel6689262829[[#This Row],[Fix.ch. 2017]]+Tabel6689262829[[#This Row],[Var. ch. 2017]]+Tabel6689262829[[#This Row],[Oth. ch. DW 2017]]+Tabel6689262829[[#This Row],[VAT DW 2017]]</f>
        <v>229.95543938006196</v>
      </c>
      <c r="L202" s="567">
        <v>0</v>
      </c>
      <c r="M202" s="560">
        <v>0</v>
      </c>
      <c r="N202" s="568">
        <f>578/F202</f>
        <v>148.70691873089709</v>
      </c>
      <c r="O202" s="560">
        <f>109.82/F202</f>
        <v>28.254314558870444</v>
      </c>
      <c r="P202" s="569">
        <v>0</v>
      </c>
      <c r="Q202" s="560">
        <v>0</v>
      </c>
      <c r="R202" s="570">
        <f>Tabel6689262829[[#This Row],[VAT DW 2017]]+Tabel6689262829[[#This Row],[VAT Sew. 2017]]+Tabel6689262829[[#This Row],[VAT WW 2017]]+Tabel6689262829[[#This Row],[VAT Other ch. 2017]]</f>
        <v>47.241460929701248</v>
      </c>
      <c r="S202" s="571">
        <f>Tabel6689262829[[#This Row],[Total. ch. DW 2017]]+Tabel6689262829[[#This Row],[Sew. 2017]]+Tabel6689262829[[#This Row],[VAT Sew. 2017]]+Tabel6689262829[[#This Row],[WW 2017]]+Tabel6689262829[[#This Row],[VAT WW 2017]]+Tabel6689262829[[#This Row],[Other ch. 2017]]+Tabel6689262829[[#This Row],[VAT Other ch. 2017]]</f>
        <v>406.9166726698295</v>
      </c>
      <c r="T202" s="397"/>
      <c r="U202" s="1763"/>
      <c r="V202" s="2129"/>
      <c r="W202" s="1769"/>
      <c r="X202" s="1772"/>
      <c r="Y202" s="1775"/>
      <c r="Z202" s="1778"/>
      <c r="AA202" s="1772"/>
      <c r="AB202" s="1781"/>
      <c r="AC202" s="1772"/>
      <c r="AD202" s="1785"/>
      <c r="AE202" s="1772"/>
      <c r="AF202" s="2137"/>
      <c r="AG202" s="1990"/>
      <c r="AH202" s="397"/>
      <c r="AI202" s="591" t="s">
        <v>429</v>
      </c>
      <c r="AJ202" s="591" t="s">
        <v>429</v>
      </c>
      <c r="AK202" s="591"/>
      <c r="AL202" s="591"/>
      <c r="AM202" s="591"/>
      <c r="AN202" s="591" t="s">
        <v>429</v>
      </c>
      <c r="AO202" s="398"/>
      <c r="AP202" s="397"/>
    </row>
    <row r="203" spans="1:42" ht="18" customHeight="1" x14ac:dyDescent="0.25">
      <c r="A203" s="1757"/>
      <c r="B203" s="503" t="s">
        <v>765</v>
      </c>
      <c r="C203" s="804"/>
      <c r="D203" s="804" t="s">
        <v>1118</v>
      </c>
      <c r="E203" s="1880"/>
      <c r="F203" s="616">
        <f>'exchange rates'!$O$50</f>
        <v>3.8868399999999999</v>
      </c>
      <c r="G203" s="319"/>
      <c r="H203" s="320"/>
      <c r="I203" s="321"/>
      <c r="J203" s="559"/>
      <c r="K203" s="313"/>
      <c r="L203" s="322"/>
      <c r="M203" s="559"/>
      <c r="N203" s="323"/>
      <c r="O203" s="559"/>
      <c r="P203" s="324"/>
      <c r="Q203" s="559"/>
      <c r="R203" s="317"/>
      <c r="S203" s="318"/>
      <c r="T203" s="397"/>
      <c r="U203" s="1886"/>
      <c r="V203" s="2130"/>
      <c r="W203" s="1890"/>
      <c r="X203" s="1772"/>
      <c r="Y203" s="1892"/>
      <c r="Z203" s="1894"/>
      <c r="AA203" s="1772"/>
      <c r="AB203" s="1911"/>
      <c r="AC203" s="1772"/>
      <c r="AD203" s="1913"/>
      <c r="AE203" s="1772"/>
      <c r="AF203" s="2138"/>
      <c r="AG203" s="2053"/>
      <c r="AH203" s="397"/>
      <c r="AI203" s="396"/>
      <c r="AJ203" s="396"/>
      <c r="AK203" s="398"/>
      <c r="AL203" s="398"/>
      <c r="AM203" s="398"/>
      <c r="AN203" s="396"/>
      <c r="AO203" s="398"/>
      <c r="AP203" s="397"/>
    </row>
    <row r="204" spans="1:42" ht="18" customHeight="1" x14ac:dyDescent="0.25">
      <c r="A204" s="1757"/>
      <c r="B204" s="633" t="s">
        <v>860</v>
      </c>
      <c r="C204" s="803" t="s">
        <v>429</v>
      </c>
      <c r="D204" s="803" t="s">
        <v>1118</v>
      </c>
      <c r="E204" s="1880"/>
      <c r="F204" s="616">
        <f>'exchange rates'!$O$50</f>
        <v>3.8868399999999999</v>
      </c>
      <c r="G204" s="549">
        <v>0</v>
      </c>
      <c r="H204" s="550">
        <f>662/F204</f>
        <v>170.31830484403784</v>
      </c>
      <c r="I204" s="551">
        <v>0</v>
      </c>
      <c r="J204" s="560">
        <f>59.58/F204</f>
        <v>15.328647435963404</v>
      </c>
      <c r="K204" s="566">
        <f>Tabel6689262829[[#This Row],[Fix.ch. 2017]]+Tabel6689262829[[#This Row],[Var. ch. 2017]]+Tabel6689262829[[#This Row],[Oth. ch. DW 2017]]+Tabel6689262829[[#This Row],[VAT DW 2017]]</f>
        <v>185.64695228000124</v>
      </c>
      <c r="L204" s="567">
        <v>0</v>
      </c>
      <c r="M204" s="560">
        <v>0</v>
      </c>
      <c r="N204" s="568">
        <f>348/F204</f>
        <v>89.532885325868833</v>
      </c>
      <c r="O204" s="560">
        <f>66.12/F204</f>
        <v>17.011248211915078</v>
      </c>
      <c r="P204" s="569">
        <v>0</v>
      </c>
      <c r="Q204" s="560">
        <v>0</v>
      </c>
      <c r="R204" s="570">
        <f>Tabel6689262829[[#This Row],[VAT DW 2017]]+Tabel6689262829[[#This Row],[VAT Sew. 2017]]+Tabel6689262829[[#This Row],[VAT WW 2017]]+Tabel6689262829[[#This Row],[VAT Other ch. 2017]]</f>
        <v>32.339895647878478</v>
      </c>
      <c r="S204" s="571">
        <f>Tabel6689262829[[#This Row],[Total. ch. DW 2017]]+Tabel6689262829[[#This Row],[Sew. 2017]]+Tabel6689262829[[#This Row],[VAT Sew. 2017]]+Tabel6689262829[[#This Row],[WW 2017]]+Tabel6689262829[[#This Row],[VAT WW 2017]]+Tabel6689262829[[#This Row],[Other ch. 2017]]+Tabel6689262829[[#This Row],[VAT Other ch. 2017]]</f>
        <v>292.19108581778517</v>
      </c>
      <c r="T204" s="397"/>
      <c r="U204" s="1886"/>
      <c r="V204" s="2130"/>
      <c r="W204" s="1890"/>
      <c r="X204" s="1772"/>
      <c r="Y204" s="1892"/>
      <c r="Z204" s="1894"/>
      <c r="AA204" s="1772"/>
      <c r="AB204" s="1911"/>
      <c r="AC204" s="1772"/>
      <c r="AD204" s="1913"/>
      <c r="AE204" s="1772"/>
      <c r="AF204" s="2138"/>
      <c r="AG204" s="2053"/>
      <c r="AH204" s="397"/>
      <c r="AI204" s="591" t="s">
        <v>429</v>
      </c>
      <c r="AJ204" s="591" t="s">
        <v>429</v>
      </c>
      <c r="AK204" s="591"/>
      <c r="AL204" s="591"/>
      <c r="AM204" s="591"/>
      <c r="AN204" s="591" t="s">
        <v>429</v>
      </c>
      <c r="AO204" s="398"/>
      <c r="AP204" s="397"/>
    </row>
    <row r="205" spans="1:42" ht="18" customHeight="1" x14ac:dyDescent="0.25">
      <c r="A205" s="1757"/>
      <c r="B205" s="503" t="s">
        <v>766</v>
      </c>
      <c r="C205" s="804"/>
      <c r="D205" s="804" t="s">
        <v>1118</v>
      </c>
      <c r="E205" s="1880"/>
      <c r="F205" s="616">
        <f>'exchange rates'!$O$50</f>
        <v>3.8868399999999999</v>
      </c>
      <c r="G205" s="319"/>
      <c r="H205" s="320"/>
      <c r="I205" s="321"/>
      <c r="J205" s="559"/>
      <c r="K205" s="313"/>
      <c r="L205" s="322"/>
      <c r="M205" s="559"/>
      <c r="N205" s="323"/>
      <c r="O205" s="559"/>
      <c r="P205" s="324"/>
      <c r="Q205" s="559"/>
      <c r="R205" s="317"/>
      <c r="S205" s="318"/>
      <c r="T205" s="397"/>
      <c r="U205" s="1886"/>
      <c r="V205" s="2130"/>
      <c r="W205" s="1890"/>
      <c r="X205" s="1772"/>
      <c r="Y205" s="1892"/>
      <c r="Z205" s="1894"/>
      <c r="AA205" s="1772"/>
      <c r="AB205" s="1911"/>
      <c r="AC205" s="1772"/>
      <c r="AD205" s="1913"/>
      <c r="AE205" s="1772"/>
      <c r="AF205" s="2138"/>
      <c r="AG205" s="2053"/>
      <c r="AH205" s="397"/>
      <c r="AI205" s="396"/>
      <c r="AJ205" s="396"/>
      <c r="AK205" s="398"/>
      <c r="AL205" s="398"/>
      <c r="AM205" s="398"/>
      <c r="AN205" s="396"/>
      <c r="AO205" s="398"/>
      <c r="AP205" s="397"/>
    </row>
    <row r="206" spans="1:42" ht="18" customHeight="1" x14ac:dyDescent="0.25">
      <c r="A206" s="1757"/>
      <c r="B206" s="503" t="s">
        <v>767</v>
      </c>
      <c r="C206" s="804"/>
      <c r="D206" s="804" t="s">
        <v>1118</v>
      </c>
      <c r="E206" s="1880"/>
      <c r="F206" s="616">
        <f>'exchange rates'!$O$50</f>
        <v>3.8868399999999999</v>
      </c>
      <c r="G206" s="319"/>
      <c r="H206" s="320"/>
      <c r="I206" s="321"/>
      <c r="J206" s="559"/>
      <c r="K206" s="313"/>
      <c r="L206" s="322"/>
      <c r="M206" s="559"/>
      <c r="N206" s="323"/>
      <c r="O206" s="559"/>
      <c r="P206" s="324"/>
      <c r="Q206" s="559"/>
      <c r="R206" s="317"/>
      <c r="S206" s="318"/>
      <c r="T206" s="397"/>
      <c r="U206" s="1886"/>
      <c r="V206" s="2130"/>
      <c r="W206" s="1890"/>
      <c r="X206" s="1772"/>
      <c r="Y206" s="1892"/>
      <c r="Z206" s="1894"/>
      <c r="AA206" s="1772"/>
      <c r="AB206" s="1911"/>
      <c r="AC206" s="1772"/>
      <c r="AD206" s="1913"/>
      <c r="AE206" s="1772"/>
      <c r="AF206" s="2138"/>
      <c r="AG206" s="2053"/>
      <c r="AH206" s="397"/>
      <c r="AI206" s="396"/>
      <c r="AJ206" s="396"/>
      <c r="AK206" s="398"/>
      <c r="AL206" s="398"/>
      <c r="AM206" s="398"/>
      <c r="AN206" s="396"/>
      <c r="AO206" s="398"/>
      <c r="AP206" s="397"/>
    </row>
    <row r="207" spans="1:42" ht="18" customHeight="1" x14ac:dyDescent="0.25">
      <c r="A207" s="1757"/>
      <c r="B207" s="503" t="s">
        <v>768</v>
      </c>
      <c r="C207" s="804"/>
      <c r="D207" s="804" t="s">
        <v>1118</v>
      </c>
      <c r="E207" s="1880"/>
      <c r="F207" s="616">
        <f>'exchange rates'!$O$50</f>
        <v>3.8868399999999999</v>
      </c>
      <c r="G207" s="319"/>
      <c r="H207" s="320"/>
      <c r="I207" s="321"/>
      <c r="J207" s="559"/>
      <c r="K207" s="313"/>
      <c r="L207" s="322"/>
      <c r="M207" s="559"/>
      <c r="N207" s="323"/>
      <c r="O207" s="559"/>
      <c r="P207" s="324"/>
      <c r="Q207" s="559"/>
      <c r="R207" s="317"/>
      <c r="S207" s="318"/>
      <c r="T207" s="397"/>
      <c r="U207" s="1886"/>
      <c r="V207" s="2130"/>
      <c r="W207" s="1890"/>
      <c r="X207" s="1772"/>
      <c r="Y207" s="1892"/>
      <c r="Z207" s="1894"/>
      <c r="AA207" s="1772"/>
      <c r="AB207" s="1911"/>
      <c r="AC207" s="1772"/>
      <c r="AD207" s="1913"/>
      <c r="AE207" s="1772"/>
      <c r="AF207" s="2138"/>
      <c r="AG207" s="2053"/>
      <c r="AH207" s="397"/>
      <c r="AI207" s="396"/>
      <c r="AJ207" s="396"/>
      <c r="AK207" s="398"/>
      <c r="AL207" s="398"/>
      <c r="AM207" s="398"/>
      <c r="AN207" s="396"/>
      <c r="AO207" s="398"/>
      <c r="AP207" s="397"/>
    </row>
    <row r="208" spans="1:42" ht="18" customHeight="1" x14ac:dyDescent="0.25">
      <c r="A208" s="1757"/>
      <c r="B208" s="633" t="s">
        <v>769</v>
      </c>
      <c r="C208" s="803"/>
      <c r="D208" s="803" t="s">
        <v>1118</v>
      </c>
      <c r="E208" s="1880"/>
      <c r="F208" s="616">
        <f>'exchange rates'!$O$50</f>
        <v>3.8868399999999999</v>
      </c>
      <c r="G208" s="549">
        <v>0</v>
      </c>
      <c r="H208" s="550">
        <f>696/F208</f>
        <v>179.06577065173767</v>
      </c>
      <c r="I208" s="551">
        <v>0</v>
      </c>
      <c r="J208" s="560">
        <f>62.64/F208</f>
        <v>16.115919358656392</v>
      </c>
      <c r="K208" s="566">
        <f>Tabel6689262829[[#This Row],[Fix.ch. 2017]]+Tabel6689262829[[#This Row],[Var. ch. 2017]]+Tabel6689262829[[#This Row],[Oth. ch. DW 2017]]+Tabel6689262829[[#This Row],[VAT DW 2017]]</f>
        <v>195.18169001039405</v>
      </c>
      <c r="L208" s="567">
        <v>0</v>
      </c>
      <c r="M208" s="560">
        <v>0</v>
      </c>
      <c r="N208" s="568">
        <f>552/F208</f>
        <v>142.0176801720678</v>
      </c>
      <c r="O208" s="560">
        <f>104.88/F208</f>
        <v>26.98335923269288</v>
      </c>
      <c r="P208" s="569">
        <v>0</v>
      </c>
      <c r="Q208" s="560">
        <v>0</v>
      </c>
      <c r="R208" s="570">
        <f>Tabel6689262829[[#This Row],[VAT DW 2017]]+Tabel6689262829[[#This Row],[VAT Sew. 2017]]+Tabel6689262829[[#This Row],[VAT WW 2017]]+Tabel6689262829[[#This Row],[VAT Other ch. 2017]]</f>
        <v>43.099278591349275</v>
      </c>
      <c r="S208" s="571">
        <f>Tabel6689262829[[#This Row],[Total. ch. DW 2017]]+Tabel6689262829[[#This Row],[Sew. 2017]]+Tabel6689262829[[#This Row],[VAT Sew. 2017]]+Tabel6689262829[[#This Row],[WW 2017]]+Tabel6689262829[[#This Row],[VAT WW 2017]]+Tabel6689262829[[#This Row],[Other ch. 2017]]+Tabel6689262829[[#This Row],[VAT Other ch. 2017]]</f>
        <v>364.18272941515471</v>
      </c>
      <c r="T208" s="397"/>
      <c r="U208" s="1886"/>
      <c r="V208" s="2130"/>
      <c r="W208" s="1890"/>
      <c r="X208" s="1772"/>
      <c r="Y208" s="1892"/>
      <c r="Z208" s="1894"/>
      <c r="AA208" s="1772"/>
      <c r="AB208" s="1911"/>
      <c r="AC208" s="1772"/>
      <c r="AD208" s="1913"/>
      <c r="AE208" s="1772"/>
      <c r="AF208" s="2138"/>
      <c r="AG208" s="2053"/>
      <c r="AH208" s="397"/>
      <c r="AI208" s="591" t="s">
        <v>429</v>
      </c>
      <c r="AJ208" s="591" t="s">
        <v>429</v>
      </c>
      <c r="AK208" s="591"/>
      <c r="AL208" s="591"/>
      <c r="AM208" s="591"/>
      <c r="AN208" s="591" t="s">
        <v>429</v>
      </c>
      <c r="AO208" s="398"/>
      <c r="AP208" s="397"/>
    </row>
    <row r="209" spans="1:42" ht="18" customHeight="1" x14ac:dyDescent="0.25">
      <c r="A209" s="1757"/>
      <c r="B209" s="503" t="s">
        <v>770</v>
      </c>
      <c r="C209" s="804"/>
      <c r="D209" s="804" t="s">
        <v>1118</v>
      </c>
      <c r="E209" s="1880"/>
      <c r="F209" s="616">
        <f>'exchange rates'!$O$50</f>
        <v>3.8868399999999999</v>
      </c>
      <c r="G209" s="319"/>
      <c r="H209" s="320"/>
      <c r="I209" s="321"/>
      <c r="J209" s="559"/>
      <c r="K209" s="313"/>
      <c r="L209" s="322"/>
      <c r="M209" s="559"/>
      <c r="N209" s="323"/>
      <c r="O209" s="559"/>
      <c r="P209" s="324"/>
      <c r="Q209" s="559"/>
      <c r="R209" s="317"/>
      <c r="S209" s="318"/>
      <c r="T209" s="397"/>
      <c r="U209" s="1886"/>
      <c r="V209" s="2130"/>
      <c r="W209" s="1890"/>
      <c r="X209" s="1772"/>
      <c r="Y209" s="1892"/>
      <c r="Z209" s="1894"/>
      <c r="AA209" s="1772"/>
      <c r="AB209" s="1911"/>
      <c r="AC209" s="1772"/>
      <c r="AD209" s="1913"/>
      <c r="AE209" s="1772"/>
      <c r="AF209" s="2138"/>
      <c r="AG209" s="2053"/>
      <c r="AH209" s="397"/>
      <c r="AI209" s="396"/>
      <c r="AJ209" s="396"/>
      <c r="AK209" s="398"/>
      <c r="AL209" s="398"/>
      <c r="AM209" s="398"/>
      <c r="AN209" s="396"/>
      <c r="AO209" s="398"/>
      <c r="AP209" s="397"/>
    </row>
    <row r="210" spans="1:42" ht="18" customHeight="1" x14ac:dyDescent="0.25">
      <c r="A210" s="1757"/>
      <c r="B210" s="633" t="s">
        <v>771</v>
      </c>
      <c r="C210" s="803"/>
      <c r="D210" s="803" t="s">
        <v>1118</v>
      </c>
      <c r="E210" s="1880"/>
      <c r="F210" s="616">
        <f>'exchange rates'!$O$50</f>
        <v>3.8868399999999999</v>
      </c>
      <c r="G210" s="549">
        <v>0</v>
      </c>
      <c r="H210" s="550">
        <f>714/F210</f>
        <v>183.69678196169639</v>
      </c>
      <c r="I210" s="551">
        <v>0</v>
      </c>
      <c r="J210" s="560">
        <f>64.26/F210</f>
        <v>16.532710376552679</v>
      </c>
      <c r="K210" s="566">
        <f>Tabel6689262829[[#This Row],[Fix.ch. 2017]]+Tabel6689262829[[#This Row],[Var. ch. 2017]]+Tabel6689262829[[#This Row],[Oth. ch. DW 2017]]+Tabel6689262829[[#This Row],[VAT DW 2017]]</f>
        <v>200.22949233824906</v>
      </c>
      <c r="L210" s="567">
        <v>0</v>
      </c>
      <c r="M210" s="560">
        <v>0</v>
      </c>
      <c r="N210" s="568">
        <f>488/F210</f>
        <v>125.55186218110342</v>
      </c>
      <c r="O210" s="560">
        <f>92.72/F210</f>
        <v>23.854853814409651</v>
      </c>
      <c r="P210" s="569">
        <v>0</v>
      </c>
      <c r="Q210" s="560">
        <v>0</v>
      </c>
      <c r="R210" s="570">
        <f>Tabel6689262829[[#This Row],[VAT DW 2017]]+Tabel6689262829[[#This Row],[VAT Sew. 2017]]+Tabel6689262829[[#This Row],[VAT WW 2017]]+Tabel6689262829[[#This Row],[VAT Other ch. 2017]]</f>
        <v>40.38756419096233</v>
      </c>
      <c r="S210" s="571">
        <f>Tabel6689262829[[#This Row],[Total. ch. DW 2017]]+Tabel6689262829[[#This Row],[Sew. 2017]]+Tabel6689262829[[#This Row],[VAT Sew. 2017]]+Tabel6689262829[[#This Row],[WW 2017]]+Tabel6689262829[[#This Row],[VAT WW 2017]]+Tabel6689262829[[#This Row],[Other ch. 2017]]+Tabel6689262829[[#This Row],[VAT Other ch. 2017]]</f>
        <v>349.63620833376211</v>
      </c>
      <c r="T210" s="397"/>
      <c r="U210" s="1886"/>
      <c r="V210" s="2130"/>
      <c r="W210" s="1890"/>
      <c r="X210" s="1772"/>
      <c r="Y210" s="1892"/>
      <c r="Z210" s="1894"/>
      <c r="AA210" s="1772"/>
      <c r="AB210" s="1911"/>
      <c r="AC210" s="1772"/>
      <c r="AD210" s="1913"/>
      <c r="AE210" s="1772"/>
      <c r="AF210" s="2138"/>
      <c r="AG210" s="2053"/>
      <c r="AH210" s="397"/>
      <c r="AI210" s="591" t="s">
        <v>429</v>
      </c>
      <c r="AJ210" s="591" t="s">
        <v>429</v>
      </c>
      <c r="AK210" s="591"/>
      <c r="AL210" s="591"/>
      <c r="AM210" s="591"/>
      <c r="AN210" s="591" t="s">
        <v>429</v>
      </c>
      <c r="AO210" s="398"/>
      <c r="AP210" s="397"/>
    </row>
    <row r="211" spans="1:42" ht="18" customHeight="1" x14ac:dyDescent="0.25">
      <c r="A211" s="1757"/>
      <c r="B211" s="503" t="s">
        <v>772</v>
      </c>
      <c r="C211" s="804"/>
      <c r="D211" s="804" t="s">
        <v>1118</v>
      </c>
      <c r="E211" s="1880"/>
      <c r="F211" s="616">
        <f>'exchange rates'!$O$50</f>
        <v>3.8868399999999999</v>
      </c>
      <c r="G211" s="319"/>
      <c r="H211" s="320"/>
      <c r="I211" s="321"/>
      <c r="J211" s="559"/>
      <c r="K211" s="313"/>
      <c r="L211" s="322"/>
      <c r="M211" s="559"/>
      <c r="N211" s="323"/>
      <c r="O211" s="559"/>
      <c r="P211" s="324"/>
      <c r="Q211" s="559"/>
      <c r="R211" s="317"/>
      <c r="S211" s="318"/>
      <c r="T211" s="397"/>
      <c r="U211" s="1886"/>
      <c r="V211" s="2130"/>
      <c r="W211" s="1890"/>
      <c r="X211" s="1772"/>
      <c r="Y211" s="1892"/>
      <c r="Z211" s="1894"/>
      <c r="AA211" s="1772"/>
      <c r="AB211" s="1911"/>
      <c r="AC211" s="1772"/>
      <c r="AD211" s="1913"/>
      <c r="AE211" s="1772"/>
      <c r="AF211" s="2138"/>
      <c r="AG211" s="2053"/>
      <c r="AH211" s="397"/>
      <c r="AI211" s="396"/>
      <c r="AJ211" s="396"/>
      <c r="AK211" s="398"/>
      <c r="AL211" s="398"/>
      <c r="AM211" s="398"/>
      <c r="AN211" s="396"/>
      <c r="AO211" s="398"/>
      <c r="AP211" s="397"/>
    </row>
    <row r="212" spans="1:42" ht="18" customHeight="1" x14ac:dyDescent="0.25">
      <c r="A212" s="1757"/>
      <c r="B212" s="633" t="s">
        <v>861</v>
      </c>
      <c r="C212" s="803"/>
      <c r="D212" s="803" t="s">
        <v>1118</v>
      </c>
      <c r="E212" s="1880"/>
      <c r="F212" s="616">
        <f>'exchange rates'!$O$50</f>
        <v>3.8868399999999999</v>
      </c>
      <c r="G212" s="549">
        <v>0</v>
      </c>
      <c r="H212" s="550">
        <f>778/F212</f>
        <v>200.16259995266077</v>
      </c>
      <c r="I212" s="551">
        <v>0</v>
      </c>
      <c r="J212" s="560">
        <f>70.02/F212</f>
        <v>18.014633995739469</v>
      </c>
      <c r="K212" s="566">
        <f>Tabel6689262829[[#This Row],[Fix.ch. 2017]]+Tabel6689262829[[#This Row],[Var. ch. 2017]]+Tabel6689262829[[#This Row],[Oth. ch. DW 2017]]+Tabel6689262829[[#This Row],[VAT DW 2017]]</f>
        <v>218.17723394840024</v>
      </c>
      <c r="L212" s="567">
        <v>0</v>
      </c>
      <c r="M212" s="560">
        <v>0</v>
      </c>
      <c r="N212" s="568">
        <f>686/F212</f>
        <v>176.49298659064948</v>
      </c>
      <c r="O212" s="560">
        <f>130.34/F212</f>
        <v>33.533667452223405</v>
      </c>
      <c r="P212" s="569">
        <v>0</v>
      </c>
      <c r="Q212" s="560">
        <v>0</v>
      </c>
      <c r="R212" s="570">
        <f>Tabel6689262829[[#This Row],[VAT DW 2017]]+Tabel6689262829[[#This Row],[VAT Sew. 2017]]+Tabel6689262829[[#This Row],[VAT WW 2017]]+Tabel6689262829[[#This Row],[VAT Other ch. 2017]]</f>
        <v>51.548301447962871</v>
      </c>
      <c r="S212" s="571">
        <f>Tabel6689262829[[#This Row],[Total. ch. DW 2017]]+Tabel6689262829[[#This Row],[Sew. 2017]]+Tabel6689262829[[#This Row],[VAT Sew. 2017]]+Tabel6689262829[[#This Row],[WW 2017]]+Tabel6689262829[[#This Row],[VAT WW 2017]]+Tabel6689262829[[#This Row],[Other ch. 2017]]+Tabel6689262829[[#This Row],[VAT Other ch. 2017]]</f>
        <v>428.20388799127318</v>
      </c>
      <c r="T212" s="397"/>
      <c r="U212" s="1886"/>
      <c r="V212" s="2130"/>
      <c r="W212" s="1890"/>
      <c r="X212" s="1772"/>
      <c r="Y212" s="1892"/>
      <c r="Z212" s="1894"/>
      <c r="AA212" s="1772"/>
      <c r="AB212" s="1911"/>
      <c r="AC212" s="1772"/>
      <c r="AD212" s="1913"/>
      <c r="AE212" s="1772"/>
      <c r="AF212" s="2138"/>
      <c r="AG212" s="2053"/>
      <c r="AH212" s="397"/>
      <c r="AI212" s="591" t="s">
        <v>429</v>
      </c>
      <c r="AJ212" s="591" t="s">
        <v>429</v>
      </c>
      <c r="AK212" s="591"/>
      <c r="AL212" s="591"/>
      <c r="AM212" s="591"/>
      <c r="AN212" s="591" t="s">
        <v>429</v>
      </c>
      <c r="AO212" s="398"/>
      <c r="AP212" s="397"/>
    </row>
    <row r="213" spans="1:42" ht="18" customHeight="1" x14ac:dyDescent="0.25">
      <c r="A213" s="1757"/>
      <c r="B213" s="633" t="s">
        <v>862</v>
      </c>
      <c r="C213" s="803"/>
      <c r="D213" s="803" t="s">
        <v>1118</v>
      </c>
      <c r="E213" s="1880"/>
      <c r="F213" s="616">
        <f>'exchange rates'!$O$50</f>
        <v>3.8868399999999999</v>
      </c>
      <c r="G213" s="549">
        <v>0</v>
      </c>
      <c r="H213" s="550">
        <f>826/F213</f>
        <v>212.51196344588408</v>
      </c>
      <c r="I213" s="551">
        <v>0</v>
      </c>
      <c r="J213" s="560">
        <f>74.34/F213</f>
        <v>19.126076710129567</v>
      </c>
      <c r="K213" s="566">
        <f>Tabel6689262829[[#This Row],[Fix.ch. 2017]]+Tabel6689262829[[#This Row],[Var. ch. 2017]]+Tabel6689262829[[#This Row],[Oth. ch. DW 2017]]+Tabel6689262829[[#This Row],[VAT DW 2017]]</f>
        <v>231.63804015601363</v>
      </c>
      <c r="L213" s="567">
        <v>0</v>
      </c>
      <c r="M213" s="560">
        <v>0</v>
      </c>
      <c r="N213" s="568">
        <f>520/F213</f>
        <v>133.78477117658562</v>
      </c>
      <c r="O213" s="560">
        <f>98.8/F213</f>
        <v>25.419106523551264</v>
      </c>
      <c r="P213" s="569">
        <v>0</v>
      </c>
      <c r="Q213" s="560">
        <v>0</v>
      </c>
      <c r="R213" s="570">
        <f>Tabel6689262829[[#This Row],[VAT DW 2017]]+Tabel6689262829[[#This Row],[VAT Sew. 2017]]+Tabel6689262829[[#This Row],[VAT WW 2017]]+Tabel6689262829[[#This Row],[VAT Other ch. 2017]]</f>
        <v>44.545183233680831</v>
      </c>
      <c r="S213" s="571">
        <f>Tabel6689262829[[#This Row],[Total. ch. DW 2017]]+Tabel6689262829[[#This Row],[Sew. 2017]]+Tabel6689262829[[#This Row],[VAT Sew. 2017]]+Tabel6689262829[[#This Row],[WW 2017]]+Tabel6689262829[[#This Row],[VAT WW 2017]]+Tabel6689262829[[#This Row],[Other ch. 2017]]+Tabel6689262829[[#This Row],[VAT Other ch. 2017]]</f>
        <v>390.84191785615053</v>
      </c>
      <c r="T213" s="397"/>
      <c r="U213" s="1886"/>
      <c r="V213" s="2130"/>
      <c r="W213" s="1890"/>
      <c r="X213" s="1772"/>
      <c r="Y213" s="1892"/>
      <c r="Z213" s="1894"/>
      <c r="AA213" s="1772"/>
      <c r="AB213" s="1911"/>
      <c r="AC213" s="1772"/>
      <c r="AD213" s="1913"/>
      <c r="AE213" s="1772"/>
      <c r="AF213" s="2138"/>
      <c r="AG213" s="2053"/>
      <c r="AH213" s="397"/>
      <c r="AI213" s="591" t="s">
        <v>429</v>
      </c>
      <c r="AJ213" s="591" t="s">
        <v>429</v>
      </c>
      <c r="AK213" s="591"/>
      <c r="AL213" s="591"/>
      <c r="AM213" s="591"/>
      <c r="AN213" s="591" t="s">
        <v>429</v>
      </c>
      <c r="AO213" s="398"/>
      <c r="AP213" s="397"/>
    </row>
    <row r="214" spans="1:42" ht="18" customHeight="1" x14ac:dyDescent="0.25">
      <c r="A214" s="1757"/>
      <c r="B214" s="633" t="s">
        <v>863</v>
      </c>
      <c r="C214" s="803"/>
      <c r="D214" s="803" t="s">
        <v>1118</v>
      </c>
      <c r="E214" s="1880"/>
      <c r="F214" s="616">
        <f>'exchange rates'!$O$50</f>
        <v>3.8868399999999999</v>
      </c>
      <c r="G214" s="549">
        <v>0</v>
      </c>
      <c r="H214" s="550">
        <f>712/F214</f>
        <v>183.18222514947877</v>
      </c>
      <c r="I214" s="551">
        <v>0</v>
      </c>
      <c r="J214" s="560">
        <f>64.08/F214</f>
        <v>16.486400263453088</v>
      </c>
      <c r="K214" s="566">
        <f>Tabel6689262829[[#This Row],[Fix.ch. 2017]]+Tabel6689262829[[#This Row],[Var. ch. 2017]]+Tabel6689262829[[#This Row],[Oth. ch. DW 2017]]+Tabel6689262829[[#This Row],[VAT DW 2017]]</f>
        <v>199.66862541293185</v>
      </c>
      <c r="L214" s="567">
        <v>0</v>
      </c>
      <c r="M214" s="560">
        <v>0</v>
      </c>
      <c r="N214" s="568">
        <f>518/F214</f>
        <v>133.27021436436797</v>
      </c>
      <c r="O214" s="560">
        <f>98.42/F214</f>
        <v>25.321340729229917</v>
      </c>
      <c r="P214" s="569">
        <v>0</v>
      </c>
      <c r="Q214" s="560">
        <v>0</v>
      </c>
      <c r="R214" s="570">
        <f>Tabel6689262829[[#This Row],[VAT DW 2017]]+Tabel6689262829[[#This Row],[VAT Sew. 2017]]+Tabel6689262829[[#This Row],[VAT WW 2017]]+Tabel6689262829[[#This Row],[VAT Other ch. 2017]]</f>
        <v>41.807740992683009</v>
      </c>
      <c r="S214" s="571">
        <f>Tabel6689262829[[#This Row],[Total. ch. DW 2017]]+Tabel6689262829[[#This Row],[Sew. 2017]]+Tabel6689262829[[#This Row],[VAT Sew. 2017]]+Tabel6689262829[[#This Row],[WW 2017]]+Tabel6689262829[[#This Row],[VAT WW 2017]]+Tabel6689262829[[#This Row],[Other ch. 2017]]+Tabel6689262829[[#This Row],[VAT Other ch. 2017]]</f>
        <v>358.26018050652971</v>
      </c>
      <c r="T214" s="397"/>
      <c r="U214" s="1886"/>
      <c r="V214" s="2130"/>
      <c r="W214" s="1890"/>
      <c r="X214" s="1772"/>
      <c r="Y214" s="1892"/>
      <c r="Z214" s="1894"/>
      <c r="AA214" s="1772"/>
      <c r="AB214" s="1911"/>
      <c r="AC214" s="1772"/>
      <c r="AD214" s="1913"/>
      <c r="AE214" s="1772"/>
      <c r="AF214" s="2138"/>
      <c r="AG214" s="2053"/>
      <c r="AH214" s="397"/>
      <c r="AI214" s="591" t="s">
        <v>429</v>
      </c>
      <c r="AJ214" s="591" t="s">
        <v>429</v>
      </c>
      <c r="AK214" s="591"/>
      <c r="AL214" s="591"/>
      <c r="AM214" s="591"/>
      <c r="AN214" s="591" t="s">
        <v>429</v>
      </c>
      <c r="AO214" s="398"/>
      <c r="AP214" s="397"/>
    </row>
    <row r="215" spans="1:42" ht="18" customHeight="1" x14ac:dyDescent="0.25">
      <c r="A215" s="1757"/>
      <c r="B215" s="633" t="s">
        <v>864</v>
      </c>
      <c r="C215" s="803"/>
      <c r="D215" s="803" t="s">
        <v>1118</v>
      </c>
      <c r="E215" s="1880"/>
      <c r="F215" s="616">
        <f>'exchange rates'!$O$50</f>
        <v>3.8868399999999999</v>
      </c>
      <c r="G215" s="549">
        <v>0</v>
      </c>
      <c r="H215" s="550">
        <f>712/F215</f>
        <v>183.18222514947877</v>
      </c>
      <c r="I215" s="551">
        <v>0</v>
      </c>
      <c r="J215" s="560">
        <f>64.08/F215</f>
        <v>16.486400263453088</v>
      </c>
      <c r="K215" s="566">
        <f>Tabel6689262829[[#This Row],[Fix.ch. 2017]]+Tabel6689262829[[#This Row],[Var. ch. 2017]]+Tabel6689262829[[#This Row],[Oth. ch. DW 2017]]+Tabel6689262829[[#This Row],[VAT DW 2017]]</f>
        <v>199.66862541293185</v>
      </c>
      <c r="L215" s="567">
        <v>0</v>
      </c>
      <c r="M215" s="560">
        <v>0</v>
      </c>
      <c r="N215" s="568">
        <f>608/F215</f>
        <v>156.42527091416164</v>
      </c>
      <c r="O215" s="560">
        <f>115.52/F215</f>
        <v>29.72080147369071</v>
      </c>
      <c r="P215" s="569">
        <v>0</v>
      </c>
      <c r="Q215" s="560">
        <v>0</v>
      </c>
      <c r="R215" s="570">
        <f>Tabel6689262829[[#This Row],[VAT DW 2017]]+Tabel6689262829[[#This Row],[VAT Sew. 2017]]+Tabel6689262829[[#This Row],[VAT WW 2017]]+Tabel6689262829[[#This Row],[VAT Other ch. 2017]]</f>
        <v>46.207201737143798</v>
      </c>
      <c r="S215" s="571">
        <f>Tabel6689262829[[#This Row],[Total. ch. DW 2017]]+Tabel6689262829[[#This Row],[Sew. 2017]]+Tabel6689262829[[#This Row],[VAT Sew. 2017]]+Tabel6689262829[[#This Row],[WW 2017]]+Tabel6689262829[[#This Row],[VAT WW 2017]]+Tabel6689262829[[#This Row],[Other ch. 2017]]+Tabel6689262829[[#This Row],[VAT Other ch. 2017]]</f>
        <v>385.81469780078419</v>
      </c>
      <c r="T215" s="397"/>
      <c r="U215" s="1886"/>
      <c r="V215" s="2130"/>
      <c r="W215" s="1890"/>
      <c r="X215" s="1772"/>
      <c r="Y215" s="1892"/>
      <c r="Z215" s="1894"/>
      <c r="AA215" s="1772"/>
      <c r="AB215" s="1911"/>
      <c r="AC215" s="1772"/>
      <c r="AD215" s="1913"/>
      <c r="AE215" s="1772"/>
      <c r="AF215" s="2138"/>
      <c r="AG215" s="2053"/>
      <c r="AH215" s="397"/>
      <c r="AI215" s="591" t="s">
        <v>429</v>
      </c>
      <c r="AJ215" s="591" t="s">
        <v>429</v>
      </c>
      <c r="AK215" s="591"/>
      <c r="AL215" s="591"/>
      <c r="AM215" s="591"/>
      <c r="AN215" s="591" t="s">
        <v>429</v>
      </c>
      <c r="AO215" s="398"/>
      <c r="AP215" s="397"/>
    </row>
    <row r="216" spans="1:42" ht="18" customHeight="1" x14ac:dyDescent="0.25">
      <c r="A216" s="1757"/>
      <c r="B216" s="633" t="s">
        <v>865</v>
      </c>
      <c r="C216" s="803"/>
      <c r="D216" s="803" t="s">
        <v>1118</v>
      </c>
      <c r="E216" s="1880"/>
      <c r="F216" s="616">
        <f>'exchange rates'!$O$50</f>
        <v>3.8868399999999999</v>
      </c>
      <c r="G216" s="549">
        <v>0</v>
      </c>
      <c r="H216" s="550">
        <f>694/F216</f>
        <v>178.55121383952002</v>
      </c>
      <c r="I216" s="551">
        <v>0</v>
      </c>
      <c r="J216" s="560">
        <f>62.46/F216</f>
        <v>16.069609245556801</v>
      </c>
      <c r="K216" s="566">
        <f>Tabel6689262829[[#This Row],[Fix.ch. 2017]]+Tabel6689262829[[#This Row],[Var. ch. 2017]]+Tabel6689262829[[#This Row],[Oth. ch. DW 2017]]+Tabel6689262829[[#This Row],[VAT DW 2017]]</f>
        <v>194.62082308507681</v>
      </c>
      <c r="L216" s="567">
        <v>0</v>
      </c>
      <c r="M216" s="560">
        <v>0</v>
      </c>
      <c r="N216" s="568">
        <f>514/F216</f>
        <v>132.2411007399327</v>
      </c>
      <c r="O216" s="560">
        <f>97.66/F216</f>
        <v>25.125809140587211</v>
      </c>
      <c r="P216" s="569">
        <v>0</v>
      </c>
      <c r="Q216" s="560">
        <v>0</v>
      </c>
      <c r="R216" s="570">
        <f>Tabel6689262829[[#This Row],[VAT DW 2017]]+Tabel6689262829[[#This Row],[VAT Sew. 2017]]+Tabel6689262829[[#This Row],[VAT WW 2017]]+Tabel6689262829[[#This Row],[VAT Other ch. 2017]]</f>
        <v>41.195418386144013</v>
      </c>
      <c r="S216" s="571">
        <f>Tabel6689262829[[#This Row],[Total. ch. DW 2017]]+Tabel6689262829[[#This Row],[Sew. 2017]]+Tabel6689262829[[#This Row],[VAT Sew. 2017]]+Tabel6689262829[[#This Row],[WW 2017]]+Tabel6689262829[[#This Row],[VAT WW 2017]]+Tabel6689262829[[#This Row],[Other ch. 2017]]+Tabel6689262829[[#This Row],[VAT Other ch. 2017]]</f>
        <v>351.98773296559671</v>
      </c>
      <c r="T216" s="397"/>
      <c r="U216" s="1886"/>
      <c r="V216" s="2130"/>
      <c r="W216" s="1890"/>
      <c r="X216" s="1772"/>
      <c r="Y216" s="1892"/>
      <c r="Z216" s="1894"/>
      <c r="AA216" s="1772"/>
      <c r="AB216" s="1911"/>
      <c r="AC216" s="1772"/>
      <c r="AD216" s="1913"/>
      <c r="AE216" s="1772"/>
      <c r="AF216" s="2138"/>
      <c r="AG216" s="2053"/>
      <c r="AH216" s="397"/>
      <c r="AI216" s="591" t="s">
        <v>429</v>
      </c>
      <c r="AJ216" s="591" t="s">
        <v>429</v>
      </c>
      <c r="AK216" s="591"/>
      <c r="AL216" s="591"/>
      <c r="AM216" s="591"/>
      <c r="AN216" s="591" t="s">
        <v>429</v>
      </c>
      <c r="AO216" s="398"/>
      <c r="AP216" s="397"/>
    </row>
    <row r="217" spans="1:42" ht="18" customHeight="1" x14ac:dyDescent="0.25">
      <c r="A217" s="1757"/>
      <c r="B217" s="633" t="s">
        <v>866</v>
      </c>
      <c r="C217" s="803"/>
      <c r="D217" s="803" t="s">
        <v>1118</v>
      </c>
      <c r="E217" s="1880"/>
      <c r="F217" s="616">
        <f>'exchange rates'!$O$50</f>
        <v>3.8868399999999999</v>
      </c>
      <c r="G217" s="549">
        <v>0</v>
      </c>
      <c r="H217" s="550">
        <f>814/F217</f>
        <v>209.42462257257824</v>
      </c>
      <c r="I217" s="551">
        <v>0</v>
      </c>
      <c r="J217" s="560">
        <f>73.26/F217</f>
        <v>18.848216031532044</v>
      </c>
      <c r="K217" s="566">
        <f>Tabel6689262829[[#This Row],[Fix.ch. 2017]]+Tabel6689262829[[#This Row],[Var. ch. 2017]]+Tabel6689262829[[#This Row],[Oth. ch. DW 2017]]+Tabel6689262829[[#This Row],[VAT DW 2017]]</f>
        <v>228.27283860411029</v>
      </c>
      <c r="L217" s="567">
        <v>0</v>
      </c>
      <c r="M217" s="560">
        <v>0</v>
      </c>
      <c r="N217" s="568">
        <f>452/F217</f>
        <v>116.28983956118596</v>
      </c>
      <c r="O217" s="560">
        <f>85.88/F217</f>
        <v>22.09506951662533</v>
      </c>
      <c r="P217" s="569">
        <v>0</v>
      </c>
      <c r="Q217" s="560">
        <v>0</v>
      </c>
      <c r="R217" s="570">
        <f>Tabel6689262829[[#This Row],[VAT DW 2017]]+Tabel6689262829[[#This Row],[VAT Sew. 2017]]+Tabel6689262829[[#This Row],[VAT WW 2017]]+Tabel6689262829[[#This Row],[VAT Other ch. 2017]]</f>
        <v>40.943285548157377</v>
      </c>
      <c r="S217" s="571">
        <f>Tabel6689262829[[#This Row],[Total. ch. DW 2017]]+Tabel6689262829[[#This Row],[Sew. 2017]]+Tabel6689262829[[#This Row],[VAT Sew. 2017]]+Tabel6689262829[[#This Row],[WW 2017]]+Tabel6689262829[[#This Row],[VAT WW 2017]]+Tabel6689262829[[#This Row],[Other ch. 2017]]+Tabel6689262829[[#This Row],[VAT Other ch. 2017]]</f>
        <v>366.65774768192159</v>
      </c>
      <c r="T217" s="397"/>
      <c r="U217" s="1886"/>
      <c r="V217" s="2130"/>
      <c r="W217" s="1890"/>
      <c r="X217" s="1772"/>
      <c r="Y217" s="1892"/>
      <c r="Z217" s="1894"/>
      <c r="AA217" s="1772"/>
      <c r="AB217" s="1911"/>
      <c r="AC217" s="1772"/>
      <c r="AD217" s="1913"/>
      <c r="AE217" s="1772"/>
      <c r="AF217" s="2138"/>
      <c r="AG217" s="2053"/>
      <c r="AH217" s="397"/>
      <c r="AI217" s="591" t="s">
        <v>429</v>
      </c>
      <c r="AJ217" s="591" t="s">
        <v>429</v>
      </c>
      <c r="AK217" s="591"/>
      <c r="AL217" s="591"/>
      <c r="AM217" s="591"/>
      <c r="AN217" s="591" t="s">
        <v>429</v>
      </c>
      <c r="AO217" s="398"/>
      <c r="AP217" s="397"/>
    </row>
    <row r="218" spans="1:42" ht="18" customHeight="1" x14ac:dyDescent="0.25">
      <c r="A218" s="1757"/>
      <c r="B218" s="633" t="s">
        <v>867</v>
      </c>
      <c r="C218" s="803"/>
      <c r="D218" s="803" t="s">
        <v>1118</v>
      </c>
      <c r="E218" s="1880"/>
      <c r="F218" s="616">
        <f>'exchange rates'!$O$50</f>
        <v>3.8868399999999999</v>
      </c>
      <c r="G218" s="549">
        <v>0</v>
      </c>
      <c r="H218" s="550">
        <f>632/F218</f>
        <v>162.59995266077328</v>
      </c>
      <c r="I218" s="551">
        <v>0</v>
      </c>
      <c r="J218" s="560">
        <f>56.88/F218</f>
        <v>14.633995739469595</v>
      </c>
      <c r="K218" s="566">
        <f>Tabel6689262829[[#This Row],[Fix.ch. 2017]]+Tabel6689262829[[#This Row],[Var. ch. 2017]]+Tabel6689262829[[#This Row],[Oth. ch. DW 2017]]+Tabel6689262829[[#This Row],[VAT DW 2017]]</f>
        <v>177.23394840024287</v>
      </c>
      <c r="L218" s="567">
        <v>0</v>
      </c>
      <c r="M218" s="560">
        <v>0</v>
      </c>
      <c r="N218" s="568">
        <f>618/F218</f>
        <v>158.99805497524983</v>
      </c>
      <c r="O218" s="560">
        <f>117.42/F218</f>
        <v>30.209630445297467</v>
      </c>
      <c r="P218" s="569">
        <v>0</v>
      </c>
      <c r="Q218" s="560">
        <v>0</v>
      </c>
      <c r="R218" s="570">
        <f>Tabel6689262829[[#This Row],[VAT DW 2017]]+Tabel6689262829[[#This Row],[VAT Sew. 2017]]+Tabel6689262829[[#This Row],[VAT WW 2017]]+Tabel6689262829[[#This Row],[VAT Other ch. 2017]]</f>
        <v>44.843626184767061</v>
      </c>
      <c r="S218" s="571">
        <f>Tabel6689262829[[#This Row],[Total. ch. DW 2017]]+Tabel6689262829[[#This Row],[Sew. 2017]]+Tabel6689262829[[#This Row],[VAT Sew. 2017]]+Tabel6689262829[[#This Row],[WW 2017]]+Tabel6689262829[[#This Row],[VAT WW 2017]]+Tabel6689262829[[#This Row],[Other ch. 2017]]+Tabel6689262829[[#This Row],[VAT Other ch. 2017]]</f>
        <v>366.44163382079017</v>
      </c>
      <c r="T218" s="397"/>
      <c r="U218" s="1886"/>
      <c r="V218" s="2130"/>
      <c r="W218" s="1890"/>
      <c r="X218" s="1772"/>
      <c r="Y218" s="1892"/>
      <c r="Z218" s="1894"/>
      <c r="AA218" s="1772"/>
      <c r="AB218" s="1911"/>
      <c r="AC218" s="1772"/>
      <c r="AD218" s="1913"/>
      <c r="AE218" s="1772"/>
      <c r="AF218" s="2138"/>
      <c r="AG218" s="2053"/>
      <c r="AH218" s="397"/>
      <c r="AI218" s="591" t="s">
        <v>429</v>
      </c>
      <c r="AJ218" s="591" t="s">
        <v>429</v>
      </c>
      <c r="AK218" s="591"/>
      <c r="AL218" s="591"/>
      <c r="AM218" s="591"/>
      <c r="AN218" s="591" t="s">
        <v>429</v>
      </c>
      <c r="AO218" s="398"/>
      <c r="AP218" s="397"/>
    </row>
    <row r="219" spans="1:42" ht="18" customHeight="1" x14ac:dyDescent="0.25">
      <c r="A219" s="1757"/>
      <c r="B219" s="633" t="s">
        <v>868</v>
      </c>
      <c r="C219" s="803"/>
      <c r="D219" s="803" t="s">
        <v>1118</v>
      </c>
      <c r="E219" s="1880"/>
      <c r="F219" s="616">
        <f>'exchange rates'!$O$50</f>
        <v>3.8868399999999999</v>
      </c>
      <c r="G219" s="549">
        <v>0</v>
      </c>
      <c r="H219" s="550">
        <f>642/F219</f>
        <v>165.17273672186147</v>
      </c>
      <c r="I219" s="551">
        <v>0</v>
      </c>
      <c r="J219" s="560">
        <f>57.78/F219</f>
        <v>14.865546304967532</v>
      </c>
      <c r="K219" s="566">
        <f>Tabel6689262829[[#This Row],[Fix.ch. 2017]]+Tabel6689262829[[#This Row],[Var. ch. 2017]]+Tabel6689262829[[#This Row],[Oth. ch. DW 2017]]+Tabel6689262829[[#This Row],[VAT DW 2017]]</f>
        <v>180.03828302682899</v>
      </c>
      <c r="L219" s="567">
        <v>0</v>
      </c>
      <c r="M219" s="560">
        <v>0</v>
      </c>
      <c r="N219" s="568">
        <f>426/F219</f>
        <v>109.60060100235667</v>
      </c>
      <c r="O219" s="560">
        <f>80.94/F219</f>
        <v>20.824114190447766</v>
      </c>
      <c r="P219" s="569">
        <v>0</v>
      </c>
      <c r="Q219" s="560">
        <v>0</v>
      </c>
      <c r="R219" s="570">
        <f>Tabel6689262829[[#This Row],[VAT DW 2017]]+Tabel6689262829[[#This Row],[VAT Sew. 2017]]+Tabel6689262829[[#This Row],[VAT WW 2017]]+Tabel6689262829[[#This Row],[VAT Other ch. 2017]]</f>
        <v>35.689660495415296</v>
      </c>
      <c r="S219" s="571">
        <f>Tabel6689262829[[#This Row],[Total. ch. DW 2017]]+Tabel6689262829[[#This Row],[Sew. 2017]]+Tabel6689262829[[#This Row],[VAT Sew. 2017]]+Tabel6689262829[[#This Row],[WW 2017]]+Tabel6689262829[[#This Row],[VAT WW 2017]]+Tabel6689262829[[#This Row],[Other ch. 2017]]+Tabel6689262829[[#This Row],[VAT Other ch. 2017]]</f>
        <v>310.46299821963339</v>
      </c>
      <c r="T219" s="397"/>
      <c r="U219" s="1886"/>
      <c r="V219" s="2130"/>
      <c r="W219" s="1890"/>
      <c r="X219" s="1772"/>
      <c r="Y219" s="1892"/>
      <c r="Z219" s="1894"/>
      <c r="AA219" s="1772"/>
      <c r="AB219" s="1911"/>
      <c r="AC219" s="1772"/>
      <c r="AD219" s="1913"/>
      <c r="AE219" s="1772"/>
      <c r="AF219" s="2138"/>
      <c r="AG219" s="2053"/>
      <c r="AH219" s="397"/>
      <c r="AI219" s="591" t="s">
        <v>429</v>
      </c>
      <c r="AJ219" s="591" t="s">
        <v>429</v>
      </c>
      <c r="AK219" s="591"/>
      <c r="AL219" s="591"/>
      <c r="AM219" s="591"/>
      <c r="AN219" s="591" t="s">
        <v>429</v>
      </c>
      <c r="AO219" s="398"/>
      <c r="AP219" s="397"/>
    </row>
    <row r="220" spans="1:42" ht="18" customHeight="1" x14ac:dyDescent="0.25">
      <c r="A220" s="1757"/>
      <c r="B220" s="633" t="s">
        <v>870</v>
      </c>
      <c r="C220" s="803"/>
      <c r="D220" s="803" t="s">
        <v>1118</v>
      </c>
      <c r="E220" s="1880"/>
      <c r="F220" s="616">
        <f>'exchange rates'!$O$50</f>
        <v>3.8868399999999999</v>
      </c>
      <c r="G220" s="549">
        <v>0</v>
      </c>
      <c r="H220" s="550">
        <f>844/F220</f>
        <v>217.1429747558428</v>
      </c>
      <c r="I220" s="551">
        <v>0</v>
      </c>
      <c r="J220" s="560">
        <f>75.96/F220</f>
        <v>19.54286772802585</v>
      </c>
      <c r="K220" s="566">
        <f>Tabel6689262829[[#This Row],[Fix.ch. 2017]]+Tabel6689262829[[#This Row],[Var. ch. 2017]]+Tabel6689262829[[#This Row],[Oth. ch. DW 2017]]+Tabel6689262829[[#This Row],[VAT DW 2017]]</f>
        <v>236.68584248386864</v>
      </c>
      <c r="L220" s="567">
        <v>0</v>
      </c>
      <c r="M220" s="560">
        <v>0</v>
      </c>
      <c r="N220" s="568">
        <f>436/F220</f>
        <v>112.17338506344485</v>
      </c>
      <c r="O220" s="560">
        <f>82.84/F220</f>
        <v>21.312943162054523</v>
      </c>
      <c r="P220" s="569">
        <v>0</v>
      </c>
      <c r="Q220" s="560">
        <v>0</v>
      </c>
      <c r="R220" s="570">
        <f>Tabel6689262829[[#This Row],[VAT DW 2017]]+Tabel6689262829[[#This Row],[VAT Sew. 2017]]+Tabel6689262829[[#This Row],[VAT WW 2017]]+Tabel6689262829[[#This Row],[VAT Other ch. 2017]]</f>
        <v>40.855810890080377</v>
      </c>
      <c r="S220" s="571">
        <f>Tabel6689262829[[#This Row],[Total. ch. DW 2017]]+Tabel6689262829[[#This Row],[Sew. 2017]]+Tabel6689262829[[#This Row],[VAT Sew. 2017]]+Tabel6689262829[[#This Row],[WW 2017]]+Tabel6689262829[[#This Row],[VAT WW 2017]]+Tabel6689262829[[#This Row],[Other ch. 2017]]+Tabel6689262829[[#This Row],[VAT Other ch. 2017]]</f>
        <v>370.172170709368</v>
      </c>
      <c r="T220" s="397"/>
      <c r="U220" s="1886"/>
      <c r="V220" s="2130"/>
      <c r="W220" s="1890"/>
      <c r="X220" s="1772"/>
      <c r="Y220" s="1892"/>
      <c r="Z220" s="1894"/>
      <c r="AA220" s="1772"/>
      <c r="AB220" s="1911"/>
      <c r="AC220" s="1772"/>
      <c r="AD220" s="1913"/>
      <c r="AE220" s="1772"/>
      <c r="AF220" s="2138"/>
      <c r="AG220" s="2053"/>
      <c r="AH220" s="397"/>
      <c r="AI220" s="591" t="s">
        <v>429</v>
      </c>
      <c r="AJ220" s="591" t="s">
        <v>429</v>
      </c>
      <c r="AK220" s="591"/>
      <c r="AL220" s="591"/>
      <c r="AM220" s="591"/>
      <c r="AN220" s="591" t="s">
        <v>429</v>
      </c>
      <c r="AO220" s="398"/>
      <c r="AP220" s="397"/>
    </row>
    <row r="221" spans="1:42" ht="18" customHeight="1" x14ac:dyDescent="0.25">
      <c r="A221" s="1757"/>
      <c r="B221" s="633" t="s">
        <v>871</v>
      </c>
      <c r="C221" s="803"/>
      <c r="D221" s="803" t="s">
        <v>1118</v>
      </c>
      <c r="E221" s="1880"/>
      <c r="F221" s="616">
        <f>'exchange rates'!$O$50</f>
        <v>3.8868399999999999</v>
      </c>
      <c r="G221" s="549">
        <v>0</v>
      </c>
      <c r="H221" s="550">
        <f>738/F221</f>
        <v>189.87146370830803</v>
      </c>
      <c r="I221" s="551">
        <v>0</v>
      </c>
      <c r="J221" s="560">
        <f>66.42/F221</f>
        <v>17.088431733747726</v>
      </c>
      <c r="K221" s="566">
        <f>Tabel6689262829[[#This Row],[Fix.ch. 2017]]+Tabel6689262829[[#This Row],[Var. ch. 2017]]+Tabel6689262829[[#This Row],[Oth. ch. DW 2017]]+Tabel6689262829[[#This Row],[VAT DW 2017]]</f>
        <v>206.95989544205577</v>
      </c>
      <c r="L221" s="567">
        <v>0</v>
      </c>
      <c r="M221" s="560">
        <v>0</v>
      </c>
      <c r="N221" s="568">
        <f>406/F221</f>
        <v>104.4550328801803</v>
      </c>
      <c r="O221" s="560">
        <f>77.14/F221</f>
        <v>19.846456247234258</v>
      </c>
      <c r="P221" s="569">
        <v>0</v>
      </c>
      <c r="Q221" s="560">
        <v>0</v>
      </c>
      <c r="R221" s="570">
        <f>Tabel6689262829[[#This Row],[VAT DW 2017]]+Tabel6689262829[[#This Row],[VAT Sew. 2017]]+Tabel6689262829[[#This Row],[VAT WW 2017]]+Tabel6689262829[[#This Row],[VAT Other ch. 2017]]</f>
        <v>36.934887980981983</v>
      </c>
      <c r="S221" s="571">
        <f>Tabel6689262829[[#This Row],[Total. ch. DW 2017]]+Tabel6689262829[[#This Row],[Sew. 2017]]+Tabel6689262829[[#This Row],[VAT Sew. 2017]]+Tabel6689262829[[#This Row],[WW 2017]]+Tabel6689262829[[#This Row],[VAT WW 2017]]+Tabel6689262829[[#This Row],[Other ch. 2017]]+Tabel6689262829[[#This Row],[VAT Other ch. 2017]]</f>
        <v>331.26138456947029</v>
      </c>
      <c r="T221" s="397"/>
      <c r="U221" s="1886"/>
      <c r="V221" s="2130"/>
      <c r="W221" s="1890"/>
      <c r="X221" s="1772"/>
      <c r="Y221" s="1892"/>
      <c r="Z221" s="1894"/>
      <c r="AA221" s="1772"/>
      <c r="AB221" s="1911"/>
      <c r="AC221" s="1772"/>
      <c r="AD221" s="1913"/>
      <c r="AE221" s="1772"/>
      <c r="AF221" s="2138"/>
      <c r="AG221" s="2053"/>
      <c r="AH221" s="397"/>
      <c r="AI221" s="591" t="s">
        <v>429</v>
      </c>
      <c r="AJ221" s="591" t="s">
        <v>429</v>
      </c>
      <c r="AK221" s="591"/>
      <c r="AL221" s="591"/>
      <c r="AM221" s="591"/>
      <c r="AN221" s="591" t="s">
        <v>429</v>
      </c>
      <c r="AO221" s="398"/>
      <c r="AP221" s="397"/>
    </row>
    <row r="222" spans="1:42" ht="18" customHeight="1" x14ac:dyDescent="0.25">
      <c r="A222" s="1757"/>
      <c r="B222" s="633" t="s">
        <v>872</v>
      </c>
      <c r="C222" s="803"/>
      <c r="D222" s="803" t="s">
        <v>1118</v>
      </c>
      <c r="E222" s="1880"/>
      <c r="F222" s="616">
        <f>'exchange rates'!$O$50</f>
        <v>3.8868399999999999</v>
      </c>
      <c r="G222" s="549">
        <v>0</v>
      </c>
      <c r="H222" s="550">
        <f>806/F222</f>
        <v>207.36639532370771</v>
      </c>
      <c r="I222" s="551">
        <v>0</v>
      </c>
      <c r="J222" s="560">
        <f>72.54/F222</f>
        <v>18.662975579133693</v>
      </c>
      <c r="K222" s="566">
        <f>Tabel6689262829[[#This Row],[Fix.ch. 2017]]+Tabel6689262829[[#This Row],[Var. ch. 2017]]+Tabel6689262829[[#This Row],[Oth. ch. DW 2017]]+Tabel6689262829[[#This Row],[VAT DW 2017]]</f>
        <v>226.02937090284141</v>
      </c>
      <c r="L222" s="567">
        <v>0</v>
      </c>
      <c r="M222" s="560">
        <v>0</v>
      </c>
      <c r="N222" s="568">
        <f>446/F222</f>
        <v>114.74616912453304</v>
      </c>
      <c r="O222" s="560">
        <f>84.74/F222</f>
        <v>21.801772133661277</v>
      </c>
      <c r="P222" s="569">
        <v>0</v>
      </c>
      <c r="Q222" s="560">
        <v>0</v>
      </c>
      <c r="R222" s="570">
        <f>Tabel6689262829[[#This Row],[VAT DW 2017]]+Tabel6689262829[[#This Row],[VAT Sew. 2017]]+Tabel6689262829[[#This Row],[VAT WW 2017]]+Tabel6689262829[[#This Row],[VAT Other ch. 2017]]</f>
        <v>40.464747712794974</v>
      </c>
      <c r="S222" s="571">
        <f>Tabel6689262829[[#This Row],[Total. ch. DW 2017]]+Tabel6689262829[[#This Row],[Sew. 2017]]+Tabel6689262829[[#This Row],[VAT Sew. 2017]]+Tabel6689262829[[#This Row],[WW 2017]]+Tabel6689262829[[#This Row],[VAT WW 2017]]+Tabel6689262829[[#This Row],[Other ch. 2017]]+Tabel6689262829[[#This Row],[VAT Other ch. 2017]]</f>
        <v>362.57731216103576</v>
      </c>
      <c r="T222" s="397"/>
      <c r="U222" s="1886"/>
      <c r="V222" s="2130"/>
      <c r="W222" s="1890"/>
      <c r="X222" s="1772"/>
      <c r="Y222" s="1892"/>
      <c r="Z222" s="1894"/>
      <c r="AA222" s="1772"/>
      <c r="AB222" s="1911"/>
      <c r="AC222" s="1772"/>
      <c r="AD222" s="1913"/>
      <c r="AE222" s="1772"/>
      <c r="AF222" s="2138"/>
      <c r="AG222" s="2053"/>
      <c r="AH222" s="397"/>
      <c r="AI222" s="591" t="s">
        <v>429</v>
      </c>
      <c r="AJ222" s="591" t="s">
        <v>429</v>
      </c>
      <c r="AK222" s="591"/>
      <c r="AL222" s="591"/>
      <c r="AM222" s="591"/>
      <c r="AN222" s="591" t="s">
        <v>429</v>
      </c>
      <c r="AO222" s="398"/>
      <c r="AP222" s="397"/>
    </row>
    <row r="223" spans="1:42" ht="18" customHeight="1" x14ac:dyDescent="0.25">
      <c r="A223" s="1757"/>
      <c r="B223" s="633" t="s">
        <v>874</v>
      </c>
      <c r="C223" s="803"/>
      <c r="D223" s="803" t="s">
        <v>1118</v>
      </c>
      <c r="E223" s="1880"/>
      <c r="F223" s="616">
        <f>'exchange rates'!$O$50</f>
        <v>3.8868399999999999</v>
      </c>
      <c r="G223" s="549">
        <v>0</v>
      </c>
      <c r="H223" s="550">
        <f>762/F223</f>
        <v>196.0461454549197</v>
      </c>
      <c r="I223" s="551">
        <v>0</v>
      </c>
      <c r="J223" s="560">
        <f>68.58/F223</f>
        <v>17.644153090942773</v>
      </c>
      <c r="K223" s="566">
        <f>Tabel6689262829[[#This Row],[Fix.ch. 2017]]+Tabel6689262829[[#This Row],[Var. ch. 2017]]+Tabel6689262829[[#This Row],[Oth. ch. DW 2017]]+Tabel6689262829[[#This Row],[VAT DW 2017]]</f>
        <v>213.69029854586248</v>
      </c>
      <c r="L223" s="567">
        <v>0</v>
      </c>
      <c r="M223" s="560">
        <v>0</v>
      </c>
      <c r="N223" s="568">
        <f>718/F223</f>
        <v>184.72589558613168</v>
      </c>
      <c r="O223" s="560">
        <f>136.42/F223</f>
        <v>35.097920161365018</v>
      </c>
      <c r="P223" s="569">
        <v>0</v>
      </c>
      <c r="Q223" s="560">
        <v>0</v>
      </c>
      <c r="R223" s="570">
        <f>Tabel6689262829[[#This Row],[VAT DW 2017]]+Tabel6689262829[[#This Row],[VAT Sew. 2017]]+Tabel6689262829[[#This Row],[VAT WW 2017]]+Tabel6689262829[[#This Row],[VAT Other ch. 2017]]</f>
        <v>52.74207325230779</v>
      </c>
      <c r="S223" s="571">
        <f>Tabel6689262829[[#This Row],[Total. ch. DW 2017]]+Tabel6689262829[[#This Row],[Sew. 2017]]+Tabel6689262829[[#This Row],[VAT Sew. 2017]]+Tabel6689262829[[#This Row],[WW 2017]]+Tabel6689262829[[#This Row],[VAT WW 2017]]+Tabel6689262829[[#This Row],[Other ch. 2017]]+Tabel6689262829[[#This Row],[VAT Other ch. 2017]]</f>
        <v>433.51411429335923</v>
      </c>
      <c r="T223" s="397"/>
      <c r="U223" s="1886"/>
      <c r="V223" s="2130"/>
      <c r="W223" s="1890"/>
      <c r="X223" s="1772"/>
      <c r="Y223" s="1892"/>
      <c r="Z223" s="1894"/>
      <c r="AA223" s="1772"/>
      <c r="AB223" s="1911"/>
      <c r="AC223" s="1772"/>
      <c r="AD223" s="1913"/>
      <c r="AE223" s="1772"/>
      <c r="AF223" s="2138"/>
      <c r="AG223" s="2053"/>
      <c r="AH223" s="397"/>
      <c r="AI223" s="591" t="s">
        <v>429</v>
      </c>
      <c r="AJ223" s="591" t="s">
        <v>429</v>
      </c>
      <c r="AK223" s="591"/>
      <c r="AL223" s="591"/>
      <c r="AM223" s="591"/>
      <c r="AN223" s="591" t="s">
        <v>429</v>
      </c>
      <c r="AO223" s="398"/>
      <c r="AP223" s="397"/>
    </row>
    <row r="224" spans="1:42" ht="18.600000000000001" customHeight="1" thickBot="1" x14ac:dyDescent="0.3">
      <c r="A224" s="1757"/>
      <c r="B224" s="634" t="s">
        <v>598</v>
      </c>
      <c r="C224" s="803"/>
      <c r="D224" s="803" t="s">
        <v>1118</v>
      </c>
      <c r="E224" s="1880"/>
      <c r="F224" s="616">
        <f>'exchange rates'!$O$50</f>
        <v>3.8868399999999999</v>
      </c>
      <c r="G224" s="549">
        <v>0</v>
      </c>
      <c r="H224" s="550">
        <f>734/F224</f>
        <v>188.84235008387276</v>
      </c>
      <c r="I224" s="551">
        <v>0</v>
      </c>
      <c r="J224" s="560">
        <f>66.06/F224</f>
        <v>16.995811507548549</v>
      </c>
      <c r="K224" s="566">
        <f>Tabel6689262829[[#This Row],[Fix.ch. 2017]]+Tabel6689262829[[#This Row],[Var. ch. 2017]]+Tabel6689262829[[#This Row],[Oth. ch. DW 2017]]+Tabel6689262829[[#This Row],[VAT DW 2017]]</f>
        <v>205.83816159142131</v>
      </c>
      <c r="L224" s="567">
        <v>0</v>
      </c>
      <c r="M224" s="560">
        <v>0</v>
      </c>
      <c r="N224" s="568">
        <f>758/F224</f>
        <v>195.0170318304844</v>
      </c>
      <c r="O224" s="560">
        <f>144.02/F224</f>
        <v>37.053236047792041</v>
      </c>
      <c r="P224" s="569">
        <v>0</v>
      </c>
      <c r="Q224" s="560">
        <v>0</v>
      </c>
      <c r="R224" s="570">
        <f>Tabel6689262829[[#This Row],[VAT DW 2017]]+Tabel6689262829[[#This Row],[VAT Sew. 2017]]+Tabel6689262829[[#This Row],[VAT WW 2017]]+Tabel6689262829[[#This Row],[VAT Other ch. 2017]]</f>
        <v>54.049047555340593</v>
      </c>
      <c r="S224" s="571">
        <f>Tabel6689262829[[#This Row],[Total. ch. DW 2017]]+Tabel6689262829[[#This Row],[Sew. 2017]]+Tabel6689262829[[#This Row],[VAT Sew. 2017]]+Tabel6689262829[[#This Row],[WW 2017]]+Tabel6689262829[[#This Row],[VAT WW 2017]]+Tabel6689262829[[#This Row],[Other ch. 2017]]+Tabel6689262829[[#This Row],[VAT Other ch. 2017]]</f>
        <v>437.90842946969775</v>
      </c>
      <c r="T224" s="397"/>
      <c r="U224" s="1886"/>
      <c r="V224" s="2130"/>
      <c r="W224" s="1890"/>
      <c r="X224" s="1783"/>
      <c r="Y224" s="1892"/>
      <c r="Z224" s="1894"/>
      <c r="AA224" s="1783"/>
      <c r="AB224" s="1911"/>
      <c r="AC224" s="1783"/>
      <c r="AD224" s="1913"/>
      <c r="AE224" s="1783"/>
      <c r="AF224" s="2138"/>
      <c r="AG224" s="2053"/>
      <c r="AH224" s="397"/>
      <c r="AI224" s="591" t="s">
        <v>429</v>
      </c>
      <c r="AJ224" s="591" t="s">
        <v>429</v>
      </c>
      <c r="AK224" s="591"/>
      <c r="AL224" s="591"/>
      <c r="AM224" s="591"/>
      <c r="AN224" s="591" t="s">
        <v>429</v>
      </c>
      <c r="AO224" s="398"/>
      <c r="AP224" s="397"/>
    </row>
    <row r="225" spans="1:42" ht="18.600000000000001" customHeight="1" x14ac:dyDescent="0.25">
      <c r="A225" s="2164" t="s">
        <v>693</v>
      </c>
      <c r="B225" s="650" t="s">
        <v>887</v>
      </c>
      <c r="C225" s="803" t="s">
        <v>429</v>
      </c>
      <c r="D225" s="653" t="s">
        <v>1120</v>
      </c>
      <c r="E225" s="2166">
        <v>27900</v>
      </c>
      <c r="F225" s="616">
        <f>'exchange rates'!$O$51</f>
        <v>57.611829999999998</v>
      </c>
      <c r="G225" s="549">
        <v>0</v>
      </c>
      <c r="H225" s="550">
        <f>6148/F225</f>
        <v>106.71419394245939</v>
      </c>
      <c r="I225" s="551">
        <v>0</v>
      </c>
      <c r="J225" s="560">
        <v>0</v>
      </c>
      <c r="K225" s="566">
        <f>Tabel6689262829[[#This Row],[Fix.ch. 2017]]+Tabel6689262829[[#This Row],[Var. ch. 2017]]+Tabel6689262829[[#This Row],[Oth. ch. DW 2017]]</f>
        <v>106.71419394245939</v>
      </c>
      <c r="L225" s="567">
        <f>4408/F225</f>
        <v>76.512063581385974</v>
      </c>
      <c r="M225" s="560">
        <v>0</v>
      </c>
      <c r="N225" s="568">
        <v>0</v>
      </c>
      <c r="O225" s="560">
        <v>0</v>
      </c>
      <c r="P225" s="569">
        <v>0</v>
      </c>
      <c r="Q225" s="560">
        <v>0</v>
      </c>
      <c r="R225" s="570">
        <f>Tabel6689262829[[#This Row],[VAT DW 2017]]+Tabel6689262829[[#This Row],[VAT Sew. 2017]]+Tabel6689262829[[#This Row],[VAT WW 2017]]+Tabel6689262829[[#This Row],[VAT Other ch. 2017]]</f>
        <v>0</v>
      </c>
      <c r="S225" s="571">
        <f>Tabel6689262829[[#This Row],[Total. ch. DW 2017]]+Tabel6689262829[[#This Row],[Sew. 2017]]+Tabel6689262829[[#This Row],[VAT Sew. 2017]]+Tabel6689262829[[#This Row],[WW 2017]]+Tabel6689262829[[#This Row],[VAT WW 2017]]+Tabel6689262829[[#This Row],[Other ch. 2017]]+Tabel6689262829[[#This Row],[VAT Other ch. 2017]]</f>
        <v>183.22625752384536</v>
      </c>
      <c r="T225" s="397"/>
      <c r="U225" s="2167">
        <f>G226</f>
        <v>0</v>
      </c>
      <c r="V225" s="2131">
        <f>H226</f>
        <v>96.577386970696821</v>
      </c>
      <c r="W225" s="2133">
        <f>I226</f>
        <v>4.0095931686252637</v>
      </c>
      <c r="X225" s="1908">
        <f>J226</f>
        <v>0</v>
      </c>
      <c r="Y225" s="2134">
        <f>SUM(U225:X226)</f>
        <v>100.58698013932208</v>
      </c>
      <c r="Z225" s="2135">
        <f t="shared" ref="Z225:AF225" si="29">L226</f>
        <v>84.392389549160299</v>
      </c>
      <c r="AA225" s="1908">
        <f t="shared" si="29"/>
        <v>0</v>
      </c>
      <c r="AB225" s="2140">
        <f t="shared" si="29"/>
        <v>0</v>
      </c>
      <c r="AC225" s="1908">
        <f t="shared" si="29"/>
        <v>0</v>
      </c>
      <c r="AD225" s="2161">
        <f t="shared" si="29"/>
        <v>4.3741016385002878</v>
      </c>
      <c r="AE225" s="1908">
        <f t="shared" si="29"/>
        <v>0</v>
      </c>
      <c r="AF225" s="2162">
        <f t="shared" si="29"/>
        <v>0</v>
      </c>
      <c r="AG225" s="2139">
        <f>Y225+Z225+AA225+AB225+AC225+AD225+AE225</f>
        <v>189.35347132698269</v>
      </c>
      <c r="AH225" s="397"/>
      <c r="AI225" s="591"/>
      <c r="AJ225" s="591"/>
      <c r="AK225" s="591"/>
      <c r="AL225" s="591"/>
      <c r="AM225" s="591"/>
      <c r="AN225" s="591"/>
      <c r="AO225" s="398"/>
      <c r="AP225" s="397"/>
    </row>
    <row r="226" spans="1:42" ht="16.5" thickBot="1" x14ac:dyDescent="0.3">
      <c r="A226" s="2165"/>
      <c r="B226" s="651" t="s">
        <v>694</v>
      </c>
      <c r="C226" s="651"/>
      <c r="D226" s="823" t="s">
        <v>1120</v>
      </c>
      <c r="E226" s="1761"/>
      <c r="F226" s="616">
        <f>'exchange rates'!$O$51</f>
        <v>57.611829999999998</v>
      </c>
      <c r="G226" s="549">
        <f>0</f>
        <v>0</v>
      </c>
      <c r="H226" s="550">
        <f>5564/F226</f>
        <v>96.577386970696821</v>
      </c>
      <c r="I226" s="551">
        <f>231/F226</f>
        <v>4.0095931686252637</v>
      </c>
      <c r="J226" s="560">
        <v>0</v>
      </c>
      <c r="K226" s="566">
        <f>Tabel6689262829[[#This Row],[Fix.ch. 2017]]+Tabel6689262829[[#This Row],[Var. ch. 2017]]+Tabel6689262829[[#This Row],[Oth. ch. DW 2017]]+Tabel6689262829[[#This Row],[VAT DW 2017]]</f>
        <v>100.58698013932208</v>
      </c>
      <c r="L226" s="567">
        <f>4862/F226</f>
        <v>84.392389549160299</v>
      </c>
      <c r="M226" s="560">
        <v>0</v>
      </c>
      <c r="N226" s="568">
        <f>0</f>
        <v>0</v>
      </c>
      <c r="O226" s="560">
        <v>0</v>
      </c>
      <c r="P226" s="569">
        <f>252/F226</f>
        <v>4.3741016385002878</v>
      </c>
      <c r="Q226" s="560">
        <v>0</v>
      </c>
      <c r="R226" s="570">
        <f>Tabel6689262829[[#This Row],[VAT DW 2017]]+Tabel6689262829[[#This Row],[VAT Sew. 2017]]+Tabel6689262829[[#This Row],[VAT WW 2017]]+Tabel6689262829[[#This Row],[VAT Other ch. 2017]]</f>
        <v>0</v>
      </c>
      <c r="S226" s="571">
        <f>Tabel6689262829[[#This Row],[Total. ch. DW 2017]]+Tabel6689262829[[#This Row],[Sew. 2017]]+Tabel6689262829[[#This Row],[VAT Sew. 2017]]+Tabel6689262829[[#This Row],[WW 2017]]+Tabel6689262829[[#This Row],[VAT WW 2017]]+Tabel6689262829[[#This Row],[Other ch. 2017]]+Tabel6689262829[[#This Row],[VAT Other ch. 2017]]</f>
        <v>189.35347132698269</v>
      </c>
      <c r="T226" s="397"/>
      <c r="U226" s="1764"/>
      <c r="V226" s="2132"/>
      <c r="W226" s="1770"/>
      <c r="X226" s="1773"/>
      <c r="Y226" s="1776"/>
      <c r="Z226" s="1779"/>
      <c r="AA226" s="1773"/>
      <c r="AB226" s="1811"/>
      <c r="AC226" s="1773"/>
      <c r="AD226" s="1813"/>
      <c r="AE226" s="1773"/>
      <c r="AF226" s="2163"/>
      <c r="AG226" s="1991"/>
      <c r="AH226" s="397"/>
      <c r="AI226" s="591" t="s">
        <v>429</v>
      </c>
      <c r="AJ226" s="396"/>
      <c r="AK226" s="398"/>
      <c r="AL226" s="398"/>
      <c r="AM226" s="398"/>
      <c r="AN226" s="396"/>
      <c r="AO226" s="398"/>
      <c r="AP226" s="397"/>
    </row>
    <row r="227" spans="1:42" ht="18.75" x14ac:dyDescent="0.25">
      <c r="A227" s="2147" t="s">
        <v>47</v>
      </c>
      <c r="B227" s="693" t="s">
        <v>1154</v>
      </c>
      <c r="C227" s="1046" t="s">
        <v>429</v>
      </c>
      <c r="D227" s="802"/>
      <c r="E227" s="1759">
        <v>43600</v>
      </c>
      <c r="F227" s="617">
        <f>'exchange rates'!$O$52</f>
        <v>0.73992000000000002</v>
      </c>
      <c r="G227" s="549"/>
      <c r="H227" s="550"/>
      <c r="I227" s="551"/>
      <c r="J227" s="560"/>
      <c r="K227" s="566">
        <f>Tabel6689262829[[#This Row],[Fix.ch. 2017]]+Tabel6689262829[[#This Row],[Var. ch. 2017]]+Tabel6689262829[[#This Row],[Oth. ch. DW 2017]]</f>
        <v>0</v>
      </c>
      <c r="L227" s="567"/>
      <c r="M227" s="560"/>
      <c r="N227" s="568"/>
      <c r="O227" s="560"/>
      <c r="P227" s="569"/>
      <c r="Q227" s="560"/>
      <c r="R227" s="570"/>
      <c r="S227" s="571">
        <f>Tabel6689262829[[#This Row],[Total. ch. DW 2017]]+Tabel6689262829[[#This Row],[Sew. 2017]]+Tabel6689262829[[#This Row],[WW 2017]]+Tabel6689262829[[#This Row],[Other ch. 2017]]+Tabel6689262829[[#This Row],[Total VAT 2017]]</f>
        <v>0</v>
      </c>
      <c r="T227" s="397"/>
      <c r="U227" s="825"/>
      <c r="V227" s="826"/>
      <c r="W227" s="827"/>
      <c r="X227" s="828"/>
      <c r="Y227" s="829"/>
      <c r="Z227" s="830"/>
      <c r="AA227" s="828"/>
      <c r="AB227" s="831"/>
      <c r="AC227" s="828"/>
      <c r="AD227" s="832"/>
      <c r="AE227" s="828"/>
      <c r="AF227" s="833"/>
      <c r="AG227" s="834"/>
      <c r="AH227" s="397"/>
      <c r="AI227" s="591" t="s">
        <v>429</v>
      </c>
      <c r="AJ227" s="396"/>
      <c r="AK227" s="398"/>
      <c r="AL227" s="398"/>
      <c r="AM227" s="591" t="s">
        <v>429</v>
      </c>
      <c r="AN227" s="396"/>
      <c r="AO227" s="398"/>
      <c r="AP227" s="397"/>
    </row>
    <row r="228" spans="1:42" ht="15.75" x14ac:dyDescent="0.25">
      <c r="A228" s="2148"/>
      <c r="B228" s="276" t="s">
        <v>204</v>
      </c>
      <c r="C228" s="1048"/>
      <c r="D228" s="805" t="s">
        <v>1121</v>
      </c>
      <c r="E228" s="1760"/>
      <c r="F228" s="617">
        <f>'exchange rates'!$O$52</f>
        <v>0.73992000000000002</v>
      </c>
      <c r="G228" s="319"/>
      <c r="H228" s="320"/>
      <c r="I228" s="321"/>
      <c r="J228" s="559"/>
      <c r="K228" s="313">
        <f>Tabel6689262829[[#This Row],[Fix.ch. 2017]]+Tabel6689262829[[#This Row],[Var. ch. 2017]]+Tabel6689262829[[#This Row],[Oth. ch. DW 2017]]+Tabel6689262829[[#This Row],[VAT DW 2017]]</f>
        <v>0</v>
      </c>
      <c r="L228" s="322"/>
      <c r="M228" s="559"/>
      <c r="N228" s="323"/>
      <c r="O228" s="559"/>
      <c r="P228" s="324"/>
      <c r="Q228" s="559"/>
      <c r="R228" s="317">
        <f>Tabel6689262829[[#This Row],[VAT DW 2017]]+Tabel6689262829[[#This Row],[VAT Sew. 2017]]+Tabel6689262829[[#This Row],[VAT WW 2017]]+Tabel6689262829[[#This Row],[VAT Other ch. 2017]]</f>
        <v>0</v>
      </c>
      <c r="S228" s="318">
        <f>Tabel6689262829[[#This Row],[Total. ch. DW 2017]]+Tabel6689262829[[#This Row],[Sew. 2017]]+Tabel6689262829[[#This Row],[VAT Sew. 2017]]+Tabel6689262829[[#This Row],[WW 2017]]+Tabel6689262829[[#This Row],[VAT WW 2017]]+Tabel6689262829[[#This Row],[Other ch. 2017]]+Tabel6689262829[[#This Row],[VAT Other ch. 2017]]</f>
        <v>0</v>
      </c>
      <c r="T228" s="397"/>
      <c r="U228" s="349"/>
      <c r="V228" s="350"/>
      <c r="W228" s="351"/>
      <c r="X228" s="582"/>
      <c r="Y228" s="352"/>
      <c r="Z228" s="353"/>
      <c r="AA228" s="582"/>
      <c r="AB228" s="354"/>
      <c r="AC228" s="582"/>
      <c r="AD228" s="355"/>
      <c r="AE228" s="582"/>
      <c r="AF228" s="356"/>
      <c r="AG228" s="357"/>
      <c r="AH228" s="397"/>
      <c r="AI228" s="400"/>
      <c r="AJ228" s="400"/>
      <c r="AK228" s="398"/>
      <c r="AL228" s="398"/>
      <c r="AM228" s="398"/>
      <c r="AN228" s="398"/>
      <c r="AO228" s="398"/>
      <c r="AP228" s="397"/>
    </row>
    <row r="229" spans="1:42" ht="15.75" x14ac:dyDescent="0.25">
      <c r="A229" s="2148"/>
      <c r="B229" s="276" t="s">
        <v>205</v>
      </c>
      <c r="C229" s="1048"/>
      <c r="D229" s="805" t="s">
        <v>1121</v>
      </c>
      <c r="E229" s="1760"/>
      <c r="F229" s="617">
        <f>'exchange rates'!$O$52</f>
        <v>0.73992000000000002</v>
      </c>
      <c r="G229" s="319"/>
      <c r="H229" s="320"/>
      <c r="I229" s="321"/>
      <c r="J229" s="559"/>
      <c r="K229" s="313">
        <f>Tabel6689262829[[#This Row],[Fix.ch. 2017]]+Tabel6689262829[[#This Row],[Var. ch. 2017]]+Tabel6689262829[[#This Row],[Oth. ch. DW 2017]]+Tabel6689262829[[#This Row],[VAT DW 2017]]</f>
        <v>0</v>
      </c>
      <c r="L229" s="322"/>
      <c r="M229" s="559"/>
      <c r="N229" s="323"/>
      <c r="O229" s="559"/>
      <c r="P229" s="324"/>
      <c r="Q229" s="559"/>
      <c r="R229" s="317">
        <f>Tabel6689262829[[#This Row],[VAT DW 2017]]+Tabel6689262829[[#This Row],[VAT Sew. 2017]]+Tabel6689262829[[#This Row],[VAT WW 2017]]+Tabel6689262829[[#This Row],[VAT Other ch. 2017]]</f>
        <v>0</v>
      </c>
      <c r="S229" s="318">
        <f>Tabel6689262829[[#This Row],[Total. ch. DW 2017]]+Tabel6689262829[[#This Row],[Sew. 2017]]+Tabel6689262829[[#This Row],[VAT Sew. 2017]]+Tabel6689262829[[#This Row],[WW 2017]]+Tabel6689262829[[#This Row],[VAT WW 2017]]+Tabel6689262829[[#This Row],[Other ch. 2017]]+Tabel6689262829[[#This Row],[VAT Other ch. 2017]]</f>
        <v>0</v>
      </c>
      <c r="T229" s="397"/>
      <c r="U229" s="358"/>
      <c r="V229" s="359"/>
      <c r="W229" s="360"/>
      <c r="X229" s="586"/>
      <c r="Y229" s="361"/>
      <c r="Z229" s="362"/>
      <c r="AA229" s="586"/>
      <c r="AB229" s="363"/>
      <c r="AC229" s="586"/>
      <c r="AD229" s="364"/>
      <c r="AE229" s="586"/>
      <c r="AF229" s="365"/>
      <c r="AG229" s="366"/>
      <c r="AH229" s="397"/>
      <c r="AI229" s="400"/>
      <c r="AJ229" s="400"/>
      <c r="AK229" s="398"/>
      <c r="AL229" s="398"/>
      <c r="AM229" s="398"/>
      <c r="AN229" s="398"/>
      <c r="AO229" s="398"/>
      <c r="AP229" s="397"/>
    </row>
    <row r="230" spans="1:42" ht="15.75" x14ac:dyDescent="0.25">
      <c r="A230" s="2148"/>
      <c r="B230" s="276" t="s">
        <v>206</v>
      </c>
      <c r="C230" s="1048"/>
      <c r="D230" s="805" t="s">
        <v>1121</v>
      </c>
      <c r="E230" s="1760"/>
      <c r="F230" s="617">
        <f>'exchange rates'!$O$52</f>
        <v>0.73992000000000002</v>
      </c>
      <c r="G230" s="319"/>
      <c r="H230" s="320"/>
      <c r="I230" s="321"/>
      <c r="J230" s="559"/>
      <c r="K230" s="313">
        <f>Tabel6689262829[[#This Row],[Fix.ch. 2017]]+Tabel6689262829[[#This Row],[Var. ch. 2017]]+Tabel6689262829[[#This Row],[Oth. ch. DW 2017]]+Tabel6689262829[[#This Row],[VAT DW 2017]]</f>
        <v>0</v>
      </c>
      <c r="L230" s="322"/>
      <c r="M230" s="559"/>
      <c r="N230" s="323"/>
      <c r="O230" s="559"/>
      <c r="P230" s="324"/>
      <c r="Q230" s="559"/>
      <c r="R230" s="317">
        <f>Tabel6689262829[[#This Row],[VAT DW 2017]]+Tabel6689262829[[#This Row],[VAT Sew. 2017]]+Tabel6689262829[[#This Row],[VAT WW 2017]]+Tabel6689262829[[#This Row],[VAT Other ch. 2017]]</f>
        <v>0</v>
      </c>
      <c r="S230" s="318">
        <f>Tabel6689262829[[#This Row],[Total. ch. DW 2017]]+Tabel6689262829[[#This Row],[Sew. 2017]]+Tabel6689262829[[#This Row],[VAT Sew. 2017]]+Tabel6689262829[[#This Row],[WW 2017]]+Tabel6689262829[[#This Row],[VAT WW 2017]]+Tabel6689262829[[#This Row],[Other ch. 2017]]+Tabel6689262829[[#This Row],[VAT Other ch. 2017]]</f>
        <v>0</v>
      </c>
      <c r="T230" s="397"/>
      <c r="U230" s="358"/>
      <c r="V230" s="359"/>
      <c r="W230" s="360"/>
      <c r="X230" s="586"/>
      <c r="Y230" s="361"/>
      <c r="Z230" s="362"/>
      <c r="AA230" s="586"/>
      <c r="AB230" s="363"/>
      <c r="AC230" s="586"/>
      <c r="AD230" s="364"/>
      <c r="AE230" s="586"/>
      <c r="AF230" s="365"/>
      <c r="AG230" s="366"/>
      <c r="AH230" s="397"/>
      <c r="AI230" s="400"/>
      <c r="AJ230" s="400"/>
      <c r="AK230" s="398"/>
      <c r="AL230" s="398"/>
      <c r="AM230" s="398"/>
      <c r="AN230" s="398"/>
      <c r="AO230" s="398"/>
      <c r="AP230" s="397"/>
    </row>
    <row r="231" spans="1:42" ht="15.75" x14ac:dyDescent="0.25">
      <c r="A231" s="2148"/>
      <c r="B231" s="276" t="s">
        <v>207</v>
      </c>
      <c r="C231" s="1048"/>
      <c r="D231" s="805" t="s">
        <v>1121</v>
      </c>
      <c r="E231" s="1760"/>
      <c r="F231" s="617">
        <f>'exchange rates'!$O$52</f>
        <v>0.73992000000000002</v>
      </c>
      <c r="G231" s="319"/>
      <c r="H231" s="320"/>
      <c r="I231" s="321"/>
      <c r="J231" s="559"/>
      <c r="K231" s="313">
        <f>Tabel6689262829[[#This Row],[Fix.ch. 2017]]+Tabel6689262829[[#This Row],[Var. ch. 2017]]+Tabel6689262829[[#This Row],[Oth. ch. DW 2017]]+Tabel6689262829[[#This Row],[VAT DW 2017]]</f>
        <v>0</v>
      </c>
      <c r="L231" s="322"/>
      <c r="M231" s="559"/>
      <c r="N231" s="323"/>
      <c r="O231" s="559"/>
      <c r="P231" s="324"/>
      <c r="Q231" s="559"/>
      <c r="R231" s="317">
        <f>Tabel6689262829[[#This Row],[VAT DW 2017]]+Tabel6689262829[[#This Row],[VAT Sew. 2017]]+Tabel6689262829[[#This Row],[VAT WW 2017]]+Tabel6689262829[[#This Row],[VAT Other ch. 2017]]</f>
        <v>0</v>
      </c>
      <c r="S231" s="318">
        <f>Tabel6689262829[[#This Row],[Total. ch. DW 2017]]+Tabel6689262829[[#This Row],[Sew. 2017]]+Tabel6689262829[[#This Row],[VAT Sew. 2017]]+Tabel6689262829[[#This Row],[WW 2017]]+Tabel6689262829[[#This Row],[VAT WW 2017]]+Tabel6689262829[[#This Row],[Other ch. 2017]]+Tabel6689262829[[#This Row],[VAT Other ch. 2017]]</f>
        <v>0</v>
      </c>
      <c r="T231" s="397"/>
      <c r="U231" s="358"/>
      <c r="V231" s="359"/>
      <c r="W231" s="360"/>
      <c r="X231" s="586"/>
      <c r="Y231" s="361"/>
      <c r="Z231" s="362"/>
      <c r="AA231" s="586"/>
      <c r="AB231" s="363"/>
      <c r="AC231" s="586"/>
      <c r="AD231" s="364"/>
      <c r="AE231" s="586"/>
      <c r="AF231" s="365"/>
      <c r="AG231" s="366"/>
      <c r="AH231" s="397"/>
      <c r="AI231" s="400"/>
      <c r="AJ231" s="400"/>
      <c r="AK231" s="398"/>
      <c r="AL231" s="398"/>
      <c r="AM231" s="398"/>
      <c r="AN231" s="398"/>
      <c r="AO231" s="398"/>
      <c r="AP231" s="397"/>
    </row>
    <row r="232" spans="1:42" ht="15.75" x14ac:dyDescent="0.25">
      <c r="A232" s="2148"/>
      <c r="B232" s="276" t="s">
        <v>208</v>
      </c>
      <c r="C232" s="1048"/>
      <c r="D232" s="805" t="s">
        <v>1121</v>
      </c>
      <c r="E232" s="1760"/>
      <c r="F232" s="617">
        <f>'exchange rates'!$O$52</f>
        <v>0.73992000000000002</v>
      </c>
      <c r="G232" s="319"/>
      <c r="H232" s="320"/>
      <c r="I232" s="321"/>
      <c r="J232" s="559"/>
      <c r="K232" s="313">
        <f>Tabel6689262829[[#This Row],[Fix.ch. 2017]]+Tabel6689262829[[#This Row],[Var. ch. 2017]]+Tabel6689262829[[#This Row],[Oth. ch. DW 2017]]+Tabel6689262829[[#This Row],[VAT DW 2017]]</f>
        <v>0</v>
      </c>
      <c r="L232" s="322"/>
      <c r="M232" s="559"/>
      <c r="N232" s="323"/>
      <c r="O232" s="559"/>
      <c r="P232" s="324"/>
      <c r="Q232" s="559"/>
      <c r="R232" s="317">
        <f>Tabel6689262829[[#This Row],[VAT DW 2017]]+Tabel6689262829[[#This Row],[VAT Sew. 2017]]+Tabel6689262829[[#This Row],[VAT WW 2017]]+Tabel6689262829[[#This Row],[VAT Other ch. 2017]]</f>
        <v>0</v>
      </c>
      <c r="S232" s="318">
        <f>Tabel6689262829[[#This Row],[Total. ch. DW 2017]]+Tabel6689262829[[#This Row],[Sew. 2017]]+Tabel6689262829[[#This Row],[VAT Sew. 2017]]+Tabel6689262829[[#This Row],[WW 2017]]+Tabel6689262829[[#This Row],[VAT WW 2017]]+Tabel6689262829[[#This Row],[Other ch. 2017]]+Tabel6689262829[[#This Row],[VAT Other ch. 2017]]</f>
        <v>0</v>
      </c>
      <c r="T232" s="397"/>
      <c r="U232" s="358"/>
      <c r="V232" s="359"/>
      <c r="W232" s="360"/>
      <c r="X232" s="586"/>
      <c r="Y232" s="361"/>
      <c r="Z232" s="362"/>
      <c r="AA232" s="586"/>
      <c r="AB232" s="363"/>
      <c r="AC232" s="586"/>
      <c r="AD232" s="364"/>
      <c r="AE232" s="586"/>
      <c r="AF232" s="365"/>
      <c r="AG232" s="366"/>
      <c r="AH232" s="397"/>
      <c r="AI232" s="400"/>
      <c r="AJ232" s="400"/>
      <c r="AK232" s="398"/>
      <c r="AL232" s="398"/>
      <c r="AM232" s="398"/>
      <c r="AN232" s="398"/>
      <c r="AO232" s="398"/>
      <c r="AP232" s="397"/>
    </row>
    <row r="233" spans="1:42" ht="15.75" x14ac:dyDescent="0.25">
      <c r="A233" s="2148"/>
      <c r="B233" s="276" t="s">
        <v>209</v>
      </c>
      <c r="C233" s="1048"/>
      <c r="D233" s="805" t="s">
        <v>1121</v>
      </c>
      <c r="E233" s="1760"/>
      <c r="F233" s="617">
        <f>'exchange rates'!$O$52</f>
        <v>0.73992000000000002</v>
      </c>
      <c r="G233" s="319"/>
      <c r="H233" s="320"/>
      <c r="I233" s="321"/>
      <c r="J233" s="559"/>
      <c r="K233" s="313">
        <f>Tabel6689262829[[#This Row],[Fix.ch. 2017]]+Tabel6689262829[[#This Row],[Var. ch. 2017]]+Tabel6689262829[[#This Row],[Oth. ch. DW 2017]]+Tabel6689262829[[#This Row],[VAT DW 2017]]</f>
        <v>0</v>
      </c>
      <c r="L233" s="322"/>
      <c r="M233" s="559"/>
      <c r="N233" s="323"/>
      <c r="O233" s="559"/>
      <c r="P233" s="324"/>
      <c r="Q233" s="559"/>
      <c r="R233" s="317">
        <f>Tabel6689262829[[#This Row],[VAT DW 2017]]+Tabel6689262829[[#This Row],[VAT Sew. 2017]]+Tabel6689262829[[#This Row],[VAT WW 2017]]+Tabel6689262829[[#This Row],[VAT Other ch. 2017]]</f>
        <v>0</v>
      </c>
      <c r="S233" s="318">
        <f>Tabel6689262829[[#This Row],[Total. ch. DW 2017]]+Tabel6689262829[[#This Row],[Sew. 2017]]+Tabel6689262829[[#This Row],[VAT Sew. 2017]]+Tabel6689262829[[#This Row],[WW 2017]]+Tabel6689262829[[#This Row],[VAT WW 2017]]+Tabel6689262829[[#This Row],[Other ch. 2017]]+Tabel6689262829[[#This Row],[VAT Other ch. 2017]]</f>
        <v>0</v>
      </c>
      <c r="T233" s="397"/>
      <c r="U233" s="358"/>
      <c r="V233" s="359"/>
      <c r="W233" s="360"/>
      <c r="X233" s="586"/>
      <c r="Y233" s="361"/>
      <c r="Z233" s="362"/>
      <c r="AA233" s="586"/>
      <c r="AB233" s="363"/>
      <c r="AC233" s="586"/>
      <c r="AD233" s="364"/>
      <c r="AE233" s="586"/>
      <c r="AF233" s="365"/>
      <c r="AG233" s="366"/>
      <c r="AH233" s="397"/>
      <c r="AI233" s="400"/>
      <c r="AJ233" s="400"/>
      <c r="AK233" s="398"/>
      <c r="AL233" s="398"/>
      <c r="AM233" s="398"/>
      <c r="AN233" s="398"/>
      <c r="AO233" s="398"/>
      <c r="AP233" s="397"/>
    </row>
    <row r="234" spans="1:42" ht="15.75" x14ac:dyDescent="0.25">
      <c r="A234" s="2148"/>
      <c r="B234" s="276" t="s">
        <v>210</v>
      </c>
      <c r="C234" s="1048"/>
      <c r="D234" s="805" t="s">
        <v>1121</v>
      </c>
      <c r="E234" s="1760"/>
      <c r="F234" s="617">
        <f>'exchange rates'!$O$52</f>
        <v>0.73992000000000002</v>
      </c>
      <c r="G234" s="319"/>
      <c r="H234" s="320"/>
      <c r="I234" s="321"/>
      <c r="J234" s="559"/>
      <c r="K234" s="313">
        <f>Tabel6689262829[[#This Row],[Fix.ch. 2017]]+Tabel6689262829[[#This Row],[Var. ch. 2017]]+Tabel6689262829[[#This Row],[Oth. ch. DW 2017]]+Tabel6689262829[[#This Row],[VAT DW 2017]]</f>
        <v>0</v>
      </c>
      <c r="L234" s="322"/>
      <c r="M234" s="559"/>
      <c r="N234" s="323"/>
      <c r="O234" s="559"/>
      <c r="P234" s="324"/>
      <c r="Q234" s="559"/>
      <c r="R234" s="317">
        <f>Tabel6689262829[[#This Row],[VAT DW 2017]]+Tabel6689262829[[#This Row],[VAT Sew. 2017]]+Tabel6689262829[[#This Row],[VAT WW 2017]]+Tabel6689262829[[#This Row],[VAT Other ch. 2017]]</f>
        <v>0</v>
      </c>
      <c r="S234" s="318">
        <f>Tabel6689262829[[#This Row],[Total. ch. DW 2017]]+Tabel6689262829[[#This Row],[Sew. 2017]]+Tabel6689262829[[#This Row],[VAT Sew. 2017]]+Tabel6689262829[[#This Row],[WW 2017]]+Tabel6689262829[[#This Row],[VAT WW 2017]]+Tabel6689262829[[#This Row],[Other ch. 2017]]+Tabel6689262829[[#This Row],[VAT Other ch. 2017]]</f>
        <v>0</v>
      </c>
      <c r="T234" s="397"/>
      <c r="U234" s="358"/>
      <c r="V234" s="359"/>
      <c r="W234" s="360"/>
      <c r="X234" s="586"/>
      <c r="Y234" s="361"/>
      <c r="Z234" s="362"/>
      <c r="AA234" s="586"/>
      <c r="AB234" s="363"/>
      <c r="AC234" s="586"/>
      <c r="AD234" s="364"/>
      <c r="AE234" s="586"/>
      <c r="AF234" s="365"/>
      <c r="AG234" s="366"/>
      <c r="AH234" s="397"/>
      <c r="AI234" s="400"/>
      <c r="AJ234" s="400"/>
      <c r="AK234" s="398"/>
      <c r="AL234" s="398"/>
      <c r="AM234" s="398"/>
      <c r="AN234" s="398"/>
      <c r="AO234" s="398"/>
      <c r="AP234" s="397"/>
    </row>
    <row r="235" spans="1:42" ht="16.5" thickBot="1" x14ac:dyDescent="0.3">
      <c r="A235" s="2149"/>
      <c r="B235" s="835" t="s">
        <v>211</v>
      </c>
      <c r="C235" s="835"/>
      <c r="D235" s="801" t="s">
        <v>1121</v>
      </c>
      <c r="E235" s="1761"/>
      <c r="F235" s="617">
        <f>'exchange rates'!$O$52</f>
        <v>0.73992000000000002</v>
      </c>
      <c r="G235" s="319"/>
      <c r="H235" s="320"/>
      <c r="I235" s="321"/>
      <c r="J235" s="559"/>
      <c r="K235" s="313">
        <f>Tabel6689262829[[#This Row],[Fix.ch. 2017]]+Tabel6689262829[[#This Row],[Var. ch. 2017]]+Tabel6689262829[[#This Row],[Oth. ch. DW 2017]]+Tabel6689262829[[#This Row],[VAT DW 2017]]</f>
        <v>0</v>
      </c>
      <c r="L235" s="322"/>
      <c r="M235" s="559"/>
      <c r="N235" s="323"/>
      <c r="O235" s="559"/>
      <c r="P235" s="324"/>
      <c r="Q235" s="559"/>
      <c r="R235" s="317">
        <f>Tabel6689262829[[#This Row],[VAT DW 2017]]+Tabel6689262829[[#This Row],[VAT Sew. 2017]]+Tabel6689262829[[#This Row],[VAT WW 2017]]+Tabel6689262829[[#This Row],[VAT Other ch. 2017]]</f>
        <v>0</v>
      </c>
      <c r="S235" s="318">
        <f>Tabel6689262829[[#This Row],[Total. ch. DW 2017]]+Tabel6689262829[[#This Row],[Sew. 2017]]+Tabel6689262829[[#This Row],[VAT Sew. 2017]]+Tabel6689262829[[#This Row],[WW 2017]]+Tabel6689262829[[#This Row],[VAT WW 2017]]+Tabel6689262829[[#This Row],[Other ch. 2017]]+Tabel6689262829[[#This Row],[VAT Other ch. 2017]]</f>
        <v>0</v>
      </c>
      <c r="T235" s="397"/>
      <c r="U235" s="358"/>
      <c r="V235" s="359"/>
      <c r="W235" s="360"/>
      <c r="X235" s="586"/>
      <c r="Y235" s="361"/>
      <c r="Z235" s="362"/>
      <c r="AA235" s="586"/>
      <c r="AB235" s="363"/>
      <c r="AC235" s="586"/>
      <c r="AD235" s="364"/>
      <c r="AE235" s="586"/>
      <c r="AF235" s="365"/>
      <c r="AG235" s="366"/>
      <c r="AH235" s="397"/>
      <c r="AI235" s="400"/>
      <c r="AJ235" s="400"/>
      <c r="AK235" s="398"/>
      <c r="AL235" s="398"/>
      <c r="AM235" s="398"/>
      <c r="AN235" s="398"/>
      <c r="AO235" s="398"/>
      <c r="AP235" s="397"/>
    </row>
    <row r="236" spans="1:42" ht="15.75" x14ac:dyDescent="0.25">
      <c r="A236" s="2150" t="s">
        <v>41</v>
      </c>
      <c r="B236" s="261" t="s">
        <v>192</v>
      </c>
      <c r="C236" s="261" t="s">
        <v>429</v>
      </c>
      <c r="D236" s="261" t="s">
        <v>1123</v>
      </c>
      <c r="E236" s="2153"/>
      <c r="F236" s="306"/>
      <c r="G236" s="325"/>
      <c r="H236" s="326"/>
      <c r="I236" s="327"/>
      <c r="J236" s="561"/>
      <c r="K236" s="313">
        <f>Tabel6689262829[[#This Row],[Fix.ch. 2017]]+Tabel6689262829[[#This Row],[Var. ch. 2017]]+Tabel6689262829[[#This Row],[Oth. ch. DW 2017]]+Tabel6689262829[[#This Row],[VAT DW 2017]]</f>
        <v>0</v>
      </c>
      <c r="L236" s="328"/>
      <c r="M236" s="561"/>
      <c r="N236" s="329"/>
      <c r="O236" s="561"/>
      <c r="P236" s="330"/>
      <c r="Q236" s="561"/>
      <c r="R236" s="317">
        <f>Tabel6689262829[[#This Row],[VAT DW 2017]]+Tabel6689262829[[#This Row],[VAT Sew. 2017]]+Tabel6689262829[[#This Row],[VAT WW 2017]]+Tabel6689262829[[#This Row],[VAT Other ch. 2017]]</f>
        <v>0</v>
      </c>
      <c r="S236" s="318">
        <f>Tabel6689262829[[#This Row],[Total. ch. DW 2017]]+Tabel6689262829[[#This Row],[Sew. 2017]]+Tabel6689262829[[#This Row],[VAT Sew. 2017]]+Tabel6689262829[[#This Row],[WW 2017]]+Tabel6689262829[[#This Row],[VAT WW 2017]]+Tabel6689262829[[#This Row],[Other ch. 2017]]+Tabel6689262829[[#This Row],[VAT Other ch. 2017]]</f>
        <v>0</v>
      </c>
      <c r="T236" s="397"/>
      <c r="U236" s="358"/>
      <c r="V236" s="359"/>
      <c r="W236" s="360"/>
      <c r="X236" s="586"/>
      <c r="Y236" s="361"/>
      <c r="Z236" s="362"/>
      <c r="AA236" s="586"/>
      <c r="AB236" s="363"/>
      <c r="AC236" s="586"/>
      <c r="AD236" s="364"/>
      <c r="AE236" s="586"/>
      <c r="AF236" s="365"/>
      <c r="AG236" s="366"/>
      <c r="AH236" s="397"/>
      <c r="AI236" s="398"/>
      <c r="AJ236" s="398"/>
      <c r="AK236" s="398"/>
      <c r="AL236" s="398"/>
      <c r="AM236" s="398"/>
      <c r="AN236" s="398"/>
      <c r="AO236" s="398"/>
      <c r="AP236" s="397"/>
    </row>
    <row r="237" spans="1:42" ht="15.75" x14ac:dyDescent="0.25">
      <c r="A237" s="2151"/>
      <c r="B237" s="261" t="s">
        <v>193</v>
      </c>
      <c r="C237" s="261"/>
      <c r="D237" s="261" t="s">
        <v>1123</v>
      </c>
      <c r="E237" s="2154"/>
      <c r="F237" s="306"/>
      <c r="G237" s="325"/>
      <c r="H237" s="326"/>
      <c r="I237" s="327"/>
      <c r="J237" s="561"/>
      <c r="K237" s="313">
        <f>Tabel6689262829[[#This Row],[Fix.ch. 2017]]+Tabel6689262829[[#This Row],[Var. ch. 2017]]+Tabel6689262829[[#This Row],[Oth. ch. DW 2017]]+Tabel6689262829[[#This Row],[VAT DW 2017]]</f>
        <v>0</v>
      </c>
      <c r="L237" s="328"/>
      <c r="M237" s="561"/>
      <c r="N237" s="329"/>
      <c r="O237" s="561"/>
      <c r="P237" s="330"/>
      <c r="Q237" s="561"/>
      <c r="R237" s="317">
        <f>Tabel6689262829[[#This Row],[VAT DW 2017]]+Tabel6689262829[[#This Row],[VAT Sew. 2017]]+Tabel6689262829[[#This Row],[VAT WW 2017]]+Tabel6689262829[[#This Row],[VAT Other ch. 2017]]</f>
        <v>0</v>
      </c>
      <c r="S237" s="318">
        <f>Tabel6689262829[[#This Row],[Total. ch. DW 2017]]+Tabel6689262829[[#This Row],[Sew. 2017]]+Tabel6689262829[[#This Row],[VAT Sew. 2017]]+Tabel6689262829[[#This Row],[WW 2017]]+Tabel6689262829[[#This Row],[VAT WW 2017]]+Tabel6689262829[[#This Row],[Other ch. 2017]]+Tabel6689262829[[#This Row],[VAT Other ch. 2017]]</f>
        <v>0</v>
      </c>
      <c r="T237" s="397"/>
      <c r="U237" s="358"/>
      <c r="V237" s="359"/>
      <c r="W237" s="360"/>
      <c r="X237" s="586"/>
      <c r="Y237" s="361"/>
      <c r="Z237" s="362"/>
      <c r="AA237" s="586"/>
      <c r="AB237" s="363"/>
      <c r="AC237" s="586"/>
      <c r="AD237" s="364"/>
      <c r="AE237" s="586"/>
      <c r="AF237" s="365"/>
      <c r="AG237" s="366"/>
      <c r="AH237" s="397"/>
      <c r="AI237" s="398"/>
      <c r="AJ237" s="398"/>
      <c r="AK237" s="398"/>
      <c r="AL237" s="398"/>
      <c r="AM237" s="398"/>
      <c r="AN237" s="398"/>
      <c r="AO237" s="398"/>
      <c r="AP237" s="397"/>
    </row>
    <row r="238" spans="1:42" ht="16.5" thickBot="1" x14ac:dyDescent="0.3">
      <c r="A238" s="2152"/>
      <c r="B238" s="261" t="s">
        <v>194</v>
      </c>
      <c r="C238" s="261"/>
      <c r="D238" s="261" t="s">
        <v>1123</v>
      </c>
      <c r="E238" s="2155"/>
      <c r="F238" s="306"/>
      <c r="G238" s="325"/>
      <c r="H238" s="326"/>
      <c r="I238" s="327"/>
      <c r="J238" s="561"/>
      <c r="K238" s="313">
        <f>Tabel6689262829[[#This Row],[Fix.ch. 2017]]+Tabel6689262829[[#This Row],[Var. ch. 2017]]+Tabel6689262829[[#This Row],[Oth. ch. DW 2017]]+Tabel6689262829[[#This Row],[VAT DW 2017]]</f>
        <v>0</v>
      </c>
      <c r="L238" s="328"/>
      <c r="M238" s="561"/>
      <c r="N238" s="329"/>
      <c r="O238" s="561"/>
      <c r="P238" s="330"/>
      <c r="Q238" s="561"/>
      <c r="R238" s="317">
        <f>Tabel6689262829[[#This Row],[VAT DW 2017]]+Tabel6689262829[[#This Row],[VAT Sew. 2017]]+Tabel6689262829[[#This Row],[VAT WW 2017]]+Tabel6689262829[[#This Row],[VAT Other ch. 2017]]</f>
        <v>0</v>
      </c>
      <c r="S238" s="318">
        <f>Tabel6689262829[[#This Row],[Total. ch. DW 2017]]+Tabel6689262829[[#This Row],[Sew. 2017]]+Tabel6689262829[[#This Row],[VAT Sew. 2017]]+Tabel6689262829[[#This Row],[WW 2017]]+Tabel6689262829[[#This Row],[VAT WW 2017]]+Tabel6689262829[[#This Row],[Other ch. 2017]]+Tabel6689262829[[#This Row],[VAT Other ch. 2017]]</f>
        <v>0</v>
      </c>
      <c r="T238" s="397"/>
      <c r="U238" s="367"/>
      <c r="V238" s="368"/>
      <c r="W238" s="369"/>
      <c r="X238" s="587"/>
      <c r="Y238" s="370"/>
      <c r="Z238" s="371"/>
      <c r="AA238" s="587"/>
      <c r="AB238" s="372"/>
      <c r="AC238" s="587"/>
      <c r="AD238" s="373"/>
      <c r="AE238" s="587"/>
      <c r="AF238" s="374"/>
      <c r="AG238" s="375"/>
      <c r="AH238" s="397"/>
      <c r="AI238" s="398"/>
      <c r="AJ238" s="398"/>
      <c r="AK238" s="398"/>
      <c r="AL238" s="398"/>
      <c r="AM238" s="398"/>
      <c r="AN238" s="398"/>
      <c r="AO238" s="398"/>
      <c r="AP238" s="397"/>
    </row>
    <row r="239" spans="1:42" ht="19.5" thickBot="1" x14ac:dyDescent="0.35">
      <c r="A239" s="270" t="s">
        <v>42</v>
      </c>
      <c r="B239" s="260" t="s">
        <v>42</v>
      </c>
      <c r="C239" s="1049" t="s">
        <v>429</v>
      </c>
      <c r="D239" s="817" t="s">
        <v>1125</v>
      </c>
      <c r="E239" s="301">
        <v>59900</v>
      </c>
      <c r="F239" s="306">
        <v>1.2966299999999999</v>
      </c>
      <c r="G239" s="319">
        <v>0</v>
      </c>
      <c r="H239" s="320">
        <f>234/F239</f>
        <v>180.46782813909905</v>
      </c>
      <c r="I239" s="321">
        <f>70.2/F239</f>
        <v>54.140348441729721</v>
      </c>
      <c r="J239" s="559"/>
      <c r="K239" s="313">
        <f>Tabel6689262829[[#This Row],[Fix.ch. 2017]]+Tabel6689262829[[#This Row],[Var. ch. 2017]]+Tabel6689262829[[#This Row],[Oth. ch. DW 2017]]+Tabel6689262829[[#This Row],[VAT DW 2017]]</f>
        <v>234.60817658082877</v>
      </c>
      <c r="L239" s="322">
        <v>0</v>
      </c>
      <c r="M239" s="559"/>
      <c r="N239" s="323">
        <f>56.06/F239</f>
        <v>43.23515574990553</v>
      </c>
      <c r="O239" s="559"/>
      <c r="P239" s="324">
        <f>67.29/F239</f>
        <v>51.896069040512721</v>
      </c>
      <c r="Q239" s="559"/>
      <c r="R239" s="317">
        <f>Tabel6689262829[[#This Row],[VAT DW 2017]]+Tabel6689262829[[#This Row],[VAT Sew. 2017]]+Tabel6689262829[[#This Row],[VAT WW 2017]]+Tabel6689262829[[#This Row],[VAT Other ch. 2017]]</f>
        <v>0</v>
      </c>
      <c r="S239" s="318">
        <f>Tabel6689262829[[#This Row],[Total. ch. DW 2017]]+Tabel6689262829[[#This Row],[Sew. 2017]]+Tabel6689262829[[#This Row],[VAT Sew. 2017]]+Tabel6689262829[[#This Row],[WW 2017]]+Tabel6689262829[[#This Row],[VAT WW 2017]]+Tabel6689262829[[#This Row],[Other ch. 2017]]+Tabel6689262829[[#This Row],[VAT Other ch. 2017]]</f>
        <v>329.73940137124703</v>
      </c>
      <c r="T239" s="397"/>
      <c r="U239" s="331">
        <f>Tabel6689262829[[#This Row],[Fix.ch. 2017]]</f>
        <v>0</v>
      </c>
      <c r="V239" s="332">
        <f>Tabel6689262829[[#This Row],[Var. ch. 2017]]</f>
        <v>180.46782813909905</v>
      </c>
      <c r="W239" s="333">
        <f>Tabel6689262829[[#This Row],[Oth. ch. DW 2017]]</f>
        <v>54.140348441729721</v>
      </c>
      <c r="X239" s="574"/>
      <c r="Y239" s="334">
        <f>Tabel6689262829[[#This Row],[Total. ch. DW 2017]]</f>
        <v>234.60817658082877</v>
      </c>
      <c r="Z239" s="335">
        <f>Tabel6689262829[[#This Row],[Sew. 2017]]</f>
        <v>0</v>
      </c>
      <c r="AA239" s="574"/>
      <c r="AB239" s="336">
        <f>Tabel6689262829[[#This Row],[WW 2017]]</f>
        <v>43.23515574990553</v>
      </c>
      <c r="AC239" s="574"/>
      <c r="AD239" s="337">
        <f>Tabel6689262829[[#This Row],[Other ch. 2017]]</f>
        <v>51.896069040512721</v>
      </c>
      <c r="AE239" s="574"/>
      <c r="AF239" s="338">
        <f>Tabel6689262829[[#This Row],[Total VAT 2017]]</f>
        <v>0</v>
      </c>
      <c r="AG239" s="339">
        <f>Tabel6689262829[[#This Row],[total charge 2017]]</f>
        <v>329.73940137124703</v>
      </c>
      <c r="AH239" s="397"/>
      <c r="AI239" s="398"/>
      <c r="AJ239" s="398"/>
      <c r="AK239" s="398"/>
      <c r="AL239" s="396" t="s">
        <v>429</v>
      </c>
      <c r="AM239" s="398"/>
      <c r="AN239" s="398"/>
      <c r="AO239" s="398"/>
      <c r="AP239" s="397"/>
    </row>
    <row r="240" spans="1:42" ht="18.75" x14ac:dyDescent="0.25">
      <c r="A240" s="1833" t="s">
        <v>24</v>
      </c>
      <c r="B240" s="289" t="s">
        <v>140</v>
      </c>
      <c r="C240" s="1048" t="s">
        <v>429</v>
      </c>
      <c r="D240" s="805" t="s">
        <v>1127</v>
      </c>
      <c r="E240" s="2156">
        <v>23400</v>
      </c>
      <c r="F240" s="307">
        <v>0.77166999999999997</v>
      </c>
      <c r="G240" s="319">
        <f>0.9*200/F240</f>
        <v>233.26033148884886</v>
      </c>
      <c r="H240" s="320">
        <v>0</v>
      </c>
      <c r="I240" s="321">
        <v>0</v>
      </c>
      <c r="J240" s="559"/>
      <c r="K240" s="313">
        <f>Tabel6689262829[[#This Row],[Fix.ch. 2017]]+Tabel6689262829[[#This Row],[Var. ch. 2017]]+Tabel6689262829[[#This Row],[Oth. ch. DW 2017]]+Tabel6689262829[[#This Row],[VAT DW 2017]]</f>
        <v>233.26033148884886</v>
      </c>
      <c r="L240" s="322">
        <f>1.02*200/F240</f>
        <v>264.3617090206954</v>
      </c>
      <c r="M240" s="559"/>
      <c r="N240" s="323">
        <v>0</v>
      </c>
      <c r="O240" s="559"/>
      <c r="P240" s="324">
        <v>0</v>
      </c>
      <c r="Q240" s="559"/>
      <c r="R240" s="317">
        <f>Tabel6689262829[[#This Row],[VAT DW 2017]]+Tabel6689262829[[#This Row],[VAT Sew. 2017]]+Tabel6689262829[[#This Row],[VAT WW 2017]]+Tabel6689262829[[#This Row],[VAT Other ch. 2017]]</f>
        <v>0</v>
      </c>
      <c r="S240" s="318">
        <f>Tabel6689262829[[#This Row],[Total. ch. DW 2017]]+Tabel6689262829[[#This Row],[Sew. 2017]]+Tabel6689262829[[#This Row],[VAT Sew. 2017]]+Tabel6689262829[[#This Row],[WW 2017]]+Tabel6689262829[[#This Row],[VAT WW 2017]]+Tabel6689262829[[#This Row],[Other ch. 2017]]+Tabel6689262829[[#This Row],[VAT Other ch. 2017]]</f>
        <v>497.62204050954426</v>
      </c>
      <c r="T240" s="397"/>
      <c r="U240" s="1839">
        <f>SUM(G240:G242)/3</f>
        <v>264.3617090206954</v>
      </c>
      <c r="V240" s="1842">
        <v>0</v>
      </c>
      <c r="W240" s="1845">
        <v>0</v>
      </c>
      <c r="X240" s="575"/>
      <c r="Y240" s="1848">
        <f>SUM(K240:K242)/3</f>
        <v>264.3617090206954</v>
      </c>
      <c r="Z240" s="1851">
        <f>SUM(L240:L242)/3</f>
        <v>282.50417924760586</v>
      </c>
      <c r="AA240" s="575"/>
      <c r="AB240" s="1854">
        <v>0</v>
      </c>
      <c r="AC240" s="575"/>
      <c r="AD240" s="1857">
        <v>0</v>
      </c>
      <c r="AE240" s="575"/>
      <c r="AF240" s="1872">
        <f>SUM(R240:R242)/3</f>
        <v>0</v>
      </c>
      <c r="AG240" s="1875">
        <f>SUM(S240:S242)/3</f>
        <v>546.86588826830121</v>
      </c>
      <c r="AH240" s="397"/>
      <c r="AI240" s="398"/>
      <c r="AJ240" s="396" t="s">
        <v>429</v>
      </c>
      <c r="AK240" s="396" t="s">
        <v>429</v>
      </c>
      <c r="AL240" s="396"/>
      <c r="AM240" s="396" t="s">
        <v>429</v>
      </c>
      <c r="AN240" s="398"/>
      <c r="AO240" s="398"/>
      <c r="AP240" s="397"/>
    </row>
    <row r="241" spans="1:42" ht="18.75" x14ac:dyDescent="0.25">
      <c r="A241" s="1834"/>
      <c r="B241" s="269" t="s">
        <v>141</v>
      </c>
      <c r="C241" s="1048"/>
      <c r="D241" s="805" t="s">
        <v>1127</v>
      </c>
      <c r="E241" s="2157"/>
      <c r="F241" s="307">
        <v>0.77166999999999997</v>
      </c>
      <c r="G241" s="319">
        <f>0.96*200/F241</f>
        <v>248.81102025477213</v>
      </c>
      <c r="H241" s="320">
        <v>0</v>
      </c>
      <c r="I241" s="321">
        <v>0</v>
      </c>
      <c r="J241" s="559"/>
      <c r="K241" s="313">
        <f>Tabel6689262829[[#This Row],[Fix.ch. 2017]]+Tabel6689262829[[#This Row],[Var. ch. 2017]]+Tabel6689262829[[#This Row],[Oth. ch. DW 2017]]+Tabel6689262829[[#This Row],[VAT DW 2017]]</f>
        <v>248.81102025477213</v>
      </c>
      <c r="L241" s="322">
        <f>1.1*200/F241</f>
        <v>285.09596070859311</v>
      </c>
      <c r="M241" s="559"/>
      <c r="N241" s="323">
        <v>0</v>
      </c>
      <c r="O241" s="559"/>
      <c r="P241" s="324">
        <v>0</v>
      </c>
      <c r="Q241" s="559"/>
      <c r="R241" s="317">
        <f>Tabel6689262829[[#This Row],[VAT DW 2017]]+Tabel6689262829[[#This Row],[VAT Sew. 2017]]+Tabel6689262829[[#This Row],[VAT WW 2017]]+Tabel6689262829[[#This Row],[VAT Other ch. 2017]]</f>
        <v>0</v>
      </c>
      <c r="S241" s="318">
        <f>Tabel6689262829[[#This Row],[Total. ch. DW 2017]]+Tabel6689262829[[#This Row],[Sew. 2017]]+Tabel6689262829[[#This Row],[VAT Sew. 2017]]+Tabel6689262829[[#This Row],[WW 2017]]+Tabel6689262829[[#This Row],[VAT WW 2017]]+Tabel6689262829[[#This Row],[Other ch. 2017]]+Tabel6689262829[[#This Row],[VAT Other ch. 2017]]</f>
        <v>533.90698096336519</v>
      </c>
      <c r="T241" s="397"/>
      <c r="U241" s="2158"/>
      <c r="V241" s="2159"/>
      <c r="W241" s="2160"/>
      <c r="X241" s="576"/>
      <c r="Y241" s="2141"/>
      <c r="Z241" s="2142"/>
      <c r="AA241" s="576"/>
      <c r="AB241" s="2143"/>
      <c r="AC241" s="576"/>
      <c r="AD241" s="2144"/>
      <c r="AE241" s="576"/>
      <c r="AF241" s="2145"/>
      <c r="AG241" s="2146"/>
      <c r="AH241" s="397"/>
      <c r="AI241" s="398"/>
      <c r="AJ241" s="396" t="s">
        <v>429</v>
      </c>
      <c r="AK241" s="396" t="s">
        <v>429</v>
      </c>
      <c r="AL241" s="396"/>
      <c r="AM241" s="396" t="s">
        <v>429</v>
      </c>
      <c r="AN241" s="398"/>
      <c r="AO241" s="398"/>
      <c r="AP241" s="397"/>
    </row>
    <row r="242" spans="1:42" ht="19.5" thickBot="1" x14ac:dyDescent="0.3">
      <c r="A242" s="1835"/>
      <c r="B242" s="290" t="s">
        <v>142</v>
      </c>
      <c r="C242" s="1048"/>
      <c r="D242" s="805" t="s">
        <v>1127</v>
      </c>
      <c r="E242" s="1838"/>
      <c r="F242" s="307">
        <v>0.77166999999999997</v>
      </c>
      <c r="G242" s="319">
        <f>1.2*200/F242</f>
        <v>311.01377531846515</v>
      </c>
      <c r="H242" s="320">
        <v>0</v>
      </c>
      <c r="I242" s="321">
        <v>0</v>
      </c>
      <c r="J242" s="559"/>
      <c r="K242" s="313">
        <f>Tabel6689262829[[#This Row],[Fix.ch. 2017]]+Tabel6689262829[[#This Row],[Var. ch. 2017]]+Tabel6689262829[[#This Row],[Oth. ch. DW 2017]]+Tabel6689262829[[#This Row],[VAT DW 2017]]</f>
        <v>311.01377531846515</v>
      </c>
      <c r="L242" s="322">
        <f>1.15*200/F242</f>
        <v>298.05486801352907</v>
      </c>
      <c r="M242" s="559"/>
      <c r="N242" s="323">
        <v>0</v>
      </c>
      <c r="O242" s="559"/>
      <c r="P242" s="324">
        <v>0</v>
      </c>
      <c r="Q242" s="559"/>
      <c r="R242" s="317">
        <f>Tabel6689262829[[#This Row],[VAT DW 2017]]+Tabel6689262829[[#This Row],[VAT Sew. 2017]]+Tabel6689262829[[#This Row],[VAT WW 2017]]+Tabel6689262829[[#This Row],[VAT Other ch. 2017]]</f>
        <v>0</v>
      </c>
      <c r="S242" s="318">
        <f>Tabel6689262829[[#This Row],[Total. ch. DW 2017]]+Tabel6689262829[[#This Row],[Sew. 2017]]+Tabel6689262829[[#This Row],[VAT Sew. 2017]]+Tabel6689262829[[#This Row],[WW 2017]]+Tabel6689262829[[#This Row],[VAT WW 2017]]+Tabel6689262829[[#This Row],[Other ch. 2017]]+Tabel6689262829[[#This Row],[VAT Other ch. 2017]]</f>
        <v>609.06864333199428</v>
      </c>
      <c r="T242" s="397"/>
      <c r="U242" s="1841"/>
      <c r="V242" s="1844"/>
      <c r="W242" s="1847"/>
      <c r="X242" s="577"/>
      <c r="Y242" s="1850"/>
      <c r="Z242" s="1853"/>
      <c r="AA242" s="577"/>
      <c r="AB242" s="1856"/>
      <c r="AC242" s="577"/>
      <c r="AD242" s="1859"/>
      <c r="AE242" s="577"/>
      <c r="AF242" s="1874"/>
      <c r="AG242" s="1877"/>
      <c r="AH242" s="397"/>
      <c r="AI242" s="398"/>
      <c r="AJ242" s="396" t="s">
        <v>429</v>
      </c>
      <c r="AK242" s="396" t="s">
        <v>429</v>
      </c>
      <c r="AL242" s="396"/>
      <c r="AM242" s="396" t="s">
        <v>429</v>
      </c>
      <c r="AN242" s="398"/>
      <c r="AO242" s="398"/>
      <c r="AP242" s="397"/>
    </row>
    <row r="243" spans="1:42" ht="19.5" thickBot="1" x14ac:dyDescent="0.35">
      <c r="A243" s="267" t="s">
        <v>43</v>
      </c>
      <c r="B243" s="294" t="s">
        <v>644</v>
      </c>
      <c r="C243" s="261" t="s">
        <v>429</v>
      </c>
      <c r="D243" s="808" t="s">
        <v>1129</v>
      </c>
      <c r="E243" s="301">
        <v>11500</v>
      </c>
      <c r="F243" s="306">
        <f>'exchange rates'!K56</f>
        <v>10.498559999999999</v>
      </c>
      <c r="G243" s="319">
        <v>0</v>
      </c>
      <c r="H243" s="320">
        <f>1099.22/F243</f>
        <v>104.70197817605462</v>
      </c>
      <c r="I243" s="321">
        <v>0</v>
      </c>
      <c r="J243" s="559"/>
      <c r="K243" s="313">
        <f>Tabel6689262829[[#This Row],[Fix.ch. 2017]]+Tabel6689262829[[#This Row],[Var. ch. 2017]]+Tabel6689262829[[#This Row],[Oth. ch. DW 2017]]+Tabel6689262829[[#This Row],[VAT DW 2017]]</f>
        <v>104.70197817605462</v>
      </c>
      <c r="L243" s="322">
        <f>860.9/F243</f>
        <v>82.00172214094124</v>
      </c>
      <c r="M243" s="559"/>
      <c r="N243" s="323">
        <v>0</v>
      </c>
      <c r="O243" s="559"/>
      <c r="P243" s="324">
        <v>0</v>
      </c>
      <c r="Q243" s="559"/>
      <c r="R243" s="317">
        <f>Tabel6689262829[[#This Row],[VAT DW 2017]]+Tabel6689262829[[#This Row],[VAT Sew. 2017]]+Tabel6689262829[[#This Row],[VAT WW 2017]]+Tabel6689262829[[#This Row],[VAT Other ch. 2017]]</f>
        <v>0</v>
      </c>
      <c r="S243" s="318">
        <f>Tabel6689262829[[#This Row],[Total. ch. DW 2017]]+Tabel6689262829[[#This Row],[Sew. 2017]]+Tabel6689262829[[#This Row],[VAT Sew. 2017]]+Tabel6689262829[[#This Row],[WW 2017]]+Tabel6689262829[[#This Row],[VAT WW 2017]]+Tabel6689262829[[#This Row],[Other ch. 2017]]+Tabel6689262829[[#This Row],[VAT Other ch. 2017]]</f>
        <v>186.70370031699588</v>
      </c>
      <c r="T243" s="397"/>
      <c r="U243" s="340">
        <f>Tabel6689262829[[#This Row],[Fix.ch. 2017]]</f>
        <v>0</v>
      </c>
      <c r="V243" s="341">
        <f>Tabel6689262829[[#This Row],[Var. ch. 2017]]</f>
        <v>104.70197817605462</v>
      </c>
      <c r="W243" s="333">
        <f>Tabel6689262829[[#This Row],[Oth. ch. DW 2017]]</f>
        <v>0</v>
      </c>
      <c r="X243" s="574"/>
      <c r="Y243" s="334">
        <f>Tabel6689262829[[#This Row],[Total. ch. DW 2017]]</f>
        <v>104.70197817605462</v>
      </c>
      <c r="Z243" s="335">
        <f>Tabel6689262829[[#This Row],[Sew. 2017]]</f>
        <v>82.00172214094124</v>
      </c>
      <c r="AA243" s="574"/>
      <c r="AB243" s="336">
        <f>Tabel6689262829[[#This Row],[WW 2017]]</f>
        <v>0</v>
      </c>
      <c r="AC243" s="574"/>
      <c r="AD243" s="337">
        <f>Tabel6689262829[[#This Row],[Other ch. 2017]]</f>
        <v>0</v>
      </c>
      <c r="AE243" s="574"/>
      <c r="AF243" s="338">
        <f>Tabel6689262829[[#This Row],[Total VAT 2017]]</f>
        <v>0</v>
      </c>
      <c r="AG243" s="458">
        <f>SUM(Y243:AF243)</f>
        <v>186.70370031699588</v>
      </c>
      <c r="AH243" s="397"/>
      <c r="AI243" s="398"/>
      <c r="AJ243" s="398"/>
      <c r="AK243" s="398"/>
      <c r="AL243" s="396" t="s">
        <v>429</v>
      </c>
      <c r="AM243" s="396"/>
      <c r="AN243" s="396" t="s">
        <v>429</v>
      </c>
      <c r="AO243" s="398"/>
      <c r="AP243" s="397"/>
    </row>
    <row r="244" spans="1:42" ht="19.5" thickBot="1" x14ac:dyDescent="0.3">
      <c r="A244" s="267" t="s">
        <v>450</v>
      </c>
      <c r="B244" s="261" t="s">
        <v>177</v>
      </c>
      <c r="C244" s="261"/>
      <c r="D244" s="808" t="s">
        <v>1028</v>
      </c>
      <c r="E244" s="301">
        <v>40800</v>
      </c>
      <c r="F244" s="306">
        <v>0.97958999999999996</v>
      </c>
      <c r="G244" s="310">
        <f>142.4/F244</f>
        <v>145.36693922967774</v>
      </c>
      <c r="H244" s="311">
        <f>352/F244</f>
        <v>359.33400708459664</v>
      </c>
      <c r="I244" s="312">
        <f>36/F244</f>
        <v>36.750068906379198</v>
      </c>
      <c r="J244" s="558"/>
      <c r="K244" s="313">
        <f>Tabel6689262829[[#This Row],[Fix.ch. 2017]]+Tabel6689262829[[#This Row],[Var. ch. 2017]]+Tabel6689262829[[#This Row],[Oth. ch. DW 2017]]+Tabel6689262829[[#This Row],[VAT DW 2017]]</f>
        <v>541.45101522065352</v>
      </c>
      <c r="L244" s="314">
        <f>457.3/F244</f>
        <v>466.82795863575581</v>
      </c>
      <c r="M244" s="558"/>
      <c r="N244" s="315">
        <f>0</f>
        <v>0</v>
      </c>
      <c r="O244" s="558"/>
      <c r="P244" s="316">
        <v>0</v>
      </c>
      <c r="Q244" s="558"/>
      <c r="R244" s="317">
        <f>Tabel6689262829[[#This Row],[VAT DW 2017]]+Tabel6689262829[[#This Row],[VAT Sew. 2017]]+Tabel6689262829[[#This Row],[VAT WW 2017]]+Tabel6689262829[[#This Row],[VAT Other ch. 2017]]</f>
        <v>0</v>
      </c>
      <c r="S244" s="318">
        <f>Tabel6689262829[[#This Row],[Total. ch. DW 2017]]+Tabel6689262829[[#This Row],[Sew. 2017]]+Tabel6689262829[[#This Row],[VAT Sew. 2017]]+Tabel6689262829[[#This Row],[WW 2017]]+Tabel6689262829[[#This Row],[VAT WW 2017]]+Tabel6689262829[[#This Row],[Other ch. 2017]]+Tabel6689262829[[#This Row],[VAT Other ch. 2017]]</f>
        <v>1008.2789738564093</v>
      </c>
      <c r="T244" s="397"/>
      <c r="U244" s="340">
        <f>Tabel6689262829[[#This Row],[Fix.ch. 2017]]</f>
        <v>145.36693922967774</v>
      </c>
      <c r="V244" s="341">
        <v>359.33400708459664</v>
      </c>
      <c r="W244" s="342">
        <v>36.750068906379198</v>
      </c>
      <c r="X244" s="581"/>
      <c r="Y244" s="343">
        <v>541.45101522065352</v>
      </c>
      <c r="Z244" s="344">
        <v>466.82795863575581</v>
      </c>
      <c r="AA244" s="581"/>
      <c r="AB244" s="345">
        <v>0</v>
      </c>
      <c r="AC244" s="581"/>
      <c r="AD244" s="346">
        <v>0</v>
      </c>
      <c r="AE244" s="581"/>
      <c r="AF244" s="347">
        <v>0</v>
      </c>
      <c r="AG244" s="348">
        <v>1008.2789738564093</v>
      </c>
      <c r="AH244" s="397"/>
      <c r="AI244" s="398"/>
      <c r="AJ244" s="398"/>
      <c r="AK244" s="398"/>
      <c r="AL244" s="396" t="s">
        <v>429</v>
      </c>
      <c r="AM244" s="396" t="s">
        <v>429</v>
      </c>
      <c r="AN244" s="396" t="s">
        <v>429</v>
      </c>
      <c r="AO244" s="398" t="s">
        <v>452</v>
      </c>
      <c r="AP244" s="397"/>
    </row>
    <row r="245" spans="1:42" ht="18" customHeight="1" x14ac:dyDescent="0.25">
      <c r="A245" s="1878" t="s">
        <v>25</v>
      </c>
      <c r="B245" s="638" t="s">
        <v>143</v>
      </c>
      <c r="C245" s="693" t="s">
        <v>429</v>
      </c>
      <c r="D245" s="806" t="s">
        <v>1131</v>
      </c>
      <c r="E245" s="1934">
        <v>39400</v>
      </c>
      <c r="F245" s="617">
        <f>'exchange rates'!$O$57</f>
        <v>1066.97433</v>
      </c>
      <c r="G245" s="549">
        <v>0</v>
      </c>
      <c r="H245" s="550">
        <f>114420/F245</f>
        <v>107.2378189267215</v>
      </c>
      <c r="I245" s="551">
        <v>0</v>
      </c>
      <c r="J245" s="560">
        <v>0</v>
      </c>
      <c r="K245" s="566">
        <f>Tabel6689262829[[#This Row],[Fix.ch. 2017]]+Tabel6689262829[[#This Row],[Var. ch. 2017]]+Tabel6689262829[[#This Row],[Oth. ch. DW 2017]]+Tabel6689262829[[#This Row],[VAT DW 2017]]</f>
        <v>107.2378189267215</v>
      </c>
      <c r="L245" s="567">
        <v>0</v>
      </c>
      <c r="M245" s="560">
        <v>0</v>
      </c>
      <c r="N245" s="568">
        <v>0</v>
      </c>
      <c r="O245" s="560">
        <v>0</v>
      </c>
      <c r="P245" s="569">
        <v>0</v>
      </c>
      <c r="Q245" s="560">
        <v>0</v>
      </c>
      <c r="R245" s="570">
        <f>Tabel6689262829[[#This Row],[VAT DW 2017]]+Tabel6689262829[[#This Row],[VAT Sew. 2017]]+Tabel6689262829[[#This Row],[VAT WW 2017]]+Tabel6689262829[[#This Row],[VAT Other ch. 2017]]</f>
        <v>0</v>
      </c>
      <c r="S245" s="571">
        <f>Tabel6689262829[[#This Row],[Total. ch. DW 2017]]+Tabel6689262829[[#This Row],[Sew. 2017]]+Tabel6689262829[[#This Row],[VAT Sew. 2017]]+Tabel6689262829[[#This Row],[WW 2017]]+Tabel6689262829[[#This Row],[VAT WW 2017]]+Tabel6689262829[[#This Row],[Other ch. 2017]]+Tabel6689262829[[#This Row],[VAT Other ch. 2017]]</f>
        <v>107.2378189267215</v>
      </c>
      <c r="T245" s="397"/>
      <c r="U245" s="1935">
        <f>MEDIAN(G245:G252)</f>
        <v>0</v>
      </c>
      <c r="V245" s="1936">
        <f>MEDIAN(H245:H252)</f>
        <v>127.39762914446123</v>
      </c>
      <c r="W245" s="1937">
        <f>MEDIAN(I245:I252)</f>
        <v>0</v>
      </c>
      <c r="X245" s="1771">
        <f>MEDIAN(J245:J252)</f>
        <v>0</v>
      </c>
      <c r="Y245" s="1939">
        <f>SUM(U245:X252)</f>
        <v>127.39762914446123</v>
      </c>
      <c r="Z245" s="1950">
        <f t="shared" ref="Z245:AF245" si="30">MEDIAN(L245:L252)</f>
        <v>0</v>
      </c>
      <c r="AA245" s="1771">
        <f t="shared" si="30"/>
        <v>0</v>
      </c>
      <c r="AB245" s="1946">
        <f t="shared" si="30"/>
        <v>0</v>
      </c>
      <c r="AC245" s="1771">
        <f t="shared" si="30"/>
        <v>0</v>
      </c>
      <c r="AD245" s="1947">
        <f t="shared" si="30"/>
        <v>0</v>
      </c>
      <c r="AE245" s="1771">
        <f t="shared" si="30"/>
        <v>0</v>
      </c>
      <c r="AF245" s="1944">
        <f t="shared" si="30"/>
        <v>0</v>
      </c>
      <c r="AG245" s="1945">
        <f>Y245+Z245+AA245+AB245+AC245+AD245+AE245</f>
        <v>127.39762914446123</v>
      </c>
      <c r="AH245" s="397"/>
      <c r="AI245" s="398"/>
      <c r="AJ245" s="398"/>
      <c r="AK245" s="398"/>
      <c r="AL245" s="591" t="s">
        <v>429</v>
      </c>
      <c r="AM245" s="398"/>
      <c r="AN245" s="398"/>
      <c r="AO245" s="398"/>
      <c r="AP245" s="397"/>
    </row>
    <row r="246" spans="1:42" ht="15.75" x14ac:dyDescent="0.25">
      <c r="A246" s="1757"/>
      <c r="B246" s="639" t="s">
        <v>144</v>
      </c>
      <c r="C246" s="639"/>
      <c r="D246" s="724" t="s">
        <v>1131</v>
      </c>
      <c r="E246" s="1760"/>
      <c r="F246" s="617">
        <f>'exchange rates'!$O$57</f>
        <v>1066.97433</v>
      </c>
      <c r="G246" s="549">
        <v>0</v>
      </c>
      <c r="H246" s="550">
        <f>154060/F246</f>
        <v>144.38960307508054</v>
      </c>
      <c r="I246" s="551">
        <v>0</v>
      </c>
      <c r="J246" s="560">
        <v>0</v>
      </c>
      <c r="K246" s="566">
        <f>Tabel6689262829[[#This Row],[Fix.ch. 2017]]+Tabel6689262829[[#This Row],[Var. ch. 2017]]+Tabel6689262829[[#This Row],[Oth. ch. DW 2017]]+Tabel6689262829[[#This Row],[VAT DW 2017]]</f>
        <v>144.38960307508054</v>
      </c>
      <c r="L246" s="567">
        <v>0</v>
      </c>
      <c r="M246" s="560">
        <v>0</v>
      </c>
      <c r="N246" s="568">
        <v>0</v>
      </c>
      <c r="O246" s="560">
        <v>0</v>
      </c>
      <c r="P246" s="569">
        <v>0</v>
      </c>
      <c r="Q246" s="560">
        <v>0</v>
      </c>
      <c r="R246" s="570">
        <f>Tabel6689262829[[#This Row],[VAT DW 2017]]+Tabel6689262829[[#This Row],[VAT Sew. 2017]]+Tabel6689262829[[#This Row],[VAT WW 2017]]+Tabel6689262829[[#This Row],[VAT Other ch. 2017]]</f>
        <v>0</v>
      </c>
      <c r="S246" s="571">
        <f>Tabel6689262829[[#This Row],[Total. ch. DW 2017]]+Tabel6689262829[[#This Row],[Sew. 2017]]+Tabel6689262829[[#This Row],[VAT Sew. 2017]]+Tabel6689262829[[#This Row],[WW 2017]]+Tabel6689262829[[#This Row],[VAT WW 2017]]+Tabel6689262829[[#This Row],[Other ch. 2017]]+Tabel6689262829[[#This Row],[VAT Other ch. 2017]]</f>
        <v>144.38960307508054</v>
      </c>
      <c r="T246" s="397"/>
      <c r="U246" s="1763"/>
      <c r="V246" s="1766"/>
      <c r="W246" s="1769"/>
      <c r="X246" s="1772"/>
      <c r="Y246" s="1775"/>
      <c r="Z246" s="1778"/>
      <c r="AA246" s="1772"/>
      <c r="AB246" s="1781"/>
      <c r="AC246" s="1772"/>
      <c r="AD246" s="1785"/>
      <c r="AE246" s="1772"/>
      <c r="AF246" s="1788"/>
      <c r="AG246" s="1791"/>
      <c r="AH246" s="397"/>
      <c r="AI246" s="398"/>
      <c r="AJ246" s="398"/>
      <c r="AK246" s="398"/>
      <c r="AL246" s="591" t="s">
        <v>429</v>
      </c>
      <c r="AM246" s="398"/>
      <c r="AN246" s="398"/>
      <c r="AO246" s="398"/>
      <c r="AP246" s="397"/>
    </row>
    <row r="247" spans="1:42" ht="15.75" x14ac:dyDescent="0.25">
      <c r="A247" s="1757"/>
      <c r="B247" s="639" t="s">
        <v>145</v>
      </c>
      <c r="C247" s="639"/>
      <c r="D247" s="724" t="s">
        <v>1131</v>
      </c>
      <c r="E247" s="1760"/>
      <c r="F247" s="617">
        <f>'exchange rates'!$O$57</f>
        <v>1066.97433</v>
      </c>
      <c r="G247" s="549">
        <v>0</v>
      </c>
      <c r="H247" s="550">
        <f>137860/F247</f>
        <v>129.20648240900042</v>
      </c>
      <c r="I247" s="551">
        <v>0</v>
      </c>
      <c r="J247" s="560">
        <v>0</v>
      </c>
      <c r="K247" s="566">
        <f>Tabel6689262829[[#This Row],[Fix.ch. 2017]]+Tabel6689262829[[#This Row],[Var. ch. 2017]]+Tabel6689262829[[#This Row],[Oth. ch. DW 2017]]+Tabel6689262829[[#This Row],[VAT DW 2017]]</f>
        <v>129.20648240900042</v>
      </c>
      <c r="L247" s="567">
        <v>0</v>
      </c>
      <c r="M247" s="560">
        <v>0</v>
      </c>
      <c r="N247" s="568">
        <v>0</v>
      </c>
      <c r="O247" s="560">
        <v>0</v>
      </c>
      <c r="P247" s="569">
        <v>0</v>
      </c>
      <c r="Q247" s="560">
        <v>0</v>
      </c>
      <c r="R247" s="570">
        <f>Tabel6689262829[[#This Row],[VAT DW 2017]]+Tabel6689262829[[#This Row],[VAT Sew. 2017]]+Tabel6689262829[[#This Row],[VAT WW 2017]]+Tabel6689262829[[#This Row],[VAT Other ch. 2017]]</f>
        <v>0</v>
      </c>
      <c r="S247" s="571">
        <f>Tabel6689262829[[#This Row],[Total. ch. DW 2017]]+Tabel6689262829[[#This Row],[Sew. 2017]]+Tabel6689262829[[#This Row],[VAT Sew. 2017]]+Tabel6689262829[[#This Row],[WW 2017]]+Tabel6689262829[[#This Row],[VAT WW 2017]]+Tabel6689262829[[#This Row],[Other ch. 2017]]+Tabel6689262829[[#This Row],[VAT Other ch. 2017]]</f>
        <v>129.20648240900042</v>
      </c>
      <c r="T247" s="397"/>
      <c r="U247" s="1763"/>
      <c r="V247" s="1766"/>
      <c r="W247" s="1769"/>
      <c r="X247" s="1772"/>
      <c r="Y247" s="1775"/>
      <c r="Z247" s="1778"/>
      <c r="AA247" s="1772"/>
      <c r="AB247" s="1781"/>
      <c r="AC247" s="1772"/>
      <c r="AD247" s="1785"/>
      <c r="AE247" s="1772"/>
      <c r="AF247" s="1788"/>
      <c r="AG247" s="1791"/>
      <c r="AH247" s="397"/>
      <c r="AI247" s="398"/>
      <c r="AJ247" s="398"/>
      <c r="AK247" s="398"/>
      <c r="AL247" s="591" t="s">
        <v>429</v>
      </c>
      <c r="AM247" s="398"/>
      <c r="AN247" s="398"/>
      <c r="AO247" s="398"/>
      <c r="AP247" s="397"/>
    </row>
    <row r="248" spans="1:42" ht="15.75" x14ac:dyDescent="0.25">
      <c r="A248" s="1757"/>
      <c r="B248" s="639" t="s">
        <v>146</v>
      </c>
      <c r="C248" s="639"/>
      <c r="D248" s="724" t="s">
        <v>1131</v>
      </c>
      <c r="E248" s="1760"/>
      <c r="F248" s="617">
        <f>'exchange rates'!$O$57</f>
        <v>1066.97433</v>
      </c>
      <c r="G248" s="549">
        <v>0</v>
      </c>
      <c r="H248" s="550">
        <f>134300/F248</f>
        <v>125.86994478114576</v>
      </c>
      <c r="I248" s="551">
        <v>0</v>
      </c>
      <c r="J248" s="560">
        <v>0</v>
      </c>
      <c r="K248" s="566">
        <f>Tabel6689262829[[#This Row],[Fix.ch. 2017]]+Tabel6689262829[[#This Row],[Var. ch. 2017]]+Tabel6689262829[[#This Row],[Oth. ch. DW 2017]]+Tabel6689262829[[#This Row],[VAT DW 2017]]</f>
        <v>125.86994478114576</v>
      </c>
      <c r="L248" s="567">
        <v>0</v>
      </c>
      <c r="M248" s="560">
        <v>0</v>
      </c>
      <c r="N248" s="568">
        <v>0</v>
      </c>
      <c r="O248" s="560">
        <v>0</v>
      </c>
      <c r="P248" s="569">
        <v>0</v>
      </c>
      <c r="Q248" s="560">
        <v>0</v>
      </c>
      <c r="R248" s="570">
        <f>Tabel6689262829[[#This Row],[VAT DW 2017]]+Tabel6689262829[[#This Row],[VAT Sew. 2017]]+Tabel6689262829[[#This Row],[VAT WW 2017]]+Tabel6689262829[[#This Row],[VAT Other ch. 2017]]</f>
        <v>0</v>
      </c>
      <c r="S248" s="571">
        <f>Tabel6689262829[[#This Row],[Total. ch. DW 2017]]+Tabel6689262829[[#This Row],[Sew. 2017]]+Tabel6689262829[[#This Row],[VAT Sew. 2017]]+Tabel6689262829[[#This Row],[WW 2017]]+Tabel6689262829[[#This Row],[VAT WW 2017]]+Tabel6689262829[[#This Row],[Other ch. 2017]]+Tabel6689262829[[#This Row],[VAT Other ch. 2017]]</f>
        <v>125.86994478114576</v>
      </c>
      <c r="T248" s="397"/>
      <c r="U248" s="1763"/>
      <c r="V248" s="1766"/>
      <c r="W248" s="1769"/>
      <c r="X248" s="1772"/>
      <c r="Y248" s="1775"/>
      <c r="Z248" s="1778"/>
      <c r="AA248" s="1772"/>
      <c r="AB248" s="1781"/>
      <c r="AC248" s="1772"/>
      <c r="AD248" s="1785"/>
      <c r="AE248" s="1772"/>
      <c r="AF248" s="1788"/>
      <c r="AG248" s="1791"/>
      <c r="AH248" s="397"/>
      <c r="AI248" s="398"/>
      <c r="AJ248" s="398"/>
      <c r="AK248" s="398"/>
      <c r="AL248" s="591" t="s">
        <v>429</v>
      </c>
      <c r="AM248" s="398"/>
      <c r="AN248" s="398"/>
      <c r="AO248" s="398"/>
      <c r="AP248" s="397"/>
    </row>
    <row r="249" spans="1:42" ht="15.75" x14ac:dyDescent="0.25">
      <c r="A249" s="1757"/>
      <c r="B249" s="639" t="s">
        <v>147</v>
      </c>
      <c r="C249" s="639"/>
      <c r="D249" s="724" t="s">
        <v>1131</v>
      </c>
      <c r="E249" s="1760"/>
      <c r="F249" s="617">
        <f>'exchange rates'!$O$57</f>
        <v>1066.97433</v>
      </c>
      <c r="G249" s="549">
        <v>0</v>
      </c>
      <c r="H249" s="550">
        <f>124480/F249</f>
        <v>116.66634941442312</v>
      </c>
      <c r="I249" s="551">
        <v>0</v>
      </c>
      <c r="J249" s="560">
        <v>0</v>
      </c>
      <c r="K249" s="566">
        <f>Tabel6689262829[[#This Row],[Fix.ch. 2017]]+Tabel6689262829[[#This Row],[Var. ch. 2017]]+Tabel6689262829[[#This Row],[Oth. ch. DW 2017]]+Tabel6689262829[[#This Row],[VAT DW 2017]]</f>
        <v>116.66634941442312</v>
      </c>
      <c r="L249" s="567">
        <v>0</v>
      </c>
      <c r="M249" s="560">
        <v>0</v>
      </c>
      <c r="N249" s="568">
        <v>0</v>
      </c>
      <c r="O249" s="560">
        <v>0</v>
      </c>
      <c r="P249" s="569">
        <v>0</v>
      </c>
      <c r="Q249" s="560">
        <v>0</v>
      </c>
      <c r="R249" s="570">
        <f>Tabel6689262829[[#This Row],[VAT DW 2017]]+Tabel6689262829[[#This Row],[VAT Sew. 2017]]+Tabel6689262829[[#This Row],[VAT WW 2017]]+Tabel6689262829[[#This Row],[VAT Other ch. 2017]]</f>
        <v>0</v>
      </c>
      <c r="S249" s="571">
        <f>Tabel6689262829[[#This Row],[Total. ch. DW 2017]]+Tabel6689262829[[#This Row],[Sew. 2017]]+Tabel6689262829[[#This Row],[VAT Sew. 2017]]+Tabel6689262829[[#This Row],[WW 2017]]+Tabel6689262829[[#This Row],[VAT WW 2017]]+Tabel6689262829[[#This Row],[Other ch. 2017]]+Tabel6689262829[[#This Row],[VAT Other ch. 2017]]</f>
        <v>116.66634941442312</v>
      </c>
      <c r="T249" s="397"/>
      <c r="U249" s="1763"/>
      <c r="V249" s="1766"/>
      <c r="W249" s="1769"/>
      <c r="X249" s="1772"/>
      <c r="Y249" s="1775"/>
      <c r="Z249" s="1778"/>
      <c r="AA249" s="1772"/>
      <c r="AB249" s="1781"/>
      <c r="AC249" s="1772"/>
      <c r="AD249" s="1785"/>
      <c r="AE249" s="1772"/>
      <c r="AF249" s="1788"/>
      <c r="AG249" s="1791"/>
      <c r="AH249" s="397"/>
      <c r="AI249" s="398"/>
      <c r="AJ249" s="398"/>
      <c r="AK249" s="398"/>
      <c r="AL249" s="591" t="s">
        <v>429</v>
      </c>
      <c r="AM249" s="398"/>
      <c r="AN249" s="398"/>
      <c r="AO249" s="398"/>
      <c r="AP249" s="397"/>
    </row>
    <row r="250" spans="1:42" ht="15.75" x14ac:dyDescent="0.25">
      <c r="A250" s="1757"/>
      <c r="B250" s="639" t="s">
        <v>148</v>
      </c>
      <c r="C250" s="639"/>
      <c r="D250" s="724" t="s">
        <v>1131</v>
      </c>
      <c r="E250" s="1760"/>
      <c r="F250" s="617">
        <f>'exchange rates'!$O$57</f>
        <v>1066.97433</v>
      </c>
      <c r="G250" s="549">
        <v>0</v>
      </c>
      <c r="H250" s="550">
        <f>105980/F250</f>
        <v>99.327600505627913</v>
      </c>
      <c r="I250" s="551">
        <v>0</v>
      </c>
      <c r="J250" s="560">
        <v>0</v>
      </c>
      <c r="K250" s="566">
        <f>Tabel6689262829[[#This Row],[Fix.ch. 2017]]+Tabel6689262829[[#This Row],[Var. ch. 2017]]+Tabel6689262829[[#This Row],[Oth. ch. DW 2017]]+Tabel6689262829[[#This Row],[VAT DW 2017]]</f>
        <v>99.327600505627913</v>
      </c>
      <c r="L250" s="567">
        <v>0</v>
      </c>
      <c r="M250" s="560">
        <v>0</v>
      </c>
      <c r="N250" s="568">
        <v>0</v>
      </c>
      <c r="O250" s="560">
        <v>0</v>
      </c>
      <c r="P250" s="569">
        <v>0</v>
      </c>
      <c r="Q250" s="560">
        <v>0</v>
      </c>
      <c r="R250" s="570">
        <f>Tabel6689262829[[#This Row],[VAT DW 2017]]+Tabel6689262829[[#This Row],[VAT Sew. 2017]]+Tabel6689262829[[#This Row],[VAT WW 2017]]+Tabel6689262829[[#This Row],[VAT Other ch. 2017]]</f>
        <v>0</v>
      </c>
      <c r="S250" s="571">
        <f>Tabel6689262829[[#This Row],[Total. ch. DW 2017]]+Tabel6689262829[[#This Row],[Sew. 2017]]+Tabel6689262829[[#This Row],[VAT Sew. 2017]]+Tabel6689262829[[#This Row],[WW 2017]]+Tabel6689262829[[#This Row],[VAT WW 2017]]+Tabel6689262829[[#This Row],[Other ch. 2017]]+Tabel6689262829[[#This Row],[VAT Other ch. 2017]]</f>
        <v>99.327600505627913</v>
      </c>
      <c r="T250" s="397"/>
      <c r="U250" s="1763"/>
      <c r="V250" s="1766"/>
      <c r="W250" s="1769"/>
      <c r="X250" s="1772"/>
      <c r="Y250" s="1775"/>
      <c r="Z250" s="1778"/>
      <c r="AA250" s="1772"/>
      <c r="AB250" s="1781"/>
      <c r="AC250" s="1772"/>
      <c r="AD250" s="1785"/>
      <c r="AE250" s="1772"/>
      <c r="AF250" s="1788"/>
      <c r="AG250" s="1791"/>
      <c r="AH250" s="397"/>
      <c r="AI250" s="398"/>
      <c r="AJ250" s="398"/>
      <c r="AK250" s="398"/>
      <c r="AL250" s="591" t="s">
        <v>429</v>
      </c>
      <c r="AM250" s="398"/>
      <c r="AN250" s="398"/>
      <c r="AO250" s="398"/>
      <c r="AP250" s="397"/>
    </row>
    <row r="251" spans="1:42" ht="15.75" x14ac:dyDescent="0.25">
      <c r="A251" s="1757"/>
      <c r="B251" s="639" t="s">
        <v>149</v>
      </c>
      <c r="C251" s="639"/>
      <c r="D251" s="724" t="s">
        <v>1131</v>
      </c>
      <c r="E251" s="1760"/>
      <c r="F251" s="617">
        <f>'exchange rates'!$O$57</f>
        <v>1066.97433</v>
      </c>
      <c r="G251" s="549">
        <v>0</v>
      </c>
      <c r="H251" s="550">
        <f>173080/F251</f>
        <v>162.2157114126635</v>
      </c>
      <c r="I251" s="551">
        <v>0</v>
      </c>
      <c r="J251" s="560">
        <v>0</v>
      </c>
      <c r="K251" s="566">
        <f>Tabel6689262829[[#This Row],[Fix.ch. 2017]]+Tabel6689262829[[#This Row],[Var. ch. 2017]]+Tabel6689262829[[#This Row],[Oth. ch. DW 2017]]+Tabel6689262829[[#This Row],[VAT DW 2017]]</f>
        <v>162.2157114126635</v>
      </c>
      <c r="L251" s="567">
        <v>0</v>
      </c>
      <c r="M251" s="560">
        <v>0</v>
      </c>
      <c r="N251" s="568">
        <v>0</v>
      </c>
      <c r="O251" s="560">
        <v>0</v>
      </c>
      <c r="P251" s="569">
        <v>0</v>
      </c>
      <c r="Q251" s="560">
        <v>0</v>
      </c>
      <c r="R251" s="570">
        <f>Tabel6689262829[[#This Row],[VAT DW 2017]]+Tabel6689262829[[#This Row],[VAT Sew. 2017]]+Tabel6689262829[[#This Row],[VAT WW 2017]]+Tabel6689262829[[#This Row],[VAT Other ch. 2017]]</f>
        <v>0</v>
      </c>
      <c r="S251" s="571">
        <f>Tabel6689262829[[#This Row],[Total. ch. DW 2017]]+Tabel6689262829[[#This Row],[Sew. 2017]]+Tabel6689262829[[#This Row],[VAT Sew. 2017]]+Tabel6689262829[[#This Row],[WW 2017]]+Tabel6689262829[[#This Row],[VAT WW 2017]]+Tabel6689262829[[#This Row],[Other ch. 2017]]+Tabel6689262829[[#This Row],[VAT Other ch. 2017]]</f>
        <v>162.2157114126635</v>
      </c>
      <c r="T251" s="397"/>
      <c r="U251" s="1763"/>
      <c r="V251" s="1766"/>
      <c r="W251" s="1769"/>
      <c r="X251" s="1772"/>
      <c r="Y251" s="1775"/>
      <c r="Z251" s="1778"/>
      <c r="AA251" s="1772"/>
      <c r="AB251" s="1781"/>
      <c r="AC251" s="1772"/>
      <c r="AD251" s="1785"/>
      <c r="AE251" s="1772"/>
      <c r="AF251" s="1788"/>
      <c r="AG251" s="1791"/>
      <c r="AH251" s="397"/>
      <c r="AI251" s="398"/>
      <c r="AJ251" s="398"/>
      <c r="AK251" s="398"/>
      <c r="AL251" s="591" t="s">
        <v>429</v>
      </c>
      <c r="AM251" s="398"/>
      <c r="AN251" s="398"/>
      <c r="AO251" s="398"/>
      <c r="AP251" s="397"/>
    </row>
    <row r="252" spans="1:42" ht="16.5" thickBot="1" x14ac:dyDescent="0.3">
      <c r="A252" s="1758"/>
      <c r="B252" s="640" t="s">
        <v>150</v>
      </c>
      <c r="C252" s="652"/>
      <c r="D252" s="807" t="s">
        <v>1131</v>
      </c>
      <c r="E252" s="1799"/>
      <c r="F252" s="617">
        <f>'exchange rates'!$O$57</f>
        <v>1066.97433</v>
      </c>
      <c r="G252" s="549">
        <v>0</v>
      </c>
      <c r="H252" s="550">
        <f>137560/F252</f>
        <v>128.92531350777671</v>
      </c>
      <c r="I252" s="551">
        <v>0</v>
      </c>
      <c r="J252" s="560">
        <v>0</v>
      </c>
      <c r="K252" s="566">
        <f>Tabel6689262829[[#This Row],[Fix.ch. 2017]]+Tabel6689262829[[#This Row],[Var. ch. 2017]]+Tabel6689262829[[#This Row],[Oth. ch. DW 2017]]+Tabel6689262829[[#This Row],[VAT DW 2017]]</f>
        <v>128.92531350777671</v>
      </c>
      <c r="L252" s="567">
        <v>0</v>
      </c>
      <c r="M252" s="560">
        <v>0</v>
      </c>
      <c r="N252" s="568">
        <v>0</v>
      </c>
      <c r="O252" s="560">
        <v>0</v>
      </c>
      <c r="P252" s="569">
        <v>0</v>
      </c>
      <c r="Q252" s="560">
        <v>0</v>
      </c>
      <c r="R252" s="570">
        <f>Tabel6689262829[[#This Row],[VAT DW 2017]]+Tabel6689262829[[#This Row],[VAT Sew. 2017]]+Tabel6689262829[[#This Row],[VAT WW 2017]]+Tabel6689262829[[#This Row],[VAT Other ch. 2017]]</f>
        <v>0</v>
      </c>
      <c r="S252" s="571">
        <f>Tabel6689262829[[#This Row],[Total. ch. DW 2017]]+Tabel6689262829[[#This Row],[Sew. 2017]]+Tabel6689262829[[#This Row],[VAT Sew. 2017]]+Tabel6689262829[[#This Row],[WW 2017]]+Tabel6689262829[[#This Row],[VAT WW 2017]]+Tabel6689262829[[#This Row],[Other ch. 2017]]+Tabel6689262829[[#This Row],[VAT Other ch. 2017]]</f>
        <v>128.92531350777671</v>
      </c>
      <c r="T252" s="397"/>
      <c r="U252" s="1801"/>
      <c r="V252" s="1803"/>
      <c r="W252" s="1805"/>
      <c r="X252" s="1773"/>
      <c r="Y252" s="1807"/>
      <c r="Z252" s="1809"/>
      <c r="AA252" s="1773"/>
      <c r="AB252" s="1782"/>
      <c r="AC252" s="1773"/>
      <c r="AD252" s="1786"/>
      <c r="AE252" s="1773"/>
      <c r="AF252" s="1789"/>
      <c r="AG252" s="1792"/>
      <c r="AH252" s="397"/>
      <c r="AI252" s="398"/>
      <c r="AJ252" s="398"/>
      <c r="AK252" s="398"/>
      <c r="AL252" s="591" t="s">
        <v>429</v>
      </c>
      <c r="AM252" s="398"/>
      <c r="AN252" s="398"/>
      <c r="AO252" s="398"/>
      <c r="AP252" s="397"/>
    </row>
    <row r="253" spans="1:42" ht="18" customHeight="1" x14ac:dyDescent="0.25">
      <c r="A253" s="1878" t="s">
        <v>26</v>
      </c>
      <c r="B253" s="638" t="s">
        <v>151</v>
      </c>
      <c r="C253" s="693"/>
      <c r="D253" s="806" t="s">
        <v>1133</v>
      </c>
      <c r="E253" s="1934">
        <v>38200</v>
      </c>
      <c r="F253" s="617">
        <f>'exchange rates'!$O$58</f>
        <v>0.83301000000000003</v>
      </c>
      <c r="G253" s="549">
        <v>0</v>
      </c>
      <c r="H253" s="550">
        <f>353.56/F253</f>
        <v>424.43668143239574</v>
      </c>
      <c r="I253" s="551">
        <v>0</v>
      </c>
      <c r="J253" s="560">
        <f>35.36/F253</f>
        <v>42.44847000636247</v>
      </c>
      <c r="K253" s="566">
        <f>Tabel6689262829[[#This Row],[Fix.ch. 2017]]+Tabel6689262829[[#This Row],[Var. ch. 2017]]+Tabel6689262829[[#This Row],[Oth. ch. DW 2017]]+Tabel6689262829[[#This Row],[VAT DW 2017]]</f>
        <v>466.88515143875821</v>
      </c>
      <c r="L253" s="567">
        <f>34.86/F253</f>
        <v>41.848237116001009</v>
      </c>
      <c r="M253" s="560">
        <f>3.49/F253</f>
        <v>4.1896255747229922</v>
      </c>
      <c r="N253" s="568">
        <f>169.02/F253</f>
        <v>202.90272625778803</v>
      </c>
      <c r="O253" s="560">
        <f>16.9/F253</f>
        <v>20.287871694217355</v>
      </c>
      <c r="P253" s="569">
        <v>0</v>
      </c>
      <c r="Q253" s="560">
        <v>0</v>
      </c>
      <c r="R253" s="570">
        <f>Tabel6689262829[[#This Row],[VAT DW 2017]]+Tabel6689262829[[#This Row],[VAT Sew. 2017]]+Tabel6689262829[[#This Row],[VAT WW 2017]]+Tabel6689262829[[#This Row],[VAT Other ch. 2017]]</f>
        <v>66.925967275302824</v>
      </c>
      <c r="S253" s="571">
        <f>Tabel6689262829[[#This Row],[Total. ch. DW 2017]]+Tabel6689262829[[#This Row],[Sew. 2017]]+Tabel6689262829[[#This Row],[VAT Sew. 2017]]+Tabel6689262829[[#This Row],[WW 2017]]+Tabel6689262829[[#This Row],[VAT WW 2017]]+Tabel6689262829[[#This Row],[Other ch. 2017]]+Tabel6689262829[[#This Row],[VAT Other ch. 2017]]</f>
        <v>736.11361208148753</v>
      </c>
      <c r="T253" s="397"/>
      <c r="U253" s="1935">
        <f>MEDIAN(G253:G257)</f>
        <v>0</v>
      </c>
      <c r="V253" s="1936">
        <f>MEDIAN(H253:H257)</f>
        <v>199.20529165316142</v>
      </c>
      <c r="W253" s="1937">
        <f>MEDIAN(I253:I257)</f>
        <v>0</v>
      </c>
      <c r="X253" s="1771">
        <f>MEDIAN(J253:J257)</f>
        <v>19.91572730219325</v>
      </c>
      <c r="Y253" s="1939">
        <f>SUM(U253:X257)</f>
        <v>219.12101895535469</v>
      </c>
      <c r="Z253" s="1950">
        <f t="shared" ref="Z253:AF253" si="31">MEDIAN(L253:L257)</f>
        <v>41.848237116001009</v>
      </c>
      <c r="AA253" s="1771">
        <f t="shared" si="31"/>
        <v>4.1896255747229922</v>
      </c>
      <c r="AB253" s="1946">
        <f t="shared" si="31"/>
        <v>176.32441387258254</v>
      </c>
      <c r="AC253" s="1771">
        <f t="shared" si="31"/>
        <v>17.6348423188197</v>
      </c>
      <c r="AD253" s="1947">
        <f t="shared" si="31"/>
        <v>0</v>
      </c>
      <c r="AE253" s="1771">
        <f t="shared" si="31"/>
        <v>0</v>
      </c>
      <c r="AF253" s="1944">
        <f t="shared" si="31"/>
        <v>45.161522670796273</v>
      </c>
      <c r="AG253" s="1945">
        <f>Y253+Z253+AA253+AB253+AC253+AD253+AE253</f>
        <v>459.1181378374809</v>
      </c>
      <c r="AH253" s="397"/>
      <c r="AI253" s="398"/>
      <c r="AJ253" s="398"/>
      <c r="AK253" s="398"/>
      <c r="AL253" s="591" t="s">
        <v>429</v>
      </c>
      <c r="AM253" s="591" t="s">
        <v>429</v>
      </c>
      <c r="AN253" s="398"/>
      <c r="AO253" s="398"/>
      <c r="AP253" s="430" t="s">
        <v>937</v>
      </c>
    </row>
    <row r="254" spans="1:42" ht="15.75" x14ac:dyDescent="0.25">
      <c r="A254" s="1757"/>
      <c r="B254" s="639" t="s">
        <v>152</v>
      </c>
      <c r="C254" s="639"/>
      <c r="D254" s="724" t="s">
        <v>1133</v>
      </c>
      <c r="E254" s="1760"/>
      <c r="F254" s="617">
        <f>'exchange rates'!$O$58</f>
        <v>0.83301000000000003</v>
      </c>
      <c r="G254" s="549">
        <v>0</v>
      </c>
      <c r="H254" s="550">
        <f>153.64/F254</f>
        <v>184.43956255026947</v>
      </c>
      <c r="I254" s="551">
        <v>0</v>
      </c>
      <c r="J254" s="560">
        <f>15.36/F254</f>
        <v>18.439154391904058</v>
      </c>
      <c r="K254" s="566">
        <f>Tabel6689262829[[#This Row],[Fix.ch. 2017]]+Tabel6689262829[[#This Row],[Var. ch. 2017]]+Tabel6689262829[[#This Row],[Oth. ch. DW 2017]]+Tabel6689262829[[#This Row],[VAT DW 2017]]</f>
        <v>202.87871694217353</v>
      </c>
      <c r="L254" s="567">
        <v>0</v>
      </c>
      <c r="M254" s="560">
        <v>0</v>
      </c>
      <c r="N254" s="568">
        <f>146.88/F254</f>
        <v>176.32441387258254</v>
      </c>
      <c r="O254" s="560">
        <f>14.69/F254</f>
        <v>17.6348423188197</v>
      </c>
      <c r="P254" s="569">
        <v>0</v>
      </c>
      <c r="Q254" s="560">
        <v>0</v>
      </c>
      <c r="R254" s="570">
        <f>Tabel6689262829[[#This Row],[VAT DW 2017]]+Tabel6689262829[[#This Row],[VAT Sew. 2017]]+Tabel6689262829[[#This Row],[VAT WW 2017]]+Tabel6689262829[[#This Row],[VAT Other ch. 2017]]</f>
        <v>36.073996710723762</v>
      </c>
      <c r="S254" s="571">
        <f>Tabel6689262829[[#This Row],[Total. ch. DW 2017]]+Tabel6689262829[[#This Row],[Sew. 2017]]+Tabel6689262829[[#This Row],[VAT Sew. 2017]]+Tabel6689262829[[#This Row],[WW 2017]]+Tabel6689262829[[#This Row],[VAT WW 2017]]+Tabel6689262829[[#This Row],[Other ch. 2017]]+Tabel6689262829[[#This Row],[VAT Other ch. 2017]]</f>
        <v>396.83797313357576</v>
      </c>
      <c r="T254" s="397"/>
      <c r="U254" s="1763"/>
      <c r="V254" s="1766"/>
      <c r="W254" s="1769"/>
      <c r="X254" s="1772"/>
      <c r="Y254" s="1775"/>
      <c r="Z254" s="1778"/>
      <c r="AA254" s="1772"/>
      <c r="AB254" s="1781"/>
      <c r="AC254" s="1772"/>
      <c r="AD254" s="1785"/>
      <c r="AE254" s="1772"/>
      <c r="AF254" s="1788"/>
      <c r="AG254" s="1791"/>
      <c r="AH254" s="397"/>
      <c r="AI254" s="398"/>
      <c r="AJ254" s="398"/>
      <c r="AK254" s="398"/>
      <c r="AL254" s="591" t="s">
        <v>429</v>
      </c>
      <c r="AM254" s="591" t="s">
        <v>429</v>
      </c>
      <c r="AN254" s="591" t="s">
        <v>429</v>
      </c>
      <c r="AO254" s="398"/>
      <c r="AP254" s="430" t="s">
        <v>937</v>
      </c>
    </row>
    <row r="255" spans="1:42" ht="15.75" x14ac:dyDescent="0.25">
      <c r="A255" s="1757"/>
      <c r="B255" s="639" t="s">
        <v>153</v>
      </c>
      <c r="C255" s="639" t="s">
        <v>429</v>
      </c>
      <c r="D255" s="724" t="s">
        <v>1133</v>
      </c>
      <c r="E255" s="1760"/>
      <c r="F255" s="617">
        <f>'exchange rates'!$O$58</f>
        <v>0.83301000000000003</v>
      </c>
      <c r="G255" s="549">
        <v>0</v>
      </c>
      <c r="H255" s="550">
        <f>165.94/F255</f>
        <v>199.20529165316142</v>
      </c>
      <c r="I255" s="551">
        <v>0</v>
      </c>
      <c r="J255" s="560">
        <f>16.59/F255</f>
        <v>19.91572730219325</v>
      </c>
      <c r="K255" s="566">
        <f>Tabel6689262829[[#This Row],[Fix.ch. 2017]]+Tabel6689262829[[#This Row],[Var. ch. 2017]]+Tabel6689262829[[#This Row],[Oth. ch. DW 2017]]+Tabel6689262829[[#This Row],[VAT DW 2017]]</f>
        <v>219.12101895535469</v>
      </c>
      <c r="L255" s="567">
        <f>28.84/F255</f>
        <v>34.621433116049026</v>
      </c>
      <c r="M255" s="560">
        <f>2.88/F255</f>
        <v>3.4573414484820106</v>
      </c>
      <c r="N255" s="568">
        <f>83.32/F255</f>
        <v>100.02280884983372</v>
      </c>
      <c r="O255" s="560">
        <f>8.33/F255</f>
        <v>9.999879953421928</v>
      </c>
      <c r="P255" s="569">
        <v>0</v>
      </c>
      <c r="Q255" s="560">
        <v>0</v>
      </c>
      <c r="R255" s="570">
        <f>Tabel6689262829[[#This Row],[VAT DW 2017]]+Tabel6689262829[[#This Row],[VAT Sew. 2017]]+Tabel6689262829[[#This Row],[VAT WW 2017]]+Tabel6689262829[[#This Row],[VAT Other ch. 2017]]</f>
        <v>33.37294870409719</v>
      </c>
      <c r="S255" s="571">
        <f>Tabel6689262829[[#This Row],[Total. ch. DW 2017]]+Tabel6689262829[[#This Row],[Sew. 2017]]+Tabel6689262829[[#This Row],[VAT Sew. 2017]]+Tabel6689262829[[#This Row],[WW 2017]]+Tabel6689262829[[#This Row],[VAT WW 2017]]+Tabel6689262829[[#This Row],[Other ch. 2017]]+Tabel6689262829[[#This Row],[VAT Other ch. 2017]]</f>
        <v>367.22248232314138</v>
      </c>
      <c r="T255" s="397"/>
      <c r="U255" s="1763"/>
      <c r="V255" s="1766"/>
      <c r="W255" s="1769"/>
      <c r="X255" s="1772"/>
      <c r="Y255" s="1775"/>
      <c r="Z255" s="1778"/>
      <c r="AA255" s="1772"/>
      <c r="AB255" s="1781"/>
      <c r="AC255" s="1772"/>
      <c r="AD255" s="1785"/>
      <c r="AE255" s="1772"/>
      <c r="AF255" s="1788"/>
      <c r="AG255" s="1791"/>
      <c r="AH255" s="397"/>
      <c r="AI255" s="398"/>
      <c r="AJ255" s="398"/>
      <c r="AK255" s="398"/>
      <c r="AL255" s="591" t="s">
        <v>429</v>
      </c>
      <c r="AM255" s="591" t="s">
        <v>429</v>
      </c>
      <c r="AN255" s="398"/>
      <c r="AO255" s="398"/>
      <c r="AP255" s="430" t="s">
        <v>937</v>
      </c>
    </row>
    <row r="256" spans="1:42" ht="15.75" x14ac:dyDescent="0.25">
      <c r="A256" s="1757"/>
      <c r="B256" s="639" t="s">
        <v>214</v>
      </c>
      <c r="C256" s="639"/>
      <c r="D256" s="724" t="s">
        <v>1133</v>
      </c>
      <c r="E256" s="1760"/>
      <c r="F256" s="617">
        <f>'exchange rates'!$O$58</f>
        <v>0.83301000000000003</v>
      </c>
      <c r="G256" s="549">
        <v>0</v>
      </c>
      <c r="H256" s="550">
        <f>160.24/F256</f>
        <v>192.36263670304078</v>
      </c>
      <c r="I256" s="551">
        <v>0</v>
      </c>
      <c r="J256" s="560">
        <f>16.02/F256</f>
        <v>19.231461807181184</v>
      </c>
      <c r="K256" s="566">
        <f>Tabel6689262829[[#This Row],[Fix.ch. 2017]]+Tabel6689262829[[#This Row],[Var. ch. 2017]]+Tabel6689262829[[#This Row],[Oth. ch. DW 2017]]+Tabel6689262829[[#This Row],[VAT DW 2017]]</f>
        <v>211.59409851022195</v>
      </c>
      <c r="L256" s="567">
        <f>82.72/F256</f>
        <v>99.302529381399978</v>
      </c>
      <c r="M256" s="560">
        <f>8.27/F256</f>
        <v>9.9278520065785525</v>
      </c>
      <c r="N256" s="568">
        <f>156.06/F256</f>
        <v>187.34468973961896</v>
      </c>
      <c r="O256" s="560">
        <f>15.81/F256</f>
        <v>18.979363993229374</v>
      </c>
      <c r="P256" s="569">
        <v>0</v>
      </c>
      <c r="Q256" s="560">
        <v>0</v>
      </c>
      <c r="R256" s="570">
        <f>Tabel6689262829[[#This Row],[VAT DW 2017]]+Tabel6689262829[[#This Row],[VAT Sew. 2017]]+Tabel6689262829[[#This Row],[VAT WW 2017]]+Tabel6689262829[[#This Row],[VAT Other ch. 2017]]</f>
        <v>48.138677806989108</v>
      </c>
      <c r="S256" s="571">
        <f>Tabel6689262829[[#This Row],[Total. ch. DW 2017]]+Tabel6689262829[[#This Row],[Sew. 2017]]+Tabel6689262829[[#This Row],[VAT Sew. 2017]]+Tabel6689262829[[#This Row],[WW 2017]]+Tabel6689262829[[#This Row],[VAT WW 2017]]+Tabel6689262829[[#This Row],[Other ch. 2017]]+Tabel6689262829[[#This Row],[VAT Other ch. 2017]]</f>
        <v>527.14853363104885</v>
      </c>
      <c r="T256" s="397"/>
      <c r="U256" s="1763"/>
      <c r="V256" s="1766"/>
      <c r="W256" s="1769"/>
      <c r="X256" s="1772"/>
      <c r="Y256" s="1775"/>
      <c r="Z256" s="1778"/>
      <c r="AA256" s="1772"/>
      <c r="AB256" s="1781"/>
      <c r="AC256" s="1772"/>
      <c r="AD256" s="1785"/>
      <c r="AE256" s="1772"/>
      <c r="AF256" s="1788"/>
      <c r="AG256" s="1791"/>
      <c r="AH256" s="397"/>
      <c r="AI256" s="398"/>
      <c r="AJ256" s="398"/>
      <c r="AK256" s="398"/>
      <c r="AL256" s="591" t="s">
        <v>429</v>
      </c>
      <c r="AM256" s="591" t="s">
        <v>429</v>
      </c>
      <c r="AN256" s="398"/>
      <c r="AO256" s="398"/>
      <c r="AP256" s="430" t="s">
        <v>937</v>
      </c>
    </row>
    <row r="257" spans="1:42" ht="16.5" thickBot="1" x14ac:dyDescent="0.3">
      <c r="A257" s="1758"/>
      <c r="B257" s="640" t="s">
        <v>154</v>
      </c>
      <c r="C257" s="652"/>
      <c r="D257" s="807" t="s">
        <v>1133</v>
      </c>
      <c r="E257" s="1799"/>
      <c r="F257" s="617">
        <f>'exchange rates'!$O$58</f>
        <v>0.83301000000000003</v>
      </c>
      <c r="G257" s="549">
        <v>0</v>
      </c>
      <c r="H257" s="550">
        <f>182.64/F257</f>
        <v>219.25307019123417</v>
      </c>
      <c r="I257" s="551">
        <v>0</v>
      </c>
      <c r="J257" s="560">
        <f>18.26/F257</f>
        <v>21.92050515600053</v>
      </c>
      <c r="K257" s="566">
        <f>Tabel6689262829[[#This Row],[Fix.ch. 2017]]+Tabel6689262829[[#This Row],[Var. ch. 2017]]+Tabel6689262829[[#This Row],[Oth. ch. DW 2017]]+Tabel6689262829[[#This Row],[VAT DW 2017]]</f>
        <v>241.1735753472347</v>
      </c>
      <c r="L257" s="567">
        <f>60.58/F257</f>
        <v>72.724216996194514</v>
      </c>
      <c r="M257" s="560">
        <f>6.06/F257</f>
        <v>7.2748226311808972</v>
      </c>
      <c r="N257" s="568">
        <f>133.02/F257</f>
        <v>159.68595815176289</v>
      </c>
      <c r="O257" s="560">
        <f>13.3/F257</f>
        <v>15.966194883614843</v>
      </c>
      <c r="P257" s="569">
        <v>0</v>
      </c>
      <c r="Q257" s="560">
        <v>0</v>
      </c>
      <c r="R257" s="570">
        <f>Tabel6689262829[[#This Row],[VAT DW 2017]]+Tabel6689262829[[#This Row],[VAT Sew. 2017]]+Tabel6689262829[[#This Row],[VAT WW 2017]]+Tabel6689262829[[#This Row],[VAT Other ch. 2017]]</f>
        <v>45.161522670796273</v>
      </c>
      <c r="S257" s="571">
        <f>Tabel6689262829[[#This Row],[Total. ch. DW 2017]]+Tabel6689262829[[#This Row],[Sew. 2017]]+Tabel6689262829[[#This Row],[VAT Sew. 2017]]+Tabel6689262829[[#This Row],[WW 2017]]+Tabel6689262829[[#This Row],[VAT WW 2017]]+Tabel6689262829[[#This Row],[Other ch. 2017]]+Tabel6689262829[[#This Row],[VAT Other ch. 2017]]</f>
        <v>496.82476800998785</v>
      </c>
      <c r="T257" s="397"/>
      <c r="U257" s="1801"/>
      <c r="V257" s="1803"/>
      <c r="W257" s="1805"/>
      <c r="X257" s="1773"/>
      <c r="Y257" s="1807"/>
      <c r="Z257" s="1809"/>
      <c r="AA257" s="1773"/>
      <c r="AB257" s="1782"/>
      <c r="AC257" s="1773"/>
      <c r="AD257" s="1786"/>
      <c r="AE257" s="1773"/>
      <c r="AF257" s="1789"/>
      <c r="AG257" s="1792"/>
      <c r="AH257" s="397"/>
      <c r="AI257" s="398"/>
      <c r="AJ257" s="396"/>
      <c r="AK257" s="396"/>
      <c r="AL257" s="591" t="s">
        <v>429</v>
      </c>
      <c r="AM257" s="591" t="s">
        <v>429</v>
      </c>
      <c r="AN257" s="398"/>
      <c r="AO257" s="398"/>
      <c r="AP257" s="430" t="s">
        <v>937</v>
      </c>
    </row>
    <row r="258" spans="1:42" ht="15.75" customHeight="1" x14ac:dyDescent="0.25">
      <c r="A258" s="1878" t="s">
        <v>48</v>
      </c>
      <c r="B258" s="638" t="s">
        <v>155</v>
      </c>
      <c r="C258" s="693" t="s">
        <v>429</v>
      </c>
      <c r="D258" s="806" t="s">
        <v>1135</v>
      </c>
      <c r="E258" s="1934">
        <v>51300</v>
      </c>
      <c r="F258" s="617">
        <f>'exchange rates'!$O$59</f>
        <v>8.1602899999999998</v>
      </c>
      <c r="G258" s="549">
        <f>1683/F258</f>
        <v>206.24267029725661</v>
      </c>
      <c r="H258" s="550">
        <f>730/F258</f>
        <v>89.457605060604465</v>
      </c>
      <c r="I258" s="551">
        <f>0</f>
        <v>0</v>
      </c>
      <c r="J258" s="560">
        <f>603.25/F258</f>
        <v>73.925068839465268</v>
      </c>
      <c r="K258" s="566">
        <f>Tabel6689262829[[#This Row],[Fix.ch. 2017]]+Tabel6689262829[[#This Row],[Var. ch. 2017]]+Tabel6689262829[[#This Row],[Oth. ch. DW 2017]]+Tabel6689262829[[#This Row],[VAT DW 2017]]</f>
        <v>369.62534419732634</v>
      </c>
      <c r="L258" s="567">
        <f>650/F258</f>
        <v>79.654031903277954</v>
      </c>
      <c r="M258" s="560">
        <f>162.5/F258</f>
        <v>19.913507975819488</v>
      </c>
      <c r="N258" s="568">
        <v>0</v>
      </c>
      <c r="O258" s="560">
        <v>0</v>
      </c>
      <c r="P258" s="569">
        <v>0</v>
      </c>
      <c r="Q258" s="560">
        <v>0</v>
      </c>
      <c r="R258" s="570">
        <f>Tabel6689262829[[#This Row],[VAT DW 2017]]+Tabel6689262829[[#This Row],[VAT Sew. 2017]]+Tabel6689262829[[#This Row],[VAT WW 2017]]+Tabel6689262829[[#This Row],[VAT Other ch. 2017]]</f>
        <v>93.838576815284753</v>
      </c>
      <c r="S258" s="571">
        <f>Tabel6689262829[[#This Row],[Total. ch. DW 2017]]+Tabel6689262829[[#This Row],[Sew. 2017]]+Tabel6689262829[[#This Row],[VAT Sew. 2017]]+Tabel6689262829[[#This Row],[WW 2017]]+Tabel6689262829[[#This Row],[VAT WW 2017]]+Tabel6689262829[[#This Row],[Other ch. 2017]]+Tabel6689262829[[#This Row],[VAT Other ch. 2017]]</f>
        <v>469.19288407642375</v>
      </c>
      <c r="T258" s="397"/>
      <c r="U258" s="1824">
        <f>MEDIAN(G258:G262)</f>
        <v>206.24267029725661</v>
      </c>
      <c r="V258" s="1825">
        <f t="shared" ref="V258:X258" si="32">MEDIAN(H258:H262)</f>
        <v>155.63172387255847</v>
      </c>
      <c r="W258" s="1826">
        <f t="shared" si="32"/>
        <v>0</v>
      </c>
      <c r="X258" s="1908">
        <f t="shared" si="32"/>
        <v>80.297391391727501</v>
      </c>
      <c r="Y258" s="1827">
        <f>SUM(U258:X262)</f>
        <v>442.17178556154261</v>
      </c>
      <c r="Z258" s="1828">
        <f t="shared" ref="Z258:AF258" si="33">MEDIAN(L258:L262)</f>
        <v>181.61119273947372</v>
      </c>
      <c r="AA258" s="1908">
        <f t="shared" si="33"/>
        <v>45.402798184868431</v>
      </c>
      <c r="AB258" s="1829">
        <f t="shared" si="33"/>
        <v>0</v>
      </c>
      <c r="AC258" s="1908">
        <f t="shared" si="33"/>
        <v>0</v>
      </c>
      <c r="AD258" s="1830">
        <f t="shared" si="33"/>
        <v>0</v>
      </c>
      <c r="AE258" s="1908">
        <f t="shared" si="33"/>
        <v>0</v>
      </c>
      <c r="AF258" s="1816">
        <f t="shared" si="33"/>
        <v>162.6780420793869</v>
      </c>
      <c r="AG258" s="1817">
        <f>Y258+Z258+AA258+AB258+AC258+AD258+AE258</f>
        <v>669.18577648588473</v>
      </c>
      <c r="AH258" s="397"/>
      <c r="AI258" s="398"/>
      <c r="AJ258" s="591" t="s">
        <v>429</v>
      </c>
      <c r="AK258" s="396"/>
      <c r="AL258" s="396"/>
      <c r="AM258" s="591" t="s">
        <v>429</v>
      </c>
      <c r="AN258" s="396"/>
      <c r="AO258" s="398"/>
      <c r="AP258" s="397"/>
    </row>
    <row r="259" spans="1:42" ht="15.75" customHeight="1" x14ac:dyDescent="0.25">
      <c r="A259" s="1757"/>
      <c r="B259" s="639" t="s">
        <v>156</v>
      </c>
      <c r="C259" s="639"/>
      <c r="D259" s="724" t="s">
        <v>1135</v>
      </c>
      <c r="E259" s="1967"/>
      <c r="F259" s="617">
        <f>'exchange rates'!$O$59</f>
        <v>8.1602899999999998</v>
      </c>
      <c r="G259" s="549">
        <f>2443/F259</f>
        <v>299.37661529185851</v>
      </c>
      <c r="H259" s="550">
        <f>1438/F259</f>
        <v>176.21922750294414</v>
      </c>
      <c r="I259" s="551">
        <v>0</v>
      </c>
      <c r="J259" s="560">
        <f>970.25/F259</f>
        <v>118.89896069870066</v>
      </c>
      <c r="K259" s="566">
        <f>Tabel6689262829[[#This Row],[Fix.ch. 2017]]+Tabel6689262829[[#This Row],[Var. ch. 2017]]+Tabel6689262829[[#This Row],[Oth. ch. DW 2017]]+Tabel6689262829[[#This Row],[VAT DW 2017]]</f>
        <v>594.49480349350335</v>
      </c>
      <c r="L259" s="567">
        <f>1482/F259</f>
        <v>181.61119273947372</v>
      </c>
      <c r="M259" s="560">
        <f>370.5/F259</f>
        <v>45.402798184868431</v>
      </c>
      <c r="N259" s="568">
        <v>0</v>
      </c>
      <c r="O259" s="560">
        <v>0</v>
      </c>
      <c r="P259" s="569">
        <v>0</v>
      </c>
      <c r="Q259" s="560">
        <v>0</v>
      </c>
      <c r="R259" s="570">
        <f>Tabel6689262829[[#This Row],[VAT DW 2017]]+Tabel6689262829[[#This Row],[VAT Sew. 2017]]+Tabel6689262829[[#This Row],[VAT WW 2017]]+Tabel6689262829[[#This Row],[VAT Other ch. 2017]]</f>
        <v>164.30175888356911</v>
      </c>
      <c r="S259" s="571">
        <f>Tabel6689262829[[#This Row],[Total. ch. DW 2017]]+Tabel6689262829[[#This Row],[Sew. 2017]]+Tabel6689262829[[#This Row],[VAT Sew. 2017]]+Tabel6689262829[[#This Row],[WW 2017]]+Tabel6689262829[[#This Row],[VAT WW 2017]]+Tabel6689262829[[#This Row],[Other ch. 2017]]+Tabel6689262829[[#This Row],[VAT Other ch. 2017]]</f>
        <v>821.50879441784548</v>
      </c>
      <c r="T259" s="397"/>
      <c r="U259" s="1763"/>
      <c r="V259" s="1766"/>
      <c r="W259" s="1769"/>
      <c r="X259" s="1772"/>
      <c r="Y259" s="1775"/>
      <c r="Z259" s="1778"/>
      <c r="AA259" s="1772"/>
      <c r="AB259" s="1781"/>
      <c r="AC259" s="1772"/>
      <c r="AD259" s="1785"/>
      <c r="AE259" s="1772"/>
      <c r="AF259" s="1788"/>
      <c r="AG259" s="1791"/>
      <c r="AH259" s="397"/>
      <c r="AI259" s="398"/>
      <c r="AJ259" s="591" t="s">
        <v>429</v>
      </c>
      <c r="AK259" s="396"/>
      <c r="AL259" s="396"/>
      <c r="AM259" s="591" t="s">
        <v>429</v>
      </c>
      <c r="AN259" s="396"/>
      <c r="AO259" s="398"/>
      <c r="AP259" s="397"/>
    </row>
    <row r="260" spans="1:42" ht="15.75" customHeight="1" x14ac:dyDescent="0.25">
      <c r="A260" s="1757"/>
      <c r="B260" s="639" t="s">
        <v>157</v>
      </c>
      <c r="C260" s="639"/>
      <c r="D260" s="724" t="s">
        <v>1135</v>
      </c>
      <c r="E260" s="1967"/>
      <c r="F260" s="617">
        <f>'exchange rates'!$O$59</f>
        <v>8.1602899999999998</v>
      </c>
      <c r="G260" s="549">
        <f>1653/F260</f>
        <v>202.56633036325914</v>
      </c>
      <c r="H260" s="550">
        <f>968/F260</f>
        <v>118.62323520365085</v>
      </c>
      <c r="I260" s="551">
        <v>0</v>
      </c>
      <c r="J260" s="560">
        <f>655.25/F260</f>
        <v>80.297391391727501</v>
      </c>
      <c r="K260" s="566">
        <f>Tabel6689262829[[#This Row],[Fix.ch. 2017]]+Tabel6689262829[[#This Row],[Var. ch. 2017]]+Tabel6689262829[[#This Row],[Oth. ch. DW 2017]]+Tabel6689262829[[#This Row],[VAT DW 2017]]</f>
        <v>401.48695695863751</v>
      </c>
      <c r="L260" s="567">
        <f>1028/F260</f>
        <v>125.97591507164574</v>
      </c>
      <c r="M260" s="560">
        <f>257/F260</f>
        <v>31.493978767911436</v>
      </c>
      <c r="N260" s="568">
        <v>0</v>
      </c>
      <c r="O260" s="560">
        <v>0</v>
      </c>
      <c r="P260" s="569">
        <v>0</v>
      </c>
      <c r="Q260" s="560">
        <v>0</v>
      </c>
      <c r="R260" s="570">
        <f>Tabel6689262829[[#This Row],[VAT DW 2017]]+Tabel6689262829[[#This Row],[VAT Sew. 2017]]+Tabel6689262829[[#This Row],[VAT WW 2017]]+Tabel6689262829[[#This Row],[VAT Other ch. 2017]]</f>
        <v>111.79137015963894</v>
      </c>
      <c r="S260" s="571">
        <f>Tabel6689262829[[#This Row],[Total. ch. DW 2017]]+Tabel6689262829[[#This Row],[Sew. 2017]]+Tabel6689262829[[#This Row],[VAT Sew. 2017]]+Tabel6689262829[[#This Row],[WW 2017]]+Tabel6689262829[[#This Row],[VAT WW 2017]]+Tabel6689262829[[#This Row],[Other ch. 2017]]+Tabel6689262829[[#This Row],[VAT Other ch. 2017]]</f>
        <v>558.95685079819475</v>
      </c>
      <c r="T260" s="397"/>
      <c r="U260" s="1763"/>
      <c r="V260" s="1766"/>
      <c r="W260" s="1769"/>
      <c r="X260" s="1772"/>
      <c r="Y260" s="1775"/>
      <c r="Z260" s="1778"/>
      <c r="AA260" s="1772"/>
      <c r="AB260" s="1781"/>
      <c r="AC260" s="1772"/>
      <c r="AD260" s="1785"/>
      <c r="AE260" s="1772"/>
      <c r="AF260" s="1788"/>
      <c r="AG260" s="1791"/>
      <c r="AH260" s="397"/>
      <c r="AI260" s="398"/>
      <c r="AJ260" s="591" t="s">
        <v>429</v>
      </c>
      <c r="AK260" s="396"/>
      <c r="AL260" s="396"/>
      <c r="AM260" s="591" t="s">
        <v>429</v>
      </c>
      <c r="AN260" s="396"/>
      <c r="AO260" s="398"/>
      <c r="AP260" s="397"/>
    </row>
    <row r="261" spans="1:42" ht="15.75" customHeight="1" x14ac:dyDescent="0.25">
      <c r="A261" s="1757"/>
      <c r="B261" s="639" t="s">
        <v>158</v>
      </c>
      <c r="C261" s="639"/>
      <c r="D261" s="724" t="s">
        <v>1135</v>
      </c>
      <c r="E261" s="1967"/>
      <c r="F261" s="617">
        <f>'exchange rates'!$O$59</f>
        <v>8.1602899999999998</v>
      </c>
      <c r="G261" s="549">
        <f>0</f>
        <v>0</v>
      </c>
      <c r="H261" s="550">
        <f>2470/F261</f>
        <v>302.6853212324562</v>
      </c>
      <c r="I261" s="551">
        <v>0</v>
      </c>
      <c r="J261" s="560">
        <f>617.5/F261</f>
        <v>75.671330308114051</v>
      </c>
      <c r="K261" s="566">
        <f>Tabel6689262829[[#This Row],[Fix.ch. 2017]]+Tabel6689262829[[#This Row],[Var. ch. 2017]]+Tabel6689262829[[#This Row],[Oth. ch. DW 2017]]+Tabel6689262829[[#This Row],[VAT DW 2017]]</f>
        <v>378.35665154057028</v>
      </c>
      <c r="L261" s="567">
        <f>3706/F261</f>
        <v>454.15052651315091</v>
      </c>
      <c r="M261" s="560">
        <f>926.5/F261</f>
        <v>113.53763162828773</v>
      </c>
      <c r="N261" s="568">
        <v>0</v>
      </c>
      <c r="O261" s="560">
        <v>0</v>
      </c>
      <c r="P261" s="569">
        <v>0</v>
      </c>
      <c r="Q261" s="560">
        <v>0</v>
      </c>
      <c r="R261" s="570">
        <f>Tabel6689262829[[#This Row],[VAT DW 2017]]+Tabel6689262829[[#This Row],[VAT Sew. 2017]]+Tabel6689262829[[#This Row],[VAT WW 2017]]+Tabel6689262829[[#This Row],[VAT Other ch. 2017]]</f>
        <v>189.20896193640178</v>
      </c>
      <c r="S261" s="571">
        <f>Tabel6689262829[[#This Row],[Total. ch. DW 2017]]+Tabel6689262829[[#This Row],[Sew. 2017]]+Tabel6689262829[[#This Row],[VAT Sew. 2017]]+Tabel6689262829[[#This Row],[WW 2017]]+Tabel6689262829[[#This Row],[VAT WW 2017]]+Tabel6689262829[[#This Row],[Other ch. 2017]]+Tabel6689262829[[#This Row],[VAT Other ch. 2017]]</f>
        <v>946.04480968200892</v>
      </c>
      <c r="T261" s="397"/>
      <c r="U261" s="1763"/>
      <c r="V261" s="1766"/>
      <c r="W261" s="1769"/>
      <c r="X261" s="1772"/>
      <c r="Y261" s="1775"/>
      <c r="Z261" s="1778"/>
      <c r="AA261" s="1772"/>
      <c r="AB261" s="1781"/>
      <c r="AC261" s="1772"/>
      <c r="AD261" s="1785"/>
      <c r="AE261" s="1772"/>
      <c r="AF261" s="1788"/>
      <c r="AG261" s="1791"/>
      <c r="AH261" s="397"/>
      <c r="AI261" s="398"/>
      <c r="AJ261" s="591" t="s">
        <v>429</v>
      </c>
      <c r="AK261" s="396"/>
      <c r="AL261" s="396"/>
      <c r="AM261" s="591"/>
      <c r="AN261" s="396"/>
      <c r="AO261" s="398"/>
      <c r="AP261" s="397"/>
    </row>
    <row r="262" spans="1:42" ht="16.5" customHeight="1" thickBot="1" x14ac:dyDescent="0.3">
      <c r="A262" s="1758"/>
      <c r="B262" s="640" t="s">
        <v>159</v>
      </c>
      <c r="C262" s="652"/>
      <c r="D262" s="807" t="s">
        <v>1135</v>
      </c>
      <c r="E262" s="1799"/>
      <c r="F262" s="617">
        <f>'exchange rates'!$O$59</f>
        <v>8.1602899999999998</v>
      </c>
      <c r="G262" s="549">
        <f>2330/F262</f>
        <v>285.5290682071348</v>
      </c>
      <c r="H262" s="550">
        <f>1270/F262</f>
        <v>155.63172387255847</v>
      </c>
      <c r="I262" s="551">
        <v>0</v>
      </c>
      <c r="J262" s="560">
        <f>900/F262</f>
        <v>110.29019801992331</v>
      </c>
      <c r="K262" s="566">
        <f>Tabel6689262829[[#This Row],[Fix.ch. 2017]]+Tabel6689262829[[#This Row],[Var. ch. 2017]]+Tabel6689262829[[#This Row],[Oth. ch. DW 2017]]+Tabel6689262829[[#This Row],[VAT DW 2017]]</f>
        <v>551.45099009961655</v>
      </c>
      <c r="L262" s="567">
        <f>1710/F262</f>
        <v>209.5513762378543</v>
      </c>
      <c r="M262" s="560">
        <f>427.5/F262</f>
        <v>52.387844059463575</v>
      </c>
      <c r="N262" s="568">
        <v>0</v>
      </c>
      <c r="O262" s="560">
        <v>0</v>
      </c>
      <c r="P262" s="569">
        <v>0</v>
      </c>
      <c r="Q262" s="560">
        <v>0</v>
      </c>
      <c r="R262" s="570">
        <f>Tabel6689262829[[#This Row],[VAT DW 2017]]+Tabel6689262829[[#This Row],[VAT Sew. 2017]]+Tabel6689262829[[#This Row],[VAT WW 2017]]+Tabel6689262829[[#This Row],[VAT Other ch. 2017]]</f>
        <v>162.6780420793869</v>
      </c>
      <c r="S262" s="571">
        <f>Tabel6689262829[[#This Row],[Total. ch. DW 2017]]+Tabel6689262829[[#This Row],[Sew. 2017]]+Tabel6689262829[[#This Row],[VAT Sew. 2017]]+Tabel6689262829[[#This Row],[WW 2017]]+Tabel6689262829[[#This Row],[VAT WW 2017]]+Tabel6689262829[[#This Row],[Other ch. 2017]]+Tabel6689262829[[#This Row],[VAT Other ch. 2017]]</f>
        <v>813.39021039693444</v>
      </c>
      <c r="T262" s="397"/>
      <c r="U262" s="2182"/>
      <c r="V262" s="2183"/>
      <c r="W262" s="2184"/>
      <c r="X262" s="1773"/>
      <c r="Y262" s="2168"/>
      <c r="Z262" s="2169"/>
      <c r="AA262" s="1773"/>
      <c r="AB262" s="2179"/>
      <c r="AC262" s="1773"/>
      <c r="AD262" s="2180"/>
      <c r="AE262" s="1773"/>
      <c r="AF262" s="2181"/>
      <c r="AG262" s="2174"/>
      <c r="AH262" s="397"/>
      <c r="AI262" s="398"/>
      <c r="AJ262" s="591" t="s">
        <v>429</v>
      </c>
      <c r="AK262" s="396"/>
      <c r="AL262" s="396"/>
      <c r="AM262" s="591" t="s">
        <v>429</v>
      </c>
      <c r="AN262" s="396"/>
      <c r="AO262" s="398"/>
      <c r="AP262" s="397"/>
    </row>
    <row r="263" spans="1:42" ht="18" customHeight="1" x14ac:dyDescent="0.25">
      <c r="A263" s="1818" t="s">
        <v>28</v>
      </c>
      <c r="B263" s="547" t="s">
        <v>160</v>
      </c>
      <c r="C263" s="1046"/>
      <c r="D263" s="802" t="s">
        <v>1137</v>
      </c>
      <c r="E263" s="1966">
        <v>61400</v>
      </c>
      <c r="F263" s="617">
        <f>'exchange rates'!$O$60</f>
        <v>0.97441999999999995</v>
      </c>
      <c r="G263" s="549">
        <f>112/F263</f>
        <v>114.94016953675008</v>
      </c>
      <c r="H263" s="550">
        <f>216/F263</f>
        <v>221.67032696373229</v>
      </c>
      <c r="I263" s="551">
        <v>0</v>
      </c>
      <c r="J263" s="560">
        <f>26.24/F263</f>
        <v>26.928839720038585</v>
      </c>
      <c r="K263" s="566">
        <f>Tabel6689262829[[#This Row],[Fix.ch. 2017]]+Tabel6689262829[[#This Row],[Var. ch. 2017]]+Tabel6689262829[[#This Row],[Oth. ch. DW 2017]]+Tabel6689262829[[#This Row],[VAT DW 2017]]</f>
        <v>363.53933622052097</v>
      </c>
      <c r="L263" s="567">
        <f>479/F263</f>
        <v>491.57447507235077</v>
      </c>
      <c r="M263" s="560">
        <f>11.98/F263</f>
        <v>12.294493134377374</v>
      </c>
      <c r="N263" s="568">
        <v>0</v>
      </c>
      <c r="O263" s="560">
        <v>0</v>
      </c>
      <c r="P263" s="569">
        <v>0</v>
      </c>
      <c r="Q263" s="560">
        <v>0</v>
      </c>
      <c r="R263" s="570">
        <f>Tabel6689262829[[#This Row],[VAT DW 2017]]+Tabel6689262829[[#This Row],[VAT Sew. 2017]]+Tabel6689262829[[#This Row],[VAT WW 2017]]+Tabel6689262829[[#This Row],[VAT Other ch. 2017]]</f>
        <v>39.223332854415958</v>
      </c>
      <c r="S263" s="571">
        <f>Tabel6689262829[[#This Row],[Total. ch. DW 2017]]+Tabel6689262829[[#This Row],[Sew. 2017]]+Tabel6689262829[[#This Row],[VAT Sew. 2017]]+Tabel6689262829[[#This Row],[WW 2017]]+Tabel6689262829[[#This Row],[VAT WW 2017]]+Tabel6689262829[[#This Row],[Other ch. 2017]]+Tabel6689262829[[#This Row],[VAT Other ch. 2017]]</f>
        <v>867.40830442724916</v>
      </c>
      <c r="T263" s="397"/>
      <c r="U263" s="1968">
        <f>MEDIAN(G263:G267)</f>
        <v>71.837605960468792</v>
      </c>
      <c r="V263" s="1971">
        <f>MEDIAN(H263:H267)</f>
        <v>394.08058126885737</v>
      </c>
      <c r="W263" s="2175">
        <f>MEDIAN(I263:I267)</f>
        <v>0</v>
      </c>
      <c r="X263" s="2178">
        <f>MEDIAN(J263:J267)</f>
        <v>35.959853040783237</v>
      </c>
      <c r="Y263" s="1939">
        <f>SUM(U263:X267)</f>
        <v>501.87804027010941</v>
      </c>
      <c r="Z263" s="1980">
        <f t="shared" ref="Z263:AF263" si="34">MEDIAN(L263:L267)</f>
        <v>447.2711972250159</v>
      </c>
      <c r="AA263" s="1938">
        <f t="shared" si="34"/>
        <v>11.186141499558714</v>
      </c>
      <c r="AB263" s="1954">
        <f t="shared" si="34"/>
        <v>0</v>
      </c>
      <c r="AC263" s="1938">
        <f t="shared" si="34"/>
        <v>0</v>
      </c>
      <c r="AD263" s="1957">
        <f t="shared" si="34"/>
        <v>0</v>
      </c>
      <c r="AE263" s="1938">
        <f t="shared" si="34"/>
        <v>0</v>
      </c>
      <c r="AF263" s="1960">
        <f t="shared" si="34"/>
        <v>47.125469510067532</v>
      </c>
      <c r="AG263" s="2171">
        <f>Y263+Z263+AA263+AB263+AC263+AD263+AE263</f>
        <v>960.33537899468411</v>
      </c>
      <c r="AH263" s="397"/>
      <c r="AI263" s="398"/>
      <c r="AJ263" s="591" t="s">
        <v>429</v>
      </c>
      <c r="AK263" s="398"/>
      <c r="AL263" s="398"/>
      <c r="AM263" s="591" t="s">
        <v>429</v>
      </c>
      <c r="AN263" s="398"/>
      <c r="AO263" s="398"/>
      <c r="AP263" s="397"/>
    </row>
    <row r="264" spans="1:42" ht="15.75" x14ac:dyDescent="0.25">
      <c r="A264" s="1819"/>
      <c r="B264" s="547" t="s">
        <v>603</v>
      </c>
      <c r="C264" s="1046"/>
      <c r="D264" s="802" t="s">
        <v>1137</v>
      </c>
      <c r="E264" s="1967"/>
      <c r="F264" s="617">
        <f>'exchange rates'!$O$60</f>
        <v>0.97441999999999995</v>
      </c>
      <c r="G264" s="549">
        <f>136/F264</f>
        <v>139.57020586605367</v>
      </c>
      <c r="H264" s="550">
        <f>384/F264</f>
        <v>394.08058126885737</v>
      </c>
      <c r="I264" s="551">
        <v>0</v>
      </c>
      <c r="J264" s="560">
        <f>41.6/F264</f>
        <v>42.692062970792882</v>
      </c>
      <c r="K264" s="566">
        <f>Tabel6689262829[[#This Row],[Fix.ch. 2017]]+Tabel6689262829[[#This Row],[Var. ch. 2017]]+Tabel6689262829[[#This Row],[Oth. ch. DW 2017]]+Tabel6689262829[[#This Row],[VAT DW 2017]]</f>
        <v>576.34285010570397</v>
      </c>
      <c r="L264" s="567">
        <f>462.25/F264</f>
        <v>474.38476221752427</v>
      </c>
      <c r="M264" s="560">
        <f>11.56/F264</f>
        <v>11.863467498614561</v>
      </c>
      <c r="N264" s="568">
        <v>0</v>
      </c>
      <c r="O264" s="560">
        <v>0</v>
      </c>
      <c r="P264" s="569">
        <v>0</v>
      </c>
      <c r="Q264" s="560">
        <v>0</v>
      </c>
      <c r="R264" s="570">
        <f>Tabel6689262829[[#This Row],[VAT DW 2017]]+Tabel6689262829[[#This Row],[VAT Sew. 2017]]+Tabel6689262829[[#This Row],[VAT WW 2017]]+Tabel6689262829[[#This Row],[VAT Other ch. 2017]]</f>
        <v>54.555530469407444</v>
      </c>
      <c r="S264" s="571">
        <f>Tabel6689262829[[#This Row],[Total. ch. DW 2017]]+Tabel6689262829[[#This Row],[Sew. 2017]]+Tabel6689262829[[#This Row],[VAT Sew. 2017]]+Tabel6689262829[[#This Row],[WW 2017]]+Tabel6689262829[[#This Row],[VAT WW 2017]]+Tabel6689262829[[#This Row],[Other ch. 2017]]+Tabel6689262829[[#This Row],[VAT Other ch. 2017]]</f>
        <v>1062.5910798218426</v>
      </c>
      <c r="T264" s="397"/>
      <c r="U264" s="1969"/>
      <c r="V264" s="1972"/>
      <c r="W264" s="2176"/>
      <c r="X264" s="2103"/>
      <c r="Y264" s="1775"/>
      <c r="Z264" s="1981"/>
      <c r="AA264" s="1772"/>
      <c r="AB264" s="2170"/>
      <c r="AC264" s="1772"/>
      <c r="AD264" s="1958"/>
      <c r="AE264" s="1772"/>
      <c r="AF264" s="1961"/>
      <c r="AG264" s="2172"/>
      <c r="AH264" s="397"/>
      <c r="AI264" s="398"/>
      <c r="AJ264" s="591" t="s">
        <v>429</v>
      </c>
      <c r="AK264" s="398"/>
      <c r="AL264" s="398"/>
      <c r="AM264" s="591" t="s">
        <v>429</v>
      </c>
      <c r="AN264" s="398"/>
      <c r="AO264" s="398"/>
      <c r="AP264" s="397"/>
    </row>
    <row r="265" spans="1:42" ht="15.75" x14ac:dyDescent="0.25">
      <c r="A265" s="1819"/>
      <c r="B265" s="547" t="s">
        <v>162</v>
      </c>
      <c r="C265" s="1046"/>
      <c r="D265" s="802" t="s">
        <v>1137</v>
      </c>
      <c r="E265" s="1967"/>
      <c r="F265" s="617">
        <f>'exchange rates'!$O$60</f>
        <v>0.97441999999999995</v>
      </c>
      <c r="G265" s="549">
        <f>70/F265</f>
        <v>71.837605960468792</v>
      </c>
      <c r="H265" s="550">
        <f>292/F265</f>
        <v>299.66544200652697</v>
      </c>
      <c r="I265" s="551">
        <v>0</v>
      </c>
      <c r="J265" s="560">
        <f>28.96/F265</f>
        <v>29.720243837359661</v>
      </c>
      <c r="K265" s="566">
        <f>Tabel6689262829[[#This Row],[Fix.ch. 2017]]+Tabel6689262829[[#This Row],[Var. ch. 2017]]+Tabel6689262829[[#This Row],[Oth. ch. DW 2017]]+Tabel6689262829[[#This Row],[VAT DW 2017]]</f>
        <v>401.22329180435543</v>
      </c>
      <c r="L265" s="567">
        <f>350/F265</f>
        <v>359.18802980234398</v>
      </c>
      <c r="M265" s="560">
        <f>8.75/F265</f>
        <v>8.9797007450585991</v>
      </c>
      <c r="N265" s="568">
        <v>0</v>
      </c>
      <c r="O265" s="560">
        <v>0</v>
      </c>
      <c r="P265" s="569">
        <v>0</v>
      </c>
      <c r="Q265" s="560">
        <v>0</v>
      </c>
      <c r="R265" s="570">
        <f>Tabel6689262829[[#This Row],[VAT DW 2017]]+Tabel6689262829[[#This Row],[VAT Sew. 2017]]+Tabel6689262829[[#This Row],[VAT WW 2017]]+Tabel6689262829[[#This Row],[VAT Other ch. 2017]]</f>
        <v>38.699944582418262</v>
      </c>
      <c r="S265" s="571">
        <f>Tabel6689262829[[#This Row],[Total. ch. DW 2017]]+Tabel6689262829[[#This Row],[Sew. 2017]]+Tabel6689262829[[#This Row],[VAT Sew. 2017]]+Tabel6689262829[[#This Row],[WW 2017]]+Tabel6689262829[[#This Row],[VAT WW 2017]]+Tabel6689262829[[#This Row],[Other ch. 2017]]+Tabel6689262829[[#This Row],[VAT Other ch. 2017]]</f>
        <v>769.39102235175801</v>
      </c>
      <c r="T265" s="397"/>
      <c r="U265" s="1969"/>
      <c r="V265" s="1972"/>
      <c r="W265" s="2176"/>
      <c r="X265" s="2103"/>
      <c r="Y265" s="1775"/>
      <c r="Z265" s="1981"/>
      <c r="AA265" s="1772"/>
      <c r="AB265" s="2170"/>
      <c r="AC265" s="1772"/>
      <c r="AD265" s="1958"/>
      <c r="AE265" s="1772"/>
      <c r="AF265" s="1961"/>
      <c r="AG265" s="2172"/>
      <c r="AH265" s="397"/>
      <c r="AI265" s="398"/>
      <c r="AJ265" s="591" t="s">
        <v>429</v>
      </c>
      <c r="AK265" s="398"/>
      <c r="AL265" s="398"/>
      <c r="AM265" s="591" t="s">
        <v>429</v>
      </c>
      <c r="AN265" s="398"/>
      <c r="AO265" s="398"/>
      <c r="AP265" s="397"/>
    </row>
    <row r="266" spans="1:42" ht="15.75" x14ac:dyDescent="0.25">
      <c r="A266" s="1819"/>
      <c r="B266" s="547" t="s">
        <v>161</v>
      </c>
      <c r="C266" s="1046"/>
      <c r="D266" s="802" t="s">
        <v>1137</v>
      </c>
      <c r="E266" s="1967"/>
      <c r="F266" s="617">
        <f>'exchange rates'!$O$60</f>
        <v>0.97441999999999995</v>
      </c>
      <c r="G266" s="549">
        <f>28/F266</f>
        <v>28.735042384187519</v>
      </c>
      <c r="H266" s="550">
        <f>410/F266</f>
        <v>420.76312062560294</v>
      </c>
      <c r="I266" s="551">
        <v>0</v>
      </c>
      <c r="J266" s="560">
        <f>35.04/F266</f>
        <v>35.959853040783237</v>
      </c>
      <c r="K266" s="566">
        <f>Tabel6689262829[[#This Row],[Fix.ch. 2017]]+Tabel6689262829[[#This Row],[Var. ch. 2017]]+Tabel6689262829[[#This Row],[Oth. ch. DW 2017]]+Tabel6689262829[[#This Row],[VAT DW 2017]]</f>
        <v>485.45801605057369</v>
      </c>
      <c r="L266" s="567">
        <f>435/F266</f>
        <v>446.41940846862752</v>
      </c>
      <c r="M266" s="560">
        <f>10.88/F266</f>
        <v>11.165616469284293</v>
      </c>
      <c r="N266" s="568">
        <v>0</v>
      </c>
      <c r="O266" s="560">
        <v>0</v>
      </c>
      <c r="P266" s="569">
        <v>0</v>
      </c>
      <c r="Q266" s="560">
        <v>0</v>
      </c>
      <c r="R266" s="570">
        <f>Tabel6689262829[[#This Row],[VAT DW 2017]]+Tabel6689262829[[#This Row],[VAT Sew. 2017]]+Tabel6689262829[[#This Row],[VAT WW 2017]]+Tabel6689262829[[#This Row],[VAT Other ch. 2017]]</f>
        <v>47.125469510067532</v>
      </c>
      <c r="S266" s="571">
        <f>Tabel6689262829[[#This Row],[Total. ch. DW 2017]]+Tabel6689262829[[#This Row],[Sew. 2017]]+Tabel6689262829[[#This Row],[VAT Sew. 2017]]+Tabel6689262829[[#This Row],[WW 2017]]+Tabel6689262829[[#This Row],[VAT WW 2017]]+Tabel6689262829[[#This Row],[Other ch. 2017]]+Tabel6689262829[[#This Row],[VAT Other ch. 2017]]</f>
        <v>943.04304098848547</v>
      </c>
      <c r="T266" s="397"/>
      <c r="U266" s="1969"/>
      <c r="V266" s="1972"/>
      <c r="W266" s="2176"/>
      <c r="X266" s="2103"/>
      <c r="Y266" s="1775"/>
      <c r="Z266" s="1981"/>
      <c r="AA266" s="1772"/>
      <c r="AB266" s="2170"/>
      <c r="AC266" s="1772"/>
      <c r="AD266" s="1958"/>
      <c r="AE266" s="1772"/>
      <c r="AF266" s="1961"/>
      <c r="AG266" s="2172"/>
      <c r="AH266" s="397"/>
      <c r="AI266" s="398"/>
      <c r="AJ266" s="591" t="s">
        <v>429</v>
      </c>
      <c r="AK266" s="398"/>
      <c r="AL266" s="398"/>
      <c r="AM266" s="591" t="s">
        <v>429</v>
      </c>
      <c r="AN266" s="398"/>
      <c r="AO266" s="398"/>
      <c r="AP266" s="397"/>
    </row>
    <row r="267" spans="1:42" ht="16.5" thickBot="1" x14ac:dyDescent="0.3">
      <c r="A267" s="1820"/>
      <c r="B267" s="613" t="s">
        <v>163</v>
      </c>
      <c r="C267" s="1046" t="s">
        <v>429</v>
      </c>
      <c r="D267" s="802" t="s">
        <v>1137</v>
      </c>
      <c r="E267" s="1799"/>
      <c r="F267" s="617">
        <f>'exchange rates'!$O$60</f>
        <v>0.97441999999999995</v>
      </c>
      <c r="G267" s="549">
        <f>54/F267</f>
        <v>55.417581740933073</v>
      </c>
      <c r="H267" s="550">
        <f>464/F267</f>
        <v>476.18070236653602</v>
      </c>
      <c r="I267" s="551">
        <v>0</v>
      </c>
      <c r="J267" s="560">
        <f>41.44/F267</f>
        <v>42.527862728597526</v>
      </c>
      <c r="K267" s="566">
        <f>Tabel6689262829[[#This Row],[Fix.ch. 2017]]+Tabel6689262829[[#This Row],[Var. ch. 2017]]+Tabel6689262829[[#This Row],[Oth. ch. DW 2017]]+Tabel6689262829[[#This Row],[VAT DW 2017]]</f>
        <v>574.1261468360666</v>
      </c>
      <c r="L267" s="567">
        <f>435.83/F267</f>
        <v>447.2711972250159</v>
      </c>
      <c r="M267" s="560">
        <f>10.9/F267</f>
        <v>11.186141499558714</v>
      </c>
      <c r="N267" s="568">
        <v>0</v>
      </c>
      <c r="O267" s="560">
        <v>0</v>
      </c>
      <c r="P267" s="569">
        <v>0</v>
      </c>
      <c r="Q267" s="560">
        <v>0</v>
      </c>
      <c r="R267" s="570">
        <f>Tabel6689262829[[#This Row],[VAT DW 2017]]+Tabel6689262829[[#This Row],[VAT Sew. 2017]]+Tabel6689262829[[#This Row],[VAT WW 2017]]+Tabel6689262829[[#This Row],[VAT Other ch. 2017]]</f>
        <v>53.714004228156242</v>
      </c>
      <c r="S267" s="571">
        <f>Tabel6689262829[[#This Row],[Total. ch. DW 2017]]+Tabel6689262829[[#This Row],[Sew. 2017]]+Tabel6689262829[[#This Row],[VAT Sew. 2017]]+Tabel6689262829[[#This Row],[WW 2017]]+Tabel6689262829[[#This Row],[VAT WW 2017]]+Tabel6689262829[[#This Row],[Other ch. 2017]]+Tabel6689262829[[#This Row],[VAT Other ch. 2017]]</f>
        <v>1032.5834855606413</v>
      </c>
      <c r="T267" s="397"/>
      <c r="U267" s="1801"/>
      <c r="V267" s="1803"/>
      <c r="W267" s="2177"/>
      <c r="X267" s="2104"/>
      <c r="Y267" s="1807"/>
      <c r="Z267" s="1809"/>
      <c r="AA267" s="1773"/>
      <c r="AB267" s="1865"/>
      <c r="AC267" s="1773"/>
      <c r="AD267" s="1786"/>
      <c r="AE267" s="1773"/>
      <c r="AF267" s="1789"/>
      <c r="AG267" s="2173"/>
      <c r="AH267" s="397"/>
      <c r="AI267" s="398"/>
      <c r="AJ267" s="591" t="s">
        <v>429</v>
      </c>
      <c r="AK267" s="398"/>
      <c r="AL267" s="398"/>
      <c r="AM267" s="591" t="s">
        <v>429</v>
      </c>
      <c r="AN267" s="398"/>
      <c r="AO267" s="398"/>
      <c r="AP267" s="397"/>
    </row>
    <row r="268" spans="1:42" ht="19.5" thickBot="1" x14ac:dyDescent="0.3">
      <c r="A268" s="870" t="s">
        <v>706</v>
      </c>
      <c r="B268" s="455" t="s">
        <v>708</v>
      </c>
      <c r="C268" s="1048"/>
      <c r="D268" s="811" t="s">
        <v>1139</v>
      </c>
      <c r="E268" s="589">
        <v>3000</v>
      </c>
      <c r="F268" s="307">
        <f>'exchange rates'!M61</f>
        <v>2171.8366799999999</v>
      </c>
      <c r="G268" s="319"/>
      <c r="H268" s="320"/>
      <c r="I268" s="321"/>
      <c r="J268" s="559"/>
      <c r="K268" s="313">
        <f>Tabel6689262829[[#This Row],[Fix.ch. 2017]]+Tabel6689262829[[#This Row],[Var. ch. 2017]]+Tabel6689262829[[#This Row],[Oth. ch. DW 2017]]+Tabel6689262829[[#This Row],[VAT DW 2017]]</f>
        <v>0</v>
      </c>
      <c r="L268" s="322"/>
      <c r="M268" s="559"/>
      <c r="N268" s="323"/>
      <c r="O268" s="559"/>
      <c r="P268" s="324"/>
      <c r="Q268" s="559"/>
      <c r="R268" s="317">
        <f>Tabel6689262829[[#This Row],[VAT DW 2017]]+Tabel6689262829[[#This Row],[VAT Sew. 2017]]+Tabel6689262829[[#This Row],[VAT WW 2017]]+Tabel6689262829[[#This Row],[VAT Other ch. 2017]]</f>
        <v>0</v>
      </c>
      <c r="S268" s="318">
        <f>Tabel6689262829[[#This Row],[Total. ch. DW 2017]]+Tabel6689262829[[#This Row],[Sew. 2017]]+Tabel6689262829[[#This Row],[VAT Sew. 2017]]+Tabel6689262829[[#This Row],[WW 2017]]+Tabel6689262829[[#This Row],[VAT WW 2017]]+Tabel6689262829[[#This Row],[Other ch. 2017]]+Tabel6689262829[[#This Row],[VAT Other ch. 2017]]</f>
        <v>0</v>
      </c>
      <c r="T268" s="397"/>
      <c r="U268" s="340"/>
      <c r="V268" s="341"/>
      <c r="W268" s="401"/>
      <c r="X268" s="580"/>
      <c r="Y268" s="343"/>
      <c r="Z268" s="344"/>
      <c r="AA268" s="581"/>
      <c r="AB268" s="514"/>
      <c r="AC268" s="592"/>
      <c r="AD268" s="346"/>
      <c r="AE268" s="581"/>
      <c r="AF268" s="347"/>
      <c r="AG268" s="515"/>
      <c r="AH268" s="397"/>
      <c r="AI268" s="398"/>
      <c r="AJ268" s="396"/>
      <c r="AK268" s="398"/>
      <c r="AL268" s="398"/>
      <c r="AM268" s="396"/>
      <c r="AN268" s="398"/>
      <c r="AO268" s="398"/>
      <c r="AP268" s="397"/>
    </row>
    <row r="269" spans="1:42" ht="19.5" thickBot="1" x14ac:dyDescent="0.3">
      <c r="A269" s="870" t="s">
        <v>737</v>
      </c>
      <c r="B269" s="292" t="s">
        <v>738</v>
      </c>
      <c r="C269" s="1047"/>
      <c r="D269" s="811" t="s">
        <v>1141</v>
      </c>
      <c r="E269" s="589">
        <v>16100</v>
      </c>
      <c r="F269" s="307">
        <f>'exchange rates'!M62</f>
        <v>36.151380000000003</v>
      </c>
      <c r="G269" s="319"/>
      <c r="H269" s="320"/>
      <c r="I269" s="321"/>
      <c r="J269" s="559"/>
      <c r="K269" s="313">
        <f>Tabel6689262829[[#This Row],[Fix.ch. 2017]]+Tabel6689262829[[#This Row],[Var. ch. 2017]]+Tabel6689262829[[#This Row],[Oth. ch. DW 2017]]+Tabel6689262829[[#This Row],[VAT DW 2017]]</f>
        <v>0</v>
      </c>
      <c r="L269" s="322"/>
      <c r="M269" s="559"/>
      <c r="N269" s="323">
        <f>(3.358*200)/F269</f>
        <v>18.577437431157538</v>
      </c>
      <c r="O269" s="559"/>
      <c r="P269" s="324"/>
      <c r="Q269" s="559"/>
      <c r="R269" s="317">
        <f>Tabel6689262829[[#This Row],[VAT DW 2017]]+Tabel6689262829[[#This Row],[VAT Sew. 2017]]+Tabel6689262829[[#This Row],[VAT WW 2017]]+Tabel6689262829[[#This Row],[VAT Other ch. 2017]]</f>
        <v>0</v>
      </c>
      <c r="S269" s="318">
        <f>Tabel6689262829[[#This Row],[Total. ch. DW 2017]]+Tabel6689262829[[#This Row],[Sew. 2017]]+Tabel6689262829[[#This Row],[VAT Sew. 2017]]+Tabel6689262829[[#This Row],[WW 2017]]+Tabel6689262829[[#This Row],[VAT WW 2017]]+Tabel6689262829[[#This Row],[Other ch. 2017]]+Tabel6689262829[[#This Row],[VAT Other ch. 2017]]</f>
        <v>18.577437431157538</v>
      </c>
      <c r="T269" s="397"/>
      <c r="U269" s="340"/>
      <c r="V269" s="341"/>
      <c r="W269" s="401"/>
      <c r="X269" s="580"/>
      <c r="Y269" s="343">
        <f>Tabel6689262829[[#This Row],[Total. ch. DW 2017]]</f>
        <v>0</v>
      </c>
      <c r="Z269" s="344"/>
      <c r="AA269" s="581"/>
      <c r="AB269" s="345">
        <f>Tabel6689262829[[#This Row],[WW 2017]]</f>
        <v>18.577437431157538</v>
      </c>
      <c r="AC269" s="581"/>
      <c r="AD269" s="346"/>
      <c r="AE269" s="581"/>
      <c r="AF269" s="347"/>
      <c r="AG269" s="516">
        <f>SUM(Y269:AF269)</f>
        <v>18.577437431157538</v>
      </c>
      <c r="AH269" s="397"/>
      <c r="AI269" s="398"/>
      <c r="AJ269" s="396"/>
      <c r="AK269" s="396" t="s">
        <v>429</v>
      </c>
      <c r="AL269" s="398"/>
      <c r="AM269" s="396" t="s">
        <v>429</v>
      </c>
      <c r="AN269" s="398"/>
      <c r="AO269" s="398"/>
      <c r="AP269" s="397"/>
    </row>
    <row r="270" spans="1:42" ht="16.5" thickBot="1" x14ac:dyDescent="0.3">
      <c r="A270" s="267" t="s">
        <v>29</v>
      </c>
      <c r="B270" s="455" t="s">
        <v>164</v>
      </c>
      <c r="C270" s="1048"/>
      <c r="D270" s="811" t="s">
        <v>1143</v>
      </c>
      <c r="E270" s="304"/>
      <c r="F270" s="307"/>
      <c r="G270" s="319"/>
      <c r="H270" s="320"/>
      <c r="I270" s="321"/>
      <c r="J270" s="559"/>
      <c r="K270" s="313">
        <f>Tabel6689262829[[#This Row],[Fix.ch. 2017]]+Tabel6689262829[[#This Row],[Var. ch. 2017]]+Tabel6689262829[[#This Row],[Oth. ch. DW 2017]]+Tabel6689262829[[#This Row],[VAT DW 2017]]</f>
        <v>0</v>
      </c>
      <c r="L270" s="322"/>
      <c r="M270" s="559"/>
      <c r="N270" s="323"/>
      <c r="O270" s="559"/>
      <c r="P270" s="324"/>
      <c r="Q270" s="559"/>
      <c r="R270" s="317">
        <f>Tabel6689262829[[#This Row],[VAT DW 2017]]+Tabel6689262829[[#This Row],[VAT Sew. 2017]]+Tabel6689262829[[#This Row],[VAT WW 2017]]+Tabel6689262829[[#This Row],[VAT Other ch. 2017]]</f>
        <v>0</v>
      </c>
      <c r="S270" s="318">
        <f>Tabel6689262829[[#This Row],[Total. ch. DW 2017]]+Tabel6689262829[[#This Row],[Sew. 2017]]+Tabel6689262829[[#This Row],[VAT Sew. 2017]]+Tabel6689262829[[#This Row],[WW 2017]]+Tabel6689262829[[#This Row],[VAT WW 2017]]+Tabel6689262829[[#This Row],[Other ch. 2017]]+Tabel6689262829[[#This Row],[VAT Other ch. 2017]]</f>
        <v>0</v>
      </c>
      <c r="T270" s="397"/>
      <c r="U270" s="376"/>
      <c r="V270" s="377"/>
      <c r="W270" s="378"/>
      <c r="X270" s="588"/>
      <c r="Y270" s="379"/>
      <c r="Z270" s="380"/>
      <c r="AA270" s="588"/>
      <c r="AB270" s="381"/>
      <c r="AC270" s="588"/>
      <c r="AD270" s="382"/>
      <c r="AE270" s="588"/>
      <c r="AF270" s="383"/>
      <c r="AG270" s="384"/>
      <c r="AH270" s="397"/>
      <c r="AI270" s="398"/>
      <c r="AJ270" s="398"/>
      <c r="AK270" s="398"/>
      <c r="AL270" s="398"/>
      <c r="AM270" s="398"/>
      <c r="AN270" s="398"/>
      <c r="AO270" s="398"/>
      <c r="AP270" s="397"/>
    </row>
    <row r="271" spans="1:42" ht="15.75" x14ac:dyDescent="0.25">
      <c r="A271" s="1878" t="s">
        <v>927</v>
      </c>
      <c r="B271" s="693" t="s">
        <v>928</v>
      </c>
      <c r="C271" s="693" t="s">
        <v>429</v>
      </c>
      <c r="D271" s="806" t="s">
        <v>1145</v>
      </c>
      <c r="E271" s="1759">
        <v>26500</v>
      </c>
      <c r="F271" s="617">
        <f>'exchange rates'!$O$64</f>
        <v>3.7947000000000002</v>
      </c>
      <c r="G271" s="549">
        <f>884/F271</f>
        <v>232.95649194929769</v>
      </c>
      <c r="H271" s="550">
        <v>0</v>
      </c>
      <c r="I271" s="551">
        <v>0</v>
      </c>
      <c r="J271" s="560">
        <f>70.72/F271</f>
        <v>18.636519355943815</v>
      </c>
      <c r="K271" s="566">
        <f>Tabel6689262829[[#This Row],[Fix.ch. 2017]]+Tabel6689262829[[#This Row],[Var. ch. 2017]]+Tabel6689262829[[#This Row],[Oth. ch. DW 2017]]+Tabel6689262829[[#This Row],[VAT DW 2017]]</f>
        <v>251.5930113052415</v>
      </c>
      <c r="L271" s="567">
        <f>0</f>
        <v>0</v>
      </c>
      <c r="M271" s="560">
        <v>0</v>
      </c>
      <c r="N271" s="568">
        <f>442/F271</f>
        <v>116.47824597464884</v>
      </c>
      <c r="O271" s="560">
        <f>35.36/F271</f>
        <v>9.3182596779719074</v>
      </c>
      <c r="P271" s="569">
        <f>48/F271</f>
        <v>12.649221282314807</v>
      </c>
      <c r="Q271" s="560">
        <v>0</v>
      </c>
      <c r="R271" s="570">
        <f>Tabel6689262829[[#This Row],[VAT DW 2017]]+Tabel6689262829[[#This Row],[VAT Sew. 2017]]+Tabel6689262829[[#This Row],[VAT WW 2017]]+Tabel6689262829[[#This Row],[VAT Other ch. 2017]]</f>
        <v>27.95477903391572</v>
      </c>
      <c r="S271" s="571">
        <f>Tabel6689262829[[#This Row],[Total. ch. DW 2017]]+Tabel6689262829[[#This Row],[Sew. 2017]]+Tabel6689262829[[#This Row],[VAT Sew. 2017]]+Tabel6689262829[[#This Row],[WW 2017]]+Tabel6689262829[[#This Row],[VAT WW 2017]]+Tabel6689262829[[#This Row],[Other ch. 2017]]+Tabel6689262829[[#This Row],[VAT Other ch. 2017]]</f>
        <v>390.03873824017705</v>
      </c>
      <c r="T271" s="397"/>
      <c r="U271" s="1762">
        <f>MEDIAN(G271:G273)</f>
        <v>232.95649194929769</v>
      </c>
      <c r="V271" s="1765">
        <f>MEDIAN(H271:H273)</f>
        <v>0</v>
      </c>
      <c r="W271" s="1768">
        <f>MEDIAN(I271:I273)</f>
        <v>0</v>
      </c>
      <c r="X271" s="1771">
        <f>MEDIAN(J271:J273)</f>
        <v>18.636519355943815</v>
      </c>
      <c r="Y271" s="1774">
        <f>SUM(U271:X273)</f>
        <v>251.5930113052415</v>
      </c>
      <c r="Z271" s="1777">
        <f t="shared" ref="Z271:AF271" si="35">MEDIAN(L271:L273)</f>
        <v>0</v>
      </c>
      <c r="AA271" s="1771">
        <f t="shared" si="35"/>
        <v>0</v>
      </c>
      <c r="AB271" s="1810">
        <f t="shared" si="35"/>
        <v>116.47824597464884</v>
      </c>
      <c r="AC271" s="1771">
        <f t="shared" si="35"/>
        <v>7.88468126597623</v>
      </c>
      <c r="AD271" s="1812">
        <f t="shared" si="35"/>
        <v>12.649221282314807</v>
      </c>
      <c r="AE271" s="1771">
        <f t="shared" si="35"/>
        <v>0</v>
      </c>
      <c r="AF271" s="1814">
        <f t="shared" si="35"/>
        <v>25.340606635570662</v>
      </c>
      <c r="AG271" s="1793">
        <f>Y271+Z271+AA271+AB271+AC271+AD271+AE271</f>
        <v>388.60515982818134</v>
      </c>
      <c r="AH271" s="397"/>
      <c r="AI271" s="398"/>
      <c r="AJ271" s="398"/>
      <c r="AK271" s="398"/>
      <c r="AL271" s="398"/>
      <c r="AM271" s="398"/>
      <c r="AN271" s="398"/>
      <c r="AO271" s="398"/>
      <c r="AP271" s="397"/>
    </row>
    <row r="272" spans="1:42" ht="15.75" x14ac:dyDescent="0.25">
      <c r="A272" s="1757"/>
      <c r="B272" s="639" t="s">
        <v>929</v>
      </c>
      <c r="C272" s="639"/>
      <c r="D272" s="724" t="s">
        <v>1145</v>
      </c>
      <c r="E272" s="1760"/>
      <c r="F272" s="617">
        <f>'exchange rates'!$O$64</f>
        <v>3.7947000000000002</v>
      </c>
      <c r="G272" s="549">
        <f>1296/F272</f>
        <v>341.52897462249979</v>
      </c>
      <c r="H272" s="550">
        <v>0</v>
      </c>
      <c r="I272" s="551">
        <f>(4.47*12)/F272</f>
        <v>14.135504782986796</v>
      </c>
      <c r="J272" s="560">
        <f>71.2/F272</f>
        <v>18.763011568766963</v>
      </c>
      <c r="K272" s="566">
        <f>Tabel6689262829[[#This Row],[Fix.ch. 2017]]+Tabel6689262829[[#This Row],[Var. ch. 2017]]+Tabel6689262829[[#This Row],[Oth. ch. DW 2017]]+Tabel6689262829[[#This Row],[VAT DW 2017]]</f>
        <v>374.42749097425354</v>
      </c>
      <c r="L272" s="567">
        <v>0</v>
      </c>
      <c r="M272" s="560">
        <v>0</v>
      </c>
      <c r="N272" s="568">
        <f>458/F272</f>
        <v>120.69465306875378</v>
      </c>
      <c r="O272" s="560">
        <f>24.96/F272</f>
        <v>6.5775950668037</v>
      </c>
      <c r="P272" s="569">
        <f>48/F272</f>
        <v>12.649221282314807</v>
      </c>
      <c r="Q272" s="560">
        <v>0</v>
      </c>
      <c r="R272" s="570">
        <f>Tabel6689262829[[#This Row],[VAT DW 2017]]+Tabel6689262829[[#This Row],[VAT Sew. 2017]]+Tabel6689262829[[#This Row],[VAT WW 2017]]+Tabel6689262829[[#This Row],[VAT Other ch. 2017]]</f>
        <v>25.340606635570662</v>
      </c>
      <c r="S272" s="571">
        <f>Tabel6689262829[[#This Row],[Total. ch. DW 2017]]+Tabel6689262829[[#This Row],[Sew. 2017]]+Tabel6689262829[[#This Row],[VAT Sew. 2017]]+Tabel6689262829[[#This Row],[WW 2017]]+Tabel6689262829[[#This Row],[VAT WW 2017]]+Tabel6689262829[[#This Row],[Other ch. 2017]]+Tabel6689262829[[#This Row],[VAT Other ch. 2017]]</f>
        <v>514.34896039212583</v>
      </c>
      <c r="T272" s="397"/>
      <c r="U272" s="2188"/>
      <c r="V272" s="1766"/>
      <c r="W272" s="1769"/>
      <c r="X272" s="1772"/>
      <c r="Y272" s="1775"/>
      <c r="Z272" s="1778"/>
      <c r="AA272" s="1772"/>
      <c r="AB272" s="1781"/>
      <c r="AC272" s="1772"/>
      <c r="AD272" s="1785"/>
      <c r="AE272" s="1772"/>
      <c r="AF272" s="1788"/>
      <c r="AG272" s="1791"/>
      <c r="AH272" s="397"/>
      <c r="AI272" s="398"/>
      <c r="AJ272" s="398"/>
      <c r="AK272" s="398"/>
      <c r="AL272" s="591" t="s">
        <v>429</v>
      </c>
      <c r="AM272" s="591" t="s">
        <v>429</v>
      </c>
      <c r="AN272" s="398"/>
      <c r="AO272" s="398"/>
      <c r="AP272" s="397"/>
    </row>
    <row r="273" spans="1:42" ht="16.5" thickBot="1" x14ac:dyDescent="0.3">
      <c r="A273" s="1758"/>
      <c r="B273" s="652" t="s">
        <v>930</v>
      </c>
      <c r="C273" s="652"/>
      <c r="D273" s="807" t="s">
        <v>1145</v>
      </c>
      <c r="E273" s="1761"/>
      <c r="F273" s="617">
        <f>'exchange rates'!$O$64</f>
        <v>3.7947000000000002</v>
      </c>
      <c r="G273" s="549">
        <f>458/F273</f>
        <v>120.69465306875378</v>
      </c>
      <c r="H273" s="550">
        <v>0</v>
      </c>
      <c r="I273" s="551">
        <v>0</v>
      </c>
      <c r="J273" s="560">
        <f>36.64/F273</f>
        <v>9.6555722455003021</v>
      </c>
      <c r="K273" s="566">
        <f>Tabel6689262829[[#This Row],[Fix.ch. 2017]]+Tabel6689262829[[#This Row],[Var. ch. 2017]]+Tabel6689262829[[#This Row],[Oth. ch. DW 2017]]+Tabel6689262829[[#This Row],[VAT DW 2017]]</f>
        <v>130.35022531425409</v>
      </c>
      <c r="L273" s="567">
        <v>0</v>
      </c>
      <c r="M273" s="560">
        <v>0</v>
      </c>
      <c r="N273" s="568">
        <f>374/F273</f>
        <v>98.558515824702866</v>
      </c>
      <c r="O273" s="560">
        <f>29.92/F273</f>
        <v>7.88468126597623</v>
      </c>
      <c r="P273" s="569">
        <f>48/F273</f>
        <v>12.649221282314807</v>
      </c>
      <c r="Q273" s="560">
        <v>0</v>
      </c>
      <c r="R273" s="570">
        <f>Tabel6689262829[[#This Row],[VAT DW 2017]]+Tabel6689262829[[#This Row],[VAT Sew. 2017]]+Tabel6689262829[[#This Row],[VAT WW 2017]]+Tabel6689262829[[#This Row],[VAT Other ch. 2017]]</f>
        <v>17.540253511476532</v>
      </c>
      <c r="S273" s="571">
        <f>Tabel6689262829[[#This Row],[Total. ch. DW 2017]]+Tabel6689262829[[#This Row],[Sew. 2017]]+Tabel6689262829[[#This Row],[VAT Sew. 2017]]+Tabel6689262829[[#This Row],[WW 2017]]+Tabel6689262829[[#This Row],[VAT WW 2017]]+Tabel6689262829[[#This Row],[Other ch. 2017]]+Tabel6689262829[[#This Row],[VAT Other ch. 2017]]</f>
        <v>249.44264368724799</v>
      </c>
      <c r="T273" s="397"/>
      <c r="U273" s="2189"/>
      <c r="V273" s="1767"/>
      <c r="W273" s="1770"/>
      <c r="X273" s="1773"/>
      <c r="Y273" s="1776"/>
      <c r="Z273" s="1779"/>
      <c r="AA273" s="1773"/>
      <c r="AB273" s="1811"/>
      <c r="AC273" s="1773"/>
      <c r="AD273" s="1813"/>
      <c r="AE273" s="1773"/>
      <c r="AF273" s="1815"/>
      <c r="AG273" s="1794"/>
      <c r="AH273" s="397"/>
      <c r="AI273" s="398"/>
      <c r="AJ273" s="398"/>
      <c r="AK273" s="398"/>
      <c r="AL273" s="398"/>
      <c r="AM273" s="398"/>
      <c r="AN273" s="398"/>
      <c r="AO273" s="398"/>
      <c r="AP273" s="397"/>
    </row>
    <row r="274" spans="1:42" ht="18" customHeight="1" x14ac:dyDescent="0.25">
      <c r="A274" s="1878" t="s">
        <v>505</v>
      </c>
      <c r="B274" s="690" t="s">
        <v>746</v>
      </c>
      <c r="C274" s="693" t="s">
        <v>429</v>
      </c>
      <c r="D274" s="806" t="s">
        <v>1147</v>
      </c>
      <c r="E274" s="2185">
        <v>2400</v>
      </c>
      <c r="F274" s="617">
        <f>'exchange rates'!$O$65</f>
        <v>3628.4174400000002</v>
      </c>
      <c r="G274" s="549">
        <f>18000/F274</f>
        <v>4.9608404483911857</v>
      </c>
      <c r="H274" s="550">
        <f>639800/F274</f>
        <v>176.33031771559337</v>
      </c>
      <c r="I274" s="551">
        <v>0</v>
      </c>
      <c r="J274" s="560">
        <f>115164/F274</f>
        <v>31.739457188806806</v>
      </c>
      <c r="K274" s="566">
        <f>Tabel6689262829[[#This Row],[Fix.ch. 2017]]+Tabel6689262829[[#This Row],[Var. ch. 2017]]+Tabel6689262829[[#This Row],[Oth. ch. DW 2017]]+Tabel6689262829[[#This Row],[VAT DW 2017]]</f>
        <v>213.03061535279136</v>
      </c>
      <c r="L274" s="567">
        <f>479850/F274</f>
        <v>132.24773828669504</v>
      </c>
      <c r="M274" s="560">
        <f>86373/F274</f>
        <v>23.804592891605107</v>
      </c>
      <c r="N274" s="568">
        <v>0</v>
      </c>
      <c r="O274" s="560">
        <v>0</v>
      </c>
      <c r="P274" s="569">
        <v>0</v>
      </c>
      <c r="Q274" s="560">
        <v>0</v>
      </c>
      <c r="R274" s="570">
        <f>Tabel6689262829[[#This Row],[VAT DW 2017]]+Tabel6689262829[[#This Row],[VAT Sew. 2017]]+Tabel6689262829[[#This Row],[VAT WW 2017]]+Tabel6689262829[[#This Row],[VAT Other ch. 2017]]</f>
        <v>55.544050080411914</v>
      </c>
      <c r="S274" s="571">
        <f>Tabel6689262829[[#This Row],[Total. ch. DW 2017]]+Tabel6689262829[[#This Row],[Sew. 2017]]+Tabel6689262829[[#This Row],[VAT Sew. 2017]]+Tabel6689262829[[#This Row],[WW 2017]]+Tabel6689262829[[#This Row],[VAT WW 2017]]+Tabel6689262829[[#This Row],[Other ch. 2017]]+Tabel6689262829[[#This Row],[VAT Other ch. 2017]]</f>
        <v>369.08294653109152</v>
      </c>
      <c r="T274" s="397"/>
      <c r="U274" s="1984">
        <f>MEDIAN(G274:G277)</f>
        <v>4.9608404483911857</v>
      </c>
      <c r="V274" s="1985">
        <f>MEDIAN(H274:H277)</f>
        <v>176.33031771559337</v>
      </c>
      <c r="W274" s="1986">
        <f>MEDIAN(I274:I277)</f>
        <v>0</v>
      </c>
      <c r="X274" s="1908">
        <f>MEDIAN(J274:J277)</f>
        <v>31.739457188806806</v>
      </c>
      <c r="Y274" s="1987">
        <f>SUM(U274:X277)</f>
        <v>213.03061535279136</v>
      </c>
      <c r="Z274" s="2031">
        <f t="shared" ref="Z274:AF274" si="36">MEDIAN(L274:L277)</f>
        <v>132.24773828669504</v>
      </c>
      <c r="AA274" s="1908">
        <f t="shared" si="36"/>
        <v>23.804592891605107</v>
      </c>
      <c r="AB274" s="2032">
        <f t="shared" si="36"/>
        <v>0</v>
      </c>
      <c r="AC274" s="1908">
        <f t="shared" si="36"/>
        <v>0</v>
      </c>
      <c r="AD274" s="2028">
        <f t="shared" si="36"/>
        <v>0</v>
      </c>
      <c r="AE274" s="1908">
        <f t="shared" si="36"/>
        <v>0</v>
      </c>
      <c r="AF274" s="1988">
        <f t="shared" si="36"/>
        <v>55.544050080411914</v>
      </c>
      <c r="AG274" s="2190">
        <f>Y274+Z274+AA274+AB274+AC274+AD274+AE274</f>
        <v>369.08294653109152</v>
      </c>
      <c r="AH274" s="397"/>
      <c r="AI274" s="398"/>
      <c r="AJ274" s="591" t="s">
        <v>429</v>
      </c>
      <c r="AK274" s="614"/>
      <c r="AL274" s="614"/>
      <c r="AM274" s="591" t="s">
        <v>429</v>
      </c>
      <c r="AN274" s="396"/>
      <c r="AO274" s="398"/>
      <c r="AP274" s="397"/>
    </row>
    <row r="275" spans="1:42" ht="15.75" x14ac:dyDescent="0.25">
      <c r="A275" s="1757"/>
      <c r="B275" s="639" t="s">
        <v>747</v>
      </c>
      <c r="C275" s="639"/>
      <c r="D275" s="724" t="s">
        <v>1147</v>
      </c>
      <c r="E275" s="2186"/>
      <c r="F275" s="617">
        <f>'exchange rates'!$O$65</f>
        <v>3628.4174400000002</v>
      </c>
      <c r="G275" s="549">
        <f>18000/F275</f>
        <v>4.9608404483911857</v>
      </c>
      <c r="H275" s="550">
        <f>639800/F275</f>
        <v>176.33031771559337</v>
      </c>
      <c r="I275" s="551">
        <v>0</v>
      </c>
      <c r="J275" s="560">
        <f>115164/F275</f>
        <v>31.739457188806806</v>
      </c>
      <c r="K275" s="566">
        <f>Tabel6689262829[[#This Row],[Fix.ch. 2017]]+Tabel6689262829[[#This Row],[Var. ch. 2017]]+Tabel6689262829[[#This Row],[Oth. ch. DW 2017]]+Tabel6689262829[[#This Row],[VAT DW 2017]]</f>
        <v>213.03061535279136</v>
      </c>
      <c r="L275" s="567">
        <f>479850/F275</f>
        <v>132.24773828669504</v>
      </c>
      <c r="M275" s="560">
        <f>86373/F275</f>
        <v>23.804592891605107</v>
      </c>
      <c r="N275" s="568">
        <v>0</v>
      </c>
      <c r="O275" s="560">
        <v>0</v>
      </c>
      <c r="P275" s="569">
        <v>0</v>
      </c>
      <c r="Q275" s="560">
        <v>0</v>
      </c>
      <c r="R275" s="570">
        <f>Tabel6689262829[[#This Row],[VAT DW 2017]]+Tabel6689262829[[#This Row],[VAT Sew. 2017]]+Tabel6689262829[[#This Row],[VAT WW 2017]]+Tabel6689262829[[#This Row],[VAT Other ch. 2017]]</f>
        <v>55.544050080411914</v>
      </c>
      <c r="S275" s="571">
        <f>Tabel6689262829[[#This Row],[Total. ch. DW 2017]]+Tabel6689262829[[#This Row],[Sew. 2017]]+Tabel6689262829[[#This Row],[VAT Sew. 2017]]+Tabel6689262829[[#This Row],[WW 2017]]+Tabel6689262829[[#This Row],[VAT WW 2017]]+Tabel6689262829[[#This Row],[Other ch. 2017]]+Tabel6689262829[[#This Row],[VAT Other ch. 2017]]</f>
        <v>369.08294653109152</v>
      </c>
      <c r="T275" s="397"/>
      <c r="U275" s="1763"/>
      <c r="V275" s="1766"/>
      <c r="W275" s="1769"/>
      <c r="X275" s="1772"/>
      <c r="Y275" s="1775"/>
      <c r="Z275" s="1778"/>
      <c r="AA275" s="1772"/>
      <c r="AB275" s="1781"/>
      <c r="AC275" s="1772"/>
      <c r="AD275" s="1785"/>
      <c r="AE275" s="1772"/>
      <c r="AF275" s="1788"/>
      <c r="AG275" s="1791"/>
      <c r="AH275" s="397"/>
      <c r="AI275" s="398"/>
      <c r="AJ275" s="591" t="s">
        <v>429</v>
      </c>
      <c r="AK275" s="614"/>
      <c r="AL275" s="614"/>
      <c r="AM275" s="591" t="s">
        <v>429</v>
      </c>
      <c r="AN275" s="396"/>
      <c r="AO275" s="398"/>
      <c r="AP275" s="397"/>
    </row>
    <row r="276" spans="1:42" ht="15.75" x14ac:dyDescent="0.25">
      <c r="A276" s="1757"/>
      <c r="B276" s="639" t="s">
        <v>748</v>
      </c>
      <c r="C276" s="639"/>
      <c r="D276" s="724" t="s">
        <v>1147</v>
      </c>
      <c r="E276" s="2186"/>
      <c r="F276" s="617">
        <f>'exchange rates'!$O$65</f>
        <v>3628.4174400000002</v>
      </c>
      <c r="G276" s="549">
        <f t="shared" ref="G276:G277" si="37">18000/F276</f>
        <v>4.9608404483911857</v>
      </c>
      <c r="H276" s="550">
        <f t="shared" ref="H276:H277" si="38">639800/F276</f>
        <v>176.33031771559337</v>
      </c>
      <c r="I276" s="551">
        <v>0</v>
      </c>
      <c r="J276" s="560">
        <f t="shared" ref="J276:J277" si="39">115164/F276</f>
        <v>31.739457188806806</v>
      </c>
      <c r="K276" s="566">
        <f>Tabel6689262829[[#This Row],[Fix.ch. 2017]]+Tabel6689262829[[#This Row],[Var. ch. 2017]]+Tabel6689262829[[#This Row],[Oth. ch. DW 2017]]+Tabel6689262829[[#This Row],[VAT DW 2017]]</f>
        <v>213.03061535279136</v>
      </c>
      <c r="L276" s="567">
        <f t="shared" ref="L276:L277" si="40">479850/F276</f>
        <v>132.24773828669504</v>
      </c>
      <c r="M276" s="560">
        <f t="shared" ref="M276:M277" si="41">86373/F276</f>
        <v>23.804592891605107</v>
      </c>
      <c r="N276" s="568">
        <v>0</v>
      </c>
      <c r="O276" s="560">
        <v>0</v>
      </c>
      <c r="P276" s="569">
        <v>0</v>
      </c>
      <c r="Q276" s="560">
        <v>0</v>
      </c>
      <c r="R276" s="570">
        <f>Tabel6689262829[[#This Row],[VAT DW 2017]]+Tabel6689262829[[#This Row],[VAT Sew. 2017]]+Tabel6689262829[[#This Row],[VAT WW 2017]]+Tabel6689262829[[#This Row],[VAT Other ch. 2017]]</f>
        <v>55.544050080411914</v>
      </c>
      <c r="S276" s="571">
        <f>Tabel6689262829[[#This Row],[Total. ch. DW 2017]]+Tabel6689262829[[#This Row],[Sew. 2017]]+Tabel6689262829[[#This Row],[VAT Sew. 2017]]+Tabel6689262829[[#This Row],[WW 2017]]+Tabel6689262829[[#This Row],[VAT WW 2017]]+Tabel6689262829[[#This Row],[Other ch. 2017]]+Tabel6689262829[[#This Row],[VAT Other ch. 2017]]</f>
        <v>369.08294653109152</v>
      </c>
      <c r="T276" s="397"/>
      <c r="U276" s="1763"/>
      <c r="V276" s="1766"/>
      <c r="W276" s="1769"/>
      <c r="X276" s="1772"/>
      <c r="Y276" s="1775"/>
      <c r="Z276" s="1778"/>
      <c r="AA276" s="1772"/>
      <c r="AB276" s="1781"/>
      <c r="AC276" s="1772"/>
      <c r="AD276" s="1785"/>
      <c r="AE276" s="1772"/>
      <c r="AF276" s="1788"/>
      <c r="AG276" s="1791"/>
      <c r="AH276" s="397"/>
      <c r="AI276" s="398"/>
      <c r="AJ276" s="591" t="s">
        <v>429</v>
      </c>
      <c r="AK276" s="614"/>
      <c r="AL276" s="614"/>
      <c r="AM276" s="591" t="s">
        <v>429</v>
      </c>
      <c r="AN276" s="396"/>
      <c r="AO276" s="398"/>
      <c r="AP276" s="397"/>
    </row>
    <row r="277" spans="1:42" ht="16.5" thickBot="1" x14ac:dyDescent="0.3">
      <c r="A277" s="1758"/>
      <c r="B277" s="652" t="s">
        <v>749</v>
      </c>
      <c r="C277" s="652"/>
      <c r="D277" s="807" t="s">
        <v>1147</v>
      </c>
      <c r="E277" s="2187"/>
      <c r="F277" s="617">
        <f>'exchange rates'!$O$65</f>
        <v>3628.4174400000002</v>
      </c>
      <c r="G277" s="549">
        <f t="shared" si="37"/>
        <v>4.9608404483911857</v>
      </c>
      <c r="H277" s="550">
        <f t="shared" si="38"/>
        <v>176.33031771559337</v>
      </c>
      <c r="I277" s="551">
        <v>0</v>
      </c>
      <c r="J277" s="560">
        <f t="shared" si="39"/>
        <v>31.739457188806806</v>
      </c>
      <c r="K277" s="566">
        <f>Tabel6689262829[[#This Row],[Fix.ch. 2017]]+Tabel6689262829[[#This Row],[Var. ch. 2017]]+Tabel6689262829[[#This Row],[Oth. ch. DW 2017]]+Tabel6689262829[[#This Row],[VAT DW 2017]]</f>
        <v>213.03061535279136</v>
      </c>
      <c r="L277" s="567">
        <f t="shared" si="40"/>
        <v>132.24773828669504</v>
      </c>
      <c r="M277" s="560">
        <f t="shared" si="41"/>
        <v>23.804592891605107</v>
      </c>
      <c r="N277" s="568">
        <v>0</v>
      </c>
      <c r="O277" s="560">
        <v>0</v>
      </c>
      <c r="P277" s="569">
        <v>0</v>
      </c>
      <c r="Q277" s="560">
        <v>0</v>
      </c>
      <c r="R277" s="570">
        <f>Tabel6689262829[[#This Row],[VAT DW 2017]]+Tabel6689262829[[#This Row],[VAT Sew. 2017]]+Tabel6689262829[[#This Row],[VAT WW 2017]]+Tabel6689262829[[#This Row],[VAT Other ch. 2017]]</f>
        <v>55.544050080411914</v>
      </c>
      <c r="S277" s="571">
        <f>Tabel6689262829[[#This Row],[Total. ch. DW 2017]]+Tabel6689262829[[#This Row],[Sew. 2017]]+Tabel6689262829[[#This Row],[VAT Sew. 2017]]+Tabel6689262829[[#This Row],[WW 2017]]+Tabel6689262829[[#This Row],[VAT WW 2017]]+Tabel6689262829[[#This Row],[Other ch. 2017]]+Tabel6689262829[[#This Row],[VAT Other ch. 2017]]</f>
        <v>369.08294653109152</v>
      </c>
      <c r="T277" s="397"/>
      <c r="U277" s="1764"/>
      <c r="V277" s="1767"/>
      <c r="W277" s="1770"/>
      <c r="X277" s="1773"/>
      <c r="Y277" s="1776"/>
      <c r="Z277" s="1779"/>
      <c r="AA277" s="1773"/>
      <c r="AB277" s="1811"/>
      <c r="AC277" s="1773"/>
      <c r="AD277" s="1813"/>
      <c r="AE277" s="1773"/>
      <c r="AF277" s="1815"/>
      <c r="AG277" s="1794"/>
      <c r="AH277" s="397"/>
      <c r="AI277" s="398"/>
      <c r="AJ277" s="591" t="s">
        <v>429</v>
      </c>
      <c r="AK277" s="614"/>
      <c r="AL277" s="614"/>
      <c r="AM277" s="591" t="s">
        <v>429</v>
      </c>
      <c r="AN277" s="396"/>
      <c r="AO277" s="398"/>
      <c r="AP277" s="397"/>
    </row>
    <row r="278" spans="1:42" ht="15.75" customHeight="1" x14ac:dyDescent="0.25">
      <c r="A278" s="1818" t="s">
        <v>456</v>
      </c>
      <c r="B278" s="663" t="s">
        <v>165</v>
      </c>
      <c r="C278" s="1046"/>
      <c r="D278" s="802" t="s">
        <v>1149</v>
      </c>
      <c r="E278" s="2196">
        <v>43600</v>
      </c>
      <c r="F278" s="617">
        <f>'exchange rates'!$O$66</f>
        <v>0.73992000000000002</v>
      </c>
      <c r="G278" s="549">
        <f>26.08/F278</f>
        <v>35.247053735538977</v>
      </c>
      <c r="H278" s="550">
        <f>303.86/F278</f>
        <v>410.66601794788625</v>
      </c>
      <c r="I278" s="551">
        <v>0</v>
      </c>
      <c r="J278" s="560">
        <v>0</v>
      </c>
      <c r="K278" s="566">
        <f>Tabel6689262829[[#This Row],[Fix.ch. 2017]]+Tabel6689262829[[#This Row],[Var. ch. 2017]]+Tabel6689262829[[#This Row],[Oth. ch. DW 2017]]+Tabel6689262829[[#This Row],[VAT DW 2017]]</f>
        <v>445.91307168342524</v>
      </c>
      <c r="L278" s="567">
        <v>0</v>
      </c>
      <c r="M278" s="560">
        <v>0</v>
      </c>
      <c r="N278" s="568">
        <f>262.02/F278</f>
        <v>354.11936425559514</v>
      </c>
      <c r="O278" s="560">
        <v>0</v>
      </c>
      <c r="P278" s="569">
        <v>0</v>
      </c>
      <c r="Q278" s="560">
        <v>0</v>
      </c>
      <c r="R278" s="570">
        <f>Tabel6689262829[[#This Row],[VAT DW 2017]]+Tabel6689262829[[#This Row],[VAT Sew. 2017]]+Tabel6689262829[[#This Row],[VAT WW 2017]]+Tabel6689262829[[#This Row],[VAT Other ch. 2017]]</f>
        <v>0</v>
      </c>
      <c r="S278" s="571">
        <f>Tabel6689262829[[#This Row],[Total. ch. DW 2017]]+Tabel6689262829[[#This Row],[Sew. 2017]]+Tabel6689262829[[#This Row],[VAT Sew. 2017]]+Tabel6689262829[[#This Row],[WW 2017]]+Tabel6689262829[[#This Row],[VAT WW 2017]]+Tabel6689262829[[#This Row],[Other ch. 2017]]+Tabel6689262829[[#This Row],[VAT Other ch. 2017]]</f>
        <v>800.03243593902039</v>
      </c>
      <c r="T278" s="397"/>
      <c r="U278" s="2197">
        <f>MEDIAN(G278:G282)</f>
        <v>42.301870472483515</v>
      </c>
      <c r="V278" s="2198">
        <f>MEDIAN(H278:H282)</f>
        <v>364.36371499621583</v>
      </c>
      <c r="W278" s="2199">
        <f>MEDIAN(I278:I282)</f>
        <v>0</v>
      </c>
      <c r="X278" s="1908">
        <f>MEDIAN(J278:J282)</f>
        <v>0</v>
      </c>
      <c r="Y278" s="2200">
        <f>SUM(U278:X282)</f>
        <v>406.66558546869936</v>
      </c>
      <c r="Z278" s="2201">
        <f t="shared" ref="Z278:AF278" si="42">MEDIAN(L278:L282)</f>
        <v>0</v>
      </c>
      <c r="AA278" s="1908">
        <f t="shared" si="42"/>
        <v>0</v>
      </c>
      <c r="AB278" s="2193">
        <f t="shared" si="42"/>
        <v>447.87274299924314</v>
      </c>
      <c r="AC278" s="1908">
        <f t="shared" si="42"/>
        <v>0</v>
      </c>
      <c r="AD278" s="2194">
        <f t="shared" si="42"/>
        <v>0</v>
      </c>
      <c r="AE278" s="1908">
        <f t="shared" si="42"/>
        <v>0</v>
      </c>
      <c r="AF278" s="2195">
        <f t="shared" si="42"/>
        <v>0</v>
      </c>
      <c r="AG278" s="2202">
        <f>Y278+Z278+AA278+AB278+AC278+AD278+AE278</f>
        <v>854.53832846794251</v>
      </c>
      <c r="AH278" s="397"/>
      <c r="AI278" s="398"/>
      <c r="AJ278" s="398"/>
      <c r="AK278" s="398"/>
      <c r="AL278" s="398"/>
      <c r="AM278" s="398"/>
      <c r="AN278" s="398"/>
      <c r="AO278" s="398"/>
      <c r="AP278" s="2191"/>
    </row>
    <row r="279" spans="1:42" ht="15.75" customHeight="1" x14ac:dyDescent="0.25">
      <c r="A279" s="1819"/>
      <c r="B279" s="547" t="s">
        <v>166</v>
      </c>
      <c r="C279" s="1046" t="s">
        <v>429</v>
      </c>
      <c r="D279" s="802" t="s">
        <v>1149</v>
      </c>
      <c r="E279" s="1760"/>
      <c r="F279" s="617">
        <f>'exchange rates'!$O$66</f>
        <v>0.73992000000000002</v>
      </c>
      <c r="G279" s="549">
        <f>34.45/F279</f>
        <v>46.559087468915564</v>
      </c>
      <c r="H279" s="550">
        <f>256.18/F279</f>
        <v>346.22661909395612</v>
      </c>
      <c r="I279" s="551">
        <v>0</v>
      </c>
      <c r="J279" s="560">
        <v>0</v>
      </c>
      <c r="K279" s="566">
        <f>Tabel6689262829[[#This Row],[Fix.ch. 2017]]+Tabel6689262829[[#This Row],[Var. ch. 2017]]+Tabel6689262829[[#This Row],[Oth. ch. DW 2017]]+Tabel6689262829[[#This Row],[VAT DW 2017]]</f>
        <v>392.78570656287167</v>
      </c>
      <c r="L279" s="567">
        <v>0</v>
      </c>
      <c r="M279" s="560">
        <v>0</v>
      </c>
      <c r="N279" s="568">
        <f>411.25/F279</f>
        <v>555.80333008973946</v>
      </c>
      <c r="O279" s="560">
        <v>0</v>
      </c>
      <c r="P279" s="569">
        <v>0</v>
      </c>
      <c r="Q279" s="560">
        <v>0</v>
      </c>
      <c r="R279" s="570">
        <f>Tabel6689262829[[#This Row],[VAT DW 2017]]+Tabel6689262829[[#This Row],[VAT Sew. 2017]]+Tabel6689262829[[#This Row],[VAT WW 2017]]+Tabel6689262829[[#This Row],[VAT Other ch. 2017]]</f>
        <v>0</v>
      </c>
      <c r="S279" s="571">
        <f>Tabel6689262829[[#This Row],[Total. ch. DW 2017]]+Tabel6689262829[[#This Row],[Sew. 2017]]+Tabel6689262829[[#This Row],[VAT Sew. 2017]]+Tabel6689262829[[#This Row],[WW 2017]]+Tabel6689262829[[#This Row],[VAT WW 2017]]+Tabel6689262829[[#This Row],[Other ch. 2017]]+Tabel6689262829[[#This Row],[VAT Other ch. 2017]]</f>
        <v>948.58903665261118</v>
      </c>
      <c r="T279" s="397"/>
      <c r="U279" s="1763"/>
      <c r="V279" s="1766"/>
      <c r="W279" s="1769"/>
      <c r="X279" s="1772"/>
      <c r="Y279" s="1775"/>
      <c r="Z279" s="1778"/>
      <c r="AA279" s="1772"/>
      <c r="AB279" s="1781"/>
      <c r="AC279" s="1772"/>
      <c r="AD279" s="1785"/>
      <c r="AE279" s="1772"/>
      <c r="AF279" s="1788"/>
      <c r="AG279" s="1791"/>
      <c r="AH279" s="397"/>
      <c r="AI279" s="398"/>
      <c r="AJ279" s="398"/>
      <c r="AK279" s="398"/>
      <c r="AL279" s="398"/>
      <c r="AM279" s="398"/>
      <c r="AN279" s="398"/>
      <c r="AO279" s="398"/>
      <c r="AP279" s="2191"/>
    </row>
    <row r="280" spans="1:42" ht="15.75" customHeight="1" x14ac:dyDescent="0.25">
      <c r="A280" s="1819"/>
      <c r="B280" s="547" t="s">
        <v>167</v>
      </c>
      <c r="C280" s="1046" t="s">
        <v>429</v>
      </c>
      <c r="D280" s="802" t="s">
        <v>1149</v>
      </c>
      <c r="E280" s="1760"/>
      <c r="F280" s="617">
        <f>'exchange rates'!$O$66</f>
        <v>0.73992000000000002</v>
      </c>
      <c r="G280" s="549">
        <f>31.3/F280</f>
        <v>42.301870472483515</v>
      </c>
      <c r="H280" s="550">
        <f>256.74/F280</f>
        <v>346.98345767109959</v>
      </c>
      <c r="I280" s="551">
        <v>0</v>
      </c>
      <c r="J280" s="560">
        <v>0</v>
      </c>
      <c r="K280" s="566">
        <f>Tabel6689262829[[#This Row],[Fix.ch. 2017]]+Tabel6689262829[[#This Row],[Var. ch. 2017]]+Tabel6689262829[[#This Row],[Oth. ch. DW 2017]]+Tabel6689262829[[#This Row],[VAT DW 2017]]</f>
        <v>389.28532814358311</v>
      </c>
      <c r="L280" s="567">
        <v>0</v>
      </c>
      <c r="M280" s="560">
        <v>0</v>
      </c>
      <c r="N280" s="568">
        <f>195.87/F280</f>
        <v>264.71780733052219</v>
      </c>
      <c r="O280" s="560">
        <v>0</v>
      </c>
      <c r="P280" s="569">
        <v>0</v>
      </c>
      <c r="Q280" s="560">
        <v>0</v>
      </c>
      <c r="R280" s="570">
        <f>Tabel6689262829[[#This Row],[VAT DW 2017]]+Tabel6689262829[[#This Row],[VAT Sew. 2017]]+Tabel6689262829[[#This Row],[VAT WW 2017]]+Tabel6689262829[[#This Row],[VAT Other ch. 2017]]</f>
        <v>0</v>
      </c>
      <c r="S280" s="571">
        <f>Tabel6689262829[[#This Row],[Total. ch. DW 2017]]+Tabel6689262829[[#This Row],[Sew. 2017]]+Tabel6689262829[[#This Row],[VAT Sew. 2017]]+Tabel6689262829[[#This Row],[WW 2017]]+Tabel6689262829[[#This Row],[VAT WW 2017]]+Tabel6689262829[[#This Row],[Other ch. 2017]]+Tabel6689262829[[#This Row],[VAT Other ch. 2017]]</f>
        <v>654.00313547410531</v>
      </c>
      <c r="T280" s="397"/>
      <c r="U280" s="1763"/>
      <c r="V280" s="1766"/>
      <c r="W280" s="1769"/>
      <c r="X280" s="1772"/>
      <c r="Y280" s="1775"/>
      <c r="Z280" s="1778"/>
      <c r="AA280" s="1772"/>
      <c r="AB280" s="1781"/>
      <c r="AC280" s="1772"/>
      <c r="AD280" s="1785"/>
      <c r="AE280" s="1772"/>
      <c r="AF280" s="1788"/>
      <c r="AG280" s="1791"/>
      <c r="AH280" s="397"/>
      <c r="AI280" s="398"/>
      <c r="AJ280" s="398"/>
      <c r="AK280" s="398"/>
      <c r="AL280" s="398"/>
      <c r="AM280" s="398"/>
      <c r="AN280" s="398"/>
      <c r="AO280" s="398"/>
      <c r="AP280" s="2191"/>
    </row>
    <row r="281" spans="1:42" ht="15.75" customHeight="1" x14ac:dyDescent="0.25">
      <c r="A281" s="1819"/>
      <c r="B281" s="547" t="s">
        <v>168</v>
      </c>
      <c r="C281" s="1046"/>
      <c r="D281" s="802" t="s">
        <v>1149</v>
      </c>
      <c r="E281" s="1760"/>
      <c r="F281" s="617">
        <f>'exchange rates'!$O$66</f>
        <v>0.73992000000000002</v>
      </c>
      <c r="G281" s="549">
        <f>31.84/F281</f>
        <v>43.031679100443291</v>
      </c>
      <c r="H281" s="550">
        <f>352.4/F281</f>
        <v>476.26770461671526</v>
      </c>
      <c r="I281" s="551">
        <v>0</v>
      </c>
      <c r="J281" s="560">
        <v>0</v>
      </c>
      <c r="K281" s="566">
        <f>Tabel6689262829[[#This Row],[Fix.ch. 2017]]+Tabel6689262829[[#This Row],[Var. ch. 2017]]+Tabel6689262829[[#This Row],[Oth. ch. DW 2017]]+Tabel6689262829[[#This Row],[VAT DW 2017]]</f>
        <v>519.29938371715855</v>
      </c>
      <c r="L281" s="567">
        <v>0</v>
      </c>
      <c r="M281" s="560">
        <v>0</v>
      </c>
      <c r="N281" s="568">
        <f>331.39/F281</f>
        <v>447.87274299924314</v>
      </c>
      <c r="O281" s="560">
        <v>0</v>
      </c>
      <c r="P281" s="569">
        <v>0</v>
      </c>
      <c r="Q281" s="560">
        <v>0</v>
      </c>
      <c r="R281" s="570">
        <f>Tabel6689262829[[#This Row],[VAT DW 2017]]+Tabel6689262829[[#This Row],[VAT Sew. 2017]]+Tabel6689262829[[#This Row],[VAT WW 2017]]+Tabel6689262829[[#This Row],[VAT Other ch. 2017]]</f>
        <v>0</v>
      </c>
      <c r="S281" s="571">
        <f>Tabel6689262829[[#This Row],[Total. ch. DW 2017]]+Tabel6689262829[[#This Row],[Sew. 2017]]+Tabel6689262829[[#This Row],[VAT Sew. 2017]]+Tabel6689262829[[#This Row],[WW 2017]]+Tabel6689262829[[#This Row],[VAT WW 2017]]+Tabel6689262829[[#This Row],[Other ch. 2017]]+Tabel6689262829[[#This Row],[VAT Other ch. 2017]]</f>
        <v>967.17212671640164</v>
      </c>
      <c r="T281" s="397"/>
      <c r="U281" s="1763"/>
      <c r="V281" s="1766"/>
      <c r="W281" s="1769"/>
      <c r="X281" s="1772"/>
      <c r="Y281" s="1775"/>
      <c r="Z281" s="1778"/>
      <c r="AA281" s="1772"/>
      <c r="AB281" s="1781"/>
      <c r="AC281" s="1772"/>
      <c r="AD281" s="1785"/>
      <c r="AE281" s="1772"/>
      <c r="AF281" s="1788"/>
      <c r="AG281" s="1791"/>
      <c r="AH281" s="397"/>
      <c r="AI281" s="398"/>
      <c r="AJ281" s="398"/>
      <c r="AK281" s="398"/>
      <c r="AL281" s="398"/>
      <c r="AM281" s="398"/>
      <c r="AN281" s="398"/>
      <c r="AO281" s="398"/>
      <c r="AP281" s="2191"/>
    </row>
    <row r="282" spans="1:42" ht="16.5" customHeight="1" thickBot="1" x14ac:dyDescent="0.3">
      <c r="A282" s="1820"/>
      <c r="B282" s="547" t="s">
        <v>169</v>
      </c>
      <c r="C282" s="1046"/>
      <c r="D282" s="802" t="s">
        <v>1149</v>
      </c>
      <c r="E282" s="1799"/>
      <c r="F282" s="617">
        <f>'exchange rates'!$O$66</f>
        <v>0.73992000000000002</v>
      </c>
      <c r="G282" s="549">
        <f>24.07/F282</f>
        <v>32.530543842577572</v>
      </c>
      <c r="H282" s="550">
        <f>269.6/F282</f>
        <v>364.36371499621583</v>
      </c>
      <c r="I282" s="551">
        <v>0</v>
      </c>
      <c r="J282" s="560">
        <v>0</v>
      </c>
      <c r="K282" s="566">
        <f>Tabel6689262829[[#This Row],[Fix.ch. 2017]]+Tabel6689262829[[#This Row],[Var. ch. 2017]]+Tabel6689262829[[#This Row],[Oth. ch. DW 2017]]+Tabel6689262829[[#This Row],[VAT DW 2017]]</f>
        <v>396.89425883879341</v>
      </c>
      <c r="L282" s="567">
        <v>0</v>
      </c>
      <c r="M282" s="560">
        <v>0</v>
      </c>
      <c r="N282" s="568">
        <f>390.01/F282</f>
        <v>527.09752405665472</v>
      </c>
      <c r="O282" s="560">
        <v>0</v>
      </c>
      <c r="P282" s="569">
        <v>0</v>
      </c>
      <c r="Q282" s="560">
        <v>0</v>
      </c>
      <c r="R282" s="570">
        <f>Tabel6689262829[[#This Row],[VAT DW 2017]]+Tabel6689262829[[#This Row],[VAT Sew. 2017]]+Tabel6689262829[[#This Row],[VAT WW 2017]]+Tabel6689262829[[#This Row],[VAT Other ch. 2017]]</f>
        <v>0</v>
      </c>
      <c r="S282" s="571">
        <f>Tabel6689262829[[#This Row],[Total. ch. DW 2017]]+Tabel6689262829[[#This Row],[Sew. 2017]]+Tabel6689262829[[#This Row],[VAT Sew. 2017]]+Tabel6689262829[[#This Row],[WW 2017]]+Tabel6689262829[[#This Row],[VAT WW 2017]]+Tabel6689262829[[#This Row],[Other ch. 2017]]+Tabel6689262829[[#This Row],[VAT Other ch. 2017]]</f>
        <v>923.99178289544807</v>
      </c>
      <c r="T282" s="397"/>
      <c r="U282" s="1801"/>
      <c r="V282" s="1803"/>
      <c r="W282" s="1805"/>
      <c r="X282" s="1773"/>
      <c r="Y282" s="1807"/>
      <c r="Z282" s="1809"/>
      <c r="AA282" s="1773"/>
      <c r="AB282" s="1782"/>
      <c r="AC282" s="1773"/>
      <c r="AD282" s="1786"/>
      <c r="AE282" s="1773"/>
      <c r="AF282" s="1789"/>
      <c r="AG282" s="1792"/>
      <c r="AH282" s="397"/>
      <c r="AI282" s="398"/>
      <c r="AJ282" s="398"/>
      <c r="AK282" s="398"/>
      <c r="AL282" s="398"/>
      <c r="AM282" s="398"/>
      <c r="AN282" s="398"/>
      <c r="AO282" s="398"/>
      <c r="AP282" s="2191"/>
    </row>
    <row r="283" spans="1:42" ht="18" customHeight="1" x14ac:dyDescent="0.25">
      <c r="A283" s="2192" t="s">
        <v>31</v>
      </c>
      <c r="B283" s="638" t="s">
        <v>170</v>
      </c>
      <c r="C283" s="693"/>
      <c r="D283" s="806" t="s">
        <v>1151</v>
      </c>
      <c r="E283" s="1934">
        <v>59500</v>
      </c>
      <c r="F283" s="715">
        <v>1</v>
      </c>
      <c r="G283" s="549" t="s">
        <v>5</v>
      </c>
      <c r="H283" s="550">
        <v>269.10000000000002</v>
      </c>
      <c r="I283" s="551" t="s">
        <v>5</v>
      </c>
      <c r="J283" s="560" t="s">
        <v>5</v>
      </c>
      <c r="K283" s="566">
        <f>Tabel6689262829[[#This Row],[Var. ch. 2017]]</f>
        <v>269.10000000000002</v>
      </c>
      <c r="L283" s="567" t="s">
        <v>5</v>
      </c>
      <c r="M283" s="560" t="s">
        <v>5</v>
      </c>
      <c r="N283" s="568">
        <v>427.87</v>
      </c>
      <c r="O283" s="560" t="s">
        <v>5</v>
      </c>
      <c r="P283" s="569" t="s">
        <v>5</v>
      </c>
      <c r="Q283" s="560" t="s">
        <v>5</v>
      </c>
      <c r="R283" s="570" t="s">
        <v>5</v>
      </c>
      <c r="S283" s="571">
        <f>Tabel6689262829[[#This Row],[Total. ch. DW 2017]]+Tabel6689262829[[#This Row],[WW 2017]]</f>
        <v>696.97</v>
      </c>
      <c r="T283" s="397"/>
      <c r="U283" s="1935">
        <f>MEDIAN(G283:G289)</f>
        <v>84.960000000000008</v>
      </c>
      <c r="V283" s="1936">
        <f>MEDIAN(H283:H289)</f>
        <v>249.32</v>
      </c>
      <c r="W283" s="1937">
        <f>MEDIAN(I283:I289)</f>
        <v>47.32</v>
      </c>
      <c r="X283" s="1771" t="s">
        <v>5</v>
      </c>
      <c r="Y283" s="1939">
        <f>SUM(U283:W289)</f>
        <v>381.59999999999997</v>
      </c>
      <c r="Z283" s="1950" t="s">
        <v>5</v>
      </c>
      <c r="AA283" s="1771" t="s">
        <v>5</v>
      </c>
      <c r="AB283" s="1946">
        <f>MEDIAN(N283:N289)</f>
        <v>332.24</v>
      </c>
      <c r="AC283" s="1771" t="s">
        <v>5</v>
      </c>
      <c r="AD283" s="1947">
        <f>MEDIAN(P283:P289)</f>
        <v>16.670000000000002</v>
      </c>
      <c r="AE283" s="1771" t="s">
        <v>5</v>
      </c>
      <c r="AF283" s="1944" t="s">
        <v>5</v>
      </c>
      <c r="AG283" s="1945">
        <f>Y283+AB283+AD283</f>
        <v>730.50999999999988</v>
      </c>
      <c r="AH283" s="397"/>
      <c r="AI283" s="396"/>
      <c r="AJ283" s="591" t="s">
        <v>429</v>
      </c>
      <c r="AK283" s="591"/>
      <c r="AL283" s="591"/>
      <c r="AM283" s="591"/>
      <c r="AN283" s="591" t="s">
        <v>429</v>
      </c>
      <c r="AO283" s="396"/>
      <c r="AP283" s="397"/>
    </row>
    <row r="284" spans="1:42" ht="15.75" x14ac:dyDescent="0.25">
      <c r="A284" s="2148"/>
      <c r="B284" s="639" t="s">
        <v>171</v>
      </c>
      <c r="C284" s="639" t="s">
        <v>429</v>
      </c>
      <c r="D284" s="724" t="s">
        <v>1151</v>
      </c>
      <c r="E284" s="1760"/>
      <c r="F284" s="715">
        <v>1</v>
      </c>
      <c r="G284" s="549">
        <v>121.92</v>
      </c>
      <c r="H284" s="550">
        <v>259.12</v>
      </c>
      <c r="I284" s="551">
        <v>47.32</v>
      </c>
      <c r="J284" s="560" t="s">
        <v>5</v>
      </c>
      <c r="K284" s="566">
        <f>Tabel6689262829[[#This Row],[Fix.ch. 2017]]+Tabel6689262829[[#This Row],[Var. ch. 2017]]+Tabel6689262829[[#This Row],[Oth. ch. DW 2017]]</f>
        <v>428.36</v>
      </c>
      <c r="L284" s="567" t="s">
        <v>5</v>
      </c>
      <c r="M284" s="560" t="s">
        <v>5</v>
      </c>
      <c r="N284" s="568">
        <v>588.34</v>
      </c>
      <c r="O284" s="560" t="s">
        <v>5</v>
      </c>
      <c r="P284" s="569">
        <v>334.2</v>
      </c>
      <c r="Q284" s="560" t="s">
        <v>5</v>
      </c>
      <c r="R284" s="570" t="s">
        <v>5</v>
      </c>
      <c r="S284" s="571">
        <f>Tabel6689262829[[#This Row],[Total. ch. DW 2017]]+Tabel6689262829[[#This Row],[WW 2017]]+Tabel6689262829[[#This Row],[Other ch. 2017]]</f>
        <v>1350.9</v>
      </c>
      <c r="T284" s="397"/>
      <c r="U284" s="1969"/>
      <c r="V284" s="1972"/>
      <c r="W284" s="1975"/>
      <c r="X284" s="1772"/>
      <c r="Y284" s="1978"/>
      <c r="Z284" s="1981"/>
      <c r="AA284" s="1772"/>
      <c r="AB284" s="1955"/>
      <c r="AC284" s="1772"/>
      <c r="AD284" s="1958"/>
      <c r="AE284" s="1772"/>
      <c r="AF284" s="1961"/>
      <c r="AG284" s="1964"/>
      <c r="AH284" s="397"/>
      <c r="AI284" s="396"/>
      <c r="AJ284" s="396"/>
      <c r="AK284" s="396"/>
      <c r="AL284" s="591" t="s">
        <v>429</v>
      </c>
      <c r="AM284" s="591" t="s">
        <v>429</v>
      </c>
      <c r="AN284" s="591" t="s">
        <v>429</v>
      </c>
      <c r="AO284" s="396"/>
      <c r="AP284" s="397"/>
    </row>
    <row r="285" spans="1:42" ht="15.75" x14ac:dyDescent="0.25">
      <c r="A285" s="2148"/>
      <c r="B285" s="639" t="s">
        <v>172</v>
      </c>
      <c r="C285" s="639"/>
      <c r="D285" s="724" t="s">
        <v>1151</v>
      </c>
      <c r="E285" s="1760"/>
      <c r="F285" s="715">
        <v>1</v>
      </c>
      <c r="G285" s="549" t="s">
        <v>5</v>
      </c>
      <c r="H285" s="550">
        <v>408.34</v>
      </c>
      <c r="I285" s="551" t="s">
        <v>5</v>
      </c>
      <c r="J285" s="560" t="s">
        <v>5</v>
      </c>
      <c r="K285" s="566">
        <f>Tabel6689262829[[#This Row],[Var. ch. 2017]]</f>
        <v>408.34</v>
      </c>
      <c r="L285" s="567" t="s">
        <v>5</v>
      </c>
      <c r="M285" s="560" t="s">
        <v>5</v>
      </c>
      <c r="N285" s="568">
        <v>332.24</v>
      </c>
      <c r="O285" s="560" t="s">
        <v>5</v>
      </c>
      <c r="P285" s="569" t="s">
        <v>5</v>
      </c>
      <c r="Q285" s="560" t="s">
        <v>5</v>
      </c>
      <c r="R285" s="570" t="s">
        <v>5</v>
      </c>
      <c r="S285" s="571">
        <f>Tabel6689262829[[#This Row],[Total. ch. DW 2017]]+Tabel6689262829[[#This Row],[WW 2017]]</f>
        <v>740.57999999999993</v>
      </c>
      <c r="T285" s="397"/>
      <c r="U285" s="1969"/>
      <c r="V285" s="1972"/>
      <c r="W285" s="1975"/>
      <c r="X285" s="1772"/>
      <c r="Y285" s="1978"/>
      <c r="Z285" s="1981"/>
      <c r="AA285" s="1772"/>
      <c r="AB285" s="1955"/>
      <c r="AC285" s="1772"/>
      <c r="AD285" s="1958"/>
      <c r="AE285" s="1772"/>
      <c r="AF285" s="1961"/>
      <c r="AG285" s="1964"/>
      <c r="AH285" s="397"/>
      <c r="AI285" s="396"/>
      <c r="AJ285" s="396"/>
      <c r="AK285" s="396"/>
      <c r="AL285" s="591" t="s">
        <v>429</v>
      </c>
      <c r="AM285" s="591"/>
      <c r="AN285" s="591" t="s">
        <v>429</v>
      </c>
      <c r="AO285" s="396"/>
      <c r="AP285" s="397"/>
    </row>
    <row r="286" spans="1:42" ht="15.75" x14ac:dyDescent="0.25">
      <c r="A286" s="2148"/>
      <c r="B286" s="639" t="s">
        <v>173</v>
      </c>
      <c r="C286" s="639"/>
      <c r="D286" s="724" t="s">
        <v>1151</v>
      </c>
      <c r="E286" s="1760"/>
      <c r="F286" s="715">
        <v>1</v>
      </c>
      <c r="G286" s="549" t="s">
        <v>5</v>
      </c>
      <c r="H286" s="550">
        <v>205.11</v>
      </c>
      <c r="I286" s="551" t="s">
        <v>5</v>
      </c>
      <c r="J286" s="560" t="s">
        <v>5</v>
      </c>
      <c r="K286" s="566">
        <f>Tabel6689262829[[#This Row],[Var. ch. 2017]]</f>
        <v>205.11</v>
      </c>
      <c r="L286" s="567" t="s">
        <v>5</v>
      </c>
      <c r="M286" s="560" t="s">
        <v>5</v>
      </c>
      <c r="N286" s="568">
        <v>205.11</v>
      </c>
      <c r="O286" s="560" t="s">
        <v>5</v>
      </c>
      <c r="P286" s="569" t="s">
        <v>5</v>
      </c>
      <c r="Q286" s="560" t="s">
        <v>5</v>
      </c>
      <c r="R286" s="570" t="s">
        <v>5</v>
      </c>
      <c r="S286" s="571">
        <f>Tabel6689262829[[#This Row],[Total. ch. DW 2017]]+Tabel6689262829[[#This Row],[WW 2017]]</f>
        <v>410.22</v>
      </c>
      <c r="T286" s="397"/>
      <c r="U286" s="1969"/>
      <c r="V286" s="1972"/>
      <c r="W286" s="1975"/>
      <c r="X286" s="1772"/>
      <c r="Y286" s="1978"/>
      <c r="Z286" s="1981"/>
      <c r="AA286" s="1772"/>
      <c r="AB286" s="1955"/>
      <c r="AC286" s="1772"/>
      <c r="AD286" s="1958"/>
      <c r="AE286" s="1772"/>
      <c r="AF286" s="1961"/>
      <c r="AG286" s="1964"/>
      <c r="AH286" s="397"/>
      <c r="AI286" s="396"/>
      <c r="AJ286" s="591" t="s">
        <v>429</v>
      </c>
      <c r="AK286" s="591"/>
      <c r="AL286" s="591"/>
      <c r="AM286" s="591"/>
      <c r="AN286" s="591" t="s">
        <v>429</v>
      </c>
      <c r="AO286" s="396"/>
      <c r="AP286" s="397"/>
    </row>
    <row r="287" spans="1:42" ht="15.75" x14ac:dyDescent="0.25">
      <c r="A287" s="2148"/>
      <c r="B287" s="639" t="s">
        <v>174</v>
      </c>
      <c r="C287" s="639"/>
      <c r="D287" s="724" t="s">
        <v>1151</v>
      </c>
      <c r="E287" s="1760"/>
      <c r="F287" s="715">
        <v>1</v>
      </c>
      <c r="G287" s="549">
        <v>184.68</v>
      </c>
      <c r="H287" s="550">
        <v>120.99</v>
      </c>
      <c r="I287" s="551" t="s">
        <v>5</v>
      </c>
      <c r="J287" s="560" t="s">
        <v>5</v>
      </c>
      <c r="K287" s="566">
        <f>Tabel6689262829[[#This Row],[Fix.ch. 2017]]+Tabel6689262829[[#This Row],[Var. ch. 2017]]</f>
        <v>305.67</v>
      </c>
      <c r="L287" s="567" t="s">
        <v>5</v>
      </c>
      <c r="M287" s="560" t="s">
        <v>5</v>
      </c>
      <c r="N287" s="568">
        <v>362.52</v>
      </c>
      <c r="O287" s="560" t="s">
        <v>5</v>
      </c>
      <c r="P287" s="569">
        <v>16.670000000000002</v>
      </c>
      <c r="Q287" s="560" t="s">
        <v>5</v>
      </c>
      <c r="R287" s="570" t="s">
        <v>5</v>
      </c>
      <c r="S287" s="571">
        <f>Tabel6689262829[[#This Row],[Total. ch. DW 2017]]+Tabel6689262829[[#This Row],[WW 2017]]+Tabel6689262829[[#This Row],[Other ch. 2017]]</f>
        <v>684.86</v>
      </c>
      <c r="T287" s="397"/>
      <c r="U287" s="1969"/>
      <c r="V287" s="1972"/>
      <c r="W287" s="1975"/>
      <c r="X287" s="1772"/>
      <c r="Y287" s="1978"/>
      <c r="Z287" s="1981"/>
      <c r="AA287" s="1772"/>
      <c r="AB287" s="1955"/>
      <c r="AC287" s="1772"/>
      <c r="AD287" s="1958"/>
      <c r="AE287" s="1772"/>
      <c r="AF287" s="1961"/>
      <c r="AG287" s="1964"/>
      <c r="AH287" s="397"/>
      <c r="AI287" s="396"/>
      <c r="AJ287" s="396"/>
      <c r="AK287" s="396"/>
      <c r="AL287" s="591" t="s">
        <v>429</v>
      </c>
      <c r="AM287" s="591" t="s">
        <v>429</v>
      </c>
      <c r="AN287" s="591" t="s">
        <v>429</v>
      </c>
      <c r="AO287" s="396"/>
      <c r="AP287" s="397"/>
    </row>
    <row r="288" spans="1:42" ht="15.75" x14ac:dyDescent="0.25">
      <c r="A288" s="2148"/>
      <c r="B288" s="639" t="s">
        <v>175</v>
      </c>
      <c r="C288" s="639"/>
      <c r="D288" s="724" t="s">
        <v>1151</v>
      </c>
      <c r="E288" s="1760"/>
      <c r="F288" s="715">
        <v>1</v>
      </c>
      <c r="G288" s="549">
        <v>38.4</v>
      </c>
      <c r="H288" s="550">
        <v>93.57</v>
      </c>
      <c r="I288" s="551" t="s">
        <v>5</v>
      </c>
      <c r="J288" s="560" t="s">
        <v>5</v>
      </c>
      <c r="K288" s="566">
        <f>Tabel6689262829[[#This Row],[Fix.ch. 2017]]+Tabel6689262829[[#This Row],[Var. ch. 2017]]</f>
        <v>131.97</v>
      </c>
      <c r="L288" s="567" t="s">
        <v>5</v>
      </c>
      <c r="M288" s="560" t="s">
        <v>5</v>
      </c>
      <c r="N288" s="568">
        <v>248.71</v>
      </c>
      <c r="O288" s="560" t="s">
        <v>5</v>
      </c>
      <c r="P288" s="569" t="s">
        <v>5</v>
      </c>
      <c r="Q288" s="560" t="s">
        <v>5</v>
      </c>
      <c r="R288" s="570" t="s">
        <v>5</v>
      </c>
      <c r="S288" s="571">
        <f>Tabel6689262829[[#This Row],[Total. ch. DW 2017]]+Tabel6689262829[[#This Row],[WW 2017]]</f>
        <v>380.68</v>
      </c>
      <c r="T288" s="397"/>
      <c r="U288" s="1969"/>
      <c r="V288" s="1972"/>
      <c r="W288" s="1975"/>
      <c r="X288" s="1772"/>
      <c r="Y288" s="1978"/>
      <c r="Z288" s="1981"/>
      <c r="AA288" s="1772"/>
      <c r="AB288" s="1955"/>
      <c r="AC288" s="1772"/>
      <c r="AD288" s="1958"/>
      <c r="AE288" s="1772"/>
      <c r="AF288" s="1961"/>
      <c r="AG288" s="1964"/>
      <c r="AH288" s="397"/>
      <c r="AI288" s="396"/>
      <c r="AJ288" s="396"/>
      <c r="AK288" s="396"/>
      <c r="AL288" s="591" t="s">
        <v>429</v>
      </c>
      <c r="AM288" s="591" t="s">
        <v>429</v>
      </c>
      <c r="AN288" s="591" t="s">
        <v>429</v>
      </c>
      <c r="AO288" s="396"/>
      <c r="AP288" s="397"/>
    </row>
    <row r="289" spans="1:42" ht="16.5" thickBot="1" x14ac:dyDescent="0.3">
      <c r="A289" s="2148"/>
      <c r="B289" s="714" t="s">
        <v>212</v>
      </c>
      <c r="C289" s="1053"/>
      <c r="D289" s="807" t="s">
        <v>1151</v>
      </c>
      <c r="E289" s="1923"/>
      <c r="F289" s="715">
        <v>1</v>
      </c>
      <c r="G289" s="716">
        <v>48</v>
      </c>
      <c r="H289" s="717">
        <v>249.32</v>
      </c>
      <c r="I289" s="718" t="s">
        <v>5</v>
      </c>
      <c r="J289" s="719" t="s">
        <v>5</v>
      </c>
      <c r="K289" s="566">
        <f>Tabel6689262829[[#This Row],[Fix.ch. 2017]]+Tabel6689262829[[#This Row],[Var. ch. 2017]]</f>
        <v>297.32</v>
      </c>
      <c r="L289" s="567" t="s">
        <v>5</v>
      </c>
      <c r="M289" s="560" t="s">
        <v>5</v>
      </c>
      <c r="N289" s="720">
        <v>308.33</v>
      </c>
      <c r="O289" s="560" t="s">
        <v>5</v>
      </c>
      <c r="P289" s="721">
        <v>12.36</v>
      </c>
      <c r="Q289" s="560" t="s">
        <v>5</v>
      </c>
      <c r="R289" s="570" t="s">
        <v>5</v>
      </c>
      <c r="S289" s="571">
        <f>Tabel6689262829[[#This Row],[Total. ch. DW 2017]]+Tabel6689262829[[#This Row],[WW 2017]]+Tabel6689262829[[#This Row],[Other ch. 2017]]</f>
        <v>618.01</v>
      </c>
      <c r="T289" s="397"/>
      <c r="U289" s="1970"/>
      <c r="V289" s="1973"/>
      <c r="W289" s="1976"/>
      <c r="X289" s="1773"/>
      <c r="Y289" s="1979"/>
      <c r="Z289" s="1982"/>
      <c r="AA289" s="1773"/>
      <c r="AB289" s="1956"/>
      <c r="AC289" s="1773"/>
      <c r="AD289" s="1959"/>
      <c r="AE289" s="1773"/>
      <c r="AF289" s="1962"/>
      <c r="AG289" s="1965"/>
      <c r="AH289" s="397"/>
      <c r="AI289" s="396"/>
      <c r="AJ289" s="591" t="s">
        <v>429</v>
      </c>
      <c r="AK289" s="591"/>
      <c r="AL289" s="591"/>
      <c r="AM289" s="591" t="s">
        <v>429</v>
      </c>
      <c r="AN289" s="591" t="s">
        <v>429</v>
      </c>
      <c r="AO289" s="396"/>
      <c r="AP289" s="397"/>
    </row>
    <row r="290" spans="1:42" ht="19.5" thickBot="1" x14ac:dyDescent="0.3">
      <c r="A290" s="1833" t="s">
        <v>718</v>
      </c>
      <c r="B290" s="269" t="s">
        <v>761</v>
      </c>
      <c r="C290" s="1048" t="s">
        <v>429</v>
      </c>
      <c r="D290" s="805" t="s">
        <v>1153</v>
      </c>
      <c r="E290" s="2203">
        <v>4300</v>
      </c>
      <c r="F290" s="517">
        <f>'exchange rates'!$M$68</f>
        <v>11.06053</v>
      </c>
      <c r="G290" s="518">
        <f>10/F290</f>
        <v>0.90411580638540834</v>
      </c>
      <c r="H290" s="508">
        <f>908.98/F290</f>
        <v>82.182318568820847</v>
      </c>
      <c r="I290" s="509">
        <v>0</v>
      </c>
      <c r="J290" s="562"/>
      <c r="K290" s="565" t="e">
        <f>Tabel6689262829[[#This Row],[Fix.ch. 2017]]+Tabel6689262829[[#This Row],[Var. ch. 2017]]+Tabel6689262829[[#This Row],[Oth. ch. DW 2017]]+Tabel6689262829[[#This Row],[VAT DW 2017]]</f>
        <v>#VALUE!</v>
      </c>
      <c r="L290" s="510">
        <v>0</v>
      </c>
      <c r="M290" s="562"/>
      <c r="N290" s="511">
        <f>272.69/F290</f>
        <v>24.654333924323698</v>
      </c>
      <c r="O290" s="562"/>
      <c r="P290" s="512">
        <f>22.7/F290</f>
        <v>2.0523428804948769</v>
      </c>
      <c r="Q290" s="562"/>
      <c r="R290" s="513" t="e">
        <f>Tabel6689262829[[#This Row],[VAT DW 2017]]+Tabel6689262829[[#This Row],[VAT Sew. 2017]]+Tabel6689262829[[#This Row],[VAT WW 2017]]+Tabel6689262829[[#This Row],[VAT Other ch. 2017]]</f>
        <v>#VALUE!</v>
      </c>
      <c r="S290" s="590" t="e">
        <f>Tabel6689262829[[#This Row],[Total. ch. DW 2017]]+Tabel6689262829[[#This Row],[Sew. 2017]]+Tabel6689262829[[#This Row],[VAT Sew. 2017]]+Tabel6689262829[[#This Row],[WW 2017]]+Tabel6689262829[[#This Row],[VAT WW 2017]]+Tabel6689262829[[#This Row],[Other ch. 2017]]+Tabel6689262829[[#This Row],[VAT Other ch. 2017]]</f>
        <v>#VALUE!</v>
      </c>
      <c r="T290" s="397"/>
      <c r="U290" s="2057">
        <f>MEDIAN(G290:G293)</f>
        <v>0.45205790319270417</v>
      </c>
      <c r="V290" s="2059">
        <f>MEDIAN(H290:H293)</f>
        <v>75.057886014503822</v>
      </c>
      <c r="W290" s="2204">
        <f>MEDIAN(I290:I293)</f>
        <v>0</v>
      </c>
      <c r="X290" s="583"/>
      <c r="Y290" s="2115">
        <f>SUM(U290:W293)</f>
        <v>75.509943917696532</v>
      </c>
      <c r="Z290" s="2065">
        <f>MEDIAN(L290:L293)</f>
        <v>0</v>
      </c>
      <c r="AA290" s="575"/>
      <c r="AB290" s="2067">
        <f>MEDIAN(N290:N293)</f>
        <v>24.397112977407048</v>
      </c>
      <c r="AC290" s="575"/>
      <c r="AD290" s="2069">
        <f>MEDIAN(P290:P293)</f>
        <v>1.6011890931085579</v>
      </c>
      <c r="AE290" s="575"/>
      <c r="AF290" s="2071" t="e">
        <f>MEDIAN(R290:R293)</f>
        <v>#VALUE!</v>
      </c>
      <c r="AG290" s="2049" t="e">
        <f>SUM(Y290:AF293)</f>
        <v>#VALUE!</v>
      </c>
      <c r="AH290" s="397"/>
      <c r="AI290" s="396" t="s">
        <v>429</v>
      </c>
      <c r="AJ290" s="396"/>
      <c r="AK290" s="398"/>
      <c r="AL290" s="396" t="s">
        <v>429</v>
      </c>
      <c r="AM290" s="396" t="s">
        <v>429</v>
      </c>
      <c r="AN290" s="396" t="s">
        <v>429</v>
      </c>
      <c r="AO290" s="398"/>
      <c r="AP290" s="397"/>
    </row>
    <row r="291" spans="1:42" ht="19.5" thickBot="1" x14ac:dyDescent="0.3">
      <c r="A291" s="1834"/>
      <c r="B291" s="269" t="s">
        <v>762</v>
      </c>
      <c r="C291" s="1048"/>
      <c r="D291" s="805" t="s">
        <v>1153</v>
      </c>
      <c r="E291" s="2086"/>
      <c r="F291" s="519">
        <f>'exchange rates'!$M$68</f>
        <v>11.06053</v>
      </c>
      <c r="G291" s="518">
        <f>5/F291</f>
        <v>0.45205790319270417</v>
      </c>
      <c r="H291" s="508">
        <f>669/F291</f>
        <v>60.485347447183813</v>
      </c>
      <c r="I291" s="509">
        <v>0</v>
      </c>
      <c r="J291" s="562"/>
      <c r="K291" s="565" t="e">
        <f>Tabel6689262829[[#This Row],[Fix.ch. 2017]]+Tabel6689262829[[#This Row],[Var. ch. 2017]]+Tabel6689262829[[#This Row],[Oth. ch. DW 2017]]+Tabel6689262829[[#This Row],[VAT DW 2017]]</f>
        <v>#VALUE!</v>
      </c>
      <c r="L291" s="510">
        <v>0</v>
      </c>
      <c r="M291" s="562"/>
      <c r="N291" s="511">
        <f>267/F291</f>
        <v>24.139892030490401</v>
      </c>
      <c r="O291" s="562"/>
      <c r="P291" s="512">
        <f>16.72/F291</f>
        <v>1.5116816282764025</v>
      </c>
      <c r="Q291" s="562"/>
      <c r="R291" s="513" t="e">
        <f>Tabel6689262829[[#This Row],[VAT DW 2017]]+Tabel6689262829[[#This Row],[VAT Sew. 2017]]+Tabel6689262829[[#This Row],[VAT WW 2017]]+Tabel6689262829[[#This Row],[VAT Other ch. 2017]]</f>
        <v>#VALUE!</v>
      </c>
      <c r="S291" s="590" t="e">
        <f>Tabel6689262829[[#This Row],[Total. ch. DW 2017]]+Tabel6689262829[[#This Row],[Sew. 2017]]+Tabel6689262829[[#This Row],[VAT Sew. 2017]]+Tabel6689262829[[#This Row],[WW 2017]]+Tabel6689262829[[#This Row],[VAT WW 2017]]+Tabel6689262829[[#This Row],[Other ch. 2017]]+Tabel6689262829[[#This Row],[VAT Other ch. 2017]]</f>
        <v>#VALUE!</v>
      </c>
      <c r="T291" s="397"/>
      <c r="U291" s="2058"/>
      <c r="V291" s="2060"/>
      <c r="W291" s="2205"/>
      <c r="X291" s="584"/>
      <c r="Y291" s="1849"/>
      <c r="Z291" s="2066"/>
      <c r="AA291" s="576"/>
      <c r="AB291" s="2207"/>
      <c r="AC291" s="578"/>
      <c r="AD291" s="2070"/>
      <c r="AE291" s="576"/>
      <c r="AF291" s="2072"/>
      <c r="AG291" s="2050"/>
      <c r="AH291" s="397"/>
      <c r="AI291" s="396" t="s">
        <v>429</v>
      </c>
      <c r="AJ291" s="396"/>
      <c r="AK291" s="398"/>
      <c r="AL291" s="396" t="s">
        <v>429</v>
      </c>
      <c r="AM291" s="396" t="s">
        <v>429</v>
      </c>
      <c r="AN291" s="396" t="s">
        <v>429</v>
      </c>
      <c r="AO291" s="398"/>
      <c r="AP291" s="397"/>
    </row>
    <row r="292" spans="1:42" ht="19.5" thickBot="1" x14ac:dyDescent="0.3">
      <c r="A292" s="1834"/>
      <c r="B292" s="269" t="s">
        <v>763</v>
      </c>
      <c r="C292" s="1048"/>
      <c r="D292" s="805" t="s">
        <v>1153</v>
      </c>
      <c r="E292" s="2086"/>
      <c r="F292" s="519">
        <f>'exchange rates'!$M$68</f>
        <v>11.06053</v>
      </c>
      <c r="G292" s="518">
        <f>5/F292</f>
        <v>0.45205790319270417</v>
      </c>
      <c r="H292" s="508">
        <f>751.38/F292</f>
        <v>67.933453460186811</v>
      </c>
      <c r="I292" s="509">
        <v>0</v>
      </c>
      <c r="J292" s="562"/>
      <c r="K292" s="565" t="e">
        <f>Tabel6689262829[[#This Row],[Fix.ch. 2017]]+Tabel6689262829[[#This Row],[Var. ch. 2017]]+Tabel6689262829[[#This Row],[Oth. ch. DW 2017]]+Tabel6689262829[[#This Row],[VAT DW 2017]]</f>
        <v>#VALUE!</v>
      </c>
      <c r="L292" s="510">
        <v>0</v>
      </c>
      <c r="M292" s="562"/>
      <c r="N292" s="511">
        <f>150.2/F292</f>
        <v>13.579819411908831</v>
      </c>
      <c r="O292" s="562"/>
      <c r="P292" s="512">
        <f>18.7/F292</f>
        <v>1.6906965579407134</v>
      </c>
      <c r="Q292" s="562"/>
      <c r="R292" s="513" t="e">
        <f>Tabel6689262829[[#This Row],[VAT DW 2017]]+Tabel6689262829[[#This Row],[VAT Sew. 2017]]+Tabel6689262829[[#This Row],[VAT WW 2017]]+Tabel6689262829[[#This Row],[VAT Other ch. 2017]]</f>
        <v>#VALUE!</v>
      </c>
      <c r="S292" s="590" t="e">
        <f>Tabel6689262829[[#This Row],[Total. ch. DW 2017]]+Tabel6689262829[[#This Row],[Sew. 2017]]+Tabel6689262829[[#This Row],[VAT Sew. 2017]]+Tabel6689262829[[#This Row],[WW 2017]]+Tabel6689262829[[#This Row],[VAT WW 2017]]+Tabel6689262829[[#This Row],[Other ch. 2017]]+Tabel6689262829[[#This Row],[VAT Other ch. 2017]]</f>
        <v>#VALUE!</v>
      </c>
      <c r="T292" s="397"/>
      <c r="U292" s="2058"/>
      <c r="V292" s="2060"/>
      <c r="W292" s="2205"/>
      <c r="X292" s="584"/>
      <c r="Y292" s="1849"/>
      <c r="Z292" s="2066"/>
      <c r="AA292" s="576"/>
      <c r="AB292" s="2207"/>
      <c r="AC292" s="578"/>
      <c r="AD292" s="2070"/>
      <c r="AE292" s="576"/>
      <c r="AF292" s="2072"/>
      <c r="AG292" s="2050"/>
      <c r="AH292" s="397"/>
      <c r="AI292" s="396" t="s">
        <v>429</v>
      </c>
      <c r="AJ292" s="396"/>
      <c r="AK292" s="398"/>
      <c r="AL292" s="396" t="s">
        <v>429</v>
      </c>
      <c r="AM292" s="396" t="s">
        <v>429</v>
      </c>
      <c r="AN292" s="396" t="s">
        <v>429</v>
      </c>
      <c r="AO292" s="398"/>
      <c r="AP292" s="397"/>
    </row>
    <row r="293" spans="1:42" ht="19.5" thickBot="1" x14ac:dyDescent="0.3">
      <c r="A293" s="1835"/>
      <c r="B293" s="290" t="s">
        <v>764</v>
      </c>
      <c r="C293" s="1048"/>
      <c r="D293" s="801" t="s">
        <v>1153</v>
      </c>
      <c r="E293" s="1838"/>
      <c r="F293" s="520">
        <f>'exchange rates'!$M$68</f>
        <v>11.06053</v>
      </c>
      <c r="G293" s="521">
        <f>5/F293</f>
        <v>0.45205790319270417</v>
      </c>
      <c r="H293" s="522">
        <f>1319.38/F293</f>
        <v>119.28723126287801</v>
      </c>
      <c r="I293" s="523">
        <v>0</v>
      </c>
      <c r="J293" s="563"/>
      <c r="K293" s="565" t="e">
        <f>Tabel6689262829[[#This Row],[Fix.ch. 2017]]+Tabel6689262829[[#This Row],[Var. ch. 2017]]+Tabel6689262829[[#This Row],[Oth. ch. DW 2017]]+Tabel6689262829[[#This Row],[VAT DW 2017]]</f>
        <v>#VALUE!</v>
      </c>
      <c r="L293" s="524">
        <v>0</v>
      </c>
      <c r="M293" s="563"/>
      <c r="N293" s="511">
        <f>527.75/F293</f>
        <v>47.714711681989925</v>
      </c>
      <c r="O293" s="562"/>
      <c r="P293" s="512">
        <v>0</v>
      </c>
      <c r="Q293" s="563"/>
      <c r="R293" s="513" t="e">
        <f>Tabel6689262829[[#This Row],[VAT DW 2017]]+Tabel6689262829[[#This Row],[VAT Sew. 2017]]+Tabel6689262829[[#This Row],[VAT WW 2017]]+Tabel6689262829[[#This Row],[VAT Other ch. 2017]]</f>
        <v>#VALUE!</v>
      </c>
      <c r="S293" s="590" t="e">
        <f>Tabel6689262829[[#This Row],[Total. ch. DW 2017]]+Tabel6689262829[[#This Row],[Sew. 2017]]+Tabel6689262829[[#This Row],[VAT Sew. 2017]]+Tabel6689262829[[#This Row],[WW 2017]]+Tabel6689262829[[#This Row],[VAT WW 2017]]+Tabel6689262829[[#This Row],[Other ch. 2017]]+Tabel6689262829[[#This Row],[VAT Other ch. 2017]]</f>
        <v>#VALUE!</v>
      </c>
      <c r="T293" s="397"/>
      <c r="U293" s="1841"/>
      <c r="V293" s="1844"/>
      <c r="W293" s="2206"/>
      <c r="X293" s="585"/>
      <c r="Y293" s="1850"/>
      <c r="Z293" s="1853"/>
      <c r="AA293" s="577"/>
      <c r="AB293" s="2208"/>
      <c r="AC293" s="579"/>
      <c r="AD293" s="1859"/>
      <c r="AE293" s="577"/>
      <c r="AF293" s="1874"/>
      <c r="AG293" s="2051"/>
      <c r="AH293" s="397"/>
      <c r="AI293" s="398"/>
      <c r="AJ293" s="396"/>
      <c r="AK293" s="398"/>
      <c r="AL293" s="396" t="s">
        <v>429</v>
      </c>
      <c r="AM293" s="396" t="s">
        <v>429</v>
      </c>
      <c r="AN293" s="398"/>
      <c r="AO293" s="398"/>
      <c r="AP293" s="397"/>
    </row>
    <row r="294" spans="1:42" x14ac:dyDescent="0.25">
      <c r="A294" s="29"/>
    </row>
    <row r="295" spans="1:42" x14ac:dyDescent="0.25">
      <c r="A295" s="29"/>
    </row>
    <row r="296" spans="1:42" x14ac:dyDescent="0.25">
      <c r="A296" s="29"/>
    </row>
    <row r="297" spans="1:42" s="1073" customFormat="1" ht="32.450000000000003" customHeight="1" thickBot="1" x14ac:dyDescent="0.3">
      <c r="A297" s="1059" t="s">
        <v>58</v>
      </c>
      <c r="B297" s="1060" t="s">
        <v>1190</v>
      </c>
      <c r="C297" s="1060" t="s">
        <v>1022</v>
      </c>
      <c r="D297" s="1061" t="s">
        <v>1192</v>
      </c>
      <c r="E297" s="1062" t="s">
        <v>1193</v>
      </c>
      <c r="F297" s="1063" t="s">
        <v>1194</v>
      </c>
      <c r="G297" s="1064" t="s">
        <v>1195</v>
      </c>
      <c r="H297" s="1065" t="s">
        <v>1196</v>
      </c>
      <c r="I297" s="1066" t="s">
        <v>1198</v>
      </c>
      <c r="J297" s="1064" t="s">
        <v>1197</v>
      </c>
      <c r="K297" s="1067" t="s">
        <v>1199</v>
      </c>
      <c r="L297" s="1064" t="s">
        <v>1200</v>
      </c>
      <c r="M297" s="1068" t="s">
        <v>1205</v>
      </c>
      <c r="N297" s="1069" t="s">
        <v>1208</v>
      </c>
      <c r="O297" s="1070" t="s">
        <v>1206</v>
      </c>
      <c r="P297" s="1064" t="s">
        <v>1207</v>
      </c>
      <c r="Q297" s="1071" t="s">
        <v>1201</v>
      </c>
      <c r="R297" s="1072" t="s">
        <v>1202</v>
      </c>
      <c r="S297" s="1074" t="s">
        <v>1203</v>
      </c>
      <c r="T297" s="1074" t="s">
        <v>1204</v>
      </c>
    </row>
    <row r="298" spans="1:42" ht="15.75" x14ac:dyDescent="0.25">
      <c r="A298" s="746" t="s">
        <v>217</v>
      </c>
      <c r="B298" s="747" t="s">
        <v>429</v>
      </c>
      <c r="C298" s="815" t="s">
        <v>1024</v>
      </c>
      <c r="D298" s="625" t="s">
        <v>5</v>
      </c>
      <c r="E298" s="593" t="s">
        <v>5</v>
      </c>
      <c r="F298" s="594" t="s">
        <v>5</v>
      </c>
      <c r="G298" s="595" t="s">
        <v>5</v>
      </c>
      <c r="H298" s="566" t="s">
        <v>5</v>
      </c>
      <c r="I298" s="596" t="s">
        <v>5</v>
      </c>
      <c r="J298" s="595" t="s">
        <v>5</v>
      </c>
      <c r="K298" s="626" t="s">
        <v>5</v>
      </c>
      <c r="L298" s="595" t="s">
        <v>5</v>
      </c>
      <c r="M298" s="1076" t="s">
        <v>5</v>
      </c>
      <c r="N298" s="1077" t="s">
        <v>5</v>
      </c>
      <c r="O298" s="597" t="s">
        <v>5</v>
      </c>
      <c r="P298" s="595" t="s">
        <v>5</v>
      </c>
      <c r="Q298" s="570" t="s">
        <v>5</v>
      </c>
      <c r="R298" s="571">
        <v>79.756820995801675</v>
      </c>
      <c r="S298" s="1075">
        <f>R298</f>
        <v>79.756820995801675</v>
      </c>
      <c r="T298" s="1075">
        <f>R298-S298</f>
        <v>0</v>
      </c>
    </row>
    <row r="299" spans="1:42" ht="15.75" x14ac:dyDescent="0.25">
      <c r="A299" s="747" t="s">
        <v>942</v>
      </c>
      <c r="B299" s="747"/>
      <c r="C299" s="815" t="s">
        <v>1024</v>
      </c>
      <c r="D299" s="625" t="s">
        <v>5</v>
      </c>
      <c r="E299" s="593" t="s">
        <v>5</v>
      </c>
      <c r="F299" s="594" t="s">
        <v>5</v>
      </c>
      <c r="G299" s="595" t="s">
        <v>5</v>
      </c>
      <c r="H299" s="566" t="s">
        <v>5</v>
      </c>
      <c r="I299" s="596" t="s">
        <v>5</v>
      </c>
      <c r="J299" s="595" t="s">
        <v>5</v>
      </c>
      <c r="K299" s="626" t="s">
        <v>5</v>
      </c>
      <c r="L299" s="595" t="s">
        <v>5</v>
      </c>
      <c r="M299" s="1076" t="s">
        <v>5</v>
      </c>
      <c r="N299" s="1077" t="s">
        <v>5</v>
      </c>
      <c r="O299" s="597" t="s">
        <v>5</v>
      </c>
      <c r="P299" s="595" t="s">
        <v>5</v>
      </c>
      <c r="Q299" s="570" t="s">
        <v>5</v>
      </c>
      <c r="R299" s="571">
        <v>106.03544353340726</v>
      </c>
      <c r="S299" s="1075">
        <f t="shared" ref="S299:S304" si="43">R299</f>
        <v>106.03544353340726</v>
      </c>
      <c r="T299" s="1075">
        <f t="shared" ref="T299:T362" si="44">R299-S299</f>
        <v>0</v>
      </c>
    </row>
    <row r="300" spans="1:42" ht="15.75" x14ac:dyDescent="0.25">
      <c r="A300" s="747" t="s">
        <v>943</v>
      </c>
      <c r="B300" s="747"/>
      <c r="C300" s="815" t="s">
        <v>1024</v>
      </c>
      <c r="D300" s="625" t="s">
        <v>5</v>
      </c>
      <c r="E300" s="593" t="s">
        <v>5</v>
      </c>
      <c r="F300" s="594" t="s">
        <v>5</v>
      </c>
      <c r="G300" s="595" t="s">
        <v>5</v>
      </c>
      <c r="H300" s="566" t="s">
        <v>5</v>
      </c>
      <c r="I300" s="596" t="s">
        <v>5</v>
      </c>
      <c r="J300" s="595" t="s">
        <v>5</v>
      </c>
      <c r="K300" s="626" t="s">
        <v>5</v>
      </c>
      <c r="L300" s="595" t="s">
        <v>5</v>
      </c>
      <c r="M300" s="1076" t="s">
        <v>5</v>
      </c>
      <c r="N300" s="1077" t="s">
        <v>5</v>
      </c>
      <c r="O300" s="597" t="s">
        <v>5</v>
      </c>
      <c r="P300" s="595" t="s">
        <v>5</v>
      </c>
      <c r="Q300" s="570" t="s">
        <v>5</v>
      </c>
      <c r="R300" s="571">
        <v>104.3720286081561</v>
      </c>
      <c r="S300" s="1075">
        <f t="shared" si="43"/>
        <v>104.3720286081561</v>
      </c>
      <c r="T300" s="1075">
        <f t="shared" si="44"/>
        <v>0</v>
      </c>
    </row>
    <row r="301" spans="1:42" ht="15.75" x14ac:dyDescent="0.25">
      <c r="A301" s="747" t="s">
        <v>944</v>
      </c>
      <c r="B301" s="747"/>
      <c r="C301" s="815" t="s">
        <v>1024</v>
      </c>
      <c r="D301" s="625" t="s">
        <v>5</v>
      </c>
      <c r="E301" s="593" t="s">
        <v>5</v>
      </c>
      <c r="F301" s="594" t="s">
        <v>5</v>
      </c>
      <c r="G301" s="595" t="s">
        <v>5</v>
      </c>
      <c r="H301" s="566" t="s">
        <v>5</v>
      </c>
      <c r="I301" s="596" t="s">
        <v>5</v>
      </c>
      <c r="J301" s="595" t="s">
        <v>5</v>
      </c>
      <c r="K301" s="626" t="s">
        <v>5</v>
      </c>
      <c r="L301" s="595" t="s">
        <v>5</v>
      </c>
      <c r="M301" s="1076" t="s">
        <v>5</v>
      </c>
      <c r="N301" s="1077" t="s">
        <v>5</v>
      </c>
      <c r="O301" s="597" t="s">
        <v>5</v>
      </c>
      <c r="P301" s="595" t="s">
        <v>5</v>
      </c>
      <c r="Q301" s="570" t="s">
        <v>5</v>
      </c>
      <c r="R301" s="571">
        <v>42.096117856226968</v>
      </c>
      <c r="S301" s="1075">
        <f t="shared" si="43"/>
        <v>42.096117856226968</v>
      </c>
      <c r="T301" s="1075">
        <f t="shared" si="44"/>
        <v>0</v>
      </c>
    </row>
    <row r="302" spans="1:42" ht="15.75" x14ac:dyDescent="0.25">
      <c r="A302" s="747" t="s">
        <v>945</v>
      </c>
      <c r="B302" s="747"/>
      <c r="C302" s="815" t="s">
        <v>1024</v>
      </c>
      <c r="D302" s="625" t="s">
        <v>5</v>
      </c>
      <c r="E302" s="593" t="s">
        <v>5</v>
      </c>
      <c r="F302" s="594" t="s">
        <v>5</v>
      </c>
      <c r="G302" s="595" t="s">
        <v>5</v>
      </c>
      <c r="H302" s="566" t="s">
        <v>5</v>
      </c>
      <c r="I302" s="596" t="s">
        <v>5</v>
      </c>
      <c r="J302" s="595" t="s">
        <v>5</v>
      </c>
      <c r="K302" s="626" t="s">
        <v>5</v>
      </c>
      <c r="L302" s="595" t="s">
        <v>5</v>
      </c>
      <c r="M302" s="1076" t="s">
        <v>5</v>
      </c>
      <c r="N302" s="1077" t="s">
        <v>5</v>
      </c>
      <c r="O302" s="597" t="s">
        <v>5</v>
      </c>
      <c r="P302" s="595" t="s">
        <v>5</v>
      </c>
      <c r="Q302" s="570" t="s">
        <v>5</v>
      </c>
      <c r="R302" s="571">
        <v>62.109246683788257</v>
      </c>
      <c r="S302" s="1075">
        <f t="shared" si="43"/>
        <v>62.109246683788257</v>
      </c>
      <c r="T302" s="1075">
        <f t="shared" si="44"/>
        <v>0</v>
      </c>
    </row>
    <row r="303" spans="1:42" ht="15.75" x14ac:dyDescent="0.25">
      <c r="A303" s="747" t="s">
        <v>946</v>
      </c>
      <c r="B303" s="747"/>
      <c r="C303" s="815" t="s">
        <v>1024</v>
      </c>
      <c r="D303" s="625" t="s">
        <v>5</v>
      </c>
      <c r="E303" s="593" t="s">
        <v>5</v>
      </c>
      <c r="F303" s="594" t="s">
        <v>5</v>
      </c>
      <c r="G303" s="595" t="s">
        <v>5</v>
      </c>
      <c r="H303" s="566" t="s">
        <v>5</v>
      </c>
      <c r="I303" s="596" t="s">
        <v>5</v>
      </c>
      <c r="J303" s="595" t="s">
        <v>5</v>
      </c>
      <c r="K303" s="626" t="s">
        <v>5</v>
      </c>
      <c r="L303" s="595" t="s">
        <v>5</v>
      </c>
      <c r="M303" s="1076" t="s">
        <v>5</v>
      </c>
      <c r="N303" s="1077" t="s">
        <v>5</v>
      </c>
      <c r="O303" s="597" t="s">
        <v>5</v>
      </c>
      <c r="P303" s="595" t="s">
        <v>5</v>
      </c>
      <c r="Q303" s="570" t="s">
        <v>5</v>
      </c>
      <c r="R303" s="571">
        <v>33.30485707480905</v>
      </c>
      <c r="S303" s="1075">
        <f t="shared" si="43"/>
        <v>33.30485707480905</v>
      </c>
      <c r="T303" s="1075">
        <f t="shared" si="44"/>
        <v>0</v>
      </c>
    </row>
    <row r="304" spans="1:42" ht="16.5" thickBot="1" x14ac:dyDescent="0.3">
      <c r="A304" s="747" t="s">
        <v>947</v>
      </c>
      <c r="B304" s="747"/>
      <c r="C304" s="815" t="s">
        <v>1024</v>
      </c>
      <c r="D304" s="625" t="s">
        <v>5</v>
      </c>
      <c r="E304" s="593" t="s">
        <v>5</v>
      </c>
      <c r="F304" s="594" t="s">
        <v>5</v>
      </c>
      <c r="G304" s="595" t="s">
        <v>5</v>
      </c>
      <c r="H304" s="566" t="s">
        <v>5</v>
      </c>
      <c r="I304" s="596" t="s">
        <v>5</v>
      </c>
      <c r="J304" s="595" t="s">
        <v>5</v>
      </c>
      <c r="K304" s="626" t="s">
        <v>5</v>
      </c>
      <c r="L304" s="595" t="s">
        <v>5</v>
      </c>
      <c r="M304" s="1076" t="s">
        <v>5</v>
      </c>
      <c r="N304" s="1077" t="s">
        <v>5</v>
      </c>
      <c r="O304" s="597" t="s">
        <v>5</v>
      </c>
      <c r="P304" s="595" t="s">
        <v>5</v>
      </c>
      <c r="Q304" s="570" t="s">
        <v>5</v>
      </c>
      <c r="R304" s="571">
        <v>104.3994475354954</v>
      </c>
      <c r="S304" s="1075">
        <f t="shared" si="43"/>
        <v>104.3994475354954</v>
      </c>
      <c r="T304" s="1075">
        <f t="shared" si="44"/>
        <v>0</v>
      </c>
    </row>
    <row r="305" spans="1:20" ht="16.5" thickBot="1" x14ac:dyDescent="0.3">
      <c r="A305" s="751" t="s">
        <v>526</v>
      </c>
      <c r="B305" s="752" t="s">
        <v>429</v>
      </c>
      <c r="C305" s="816" t="s">
        <v>1026</v>
      </c>
      <c r="D305" s="625">
        <v>52.78568919107235</v>
      </c>
      <c r="E305" s="593">
        <v>0</v>
      </c>
      <c r="F305" s="594">
        <v>0</v>
      </c>
      <c r="G305" s="595">
        <v>10.557137838214471</v>
      </c>
      <c r="H305" s="566">
        <v>63.342827029286823</v>
      </c>
      <c r="I305" s="596">
        <v>9.3151216219539439</v>
      </c>
      <c r="J305" s="595">
        <v>1.8630243243907889</v>
      </c>
      <c r="K305" s="626">
        <v>0</v>
      </c>
      <c r="L305" s="595">
        <v>0</v>
      </c>
      <c r="M305" s="1057">
        <f t="shared" ref="M305:N368" si="45">I305+K305</f>
        <v>9.3151216219539439</v>
      </c>
      <c r="N305" s="1058">
        <f t="shared" si="45"/>
        <v>1.8630243243907889</v>
      </c>
      <c r="O305" s="597">
        <v>0</v>
      </c>
      <c r="P305" s="595">
        <v>0</v>
      </c>
      <c r="Q305" s="570">
        <v>12.42016216260526</v>
      </c>
      <c r="R305" s="571">
        <v>74.520972975631565</v>
      </c>
      <c r="S305" s="1075">
        <f t="shared" ref="S305:S368" si="46">H305+M305+N305+O305+P305</f>
        <v>74.520972975631565</v>
      </c>
      <c r="T305" s="1075">
        <f t="shared" si="44"/>
        <v>0</v>
      </c>
    </row>
    <row r="306" spans="1:20" ht="15.75" x14ac:dyDescent="0.25">
      <c r="A306" s="664" t="s">
        <v>176</v>
      </c>
      <c r="B306" s="653"/>
      <c r="C306" s="653" t="s">
        <v>1028</v>
      </c>
      <c r="D306" s="625">
        <v>149.97854997854998</v>
      </c>
      <c r="E306" s="593">
        <v>548.74614874614872</v>
      </c>
      <c r="F306" s="594">
        <v>0</v>
      </c>
      <c r="G306" s="595">
        <v>0</v>
      </c>
      <c r="H306" s="566">
        <v>698.72469872469867</v>
      </c>
      <c r="I306" s="596">
        <v>407.1604071604072</v>
      </c>
      <c r="J306" s="595">
        <v>0</v>
      </c>
      <c r="K306" s="626">
        <v>0</v>
      </c>
      <c r="L306" s="595">
        <v>0</v>
      </c>
      <c r="M306" s="1057">
        <f t="shared" si="45"/>
        <v>407.1604071604072</v>
      </c>
      <c r="N306" s="1058">
        <f t="shared" si="45"/>
        <v>0</v>
      </c>
      <c r="O306" s="597">
        <v>0</v>
      </c>
      <c r="P306" s="595">
        <v>0</v>
      </c>
      <c r="Q306" s="570">
        <v>0</v>
      </c>
      <c r="R306" s="571">
        <v>1105.885105885106</v>
      </c>
      <c r="S306" s="1075">
        <f t="shared" si="46"/>
        <v>1105.885105885106</v>
      </c>
      <c r="T306" s="1075">
        <f t="shared" si="44"/>
        <v>0</v>
      </c>
    </row>
    <row r="307" spans="1:20" ht="15.75" x14ac:dyDescent="0.25">
      <c r="A307" s="631" t="s">
        <v>178</v>
      </c>
      <c r="B307" s="631"/>
      <c r="C307" s="631" t="s">
        <v>1028</v>
      </c>
      <c r="D307" s="625">
        <v>129.72192972192974</v>
      </c>
      <c r="E307" s="593">
        <v>336.16473616473621</v>
      </c>
      <c r="F307" s="594">
        <v>0</v>
      </c>
      <c r="G307" s="595">
        <v>0</v>
      </c>
      <c r="H307" s="566">
        <v>465.88666588666592</v>
      </c>
      <c r="I307" s="596">
        <v>485.28528528528528</v>
      </c>
      <c r="J307" s="595">
        <v>0</v>
      </c>
      <c r="K307" s="626">
        <v>0</v>
      </c>
      <c r="L307" s="595">
        <v>0</v>
      </c>
      <c r="M307" s="1057">
        <f t="shared" si="45"/>
        <v>485.28528528528528</v>
      </c>
      <c r="N307" s="1058">
        <f t="shared" si="45"/>
        <v>0</v>
      </c>
      <c r="O307" s="597">
        <v>0</v>
      </c>
      <c r="P307" s="595">
        <v>0</v>
      </c>
      <c r="Q307" s="570">
        <v>0</v>
      </c>
      <c r="R307" s="571">
        <v>951.17195117195115</v>
      </c>
      <c r="S307" s="1075">
        <f t="shared" si="46"/>
        <v>951.17195117195115</v>
      </c>
      <c r="T307" s="1075">
        <f t="shared" si="44"/>
        <v>0</v>
      </c>
    </row>
    <row r="308" spans="1:20" ht="15.75" x14ac:dyDescent="0.25">
      <c r="A308" s="631" t="s">
        <v>179</v>
      </c>
      <c r="B308" s="631"/>
      <c r="C308" s="631" t="s">
        <v>1028</v>
      </c>
      <c r="D308" s="625">
        <v>184.32978432978433</v>
      </c>
      <c r="E308" s="593">
        <v>267.22826722826727</v>
      </c>
      <c r="F308" s="594">
        <v>0</v>
      </c>
      <c r="G308" s="595">
        <v>0</v>
      </c>
      <c r="H308" s="566">
        <v>451.5580515580516</v>
      </c>
      <c r="I308" s="596">
        <v>591.24059124059124</v>
      </c>
      <c r="J308" s="595">
        <v>0</v>
      </c>
      <c r="K308" s="626">
        <v>0</v>
      </c>
      <c r="L308" s="595">
        <v>0</v>
      </c>
      <c r="M308" s="1057">
        <f t="shared" si="45"/>
        <v>591.24059124059124</v>
      </c>
      <c r="N308" s="1058">
        <f t="shared" si="45"/>
        <v>0</v>
      </c>
      <c r="O308" s="597">
        <v>0</v>
      </c>
      <c r="P308" s="595">
        <v>0</v>
      </c>
      <c r="Q308" s="570">
        <v>0</v>
      </c>
      <c r="R308" s="571">
        <v>1042.798642798643</v>
      </c>
      <c r="S308" s="1075">
        <f t="shared" si="46"/>
        <v>1042.798642798643</v>
      </c>
      <c r="T308" s="1075">
        <f t="shared" si="44"/>
        <v>0</v>
      </c>
    </row>
    <row r="309" spans="1:20" ht="15.75" x14ac:dyDescent="0.25">
      <c r="A309" s="631" t="s">
        <v>180</v>
      </c>
      <c r="B309" s="631"/>
      <c r="C309" s="631" t="s">
        <v>1028</v>
      </c>
      <c r="D309" s="625">
        <v>70.200070200070201</v>
      </c>
      <c r="E309" s="593">
        <v>312.00031200031202</v>
      </c>
      <c r="F309" s="594">
        <v>0</v>
      </c>
      <c r="G309" s="595">
        <v>0</v>
      </c>
      <c r="H309" s="566">
        <v>382.20038220038225</v>
      </c>
      <c r="I309" s="596">
        <v>455.52045552045553</v>
      </c>
      <c r="J309" s="595">
        <v>0</v>
      </c>
      <c r="K309" s="626">
        <v>0</v>
      </c>
      <c r="L309" s="595">
        <v>0</v>
      </c>
      <c r="M309" s="1057">
        <f t="shared" si="45"/>
        <v>455.52045552045553</v>
      </c>
      <c r="N309" s="1058">
        <f t="shared" si="45"/>
        <v>0</v>
      </c>
      <c r="O309" s="597">
        <v>0</v>
      </c>
      <c r="P309" s="595">
        <v>0</v>
      </c>
      <c r="Q309" s="570">
        <v>0</v>
      </c>
      <c r="R309" s="571">
        <v>837.72083772083784</v>
      </c>
      <c r="S309" s="1075">
        <f t="shared" si="46"/>
        <v>837.72083772083784</v>
      </c>
      <c r="T309" s="1075">
        <f t="shared" si="44"/>
        <v>0</v>
      </c>
    </row>
    <row r="310" spans="1:20" ht="16.5" thickBot="1" x14ac:dyDescent="0.3">
      <c r="A310" s="631" t="s">
        <v>544</v>
      </c>
      <c r="B310" s="631" t="s">
        <v>429</v>
      </c>
      <c r="C310" s="631" t="s">
        <v>1028</v>
      </c>
      <c r="D310" s="625">
        <v>79.154479154479162</v>
      </c>
      <c r="E310" s="593">
        <v>407.1604071604072</v>
      </c>
      <c r="F310" s="594">
        <v>0</v>
      </c>
      <c r="G310" s="595">
        <v>0</v>
      </c>
      <c r="H310" s="566">
        <v>486.31488631488639</v>
      </c>
      <c r="I310" s="596">
        <v>412.62041262041265</v>
      </c>
      <c r="J310" s="595">
        <v>0</v>
      </c>
      <c r="K310" s="626">
        <v>0</v>
      </c>
      <c r="L310" s="595">
        <v>0</v>
      </c>
      <c r="M310" s="1057">
        <f t="shared" si="45"/>
        <v>412.62041262041265</v>
      </c>
      <c r="N310" s="1058">
        <f t="shared" si="45"/>
        <v>0</v>
      </c>
      <c r="O310" s="597">
        <v>0</v>
      </c>
      <c r="P310" s="595">
        <v>0</v>
      </c>
      <c r="Q310" s="570">
        <v>0</v>
      </c>
      <c r="R310" s="571">
        <v>898.93529893529899</v>
      </c>
      <c r="S310" s="1075">
        <f t="shared" si="46"/>
        <v>898.93529893529899</v>
      </c>
      <c r="T310" s="1075">
        <f t="shared" si="44"/>
        <v>0</v>
      </c>
    </row>
    <row r="311" spans="1:20" ht="15.75" x14ac:dyDescent="0.25">
      <c r="A311" s="724" t="s">
        <v>932</v>
      </c>
      <c r="B311" s="724"/>
      <c r="C311" s="806" t="s">
        <v>1030</v>
      </c>
      <c r="D311" s="625">
        <v>44.009075521302258</v>
      </c>
      <c r="E311" s="593">
        <v>356.77843003085195</v>
      </c>
      <c r="F311" s="594">
        <v>0</v>
      </c>
      <c r="G311" s="595">
        <v>40.083552418338314</v>
      </c>
      <c r="H311" s="566">
        <v>440.87105797049253</v>
      </c>
      <c r="I311" s="596">
        <v>0</v>
      </c>
      <c r="J311" s="595">
        <v>0</v>
      </c>
      <c r="K311" s="626">
        <v>463.85997767133642</v>
      </c>
      <c r="L311" s="595">
        <v>46.385997767133645</v>
      </c>
      <c r="M311" s="1057">
        <f t="shared" si="45"/>
        <v>463.85997767133642</v>
      </c>
      <c r="N311" s="1058">
        <f t="shared" si="45"/>
        <v>46.385997767133645</v>
      </c>
      <c r="O311" s="597">
        <v>0</v>
      </c>
      <c r="P311" s="595">
        <v>0</v>
      </c>
      <c r="Q311" s="570">
        <v>86.469550185471959</v>
      </c>
      <c r="R311" s="571">
        <v>951.11703340896258</v>
      </c>
      <c r="S311" s="1075">
        <f t="shared" si="46"/>
        <v>951.11703340896258</v>
      </c>
      <c r="T311" s="1075">
        <f t="shared" si="44"/>
        <v>0</v>
      </c>
    </row>
    <row r="312" spans="1:20" ht="15.75" x14ac:dyDescent="0.25">
      <c r="A312" s="735" t="s">
        <v>67</v>
      </c>
      <c r="B312" s="802"/>
      <c r="C312" s="802" t="s">
        <v>1032</v>
      </c>
      <c r="D312" s="625">
        <v>0</v>
      </c>
      <c r="E312" s="593">
        <v>414.25673161186535</v>
      </c>
      <c r="F312" s="594">
        <v>0</v>
      </c>
      <c r="G312" s="595">
        <v>24.849641660964451</v>
      </c>
      <c r="H312" s="566">
        <v>439.10637327282979</v>
      </c>
      <c r="I312" s="596">
        <v>318.4595623101763</v>
      </c>
      <c r="J312" s="595">
        <v>19.111415229108893</v>
      </c>
      <c r="K312" s="626">
        <v>227.46425613137896</v>
      </c>
      <c r="L312" s="595">
        <v>13.649295926819605</v>
      </c>
      <c r="M312" s="1057">
        <f t="shared" si="45"/>
        <v>545.92381844155523</v>
      </c>
      <c r="N312" s="1058">
        <f t="shared" si="45"/>
        <v>32.760711155928497</v>
      </c>
      <c r="O312" s="597">
        <v>0</v>
      </c>
      <c r="P312" s="595">
        <v>0</v>
      </c>
      <c r="Q312" s="570">
        <v>57.610352816892949</v>
      </c>
      <c r="R312" s="571">
        <v>1017.7909028703135</v>
      </c>
      <c r="S312" s="1075">
        <f t="shared" si="46"/>
        <v>1017.7909028703134</v>
      </c>
      <c r="T312" s="1075">
        <f t="shared" si="44"/>
        <v>0</v>
      </c>
    </row>
    <row r="313" spans="1:20" ht="15.75" x14ac:dyDescent="0.25">
      <c r="A313" s="685" t="s">
        <v>71</v>
      </c>
      <c r="B313" s="802"/>
      <c r="C313" s="802" t="s">
        <v>1032</v>
      </c>
      <c r="D313" s="625">
        <v>0</v>
      </c>
      <c r="E313" s="593">
        <v>354.86968943950251</v>
      </c>
      <c r="F313" s="594">
        <v>0</v>
      </c>
      <c r="G313" s="595">
        <v>21.296262950024605</v>
      </c>
      <c r="H313" s="566">
        <v>376.16595238952709</v>
      </c>
      <c r="I313" s="596">
        <v>268.4601625430667</v>
      </c>
      <c r="J313" s="595">
        <v>16.110250777301591</v>
      </c>
      <c r="K313" s="626">
        <v>250.21308267607833</v>
      </c>
      <c r="L313" s="595">
        <v>15.017826916843735</v>
      </c>
      <c r="M313" s="1057">
        <f t="shared" si="45"/>
        <v>518.67324521914497</v>
      </c>
      <c r="N313" s="1058">
        <f t="shared" si="45"/>
        <v>31.128077694145325</v>
      </c>
      <c r="O313" s="597">
        <v>0</v>
      </c>
      <c r="P313" s="595">
        <v>0</v>
      </c>
      <c r="Q313" s="570">
        <v>52.424340644169931</v>
      </c>
      <c r="R313" s="571">
        <v>925.96727530281748</v>
      </c>
      <c r="S313" s="1075">
        <f t="shared" si="46"/>
        <v>925.96727530281737</v>
      </c>
      <c r="T313" s="1075">
        <f t="shared" si="44"/>
        <v>0</v>
      </c>
    </row>
    <row r="314" spans="1:20" ht="15.75" x14ac:dyDescent="0.25">
      <c r="A314" s="685" t="s">
        <v>68</v>
      </c>
      <c r="B314" s="802" t="s">
        <v>429</v>
      </c>
      <c r="C314" s="802" t="s">
        <v>1032</v>
      </c>
      <c r="D314" s="625">
        <v>28.81117873735009</v>
      </c>
      <c r="E314" s="593">
        <v>548.51682452791681</v>
      </c>
      <c r="F314" s="594">
        <v>0</v>
      </c>
      <c r="G314" s="595">
        <v>34.645442431663483</v>
      </c>
      <c r="H314" s="566">
        <v>611.97344569693041</v>
      </c>
      <c r="I314" s="596">
        <v>256.5395373404881</v>
      </c>
      <c r="J314" s="595">
        <v>15.389971308867841</v>
      </c>
      <c r="K314" s="626">
        <v>141.29482239108773</v>
      </c>
      <c r="L314" s="595">
        <v>8.4752884119038185</v>
      </c>
      <c r="M314" s="1057">
        <f t="shared" si="45"/>
        <v>397.83435973157583</v>
      </c>
      <c r="N314" s="1058">
        <f t="shared" si="45"/>
        <v>23.865259720771661</v>
      </c>
      <c r="O314" s="597">
        <v>0</v>
      </c>
      <c r="P314" s="595">
        <v>0</v>
      </c>
      <c r="Q314" s="570">
        <v>58.510702152435144</v>
      </c>
      <c r="R314" s="571">
        <v>1033.673065149278</v>
      </c>
      <c r="S314" s="1075">
        <f t="shared" si="46"/>
        <v>1033.673065149278</v>
      </c>
      <c r="T314" s="1075">
        <f t="shared" si="44"/>
        <v>0</v>
      </c>
    </row>
    <row r="315" spans="1:20" ht="15.75" x14ac:dyDescent="0.25">
      <c r="A315" s="685" t="s">
        <v>72</v>
      </c>
      <c r="B315" s="802"/>
      <c r="C315" s="802" t="s">
        <v>1032</v>
      </c>
      <c r="D315" s="625">
        <v>67.430162903206437</v>
      </c>
      <c r="E315" s="593">
        <v>623.75001500582232</v>
      </c>
      <c r="F315" s="594">
        <v>6.2184127441447279</v>
      </c>
      <c r="G315" s="595">
        <v>41.848237116001009</v>
      </c>
      <c r="H315" s="566">
        <v>739.2468277691745</v>
      </c>
      <c r="I315" s="596">
        <v>0</v>
      </c>
      <c r="J315" s="595">
        <v>0</v>
      </c>
      <c r="K315" s="626">
        <v>537.80866976386835</v>
      </c>
      <c r="L315" s="595">
        <v>32.244510870217646</v>
      </c>
      <c r="M315" s="1057">
        <f t="shared" si="45"/>
        <v>537.80866976386835</v>
      </c>
      <c r="N315" s="1058">
        <f t="shared" si="45"/>
        <v>32.244510870217646</v>
      </c>
      <c r="O315" s="597">
        <v>0</v>
      </c>
      <c r="P315" s="595">
        <v>0</v>
      </c>
      <c r="Q315" s="570">
        <v>74.092747986218654</v>
      </c>
      <c r="R315" s="571">
        <v>1309.3000084032606</v>
      </c>
      <c r="S315" s="1075">
        <f t="shared" si="46"/>
        <v>1309.3000084032606</v>
      </c>
      <c r="T315" s="1075">
        <f t="shared" si="44"/>
        <v>0</v>
      </c>
    </row>
    <row r="316" spans="1:20" ht="15.75" x14ac:dyDescent="0.25">
      <c r="A316" s="685" t="s">
        <v>69</v>
      </c>
      <c r="B316" s="802"/>
      <c r="C316" s="802" t="s">
        <v>1032</v>
      </c>
      <c r="D316" s="625">
        <v>0</v>
      </c>
      <c r="E316" s="593">
        <v>414.25673161186535</v>
      </c>
      <c r="F316" s="594">
        <v>0</v>
      </c>
      <c r="G316" s="595">
        <v>24.849641660964451</v>
      </c>
      <c r="H316" s="566">
        <v>439.10637327282979</v>
      </c>
      <c r="I316" s="596">
        <v>318.4595623101763</v>
      </c>
      <c r="J316" s="595">
        <v>19.111415229108893</v>
      </c>
      <c r="K316" s="626">
        <v>227.46425613137896</v>
      </c>
      <c r="L316" s="595">
        <v>13.649295926819605</v>
      </c>
      <c r="M316" s="1057">
        <f t="shared" si="45"/>
        <v>545.92381844155523</v>
      </c>
      <c r="N316" s="1058">
        <f t="shared" si="45"/>
        <v>32.760711155928497</v>
      </c>
      <c r="O316" s="597">
        <v>0</v>
      </c>
      <c r="P316" s="595">
        <v>0</v>
      </c>
      <c r="Q316" s="570">
        <v>57.610352816892949</v>
      </c>
      <c r="R316" s="571">
        <v>1017.7909028703135</v>
      </c>
      <c r="S316" s="1075">
        <f t="shared" si="46"/>
        <v>1017.7909028703134</v>
      </c>
      <c r="T316" s="1075">
        <f t="shared" si="44"/>
        <v>0</v>
      </c>
    </row>
    <row r="317" spans="1:20" ht="15.75" x14ac:dyDescent="0.25">
      <c r="A317" s="685" t="s">
        <v>70</v>
      </c>
      <c r="B317" s="802"/>
      <c r="C317" s="802" t="s">
        <v>1032</v>
      </c>
      <c r="D317" s="625">
        <v>0</v>
      </c>
      <c r="E317" s="593">
        <v>414.25673161186535</v>
      </c>
      <c r="F317" s="594">
        <v>0</v>
      </c>
      <c r="G317" s="595">
        <v>24.849641660964451</v>
      </c>
      <c r="H317" s="566">
        <v>439.10637327282979</v>
      </c>
      <c r="I317" s="596">
        <v>318.4595623101763</v>
      </c>
      <c r="J317" s="595">
        <v>19.111415229108893</v>
      </c>
      <c r="K317" s="626">
        <v>227.46425613137896</v>
      </c>
      <c r="L317" s="595">
        <v>13.649295926819605</v>
      </c>
      <c r="M317" s="1057">
        <f t="shared" si="45"/>
        <v>545.92381844155523</v>
      </c>
      <c r="N317" s="1058">
        <f t="shared" si="45"/>
        <v>32.760711155928497</v>
      </c>
      <c r="O317" s="597">
        <v>0</v>
      </c>
      <c r="P317" s="595">
        <v>0</v>
      </c>
      <c r="Q317" s="570">
        <v>57.610352816892949</v>
      </c>
      <c r="R317" s="571">
        <v>1017.7909028703135</v>
      </c>
      <c r="S317" s="1075">
        <f t="shared" si="46"/>
        <v>1017.7909028703134</v>
      </c>
      <c r="T317" s="1075">
        <f t="shared" si="44"/>
        <v>0</v>
      </c>
    </row>
    <row r="318" spans="1:20" ht="15.75" x14ac:dyDescent="0.25">
      <c r="A318" s="735" t="s">
        <v>216</v>
      </c>
      <c r="B318" s="802"/>
      <c r="C318" s="802" t="s">
        <v>1032</v>
      </c>
      <c r="D318" s="625">
        <v>0</v>
      </c>
      <c r="E318" s="593">
        <v>518.03699835536179</v>
      </c>
      <c r="F318" s="594">
        <v>0</v>
      </c>
      <c r="G318" s="595">
        <v>31.080059062916412</v>
      </c>
      <c r="H318" s="566">
        <v>549.11705741827825</v>
      </c>
      <c r="I318" s="596">
        <v>350.30791947275543</v>
      </c>
      <c r="J318" s="595">
        <v>21.020155820458339</v>
      </c>
      <c r="K318" s="626">
        <v>250.21308267607833</v>
      </c>
      <c r="L318" s="595">
        <v>15.017826916843735</v>
      </c>
      <c r="M318" s="1057">
        <f t="shared" si="45"/>
        <v>600.52100214883376</v>
      </c>
      <c r="N318" s="1058">
        <f t="shared" si="45"/>
        <v>36.037982737302073</v>
      </c>
      <c r="O318" s="597">
        <v>0</v>
      </c>
      <c r="P318" s="595">
        <v>0</v>
      </c>
      <c r="Q318" s="570">
        <v>67.118041800218478</v>
      </c>
      <c r="R318" s="571">
        <v>1185.6760423044138</v>
      </c>
      <c r="S318" s="1075">
        <f t="shared" si="46"/>
        <v>1185.6760423044143</v>
      </c>
      <c r="T318" s="1075">
        <f t="shared" si="44"/>
        <v>0</v>
      </c>
    </row>
    <row r="319" spans="1:20" ht="16.5" thickBot="1" x14ac:dyDescent="0.3">
      <c r="A319" s="736" t="s">
        <v>629</v>
      </c>
      <c r="B319" s="802"/>
      <c r="C319" s="807" t="s">
        <v>1032</v>
      </c>
      <c r="D319" s="625">
        <v>62.904406909881033</v>
      </c>
      <c r="E319" s="593">
        <v>581.86576391639949</v>
      </c>
      <c r="F319" s="594">
        <v>6.2184127441447279</v>
      </c>
      <c r="G319" s="595">
        <v>39.063156504723828</v>
      </c>
      <c r="H319" s="566">
        <v>690.05174007514904</v>
      </c>
      <c r="I319" s="596">
        <v>0</v>
      </c>
      <c r="J319" s="595">
        <v>0</v>
      </c>
      <c r="K319" s="626">
        <v>537.80866976386835</v>
      </c>
      <c r="L319" s="595">
        <v>32.268520185832102</v>
      </c>
      <c r="M319" s="1057">
        <f t="shared" si="45"/>
        <v>537.80866976386835</v>
      </c>
      <c r="N319" s="1058">
        <f t="shared" si="45"/>
        <v>32.268520185832102</v>
      </c>
      <c r="O319" s="597">
        <v>0</v>
      </c>
      <c r="P319" s="595">
        <v>0</v>
      </c>
      <c r="Q319" s="570">
        <v>71.331676690555923</v>
      </c>
      <c r="R319" s="571">
        <v>1260.1289300248495</v>
      </c>
      <c r="S319" s="1075">
        <f t="shared" si="46"/>
        <v>1260.1289300248495</v>
      </c>
      <c r="T319" s="1075">
        <f t="shared" si="44"/>
        <v>0</v>
      </c>
    </row>
    <row r="320" spans="1:20" ht="15.75" x14ac:dyDescent="0.25">
      <c r="A320" s="729" t="s">
        <v>935</v>
      </c>
      <c r="B320" s="803"/>
      <c r="C320" s="803" t="s">
        <v>1034</v>
      </c>
      <c r="D320" s="625" t="s">
        <v>5</v>
      </c>
      <c r="E320" s="593" t="s">
        <v>5</v>
      </c>
      <c r="F320" s="594" t="s">
        <v>5</v>
      </c>
      <c r="G320" s="595" t="s">
        <v>5</v>
      </c>
      <c r="H320" s="566" t="s">
        <v>5</v>
      </c>
      <c r="I320" s="596" t="s">
        <v>5</v>
      </c>
      <c r="J320" s="595" t="s">
        <v>5</v>
      </c>
      <c r="K320" s="626" t="s">
        <v>5</v>
      </c>
      <c r="L320" s="595" t="s">
        <v>5</v>
      </c>
      <c r="M320" s="1076" t="s">
        <v>5</v>
      </c>
      <c r="N320" s="1077" t="s">
        <v>5</v>
      </c>
      <c r="O320" s="597" t="s">
        <v>5</v>
      </c>
      <c r="P320" s="595" t="s">
        <v>5</v>
      </c>
      <c r="Q320" s="570" t="s">
        <v>5</v>
      </c>
      <c r="R320" s="571">
        <v>178.75853405923792</v>
      </c>
      <c r="S320" s="1075">
        <f>R320</f>
        <v>178.75853405923792</v>
      </c>
      <c r="T320" s="1075">
        <f t="shared" si="44"/>
        <v>0</v>
      </c>
    </row>
    <row r="321" spans="1:20" ht="15.75" x14ac:dyDescent="0.25">
      <c r="A321" s="632" t="s">
        <v>462</v>
      </c>
      <c r="B321" s="803"/>
      <c r="C321" s="803" t="s">
        <v>1034</v>
      </c>
      <c r="D321" s="625" t="s">
        <v>5</v>
      </c>
      <c r="E321" s="593" t="s">
        <v>5</v>
      </c>
      <c r="F321" s="594" t="s">
        <v>5</v>
      </c>
      <c r="G321" s="595" t="s">
        <v>5</v>
      </c>
      <c r="H321" s="566" t="s">
        <v>5</v>
      </c>
      <c r="I321" s="596" t="s">
        <v>5</v>
      </c>
      <c r="J321" s="595" t="s">
        <v>5</v>
      </c>
      <c r="K321" s="626" t="s">
        <v>5</v>
      </c>
      <c r="L321" s="595" t="s">
        <v>5</v>
      </c>
      <c r="M321" s="1076" t="s">
        <v>5</v>
      </c>
      <c r="N321" s="1077" t="s">
        <v>5</v>
      </c>
      <c r="O321" s="597" t="s">
        <v>5</v>
      </c>
      <c r="P321" s="595" t="s">
        <v>5</v>
      </c>
      <c r="Q321" s="570" t="s">
        <v>5</v>
      </c>
      <c r="R321" s="571">
        <v>146.75109383917169</v>
      </c>
      <c r="S321" s="1075">
        <f t="shared" ref="S321:S322" si="47">R321</f>
        <v>146.75109383917169</v>
      </c>
      <c r="T321" s="1075">
        <f t="shared" si="44"/>
        <v>0</v>
      </c>
    </row>
    <row r="322" spans="1:20" ht="16.5" thickBot="1" x14ac:dyDescent="0.3">
      <c r="A322" s="730" t="s">
        <v>933</v>
      </c>
      <c r="B322" s="803" t="s">
        <v>429</v>
      </c>
      <c r="C322" s="810" t="s">
        <v>1034</v>
      </c>
      <c r="D322" s="625" t="s">
        <v>5</v>
      </c>
      <c r="E322" s="593" t="s">
        <v>5</v>
      </c>
      <c r="F322" s="594" t="s">
        <v>5</v>
      </c>
      <c r="G322" s="595" t="s">
        <v>5</v>
      </c>
      <c r="H322" s="566" t="s">
        <v>5</v>
      </c>
      <c r="I322" s="596" t="s">
        <v>5</v>
      </c>
      <c r="J322" s="595" t="s">
        <v>5</v>
      </c>
      <c r="K322" s="626" t="s">
        <v>5</v>
      </c>
      <c r="L322" s="595" t="s">
        <v>5</v>
      </c>
      <c r="M322" s="1076" t="s">
        <v>5</v>
      </c>
      <c r="N322" s="1077" t="s">
        <v>5</v>
      </c>
      <c r="O322" s="597" t="s">
        <v>5</v>
      </c>
      <c r="P322" s="595" t="s">
        <v>5</v>
      </c>
      <c r="Q322" s="570" t="s">
        <v>5</v>
      </c>
      <c r="R322" s="571">
        <v>263.91040332394249</v>
      </c>
      <c r="S322" s="1075">
        <f t="shared" si="47"/>
        <v>263.91040332394249</v>
      </c>
      <c r="T322" s="1075">
        <f t="shared" si="44"/>
        <v>0</v>
      </c>
    </row>
    <row r="323" spans="1:20" ht="15.75" x14ac:dyDescent="0.25">
      <c r="A323" s="623" t="s">
        <v>73</v>
      </c>
      <c r="B323" s="802" t="s">
        <v>429</v>
      </c>
      <c r="C323" s="802" t="s">
        <v>1036</v>
      </c>
      <c r="D323" s="625">
        <v>143.36741582687893</v>
      </c>
      <c r="E323" s="593">
        <v>0</v>
      </c>
      <c r="F323" s="594">
        <v>0</v>
      </c>
      <c r="G323" s="595">
        <v>28.673483165375785</v>
      </c>
      <c r="H323" s="566">
        <v>172.04089899225471</v>
      </c>
      <c r="I323" s="596">
        <v>41.97915771643202</v>
      </c>
      <c r="J323" s="595">
        <v>8.3958315432864037</v>
      </c>
      <c r="K323" s="626">
        <v>35.473615731136995</v>
      </c>
      <c r="L323" s="595">
        <v>7.0947231462273992</v>
      </c>
      <c r="M323" s="1057">
        <f t="shared" si="45"/>
        <v>77.452773447569015</v>
      </c>
      <c r="N323" s="1058">
        <f t="shared" si="45"/>
        <v>15.490554689513804</v>
      </c>
      <c r="O323" s="597">
        <v>0</v>
      </c>
      <c r="P323" s="595">
        <v>0</v>
      </c>
      <c r="Q323" s="570">
        <v>44.164037854889592</v>
      </c>
      <c r="R323" s="571">
        <v>264.98422712933751</v>
      </c>
      <c r="S323" s="1075">
        <f t="shared" si="46"/>
        <v>264.98422712933757</v>
      </c>
      <c r="T323" s="1075">
        <f t="shared" si="44"/>
        <v>0</v>
      </c>
    </row>
    <row r="324" spans="1:20" ht="15.75" x14ac:dyDescent="0.25">
      <c r="A324" s="685" t="s">
        <v>74</v>
      </c>
      <c r="B324" s="802"/>
      <c r="C324" s="802" t="s">
        <v>1036</v>
      </c>
      <c r="D324" s="625">
        <v>157.97419877499416</v>
      </c>
      <c r="E324" s="593">
        <v>0</v>
      </c>
      <c r="F324" s="594">
        <v>0</v>
      </c>
      <c r="G324" s="595">
        <v>31.59483975499883</v>
      </c>
      <c r="H324" s="566">
        <v>189.56903852999301</v>
      </c>
      <c r="I324" s="596">
        <v>35.105377505554259</v>
      </c>
      <c r="J324" s="595">
        <v>7.0210755011108512</v>
      </c>
      <c r="K324" s="626">
        <v>68.369563883194843</v>
      </c>
      <c r="L324" s="595">
        <v>13.673912776638968</v>
      </c>
      <c r="M324" s="1057">
        <f t="shared" si="45"/>
        <v>103.4749413887491</v>
      </c>
      <c r="N324" s="1058">
        <f t="shared" si="45"/>
        <v>20.694988277749818</v>
      </c>
      <c r="O324" s="597">
        <v>0</v>
      </c>
      <c r="P324" s="595">
        <v>0</v>
      </c>
      <c r="Q324" s="570">
        <v>52.289828032748645</v>
      </c>
      <c r="R324" s="571">
        <v>313.73896819649195</v>
      </c>
      <c r="S324" s="1075">
        <f t="shared" si="46"/>
        <v>313.73896819649195</v>
      </c>
      <c r="T324" s="1075">
        <f t="shared" si="44"/>
        <v>0</v>
      </c>
    </row>
    <row r="325" spans="1:20" ht="15.75" x14ac:dyDescent="0.25">
      <c r="A325" s="685" t="s">
        <v>75</v>
      </c>
      <c r="B325" s="802"/>
      <c r="C325" s="802" t="s">
        <v>1036</v>
      </c>
      <c r="D325" s="625">
        <v>181.66419128748359</v>
      </c>
      <c r="E325" s="593">
        <v>0</v>
      </c>
      <c r="F325" s="594">
        <v>0</v>
      </c>
      <c r="G325" s="595">
        <v>36.332838257496718</v>
      </c>
      <c r="H325" s="566">
        <v>217.99702954498031</v>
      </c>
      <c r="I325" s="596">
        <v>14.72952902330948</v>
      </c>
      <c r="J325" s="595">
        <v>2.9459058046618956</v>
      </c>
      <c r="K325" s="626">
        <v>38.051283310216157</v>
      </c>
      <c r="L325" s="595">
        <v>7.6102566620432315</v>
      </c>
      <c r="M325" s="1057">
        <f t="shared" si="45"/>
        <v>52.780812333525638</v>
      </c>
      <c r="N325" s="1058">
        <f t="shared" si="45"/>
        <v>10.556162466705127</v>
      </c>
      <c r="O325" s="597">
        <v>0</v>
      </c>
      <c r="P325" s="595">
        <v>0</v>
      </c>
      <c r="Q325" s="570">
        <v>46.88900072420185</v>
      </c>
      <c r="R325" s="571">
        <v>281.3340043452111</v>
      </c>
      <c r="S325" s="1075">
        <f t="shared" si="46"/>
        <v>281.3340043452111</v>
      </c>
      <c r="T325" s="1075">
        <f t="shared" si="44"/>
        <v>0</v>
      </c>
    </row>
    <row r="326" spans="1:20" ht="15.75" x14ac:dyDescent="0.25">
      <c r="A326" s="685" t="s">
        <v>76</v>
      </c>
      <c r="B326" s="802"/>
      <c r="C326" s="802" t="s">
        <v>1036</v>
      </c>
      <c r="D326" s="625">
        <v>257.76675790791586</v>
      </c>
      <c r="E326" s="593">
        <v>0</v>
      </c>
      <c r="F326" s="594">
        <v>0</v>
      </c>
      <c r="G326" s="595">
        <v>51.553351581583179</v>
      </c>
      <c r="H326" s="566">
        <v>309.32010948949903</v>
      </c>
      <c r="I326" s="596">
        <v>9.8196860155396521</v>
      </c>
      <c r="J326" s="595">
        <v>1.9639372031079307</v>
      </c>
      <c r="K326" s="626">
        <v>20.866832783021763</v>
      </c>
      <c r="L326" s="595">
        <v>4.1733665566043525</v>
      </c>
      <c r="M326" s="1057">
        <f t="shared" si="45"/>
        <v>30.686518798561416</v>
      </c>
      <c r="N326" s="1058">
        <f t="shared" si="45"/>
        <v>6.1373037597122835</v>
      </c>
      <c r="O326" s="597">
        <v>0</v>
      </c>
      <c r="P326" s="595">
        <v>0</v>
      </c>
      <c r="Q326" s="570">
        <v>57.690655341295461</v>
      </c>
      <c r="R326" s="571">
        <v>346.14393204777281</v>
      </c>
      <c r="S326" s="1075">
        <f t="shared" si="46"/>
        <v>346.14393204777269</v>
      </c>
      <c r="T326" s="1075">
        <f t="shared" si="44"/>
        <v>0</v>
      </c>
    </row>
    <row r="327" spans="1:20" ht="16.5" thickBot="1" x14ac:dyDescent="0.3">
      <c r="A327" s="624" t="s">
        <v>77</v>
      </c>
      <c r="B327" s="802"/>
      <c r="C327" s="802" t="s">
        <v>1036</v>
      </c>
      <c r="D327" s="625">
        <v>222.17039610158466</v>
      </c>
      <c r="E327" s="593">
        <v>0</v>
      </c>
      <c r="F327" s="594">
        <v>0</v>
      </c>
      <c r="G327" s="595">
        <v>44.434079220316931</v>
      </c>
      <c r="H327" s="566">
        <v>266.60447532190159</v>
      </c>
      <c r="I327" s="596">
        <v>12.274607519424565</v>
      </c>
      <c r="J327" s="595">
        <v>2.454921503884913</v>
      </c>
      <c r="K327" s="626">
        <v>44.188587069928438</v>
      </c>
      <c r="L327" s="595">
        <v>8.837717413985688</v>
      </c>
      <c r="M327" s="1057">
        <f t="shared" si="45"/>
        <v>56.463194589353002</v>
      </c>
      <c r="N327" s="1058">
        <f t="shared" si="45"/>
        <v>11.292638917870601</v>
      </c>
      <c r="O327" s="597">
        <v>0</v>
      </c>
      <c r="P327" s="595">
        <v>0</v>
      </c>
      <c r="Q327" s="570">
        <v>55.726718138187529</v>
      </c>
      <c r="R327" s="571">
        <v>334.36030882912519</v>
      </c>
      <c r="S327" s="1075">
        <f t="shared" si="46"/>
        <v>334.36030882912519</v>
      </c>
      <c r="T327" s="1075">
        <f t="shared" si="44"/>
        <v>0</v>
      </c>
    </row>
    <row r="328" spans="1:20" ht="15.75" x14ac:dyDescent="0.25">
      <c r="A328" s="740" t="s">
        <v>548</v>
      </c>
      <c r="B328" s="806"/>
      <c r="C328" s="806" t="s">
        <v>1040</v>
      </c>
      <c r="D328" s="625">
        <v>148.76072487853753</v>
      </c>
      <c r="E328" s="593">
        <v>278.24648732893871</v>
      </c>
      <c r="F328" s="594">
        <v>0</v>
      </c>
      <c r="G328" s="595">
        <v>0</v>
      </c>
      <c r="H328" s="566">
        <v>427.00721220747624</v>
      </c>
      <c r="I328" s="596">
        <v>0</v>
      </c>
      <c r="J328" s="595">
        <v>0</v>
      </c>
      <c r="K328" s="626">
        <v>458.01890918343815</v>
      </c>
      <c r="L328" s="595">
        <v>0</v>
      </c>
      <c r="M328" s="1057">
        <f t="shared" si="45"/>
        <v>458.01890918343815</v>
      </c>
      <c r="N328" s="1058">
        <f t="shared" si="45"/>
        <v>0</v>
      </c>
      <c r="O328" s="597">
        <v>0</v>
      </c>
      <c r="P328" s="595">
        <v>0</v>
      </c>
      <c r="Q328" s="570">
        <v>0</v>
      </c>
      <c r="R328" s="571">
        <v>885.02612139091434</v>
      </c>
      <c r="S328" s="1075">
        <f t="shared" si="46"/>
        <v>885.02612139091434</v>
      </c>
      <c r="T328" s="1075">
        <f t="shared" si="44"/>
        <v>0</v>
      </c>
    </row>
    <row r="329" spans="1:20" ht="15.75" x14ac:dyDescent="0.25">
      <c r="A329" s="724" t="s">
        <v>940</v>
      </c>
      <c r="B329" s="724" t="s">
        <v>429</v>
      </c>
      <c r="C329" s="724" t="s">
        <v>1040</v>
      </c>
      <c r="D329" s="625">
        <v>87.214433957013028</v>
      </c>
      <c r="E329" s="593">
        <v>301.62453581851003</v>
      </c>
      <c r="F329" s="594">
        <v>0</v>
      </c>
      <c r="G329" s="595">
        <v>0</v>
      </c>
      <c r="H329" s="566">
        <v>388.83896977552308</v>
      </c>
      <c r="I329" s="596">
        <v>0</v>
      </c>
      <c r="J329" s="595">
        <v>0</v>
      </c>
      <c r="K329" s="626">
        <v>429.39272735947327</v>
      </c>
      <c r="L329" s="595">
        <v>0</v>
      </c>
      <c r="M329" s="1057">
        <f t="shared" si="45"/>
        <v>429.39272735947327</v>
      </c>
      <c r="N329" s="1058">
        <f t="shared" si="45"/>
        <v>0</v>
      </c>
      <c r="O329" s="597">
        <v>0</v>
      </c>
      <c r="P329" s="595">
        <v>0</v>
      </c>
      <c r="Q329" s="570">
        <v>0</v>
      </c>
      <c r="R329" s="571">
        <v>818.23169713499635</v>
      </c>
      <c r="S329" s="1075">
        <f t="shared" si="46"/>
        <v>818.23169713499635</v>
      </c>
      <c r="T329" s="1075">
        <f t="shared" si="44"/>
        <v>0</v>
      </c>
    </row>
    <row r="330" spans="1:20" ht="15.75" x14ac:dyDescent="0.25">
      <c r="A330" s="724" t="s">
        <v>549</v>
      </c>
      <c r="B330" s="724"/>
      <c r="C330" s="724" t="s">
        <v>1040</v>
      </c>
      <c r="D330" s="625">
        <v>142.60609578638508</v>
      </c>
      <c r="E330" s="593">
        <v>283.60594470375878</v>
      </c>
      <c r="F330" s="594">
        <v>0</v>
      </c>
      <c r="G330" s="595">
        <v>0</v>
      </c>
      <c r="H330" s="566">
        <v>426.21204049014386</v>
      </c>
      <c r="I330" s="596">
        <v>0</v>
      </c>
      <c r="J330" s="595">
        <v>0</v>
      </c>
      <c r="K330" s="626">
        <v>406.33274755683493</v>
      </c>
      <c r="L330" s="595">
        <v>0</v>
      </c>
      <c r="M330" s="1057">
        <f t="shared" si="45"/>
        <v>406.33274755683493</v>
      </c>
      <c r="N330" s="1058">
        <f t="shared" si="45"/>
        <v>0</v>
      </c>
      <c r="O330" s="597">
        <v>0</v>
      </c>
      <c r="P330" s="595">
        <v>0</v>
      </c>
      <c r="Q330" s="570">
        <v>0</v>
      </c>
      <c r="R330" s="571">
        <v>832.54478804697874</v>
      </c>
      <c r="S330" s="1075">
        <f t="shared" si="46"/>
        <v>832.54478804697874</v>
      </c>
      <c r="T330" s="1075">
        <f t="shared" si="44"/>
        <v>0</v>
      </c>
    </row>
    <row r="331" spans="1:20" ht="15.75" x14ac:dyDescent="0.25">
      <c r="A331" s="724" t="s">
        <v>722</v>
      </c>
      <c r="B331" s="724"/>
      <c r="C331" s="724" t="s">
        <v>1040</v>
      </c>
      <c r="D331" s="625">
        <v>190.84121215976592</v>
      </c>
      <c r="E331" s="593">
        <v>573.31880819663002</v>
      </c>
      <c r="F331" s="594">
        <v>0</v>
      </c>
      <c r="G331" s="595">
        <v>0</v>
      </c>
      <c r="H331" s="566">
        <v>764.16002035639599</v>
      </c>
      <c r="I331" s="596">
        <v>0</v>
      </c>
      <c r="J331" s="595">
        <v>0</v>
      </c>
      <c r="K331" s="626">
        <v>394.40517179684952</v>
      </c>
      <c r="L331" s="595">
        <v>0</v>
      </c>
      <c r="M331" s="1057">
        <f t="shared" si="45"/>
        <v>394.40517179684952</v>
      </c>
      <c r="N331" s="1058">
        <f t="shared" si="45"/>
        <v>0</v>
      </c>
      <c r="O331" s="597">
        <v>0</v>
      </c>
      <c r="P331" s="595">
        <v>0</v>
      </c>
      <c r="Q331" s="570">
        <v>0</v>
      </c>
      <c r="R331" s="571">
        <v>1158.5651921532456</v>
      </c>
      <c r="S331" s="1075">
        <f t="shared" si="46"/>
        <v>1158.5651921532456</v>
      </c>
      <c r="T331" s="1075">
        <f t="shared" si="44"/>
        <v>0</v>
      </c>
    </row>
    <row r="332" spans="1:20" ht="15.75" x14ac:dyDescent="0.25">
      <c r="A332" s="724" t="s">
        <v>723</v>
      </c>
      <c r="B332" s="724"/>
      <c r="C332" s="724" t="s">
        <v>1040</v>
      </c>
      <c r="D332" s="625">
        <v>489.8257778767325</v>
      </c>
      <c r="E332" s="593">
        <v>0</v>
      </c>
      <c r="F332" s="594">
        <v>0</v>
      </c>
      <c r="G332" s="595">
        <v>0</v>
      </c>
      <c r="H332" s="566">
        <v>489.8257778767325</v>
      </c>
      <c r="I332" s="596">
        <v>0</v>
      </c>
      <c r="J332" s="595">
        <v>0</v>
      </c>
      <c r="K332" s="626">
        <v>305.34593945562546</v>
      </c>
      <c r="L332" s="595">
        <v>0</v>
      </c>
      <c r="M332" s="1057">
        <f t="shared" si="45"/>
        <v>305.34593945562546</v>
      </c>
      <c r="N332" s="1058">
        <f t="shared" si="45"/>
        <v>0</v>
      </c>
      <c r="O332" s="597">
        <v>0</v>
      </c>
      <c r="P332" s="595">
        <v>0</v>
      </c>
      <c r="Q332" s="570">
        <v>0</v>
      </c>
      <c r="R332" s="571">
        <v>795.17171733235796</v>
      </c>
      <c r="S332" s="1075">
        <f t="shared" si="46"/>
        <v>795.17171733235796</v>
      </c>
      <c r="T332" s="1075">
        <f t="shared" si="44"/>
        <v>0</v>
      </c>
    </row>
    <row r="333" spans="1:20" ht="16.5" thickBot="1" x14ac:dyDescent="0.3">
      <c r="A333" s="743" t="s">
        <v>552</v>
      </c>
      <c r="B333" s="807"/>
      <c r="C333" s="807" t="s">
        <v>1040</v>
      </c>
      <c r="D333" s="625">
        <v>167.65400488235434</v>
      </c>
      <c r="E333" s="593">
        <v>166.31811639723597</v>
      </c>
      <c r="F333" s="594">
        <v>0</v>
      </c>
      <c r="G333" s="595">
        <v>0</v>
      </c>
      <c r="H333" s="566">
        <v>333.97212127959028</v>
      </c>
      <c r="I333" s="596">
        <v>0</v>
      </c>
      <c r="J333" s="595">
        <v>0</v>
      </c>
      <c r="K333" s="626">
        <v>337.15280814891975</v>
      </c>
      <c r="L333" s="595">
        <v>0</v>
      </c>
      <c r="M333" s="1057">
        <f t="shared" si="45"/>
        <v>337.15280814891975</v>
      </c>
      <c r="N333" s="1058">
        <f t="shared" si="45"/>
        <v>0</v>
      </c>
      <c r="O333" s="597">
        <v>0</v>
      </c>
      <c r="P333" s="595">
        <v>0</v>
      </c>
      <c r="Q333" s="570">
        <v>0</v>
      </c>
      <c r="R333" s="571">
        <v>671.12492942851009</v>
      </c>
      <c r="S333" s="1075">
        <f t="shared" si="46"/>
        <v>671.12492942851009</v>
      </c>
      <c r="T333" s="1075">
        <f t="shared" si="44"/>
        <v>0</v>
      </c>
    </row>
    <row r="334" spans="1:20" ht="15.75" x14ac:dyDescent="0.25">
      <c r="A334" s="623" t="s">
        <v>78</v>
      </c>
      <c r="B334" s="802" t="s">
        <v>429</v>
      </c>
      <c r="C334" s="802" t="s">
        <v>1044</v>
      </c>
      <c r="D334" s="686">
        <v>125.19686977064671</v>
      </c>
      <c r="E334" s="593">
        <v>0</v>
      </c>
      <c r="F334" s="594">
        <v>0</v>
      </c>
      <c r="G334" s="595">
        <v>0</v>
      </c>
      <c r="H334" s="566">
        <v>125.19686977064671</v>
      </c>
      <c r="I334" s="596">
        <v>0</v>
      </c>
      <c r="J334" s="595">
        <v>0</v>
      </c>
      <c r="K334" s="626">
        <v>41.834826262427406</v>
      </c>
      <c r="L334" s="595">
        <v>0</v>
      </c>
      <c r="M334" s="1057">
        <f t="shared" si="45"/>
        <v>41.834826262427406</v>
      </c>
      <c r="N334" s="1058">
        <f t="shared" si="45"/>
        <v>0</v>
      </c>
      <c r="O334" s="597">
        <v>48.294615611772812</v>
      </c>
      <c r="P334" s="595">
        <v>0</v>
      </c>
      <c r="Q334" s="570">
        <v>0</v>
      </c>
      <c r="R334" s="571">
        <v>215.32631164484695</v>
      </c>
      <c r="S334" s="1075">
        <f t="shared" si="46"/>
        <v>215.32631164484695</v>
      </c>
      <c r="T334" s="1075">
        <f t="shared" si="44"/>
        <v>0</v>
      </c>
    </row>
    <row r="335" spans="1:20" ht="15.75" x14ac:dyDescent="0.25">
      <c r="A335" s="685" t="s">
        <v>79</v>
      </c>
      <c r="B335" s="802"/>
      <c r="C335" s="802" t="s">
        <v>1044</v>
      </c>
      <c r="D335" s="686">
        <v>101.51097548971356</v>
      </c>
      <c r="E335" s="593">
        <v>0</v>
      </c>
      <c r="F335" s="594">
        <v>0</v>
      </c>
      <c r="G335" s="595">
        <v>0</v>
      </c>
      <c r="H335" s="566">
        <v>101.51097548971356</v>
      </c>
      <c r="I335" s="596">
        <v>0</v>
      </c>
      <c r="J335" s="595">
        <v>0</v>
      </c>
      <c r="K335" s="626">
        <v>52.293532828034259</v>
      </c>
      <c r="L335" s="595">
        <v>0</v>
      </c>
      <c r="M335" s="1057">
        <f t="shared" si="45"/>
        <v>52.293532828034259</v>
      </c>
      <c r="N335" s="1058">
        <f t="shared" si="45"/>
        <v>0</v>
      </c>
      <c r="O335" s="597">
        <v>0</v>
      </c>
      <c r="P335" s="595">
        <v>0</v>
      </c>
      <c r="Q335" s="570">
        <v>0</v>
      </c>
      <c r="R335" s="571">
        <v>153.80450831774783</v>
      </c>
      <c r="S335" s="1075">
        <f t="shared" si="46"/>
        <v>153.80450831774783</v>
      </c>
      <c r="T335" s="1075">
        <f t="shared" si="44"/>
        <v>0</v>
      </c>
    </row>
    <row r="336" spans="1:20" ht="15.75" x14ac:dyDescent="0.25">
      <c r="A336" s="685" t="s">
        <v>80</v>
      </c>
      <c r="B336" s="802"/>
      <c r="C336" s="802" t="s">
        <v>1044</v>
      </c>
      <c r="D336" s="686">
        <v>120.27512550447879</v>
      </c>
      <c r="E336" s="593">
        <v>0</v>
      </c>
      <c r="F336" s="594">
        <v>42.757653312333893</v>
      </c>
      <c r="G336" s="595">
        <v>0</v>
      </c>
      <c r="H336" s="566">
        <v>163.03277881681268</v>
      </c>
      <c r="I336" s="596">
        <v>0</v>
      </c>
      <c r="J336" s="595">
        <v>0</v>
      </c>
      <c r="K336" s="626">
        <v>27.684811497194605</v>
      </c>
      <c r="L336" s="595">
        <v>0</v>
      </c>
      <c r="M336" s="1057">
        <f t="shared" si="45"/>
        <v>27.684811497194605</v>
      </c>
      <c r="N336" s="1058">
        <f t="shared" si="45"/>
        <v>0</v>
      </c>
      <c r="O336" s="597">
        <v>0</v>
      </c>
      <c r="P336" s="595">
        <v>0</v>
      </c>
      <c r="Q336" s="570">
        <v>0</v>
      </c>
      <c r="R336" s="571">
        <v>190.71759031400728</v>
      </c>
      <c r="S336" s="1075">
        <f t="shared" si="46"/>
        <v>190.71759031400728</v>
      </c>
      <c r="T336" s="1075">
        <f t="shared" si="44"/>
        <v>0</v>
      </c>
    </row>
    <row r="337" spans="1:20" ht="15.75" x14ac:dyDescent="0.25">
      <c r="A337" s="624" t="s">
        <v>81</v>
      </c>
      <c r="B337" s="802"/>
      <c r="C337" s="802" t="s">
        <v>1044</v>
      </c>
      <c r="D337" s="686">
        <v>123.35121567083374</v>
      </c>
      <c r="E337" s="593">
        <v>0</v>
      </c>
      <c r="F337" s="594">
        <v>0</v>
      </c>
      <c r="G337" s="595">
        <v>0</v>
      </c>
      <c r="H337" s="566">
        <v>123.35121567083374</v>
      </c>
      <c r="I337" s="596">
        <v>0</v>
      </c>
      <c r="J337" s="595">
        <v>0</v>
      </c>
      <c r="K337" s="626">
        <v>27.684811497194605</v>
      </c>
      <c r="L337" s="595">
        <v>0</v>
      </c>
      <c r="M337" s="1057">
        <f t="shared" si="45"/>
        <v>27.684811497194605</v>
      </c>
      <c r="N337" s="1058">
        <f t="shared" si="45"/>
        <v>0</v>
      </c>
      <c r="O337" s="597">
        <v>0</v>
      </c>
      <c r="P337" s="595">
        <v>0</v>
      </c>
      <c r="Q337" s="570">
        <v>0</v>
      </c>
      <c r="R337" s="571">
        <v>151.03602716802834</v>
      </c>
      <c r="S337" s="1075">
        <f t="shared" si="46"/>
        <v>151.03602716802834</v>
      </c>
      <c r="T337" s="1075">
        <f t="shared" si="44"/>
        <v>0</v>
      </c>
    </row>
    <row r="338" spans="1:20" ht="16.5" thickBot="1" x14ac:dyDescent="0.3">
      <c r="A338" s="684" t="s">
        <v>468</v>
      </c>
      <c r="B338" s="802"/>
      <c r="C338" s="802" t="s">
        <v>1044</v>
      </c>
      <c r="D338" s="686">
        <v>91.359877940742194</v>
      </c>
      <c r="E338" s="593">
        <v>0</v>
      </c>
      <c r="F338" s="594">
        <v>0</v>
      </c>
      <c r="G338" s="595">
        <v>0</v>
      </c>
      <c r="H338" s="566">
        <v>91.359877940742194</v>
      </c>
      <c r="I338" s="596">
        <v>0</v>
      </c>
      <c r="J338" s="595">
        <v>0</v>
      </c>
      <c r="K338" s="626">
        <v>36.913081996259471</v>
      </c>
      <c r="L338" s="595">
        <v>0</v>
      </c>
      <c r="M338" s="1057">
        <f t="shared" si="45"/>
        <v>36.913081996259471</v>
      </c>
      <c r="N338" s="1058">
        <f t="shared" si="45"/>
        <v>0</v>
      </c>
      <c r="O338" s="597">
        <v>0</v>
      </c>
      <c r="P338" s="595">
        <v>0</v>
      </c>
      <c r="Q338" s="570">
        <v>0</v>
      </c>
      <c r="R338" s="571">
        <v>128.27295993700167</v>
      </c>
      <c r="S338" s="1075">
        <f t="shared" si="46"/>
        <v>128.27295993700167</v>
      </c>
      <c r="T338" s="1075">
        <f t="shared" si="44"/>
        <v>0</v>
      </c>
    </row>
    <row r="339" spans="1:20" ht="16.5" thickBot="1" x14ac:dyDescent="0.3">
      <c r="A339" s="685" t="s">
        <v>84</v>
      </c>
      <c r="B339" s="802" t="s">
        <v>429</v>
      </c>
      <c r="C339" s="812" t="s">
        <v>1046</v>
      </c>
      <c r="D339" s="625">
        <v>0</v>
      </c>
      <c r="E339" s="593">
        <v>113.95744452081885</v>
      </c>
      <c r="F339" s="594">
        <v>0</v>
      </c>
      <c r="G339" s="595">
        <v>0</v>
      </c>
      <c r="H339" s="566">
        <v>113.95744452081885</v>
      </c>
      <c r="I339" s="596">
        <v>0</v>
      </c>
      <c r="J339" s="595">
        <v>0</v>
      </c>
      <c r="K339" s="626">
        <v>74.75305252297953</v>
      </c>
      <c r="L339" s="595">
        <v>0</v>
      </c>
      <c r="M339" s="1057">
        <f t="shared" si="45"/>
        <v>74.75305252297953</v>
      </c>
      <c r="N339" s="1058">
        <f t="shared" si="45"/>
        <v>0</v>
      </c>
      <c r="O339" s="597">
        <v>0</v>
      </c>
      <c r="P339" s="595">
        <v>0</v>
      </c>
      <c r="Q339" s="570">
        <v>0</v>
      </c>
      <c r="R339" s="571">
        <v>188.7104970437984</v>
      </c>
      <c r="S339" s="1075">
        <f t="shared" si="46"/>
        <v>188.7104970437984</v>
      </c>
      <c r="T339" s="1075">
        <f t="shared" si="44"/>
        <v>0</v>
      </c>
    </row>
    <row r="340" spans="1:20" ht="15.75" x14ac:dyDescent="0.25">
      <c r="A340" s="623" t="s">
        <v>82</v>
      </c>
      <c r="B340" s="802" t="s">
        <v>429</v>
      </c>
      <c r="C340" s="802" t="s">
        <v>1048</v>
      </c>
      <c r="D340" s="625">
        <v>27.510121600805885</v>
      </c>
      <c r="E340" s="593">
        <v>52.525452762322999</v>
      </c>
      <c r="F340" s="594">
        <v>3.3713384314713095</v>
      </c>
      <c r="G340" s="595">
        <v>0</v>
      </c>
      <c r="H340" s="566">
        <v>83.406912794600203</v>
      </c>
      <c r="I340" s="596">
        <v>0</v>
      </c>
      <c r="J340" s="595">
        <v>0</v>
      </c>
      <c r="K340" s="626">
        <v>33.713384314713096</v>
      </c>
      <c r="L340" s="595">
        <v>0</v>
      </c>
      <c r="M340" s="1057">
        <f t="shared" si="45"/>
        <v>33.713384314713096</v>
      </c>
      <c r="N340" s="1058">
        <f t="shared" si="45"/>
        <v>0</v>
      </c>
      <c r="O340" s="597">
        <v>0</v>
      </c>
      <c r="P340" s="595">
        <v>3.9950360412935018</v>
      </c>
      <c r="Q340" s="570">
        <v>3.9950360412935018</v>
      </c>
      <c r="R340" s="571">
        <v>121.1153331506068</v>
      </c>
      <c r="S340" s="1075">
        <f t="shared" si="46"/>
        <v>121.1153331506068</v>
      </c>
      <c r="T340" s="1075">
        <f t="shared" si="44"/>
        <v>0</v>
      </c>
    </row>
    <row r="341" spans="1:20" ht="16.5" thickBot="1" x14ac:dyDescent="0.3">
      <c r="A341" s="624" t="s">
        <v>83</v>
      </c>
      <c r="B341" s="802"/>
      <c r="C341" s="802" t="s">
        <v>1048</v>
      </c>
      <c r="D341" s="625">
        <v>14.442813840423089</v>
      </c>
      <c r="E341" s="593">
        <v>77.675637461098972</v>
      </c>
      <c r="F341" s="594">
        <v>3.3713384314713095</v>
      </c>
      <c r="G341" s="595">
        <v>0</v>
      </c>
      <c r="H341" s="566">
        <v>95.489789732993373</v>
      </c>
      <c r="I341" s="596">
        <v>0</v>
      </c>
      <c r="J341" s="595">
        <v>0</v>
      </c>
      <c r="K341" s="626">
        <v>33.713384314713096</v>
      </c>
      <c r="L341" s="595">
        <v>0</v>
      </c>
      <c r="M341" s="1057">
        <f t="shared" si="45"/>
        <v>33.713384314713096</v>
      </c>
      <c r="N341" s="1058">
        <f t="shared" si="45"/>
        <v>0</v>
      </c>
      <c r="O341" s="597">
        <v>0</v>
      </c>
      <c r="P341" s="595">
        <v>4.6018769589583375</v>
      </c>
      <c r="Q341" s="570">
        <v>4.6018769589583375</v>
      </c>
      <c r="R341" s="571">
        <v>133.8050510066648</v>
      </c>
      <c r="S341" s="1075">
        <f t="shared" si="46"/>
        <v>133.8050510066648</v>
      </c>
      <c r="T341" s="1075">
        <f t="shared" si="44"/>
        <v>0</v>
      </c>
    </row>
    <row r="342" spans="1:20" ht="15.75" x14ac:dyDescent="0.25">
      <c r="A342" s="638" t="s">
        <v>85</v>
      </c>
      <c r="B342" s="693"/>
      <c r="C342" s="806" t="s">
        <v>1050</v>
      </c>
      <c r="D342" s="625">
        <v>79.230741527712752</v>
      </c>
      <c r="E342" s="593">
        <v>273.70619800482586</v>
      </c>
      <c r="F342" s="594">
        <v>0</v>
      </c>
      <c r="G342" s="595">
        <v>17.646846976626929</v>
      </c>
      <c r="H342" s="566">
        <v>370.58378650916558</v>
      </c>
      <c r="I342" s="596">
        <v>120.04657807229205</v>
      </c>
      <c r="J342" s="595">
        <v>0</v>
      </c>
      <c r="K342" s="626">
        <v>107.56173395277366</v>
      </c>
      <c r="L342" s="595">
        <v>0</v>
      </c>
      <c r="M342" s="1057">
        <f t="shared" si="45"/>
        <v>227.60831202506571</v>
      </c>
      <c r="N342" s="1058">
        <f t="shared" si="45"/>
        <v>0</v>
      </c>
      <c r="O342" s="597">
        <v>30.731923986506764</v>
      </c>
      <c r="P342" s="595">
        <v>0</v>
      </c>
      <c r="Q342" s="570">
        <v>17.646846976626929</v>
      </c>
      <c r="R342" s="571">
        <v>628.92402252073805</v>
      </c>
      <c r="S342" s="1075">
        <f t="shared" si="46"/>
        <v>628.92402252073805</v>
      </c>
      <c r="T342" s="1075">
        <f t="shared" si="44"/>
        <v>0</v>
      </c>
    </row>
    <row r="343" spans="1:20" ht="15.75" x14ac:dyDescent="0.25">
      <c r="A343" s="639" t="s">
        <v>878</v>
      </c>
      <c r="B343" s="639" t="s">
        <v>429</v>
      </c>
      <c r="C343" s="724" t="s">
        <v>1050</v>
      </c>
      <c r="D343" s="625">
        <v>50.419562790362662</v>
      </c>
      <c r="E343" s="593">
        <v>264.10247175904249</v>
      </c>
      <c r="F343" s="594">
        <v>0</v>
      </c>
      <c r="G343" s="595">
        <v>15.726101727470258</v>
      </c>
      <c r="H343" s="566">
        <v>330.24813627687541</v>
      </c>
      <c r="I343" s="596">
        <v>132.05123587952124</v>
      </c>
      <c r="J343" s="595">
        <v>0</v>
      </c>
      <c r="K343" s="626">
        <v>131.4510029891598</v>
      </c>
      <c r="L343" s="595">
        <v>0</v>
      </c>
      <c r="M343" s="1057">
        <f t="shared" si="45"/>
        <v>263.50223886868105</v>
      </c>
      <c r="N343" s="1058">
        <f t="shared" si="45"/>
        <v>0</v>
      </c>
      <c r="O343" s="597">
        <v>0</v>
      </c>
      <c r="P343" s="595">
        <v>0</v>
      </c>
      <c r="Q343" s="570">
        <v>15.726101727470258</v>
      </c>
      <c r="R343" s="571">
        <v>593.75037514555652</v>
      </c>
      <c r="S343" s="1075">
        <f t="shared" si="46"/>
        <v>593.75037514555652</v>
      </c>
      <c r="T343" s="1075">
        <f t="shared" si="44"/>
        <v>0</v>
      </c>
    </row>
    <row r="344" spans="1:20" ht="15.75" x14ac:dyDescent="0.25">
      <c r="A344" s="639" t="s">
        <v>879</v>
      </c>
      <c r="B344" s="639"/>
      <c r="C344" s="724" t="s">
        <v>1050</v>
      </c>
      <c r="D344" s="625">
        <v>79.230741527712752</v>
      </c>
      <c r="E344" s="593">
        <v>264.10247175904249</v>
      </c>
      <c r="F344" s="594">
        <v>0</v>
      </c>
      <c r="G344" s="595">
        <v>17.166660664337762</v>
      </c>
      <c r="H344" s="566">
        <v>360.49987395109304</v>
      </c>
      <c r="I344" s="596">
        <v>153.65961993253381</v>
      </c>
      <c r="J344" s="595">
        <v>0</v>
      </c>
      <c r="K344" s="626">
        <v>188.53315086253468</v>
      </c>
      <c r="L344" s="595">
        <v>0</v>
      </c>
      <c r="M344" s="1057">
        <f t="shared" si="45"/>
        <v>342.1927707950685</v>
      </c>
      <c r="N344" s="1058">
        <f t="shared" si="45"/>
        <v>0</v>
      </c>
      <c r="O344" s="597">
        <v>43.216768106025135</v>
      </c>
      <c r="P344" s="595">
        <v>0</v>
      </c>
      <c r="Q344" s="570">
        <v>17.166660664337762</v>
      </c>
      <c r="R344" s="571">
        <v>745.90941285218662</v>
      </c>
      <c r="S344" s="1075">
        <f t="shared" si="46"/>
        <v>745.90941285218662</v>
      </c>
      <c r="T344" s="1075">
        <f t="shared" si="44"/>
        <v>0</v>
      </c>
    </row>
    <row r="345" spans="1:20" ht="16.5" thickBot="1" x14ac:dyDescent="0.3">
      <c r="A345" s="640" t="s">
        <v>86</v>
      </c>
      <c r="B345" s="652"/>
      <c r="C345" s="807" t="s">
        <v>1050</v>
      </c>
      <c r="D345" s="625">
        <v>57.622357474700181</v>
      </c>
      <c r="E345" s="593">
        <v>250.41716185880119</v>
      </c>
      <c r="F345" s="594">
        <v>0</v>
      </c>
      <c r="G345" s="595">
        <v>15.401975966675069</v>
      </c>
      <c r="H345" s="566">
        <v>323.44149530017648</v>
      </c>
      <c r="I345" s="596">
        <v>102.56779630496632</v>
      </c>
      <c r="J345" s="595">
        <v>0</v>
      </c>
      <c r="K345" s="626">
        <v>189.07336046385998</v>
      </c>
      <c r="L345" s="595">
        <v>0</v>
      </c>
      <c r="M345" s="1057">
        <f t="shared" si="45"/>
        <v>291.64115676882631</v>
      </c>
      <c r="N345" s="1058">
        <f t="shared" si="45"/>
        <v>0</v>
      </c>
      <c r="O345" s="597">
        <v>42.016302325302213</v>
      </c>
      <c r="P345" s="595">
        <v>0</v>
      </c>
      <c r="Q345" s="570">
        <v>15.401975966675069</v>
      </c>
      <c r="R345" s="571">
        <v>657.09895439430511</v>
      </c>
      <c r="S345" s="1075">
        <f t="shared" si="46"/>
        <v>657.098954394305</v>
      </c>
      <c r="T345" s="1075">
        <f t="shared" si="44"/>
        <v>0</v>
      </c>
    </row>
    <row r="346" spans="1:20" ht="15.75" x14ac:dyDescent="0.25">
      <c r="A346" s="693" t="s">
        <v>911</v>
      </c>
      <c r="B346" s="693" t="s">
        <v>429</v>
      </c>
      <c r="C346" s="806" t="s">
        <v>1052</v>
      </c>
      <c r="D346" s="625">
        <v>0</v>
      </c>
      <c r="E346" s="593">
        <v>379.49790086992158</v>
      </c>
      <c r="F346" s="594">
        <v>0</v>
      </c>
      <c r="G346" s="595">
        <v>56.966987348816566</v>
      </c>
      <c r="H346" s="566">
        <v>436.46488821873817</v>
      </c>
      <c r="I346" s="596">
        <v>0</v>
      </c>
      <c r="J346" s="595">
        <v>0</v>
      </c>
      <c r="K346" s="626">
        <v>318.77071633636467</v>
      </c>
      <c r="L346" s="595">
        <v>47.754504246202664</v>
      </c>
      <c r="M346" s="1057">
        <f t="shared" si="45"/>
        <v>318.77071633636467</v>
      </c>
      <c r="N346" s="1058">
        <f t="shared" si="45"/>
        <v>47.754504246202664</v>
      </c>
      <c r="O346" s="597">
        <v>0</v>
      </c>
      <c r="P346" s="595">
        <v>0</v>
      </c>
      <c r="Q346" s="570">
        <v>104.72149159501923</v>
      </c>
      <c r="R346" s="571">
        <v>802.9901088013055</v>
      </c>
      <c r="S346" s="1075">
        <f t="shared" si="46"/>
        <v>802.9901088013055</v>
      </c>
      <c r="T346" s="1075">
        <f t="shared" si="44"/>
        <v>0</v>
      </c>
    </row>
    <row r="347" spans="1:20" ht="15.75" x14ac:dyDescent="0.25">
      <c r="A347" s="639" t="s">
        <v>912</v>
      </c>
      <c r="B347" s="639"/>
      <c r="C347" s="724" t="s">
        <v>1052</v>
      </c>
      <c r="D347" s="625">
        <v>0</v>
      </c>
      <c r="E347" s="593">
        <v>303.07189309007362</v>
      </c>
      <c r="F347" s="594">
        <v>0</v>
      </c>
      <c r="G347" s="595">
        <v>45.498385935358449</v>
      </c>
      <c r="H347" s="566">
        <v>348.57027902543206</v>
      </c>
      <c r="I347" s="596">
        <v>0</v>
      </c>
      <c r="J347" s="595">
        <v>0</v>
      </c>
      <c r="K347" s="626">
        <v>316.04457337742787</v>
      </c>
      <c r="L347" s="595">
        <v>47.378484527728631</v>
      </c>
      <c r="M347" s="1057">
        <f t="shared" si="45"/>
        <v>316.04457337742787</v>
      </c>
      <c r="N347" s="1058">
        <f t="shared" si="45"/>
        <v>47.378484527728631</v>
      </c>
      <c r="O347" s="597">
        <v>0</v>
      </c>
      <c r="P347" s="595">
        <v>0</v>
      </c>
      <c r="Q347" s="570">
        <v>92.876870463087073</v>
      </c>
      <c r="R347" s="571">
        <v>711.99333693058861</v>
      </c>
      <c r="S347" s="1075">
        <f t="shared" si="46"/>
        <v>711.99333693058861</v>
      </c>
      <c r="T347" s="1075">
        <f t="shared" si="44"/>
        <v>0</v>
      </c>
    </row>
    <row r="348" spans="1:20" ht="15.75" x14ac:dyDescent="0.25">
      <c r="A348" s="639" t="s">
        <v>913</v>
      </c>
      <c r="B348" s="639"/>
      <c r="C348" s="724" t="s">
        <v>1052</v>
      </c>
      <c r="D348" s="625">
        <v>0</v>
      </c>
      <c r="E348" s="593">
        <v>305.04599661206231</v>
      </c>
      <c r="F348" s="594">
        <v>0</v>
      </c>
      <c r="G348" s="595">
        <v>45.780400724213976</v>
      </c>
      <c r="H348" s="566">
        <v>350.82639733627627</v>
      </c>
      <c r="I348" s="596">
        <v>0</v>
      </c>
      <c r="J348" s="595">
        <v>0</v>
      </c>
      <c r="K348" s="626">
        <v>321.2148445064459</v>
      </c>
      <c r="L348" s="595">
        <v>48.224528894295212</v>
      </c>
      <c r="M348" s="1057">
        <f t="shared" si="45"/>
        <v>321.2148445064459</v>
      </c>
      <c r="N348" s="1058">
        <f t="shared" si="45"/>
        <v>48.224528894295212</v>
      </c>
      <c r="O348" s="597">
        <v>0</v>
      </c>
      <c r="P348" s="595">
        <v>0</v>
      </c>
      <c r="Q348" s="570">
        <v>94.004929618509181</v>
      </c>
      <c r="R348" s="571">
        <v>720.26577073701742</v>
      </c>
      <c r="S348" s="1075">
        <f t="shared" si="46"/>
        <v>720.26577073701742</v>
      </c>
      <c r="T348" s="1075">
        <f t="shared" si="44"/>
        <v>0</v>
      </c>
    </row>
    <row r="349" spans="1:20" ht="15.75" x14ac:dyDescent="0.25">
      <c r="A349" s="639" t="s">
        <v>914</v>
      </c>
      <c r="B349" s="639"/>
      <c r="C349" s="724" t="s">
        <v>1052</v>
      </c>
      <c r="D349" s="625">
        <v>0</v>
      </c>
      <c r="E349" s="593">
        <v>423.58621286100242</v>
      </c>
      <c r="F349" s="594">
        <v>0</v>
      </c>
      <c r="G349" s="595">
        <v>63.547332422112213</v>
      </c>
      <c r="H349" s="566">
        <v>487.13354528311464</v>
      </c>
      <c r="I349" s="596">
        <v>0</v>
      </c>
      <c r="J349" s="595">
        <v>0</v>
      </c>
      <c r="K349" s="626">
        <v>280.51070998163141</v>
      </c>
      <c r="L349" s="595">
        <v>42.114208469092112</v>
      </c>
      <c r="M349" s="1057">
        <f t="shared" si="45"/>
        <v>280.51070998163141</v>
      </c>
      <c r="N349" s="1058">
        <f t="shared" si="45"/>
        <v>42.114208469092112</v>
      </c>
      <c r="O349" s="597">
        <v>0</v>
      </c>
      <c r="P349" s="595">
        <v>0</v>
      </c>
      <c r="Q349" s="570">
        <v>105.66154089120433</v>
      </c>
      <c r="R349" s="571">
        <v>809.7584637338382</v>
      </c>
      <c r="S349" s="1075">
        <f t="shared" si="46"/>
        <v>809.7584637338382</v>
      </c>
      <c r="T349" s="1075">
        <f t="shared" si="44"/>
        <v>0</v>
      </c>
    </row>
    <row r="350" spans="1:20" ht="16.5" thickBot="1" x14ac:dyDescent="0.3">
      <c r="A350" s="652" t="s">
        <v>915</v>
      </c>
      <c r="B350" s="652"/>
      <c r="C350" s="807" t="s">
        <v>1052</v>
      </c>
      <c r="D350" s="625">
        <v>0</v>
      </c>
      <c r="E350" s="593">
        <v>408.54542412204091</v>
      </c>
      <c r="F350" s="594">
        <v>0</v>
      </c>
      <c r="G350" s="595">
        <v>61.29121411126799</v>
      </c>
      <c r="H350" s="566">
        <v>469.83663823330892</v>
      </c>
      <c r="I350" s="596">
        <v>0</v>
      </c>
      <c r="J350" s="595">
        <v>0</v>
      </c>
      <c r="K350" s="626">
        <v>395.00871425697562</v>
      </c>
      <c r="L350" s="595">
        <v>59.223105659660789</v>
      </c>
      <c r="M350" s="1057">
        <f t="shared" si="45"/>
        <v>395.00871425697562</v>
      </c>
      <c r="N350" s="1058">
        <f t="shared" si="45"/>
        <v>59.223105659660789</v>
      </c>
      <c r="O350" s="597">
        <v>0</v>
      </c>
      <c r="P350" s="595">
        <v>0</v>
      </c>
      <c r="Q350" s="570">
        <v>120.51431977092878</v>
      </c>
      <c r="R350" s="571">
        <v>924.06845814994529</v>
      </c>
      <c r="S350" s="1075">
        <f t="shared" si="46"/>
        <v>924.06845814994529</v>
      </c>
      <c r="T350" s="1075">
        <f t="shared" si="44"/>
        <v>0</v>
      </c>
    </row>
    <row r="351" spans="1:20" ht="15.75" x14ac:dyDescent="0.25">
      <c r="A351" s="641" t="s">
        <v>87</v>
      </c>
      <c r="B351" s="1046"/>
      <c r="C351" s="802" t="s">
        <v>1054</v>
      </c>
      <c r="D351" s="625">
        <v>88.720674947692842</v>
      </c>
      <c r="E351" s="593">
        <v>264.03427609796671</v>
      </c>
      <c r="F351" s="594">
        <v>210.51817129666944</v>
      </c>
      <c r="G351" s="595">
        <v>140.81828058558224</v>
      </c>
      <c r="H351" s="566">
        <v>704.09140292791119</v>
      </c>
      <c r="I351" s="596">
        <v>0</v>
      </c>
      <c r="J351" s="595">
        <v>800.09155767327456</v>
      </c>
      <c r="K351" s="626">
        <v>18.382459613072115</v>
      </c>
      <c r="L351" s="595">
        <v>204.61850432158667</v>
      </c>
      <c r="M351" s="1057">
        <f t="shared" si="45"/>
        <v>18.382459613072115</v>
      </c>
      <c r="N351" s="1058">
        <f t="shared" si="45"/>
        <v>1004.7100619948612</v>
      </c>
      <c r="O351" s="597">
        <v>0</v>
      </c>
      <c r="P351" s="595">
        <v>0</v>
      </c>
      <c r="Q351" s="570">
        <v>1145.5283425804435</v>
      </c>
      <c r="R351" s="571">
        <v>1727.1839245358444</v>
      </c>
      <c r="S351" s="1075">
        <f t="shared" si="46"/>
        <v>1727.1839245358447</v>
      </c>
      <c r="T351" s="1075">
        <f t="shared" si="44"/>
        <v>0</v>
      </c>
    </row>
    <row r="352" spans="1:20" ht="15.75" x14ac:dyDescent="0.25">
      <c r="A352" s="641" t="s">
        <v>213</v>
      </c>
      <c r="B352" s="1046"/>
      <c r="C352" s="802" t="s">
        <v>1054</v>
      </c>
      <c r="D352" s="625">
        <v>61.898145312343843</v>
      </c>
      <c r="E352" s="593">
        <v>259.64982413834235</v>
      </c>
      <c r="F352" s="594">
        <v>210.51817129666944</v>
      </c>
      <c r="G352" s="595">
        <v>133.01653518683892</v>
      </c>
      <c r="H352" s="566">
        <v>665.08267593419453</v>
      </c>
      <c r="I352" s="596">
        <v>0</v>
      </c>
      <c r="J352" s="595">
        <v>501.12190388378622</v>
      </c>
      <c r="K352" s="626">
        <v>22.433241883122115</v>
      </c>
      <c r="L352" s="595">
        <v>130.88878644172709</v>
      </c>
      <c r="M352" s="1057">
        <f t="shared" si="45"/>
        <v>22.433241883122115</v>
      </c>
      <c r="N352" s="1058">
        <f t="shared" si="45"/>
        <v>632.01069032551334</v>
      </c>
      <c r="O352" s="597">
        <v>0</v>
      </c>
      <c r="P352" s="595">
        <v>0</v>
      </c>
      <c r="Q352" s="570">
        <v>765.02722551235229</v>
      </c>
      <c r="R352" s="571">
        <v>1319.5266081428297</v>
      </c>
      <c r="S352" s="1075">
        <f t="shared" si="46"/>
        <v>1319.5266081428299</v>
      </c>
      <c r="T352" s="1075">
        <f t="shared" si="44"/>
        <v>0</v>
      </c>
    </row>
    <row r="353" spans="1:20" ht="15.75" x14ac:dyDescent="0.25">
      <c r="A353" s="641" t="s">
        <v>88</v>
      </c>
      <c r="B353" s="1046" t="s">
        <v>429</v>
      </c>
      <c r="C353" s="802" t="s">
        <v>1054</v>
      </c>
      <c r="D353" s="625">
        <v>161.19308675089545</v>
      </c>
      <c r="E353" s="593">
        <v>155.45461286256355</v>
      </c>
      <c r="F353" s="594">
        <v>210.51817129666944</v>
      </c>
      <c r="G353" s="595">
        <v>131.79146772753211</v>
      </c>
      <c r="H353" s="566">
        <v>658.95733863766054</v>
      </c>
      <c r="I353" s="596">
        <v>0</v>
      </c>
      <c r="J353" s="595">
        <v>766.09432374664311</v>
      </c>
      <c r="K353" s="626">
        <v>24.654482618549455</v>
      </c>
      <c r="L353" s="595">
        <v>197.68720159129816</v>
      </c>
      <c r="M353" s="1057">
        <f t="shared" si="45"/>
        <v>24.654482618549455</v>
      </c>
      <c r="N353" s="1058">
        <f t="shared" si="45"/>
        <v>963.78152533794128</v>
      </c>
      <c r="O353" s="597">
        <v>0</v>
      </c>
      <c r="P353" s="595">
        <v>0</v>
      </c>
      <c r="Q353" s="570">
        <v>1095.5729930654734</v>
      </c>
      <c r="R353" s="571">
        <v>1647.3933465941514</v>
      </c>
      <c r="S353" s="1075">
        <f t="shared" si="46"/>
        <v>1647.3933465941514</v>
      </c>
      <c r="T353" s="1075">
        <f t="shared" si="44"/>
        <v>0</v>
      </c>
    </row>
    <row r="354" spans="1:20" ht="15.75" x14ac:dyDescent="0.25">
      <c r="A354" s="641" t="s">
        <v>89</v>
      </c>
      <c r="B354" s="1046"/>
      <c r="C354" s="802" t="s">
        <v>1054</v>
      </c>
      <c r="D354" s="625">
        <v>106.77430066379313</v>
      </c>
      <c r="E354" s="593">
        <v>147.45943575971913</v>
      </c>
      <c r="F354" s="594">
        <v>210.51817129666944</v>
      </c>
      <c r="G354" s="595">
        <v>116.18797693004542</v>
      </c>
      <c r="H354" s="566">
        <v>580.9398846502271</v>
      </c>
      <c r="I354" s="596">
        <v>0</v>
      </c>
      <c r="J354" s="595">
        <v>835.62657364750942</v>
      </c>
      <c r="K354" s="626">
        <v>16.246651213622751</v>
      </c>
      <c r="L354" s="595">
        <v>212.96830621528306</v>
      </c>
      <c r="M354" s="1057">
        <f t="shared" si="45"/>
        <v>16.246651213622751</v>
      </c>
      <c r="N354" s="1058">
        <f t="shared" si="45"/>
        <v>1048.5948798627924</v>
      </c>
      <c r="O354" s="597">
        <v>0</v>
      </c>
      <c r="P354" s="595">
        <v>0</v>
      </c>
      <c r="Q354" s="570">
        <v>1164.7828567928379</v>
      </c>
      <c r="R354" s="571">
        <v>1645.7814157266423</v>
      </c>
      <c r="S354" s="1075">
        <f t="shared" si="46"/>
        <v>1645.7814157266421</v>
      </c>
      <c r="T354" s="1075">
        <f t="shared" si="44"/>
        <v>0</v>
      </c>
    </row>
    <row r="355" spans="1:20" ht="16.5" thickBot="1" x14ac:dyDescent="0.3">
      <c r="A355" s="544" t="s">
        <v>90</v>
      </c>
      <c r="B355" s="1046"/>
      <c r="C355" s="807" t="s">
        <v>1054</v>
      </c>
      <c r="D355" s="625">
        <v>77.372681640429803</v>
      </c>
      <c r="E355" s="593">
        <v>297.30452920335154</v>
      </c>
      <c r="F355" s="594">
        <v>210.51817129666944</v>
      </c>
      <c r="G355" s="595">
        <v>146.29884553511269</v>
      </c>
      <c r="H355" s="566">
        <v>731.49422767556348</v>
      </c>
      <c r="I355" s="596">
        <v>0</v>
      </c>
      <c r="J355" s="595">
        <v>1090.1230548024257</v>
      </c>
      <c r="K355" s="626">
        <v>17.337928410926313</v>
      </c>
      <c r="L355" s="595">
        <v>276.86524580333798</v>
      </c>
      <c r="M355" s="1057">
        <f t="shared" si="45"/>
        <v>17.337928410926313</v>
      </c>
      <c r="N355" s="1058">
        <f t="shared" si="45"/>
        <v>1366.9883006057637</v>
      </c>
      <c r="O355" s="597">
        <v>0</v>
      </c>
      <c r="P355" s="595">
        <v>0</v>
      </c>
      <c r="Q355" s="570">
        <v>1513.2871461408763</v>
      </c>
      <c r="R355" s="571">
        <v>2115.8204566922532</v>
      </c>
      <c r="S355" s="1075">
        <f t="shared" si="46"/>
        <v>2115.8204566922536</v>
      </c>
      <c r="T355" s="1075">
        <f t="shared" si="44"/>
        <v>0</v>
      </c>
    </row>
    <row r="356" spans="1:20" ht="15.75" x14ac:dyDescent="0.25">
      <c r="A356" s="546" t="s">
        <v>91</v>
      </c>
      <c r="B356" s="1046"/>
      <c r="C356" s="802" t="s">
        <v>1056</v>
      </c>
      <c r="D356" s="625">
        <v>47.44240765416982</v>
      </c>
      <c r="E356" s="593">
        <v>271.30526644338005</v>
      </c>
      <c r="F356" s="594">
        <v>0</v>
      </c>
      <c r="G356" s="595">
        <v>76.493679547664485</v>
      </c>
      <c r="H356" s="566">
        <v>395.24135364521436</v>
      </c>
      <c r="I356" s="596">
        <v>333.72948704097189</v>
      </c>
      <c r="J356" s="595">
        <v>80.095076889833251</v>
      </c>
      <c r="K356" s="626">
        <v>0</v>
      </c>
      <c r="L356" s="595">
        <v>0</v>
      </c>
      <c r="M356" s="1057">
        <f t="shared" si="45"/>
        <v>333.72948704097189</v>
      </c>
      <c r="N356" s="1058">
        <f t="shared" si="45"/>
        <v>80.095076889833251</v>
      </c>
      <c r="O356" s="597">
        <v>47.44240765416982</v>
      </c>
      <c r="P356" s="595">
        <v>11.380415601253286</v>
      </c>
      <c r="Q356" s="570">
        <v>167.96917203875103</v>
      </c>
      <c r="R356" s="571">
        <v>867.88874083144265</v>
      </c>
      <c r="S356" s="1075">
        <f t="shared" si="46"/>
        <v>867.88874083144265</v>
      </c>
      <c r="T356" s="1075">
        <f t="shared" si="44"/>
        <v>0</v>
      </c>
    </row>
    <row r="357" spans="1:20" ht="15.75" x14ac:dyDescent="0.25">
      <c r="A357" s="547" t="s">
        <v>92</v>
      </c>
      <c r="B357" s="1046" t="s">
        <v>429</v>
      </c>
      <c r="C357" s="802" t="s">
        <v>1056</v>
      </c>
      <c r="D357" s="625">
        <v>47.44240765416982</v>
      </c>
      <c r="E357" s="593">
        <v>271.30526644338005</v>
      </c>
      <c r="F357" s="594">
        <v>0</v>
      </c>
      <c r="G357" s="595">
        <v>76.493679547664485</v>
      </c>
      <c r="H357" s="566">
        <v>395.24135364521436</v>
      </c>
      <c r="I357" s="596">
        <v>333.72948704097189</v>
      </c>
      <c r="J357" s="595">
        <v>80.095076889833251</v>
      </c>
      <c r="K357" s="626">
        <v>0</v>
      </c>
      <c r="L357" s="595">
        <v>0</v>
      </c>
      <c r="M357" s="1057">
        <f t="shared" si="45"/>
        <v>333.72948704097189</v>
      </c>
      <c r="N357" s="1058">
        <f t="shared" si="45"/>
        <v>80.095076889833251</v>
      </c>
      <c r="O357" s="597">
        <v>47.44240765416982</v>
      </c>
      <c r="P357" s="595">
        <v>11.380415601253286</v>
      </c>
      <c r="Q357" s="570">
        <v>167.96917203875103</v>
      </c>
      <c r="R357" s="571">
        <v>867.88874083144265</v>
      </c>
      <c r="S357" s="1075">
        <f t="shared" si="46"/>
        <v>867.88874083144265</v>
      </c>
      <c r="T357" s="1075">
        <f t="shared" si="44"/>
        <v>0</v>
      </c>
    </row>
    <row r="358" spans="1:20" ht="15.75" x14ac:dyDescent="0.25">
      <c r="A358" s="547" t="s">
        <v>93</v>
      </c>
      <c r="B358" s="1046"/>
      <c r="C358" s="802" t="s">
        <v>1056</v>
      </c>
      <c r="D358" s="625">
        <v>50.347534843519284</v>
      </c>
      <c r="E358" s="593">
        <v>295.31458205783844</v>
      </c>
      <c r="F358" s="594">
        <v>0</v>
      </c>
      <c r="G358" s="595">
        <v>82.964190105761034</v>
      </c>
      <c r="H358" s="566">
        <v>428.62630700711873</v>
      </c>
      <c r="I358" s="596">
        <v>384.14904983133454</v>
      </c>
      <c r="J358" s="595">
        <v>92.195771959520286</v>
      </c>
      <c r="K358" s="626">
        <v>0</v>
      </c>
      <c r="L358" s="595">
        <v>0</v>
      </c>
      <c r="M358" s="1057">
        <f t="shared" si="45"/>
        <v>384.14904983133454</v>
      </c>
      <c r="N358" s="1058">
        <f t="shared" si="45"/>
        <v>92.195771959520286</v>
      </c>
      <c r="O358" s="597">
        <v>50.347534843519284</v>
      </c>
      <c r="P358" s="595">
        <v>12.08869041187981</v>
      </c>
      <c r="Q358" s="570">
        <v>187.24865247716113</v>
      </c>
      <c r="R358" s="571">
        <v>967.40735405337261</v>
      </c>
      <c r="S358" s="1075">
        <f t="shared" si="46"/>
        <v>967.40735405337261</v>
      </c>
      <c r="T358" s="1075">
        <f t="shared" si="44"/>
        <v>0</v>
      </c>
    </row>
    <row r="359" spans="1:20" ht="15.75" x14ac:dyDescent="0.25">
      <c r="A359" s="547" t="s">
        <v>94</v>
      </c>
      <c r="B359" s="1046"/>
      <c r="C359" s="802" t="s">
        <v>1056</v>
      </c>
      <c r="D359" s="625">
        <v>96.817565215303546</v>
      </c>
      <c r="E359" s="593">
        <v>276.10712956627168</v>
      </c>
      <c r="F359" s="594">
        <v>0</v>
      </c>
      <c r="G359" s="595">
        <v>89.506728610700947</v>
      </c>
      <c r="H359" s="566">
        <v>462.4314233922762</v>
      </c>
      <c r="I359" s="596">
        <v>398.5546392000096</v>
      </c>
      <c r="J359" s="595">
        <v>95.653113408002312</v>
      </c>
      <c r="K359" s="626">
        <v>0</v>
      </c>
      <c r="L359" s="595">
        <v>0</v>
      </c>
      <c r="M359" s="1057">
        <f t="shared" si="45"/>
        <v>398.5546392000096</v>
      </c>
      <c r="N359" s="1058">
        <f t="shared" si="45"/>
        <v>95.653113408002312</v>
      </c>
      <c r="O359" s="597">
        <v>0</v>
      </c>
      <c r="P359" s="595">
        <v>0</v>
      </c>
      <c r="Q359" s="570">
        <v>185.15984201870327</v>
      </c>
      <c r="R359" s="571">
        <v>956.63917600028822</v>
      </c>
      <c r="S359" s="1075">
        <f t="shared" si="46"/>
        <v>956.63917600028822</v>
      </c>
      <c r="T359" s="1075">
        <f t="shared" si="44"/>
        <v>0</v>
      </c>
    </row>
    <row r="360" spans="1:20" ht="15.75" x14ac:dyDescent="0.25">
      <c r="A360" s="547" t="s">
        <v>95</v>
      </c>
      <c r="B360" s="1046"/>
      <c r="C360" s="802" t="s">
        <v>1056</v>
      </c>
      <c r="D360" s="625">
        <v>129.72233226491878</v>
      </c>
      <c r="E360" s="593">
        <v>338.84347126685151</v>
      </c>
      <c r="F360" s="594">
        <v>0</v>
      </c>
      <c r="G360" s="595">
        <v>112.45963433812319</v>
      </c>
      <c r="H360" s="566">
        <v>581.02543786989349</v>
      </c>
      <c r="I360" s="596">
        <v>360.95605094776772</v>
      </c>
      <c r="J360" s="595">
        <v>89.218616823327437</v>
      </c>
      <c r="K360" s="626">
        <v>0</v>
      </c>
      <c r="L360" s="595">
        <v>0</v>
      </c>
      <c r="M360" s="1057">
        <f t="shared" si="45"/>
        <v>360.95605094776772</v>
      </c>
      <c r="N360" s="1058">
        <f t="shared" si="45"/>
        <v>89.218616823327437</v>
      </c>
      <c r="O360" s="597">
        <v>0</v>
      </c>
      <c r="P360" s="595">
        <v>0</v>
      </c>
      <c r="Q360" s="570">
        <v>201.67825116145065</v>
      </c>
      <c r="R360" s="571">
        <v>1031.2001056409886</v>
      </c>
      <c r="S360" s="1075">
        <f t="shared" si="46"/>
        <v>1031.2001056409886</v>
      </c>
      <c r="T360" s="1075">
        <f t="shared" si="44"/>
        <v>0</v>
      </c>
    </row>
    <row r="361" spans="1:20" ht="16.5" thickBot="1" x14ac:dyDescent="0.3">
      <c r="A361" s="613" t="s">
        <v>195</v>
      </c>
      <c r="B361" s="1046"/>
      <c r="C361" s="807" t="s">
        <v>1056</v>
      </c>
      <c r="D361" s="625">
        <v>47.44240765416982</v>
      </c>
      <c r="E361" s="593">
        <v>271.30526644338005</v>
      </c>
      <c r="F361" s="594">
        <v>0</v>
      </c>
      <c r="G361" s="595">
        <v>76.493679547664485</v>
      </c>
      <c r="H361" s="566">
        <v>395.24135364521436</v>
      </c>
      <c r="I361" s="596">
        <v>333.72948704097189</v>
      </c>
      <c r="J361" s="595">
        <v>80.095076889833251</v>
      </c>
      <c r="K361" s="626">
        <v>0</v>
      </c>
      <c r="L361" s="595">
        <v>0</v>
      </c>
      <c r="M361" s="1057">
        <f t="shared" si="45"/>
        <v>333.72948704097189</v>
      </c>
      <c r="N361" s="1058">
        <f t="shared" si="45"/>
        <v>80.095076889833251</v>
      </c>
      <c r="O361" s="597">
        <v>47.44240765416982</v>
      </c>
      <c r="P361" s="595">
        <v>11.380415601253286</v>
      </c>
      <c r="Q361" s="570">
        <v>167.96917203875103</v>
      </c>
      <c r="R361" s="571">
        <v>867.88874083144265</v>
      </c>
      <c r="S361" s="1075">
        <f t="shared" si="46"/>
        <v>867.88874083144265</v>
      </c>
      <c r="T361" s="1075">
        <f t="shared" si="44"/>
        <v>0</v>
      </c>
    </row>
    <row r="362" spans="1:20" ht="15.75" x14ac:dyDescent="0.25">
      <c r="A362" s="546" t="s">
        <v>97</v>
      </c>
      <c r="B362" s="1046"/>
      <c r="C362" s="802" t="s">
        <v>1058</v>
      </c>
      <c r="D362" s="625">
        <v>66.409766989591958</v>
      </c>
      <c r="E362" s="593">
        <v>259.3006086361508</v>
      </c>
      <c r="F362" s="594">
        <v>93.63633089638779</v>
      </c>
      <c r="G362" s="595">
        <v>22.976915043036698</v>
      </c>
      <c r="H362" s="566">
        <v>442.32362156516723</v>
      </c>
      <c r="I362" s="596">
        <v>264.10247175904254</v>
      </c>
      <c r="J362" s="595">
        <v>32.076445660916434</v>
      </c>
      <c r="K362" s="626">
        <v>0</v>
      </c>
      <c r="L362" s="595">
        <v>0</v>
      </c>
      <c r="M362" s="1057">
        <f t="shared" si="45"/>
        <v>264.10247175904254</v>
      </c>
      <c r="N362" s="1058">
        <f t="shared" si="45"/>
        <v>32.076445660916434</v>
      </c>
      <c r="O362" s="597">
        <v>57.622357474700181</v>
      </c>
      <c r="P362" s="595">
        <v>0</v>
      </c>
      <c r="Q362" s="570">
        <v>55.053360703953132</v>
      </c>
      <c r="R362" s="571">
        <v>796.12489645982635</v>
      </c>
      <c r="S362" s="1075">
        <f t="shared" si="46"/>
        <v>796.12489645982635</v>
      </c>
      <c r="T362" s="1075">
        <f t="shared" si="44"/>
        <v>0</v>
      </c>
    </row>
    <row r="363" spans="1:20" ht="15.75" x14ac:dyDescent="0.25">
      <c r="A363" s="547" t="s">
        <v>98</v>
      </c>
      <c r="B363" s="1046"/>
      <c r="C363" s="802" t="s">
        <v>1058</v>
      </c>
      <c r="D363" s="625">
        <v>27.178545275566918</v>
      </c>
      <c r="E363" s="593">
        <v>283.30992425060924</v>
      </c>
      <c r="F363" s="594">
        <v>120.04657807229205</v>
      </c>
      <c r="G363" s="595">
        <v>23.709199169277678</v>
      </c>
      <c r="H363" s="566">
        <v>454.24424676774589</v>
      </c>
      <c r="I363" s="596">
        <v>384.14904983133454</v>
      </c>
      <c r="J363" s="595">
        <v>45.509657747205907</v>
      </c>
      <c r="K363" s="626">
        <v>0</v>
      </c>
      <c r="L363" s="595">
        <v>0</v>
      </c>
      <c r="M363" s="1057">
        <f t="shared" si="45"/>
        <v>384.14904983133454</v>
      </c>
      <c r="N363" s="1058">
        <f t="shared" si="45"/>
        <v>45.509657747205907</v>
      </c>
      <c r="O363" s="597">
        <v>72.027946843375233</v>
      </c>
      <c r="P363" s="595">
        <v>0</v>
      </c>
      <c r="Q363" s="570">
        <v>69.218856916483588</v>
      </c>
      <c r="R363" s="571">
        <v>955.93090118966165</v>
      </c>
      <c r="S363" s="1075">
        <f t="shared" si="46"/>
        <v>955.93090118966165</v>
      </c>
      <c r="T363" s="1075">
        <f t="shared" ref="T363:T426" si="48">R363-S363</f>
        <v>0</v>
      </c>
    </row>
    <row r="364" spans="1:20" ht="15.75" x14ac:dyDescent="0.25">
      <c r="A364" s="547" t="s">
        <v>99</v>
      </c>
      <c r="B364" s="1046"/>
      <c r="C364" s="802" t="s">
        <v>1058</v>
      </c>
      <c r="D364" s="625">
        <v>44.801382936579394</v>
      </c>
      <c r="E364" s="593">
        <v>273.70619800482581</v>
      </c>
      <c r="F364" s="594">
        <v>110.44285182650869</v>
      </c>
      <c r="G364" s="595">
        <v>23.553138617783702</v>
      </c>
      <c r="H364" s="566">
        <v>452.50357138569757</v>
      </c>
      <c r="I364" s="596">
        <v>350.53600797109277</v>
      </c>
      <c r="J364" s="595">
        <v>41.512106697398586</v>
      </c>
      <c r="K364" s="626">
        <v>0</v>
      </c>
      <c r="L364" s="595">
        <v>0</v>
      </c>
      <c r="M364" s="1057">
        <f t="shared" si="45"/>
        <v>350.53600797109277</v>
      </c>
      <c r="N364" s="1058">
        <f t="shared" si="45"/>
        <v>41.512106697398586</v>
      </c>
      <c r="O364" s="597">
        <v>63.864779534459373</v>
      </c>
      <c r="P364" s="595">
        <v>0</v>
      </c>
      <c r="Q364" s="570">
        <v>65.065245315182295</v>
      </c>
      <c r="R364" s="571">
        <v>908.41646558864829</v>
      </c>
      <c r="S364" s="1075">
        <f t="shared" si="46"/>
        <v>908.41646558864829</v>
      </c>
      <c r="T364" s="1075">
        <f t="shared" si="48"/>
        <v>0</v>
      </c>
    </row>
    <row r="365" spans="1:20" ht="15.75" x14ac:dyDescent="0.25">
      <c r="A365" s="547" t="s">
        <v>100</v>
      </c>
      <c r="B365" s="1046"/>
      <c r="C365" s="802" t="s">
        <v>1058</v>
      </c>
      <c r="D365" s="625">
        <v>49.447185507977089</v>
      </c>
      <c r="E365" s="593">
        <v>247.2959508289216</v>
      </c>
      <c r="F365" s="594">
        <v>84.032604650604426</v>
      </c>
      <c r="G365" s="595">
        <v>20.876099926771587</v>
      </c>
      <c r="H365" s="566">
        <v>401.65184091427471</v>
      </c>
      <c r="I365" s="596">
        <v>235.29129302169241</v>
      </c>
      <c r="J365" s="595">
        <v>29.303369707446489</v>
      </c>
      <c r="K365" s="626">
        <v>0</v>
      </c>
      <c r="L365" s="595">
        <v>0</v>
      </c>
      <c r="M365" s="1057">
        <f t="shared" si="45"/>
        <v>235.29129302169241</v>
      </c>
      <c r="N365" s="1058">
        <f t="shared" si="45"/>
        <v>29.303369707446489</v>
      </c>
      <c r="O365" s="597">
        <v>57.936879509249586</v>
      </c>
      <c r="P365" s="595">
        <v>0</v>
      </c>
      <c r="Q365" s="570">
        <v>50.17946963421808</v>
      </c>
      <c r="R365" s="571">
        <v>724.18338315266317</v>
      </c>
      <c r="S365" s="1075">
        <f t="shared" si="46"/>
        <v>724.18338315266317</v>
      </c>
      <c r="T365" s="1075">
        <f t="shared" si="48"/>
        <v>0</v>
      </c>
    </row>
    <row r="366" spans="1:20" ht="15.75" x14ac:dyDescent="0.25">
      <c r="A366" s="547" t="s">
        <v>101</v>
      </c>
      <c r="B366" s="1046" t="s">
        <v>429</v>
      </c>
      <c r="C366" s="802" t="s">
        <v>1058</v>
      </c>
      <c r="D366" s="625">
        <v>24.741599740699389</v>
      </c>
      <c r="E366" s="593">
        <v>244.89501926747576</v>
      </c>
      <c r="F366" s="594">
        <v>115.24471494940036</v>
      </c>
      <c r="G366" s="595">
        <v>21.248244318795692</v>
      </c>
      <c r="H366" s="566">
        <v>406.12957827637121</v>
      </c>
      <c r="I366" s="596">
        <v>74.428878404821063</v>
      </c>
      <c r="J366" s="595">
        <v>0</v>
      </c>
      <c r="K366" s="626">
        <v>249.69688239036745</v>
      </c>
      <c r="L366" s="595">
        <v>39.687398710699753</v>
      </c>
      <c r="M366" s="1057">
        <f t="shared" si="45"/>
        <v>324.12576079518851</v>
      </c>
      <c r="N366" s="1058">
        <f t="shared" si="45"/>
        <v>39.687398710699753</v>
      </c>
      <c r="O366" s="597">
        <v>72.027946843375233</v>
      </c>
      <c r="P366" s="595">
        <v>0</v>
      </c>
      <c r="Q366" s="570">
        <v>60.935643029495445</v>
      </c>
      <c r="R366" s="571">
        <v>841.97068462563482</v>
      </c>
      <c r="S366" s="1075">
        <f t="shared" si="46"/>
        <v>841.97068462563482</v>
      </c>
      <c r="T366" s="1075">
        <f t="shared" si="48"/>
        <v>0</v>
      </c>
    </row>
    <row r="367" spans="1:20" ht="15.75" x14ac:dyDescent="0.25">
      <c r="A367" s="547" t="s">
        <v>630</v>
      </c>
      <c r="B367" s="1046"/>
      <c r="C367" s="802" t="s">
        <v>1058</v>
      </c>
      <c r="D367" s="625">
        <v>32.040431687494745</v>
      </c>
      <c r="E367" s="593">
        <v>240.0931561445841</v>
      </c>
      <c r="F367" s="594">
        <v>84.032604650604426</v>
      </c>
      <c r="G367" s="595">
        <v>19.591601541398063</v>
      </c>
      <c r="H367" s="566">
        <v>375.75779402408131</v>
      </c>
      <c r="I367" s="596">
        <v>120.04657807229205</v>
      </c>
      <c r="J367" s="595">
        <v>0</v>
      </c>
      <c r="K367" s="626">
        <v>112.84378338795452</v>
      </c>
      <c r="L367" s="595">
        <v>31.644277979856181</v>
      </c>
      <c r="M367" s="1057">
        <f t="shared" si="45"/>
        <v>232.89036146024657</v>
      </c>
      <c r="N367" s="1058">
        <f t="shared" si="45"/>
        <v>31.644277979856181</v>
      </c>
      <c r="O367" s="597">
        <v>84.032604650604426</v>
      </c>
      <c r="P367" s="595">
        <v>0</v>
      </c>
      <c r="Q367" s="570">
        <v>51.235879521254247</v>
      </c>
      <c r="R367" s="571">
        <v>724.32503811478841</v>
      </c>
      <c r="S367" s="1075">
        <f t="shared" si="46"/>
        <v>724.32503811478841</v>
      </c>
      <c r="T367" s="1075">
        <f t="shared" si="48"/>
        <v>0</v>
      </c>
    </row>
    <row r="368" spans="1:20" ht="15.75" x14ac:dyDescent="0.25">
      <c r="A368" s="547" t="s">
        <v>631</v>
      </c>
      <c r="B368" s="1046"/>
      <c r="C368" s="802" t="s">
        <v>1058</v>
      </c>
      <c r="D368" s="625">
        <v>13.145100298915978</v>
      </c>
      <c r="E368" s="593">
        <v>223.28663521446322</v>
      </c>
      <c r="F368" s="594">
        <v>105.640988703617</v>
      </c>
      <c r="G368" s="595">
        <v>18.799294126120934</v>
      </c>
      <c r="H368" s="566">
        <v>360.87201834311708</v>
      </c>
      <c r="I368" s="596">
        <v>278.5080611277175</v>
      </c>
      <c r="J368" s="595">
        <v>35.053600797109276</v>
      </c>
      <c r="K368" s="626">
        <v>0</v>
      </c>
      <c r="L368" s="595">
        <v>0</v>
      </c>
      <c r="M368" s="1057">
        <f t="shared" si="45"/>
        <v>278.5080611277175</v>
      </c>
      <c r="N368" s="1058">
        <f t="shared" si="45"/>
        <v>35.053600797109276</v>
      </c>
      <c r="O368" s="597">
        <v>72.027946843375233</v>
      </c>
      <c r="P368" s="595">
        <v>0</v>
      </c>
      <c r="Q368" s="570">
        <v>53.85289492323021</v>
      </c>
      <c r="R368" s="571">
        <v>746.4616271113191</v>
      </c>
      <c r="S368" s="1075">
        <f t="shared" si="46"/>
        <v>746.4616271113191</v>
      </c>
      <c r="T368" s="1075">
        <f t="shared" si="48"/>
        <v>0</v>
      </c>
    </row>
    <row r="369" spans="1:20" ht="15.75" x14ac:dyDescent="0.25">
      <c r="A369" s="547" t="s">
        <v>632</v>
      </c>
      <c r="B369" s="1046"/>
      <c r="C369" s="802" t="s">
        <v>1058</v>
      </c>
      <c r="D369" s="625">
        <v>49.147069062796362</v>
      </c>
      <c r="E369" s="593">
        <v>343.33321328675527</v>
      </c>
      <c r="F369" s="594">
        <v>98.438194019279479</v>
      </c>
      <c r="G369" s="595">
        <v>27.034489381880167</v>
      </c>
      <c r="H369" s="566">
        <v>517.95296575071131</v>
      </c>
      <c r="I369" s="596">
        <v>218.48477209157153</v>
      </c>
      <c r="J369" s="595">
        <v>26.974466092844022</v>
      </c>
      <c r="K369" s="626">
        <v>0</v>
      </c>
      <c r="L369" s="595">
        <v>0</v>
      </c>
      <c r="M369" s="1057">
        <f t="shared" ref="M369:N432" si="49">I369+K369</f>
        <v>218.48477209157153</v>
      </c>
      <c r="N369" s="1058">
        <f t="shared" si="49"/>
        <v>26.974466092844022</v>
      </c>
      <c r="O369" s="597">
        <v>50.347534843519284</v>
      </c>
      <c r="P369" s="595">
        <v>0</v>
      </c>
      <c r="Q369" s="570">
        <v>54.008955474724189</v>
      </c>
      <c r="R369" s="571">
        <v>813.75973877864612</v>
      </c>
      <c r="S369" s="1075">
        <f t="shared" ref="S369:S432" si="50">H369+M369+N369+O369+P369</f>
        <v>813.75973877864612</v>
      </c>
      <c r="T369" s="1075">
        <f t="shared" si="48"/>
        <v>0</v>
      </c>
    </row>
    <row r="370" spans="1:20" ht="15.75" x14ac:dyDescent="0.25">
      <c r="A370" s="547" t="s">
        <v>633</v>
      </c>
      <c r="B370" s="1046"/>
      <c r="C370" s="802" t="s">
        <v>1058</v>
      </c>
      <c r="D370" s="625">
        <v>36.458145760555098</v>
      </c>
      <c r="E370" s="593">
        <v>362.54066577832197</v>
      </c>
      <c r="F370" s="594">
        <v>124.84844119518372</v>
      </c>
      <c r="G370" s="595">
        <v>28.763160106121177</v>
      </c>
      <c r="H370" s="566">
        <v>552.61041284018199</v>
      </c>
      <c r="I370" s="596">
        <v>482.58724385061396</v>
      </c>
      <c r="J370" s="595">
        <v>55.533547016242295</v>
      </c>
      <c r="K370" s="626">
        <v>0</v>
      </c>
      <c r="L370" s="595">
        <v>0</v>
      </c>
      <c r="M370" s="1057">
        <f t="shared" si="49"/>
        <v>482.58724385061396</v>
      </c>
      <c r="N370" s="1058">
        <f t="shared" si="49"/>
        <v>55.533547016242295</v>
      </c>
      <c r="O370" s="597">
        <v>72.027946843375233</v>
      </c>
      <c r="P370" s="595">
        <v>0</v>
      </c>
      <c r="Q370" s="570">
        <v>84.296707122363472</v>
      </c>
      <c r="R370" s="571">
        <v>1162.7591505504136</v>
      </c>
      <c r="S370" s="1075">
        <f t="shared" si="50"/>
        <v>1162.7591505504136</v>
      </c>
      <c r="T370" s="1075">
        <f t="shared" si="48"/>
        <v>0</v>
      </c>
    </row>
    <row r="371" spans="1:20" ht="15.75" x14ac:dyDescent="0.25">
      <c r="A371" s="547" t="s">
        <v>634</v>
      </c>
      <c r="B371" s="1046"/>
      <c r="C371" s="802" t="s">
        <v>1058</v>
      </c>
      <c r="D371" s="625">
        <v>22.712812571277656</v>
      </c>
      <c r="E371" s="593">
        <v>338.53135016386358</v>
      </c>
      <c r="F371" s="594">
        <v>88.834467773496115</v>
      </c>
      <c r="G371" s="595">
        <v>24.741599740699389</v>
      </c>
      <c r="H371" s="566">
        <v>474.8202302493367</v>
      </c>
      <c r="I371" s="596">
        <v>309.7201714265135</v>
      </c>
      <c r="J371" s="595">
        <v>34.861526272193608</v>
      </c>
      <c r="K371" s="626">
        <v>0</v>
      </c>
      <c r="L371" s="595">
        <v>0</v>
      </c>
      <c r="M371" s="1057">
        <f t="shared" si="49"/>
        <v>309.7201714265135</v>
      </c>
      <c r="N371" s="1058">
        <f t="shared" si="49"/>
        <v>34.861526272193608</v>
      </c>
      <c r="O371" s="597">
        <v>38.414904983133454</v>
      </c>
      <c r="P371" s="595">
        <v>0</v>
      </c>
      <c r="Q371" s="570">
        <v>59.603126012893</v>
      </c>
      <c r="R371" s="571">
        <v>857.81683293117726</v>
      </c>
      <c r="S371" s="1075">
        <f t="shared" si="50"/>
        <v>857.81683293117726</v>
      </c>
      <c r="T371" s="1075">
        <f t="shared" si="48"/>
        <v>0</v>
      </c>
    </row>
    <row r="372" spans="1:20" ht="16.5" thickBot="1" x14ac:dyDescent="0.3">
      <c r="A372" s="547" t="s">
        <v>635</v>
      </c>
      <c r="B372" s="1046"/>
      <c r="C372" s="802" t="s">
        <v>1058</v>
      </c>
      <c r="D372" s="625">
        <v>14.837757049735297</v>
      </c>
      <c r="E372" s="593">
        <v>388.95091295422623</v>
      </c>
      <c r="F372" s="594">
        <v>91.23539933494196</v>
      </c>
      <c r="G372" s="595">
        <v>27.226563906795835</v>
      </c>
      <c r="H372" s="566">
        <v>522.25063324569931</v>
      </c>
      <c r="I372" s="596">
        <v>489.79003853495152</v>
      </c>
      <c r="J372" s="595">
        <v>53.972941501302508</v>
      </c>
      <c r="K372" s="626">
        <v>0</v>
      </c>
      <c r="L372" s="595">
        <v>0</v>
      </c>
      <c r="M372" s="1057">
        <f t="shared" si="49"/>
        <v>489.79003853495152</v>
      </c>
      <c r="N372" s="1058">
        <f t="shared" si="49"/>
        <v>53.972941501302508</v>
      </c>
      <c r="O372" s="597">
        <v>50.179469634218073</v>
      </c>
      <c r="P372" s="595">
        <v>0</v>
      </c>
      <c r="Q372" s="570">
        <v>81.199505408098346</v>
      </c>
      <c r="R372" s="571">
        <v>1116.1930829161715</v>
      </c>
      <c r="S372" s="1075">
        <f t="shared" si="50"/>
        <v>1116.1930829161715</v>
      </c>
      <c r="T372" s="1075">
        <f t="shared" si="48"/>
        <v>0</v>
      </c>
    </row>
    <row r="373" spans="1:20" ht="16.5" thickBot="1" x14ac:dyDescent="0.3">
      <c r="A373" s="544" t="s">
        <v>939</v>
      </c>
      <c r="B373" s="1046" t="s">
        <v>429</v>
      </c>
      <c r="C373" s="812" t="s">
        <v>1062</v>
      </c>
      <c r="D373" s="549">
        <v>26.290200597831955</v>
      </c>
      <c r="E373" s="550">
        <v>406.71780650892543</v>
      </c>
      <c r="F373" s="551">
        <v>0</v>
      </c>
      <c r="G373" s="560">
        <v>30.311760963253743</v>
      </c>
      <c r="H373" s="566">
        <v>463.31976807001115</v>
      </c>
      <c r="I373" s="567">
        <v>0</v>
      </c>
      <c r="J373" s="560">
        <v>0</v>
      </c>
      <c r="K373" s="568">
        <v>530.60587507953085</v>
      </c>
      <c r="L373" s="560">
        <v>0</v>
      </c>
      <c r="M373" s="1057">
        <f t="shared" si="49"/>
        <v>530.60587507953085</v>
      </c>
      <c r="N373" s="1058">
        <f t="shared" si="49"/>
        <v>0</v>
      </c>
      <c r="O373" s="569">
        <v>0</v>
      </c>
      <c r="P373" s="560">
        <v>0</v>
      </c>
      <c r="Q373" s="570">
        <v>30.311760963253743</v>
      </c>
      <c r="R373" s="571">
        <v>993.925643149542</v>
      </c>
      <c r="S373" s="1075">
        <f t="shared" si="50"/>
        <v>993.925643149542</v>
      </c>
      <c r="T373" s="1075">
        <f t="shared" si="48"/>
        <v>0</v>
      </c>
    </row>
    <row r="374" spans="1:20" ht="15.75" x14ac:dyDescent="0.25">
      <c r="A374" s="546" t="s">
        <v>102</v>
      </c>
      <c r="B374" s="1046" t="s">
        <v>429</v>
      </c>
      <c r="C374" s="802" t="s">
        <v>1066</v>
      </c>
      <c r="D374" s="549">
        <v>6.5670679389832856</v>
      </c>
      <c r="E374" s="550">
        <v>133.19558972714333</v>
      </c>
      <c r="F374" s="551">
        <v>0</v>
      </c>
      <c r="G374" s="560">
        <v>37.735917569854188</v>
      </c>
      <c r="H374" s="566">
        <v>177.49857523598081</v>
      </c>
      <c r="I374" s="567">
        <v>3.5307647624886607</v>
      </c>
      <c r="J374" s="560">
        <v>0.95330648587193834</v>
      </c>
      <c r="K374" s="568">
        <v>228.42580080468213</v>
      </c>
      <c r="L374" s="560">
        <v>61.674966217264178</v>
      </c>
      <c r="M374" s="1057">
        <f t="shared" si="49"/>
        <v>231.9565655671708</v>
      </c>
      <c r="N374" s="1058">
        <f t="shared" si="49"/>
        <v>62.628272703136119</v>
      </c>
      <c r="O374" s="569">
        <v>0</v>
      </c>
      <c r="P374" s="560">
        <v>0</v>
      </c>
      <c r="Q374" s="570">
        <v>100.3641902729903</v>
      </c>
      <c r="R374" s="571">
        <v>472.08341350628774</v>
      </c>
      <c r="S374" s="1075">
        <f t="shared" si="50"/>
        <v>472.08341350628774</v>
      </c>
      <c r="T374" s="1075">
        <f t="shared" si="48"/>
        <v>0</v>
      </c>
    </row>
    <row r="375" spans="1:20" ht="15.75" x14ac:dyDescent="0.25">
      <c r="A375" s="547" t="s">
        <v>103</v>
      </c>
      <c r="B375" s="1046"/>
      <c r="C375" s="802" t="s">
        <v>1066</v>
      </c>
      <c r="D375" s="549">
        <v>4.7553297840520141</v>
      </c>
      <c r="E375" s="550">
        <v>189.2088162655302</v>
      </c>
      <c r="F375" s="551">
        <v>0</v>
      </c>
      <c r="G375" s="560">
        <v>52.370319433387195</v>
      </c>
      <c r="H375" s="566">
        <v>246.33446548296939</v>
      </c>
      <c r="I375" s="567">
        <v>3.2989858940539563</v>
      </c>
      <c r="J375" s="560">
        <v>0.89072619139456821</v>
      </c>
      <c r="K375" s="568">
        <v>150.42448561412303</v>
      </c>
      <c r="L375" s="560">
        <v>40.614611115813211</v>
      </c>
      <c r="M375" s="1057">
        <f t="shared" si="49"/>
        <v>153.723471508177</v>
      </c>
      <c r="N375" s="1058">
        <f t="shared" si="49"/>
        <v>41.505337307207782</v>
      </c>
      <c r="O375" s="569">
        <v>4.7553297840520141</v>
      </c>
      <c r="P375" s="560">
        <v>1.2839390416940439</v>
      </c>
      <c r="Q375" s="570">
        <v>95.159595782289017</v>
      </c>
      <c r="R375" s="571">
        <v>447.60254312410024</v>
      </c>
      <c r="S375" s="1075">
        <f t="shared" si="50"/>
        <v>447.60254312410024</v>
      </c>
      <c r="T375" s="1075">
        <f t="shared" si="48"/>
        <v>0</v>
      </c>
    </row>
    <row r="376" spans="1:20" ht="15.75" x14ac:dyDescent="0.25">
      <c r="A376" s="547" t="s">
        <v>104</v>
      </c>
      <c r="B376" s="1046"/>
      <c r="C376" s="802" t="s">
        <v>1066</v>
      </c>
      <c r="D376" s="549">
        <v>0</v>
      </c>
      <c r="E376" s="550">
        <v>192.46917234817835</v>
      </c>
      <c r="F376" s="551">
        <v>0</v>
      </c>
      <c r="G376" s="560">
        <v>51.966676534008158</v>
      </c>
      <c r="H376" s="566">
        <v>244.43584888218652</v>
      </c>
      <c r="I376" s="567">
        <v>0</v>
      </c>
      <c r="J376" s="560">
        <v>0</v>
      </c>
      <c r="K376" s="568">
        <v>148.03716326924555</v>
      </c>
      <c r="L376" s="560">
        <v>39.970034082696309</v>
      </c>
      <c r="M376" s="1057">
        <f t="shared" si="49"/>
        <v>148.03716326924555</v>
      </c>
      <c r="N376" s="1058">
        <f t="shared" si="49"/>
        <v>39.970034082696309</v>
      </c>
      <c r="O376" s="569">
        <v>0</v>
      </c>
      <c r="P376" s="560">
        <v>0</v>
      </c>
      <c r="Q376" s="570">
        <v>91.93671061670446</v>
      </c>
      <c r="R376" s="571">
        <v>432.44304623412836</v>
      </c>
      <c r="S376" s="1075">
        <f t="shared" si="50"/>
        <v>432.44304623412836</v>
      </c>
      <c r="T376" s="1075">
        <f t="shared" si="48"/>
        <v>0</v>
      </c>
    </row>
    <row r="377" spans="1:20" ht="15.75" x14ac:dyDescent="0.25">
      <c r="A377" s="543" t="s">
        <v>105</v>
      </c>
      <c r="B377" s="1046"/>
      <c r="C377" s="802" t="s">
        <v>1066</v>
      </c>
      <c r="D377" s="549">
        <v>0</v>
      </c>
      <c r="E377" s="550">
        <v>262.68271755933142</v>
      </c>
      <c r="F377" s="551">
        <v>0</v>
      </c>
      <c r="G377" s="560">
        <v>70.924333741019481</v>
      </c>
      <c r="H377" s="566">
        <v>333.60705130035092</v>
      </c>
      <c r="I377" s="567">
        <v>3.0903849124627225</v>
      </c>
      <c r="J377" s="560">
        <v>0.8344039263649351</v>
      </c>
      <c r="K377" s="568">
        <v>191.60386457268879</v>
      </c>
      <c r="L377" s="560">
        <v>51.733043434625976</v>
      </c>
      <c r="M377" s="1057">
        <f t="shared" si="49"/>
        <v>194.69424948515152</v>
      </c>
      <c r="N377" s="1058">
        <f t="shared" si="49"/>
        <v>52.567447360990911</v>
      </c>
      <c r="O377" s="569">
        <v>0</v>
      </c>
      <c r="P377" s="560">
        <v>0</v>
      </c>
      <c r="Q377" s="570">
        <v>123.49178110201041</v>
      </c>
      <c r="R377" s="571">
        <v>580.86874814649332</v>
      </c>
      <c r="S377" s="1075">
        <f t="shared" si="50"/>
        <v>580.86874814649332</v>
      </c>
      <c r="T377" s="1075">
        <f t="shared" si="48"/>
        <v>0</v>
      </c>
    </row>
    <row r="378" spans="1:20" ht="16.5" thickBot="1" x14ac:dyDescent="0.3">
      <c r="A378" s="548" t="s">
        <v>613</v>
      </c>
      <c r="B378" s="1046"/>
      <c r="C378" s="802" t="s">
        <v>1066</v>
      </c>
      <c r="D378" s="549">
        <v>0</v>
      </c>
      <c r="E378" s="550">
        <v>168.27145848359524</v>
      </c>
      <c r="F378" s="551">
        <v>0</v>
      </c>
      <c r="G378" s="560">
        <v>45.433293790570715</v>
      </c>
      <c r="H378" s="566">
        <v>213.70475227416597</v>
      </c>
      <c r="I378" s="567">
        <v>4.8673562371287877</v>
      </c>
      <c r="J378" s="560">
        <v>1.3141861840247728</v>
      </c>
      <c r="K378" s="568">
        <v>102.21448097970455</v>
      </c>
      <c r="L378" s="560">
        <v>27.597909864520229</v>
      </c>
      <c r="M378" s="1057">
        <f t="shared" si="49"/>
        <v>107.08183721683334</v>
      </c>
      <c r="N378" s="1058">
        <f t="shared" si="49"/>
        <v>28.912096048545003</v>
      </c>
      <c r="O378" s="569">
        <v>0</v>
      </c>
      <c r="P378" s="560">
        <v>0</v>
      </c>
      <c r="Q378" s="570">
        <v>74.345389839115711</v>
      </c>
      <c r="R378" s="571">
        <v>349.69868553954427</v>
      </c>
      <c r="S378" s="1075">
        <f t="shared" si="50"/>
        <v>349.69868553954427</v>
      </c>
      <c r="T378" s="1075">
        <f t="shared" si="48"/>
        <v>0</v>
      </c>
    </row>
    <row r="379" spans="1:20" ht="15.75" x14ac:dyDescent="0.25">
      <c r="A379" s="546" t="s">
        <v>107</v>
      </c>
      <c r="B379" s="1046"/>
      <c r="C379" s="802" t="s">
        <v>1074</v>
      </c>
      <c r="D379" s="549">
        <v>30.419802883518805</v>
      </c>
      <c r="E379" s="550">
        <v>265.27892822415095</v>
      </c>
      <c r="F379" s="551">
        <v>0.96037262457833639</v>
      </c>
      <c r="G379" s="560">
        <v>29.663509441663365</v>
      </c>
      <c r="H379" s="566">
        <v>326.32261317391146</v>
      </c>
      <c r="I379" s="567">
        <v>52.652429142507287</v>
      </c>
      <c r="J379" s="560">
        <v>5.2700447773736201</v>
      </c>
      <c r="K379" s="568">
        <v>141.88305062364196</v>
      </c>
      <c r="L379" s="560">
        <v>14.18950552814492</v>
      </c>
      <c r="M379" s="1057">
        <f t="shared" si="49"/>
        <v>194.53547976614925</v>
      </c>
      <c r="N379" s="1058">
        <f t="shared" si="49"/>
        <v>19.45955030551854</v>
      </c>
      <c r="O379" s="569">
        <v>1.9207452491566728</v>
      </c>
      <c r="P379" s="560">
        <v>0.19207452491566729</v>
      </c>
      <c r="Q379" s="570">
        <v>49.315134272097573</v>
      </c>
      <c r="R379" s="571">
        <v>542.4304630196516</v>
      </c>
      <c r="S379" s="1075">
        <f t="shared" si="50"/>
        <v>542.4304630196516</v>
      </c>
      <c r="T379" s="1075">
        <f t="shared" si="48"/>
        <v>0</v>
      </c>
    </row>
    <row r="380" spans="1:20" ht="15.75" x14ac:dyDescent="0.25">
      <c r="A380" s="547" t="s">
        <v>108</v>
      </c>
      <c r="B380" s="1046"/>
      <c r="C380" s="802" t="s">
        <v>1074</v>
      </c>
      <c r="D380" s="549">
        <v>0.60023289036146021</v>
      </c>
      <c r="E380" s="550">
        <v>47.022244630916795</v>
      </c>
      <c r="F380" s="551">
        <v>0.96037262457833639</v>
      </c>
      <c r="G380" s="560">
        <v>4.861886411927828</v>
      </c>
      <c r="H380" s="566">
        <v>53.444736557784417</v>
      </c>
      <c r="I380" s="567">
        <v>33.432971993133336</v>
      </c>
      <c r="J380" s="560">
        <v>3.3492995282169482</v>
      </c>
      <c r="K380" s="568">
        <v>85.749270717038215</v>
      </c>
      <c r="L380" s="560">
        <v>8.5713256743616508</v>
      </c>
      <c r="M380" s="1057">
        <f t="shared" si="49"/>
        <v>119.18224271017155</v>
      </c>
      <c r="N380" s="1058">
        <f t="shared" si="49"/>
        <v>11.920625202578599</v>
      </c>
      <c r="O380" s="569">
        <v>1.9207452491566728</v>
      </c>
      <c r="P380" s="560">
        <v>0.19207452491566729</v>
      </c>
      <c r="Q380" s="570">
        <v>16.974586139422094</v>
      </c>
      <c r="R380" s="571">
        <v>186.6604242446069</v>
      </c>
      <c r="S380" s="1075">
        <f t="shared" si="50"/>
        <v>186.6604242446069</v>
      </c>
      <c r="T380" s="1075">
        <f t="shared" si="48"/>
        <v>0</v>
      </c>
    </row>
    <row r="381" spans="1:20" ht="15.75" x14ac:dyDescent="0.25">
      <c r="A381" s="547" t="s">
        <v>109</v>
      </c>
      <c r="B381" s="1046"/>
      <c r="C381" s="802" t="s">
        <v>1074</v>
      </c>
      <c r="D381" s="549">
        <v>13.013049063036458</v>
      </c>
      <c r="E381" s="550">
        <v>197.45261161330595</v>
      </c>
      <c r="F381" s="551">
        <v>0.96037262457833639</v>
      </c>
      <c r="G381" s="560">
        <v>21.140202398530629</v>
      </c>
      <c r="H381" s="566">
        <v>232.56623569945134</v>
      </c>
      <c r="I381" s="567">
        <v>27.910829401807902</v>
      </c>
      <c r="J381" s="560">
        <v>2.7850806112771753</v>
      </c>
      <c r="K381" s="568">
        <v>74.524915667278904</v>
      </c>
      <c r="L381" s="560">
        <v>7.4548924982893361</v>
      </c>
      <c r="M381" s="1057">
        <f t="shared" si="49"/>
        <v>102.43574506908681</v>
      </c>
      <c r="N381" s="1058">
        <f t="shared" si="49"/>
        <v>10.239973109566511</v>
      </c>
      <c r="O381" s="569">
        <v>1.9207452491566728</v>
      </c>
      <c r="P381" s="560">
        <v>0.19207452491566729</v>
      </c>
      <c r="Q381" s="570">
        <v>31.572250033012811</v>
      </c>
      <c r="R381" s="571">
        <v>347.35477365217696</v>
      </c>
      <c r="S381" s="1075">
        <f t="shared" si="50"/>
        <v>347.35477365217696</v>
      </c>
      <c r="T381" s="1075">
        <f t="shared" si="48"/>
        <v>0</v>
      </c>
    </row>
    <row r="382" spans="1:20" ht="15.75" x14ac:dyDescent="0.25">
      <c r="A382" s="547" t="s">
        <v>110</v>
      </c>
      <c r="B382" s="1046" t="s">
        <v>429</v>
      </c>
      <c r="C382" s="802" t="s">
        <v>1074</v>
      </c>
      <c r="D382" s="549">
        <v>22.028547076265593</v>
      </c>
      <c r="E382" s="550">
        <v>126.15694889617171</v>
      </c>
      <c r="F382" s="551">
        <v>0.96037262457833639</v>
      </c>
      <c r="G382" s="560">
        <v>14.909784996578672</v>
      </c>
      <c r="H382" s="566">
        <v>164.05565359359431</v>
      </c>
      <c r="I382" s="567">
        <v>55.005342072724218</v>
      </c>
      <c r="J382" s="560">
        <v>5.498133275710976</v>
      </c>
      <c r="K382" s="568">
        <v>159.12173923482311</v>
      </c>
      <c r="L382" s="560">
        <v>15.906171594578696</v>
      </c>
      <c r="M382" s="1057">
        <f t="shared" si="49"/>
        <v>214.12708130754731</v>
      </c>
      <c r="N382" s="1058">
        <f t="shared" si="49"/>
        <v>21.404304870289671</v>
      </c>
      <c r="O382" s="569">
        <v>1.9207452491566728</v>
      </c>
      <c r="P382" s="560">
        <v>0.19207452491566729</v>
      </c>
      <c r="Q382" s="570">
        <v>36.506164391784012</v>
      </c>
      <c r="R382" s="571">
        <v>401.69985954550367</v>
      </c>
      <c r="S382" s="1075">
        <f t="shared" si="50"/>
        <v>401.69985954550361</v>
      </c>
      <c r="T382" s="1075">
        <f t="shared" si="48"/>
        <v>0</v>
      </c>
    </row>
    <row r="383" spans="1:20" ht="16.5" thickBot="1" x14ac:dyDescent="0.3">
      <c r="A383" s="613" t="s">
        <v>111</v>
      </c>
      <c r="B383" s="1046"/>
      <c r="C383" s="807" t="s">
        <v>1074</v>
      </c>
      <c r="D383" s="549">
        <v>10.372024345446034</v>
      </c>
      <c r="E383" s="550">
        <v>180.92219781275136</v>
      </c>
      <c r="F383" s="551">
        <v>0.96037262457833639</v>
      </c>
      <c r="G383" s="560">
        <v>19.231461807181184</v>
      </c>
      <c r="H383" s="566">
        <v>211.48605658995689</v>
      </c>
      <c r="I383" s="567">
        <v>63.708718982965387</v>
      </c>
      <c r="J383" s="560">
        <v>6.3744732956387073</v>
      </c>
      <c r="K383" s="568">
        <v>169.86590797229326</v>
      </c>
      <c r="L383" s="560">
        <v>16.986590797229326</v>
      </c>
      <c r="M383" s="1057">
        <f t="shared" si="49"/>
        <v>233.57462695525865</v>
      </c>
      <c r="N383" s="1058">
        <f t="shared" si="49"/>
        <v>23.361064092868034</v>
      </c>
      <c r="O383" s="569">
        <v>1.9207452491566728</v>
      </c>
      <c r="P383" s="560">
        <v>0.19207452491566729</v>
      </c>
      <c r="Q383" s="570">
        <v>42.784600424964886</v>
      </c>
      <c r="R383" s="571">
        <v>470.53456741215587</v>
      </c>
      <c r="S383" s="1075">
        <f t="shared" si="50"/>
        <v>470.53456741215587</v>
      </c>
      <c r="T383" s="1075">
        <f t="shared" si="48"/>
        <v>0</v>
      </c>
    </row>
    <row r="384" spans="1:20" ht="15.75" x14ac:dyDescent="0.25">
      <c r="A384" s="546" t="s">
        <v>112</v>
      </c>
      <c r="B384" s="1046"/>
      <c r="C384" s="802" t="s">
        <v>1076</v>
      </c>
      <c r="D384" s="549">
        <v>66.571407420741423</v>
      </c>
      <c r="E384" s="550">
        <v>102.67973880575155</v>
      </c>
      <c r="F384" s="551">
        <v>0</v>
      </c>
      <c r="G384" s="560">
        <v>13.49180523727026</v>
      </c>
      <c r="H384" s="566">
        <v>182.74295146376323</v>
      </c>
      <c r="I384" s="567">
        <v>128.66921626280902</v>
      </c>
      <c r="J384" s="560">
        <v>10.260872930450278</v>
      </c>
      <c r="K384" s="568">
        <v>0</v>
      </c>
      <c r="L384" s="560">
        <v>0</v>
      </c>
      <c r="M384" s="1057">
        <f t="shared" si="49"/>
        <v>128.66921626280902</v>
      </c>
      <c r="N384" s="1058">
        <f t="shared" si="49"/>
        <v>10.260872930450278</v>
      </c>
      <c r="O384" s="569">
        <v>0</v>
      </c>
      <c r="P384" s="560">
        <v>0</v>
      </c>
      <c r="Q384" s="570">
        <v>23.752678167720539</v>
      </c>
      <c r="R384" s="571">
        <v>321.67304065702251</v>
      </c>
      <c r="S384" s="1075">
        <f t="shared" si="50"/>
        <v>321.67304065702251</v>
      </c>
      <c r="T384" s="1075">
        <f t="shared" si="48"/>
        <v>0</v>
      </c>
    </row>
    <row r="385" spans="1:20" ht="15.75" x14ac:dyDescent="0.25">
      <c r="A385" s="547" t="s">
        <v>113</v>
      </c>
      <c r="B385" s="1046"/>
      <c r="C385" s="802" t="s">
        <v>1076</v>
      </c>
      <c r="D385" s="549">
        <v>90.537114092208327</v>
      </c>
      <c r="E385" s="550">
        <v>79.530641398645741</v>
      </c>
      <c r="F385" s="551">
        <v>0</v>
      </c>
      <c r="G385" s="560">
        <v>13.562814738519052</v>
      </c>
      <c r="H385" s="566">
        <v>183.63057022937312</v>
      </c>
      <c r="I385" s="567">
        <v>101.89863429201486</v>
      </c>
      <c r="J385" s="560">
        <v>8.1305878929865525</v>
      </c>
      <c r="K385" s="568">
        <v>0</v>
      </c>
      <c r="L385" s="560">
        <v>0</v>
      </c>
      <c r="M385" s="1057">
        <f t="shared" si="49"/>
        <v>101.89863429201486</v>
      </c>
      <c r="N385" s="1058">
        <f t="shared" si="49"/>
        <v>8.1305878929865525</v>
      </c>
      <c r="O385" s="569">
        <v>0</v>
      </c>
      <c r="P385" s="560">
        <v>0</v>
      </c>
      <c r="Q385" s="570">
        <v>21.693402631505606</v>
      </c>
      <c r="R385" s="571">
        <v>293.65979241437458</v>
      </c>
      <c r="S385" s="1075">
        <f t="shared" si="50"/>
        <v>293.65979241437458</v>
      </c>
      <c r="T385" s="1075">
        <f t="shared" si="48"/>
        <v>0</v>
      </c>
    </row>
    <row r="386" spans="1:20" ht="15.75" x14ac:dyDescent="0.25">
      <c r="A386" s="547" t="s">
        <v>114</v>
      </c>
      <c r="B386" s="1046"/>
      <c r="C386" s="802" t="s">
        <v>1076</v>
      </c>
      <c r="D386" s="549">
        <v>86.27654401728087</v>
      </c>
      <c r="E386" s="550">
        <v>91.602256610940188</v>
      </c>
      <c r="F386" s="551">
        <v>0</v>
      </c>
      <c r="G386" s="560">
        <v>14.210776437414268</v>
      </c>
      <c r="H386" s="566">
        <v>192.08957706563532</v>
      </c>
      <c r="I386" s="567">
        <v>161.36909158787719</v>
      </c>
      <c r="J386" s="560">
        <v>12.897100664311637</v>
      </c>
      <c r="K386" s="568">
        <v>0</v>
      </c>
      <c r="L386" s="560">
        <v>0</v>
      </c>
      <c r="M386" s="1057">
        <f t="shared" si="49"/>
        <v>161.36909158787719</v>
      </c>
      <c r="N386" s="1058">
        <f t="shared" si="49"/>
        <v>12.897100664311637</v>
      </c>
      <c r="O386" s="569">
        <v>0</v>
      </c>
      <c r="P386" s="560">
        <v>0</v>
      </c>
      <c r="Q386" s="570">
        <v>27.107877101725904</v>
      </c>
      <c r="R386" s="571">
        <v>366.35576931782418</v>
      </c>
      <c r="S386" s="1075">
        <f t="shared" si="50"/>
        <v>366.35576931782418</v>
      </c>
      <c r="T386" s="1075">
        <f t="shared" si="48"/>
        <v>0</v>
      </c>
    </row>
    <row r="387" spans="1:20" ht="15.75" x14ac:dyDescent="0.25">
      <c r="A387" s="547" t="s">
        <v>115</v>
      </c>
      <c r="B387" s="1046"/>
      <c r="C387" s="802" t="s">
        <v>1076</v>
      </c>
      <c r="D387" s="549">
        <v>90.537114092208327</v>
      </c>
      <c r="E387" s="550">
        <v>117.16567706050489</v>
      </c>
      <c r="F387" s="551">
        <v>0</v>
      </c>
      <c r="G387" s="560">
        <v>16.607347104560958</v>
      </c>
      <c r="H387" s="566">
        <v>224.31013825727416</v>
      </c>
      <c r="I387" s="567">
        <v>191.93868187548165</v>
      </c>
      <c r="J387" s="560">
        <v>15.346928457394922</v>
      </c>
      <c r="K387" s="568">
        <v>0</v>
      </c>
      <c r="L387" s="560">
        <v>0</v>
      </c>
      <c r="M387" s="1057">
        <f t="shared" si="49"/>
        <v>191.93868187548165</v>
      </c>
      <c r="N387" s="1058">
        <f t="shared" si="49"/>
        <v>15.346928457394922</v>
      </c>
      <c r="O387" s="569">
        <v>0</v>
      </c>
      <c r="P387" s="560">
        <v>0</v>
      </c>
      <c r="Q387" s="570">
        <v>31.954275561955882</v>
      </c>
      <c r="R387" s="571">
        <v>431.59574859015072</v>
      </c>
      <c r="S387" s="1075">
        <f t="shared" si="50"/>
        <v>431.59574859015072</v>
      </c>
      <c r="T387" s="1075">
        <f t="shared" si="48"/>
        <v>0</v>
      </c>
    </row>
    <row r="388" spans="1:20" ht="15.75" x14ac:dyDescent="0.25">
      <c r="A388" s="547" t="s">
        <v>116</v>
      </c>
      <c r="B388" s="1046"/>
      <c r="C388" s="802" t="s">
        <v>1076</v>
      </c>
      <c r="D388" s="549">
        <v>140.59881247260589</v>
      </c>
      <c r="E388" s="550">
        <v>149.11995262246077</v>
      </c>
      <c r="F388" s="551">
        <v>0</v>
      </c>
      <c r="G388" s="560">
        <v>23.095840281169224</v>
      </c>
      <c r="H388" s="566">
        <v>312.81460537623587</v>
      </c>
      <c r="I388" s="567">
        <v>113.86373525243611</v>
      </c>
      <c r="J388" s="560">
        <v>9.0714637845330302</v>
      </c>
      <c r="K388" s="568">
        <v>0</v>
      </c>
      <c r="L388" s="560">
        <v>0</v>
      </c>
      <c r="M388" s="1057">
        <f t="shared" si="49"/>
        <v>113.86373525243611</v>
      </c>
      <c r="N388" s="1058">
        <f t="shared" si="49"/>
        <v>9.0714637845330302</v>
      </c>
      <c r="O388" s="569">
        <v>0</v>
      </c>
      <c r="P388" s="560">
        <v>0</v>
      </c>
      <c r="Q388" s="570">
        <v>32.167304065702254</v>
      </c>
      <c r="R388" s="571">
        <v>435.74980441320503</v>
      </c>
      <c r="S388" s="1075">
        <f t="shared" si="50"/>
        <v>435.74980441320503</v>
      </c>
      <c r="T388" s="1075">
        <f t="shared" si="48"/>
        <v>0</v>
      </c>
    </row>
    <row r="389" spans="1:20" ht="15.75" x14ac:dyDescent="0.25">
      <c r="A389" s="547" t="s">
        <v>117</v>
      </c>
      <c r="B389" s="1046"/>
      <c r="C389" s="802" t="s">
        <v>1076</v>
      </c>
      <c r="D389" s="549">
        <v>133.14281484148285</v>
      </c>
      <c r="E389" s="550">
        <v>215.26530303570945</v>
      </c>
      <c r="F389" s="551">
        <v>0</v>
      </c>
      <c r="G389" s="560">
        <v>27.809095926557713</v>
      </c>
      <c r="H389" s="566">
        <v>376.21721380374998</v>
      </c>
      <c r="I389" s="567">
        <v>147.94829585185573</v>
      </c>
      <c r="J389" s="560">
        <v>11.814205770267577</v>
      </c>
      <c r="K389" s="568">
        <v>0</v>
      </c>
      <c r="L389" s="560">
        <v>0</v>
      </c>
      <c r="M389" s="1057">
        <f t="shared" si="49"/>
        <v>147.94829585185573</v>
      </c>
      <c r="N389" s="1058">
        <f t="shared" si="49"/>
        <v>11.814205770267577</v>
      </c>
      <c r="O389" s="569">
        <v>0</v>
      </c>
      <c r="P389" s="560">
        <v>0</v>
      </c>
      <c r="Q389" s="570">
        <v>39.623301696825294</v>
      </c>
      <c r="R389" s="571">
        <v>535.97971542587334</v>
      </c>
      <c r="S389" s="1075">
        <f t="shared" si="50"/>
        <v>535.97971542587334</v>
      </c>
      <c r="T389" s="1075">
        <f t="shared" si="48"/>
        <v>0</v>
      </c>
    </row>
    <row r="390" spans="1:20" ht="15.75" x14ac:dyDescent="0.25">
      <c r="A390" s="547" t="s">
        <v>118</v>
      </c>
      <c r="B390" s="1046" t="s">
        <v>429</v>
      </c>
      <c r="C390" s="802" t="s">
        <v>1076</v>
      </c>
      <c r="D390" s="549">
        <v>124.62167469162793</v>
      </c>
      <c r="E390" s="550">
        <v>102.60872930450277</v>
      </c>
      <c r="F390" s="551">
        <v>0</v>
      </c>
      <c r="G390" s="560">
        <v>18.15180375672216</v>
      </c>
      <c r="H390" s="566">
        <v>245.38220775285285</v>
      </c>
      <c r="I390" s="567">
        <v>161.1915678347552</v>
      </c>
      <c r="J390" s="560">
        <v>12.87934828899944</v>
      </c>
      <c r="K390" s="568">
        <v>0</v>
      </c>
      <c r="L390" s="560">
        <v>0</v>
      </c>
      <c r="M390" s="1057">
        <f t="shared" si="49"/>
        <v>161.1915678347552</v>
      </c>
      <c r="N390" s="1058">
        <f t="shared" si="49"/>
        <v>12.87934828899944</v>
      </c>
      <c r="O390" s="569">
        <v>0</v>
      </c>
      <c r="P390" s="560">
        <v>0</v>
      </c>
      <c r="Q390" s="570">
        <v>31.031152045721598</v>
      </c>
      <c r="R390" s="571">
        <v>419.45312387660749</v>
      </c>
      <c r="S390" s="1075">
        <f t="shared" si="50"/>
        <v>419.45312387660749</v>
      </c>
      <c r="T390" s="1075">
        <f t="shared" si="48"/>
        <v>0</v>
      </c>
    </row>
    <row r="391" spans="1:20" ht="16.5" thickBot="1" x14ac:dyDescent="0.3">
      <c r="A391" s="613" t="s">
        <v>119</v>
      </c>
      <c r="B391" s="1046"/>
      <c r="C391" s="802" t="s">
        <v>1076</v>
      </c>
      <c r="D391" s="549">
        <v>84.146258979817148</v>
      </c>
      <c r="E391" s="550">
        <v>121.35523763418355</v>
      </c>
      <c r="F391" s="551">
        <v>0</v>
      </c>
      <c r="G391" s="560">
        <v>16.403194788470685</v>
      </c>
      <c r="H391" s="566">
        <v>221.90469140247137</v>
      </c>
      <c r="I391" s="567">
        <v>155.15576022860799</v>
      </c>
      <c r="J391" s="560">
        <v>12.391157967914003</v>
      </c>
      <c r="K391" s="568">
        <v>0</v>
      </c>
      <c r="L391" s="560">
        <v>0</v>
      </c>
      <c r="M391" s="1057">
        <f t="shared" si="49"/>
        <v>155.15576022860799</v>
      </c>
      <c r="N391" s="1058">
        <f t="shared" si="49"/>
        <v>12.391157967914003</v>
      </c>
      <c r="O391" s="569">
        <v>0</v>
      </c>
      <c r="P391" s="560">
        <v>0</v>
      </c>
      <c r="Q391" s="570">
        <v>28.79435275638469</v>
      </c>
      <c r="R391" s="571">
        <v>389.45160959899334</v>
      </c>
      <c r="S391" s="1075">
        <f t="shared" si="50"/>
        <v>389.45160959899334</v>
      </c>
      <c r="T391" s="1075">
        <f t="shared" si="48"/>
        <v>0</v>
      </c>
    </row>
    <row r="392" spans="1:20" ht="16.5" thickBot="1" x14ac:dyDescent="0.3">
      <c r="A392" s="813" t="s">
        <v>587</v>
      </c>
      <c r="B392" s="760"/>
      <c r="C392" s="812" t="s">
        <v>1084</v>
      </c>
      <c r="D392" s="549">
        <v>0</v>
      </c>
      <c r="E392" s="550">
        <v>680.71517096752939</v>
      </c>
      <c r="F392" s="551">
        <v>0</v>
      </c>
      <c r="G392" s="560">
        <v>0</v>
      </c>
      <c r="H392" s="566">
        <v>680.71517096752939</v>
      </c>
      <c r="I392" s="567">
        <v>0</v>
      </c>
      <c r="J392" s="560">
        <v>0</v>
      </c>
      <c r="K392" s="568">
        <v>0</v>
      </c>
      <c r="L392" s="560">
        <v>0</v>
      </c>
      <c r="M392" s="1057">
        <f t="shared" si="49"/>
        <v>0</v>
      </c>
      <c r="N392" s="1058">
        <f t="shared" si="49"/>
        <v>0</v>
      </c>
      <c r="O392" s="569">
        <v>0</v>
      </c>
      <c r="P392" s="560">
        <v>0</v>
      </c>
      <c r="Q392" s="570">
        <v>0</v>
      </c>
      <c r="R392" s="571">
        <v>680.71517096752939</v>
      </c>
      <c r="S392" s="1075">
        <f t="shared" si="50"/>
        <v>680.71517096752939</v>
      </c>
      <c r="T392" s="1075">
        <f t="shared" si="48"/>
        <v>0</v>
      </c>
    </row>
    <row r="393" spans="1:20" ht="16.5" thickBot="1" x14ac:dyDescent="0.3">
      <c r="A393" s="776" t="s">
        <v>775</v>
      </c>
      <c r="B393" s="776"/>
      <c r="C393" s="818" t="s">
        <v>1088</v>
      </c>
      <c r="D393" s="549">
        <v>70.827481062652311</v>
      </c>
      <c r="E393" s="550">
        <v>789.11417630040455</v>
      </c>
      <c r="F393" s="551">
        <v>0</v>
      </c>
      <c r="G393" s="560">
        <v>0</v>
      </c>
      <c r="H393" s="566">
        <v>859.94165736305683</v>
      </c>
      <c r="I393" s="567">
        <v>0</v>
      </c>
      <c r="J393" s="560">
        <v>0</v>
      </c>
      <c r="K393" s="568">
        <v>0</v>
      </c>
      <c r="L393" s="560">
        <v>0</v>
      </c>
      <c r="M393" s="1057">
        <f t="shared" si="49"/>
        <v>0</v>
      </c>
      <c r="N393" s="1058">
        <f t="shared" si="49"/>
        <v>0</v>
      </c>
      <c r="O393" s="569">
        <v>0</v>
      </c>
      <c r="P393" s="560">
        <v>0</v>
      </c>
      <c r="Q393" s="570">
        <v>0</v>
      </c>
      <c r="R393" s="571">
        <v>859.94165736305683</v>
      </c>
      <c r="S393" s="1075">
        <f t="shared" si="50"/>
        <v>859.94165736305683</v>
      </c>
      <c r="T393" s="1075">
        <f t="shared" si="48"/>
        <v>0</v>
      </c>
    </row>
    <row r="394" spans="1:20" ht="15.75" x14ac:dyDescent="0.25">
      <c r="A394" s="659" t="s">
        <v>620</v>
      </c>
      <c r="B394" s="752"/>
      <c r="C394" s="816" t="s">
        <v>1092</v>
      </c>
      <c r="D394" s="549">
        <v>141.32910362778591</v>
      </c>
      <c r="E394" s="550">
        <v>0</v>
      </c>
      <c r="F394" s="551">
        <v>0</v>
      </c>
      <c r="G394" s="560">
        <v>0</v>
      </c>
      <c r="H394" s="566">
        <v>141.32910362778591</v>
      </c>
      <c r="I394" s="567">
        <v>0</v>
      </c>
      <c r="J394" s="560">
        <v>0</v>
      </c>
      <c r="K394" s="568">
        <v>46.770782495526269</v>
      </c>
      <c r="L394" s="560">
        <v>0</v>
      </c>
      <c r="M394" s="1057">
        <f t="shared" si="49"/>
        <v>46.770782495526269</v>
      </c>
      <c r="N394" s="1058">
        <f t="shared" si="49"/>
        <v>0</v>
      </c>
      <c r="O394" s="569">
        <v>0</v>
      </c>
      <c r="P394" s="560">
        <v>0</v>
      </c>
      <c r="Q394" s="570">
        <v>0</v>
      </c>
      <c r="R394" s="571">
        <v>188.09988612331219</v>
      </c>
      <c r="S394" s="1075">
        <f t="shared" si="50"/>
        <v>188.09988612331219</v>
      </c>
      <c r="T394" s="1075">
        <f t="shared" si="48"/>
        <v>0</v>
      </c>
    </row>
    <row r="395" spans="1:20" ht="15.75" x14ac:dyDescent="0.25">
      <c r="A395" s="657" t="s">
        <v>889</v>
      </c>
      <c r="B395" s="747" t="s">
        <v>429</v>
      </c>
      <c r="C395" s="815" t="s">
        <v>1092</v>
      </c>
      <c r="D395" s="549">
        <v>211.48527737107531</v>
      </c>
      <c r="E395" s="550">
        <v>0</v>
      </c>
      <c r="F395" s="551">
        <v>0</v>
      </c>
      <c r="G395" s="560">
        <v>0</v>
      </c>
      <c r="H395" s="566">
        <v>211.48527737107531</v>
      </c>
      <c r="I395" s="567">
        <v>0</v>
      </c>
      <c r="J395" s="560">
        <v>0</v>
      </c>
      <c r="K395" s="568">
        <v>0</v>
      </c>
      <c r="L395" s="560">
        <v>0</v>
      </c>
      <c r="M395" s="1057">
        <f t="shared" si="49"/>
        <v>0</v>
      </c>
      <c r="N395" s="1058">
        <f t="shared" si="49"/>
        <v>0</v>
      </c>
      <c r="O395" s="569">
        <v>0</v>
      </c>
      <c r="P395" s="560">
        <v>0</v>
      </c>
      <c r="Q395" s="570">
        <v>0</v>
      </c>
      <c r="R395" s="571">
        <v>211.48527737107531</v>
      </c>
      <c r="S395" s="1075">
        <f t="shared" si="50"/>
        <v>211.48527737107531</v>
      </c>
      <c r="T395" s="1075">
        <f t="shared" si="48"/>
        <v>0</v>
      </c>
    </row>
    <row r="396" spans="1:20" ht="15.75" x14ac:dyDescent="0.25">
      <c r="A396" s="657" t="s">
        <v>621</v>
      </c>
      <c r="B396" s="747"/>
      <c r="C396" s="815" t="s">
        <v>1092</v>
      </c>
      <c r="D396" s="549">
        <v>114.8934439564015</v>
      </c>
      <c r="E396" s="550">
        <v>0</v>
      </c>
      <c r="F396" s="551">
        <v>0</v>
      </c>
      <c r="G396" s="560">
        <v>0</v>
      </c>
      <c r="H396" s="566">
        <v>114.8934439564015</v>
      </c>
      <c r="I396" s="567">
        <v>0</v>
      </c>
      <c r="J396" s="560">
        <v>0</v>
      </c>
      <c r="K396" s="568">
        <v>8.1340491296567432</v>
      </c>
      <c r="L396" s="560">
        <v>0</v>
      </c>
      <c r="M396" s="1057">
        <f t="shared" si="49"/>
        <v>8.1340491296567432</v>
      </c>
      <c r="N396" s="1058">
        <f t="shared" si="49"/>
        <v>0</v>
      </c>
      <c r="O396" s="569">
        <v>0</v>
      </c>
      <c r="P396" s="560">
        <v>0</v>
      </c>
      <c r="Q396" s="570">
        <v>0</v>
      </c>
      <c r="R396" s="571">
        <v>123.02749308605824</v>
      </c>
      <c r="S396" s="1075">
        <f t="shared" si="50"/>
        <v>123.02749308605824</v>
      </c>
      <c r="T396" s="1075">
        <f t="shared" si="48"/>
        <v>0</v>
      </c>
    </row>
    <row r="397" spans="1:20" ht="15.75" x14ac:dyDescent="0.25">
      <c r="A397" s="657" t="s">
        <v>622</v>
      </c>
      <c r="B397" s="747"/>
      <c r="C397" s="815" t="s">
        <v>1092</v>
      </c>
      <c r="D397" s="549">
        <v>233.85391247763135</v>
      </c>
      <c r="E397" s="550">
        <v>0</v>
      </c>
      <c r="F397" s="551">
        <v>0</v>
      </c>
      <c r="G397" s="560">
        <v>0</v>
      </c>
      <c r="H397" s="566">
        <v>233.85391247763135</v>
      </c>
      <c r="I397" s="567">
        <v>0</v>
      </c>
      <c r="J397" s="560">
        <v>0</v>
      </c>
      <c r="K397" s="568">
        <v>0</v>
      </c>
      <c r="L397" s="560">
        <v>0</v>
      </c>
      <c r="M397" s="1057">
        <f t="shared" si="49"/>
        <v>0</v>
      </c>
      <c r="N397" s="1058">
        <f t="shared" si="49"/>
        <v>0</v>
      </c>
      <c r="O397" s="569">
        <v>0</v>
      </c>
      <c r="P397" s="560">
        <v>0</v>
      </c>
      <c r="Q397" s="570">
        <v>0</v>
      </c>
      <c r="R397" s="571">
        <v>233.85391247763135</v>
      </c>
      <c r="S397" s="1075">
        <f t="shared" si="50"/>
        <v>233.85391247763135</v>
      </c>
      <c r="T397" s="1075">
        <f t="shared" si="48"/>
        <v>0</v>
      </c>
    </row>
    <row r="398" spans="1:20" ht="15.75" x14ac:dyDescent="0.25">
      <c r="A398" s="657" t="s">
        <v>623</v>
      </c>
      <c r="B398" s="747"/>
      <c r="C398" s="815" t="s">
        <v>1092</v>
      </c>
      <c r="D398" s="549">
        <v>122.01073694485115</v>
      </c>
      <c r="E398" s="550">
        <v>0</v>
      </c>
      <c r="F398" s="551">
        <v>0</v>
      </c>
      <c r="G398" s="560">
        <v>0</v>
      </c>
      <c r="H398" s="566">
        <v>122.01073694485115</v>
      </c>
      <c r="I398" s="567">
        <v>0</v>
      </c>
      <c r="J398" s="560">
        <v>0</v>
      </c>
      <c r="K398" s="568">
        <v>26.435659671384414</v>
      </c>
      <c r="L398" s="560">
        <v>0</v>
      </c>
      <c r="M398" s="1057">
        <f t="shared" si="49"/>
        <v>26.435659671384414</v>
      </c>
      <c r="N398" s="1058">
        <f t="shared" si="49"/>
        <v>0</v>
      </c>
      <c r="O398" s="569">
        <v>0</v>
      </c>
      <c r="P398" s="560">
        <v>0</v>
      </c>
      <c r="Q398" s="570">
        <v>0</v>
      </c>
      <c r="R398" s="571">
        <v>148.44639661623557</v>
      </c>
      <c r="S398" s="1075">
        <f t="shared" si="50"/>
        <v>148.44639661623557</v>
      </c>
      <c r="T398" s="1075">
        <f t="shared" si="48"/>
        <v>0</v>
      </c>
    </row>
    <row r="399" spans="1:20" ht="16.5" thickBot="1" x14ac:dyDescent="0.3">
      <c r="A399" s="657" t="s">
        <v>624</v>
      </c>
      <c r="B399" s="747"/>
      <c r="C399" s="819" t="s">
        <v>1092</v>
      </c>
      <c r="D399" s="549">
        <v>208.43500894745404</v>
      </c>
      <c r="E399" s="550">
        <v>0</v>
      </c>
      <c r="F399" s="551">
        <v>0</v>
      </c>
      <c r="G399" s="560">
        <v>0</v>
      </c>
      <c r="H399" s="566">
        <v>208.43500894745404</v>
      </c>
      <c r="I399" s="567">
        <v>0</v>
      </c>
      <c r="J399" s="560">
        <v>0</v>
      </c>
      <c r="K399" s="568">
        <v>34.569708801041159</v>
      </c>
      <c r="L399" s="560">
        <v>0</v>
      </c>
      <c r="M399" s="1057">
        <f t="shared" si="49"/>
        <v>34.569708801041159</v>
      </c>
      <c r="N399" s="1058">
        <f t="shared" si="49"/>
        <v>0</v>
      </c>
      <c r="O399" s="569">
        <v>0</v>
      </c>
      <c r="P399" s="560">
        <v>0</v>
      </c>
      <c r="Q399" s="570">
        <v>0</v>
      </c>
      <c r="R399" s="571">
        <v>243.00471774849518</v>
      </c>
      <c r="S399" s="1075">
        <f t="shared" si="50"/>
        <v>243.00471774849518</v>
      </c>
      <c r="T399" s="1075">
        <f t="shared" si="48"/>
        <v>0</v>
      </c>
    </row>
    <row r="400" spans="1:20" ht="15.75" x14ac:dyDescent="0.25">
      <c r="A400" s="631" t="s">
        <v>182</v>
      </c>
      <c r="B400" s="631" t="s">
        <v>429</v>
      </c>
      <c r="C400" s="631" t="s">
        <v>1106</v>
      </c>
      <c r="D400" s="549">
        <v>50.599632657471098</v>
      </c>
      <c r="E400" s="550">
        <v>283.30992425060924</v>
      </c>
      <c r="F400" s="551">
        <v>0</v>
      </c>
      <c r="G400" s="560">
        <v>20.035773880265545</v>
      </c>
      <c r="H400" s="566">
        <v>353.94533078834587</v>
      </c>
      <c r="I400" s="567">
        <v>153.65961993253381</v>
      </c>
      <c r="J400" s="560">
        <v>0</v>
      </c>
      <c r="K400" s="568">
        <v>189.61357006518529</v>
      </c>
      <c r="L400" s="560">
        <v>0</v>
      </c>
      <c r="M400" s="1057">
        <f t="shared" si="49"/>
        <v>343.2731899977191</v>
      </c>
      <c r="N400" s="1058">
        <f t="shared" si="49"/>
        <v>0</v>
      </c>
      <c r="O400" s="569">
        <v>80.671300464580256</v>
      </c>
      <c r="P400" s="560">
        <v>4.8378770963133695</v>
      </c>
      <c r="Q400" s="570">
        <v>24.873650976578915</v>
      </c>
      <c r="R400" s="571">
        <v>782.72769834695862</v>
      </c>
      <c r="S400" s="1075">
        <f t="shared" si="50"/>
        <v>782.72769834695862</v>
      </c>
      <c r="T400" s="1075">
        <f t="shared" si="48"/>
        <v>0</v>
      </c>
    </row>
    <row r="401" spans="1:20" ht="15.75" x14ac:dyDescent="0.25">
      <c r="A401" s="631" t="s">
        <v>183</v>
      </c>
      <c r="B401" s="631"/>
      <c r="C401" s="631" t="s">
        <v>1106</v>
      </c>
      <c r="D401" s="549">
        <v>70.827481062652311</v>
      </c>
      <c r="E401" s="550">
        <v>216.08384053012568</v>
      </c>
      <c r="F401" s="551">
        <v>9.4116517208676953</v>
      </c>
      <c r="G401" s="560">
        <v>17.778898212506451</v>
      </c>
      <c r="H401" s="566">
        <v>314.10187152615214</v>
      </c>
      <c r="I401" s="567">
        <v>228.08849833735488</v>
      </c>
      <c r="J401" s="560">
        <v>0</v>
      </c>
      <c r="K401" s="568">
        <v>191.94247367978772</v>
      </c>
      <c r="L401" s="560">
        <v>0</v>
      </c>
      <c r="M401" s="1057">
        <f t="shared" si="49"/>
        <v>420.03097201714263</v>
      </c>
      <c r="N401" s="1058">
        <f t="shared" si="49"/>
        <v>0</v>
      </c>
      <c r="O401" s="569">
        <v>80.671300464580256</v>
      </c>
      <c r="P401" s="560">
        <v>4.8378770963133695</v>
      </c>
      <c r="Q401" s="570">
        <v>22.616775308819822</v>
      </c>
      <c r="R401" s="571">
        <v>819.6420211041883</v>
      </c>
      <c r="S401" s="1075">
        <f t="shared" si="50"/>
        <v>819.6420211041883</v>
      </c>
      <c r="T401" s="1075">
        <f t="shared" si="48"/>
        <v>0</v>
      </c>
    </row>
    <row r="402" spans="1:20" ht="15.75" x14ac:dyDescent="0.25">
      <c r="A402" s="631" t="s">
        <v>184</v>
      </c>
      <c r="B402" s="631"/>
      <c r="C402" s="631" t="s">
        <v>1106</v>
      </c>
      <c r="D402" s="549">
        <v>73.444496464628273</v>
      </c>
      <c r="E402" s="550">
        <v>244.89501926747576</v>
      </c>
      <c r="F402" s="551">
        <v>22.088570365301734</v>
      </c>
      <c r="G402" s="560">
        <v>20.419922930096877</v>
      </c>
      <c r="H402" s="566">
        <v>360.84800902750266</v>
      </c>
      <c r="I402" s="567">
        <v>164.4638119590401</v>
      </c>
      <c r="J402" s="560">
        <v>0</v>
      </c>
      <c r="K402" s="568">
        <v>336.7306514927792</v>
      </c>
      <c r="L402" s="560">
        <v>0</v>
      </c>
      <c r="M402" s="1057">
        <f t="shared" si="49"/>
        <v>501.19446345181927</v>
      </c>
      <c r="N402" s="1058">
        <f t="shared" si="49"/>
        <v>0</v>
      </c>
      <c r="O402" s="569">
        <v>80.671300464580256</v>
      </c>
      <c r="P402" s="560">
        <v>4.8378770963133695</v>
      </c>
      <c r="Q402" s="570">
        <v>25.257800026410248</v>
      </c>
      <c r="R402" s="571">
        <v>947.55165004021558</v>
      </c>
      <c r="S402" s="1075">
        <f t="shared" si="50"/>
        <v>947.55165004021558</v>
      </c>
      <c r="T402" s="1075">
        <f t="shared" si="48"/>
        <v>0</v>
      </c>
    </row>
    <row r="403" spans="1:20" ht="15.75" x14ac:dyDescent="0.25">
      <c r="A403" s="631" t="s">
        <v>185</v>
      </c>
      <c r="B403" s="631"/>
      <c r="C403" s="631" t="s">
        <v>1106</v>
      </c>
      <c r="D403" s="549">
        <v>54.020960132531421</v>
      </c>
      <c r="E403" s="550">
        <v>151.25868837108797</v>
      </c>
      <c r="F403" s="551">
        <v>0</v>
      </c>
      <c r="G403" s="560">
        <v>12.316778910217163</v>
      </c>
      <c r="H403" s="566">
        <v>217.59642741383655</v>
      </c>
      <c r="I403" s="567">
        <v>264.10247175904249</v>
      </c>
      <c r="J403" s="560">
        <v>0</v>
      </c>
      <c r="K403" s="568">
        <v>230.77754168617423</v>
      </c>
      <c r="L403" s="560">
        <v>0</v>
      </c>
      <c r="M403" s="1057">
        <f t="shared" si="49"/>
        <v>494.88001344521672</v>
      </c>
      <c r="N403" s="1058">
        <f t="shared" si="49"/>
        <v>0</v>
      </c>
      <c r="O403" s="569">
        <v>80.671300464580256</v>
      </c>
      <c r="P403" s="560">
        <v>4.8378770963133695</v>
      </c>
      <c r="Q403" s="570">
        <v>17.154656006530534</v>
      </c>
      <c r="R403" s="571">
        <v>797.98561841994683</v>
      </c>
      <c r="S403" s="1075">
        <f t="shared" si="50"/>
        <v>797.98561841994683</v>
      </c>
      <c r="T403" s="1075">
        <f t="shared" si="48"/>
        <v>0</v>
      </c>
    </row>
    <row r="404" spans="1:20" ht="16.5" thickBot="1" x14ac:dyDescent="0.3">
      <c r="A404" s="631" t="s">
        <v>186</v>
      </c>
      <c r="B404" s="631"/>
      <c r="C404" s="631" t="s">
        <v>1106</v>
      </c>
      <c r="D404" s="549">
        <v>84.560809594122517</v>
      </c>
      <c r="E404" s="550">
        <v>110.80299156072556</v>
      </c>
      <c r="F404" s="551">
        <v>0</v>
      </c>
      <c r="G404" s="560">
        <v>11.716546019855704</v>
      </c>
      <c r="H404" s="566">
        <v>207.0803471747038</v>
      </c>
      <c r="I404" s="567">
        <v>172.86707242410054</v>
      </c>
      <c r="J404" s="560">
        <v>0</v>
      </c>
      <c r="K404" s="568">
        <v>174.59574314834154</v>
      </c>
      <c r="L404" s="560">
        <v>0</v>
      </c>
      <c r="M404" s="1057">
        <f t="shared" si="49"/>
        <v>347.46281557244208</v>
      </c>
      <c r="N404" s="1058">
        <f t="shared" si="49"/>
        <v>0</v>
      </c>
      <c r="O404" s="569">
        <v>80.671300464580256</v>
      </c>
      <c r="P404" s="560">
        <v>4.8378770963133695</v>
      </c>
      <c r="Q404" s="570">
        <v>16.554423116169072</v>
      </c>
      <c r="R404" s="571">
        <v>640.05234030803945</v>
      </c>
      <c r="S404" s="1075">
        <f t="shared" si="50"/>
        <v>640.05234030803945</v>
      </c>
      <c r="T404" s="1075">
        <f t="shared" si="48"/>
        <v>0</v>
      </c>
    </row>
    <row r="405" spans="1:20" ht="15.75" x14ac:dyDescent="0.25">
      <c r="A405" s="546" t="s">
        <v>125</v>
      </c>
      <c r="B405" s="1046"/>
      <c r="C405" s="802" t="s">
        <v>1112</v>
      </c>
      <c r="D405" s="549">
        <v>299.6832546649556</v>
      </c>
      <c r="E405" s="550">
        <v>0</v>
      </c>
      <c r="F405" s="551">
        <v>0</v>
      </c>
      <c r="G405" s="560">
        <v>74.859877664883683</v>
      </c>
      <c r="H405" s="566">
        <v>374.5431323298393</v>
      </c>
      <c r="I405" s="567">
        <v>417.77722529136548</v>
      </c>
      <c r="J405" s="560">
        <v>104.44430632284137</v>
      </c>
      <c r="K405" s="568">
        <v>0</v>
      </c>
      <c r="L405" s="560">
        <v>0</v>
      </c>
      <c r="M405" s="1057">
        <f t="shared" si="49"/>
        <v>417.77722529136548</v>
      </c>
      <c r="N405" s="1058">
        <f t="shared" si="49"/>
        <v>104.44430632284137</v>
      </c>
      <c r="O405" s="569">
        <v>0</v>
      </c>
      <c r="P405" s="560">
        <v>0</v>
      </c>
      <c r="Q405" s="570">
        <v>179.30418398772505</v>
      </c>
      <c r="R405" s="571">
        <v>896.76466394404611</v>
      </c>
      <c r="S405" s="1075">
        <f t="shared" si="50"/>
        <v>896.76466394404611</v>
      </c>
      <c r="T405" s="1075">
        <f t="shared" si="48"/>
        <v>0</v>
      </c>
    </row>
    <row r="406" spans="1:20" ht="15.75" x14ac:dyDescent="0.25">
      <c r="A406" s="547" t="s">
        <v>126</v>
      </c>
      <c r="B406" s="1046" t="s">
        <v>429</v>
      </c>
      <c r="C406" s="802" t="s">
        <v>1112</v>
      </c>
      <c r="D406" s="549">
        <v>37.536576834813467</v>
      </c>
      <c r="E406" s="550">
        <v>238.13789329618675</v>
      </c>
      <c r="F406" s="551">
        <v>0</v>
      </c>
      <c r="G406" s="560">
        <v>64.226545428398367</v>
      </c>
      <c r="H406" s="566">
        <v>339.90101555939856</v>
      </c>
      <c r="I406" s="567">
        <v>357.32871194699055</v>
      </c>
      <c r="J406" s="560">
        <v>94.024250091099319</v>
      </c>
      <c r="K406" s="568">
        <v>0</v>
      </c>
      <c r="L406" s="560">
        <v>0</v>
      </c>
      <c r="M406" s="1057">
        <f t="shared" si="49"/>
        <v>357.32871194699055</v>
      </c>
      <c r="N406" s="1058">
        <f t="shared" si="49"/>
        <v>94.024250091099319</v>
      </c>
      <c r="O406" s="569">
        <v>0</v>
      </c>
      <c r="P406" s="560">
        <v>0</v>
      </c>
      <c r="Q406" s="570">
        <v>158.25079551949767</v>
      </c>
      <c r="R406" s="571">
        <v>791.25397759748842</v>
      </c>
      <c r="S406" s="1075">
        <f t="shared" si="50"/>
        <v>791.25397759748842</v>
      </c>
      <c r="T406" s="1075">
        <f t="shared" si="48"/>
        <v>0</v>
      </c>
    </row>
    <row r="407" spans="1:20" ht="16.5" thickBot="1" x14ac:dyDescent="0.3">
      <c r="A407" s="641" t="s">
        <v>127</v>
      </c>
      <c r="B407" s="1046"/>
      <c r="C407" s="807" t="s">
        <v>1112</v>
      </c>
      <c r="D407" s="549">
        <v>38.609050458665287</v>
      </c>
      <c r="E407" s="550">
        <v>213.03226073783748</v>
      </c>
      <c r="F407" s="551">
        <v>11.894707464538293</v>
      </c>
      <c r="G407" s="560">
        <v>65.884004665260264</v>
      </c>
      <c r="H407" s="566">
        <v>329.4200233263013</v>
      </c>
      <c r="I407" s="567">
        <v>272.9445372702865</v>
      </c>
      <c r="J407" s="560">
        <v>68.236134317571626</v>
      </c>
      <c r="K407" s="568">
        <v>0</v>
      </c>
      <c r="L407" s="560">
        <v>0</v>
      </c>
      <c r="M407" s="1057">
        <f t="shared" si="49"/>
        <v>272.9445372702865</v>
      </c>
      <c r="N407" s="1058">
        <f t="shared" si="49"/>
        <v>68.236134317571626</v>
      </c>
      <c r="O407" s="569">
        <v>0</v>
      </c>
      <c r="P407" s="560">
        <v>0</v>
      </c>
      <c r="Q407" s="570">
        <v>134.12013898283189</v>
      </c>
      <c r="R407" s="571">
        <v>670.60069491415948</v>
      </c>
      <c r="S407" s="1075">
        <f t="shared" si="50"/>
        <v>670.60069491415948</v>
      </c>
      <c r="T407" s="1075">
        <f t="shared" si="48"/>
        <v>0</v>
      </c>
    </row>
    <row r="408" spans="1:20" ht="15.75" x14ac:dyDescent="0.25">
      <c r="A408" s="546" t="s">
        <v>128</v>
      </c>
      <c r="B408" s="1046"/>
      <c r="C408" s="802" t="s">
        <v>1114</v>
      </c>
      <c r="D408" s="549">
        <v>0</v>
      </c>
      <c r="E408" s="550">
        <v>274.2561448900388</v>
      </c>
      <c r="F408" s="551">
        <v>0</v>
      </c>
      <c r="G408" s="560">
        <v>21.940491591203102</v>
      </c>
      <c r="H408" s="566">
        <v>296.19663648124191</v>
      </c>
      <c r="I408" s="567">
        <v>0</v>
      </c>
      <c r="J408" s="560">
        <v>0</v>
      </c>
      <c r="K408" s="568">
        <v>280.58071007618224</v>
      </c>
      <c r="L408" s="560">
        <v>22.446456806094581</v>
      </c>
      <c r="M408" s="1057">
        <f t="shared" si="49"/>
        <v>280.58071007618224</v>
      </c>
      <c r="N408" s="1058">
        <f t="shared" si="49"/>
        <v>22.446456806094581</v>
      </c>
      <c r="O408" s="569">
        <v>0</v>
      </c>
      <c r="P408" s="560">
        <v>0</v>
      </c>
      <c r="Q408" s="570">
        <v>44.386948397297687</v>
      </c>
      <c r="R408" s="571">
        <v>599.22380336351875</v>
      </c>
      <c r="S408" s="1075">
        <f t="shared" si="50"/>
        <v>599.22380336351875</v>
      </c>
      <c r="T408" s="1075">
        <f t="shared" si="48"/>
        <v>0</v>
      </c>
    </row>
    <row r="409" spans="1:20" ht="15.75" x14ac:dyDescent="0.25">
      <c r="A409" s="641" t="s">
        <v>891</v>
      </c>
      <c r="B409" s="1046" t="s">
        <v>429</v>
      </c>
      <c r="C409" s="802" t="s">
        <v>1114</v>
      </c>
      <c r="D409" s="549">
        <v>0</v>
      </c>
      <c r="E409" s="550">
        <v>241.48339801638639</v>
      </c>
      <c r="F409" s="551">
        <v>0</v>
      </c>
      <c r="G409" s="560">
        <v>19.318671841310913</v>
      </c>
      <c r="H409" s="566">
        <v>260.80206985769729</v>
      </c>
      <c r="I409" s="567">
        <v>0</v>
      </c>
      <c r="J409" s="560">
        <v>0</v>
      </c>
      <c r="K409" s="568">
        <v>369.12462268219059</v>
      </c>
      <c r="L409" s="560">
        <v>29.529969814575249</v>
      </c>
      <c r="M409" s="1057">
        <f t="shared" si="49"/>
        <v>369.12462268219059</v>
      </c>
      <c r="N409" s="1058">
        <f t="shared" si="49"/>
        <v>29.529969814575249</v>
      </c>
      <c r="O409" s="569">
        <v>0</v>
      </c>
      <c r="P409" s="560">
        <v>0</v>
      </c>
      <c r="Q409" s="570">
        <v>48.848641655886162</v>
      </c>
      <c r="R409" s="571">
        <v>659.45666235446311</v>
      </c>
      <c r="S409" s="1075">
        <f t="shared" si="50"/>
        <v>659.45666235446311</v>
      </c>
      <c r="T409" s="1075">
        <f t="shared" si="48"/>
        <v>0</v>
      </c>
    </row>
    <row r="410" spans="1:20" ht="15.75" x14ac:dyDescent="0.25">
      <c r="A410" s="547" t="s">
        <v>129</v>
      </c>
      <c r="B410" s="1046"/>
      <c r="C410" s="802" t="s">
        <v>1114</v>
      </c>
      <c r="D410" s="549">
        <v>0</v>
      </c>
      <c r="E410" s="550">
        <v>257.58229121747883</v>
      </c>
      <c r="F410" s="551">
        <v>0</v>
      </c>
      <c r="G410" s="560">
        <v>20.606583297398306</v>
      </c>
      <c r="H410" s="566">
        <v>278.18887451487711</v>
      </c>
      <c r="I410" s="567">
        <v>0</v>
      </c>
      <c r="J410" s="560">
        <v>0</v>
      </c>
      <c r="K410" s="568">
        <v>316.8032197786402</v>
      </c>
      <c r="L410" s="560">
        <v>25.344257582291217</v>
      </c>
      <c r="M410" s="1057">
        <f t="shared" si="49"/>
        <v>316.8032197786402</v>
      </c>
      <c r="N410" s="1058">
        <f t="shared" si="49"/>
        <v>25.344257582291217</v>
      </c>
      <c r="O410" s="569">
        <v>0</v>
      </c>
      <c r="P410" s="560">
        <v>0</v>
      </c>
      <c r="Q410" s="570">
        <v>45.950840879689522</v>
      </c>
      <c r="R410" s="571">
        <v>620.33635187580853</v>
      </c>
      <c r="S410" s="1075">
        <f t="shared" si="50"/>
        <v>620.33635187580853</v>
      </c>
      <c r="T410" s="1075">
        <f t="shared" si="48"/>
        <v>0</v>
      </c>
    </row>
    <row r="411" spans="1:20" ht="15.75" x14ac:dyDescent="0.25">
      <c r="A411" s="547" t="s">
        <v>130</v>
      </c>
      <c r="B411" s="1046"/>
      <c r="C411" s="802" t="s">
        <v>1114</v>
      </c>
      <c r="D411" s="549">
        <v>0</v>
      </c>
      <c r="E411" s="550">
        <v>192.03679747017392</v>
      </c>
      <c r="F411" s="551">
        <v>0</v>
      </c>
      <c r="G411" s="560">
        <v>15.362943797613914</v>
      </c>
      <c r="H411" s="566">
        <v>207.39974126778785</v>
      </c>
      <c r="I411" s="567">
        <v>0</v>
      </c>
      <c r="J411" s="560">
        <v>0</v>
      </c>
      <c r="K411" s="568">
        <v>319.10306166451056</v>
      </c>
      <c r="L411" s="560">
        <v>25.528244933160845</v>
      </c>
      <c r="M411" s="1057">
        <f t="shared" si="49"/>
        <v>319.10306166451056</v>
      </c>
      <c r="N411" s="1058">
        <f t="shared" si="49"/>
        <v>25.528244933160845</v>
      </c>
      <c r="O411" s="569">
        <v>0</v>
      </c>
      <c r="P411" s="560">
        <v>0</v>
      </c>
      <c r="Q411" s="570">
        <v>40.891188730774758</v>
      </c>
      <c r="R411" s="571">
        <v>552.0310478654593</v>
      </c>
      <c r="S411" s="1075">
        <f t="shared" si="50"/>
        <v>552.0310478654593</v>
      </c>
      <c r="T411" s="1075">
        <f t="shared" si="48"/>
        <v>0</v>
      </c>
    </row>
    <row r="412" spans="1:20" ht="15.75" x14ac:dyDescent="0.25">
      <c r="A412" s="547" t="s">
        <v>131</v>
      </c>
      <c r="B412" s="1046"/>
      <c r="C412" s="802" t="s">
        <v>1114</v>
      </c>
      <c r="D412" s="549">
        <v>0</v>
      </c>
      <c r="E412" s="550">
        <v>194.33663935604429</v>
      </c>
      <c r="F412" s="551">
        <v>0</v>
      </c>
      <c r="G412" s="560">
        <v>15.546931148483541</v>
      </c>
      <c r="H412" s="566">
        <v>209.88357050452782</v>
      </c>
      <c r="I412" s="567">
        <v>0</v>
      </c>
      <c r="J412" s="560">
        <v>0</v>
      </c>
      <c r="K412" s="568">
        <v>190.88687652723877</v>
      </c>
      <c r="L412" s="560">
        <v>15.2709501221791</v>
      </c>
      <c r="M412" s="1057">
        <f t="shared" si="49"/>
        <v>190.88687652723877</v>
      </c>
      <c r="N412" s="1058">
        <f t="shared" si="49"/>
        <v>15.2709501221791</v>
      </c>
      <c r="O412" s="569">
        <v>0</v>
      </c>
      <c r="P412" s="560">
        <v>0</v>
      </c>
      <c r="Q412" s="570">
        <v>30.817881270662639</v>
      </c>
      <c r="R412" s="571">
        <v>416.0413971539457</v>
      </c>
      <c r="S412" s="1075">
        <f t="shared" si="50"/>
        <v>416.0413971539457</v>
      </c>
      <c r="T412" s="1075">
        <f t="shared" si="48"/>
        <v>0</v>
      </c>
    </row>
    <row r="413" spans="1:20" ht="16.5" thickBot="1" x14ac:dyDescent="0.3">
      <c r="A413" s="543" t="s">
        <v>132</v>
      </c>
      <c r="B413" s="1046"/>
      <c r="C413" s="802" t="s">
        <v>1114</v>
      </c>
      <c r="D413" s="549">
        <v>0</v>
      </c>
      <c r="E413" s="550">
        <v>169.61333908293804</v>
      </c>
      <c r="F413" s="551">
        <v>0</v>
      </c>
      <c r="G413" s="560">
        <v>13.569067126635044</v>
      </c>
      <c r="H413" s="566">
        <v>183.18240620957309</v>
      </c>
      <c r="I413" s="567">
        <v>0</v>
      </c>
      <c r="J413" s="560">
        <v>0</v>
      </c>
      <c r="K413" s="568">
        <v>259.30717263188154</v>
      </c>
      <c r="L413" s="560">
        <v>20.744573810550524</v>
      </c>
      <c r="M413" s="1057">
        <f t="shared" si="49"/>
        <v>259.30717263188154</v>
      </c>
      <c r="N413" s="1058">
        <f t="shared" si="49"/>
        <v>20.744573810550524</v>
      </c>
      <c r="O413" s="569">
        <v>0</v>
      </c>
      <c r="P413" s="560">
        <v>0</v>
      </c>
      <c r="Q413" s="570">
        <v>34.313640937185568</v>
      </c>
      <c r="R413" s="571">
        <v>463.23415265200521</v>
      </c>
      <c r="S413" s="1075">
        <f t="shared" si="50"/>
        <v>463.23415265200521</v>
      </c>
      <c r="T413" s="1075">
        <f t="shared" si="48"/>
        <v>0</v>
      </c>
    </row>
    <row r="414" spans="1:20" ht="15.75" x14ac:dyDescent="0.25">
      <c r="A414" s="638" t="s">
        <v>133</v>
      </c>
      <c r="B414" s="693" t="s">
        <v>429</v>
      </c>
      <c r="C414" s="806" t="s">
        <v>1116</v>
      </c>
      <c r="D414" s="549">
        <v>68.426549501206466</v>
      </c>
      <c r="E414" s="550">
        <v>124.47629680315961</v>
      </c>
      <c r="F414" s="551">
        <v>5.4261053288675996</v>
      </c>
      <c r="G414" s="560">
        <v>11.896615886964142</v>
      </c>
      <c r="H414" s="566">
        <v>210.22556752019784</v>
      </c>
      <c r="I414" s="567">
        <v>127.9216335938344</v>
      </c>
      <c r="J414" s="560">
        <v>0</v>
      </c>
      <c r="K414" s="568">
        <v>0</v>
      </c>
      <c r="L414" s="560">
        <v>0</v>
      </c>
      <c r="M414" s="1057">
        <f t="shared" si="49"/>
        <v>127.9216335938344</v>
      </c>
      <c r="N414" s="1058">
        <f t="shared" si="49"/>
        <v>0</v>
      </c>
      <c r="O414" s="569">
        <v>17.442767793904032</v>
      </c>
      <c r="P414" s="560">
        <v>0</v>
      </c>
      <c r="Q414" s="570">
        <v>11.896615886964142</v>
      </c>
      <c r="R414" s="571">
        <v>355.58996890793622</v>
      </c>
      <c r="S414" s="1075">
        <f t="shared" si="50"/>
        <v>355.58996890793622</v>
      </c>
      <c r="T414" s="1075">
        <f t="shared" si="48"/>
        <v>0</v>
      </c>
    </row>
    <row r="415" spans="1:20" ht="15.75" x14ac:dyDescent="0.25">
      <c r="A415" s="639" t="s">
        <v>134</v>
      </c>
      <c r="B415" s="639"/>
      <c r="C415" s="724" t="s">
        <v>1116</v>
      </c>
      <c r="D415" s="549">
        <v>58.630748730507442</v>
      </c>
      <c r="E415" s="550">
        <v>180.8621745237152</v>
      </c>
      <c r="F415" s="551">
        <v>5.450114644482059</v>
      </c>
      <c r="G415" s="560">
        <v>14.693701156048547</v>
      </c>
      <c r="H415" s="566">
        <v>259.63673905475321</v>
      </c>
      <c r="I415" s="567">
        <v>213.47882978595695</v>
      </c>
      <c r="J415" s="560">
        <v>0</v>
      </c>
      <c r="K415" s="568">
        <v>0</v>
      </c>
      <c r="L415" s="560">
        <v>0</v>
      </c>
      <c r="M415" s="1057">
        <f t="shared" si="49"/>
        <v>213.47882978595695</v>
      </c>
      <c r="N415" s="1058">
        <f t="shared" si="49"/>
        <v>0</v>
      </c>
      <c r="O415" s="569">
        <v>0</v>
      </c>
      <c r="P415" s="560"/>
      <c r="Q415" s="570">
        <v>14.693701156048547</v>
      </c>
      <c r="R415" s="571">
        <v>473.11556884071013</v>
      </c>
      <c r="S415" s="1075">
        <f t="shared" si="50"/>
        <v>473.11556884071013</v>
      </c>
      <c r="T415" s="1075">
        <f t="shared" si="48"/>
        <v>0</v>
      </c>
    </row>
    <row r="416" spans="1:20" ht="15.75" x14ac:dyDescent="0.25">
      <c r="A416" s="639" t="s">
        <v>135</v>
      </c>
      <c r="B416" s="639"/>
      <c r="C416" s="724" t="s">
        <v>1116</v>
      </c>
      <c r="D416" s="549">
        <v>49.963385793687948</v>
      </c>
      <c r="E416" s="550">
        <v>189.39748622465518</v>
      </c>
      <c r="F416" s="551">
        <v>4.8979003853495158</v>
      </c>
      <c r="G416" s="560">
        <v>14.65768718262686</v>
      </c>
      <c r="H416" s="566">
        <v>258.91645958631949</v>
      </c>
      <c r="I416" s="567">
        <v>105.73702596607482</v>
      </c>
      <c r="J416" s="560">
        <v>6.3384593222170205</v>
      </c>
      <c r="K416" s="568">
        <v>0</v>
      </c>
      <c r="L416" s="560">
        <v>0</v>
      </c>
      <c r="M416" s="1057">
        <f t="shared" si="49"/>
        <v>105.73702596607482</v>
      </c>
      <c r="N416" s="1058">
        <f t="shared" si="49"/>
        <v>6.3384593222170205</v>
      </c>
      <c r="O416" s="569">
        <v>0</v>
      </c>
      <c r="P416" s="560">
        <v>0</v>
      </c>
      <c r="Q416" s="570">
        <v>20.996146504843882</v>
      </c>
      <c r="R416" s="571">
        <v>370.99194487461136</v>
      </c>
      <c r="S416" s="1075">
        <f t="shared" si="50"/>
        <v>370.99194487461136</v>
      </c>
      <c r="T416" s="1075">
        <f t="shared" si="48"/>
        <v>0</v>
      </c>
    </row>
    <row r="417" spans="1:20" ht="15.75" x14ac:dyDescent="0.25">
      <c r="A417" s="639" t="s">
        <v>136</v>
      </c>
      <c r="B417" s="639"/>
      <c r="C417" s="724" t="s">
        <v>1116</v>
      </c>
      <c r="D417" s="549">
        <v>45.749750903350495</v>
      </c>
      <c r="E417" s="550">
        <v>210.83780506836652</v>
      </c>
      <c r="F417" s="551">
        <v>6.0023289036146021</v>
      </c>
      <c r="G417" s="560">
        <v>15.750111043084715</v>
      </c>
      <c r="H417" s="566">
        <v>278.33999591841632</v>
      </c>
      <c r="I417" s="567">
        <v>218.91693977263179</v>
      </c>
      <c r="J417" s="560">
        <v>0</v>
      </c>
      <c r="K417" s="568">
        <v>0</v>
      </c>
      <c r="L417" s="560">
        <v>0</v>
      </c>
      <c r="M417" s="1057">
        <f t="shared" si="49"/>
        <v>218.91693977263179</v>
      </c>
      <c r="N417" s="1058">
        <f t="shared" si="49"/>
        <v>0</v>
      </c>
      <c r="O417" s="569">
        <v>0</v>
      </c>
      <c r="P417" s="560">
        <v>0</v>
      </c>
      <c r="Q417" s="570">
        <v>15.750111043084715</v>
      </c>
      <c r="R417" s="571">
        <v>497.25693569104811</v>
      </c>
      <c r="S417" s="1075">
        <f t="shared" si="50"/>
        <v>497.25693569104811</v>
      </c>
      <c r="T417" s="1075">
        <f t="shared" si="48"/>
        <v>0</v>
      </c>
    </row>
    <row r="418" spans="1:20" ht="15.75" x14ac:dyDescent="0.25">
      <c r="A418" s="639" t="s">
        <v>137</v>
      </c>
      <c r="B418" s="639"/>
      <c r="C418" s="724" t="s">
        <v>1116</v>
      </c>
      <c r="D418" s="549">
        <v>67.190069747061855</v>
      </c>
      <c r="E418" s="550">
        <v>134.9083444376418</v>
      </c>
      <c r="F418" s="551">
        <v>4.1055929700723874</v>
      </c>
      <c r="G418" s="560">
        <v>12.37680219925331</v>
      </c>
      <c r="H418" s="566">
        <v>218.58080935402936</v>
      </c>
      <c r="I418" s="567">
        <v>171.4505228028475</v>
      </c>
      <c r="J418" s="560">
        <v>0</v>
      </c>
      <c r="K418" s="568">
        <v>0</v>
      </c>
      <c r="L418" s="560">
        <v>0</v>
      </c>
      <c r="M418" s="1057">
        <f t="shared" si="49"/>
        <v>171.4505228028475</v>
      </c>
      <c r="N418" s="1058">
        <f t="shared" si="49"/>
        <v>0</v>
      </c>
      <c r="O418" s="569">
        <v>0</v>
      </c>
      <c r="P418" s="560">
        <v>0</v>
      </c>
      <c r="Q418" s="570">
        <v>12.37680219925331</v>
      </c>
      <c r="R418" s="571">
        <v>390.03133215687683</v>
      </c>
      <c r="S418" s="1075">
        <f t="shared" si="50"/>
        <v>390.03133215687683</v>
      </c>
      <c r="T418" s="1075">
        <f t="shared" si="48"/>
        <v>0</v>
      </c>
    </row>
    <row r="419" spans="1:20" ht="15.75" x14ac:dyDescent="0.25">
      <c r="A419" s="639" t="s">
        <v>138</v>
      </c>
      <c r="B419" s="639"/>
      <c r="C419" s="724" t="s">
        <v>1116</v>
      </c>
      <c r="D419" s="549">
        <v>56.181798537832677</v>
      </c>
      <c r="E419" s="550">
        <v>163.26334617831719</v>
      </c>
      <c r="F419" s="551">
        <v>5.8342636943133934</v>
      </c>
      <c r="G419" s="560">
        <v>13.517244690940084</v>
      </c>
      <c r="H419" s="566">
        <v>238.79665310140334</v>
      </c>
      <c r="I419" s="567">
        <v>160.04609788597975</v>
      </c>
      <c r="J419" s="560">
        <v>9.6037262457833634</v>
      </c>
      <c r="K419" s="568">
        <v>0</v>
      </c>
      <c r="L419" s="560">
        <v>0</v>
      </c>
      <c r="M419" s="1057">
        <f t="shared" si="49"/>
        <v>160.04609788597975</v>
      </c>
      <c r="N419" s="1058">
        <f t="shared" si="49"/>
        <v>9.6037262457833634</v>
      </c>
      <c r="O419" s="569">
        <v>0</v>
      </c>
      <c r="P419" s="560">
        <v>0</v>
      </c>
      <c r="Q419" s="570">
        <v>23.120970936723445</v>
      </c>
      <c r="R419" s="571">
        <v>408.44647723316643</v>
      </c>
      <c r="S419" s="1075">
        <f t="shared" si="50"/>
        <v>408.44647723316643</v>
      </c>
      <c r="T419" s="1075">
        <f t="shared" si="48"/>
        <v>0</v>
      </c>
    </row>
    <row r="420" spans="1:20" ht="16.5" thickBot="1" x14ac:dyDescent="0.3">
      <c r="A420" s="640" t="s">
        <v>139</v>
      </c>
      <c r="B420" s="652"/>
      <c r="C420" s="807" t="s">
        <v>1116</v>
      </c>
      <c r="D420" s="549">
        <v>40.743808597735921</v>
      </c>
      <c r="E420" s="550">
        <v>133.46778550077431</v>
      </c>
      <c r="F420" s="551">
        <v>6.4344965846748536</v>
      </c>
      <c r="G420" s="560">
        <v>10.840205999927971</v>
      </c>
      <c r="H420" s="566">
        <v>191.48629668311307</v>
      </c>
      <c r="I420" s="567">
        <v>238.52054597183707</v>
      </c>
      <c r="J420" s="560">
        <v>0</v>
      </c>
      <c r="K420" s="568">
        <v>0</v>
      </c>
      <c r="L420" s="560">
        <v>0</v>
      </c>
      <c r="M420" s="1057">
        <f t="shared" si="49"/>
        <v>238.52054597183707</v>
      </c>
      <c r="N420" s="1058">
        <f t="shared" si="49"/>
        <v>0</v>
      </c>
      <c r="O420" s="569">
        <v>0</v>
      </c>
      <c r="P420" s="560">
        <v>0</v>
      </c>
      <c r="Q420" s="570">
        <v>10.840205999927971</v>
      </c>
      <c r="R420" s="571">
        <v>430.00684265495011</v>
      </c>
      <c r="S420" s="1075">
        <f t="shared" si="50"/>
        <v>430.00684265495011</v>
      </c>
      <c r="T420" s="1075">
        <f t="shared" si="48"/>
        <v>0</v>
      </c>
    </row>
    <row r="421" spans="1:20" ht="15.75" x14ac:dyDescent="0.25">
      <c r="A421" s="630" t="s">
        <v>869</v>
      </c>
      <c r="B421" s="754"/>
      <c r="C421" s="754" t="s">
        <v>1118</v>
      </c>
      <c r="D421" s="549">
        <v>0</v>
      </c>
      <c r="E421" s="550">
        <v>135.32844161323851</v>
      </c>
      <c r="F421" s="551">
        <v>0</v>
      </c>
      <c r="G421" s="560">
        <v>12.179559745191469</v>
      </c>
      <c r="H421" s="566">
        <v>147.50800135842996</v>
      </c>
      <c r="I421" s="567">
        <v>0</v>
      </c>
      <c r="J421" s="560">
        <v>0</v>
      </c>
      <c r="K421" s="568">
        <v>143.56135060872072</v>
      </c>
      <c r="L421" s="560">
        <v>27.276656615656936</v>
      </c>
      <c r="M421" s="1057">
        <f t="shared" si="49"/>
        <v>143.56135060872072</v>
      </c>
      <c r="N421" s="1058">
        <f t="shared" si="49"/>
        <v>27.276656615656936</v>
      </c>
      <c r="O421" s="569">
        <v>0</v>
      </c>
      <c r="P421" s="560">
        <v>0</v>
      </c>
      <c r="Q421" s="570">
        <v>39.456216360848401</v>
      </c>
      <c r="R421" s="571">
        <v>318.3460085828076</v>
      </c>
      <c r="S421" s="1075">
        <f t="shared" si="50"/>
        <v>318.3460085828076</v>
      </c>
      <c r="T421" s="1075">
        <f t="shared" si="48"/>
        <v>0</v>
      </c>
    </row>
    <row r="422" spans="1:20" ht="15.75" x14ac:dyDescent="0.25">
      <c r="A422" s="630" t="s">
        <v>189</v>
      </c>
      <c r="B422" s="754"/>
      <c r="C422" s="754" t="s">
        <v>1118</v>
      </c>
      <c r="D422" s="549">
        <v>0</v>
      </c>
      <c r="E422" s="550">
        <v>164.65817990964382</v>
      </c>
      <c r="F422" s="551">
        <v>0</v>
      </c>
      <c r="G422" s="560">
        <v>14.819236191867946</v>
      </c>
      <c r="H422" s="566">
        <v>179.47741610151178</v>
      </c>
      <c r="I422" s="567">
        <v>0</v>
      </c>
      <c r="J422" s="560">
        <v>0</v>
      </c>
      <c r="K422" s="568">
        <v>92.620226199174652</v>
      </c>
      <c r="L422" s="560">
        <v>17.597842977843186</v>
      </c>
      <c r="M422" s="1057">
        <f t="shared" si="49"/>
        <v>92.620226199174652</v>
      </c>
      <c r="N422" s="1058">
        <f t="shared" si="49"/>
        <v>17.597842977843186</v>
      </c>
      <c r="O422" s="569">
        <v>0</v>
      </c>
      <c r="P422" s="560">
        <v>0</v>
      </c>
      <c r="Q422" s="570">
        <v>32.41707916971113</v>
      </c>
      <c r="R422" s="571">
        <v>289.69548527852959</v>
      </c>
      <c r="S422" s="1075">
        <f t="shared" si="50"/>
        <v>289.69548527852959</v>
      </c>
      <c r="T422" s="1075">
        <f t="shared" si="48"/>
        <v>0</v>
      </c>
    </row>
    <row r="423" spans="1:20" ht="15.75" x14ac:dyDescent="0.25">
      <c r="A423" s="630" t="s">
        <v>190</v>
      </c>
      <c r="B423" s="754"/>
      <c r="C423" s="754" t="s">
        <v>1118</v>
      </c>
      <c r="D423" s="549">
        <v>0</v>
      </c>
      <c r="E423" s="550">
        <v>191.41513414496094</v>
      </c>
      <c r="F423" s="551">
        <v>0</v>
      </c>
      <c r="G423" s="560">
        <v>17.227362073046486</v>
      </c>
      <c r="H423" s="566">
        <v>208.64249621800744</v>
      </c>
      <c r="I423" s="567">
        <v>0</v>
      </c>
      <c r="J423" s="560">
        <v>0</v>
      </c>
      <c r="K423" s="568">
        <v>132.2411007399327</v>
      </c>
      <c r="L423" s="560">
        <v>25.125809140587211</v>
      </c>
      <c r="M423" s="1057">
        <f t="shared" si="49"/>
        <v>132.2411007399327</v>
      </c>
      <c r="N423" s="1058">
        <f t="shared" si="49"/>
        <v>25.125809140587211</v>
      </c>
      <c r="O423" s="569">
        <v>0</v>
      </c>
      <c r="P423" s="560">
        <v>0</v>
      </c>
      <c r="Q423" s="570">
        <v>42.353171213633701</v>
      </c>
      <c r="R423" s="571">
        <v>366.00940609852734</v>
      </c>
      <c r="S423" s="1075">
        <f t="shared" si="50"/>
        <v>366.00940609852734</v>
      </c>
      <c r="T423" s="1075">
        <f t="shared" si="48"/>
        <v>0</v>
      </c>
    </row>
    <row r="424" spans="1:20" ht="15.75" x14ac:dyDescent="0.25">
      <c r="A424" s="631" t="s">
        <v>191</v>
      </c>
      <c r="B424" s="754"/>
      <c r="C424" s="754" t="s">
        <v>1118</v>
      </c>
      <c r="D424" s="549">
        <v>0</v>
      </c>
      <c r="E424" s="550">
        <v>146.64869148202655</v>
      </c>
      <c r="F424" s="551">
        <v>0</v>
      </c>
      <c r="G424" s="560">
        <v>13.198382233382388</v>
      </c>
      <c r="H424" s="566">
        <v>159.84707371540892</v>
      </c>
      <c r="I424" s="567">
        <v>0</v>
      </c>
      <c r="J424" s="560">
        <v>0</v>
      </c>
      <c r="K424" s="568">
        <v>146.1341346698089</v>
      </c>
      <c r="L424" s="560">
        <v>27.76548558726369</v>
      </c>
      <c r="M424" s="1057">
        <f t="shared" si="49"/>
        <v>146.1341346698089</v>
      </c>
      <c r="N424" s="1058">
        <f t="shared" si="49"/>
        <v>27.76548558726369</v>
      </c>
      <c r="O424" s="569">
        <v>0</v>
      </c>
      <c r="P424" s="560">
        <v>0</v>
      </c>
      <c r="Q424" s="570">
        <v>40.96386782064608</v>
      </c>
      <c r="R424" s="571">
        <v>333.74669397248152</v>
      </c>
      <c r="S424" s="1075">
        <f t="shared" si="50"/>
        <v>333.74669397248152</v>
      </c>
      <c r="T424" s="1075">
        <f t="shared" si="48"/>
        <v>0</v>
      </c>
    </row>
    <row r="425" spans="1:20" ht="15.75" x14ac:dyDescent="0.25">
      <c r="A425" s="631" t="s">
        <v>218</v>
      </c>
      <c r="B425" s="754"/>
      <c r="C425" s="754" t="s">
        <v>1118</v>
      </c>
      <c r="D425" s="549">
        <v>0</v>
      </c>
      <c r="E425" s="550">
        <v>206.85183851149006</v>
      </c>
      <c r="F425" s="551">
        <v>0</v>
      </c>
      <c r="G425" s="560">
        <v>18.616665466034107</v>
      </c>
      <c r="H425" s="566">
        <v>225.46850397752416</v>
      </c>
      <c r="I425" s="567">
        <v>0</v>
      </c>
      <c r="J425" s="560">
        <v>0</v>
      </c>
      <c r="K425" s="568">
        <v>124.52274855666815</v>
      </c>
      <c r="L425" s="560">
        <v>23.659322225766946</v>
      </c>
      <c r="M425" s="1057">
        <f t="shared" si="49"/>
        <v>124.52274855666815</v>
      </c>
      <c r="N425" s="1058">
        <f t="shared" si="49"/>
        <v>23.659322225766946</v>
      </c>
      <c r="O425" s="569">
        <v>0</v>
      </c>
      <c r="P425" s="560">
        <v>0</v>
      </c>
      <c r="Q425" s="570">
        <v>42.275987691801049</v>
      </c>
      <c r="R425" s="571">
        <v>373.65057475995928</v>
      </c>
      <c r="S425" s="1075">
        <f t="shared" si="50"/>
        <v>373.65057475995928</v>
      </c>
      <c r="T425" s="1075">
        <f t="shared" si="48"/>
        <v>0</v>
      </c>
    </row>
    <row r="426" spans="1:20" ht="15.75" x14ac:dyDescent="0.25">
      <c r="A426" s="632" t="s">
        <v>219</v>
      </c>
      <c r="B426" s="925"/>
      <c r="C426" s="754" t="s">
        <v>1118</v>
      </c>
      <c r="D426" s="549">
        <v>0</v>
      </c>
      <c r="E426" s="550">
        <v>158.48349816303218</v>
      </c>
      <c r="F426" s="551">
        <v>0</v>
      </c>
      <c r="G426" s="560">
        <v>14.263514834672897</v>
      </c>
      <c r="H426" s="566">
        <v>172.74701299770507</v>
      </c>
      <c r="I426" s="567">
        <v>0</v>
      </c>
      <c r="J426" s="560">
        <v>0</v>
      </c>
      <c r="K426" s="568">
        <v>109.60060100235667</v>
      </c>
      <c r="L426" s="560">
        <v>20.824114190447766</v>
      </c>
      <c r="M426" s="1057">
        <f t="shared" si="49"/>
        <v>109.60060100235667</v>
      </c>
      <c r="N426" s="1058">
        <f t="shared" si="49"/>
        <v>20.824114190447766</v>
      </c>
      <c r="O426" s="569">
        <v>0</v>
      </c>
      <c r="P426" s="560">
        <v>0</v>
      </c>
      <c r="Q426" s="570">
        <v>35.087629025120663</v>
      </c>
      <c r="R426" s="571">
        <v>303.1717281905095</v>
      </c>
      <c r="S426" s="1075">
        <f t="shared" si="50"/>
        <v>303.1717281905095</v>
      </c>
      <c r="T426" s="1075">
        <f t="shared" si="48"/>
        <v>0</v>
      </c>
    </row>
    <row r="427" spans="1:20" ht="15.75" x14ac:dyDescent="0.25">
      <c r="A427" s="632" t="s">
        <v>513</v>
      </c>
      <c r="B427" s="925"/>
      <c r="C427" s="754" t="s">
        <v>1118</v>
      </c>
      <c r="D427" s="549">
        <v>0</v>
      </c>
      <c r="E427" s="550">
        <v>210.45373619701351</v>
      </c>
      <c r="F427" s="551">
        <v>0</v>
      </c>
      <c r="G427" s="560">
        <v>18.940836257731217</v>
      </c>
      <c r="H427" s="566">
        <v>229.39457245474472</v>
      </c>
      <c r="I427" s="567">
        <v>0</v>
      </c>
      <c r="J427" s="560">
        <v>0</v>
      </c>
      <c r="K427" s="568">
        <v>186.78412283500222</v>
      </c>
      <c r="L427" s="560">
        <v>35.488983338650421</v>
      </c>
      <c r="M427" s="1057">
        <f t="shared" si="49"/>
        <v>186.78412283500222</v>
      </c>
      <c r="N427" s="1058">
        <f t="shared" si="49"/>
        <v>35.488983338650421</v>
      </c>
      <c r="O427" s="569">
        <v>0</v>
      </c>
      <c r="P427" s="560">
        <v>0</v>
      </c>
      <c r="Q427" s="570">
        <v>54.429819596381634</v>
      </c>
      <c r="R427" s="571">
        <v>451.66767862839737</v>
      </c>
      <c r="S427" s="1075">
        <f t="shared" si="50"/>
        <v>451.66767862839737</v>
      </c>
      <c r="T427" s="1075">
        <f t="shared" ref="T427:T490" si="51">R427-S427</f>
        <v>0</v>
      </c>
    </row>
    <row r="428" spans="1:20" ht="15.75" x14ac:dyDescent="0.25">
      <c r="A428" s="632" t="s">
        <v>514</v>
      </c>
      <c r="B428" s="925"/>
      <c r="C428" s="754" t="s">
        <v>1118</v>
      </c>
      <c r="D428" s="549">
        <v>0</v>
      </c>
      <c r="E428" s="550">
        <v>164.65817990964382</v>
      </c>
      <c r="F428" s="551">
        <v>0</v>
      </c>
      <c r="G428" s="560">
        <v>14.819236191867946</v>
      </c>
      <c r="H428" s="566">
        <v>179.47741610151178</v>
      </c>
      <c r="I428" s="567">
        <v>0</v>
      </c>
      <c r="J428" s="560">
        <v>0</v>
      </c>
      <c r="K428" s="568">
        <v>165.17273672186147</v>
      </c>
      <c r="L428" s="560">
        <v>31.38281997715368</v>
      </c>
      <c r="M428" s="1057">
        <f t="shared" si="49"/>
        <v>165.17273672186147</v>
      </c>
      <c r="N428" s="1058">
        <f t="shared" si="49"/>
        <v>31.38281997715368</v>
      </c>
      <c r="O428" s="569">
        <v>0</v>
      </c>
      <c r="P428" s="560">
        <v>0</v>
      </c>
      <c r="Q428" s="570">
        <v>46.202056169021624</v>
      </c>
      <c r="R428" s="571">
        <v>376.03297280052692</v>
      </c>
      <c r="S428" s="1075">
        <f t="shared" si="50"/>
        <v>376.03297280052692</v>
      </c>
      <c r="T428" s="1075">
        <f t="shared" si="51"/>
        <v>0</v>
      </c>
    </row>
    <row r="429" spans="1:20" ht="15.75" x14ac:dyDescent="0.25">
      <c r="A429" s="632" t="s">
        <v>515</v>
      </c>
      <c r="B429" s="925"/>
      <c r="C429" s="754" t="s">
        <v>1118</v>
      </c>
      <c r="D429" s="549">
        <v>0</v>
      </c>
      <c r="E429" s="550">
        <v>190.90057733274332</v>
      </c>
      <c r="F429" s="551">
        <v>0</v>
      </c>
      <c r="G429" s="560">
        <v>17.181051959946899</v>
      </c>
      <c r="H429" s="566">
        <v>208.08162929269022</v>
      </c>
      <c r="I429" s="567">
        <v>0</v>
      </c>
      <c r="J429" s="560">
        <v>0</v>
      </c>
      <c r="K429" s="568">
        <v>142.0176801720678</v>
      </c>
      <c r="L429" s="560">
        <v>26.98335923269288</v>
      </c>
      <c r="M429" s="1057">
        <f t="shared" si="49"/>
        <v>142.0176801720678</v>
      </c>
      <c r="N429" s="1058">
        <f t="shared" si="49"/>
        <v>26.98335923269288</v>
      </c>
      <c r="O429" s="569">
        <v>0</v>
      </c>
      <c r="P429" s="560">
        <v>0</v>
      </c>
      <c r="Q429" s="570">
        <v>44.164411192639776</v>
      </c>
      <c r="R429" s="571">
        <v>377.08266869745086</v>
      </c>
      <c r="S429" s="1075">
        <f t="shared" si="50"/>
        <v>377.08266869745086</v>
      </c>
      <c r="T429" s="1075">
        <f t="shared" si="51"/>
        <v>0</v>
      </c>
    </row>
    <row r="430" spans="1:20" ht="15.75" x14ac:dyDescent="0.25">
      <c r="A430" s="632" t="s">
        <v>516</v>
      </c>
      <c r="B430" s="925"/>
      <c r="C430" s="754" t="s">
        <v>1118</v>
      </c>
      <c r="D430" s="549">
        <v>0</v>
      </c>
      <c r="E430" s="550">
        <v>238.75436086898355</v>
      </c>
      <c r="F430" s="551">
        <v>0</v>
      </c>
      <c r="G430" s="560">
        <v>21.487892478208519</v>
      </c>
      <c r="H430" s="566">
        <v>260.24225334719205</v>
      </c>
      <c r="I430" s="567">
        <v>0</v>
      </c>
      <c r="J430" s="560">
        <v>0</v>
      </c>
      <c r="K430" s="568">
        <v>133.78477117658562</v>
      </c>
      <c r="L430" s="560">
        <v>25.419106523551264</v>
      </c>
      <c r="M430" s="1057">
        <f t="shared" si="49"/>
        <v>133.78477117658562</v>
      </c>
      <c r="N430" s="1058">
        <f t="shared" si="49"/>
        <v>25.419106523551264</v>
      </c>
      <c r="O430" s="569">
        <v>0</v>
      </c>
      <c r="P430" s="560">
        <v>0</v>
      </c>
      <c r="Q430" s="570">
        <v>46.906999001759786</v>
      </c>
      <c r="R430" s="571">
        <v>419.44613104732889</v>
      </c>
      <c r="S430" s="1075">
        <f t="shared" si="50"/>
        <v>419.44613104732889</v>
      </c>
      <c r="T430" s="1075">
        <f t="shared" si="51"/>
        <v>0</v>
      </c>
    </row>
    <row r="431" spans="1:20" ht="15.75" x14ac:dyDescent="0.25">
      <c r="A431" s="632" t="s">
        <v>875</v>
      </c>
      <c r="B431" s="925"/>
      <c r="C431" s="754" t="s">
        <v>1118</v>
      </c>
      <c r="D431" s="549">
        <v>0</v>
      </c>
      <c r="E431" s="550">
        <v>180.09488427617293</v>
      </c>
      <c r="F431" s="551">
        <v>0</v>
      </c>
      <c r="G431" s="560">
        <v>16.208539584855565</v>
      </c>
      <c r="H431" s="566">
        <v>196.30342386102851</v>
      </c>
      <c r="I431" s="567">
        <v>0</v>
      </c>
      <c r="J431" s="560">
        <v>0</v>
      </c>
      <c r="K431" s="568">
        <v>152.82337322863819</v>
      </c>
      <c r="L431" s="560">
        <v>29.036440913441254</v>
      </c>
      <c r="M431" s="1057">
        <f t="shared" si="49"/>
        <v>152.82337322863819</v>
      </c>
      <c r="N431" s="1058">
        <f t="shared" si="49"/>
        <v>29.036440913441254</v>
      </c>
      <c r="O431" s="569">
        <v>0</v>
      </c>
      <c r="P431" s="560">
        <v>0</v>
      </c>
      <c r="Q431" s="570">
        <v>45.244980498296819</v>
      </c>
      <c r="R431" s="571">
        <v>378.16323800310795</v>
      </c>
      <c r="S431" s="1075">
        <f t="shared" si="50"/>
        <v>378.16323800310795</v>
      </c>
      <c r="T431" s="1075">
        <f t="shared" si="51"/>
        <v>0</v>
      </c>
    </row>
    <row r="432" spans="1:20" ht="15.75" x14ac:dyDescent="0.25">
      <c r="A432" s="632" t="s">
        <v>517</v>
      </c>
      <c r="B432" s="925"/>
      <c r="C432" s="754" t="s">
        <v>1118</v>
      </c>
      <c r="D432" s="549">
        <v>0</v>
      </c>
      <c r="E432" s="550">
        <v>177.00754340286713</v>
      </c>
      <c r="F432" s="551">
        <v>0</v>
      </c>
      <c r="G432" s="560">
        <v>15.930678906258041</v>
      </c>
      <c r="H432" s="566">
        <v>192.93822230912517</v>
      </c>
      <c r="I432" s="567">
        <v>0</v>
      </c>
      <c r="J432" s="560">
        <v>0</v>
      </c>
      <c r="K432" s="568">
        <v>153.85248685307346</v>
      </c>
      <c r="L432" s="560">
        <v>29.231972502083959</v>
      </c>
      <c r="M432" s="1057">
        <f t="shared" si="49"/>
        <v>153.85248685307346</v>
      </c>
      <c r="N432" s="1058">
        <f t="shared" si="49"/>
        <v>29.231972502083959</v>
      </c>
      <c r="O432" s="569">
        <v>0</v>
      </c>
      <c r="P432" s="560">
        <v>0</v>
      </c>
      <c r="Q432" s="570">
        <v>45.162651408342001</v>
      </c>
      <c r="R432" s="571">
        <v>376.02268166428257</v>
      </c>
      <c r="S432" s="1075">
        <f t="shared" si="50"/>
        <v>376.02268166428257</v>
      </c>
      <c r="T432" s="1075">
        <f t="shared" si="51"/>
        <v>0</v>
      </c>
    </row>
    <row r="433" spans="1:20" ht="15.75" x14ac:dyDescent="0.25">
      <c r="A433" s="632" t="s">
        <v>873</v>
      </c>
      <c r="B433" s="803"/>
      <c r="C433" s="803" t="s">
        <v>1118</v>
      </c>
      <c r="D433" s="549">
        <v>0</v>
      </c>
      <c r="E433" s="550">
        <v>196.56070226713732</v>
      </c>
      <c r="F433" s="551">
        <v>0</v>
      </c>
      <c r="G433" s="560">
        <v>17.690463204042359</v>
      </c>
      <c r="H433" s="566">
        <v>214.25116547117966</v>
      </c>
      <c r="I433" s="567">
        <v>0</v>
      </c>
      <c r="J433" s="560">
        <v>0</v>
      </c>
      <c r="K433" s="568">
        <v>78.212635457080822</v>
      </c>
      <c r="L433" s="560">
        <v>14.860400736845355</v>
      </c>
      <c r="M433" s="1057">
        <f t="shared" ref="M433:N488" si="52">I433+K433</f>
        <v>78.212635457080822</v>
      </c>
      <c r="N433" s="1058">
        <f t="shared" si="52"/>
        <v>14.860400736845355</v>
      </c>
      <c r="O433" s="569">
        <v>0</v>
      </c>
      <c r="P433" s="560">
        <v>0</v>
      </c>
      <c r="Q433" s="570">
        <v>32.550863940887716</v>
      </c>
      <c r="R433" s="571">
        <v>307.32420166510582</v>
      </c>
      <c r="S433" s="1075">
        <f t="shared" ref="S433:S488" si="53">H433+M433+N433+O433+P433</f>
        <v>307.32420166510582</v>
      </c>
      <c r="T433" s="1075">
        <f t="shared" si="51"/>
        <v>0</v>
      </c>
    </row>
    <row r="434" spans="1:20" ht="15.75" x14ac:dyDescent="0.25">
      <c r="A434" s="633" t="s">
        <v>520</v>
      </c>
      <c r="B434" s="803"/>
      <c r="C434" s="803" t="s">
        <v>1118</v>
      </c>
      <c r="D434" s="549">
        <v>0</v>
      </c>
      <c r="E434" s="550">
        <v>164.1436230974262</v>
      </c>
      <c r="F434" s="551">
        <v>0</v>
      </c>
      <c r="G434" s="560">
        <v>14.772926078768357</v>
      </c>
      <c r="H434" s="566">
        <v>178.91654917619456</v>
      </c>
      <c r="I434" s="567">
        <v>0</v>
      </c>
      <c r="J434" s="560">
        <v>0</v>
      </c>
      <c r="K434" s="568">
        <v>157.96894135081456</v>
      </c>
      <c r="L434" s="560">
        <v>30.014098856654762</v>
      </c>
      <c r="M434" s="1057">
        <f t="shared" si="52"/>
        <v>157.96894135081456</v>
      </c>
      <c r="N434" s="1058">
        <f t="shared" si="52"/>
        <v>30.014098856654762</v>
      </c>
      <c r="O434" s="569">
        <v>0</v>
      </c>
      <c r="P434" s="560">
        <v>0</v>
      </c>
      <c r="Q434" s="570">
        <v>44.787024935423119</v>
      </c>
      <c r="R434" s="571">
        <v>366.89958938366385</v>
      </c>
      <c r="S434" s="1075">
        <f t="shared" si="53"/>
        <v>366.89958938366385</v>
      </c>
      <c r="T434" s="1075">
        <f t="shared" si="51"/>
        <v>0</v>
      </c>
    </row>
    <row r="435" spans="1:20" ht="15.75" x14ac:dyDescent="0.25">
      <c r="A435" s="633" t="s">
        <v>597</v>
      </c>
      <c r="B435" s="803"/>
      <c r="C435" s="803" t="s">
        <v>1118</v>
      </c>
      <c r="D435" s="549">
        <v>0</v>
      </c>
      <c r="E435" s="550">
        <v>210.96829300923116</v>
      </c>
      <c r="F435" s="551">
        <v>0</v>
      </c>
      <c r="G435" s="560">
        <v>18.987146370830803</v>
      </c>
      <c r="H435" s="566">
        <v>229.95543938006196</v>
      </c>
      <c r="I435" s="567">
        <v>0</v>
      </c>
      <c r="J435" s="560">
        <v>0</v>
      </c>
      <c r="K435" s="568">
        <v>148.70691873089709</v>
      </c>
      <c r="L435" s="560">
        <v>28.254314558870444</v>
      </c>
      <c r="M435" s="1057">
        <f t="shared" si="52"/>
        <v>148.70691873089709</v>
      </c>
      <c r="N435" s="1058">
        <f t="shared" si="52"/>
        <v>28.254314558870444</v>
      </c>
      <c r="O435" s="569">
        <v>0</v>
      </c>
      <c r="P435" s="560">
        <v>0</v>
      </c>
      <c r="Q435" s="570">
        <v>47.241460929701248</v>
      </c>
      <c r="R435" s="571">
        <v>406.9166726698295</v>
      </c>
      <c r="S435" s="1075">
        <f t="shared" si="53"/>
        <v>406.9166726698295</v>
      </c>
      <c r="T435" s="1075">
        <f t="shared" si="51"/>
        <v>0</v>
      </c>
    </row>
    <row r="436" spans="1:20" ht="15.75" x14ac:dyDescent="0.25">
      <c r="A436" s="633" t="s">
        <v>860</v>
      </c>
      <c r="B436" s="803" t="s">
        <v>429</v>
      </c>
      <c r="C436" s="803" t="s">
        <v>1118</v>
      </c>
      <c r="D436" s="549">
        <v>0</v>
      </c>
      <c r="E436" s="550">
        <v>170.31830484403784</v>
      </c>
      <c r="F436" s="551">
        <v>0</v>
      </c>
      <c r="G436" s="560">
        <v>15.328647435963404</v>
      </c>
      <c r="H436" s="566">
        <v>185.64695228000124</v>
      </c>
      <c r="I436" s="567">
        <v>0</v>
      </c>
      <c r="J436" s="560">
        <v>0</v>
      </c>
      <c r="K436" s="568">
        <v>89.532885325868833</v>
      </c>
      <c r="L436" s="560">
        <v>17.011248211915078</v>
      </c>
      <c r="M436" s="1057">
        <f t="shared" si="52"/>
        <v>89.532885325868833</v>
      </c>
      <c r="N436" s="1058">
        <f t="shared" si="52"/>
        <v>17.011248211915078</v>
      </c>
      <c r="O436" s="569">
        <v>0</v>
      </c>
      <c r="P436" s="560">
        <v>0</v>
      </c>
      <c r="Q436" s="570">
        <v>32.339895647878478</v>
      </c>
      <c r="R436" s="571">
        <v>292.19108581778517</v>
      </c>
      <c r="S436" s="1075">
        <f t="shared" si="53"/>
        <v>292.19108581778517</v>
      </c>
      <c r="T436" s="1075">
        <f t="shared" si="51"/>
        <v>0</v>
      </c>
    </row>
    <row r="437" spans="1:20" ht="15.75" x14ac:dyDescent="0.25">
      <c r="A437" s="633" t="s">
        <v>769</v>
      </c>
      <c r="B437" s="803"/>
      <c r="C437" s="803" t="s">
        <v>1118</v>
      </c>
      <c r="D437" s="549">
        <v>0</v>
      </c>
      <c r="E437" s="550">
        <v>179.06577065173767</v>
      </c>
      <c r="F437" s="551">
        <v>0</v>
      </c>
      <c r="G437" s="560">
        <v>16.115919358656392</v>
      </c>
      <c r="H437" s="566">
        <v>195.18169001039405</v>
      </c>
      <c r="I437" s="567">
        <v>0</v>
      </c>
      <c r="J437" s="560">
        <v>0</v>
      </c>
      <c r="K437" s="568">
        <v>142.0176801720678</v>
      </c>
      <c r="L437" s="560">
        <v>26.98335923269288</v>
      </c>
      <c r="M437" s="1057">
        <f t="shared" si="52"/>
        <v>142.0176801720678</v>
      </c>
      <c r="N437" s="1058">
        <f t="shared" si="52"/>
        <v>26.98335923269288</v>
      </c>
      <c r="O437" s="569">
        <v>0</v>
      </c>
      <c r="P437" s="560">
        <v>0</v>
      </c>
      <c r="Q437" s="570">
        <v>43.099278591349275</v>
      </c>
      <c r="R437" s="571">
        <v>364.18272941515471</v>
      </c>
      <c r="S437" s="1075">
        <f t="shared" si="53"/>
        <v>364.18272941515471</v>
      </c>
      <c r="T437" s="1075">
        <f t="shared" si="51"/>
        <v>0</v>
      </c>
    </row>
    <row r="438" spans="1:20" ht="15.75" x14ac:dyDescent="0.25">
      <c r="A438" s="633" t="s">
        <v>771</v>
      </c>
      <c r="B438" s="803"/>
      <c r="C438" s="803" t="s">
        <v>1118</v>
      </c>
      <c r="D438" s="549">
        <v>0</v>
      </c>
      <c r="E438" s="550">
        <v>183.69678196169639</v>
      </c>
      <c r="F438" s="551">
        <v>0</v>
      </c>
      <c r="G438" s="560">
        <v>16.532710376552679</v>
      </c>
      <c r="H438" s="566">
        <v>200.22949233824906</v>
      </c>
      <c r="I438" s="567">
        <v>0</v>
      </c>
      <c r="J438" s="560">
        <v>0</v>
      </c>
      <c r="K438" s="568">
        <v>125.55186218110342</v>
      </c>
      <c r="L438" s="560">
        <v>23.854853814409651</v>
      </c>
      <c r="M438" s="1057">
        <f t="shared" si="52"/>
        <v>125.55186218110342</v>
      </c>
      <c r="N438" s="1058">
        <f t="shared" si="52"/>
        <v>23.854853814409651</v>
      </c>
      <c r="O438" s="569">
        <v>0</v>
      </c>
      <c r="P438" s="560">
        <v>0</v>
      </c>
      <c r="Q438" s="570">
        <v>40.38756419096233</v>
      </c>
      <c r="R438" s="571">
        <v>349.63620833376211</v>
      </c>
      <c r="S438" s="1075">
        <f t="shared" si="53"/>
        <v>349.63620833376211</v>
      </c>
      <c r="T438" s="1075">
        <f t="shared" si="51"/>
        <v>0</v>
      </c>
    </row>
    <row r="439" spans="1:20" ht="15.75" x14ac:dyDescent="0.25">
      <c r="A439" s="633" t="s">
        <v>861</v>
      </c>
      <c r="B439" s="803"/>
      <c r="C439" s="803" t="s">
        <v>1118</v>
      </c>
      <c r="D439" s="549">
        <v>0</v>
      </c>
      <c r="E439" s="550">
        <v>200.16259995266077</v>
      </c>
      <c r="F439" s="551">
        <v>0</v>
      </c>
      <c r="G439" s="560">
        <v>18.014633995739469</v>
      </c>
      <c r="H439" s="566">
        <v>218.17723394840024</v>
      </c>
      <c r="I439" s="567">
        <v>0</v>
      </c>
      <c r="J439" s="560">
        <v>0</v>
      </c>
      <c r="K439" s="568">
        <v>176.49298659064948</v>
      </c>
      <c r="L439" s="560">
        <v>33.533667452223405</v>
      </c>
      <c r="M439" s="1057">
        <f t="shared" si="52"/>
        <v>176.49298659064948</v>
      </c>
      <c r="N439" s="1058">
        <f t="shared" si="52"/>
        <v>33.533667452223405</v>
      </c>
      <c r="O439" s="569">
        <v>0</v>
      </c>
      <c r="P439" s="560">
        <v>0</v>
      </c>
      <c r="Q439" s="570">
        <v>51.548301447962871</v>
      </c>
      <c r="R439" s="571">
        <v>428.20388799127318</v>
      </c>
      <c r="S439" s="1075">
        <f t="shared" si="53"/>
        <v>428.20388799127318</v>
      </c>
      <c r="T439" s="1075">
        <f t="shared" si="51"/>
        <v>0</v>
      </c>
    </row>
    <row r="440" spans="1:20" ht="15.75" x14ac:dyDescent="0.25">
      <c r="A440" s="633" t="s">
        <v>862</v>
      </c>
      <c r="B440" s="803"/>
      <c r="C440" s="803" t="s">
        <v>1118</v>
      </c>
      <c r="D440" s="549">
        <v>0</v>
      </c>
      <c r="E440" s="550">
        <v>212.51196344588408</v>
      </c>
      <c r="F440" s="551">
        <v>0</v>
      </c>
      <c r="G440" s="560">
        <v>19.126076710129567</v>
      </c>
      <c r="H440" s="566">
        <v>231.63804015601363</v>
      </c>
      <c r="I440" s="567">
        <v>0</v>
      </c>
      <c r="J440" s="560">
        <v>0</v>
      </c>
      <c r="K440" s="568">
        <v>133.78477117658562</v>
      </c>
      <c r="L440" s="560">
        <v>25.419106523551264</v>
      </c>
      <c r="M440" s="1057">
        <f t="shared" si="52"/>
        <v>133.78477117658562</v>
      </c>
      <c r="N440" s="1058">
        <f t="shared" si="52"/>
        <v>25.419106523551264</v>
      </c>
      <c r="O440" s="569">
        <v>0</v>
      </c>
      <c r="P440" s="560">
        <v>0</v>
      </c>
      <c r="Q440" s="570">
        <v>44.545183233680831</v>
      </c>
      <c r="R440" s="571">
        <v>390.84191785615053</v>
      </c>
      <c r="S440" s="1075">
        <f t="shared" si="53"/>
        <v>390.84191785615053</v>
      </c>
      <c r="T440" s="1075">
        <f t="shared" si="51"/>
        <v>0</v>
      </c>
    </row>
    <row r="441" spans="1:20" ht="15.75" x14ac:dyDescent="0.25">
      <c r="A441" s="633" t="s">
        <v>863</v>
      </c>
      <c r="B441" s="803"/>
      <c r="C441" s="803" t="s">
        <v>1118</v>
      </c>
      <c r="D441" s="549">
        <v>0</v>
      </c>
      <c r="E441" s="550">
        <v>183.18222514947877</v>
      </c>
      <c r="F441" s="551">
        <v>0</v>
      </c>
      <c r="G441" s="560">
        <v>16.486400263453088</v>
      </c>
      <c r="H441" s="566">
        <v>199.66862541293185</v>
      </c>
      <c r="I441" s="567">
        <v>0</v>
      </c>
      <c r="J441" s="560">
        <v>0</v>
      </c>
      <c r="K441" s="568">
        <v>133.27021436436797</v>
      </c>
      <c r="L441" s="560">
        <v>25.321340729229917</v>
      </c>
      <c r="M441" s="1057">
        <f t="shared" si="52"/>
        <v>133.27021436436797</v>
      </c>
      <c r="N441" s="1058">
        <f t="shared" si="52"/>
        <v>25.321340729229917</v>
      </c>
      <c r="O441" s="569">
        <v>0</v>
      </c>
      <c r="P441" s="560">
        <v>0</v>
      </c>
      <c r="Q441" s="570">
        <v>41.807740992683009</v>
      </c>
      <c r="R441" s="571">
        <v>358.26018050652971</v>
      </c>
      <c r="S441" s="1075">
        <f t="shared" si="53"/>
        <v>358.26018050652971</v>
      </c>
      <c r="T441" s="1075">
        <f t="shared" si="51"/>
        <v>0</v>
      </c>
    </row>
    <row r="442" spans="1:20" ht="15.75" x14ac:dyDescent="0.25">
      <c r="A442" s="633" t="s">
        <v>864</v>
      </c>
      <c r="B442" s="803"/>
      <c r="C442" s="803" t="s">
        <v>1118</v>
      </c>
      <c r="D442" s="549">
        <v>0</v>
      </c>
      <c r="E442" s="550">
        <v>183.18222514947877</v>
      </c>
      <c r="F442" s="551">
        <v>0</v>
      </c>
      <c r="G442" s="560">
        <v>16.486400263453088</v>
      </c>
      <c r="H442" s="566">
        <v>199.66862541293185</v>
      </c>
      <c r="I442" s="567">
        <v>0</v>
      </c>
      <c r="J442" s="560">
        <v>0</v>
      </c>
      <c r="K442" s="568">
        <v>156.42527091416164</v>
      </c>
      <c r="L442" s="560">
        <v>29.72080147369071</v>
      </c>
      <c r="M442" s="1057">
        <f t="shared" si="52"/>
        <v>156.42527091416164</v>
      </c>
      <c r="N442" s="1058">
        <f t="shared" si="52"/>
        <v>29.72080147369071</v>
      </c>
      <c r="O442" s="569">
        <v>0</v>
      </c>
      <c r="P442" s="560">
        <v>0</v>
      </c>
      <c r="Q442" s="570">
        <v>46.207201737143798</v>
      </c>
      <c r="R442" s="571">
        <v>385.81469780078419</v>
      </c>
      <c r="S442" s="1075">
        <f t="shared" si="53"/>
        <v>385.81469780078419</v>
      </c>
      <c r="T442" s="1075">
        <f t="shared" si="51"/>
        <v>0</v>
      </c>
    </row>
    <row r="443" spans="1:20" ht="15.75" x14ac:dyDescent="0.25">
      <c r="A443" s="633" t="s">
        <v>865</v>
      </c>
      <c r="B443" s="803"/>
      <c r="C443" s="803" t="s">
        <v>1118</v>
      </c>
      <c r="D443" s="549">
        <v>0</v>
      </c>
      <c r="E443" s="550">
        <v>178.55121383952002</v>
      </c>
      <c r="F443" s="551">
        <v>0</v>
      </c>
      <c r="G443" s="560">
        <v>16.069609245556801</v>
      </c>
      <c r="H443" s="566">
        <v>194.62082308507681</v>
      </c>
      <c r="I443" s="567">
        <v>0</v>
      </c>
      <c r="J443" s="560">
        <v>0</v>
      </c>
      <c r="K443" s="568">
        <v>132.2411007399327</v>
      </c>
      <c r="L443" s="560">
        <v>25.125809140587211</v>
      </c>
      <c r="M443" s="1057">
        <f t="shared" si="52"/>
        <v>132.2411007399327</v>
      </c>
      <c r="N443" s="1058">
        <f t="shared" si="52"/>
        <v>25.125809140587211</v>
      </c>
      <c r="O443" s="569">
        <v>0</v>
      </c>
      <c r="P443" s="560">
        <v>0</v>
      </c>
      <c r="Q443" s="570">
        <v>41.195418386144013</v>
      </c>
      <c r="R443" s="571">
        <v>351.98773296559671</v>
      </c>
      <c r="S443" s="1075">
        <f t="shared" si="53"/>
        <v>351.98773296559671</v>
      </c>
      <c r="T443" s="1075">
        <f t="shared" si="51"/>
        <v>0</v>
      </c>
    </row>
    <row r="444" spans="1:20" ht="15.75" x14ac:dyDescent="0.25">
      <c r="A444" s="633" t="s">
        <v>866</v>
      </c>
      <c r="B444" s="803"/>
      <c r="C444" s="803" t="s">
        <v>1118</v>
      </c>
      <c r="D444" s="549">
        <v>0</v>
      </c>
      <c r="E444" s="550">
        <v>209.42462257257824</v>
      </c>
      <c r="F444" s="551">
        <v>0</v>
      </c>
      <c r="G444" s="560">
        <v>18.848216031532044</v>
      </c>
      <c r="H444" s="566">
        <v>228.27283860411029</v>
      </c>
      <c r="I444" s="567">
        <v>0</v>
      </c>
      <c r="J444" s="560">
        <v>0</v>
      </c>
      <c r="K444" s="568">
        <v>116.28983956118596</v>
      </c>
      <c r="L444" s="560">
        <v>22.09506951662533</v>
      </c>
      <c r="M444" s="1057">
        <f t="shared" si="52"/>
        <v>116.28983956118596</v>
      </c>
      <c r="N444" s="1058">
        <f t="shared" si="52"/>
        <v>22.09506951662533</v>
      </c>
      <c r="O444" s="569">
        <v>0</v>
      </c>
      <c r="P444" s="560">
        <v>0</v>
      </c>
      <c r="Q444" s="570">
        <v>40.943285548157377</v>
      </c>
      <c r="R444" s="571">
        <v>366.65774768192159</v>
      </c>
      <c r="S444" s="1075">
        <f t="shared" si="53"/>
        <v>366.65774768192159</v>
      </c>
      <c r="T444" s="1075">
        <f t="shared" si="51"/>
        <v>0</v>
      </c>
    </row>
    <row r="445" spans="1:20" ht="15.75" x14ac:dyDescent="0.25">
      <c r="A445" s="633" t="s">
        <v>867</v>
      </c>
      <c r="B445" s="803"/>
      <c r="C445" s="803" t="s">
        <v>1118</v>
      </c>
      <c r="D445" s="549">
        <v>0</v>
      </c>
      <c r="E445" s="550">
        <v>162.59995266077328</v>
      </c>
      <c r="F445" s="551">
        <v>0</v>
      </c>
      <c r="G445" s="560">
        <v>14.633995739469595</v>
      </c>
      <c r="H445" s="566">
        <v>177.23394840024287</v>
      </c>
      <c r="I445" s="567">
        <v>0</v>
      </c>
      <c r="J445" s="560">
        <v>0</v>
      </c>
      <c r="K445" s="568">
        <v>158.99805497524983</v>
      </c>
      <c r="L445" s="560">
        <v>30.209630445297467</v>
      </c>
      <c r="M445" s="1057">
        <f t="shared" si="52"/>
        <v>158.99805497524983</v>
      </c>
      <c r="N445" s="1058">
        <f t="shared" si="52"/>
        <v>30.209630445297467</v>
      </c>
      <c r="O445" s="569">
        <v>0</v>
      </c>
      <c r="P445" s="560">
        <v>0</v>
      </c>
      <c r="Q445" s="570">
        <v>44.843626184767061</v>
      </c>
      <c r="R445" s="571">
        <v>366.44163382079017</v>
      </c>
      <c r="S445" s="1075">
        <f t="shared" si="53"/>
        <v>366.44163382079017</v>
      </c>
      <c r="T445" s="1075">
        <f t="shared" si="51"/>
        <v>0</v>
      </c>
    </row>
    <row r="446" spans="1:20" ht="15.75" x14ac:dyDescent="0.25">
      <c r="A446" s="633" t="s">
        <v>868</v>
      </c>
      <c r="B446" s="803"/>
      <c r="C446" s="803" t="s">
        <v>1118</v>
      </c>
      <c r="D446" s="549">
        <v>0</v>
      </c>
      <c r="E446" s="550">
        <v>165.17273672186147</v>
      </c>
      <c r="F446" s="551">
        <v>0</v>
      </c>
      <c r="G446" s="560">
        <v>14.865546304967532</v>
      </c>
      <c r="H446" s="566">
        <v>180.03828302682899</v>
      </c>
      <c r="I446" s="567">
        <v>0</v>
      </c>
      <c r="J446" s="560">
        <v>0</v>
      </c>
      <c r="K446" s="568">
        <v>109.60060100235667</v>
      </c>
      <c r="L446" s="560">
        <v>20.824114190447766</v>
      </c>
      <c r="M446" s="1057">
        <f t="shared" si="52"/>
        <v>109.60060100235667</v>
      </c>
      <c r="N446" s="1058">
        <f t="shared" si="52"/>
        <v>20.824114190447766</v>
      </c>
      <c r="O446" s="569">
        <v>0</v>
      </c>
      <c r="P446" s="560">
        <v>0</v>
      </c>
      <c r="Q446" s="570">
        <v>35.689660495415296</v>
      </c>
      <c r="R446" s="571">
        <v>310.46299821963339</v>
      </c>
      <c r="S446" s="1075">
        <f t="shared" si="53"/>
        <v>310.46299821963339</v>
      </c>
      <c r="T446" s="1075">
        <f t="shared" si="51"/>
        <v>0</v>
      </c>
    </row>
    <row r="447" spans="1:20" ht="15.75" x14ac:dyDescent="0.25">
      <c r="A447" s="633" t="s">
        <v>870</v>
      </c>
      <c r="B447" s="803"/>
      <c r="C447" s="803" t="s">
        <v>1118</v>
      </c>
      <c r="D447" s="549">
        <v>0</v>
      </c>
      <c r="E447" s="550">
        <v>217.1429747558428</v>
      </c>
      <c r="F447" s="551">
        <v>0</v>
      </c>
      <c r="G447" s="560">
        <v>19.54286772802585</v>
      </c>
      <c r="H447" s="566">
        <v>236.68584248386864</v>
      </c>
      <c r="I447" s="567">
        <v>0</v>
      </c>
      <c r="J447" s="560">
        <v>0</v>
      </c>
      <c r="K447" s="568">
        <v>112.17338506344485</v>
      </c>
      <c r="L447" s="560">
        <v>21.312943162054523</v>
      </c>
      <c r="M447" s="1057">
        <f t="shared" si="52"/>
        <v>112.17338506344485</v>
      </c>
      <c r="N447" s="1058">
        <f t="shared" si="52"/>
        <v>21.312943162054523</v>
      </c>
      <c r="O447" s="569">
        <v>0</v>
      </c>
      <c r="P447" s="560">
        <v>0</v>
      </c>
      <c r="Q447" s="570">
        <v>40.855810890080377</v>
      </c>
      <c r="R447" s="571">
        <v>370.172170709368</v>
      </c>
      <c r="S447" s="1075">
        <f t="shared" si="53"/>
        <v>370.172170709368</v>
      </c>
      <c r="T447" s="1075">
        <f t="shared" si="51"/>
        <v>0</v>
      </c>
    </row>
    <row r="448" spans="1:20" ht="15.75" x14ac:dyDescent="0.25">
      <c r="A448" s="633" t="s">
        <v>871</v>
      </c>
      <c r="B448" s="803"/>
      <c r="C448" s="803" t="s">
        <v>1118</v>
      </c>
      <c r="D448" s="549">
        <v>0</v>
      </c>
      <c r="E448" s="550">
        <v>189.87146370830803</v>
      </c>
      <c r="F448" s="551">
        <v>0</v>
      </c>
      <c r="G448" s="560">
        <v>17.088431733747726</v>
      </c>
      <c r="H448" s="566">
        <v>206.95989544205577</v>
      </c>
      <c r="I448" s="567">
        <v>0</v>
      </c>
      <c r="J448" s="560">
        <v>0</v>
      </c>
      <c r="K448" s="568">
        <v>104.4550328801803</v>
      </c>
      <c r="L448" s="560">
        <v>19.846456247234258</v>
      </c>
      <c r="M448" s="1057">
        <f t="shared" si="52"/>
        <v>104.4550328801803</v>
      </c>
      <c r="N448" s="1058">
        <f t="shared" si="52"/>
        <v>19.846456247234258</v>
      </c>
      <c r="O448" s="569">
        <v>0</v>
      </c>
      <c r="P448" s="560">
        <v>0</v>
      </c>
      <c r="Q448" s="570">
        <v>36.934887980981983</v>
      </c>
      <c r="R448" s="571">
        <v>331.26138456947029</v>
      </c>
      <c r="S448" s="1075">
        <f t="shared" si="53"/>
        <v>331.26138456947029</v>
      </c>
      <c r="T448" s="1075">
        <f t="shared" si="51"/>
        <v>0</v>
      </c>
    </row>
    <row r="449" spans="1:20" ht="15.75" x14ac:dyDescent="0.25">
      <c r="A449" s="633" t="s">
        <v>872</v>
      </c>
      <c r="B449" s="803"/>
      <c r="C449" s="803" t="s">
        <v>1118</v>
      </c>
      <c r="D449" s="549">
        <v>0</v>
      </c>
      <c r="E449" s="550">
        <v>207.36639532370771</v>
      </c>
      <c r="F449" s="551">
        <v>0</v>
      </c>
      <c r="G449" s="560">
        <v>18.662975579133693</v>
      </c>
      <c r="H449" s="566">
        <v>226.02937090284141</v>
      </c>
      <c r="I449" s="567">
        <v>0</v>
      </c>
      <c r="J449" s="560">
        <v>0</v>
      </c>
      <c r="K449" s="568">
        <v>114.74616912453304</v>
      </c>
      <c r="L449" s="560">
        <v>21.801772133661277</v>
      </c>
      <c r="M449" s="1057">
        <f t="shared" si="52"/>
        <v>114.74616912453304</v>
      </c>
      <c r="N449" s="1058">
        <f t="shared" si="52"/>
        <v>21.801772133661277</v>
      </c>
      <c r="O449" s="569">
        <v>0</v>
      </c>
      <c r="P449" s="560">
        <v>0</v>
      </c>
      <c r="Q449" s="570">
        <v>40.464747712794974</v>
      </c>
      <c r="R449" s="571">
        <v>362.57731216103576</v>
      </c>
      <c r="S449" s="1075">
        <f t="shared" si="53"/>
        <v>362.57731216103576</v>
      </c>
      <c r="T449" s="1075">
        <f t="shared" si="51"/>
        <v>0</v>
      </c>
    </row>
    <row r="450" spans="1:20" ht="15.75" x14ac:dyDescent="0.25">
      <c r="A450" s="633" t="s">
        <v>874</v>
      </c>
      <c r="B450" s="803"/>
      <c r="C450" s="803" t="s">
        <v>1118</v>
      </c>
      <c r="D450" s="549">
        <v>0</v>
      </c>
      <c r="E450" s="550">
        <v>196.0461454549197</v>
      </c>
      <c r="F450" s="551">
        <v>0</v>
      </c>
      <c r="G450" s="560">
        <v>17.644153090942773</v>
      </c>
      <c r="H450" s="566">
        <v>213.69029854586248</v>
      </c>
      <c r="I450" s="567">
        <v>0</v>
      </c>
      <c r="J450" s="560">
        <v>0</v>
      </c>
      <c r="K450" s="568">
        <v>184.72589558613168</v>
      </c>
      <c r="L450" s="560">
        <v>35.097920161365018</v>
      </c>
      <c r="M450" s="1057">
        <f t="shared" si="52"/>
        <v>184.72589558613168</v>
      </c>
      <c r="N450" s="1058">
        <f t="shared" si="52"/>
        <v>35.097920161365018</v>
      </c>
      <c r="O450" s="569">
        <v>0</v>
      </c>
      <c r="P450" s="560">
        <v>0</v>
      </c>
      <c r="Q450" s="570">
        <v>52.74207325230779</v>
      </c>
      <c r="R450" s="571">
        <v>433.51411429335923</v>
      </c>
      <c r="S450" s="1075">
        <f t="shared" si="53"/>
        <v>433.51411429335923</v>
      </c>
      <c r="T450" s="1075">
        <f t="shared" si="51"/>
        <v>0</v>
      </c>
    </row>
    <row r="451" spans="1:20" ht="16.5" thickBot="1" x14ac:dyDescent="0.3">
      <c r="A451" s="634" t="s">
        <v>598</v>
      </c>
      <c r="B451" s="803"/>
      <c r="C451" s="803" t="s">
        <v>1118</v>
      </c>
      <c r="D451" s="549">
        <v>0</v>
      </c>
      <c r="E451" s="550">
        <v>188.84235008387276</v>
      </c>
      <c r="F451" s="551">
        <v>0</v>
      </c>
      <c r="G451" s="560">
        <v>16.995811507548549</v>
      </c>
      <c r="H451" s="566">
        <v>205.83816159142131</v>
      </c>
      <c r="I451" s="567">
        <v>0</v>
      </c>
      <c r="J451" s="560">
        <v>0</v>
      </c>
      <c r="K451" s="568">
        <v>195.0170318304844</v>
      </c>
      <c r="L451" s="560">
        <v>37.053236047792041</v>
      </c>
      <c r="M451" s="1057">
        <f t="shared" si="52"/>
        <v>195.0170318304844</v>
      </c>
      <c r="N451" s="1058">
        <f t="shared" si="52"/>
        <v>37.053236047792041</v>
      </c>
      <c r="O451" s="569">
        <v>0</v>
      </c>
      <c r="P451" s="560">
        <v>0</v>
      </c>
      <c r="Q451" s="570">
        <v>54.049047555340593</v>
      </c>
      <c r="R451" s="571">
        <v>437.90842946969775</v>
      </c>
      <c r="S451" s="1075">
        <f t="shared" si="53"/>
        <v>437.90842946969775</v>
      </c>
      <c r="T451" s="1075">
        <f t="shared" si="51"/>
        <v>0</v>
      </c>
    </row>
    <row r="452" spans="1:20" ht="15.75" x14ac:dyDescent="0.25">
      <c r="A452" s="650" t="s">
        <v>887</v>
      </c>
      <c r="B452" s="803" t="s">
        <v>429</v>
      </c>
      <c r="C452" s="653" t="s">
        <v>1120</v>
      </c>
      <c r="D452" s="549">
        <v>0</v>
      </c>
      <c r="E452" s="550">
        <v>106.71419394245939</v>
      </c>
      <c r="F452" s="551">
        <v>0</v>
      </c>
      <c r="G452" s="560">
        <v>0</v>
      </c>
      <c r="H452" s="566">
        <v>106.71419394245939</v>
      </c>
      <c r="I452" s="567">
        <v>76.512063581385974</v>
      </c>
      <c r="J452" s="560">
        <v>0</v>
      </c>
      <c r="K452" s="568">
        <v>0</v>
      </c>
      <c r="L452" s="560">
        <v>0</v>
      </c>
      <c r="M452" s="1057">
        <f t="shared" si="52"/>
        <v>76.512063581385974</v>
      </c>
      <c r="N452" s="1058">
        <f t="shared" si="52"/>
        <v>0</v>
      </c>
      <c r="O452" s="569">
        <v>0</v>
      </c>
      <c r="P452" s="560">
        <v>0</v>
      </c>
      <c r="Q452" s="570">
        <v>0</v>
      </c>
      <c r="R452" s="571">
        <v>183.22625752384536</v>
      </c>
      <c r="S452" s="1075">
        <f t="shared" si="53"/>
        <v>183.22625752384536</v>
      </c>
      <c r="T452" s="1075">
        <f t="shared" si="51"/>
        <v>0</v>
      </c>
    </row>
    <row r="453" spans="1:20" ht="16.5" thickBot="1" x14ac:dyDescent="0.3">
      <c r="A453" s="651" t="s">
        <v>694</v>
      </c>
      <c r="B453" s="651"/>
      <c r="C453" s="823" t="s">
        <v>1120</v>
      </c>
      <c r="D453" s="549">
        <v>0</v>
      </c>
      <c r="E453" s="550">
        <v>96.577386970696821</v>
      </c>
      <c r="F453" s="551">
        <v>4.0095931686252637</v>
      </c>
      <c r="G453" s="560">
        <v>0</v>
      </c>
      <c r="H453" s="566">
        <v>100.58698013932208</v>
      </c>
      <c r="I453" s="567">
        <v>84.392389549160299</v>
      </c>
      <c r="J453" s="560">
        <v>0</v>
      </c>
      <c r="K453" s="568">
        <v>0</v>
      </c>
      <c r="L453" s="560">
        <v>0</v>
      </c>
      <c r="M453" s="1057">
        <f t="shared" si="52"/>
        <v>84.392389549160299</v>
      </c>
      <c r="N453" s="1058">
        <f t="shared" si="52"/>
        <v>0</v>
      </c>
      <c r="O453" s="569">
        <v>4.3741016385002878</v>
      </c>
      <c r="P453" s="560">
        <v>0</v>
      </c>
      <c r="Q453" s="570">
        <v>0</v>
      </c>
      <c r="R453" s="571">
        <v>189.35347132698269</v>
      </c>
      <c r="S453" s="1075">
        <f t="shared" si="53"/>
        <v>189.35347132698269</v>
      </c>
      <c r="T453" s="1075">
        <f t="shared" si="51"/>
        <v>0</v>
      </c>
    </row>
    <row r="454" spans="1:20" ht="15.75" x14ac:dyDescent="0.25">
      <c r="A454" s="638" t="s">
        <v>143</v>
      </c>
      <c r="B454" s="693" t="s">
        <v>429</v>
      </c>
      <c r="C454" s="806" t="s">
        <v>1131</v>
      </c>
      <c r="D454" s="549">
        <v>0</v>
      </c>
      <c r="E454" s="550">
        <v>107.2378189267215</v>
      </c>
      <c r="F454" s="551">
        <v>0</v>
      </c>
      <c r="G454" s="560">
        <v>0</v>
      </c>
      <c r="H454" s="566">
        <v>107.2378189267215</v>
      </c>
      <c r="I454" s="567">
        <v>0</v>
      </c>
      <c r="J454" s="560">
        <v>0</v>
      </c>
      <c r="K454" s="568">
        <v>0</v>
      </c>
      <c r="L454" s="560">
        <v>0</v>
      </c>
      <c r="M454" s="1057">
        <f t="shared" si="52"/>
        <v>0</v>
      </c>
      <c r="N454" s="1058">
        <f t="shared" si="52"/>
        <v>0</v>
      </c>
      <c r="O454" s="569">
        <v>0</v>
      </c>
      <c r="P454" s="560">
        <v>0</v>
      </c>
      <c r="Q454" s="570">
        <v>0</v>
      </c>
      <c r="R454" s="571">
        <v>107.2378189267215</v>
      </c>
      <c r="S454" s="1075">
        <f t="shared" si="53"/>
        <v>107.2378189267215</v>
      </c>
      <c r="T454" s="1075">
        <f t="shared" si="51"/>
        <v>0</v>
      </c>
    </row>
    <row r="455" spans="1:20" ht="15.75" x14ac:dyDescent="0.25">
      <c r="A455" s="639" t="s">
        <v>144</v>
      </c>
      <c r="B455" s="639"/>
      <c r="C455" s="724" t="s">
        <v>1131</v>
      </c>
      <c r="D455" s="549">
        <v>0</v>
      </c>
      <c r="E455" s="550">
        <v>144.38960307508054</v>
      </c>
      <c r="F455" s="551">
        <v>0</v>
      </c>
      <c r="G455" s="560">
        <v>0</v>
      </c>
      <c r="H455" s="566">
        <v>144.38960307508054</v>
      </c>
      <c r="I455" s="567">
        <v>0</v>
      </c>
      <c r="J455" s="560">
        <v>0</v>
      </c>
      <c r="K455" s="568">
        <v>0</v>
      </c>
      <c r="L455" s="560">
        <v>0</v>
      </c>
      <c r="M455" s="1057">
        <f t="shared" si="52"/>
        <v>0</v>
      </c>
      <c r="N455" s="1058">
        <f t="shared" si="52"/>
        <v>0</v>
      </c>
      <c r="O455" s="569">
        <v>0</v>
      </c>
      <c r="P455" s="560">
        <v>0</v>
      </c>
      <c r="Q455" s="570">
        <v>0</v>
      </c>
      <c r="R455" s="571">
        <v>144.38960307508054</v>
      </c>
      <c r="S455" s="1075">
        <f t="shared" si="53"/>
        <v>144.38960307508054</v>
      </c>
      <c r="T455" s="1075">
        <f t="shared" si="51"/>
        <v>0</v>
      </c>
    </row>
    <row r="456" spans="1:20" ht="15.75" x14ac:dyDescent="0.25">
      <c r="A456" s="639" t="s">
        <v>145</v>
      </c>
      <c r="B456" s="639"/>
      <c r="C456" s="724" t="s">
        <v>1131</v>
      </c>
      <c r="D456" s="549">
        <v>0</v>
      </c>
      <c r="E456" s="550">
        <v>129.20648240900042</v>
      </c>
      <c r="F456" s="551">
        <v>0</v>
      </c>
      <c r="G456" s="560">
        <v>0</v>
      </c>
      <c r="H456" s="566">
        <v>129.20648240900042</v>
      </c>
      <c r="I456" s="567">
        <v>0</v>
      </c>
      <c r="J456" s="560">
        <v>0</v>
      </c>
      <c r="K456" s="568">
        <v>0</v>
      </c>
      <c r="L456" s="560">
        <v>0</v>
      </c>
      <c r="M456" s="1057">
        <f t="shared" si="52"/>
        <v>0</v>
      </c>
      <c r="N456" s="1058">
        <f t="shared" si="52"/>
        <v>0</v>
      </c>
      <c r="O456" s="569">
        <v>0</v>
      </c>
      <c r="P456" s="560">
        <v>0</v>
      </c>
      <c r="Q456" s="570">
        <v>0</v>
      </c>
      <c r="R456" s="571">
        <v>129.20648240900042</v>
      </c>
      <c r="S456" s="1075">
        <f t="shared" si="53"/>
        <v>129.20648240900042</v>
      </c>
      <c r="T456" s="1075">
        <f t="shared" si="51"/>
        <v>0</v>
      </c>
    </row>
    <row r="457" spans="1:20" ht="15.75" x14ac:dyDescent="0.25">
      <c r="A457" s="639" t="s">
        <v>146</v>
      </c>
      <c r="B457" s="639"/>
      <c r="C457" s="724" t="s">
        <v>1131</v>
      </c>
      <c r="D457" s="549">
        <v>0</v>
      </c>
      <c r="E457" s="550">
        <v>125.86994478114576</v>
      </c>
      <c r="F457" s="551">
        <v>0</v>
      </c>
      <c r="G457" s="560">
        <v>0</v>
      </c>
      <c r="H457" s="566">
        <v>125.86994478114576</v>
      </c>
      <c r="I457" s="567">
        <v>0</v>
      </c>
      <c r="J457" s="560">
        <v>0</v>
      </c>
      <c r="K457" s="568">
        <v>0</v>
      </c>
      <c r="L457" s="560">
        <v>0</v>
      </c>
      <c r="M457" s="1057">
        <f t="shared" si="52"/>
        <v>0</v>
      </c>
      <c r="N457" s="1058">
        <f t="shared" si="52"/>
        <v>0</v>
      </c>
      <c r="O457" s="569">
        <v>0</v>
      </c>
      <c r="P457" s="560">
        <v>0</v>
      </c>
      <c r="Q457" s="570">
        <v>0</v>
      </c>
      <c r="R457" s="571">
        <v>125.86994478114576</v>
      </c>
      <c r="S457" s="1075">
        <f t="shared" si="53"/>
        <v>125.86994478114576</v>
      </c>
      <c r="T457" s="1075">
        <f t="shared" si="51"/>
        <v>0</v>
      </c>
    </row>
    <row r="458" spans="1:20" ht="15.75" x14ac:dyDescent="0.25">
      <c r="A458" s="639" t="s">
        <v>147</v>
      </c>
      <c r="B458" s="639"/>
      <c r="C458" s="724" t="s">
        <v>1131</v>
      </c>
      <c r="D458" s="549">
        <v>0</v>
      </c>
      <c r="E458" s="550">
        <v>116.66634941442312</v>
      </c>
      <c r="F458" s="551">
        <v>0</v>
      </c>
      <c r="G458" s="560">
        <v>0</v>
      </c>
      <c r="H458" s="566">
        <v>116.66634941442312</v>
      </c>
      <c r="I458" s="567">
        <v>0</v>
      </c>
      <c r="J458" s="560">
        <v>0</v>
      </c>
      <c r="K458" s="568">
        <v>0</v>
      </c>
      <c r="L458" s="560">
        <v>0</v>
      </c>
      <c r="M458" s="1057">
        <f t="shared" si="52"/>
        <v>0</v>
      </c>
      <c r="N458" s="1058">
        <f t="shared" si="52"/>
        <v>0</v>
      </c>
      <c r="O458" s="569">
        <v>0</v>
      </c>
      <c r="P458" s="560">
        <v>0</v>
      </c>
      <c r="Q458" s="570">
        <v>0</v>
      </c>
      <c r="R458" s="571">
        <v>116.66634941442312</v>
      </c>
      <c r="S458" s="1075">
        <f t="shared" si="53"/>
        <v>116.66634941442312</v>
      </c>
      <c r="T458" s="1075">
        <f t="shared" si="51"/>
        <v>0</v>
      </c>
    </row>
    <row r="459" spans="1:20" ht="15.75" x14ac:dyDescent="0.25">
      <c r="A459" s="639" t="s">
        <v>148</v>
      </c>
      <c r="B459" s="639"/>
      <c r="C459" s="724" t="s">
        <v>1131</v>
      </c>
      <c r="D459" s="549">
        <v>0</v>
      </c>
      <c r="E459" s="550">
        <v>99.327600505627913</v>
      </c>
      <c r="F459" s="551">
        <v>0</v>
      </c>
      <c r="G459" s="560">
        <v>0</v>
      </c>
      <c r="H459" s="566">
        <v>99.327600505627913</v>
      </c>
      <c r="I459" s="567">
        <v>0</v>
      </c>
      <c r="J459" s="560">
        <v>0</v>
      </c>
      <c r="K459" s="568">
        <v>0</v>
      </c>
      <c r="L459" s="560">
        <v>0</v>
      </c>
      <c r="M459" s="1057">
        <f t="shared" si="52"/>
        <v>0</v>
      </c>
      <c r="N459" s="1058">
        <f t="shared" si="52"/>
        <v>0</v>
      </c>
      <c r="O459" s="569">
        <v>0</v>
      </c>
      <c r="P459" s="560">
        <v>0</v>
      </c>
      <c r="Q459" s="570">
        <v>0</v>
      </c>
      <c r="R459" s="571">
        <v>99.327600505627913</v>
      </c>
      <c r="S459" s="1075">
        <f t="shared" si="53"/>
        <v>99.327600505627913</v>
      </c>
      <c r="T459" s="1075">
        <f t="shared" si="51"/>
        <v>0</v>
      </c>
    </row>
    <row r="460" spans="1:20" ht="15.75" x14ac:dyDescent="0.25">
      <c r="A460" s="639" t="s">
        <v>149</v>
      </c>
      <c r="B460" s="639"/>
      <c r="C460" s="724" t="s">
        <v>1131</v>
      </c>
      <c r="D460" s="549">
        <v>0</v>
      </c>
      <c r="E460" s="550">
        <v>162.2157114126635</v>
      </c>
      <c r="F460" s="551">
        <v>0</v>
      </c>
      <c r="G460" s="560">
        <v>0</v>
      </c>
      <c r="H460" s="566">
        <v>162.2157114126635</v>
      </c>
      <c r="I460" s="567">
        <v>0</v>
      </c>
      <c r="J460" s="560">
        <v>0</v>
      </c>
      <c r="K460" s="568">
        <v>0</v>
      </c>
      <c r="L460" s="560">
        <v>0</v>
      </c>
      <c r="M460" s="1057">
        <f t="shared" si="52"/>
        <v>0</v>
      </c>
      <c r="N460" s="1058">
        <f t="shared" si="52"/>
        <v>0</v>
      </c>
      <c r="O460" s="569">
        <v>0</v>
      </c>
      <c r="P460" s="560">
        <v>0</v>
      </c>
      <c r="Q460" s="570">
        <v>0</v>
      </c>
      <c r="R460" s="571">
        <v>162.2157114126635</v>
      </c>
      <c r="S460" s="1075">
        <f t="shared" si="53"/>
        <v>162.2157114126635</v>
      </c>
      <c r="T460" s="1075">
        <f t="shared" si="51"/>
        <v>0</v>
      </c>
    </row>
    <row r="461" spans="1:20" ht="16.5" thickBot="1" x14ac:dyDescent="0.3">
      <c r="A461" s="640" t="s">
        <v>150</v>
      </c>
      <c r="B461" s="652"/>
      <c r="C461" s="807" t="s">
        <v>1131</v>
      </c>
      <c r="D461" s="549">
        <v>0</v>
      </c>
      <c r="E461" s="550">
        <v>128.92531350777671</v>
      </c>
      <c r="F461" s="551">
        <v>0</v>
      </c>
      <c r="G461" s="560">
        <v>0</v>
      </c>
      <c r="H461" s="566">
        <v>128.92531350777671</v>
      </c>
      <c r="I461" s="567">
        <v>0</v>
      </c>
      <c r="J461" s="560">
        <v>0</v>
      </c>
      <c r="K461" s="568">
        <v>0</v>
      </c>
      <c r="L461" s="560">
        <v>0</v>
      </c>
      <c r="M461" s="1057">
        <f t="shared" si="52"/>
        <v>0</v>
      </c>
      <c r="N461" s="1058">
        <f t="shared" si="52"/>
        <v>0</v>
      </c>
      <c r="O461" s="569">
        <v>0</v>
      </c>
      <c r="P461" s="560">
        <v>0</v>
      </c>
      <c r="Q461" s="570">
        <v>0</v>
      </c>
      <c r="R461" s="571">
        <v>128.92531350777671</v>
      </c>
      <c r="S461" s="1075">
        <f t="shared" si="53"/>
        <v>128.92531350777671</v>
      </c>
      <c r="T461" s="1075">
        <f t="shared" si="51"/>
        <v>0</v>
      </c>
    </row>
    <row r="462" spans="1:20" ht="15.75" x14ac:dyDescent="0.25">
      <c r="A462" s="638" t="s">
        <v>151</v>
      </c>
      <c r="B462" s="693"/>
      <c r="C462" s="806" t="s">
        <v>1133</v>
      </c>
      <c r="D462" s="549">
        <v>0</v>
      </c>
      <c r="E462" s="550">
        <v>424.43668143239574</v>
      </c>
      <c r="F462" s="551">
        <v>0</v>
      </c>
      <c r="G462" s="560">
        <v>42.44847000636247</v>
      </c>
      <c r="H462" s="566">
        <v>466.88515143875821</v>
      </c>
      <c r="I462" s="567">
        <v>41.848237116001009</v>
      </c>
      <c r="J462" s="560">
        <v>4.1896255747229922</v>
      </c>
      <c r="K462" s="568">
        <v>202.90272625778803</v>
      </c>
      <c r="L462" s="560">
        <v>20.287871694217355</v>
      </c>
      <c r="M462" s="1057">
        <f t="shared" si="52"/>
        <v>244.75096337378903</v>
      </c>
      <c r="N462" s="1058">
        <f t="shared" si="52"/>
        <v>24.477497268940347</v>
      </c>
      <c r="O462" s="569">
        <v>0</v>
      </c>
      <c r="P462" s="560">
        <v>0</v>
      </c>
      <c r="Q462" s="570">
        <v>66.925967275302824</v>
      </c>
      <c r="R462" s="571">
        <v>736.11361208148753</v>
      </c>
      <c r="S462" s="1075">
        <f t="shared" si="53"/>
        <v>736.11361208148764</v>
      </c>
      <c r="T462" s="1075">
        <f t="shared" si="51"/>
        <v>0</v>
      </c>
    </row>
    <row r="463" spans="1:20" ht="15.75" x14ac:dyDescent="0.25">
      <c r="A463" s="639" t="s">
        <v>152</v>
      </c>
      <c r="B463" s="639"/>
      <c r="C463" s="724" t="s">
        <v>1133</v>
      </c>
      <c r="D463" s="549">
        <v>0</v>
      </c>
      <c r="E463" s="550">
        <v>184.43956255026947</v>
      </c>
      <c r="F463" s="551">
        <v>0</v>
      </c>
      <c r="G463" s="560">
        <v>18.439154391904058</v>
      </c>
      <c r="H463" s="566">
        <v>202.87871694217353</v>
      </c>
      <c r="I463" s="567">
        <v>0</v>
      </c>
      <c r="J463" s="560">
        <v>0</v>
      </c>
      <c r="K463" s="568">
        <v>176.32441387258254</v>
      </c>
      <c r="L463" s="560">
        <v>17.6348423188197</v>
      </c>
      <c r="M463" s="1057">
        <f t="shared" si="52"/>
        <v>176.32441387258254</v>
      </c>
      <c r="N463" s="1058">
        <f t="shared" si="52"/>
        <v>17.6348423188197</v>
      </c>
      <c r="O463" s="569">
        <v>0</v>
      </c>
      <c r="P463" s="560">
        <v>0</v>
      </c>
      <c r="Q463" s="570">
        <v>36.073996710723762</v>
      </c>
      <c r="R463" s="571">
        <v>396.83797313357576</v>
      </c>
      <c r="S463" s="1075">
        <f t="shared" si="53"/>
        <v>396.83797313357576</v>
      </c>
      <c r="T463" s="1075">
        <f t="shared" si="51"/>
        <v>0</v>
      </c>
    </row>
    <row r="464" spans="1:20" ht="15.75" x14ac:dyDescent="0.25">
      <c r="A464" s="639" t="s">
        <v>153</v>
      </c>
      <c r="B464" s="639" t="s">
        <v>429</v>
      </c>
      <c r="C464" s="724" t="s">
        <v>1133</v>
      </c>
      <c r="D464" s="549">
        <v>0</v>
      </c>
      <c r="E464" s="550">
        <v>199.20529165316142</v>
      </c>
      <c r="F464" s="551">
        <v>0</v>
      </c>
      <c r="G464" s="560">
        <v>19.91572730219325</v>
      </c>
      <c r="H464" s="566">
        <v>219.12101895535469</v>
      </c>
      <c r="I464" s="567">
        <v>34.621433116049026</v>
      </c>
      <c r="J464" s="560">
        <v>3.4573414484820106</v>
      </c>
      <c r="K464" s="568">
        <v>100.02280884983372</v>
      </c>
      <c r="L464" s="560">
        <v>9.999879953421928</v>
      </c>
      <c r="M464" s="1057">
        <f t="shared" si="52"/>
        <v>134.64424196588274</v>
      </c>
      <c r="N464" s="1058">
        <f t="shared" si="52"/>
        <v>13.457221401903938</v>
      </c>
      <c r="O464" s="569">
        <v>0</v>
      </c>
      <c r="P464" s="560">
        <v>0</v>
      </c>
      <c r="Q464" s="570">
        <v>33.37294870409719</v>
      </c>
      <c r="R464" s="571">
        <v>367.22248232314138</v>
      </c>
      <c r="S464" s="1075">
        <f t="shared" si="53"/>
        <v>367.22248232314138</v>
      </c>
      <c r="T464" s="1075">
        <f t="shared" si="51"/>
        <v>0</v>
      </c>
    </row>
    <row r="465" spans="1:20" ht="15.75" x14ac:dyDescent="0.25">
      <c r="A465" s="639" t="s">
        <v>214</v>
      </c>
      <c r="B465" s="639"/>
      <c r="C465" s="724" t="s">
        <v>1133</v>
      </c>
      <c r="D465" s="549">
        <v>0</v>
      </c>
      <c r="E465" s="550">
        <v>192.36263670304078</v>
      </c>
      <c r="F465" s="551">
        <v>0</v>
      </c>
      <c r="G465" s="560">
        <v>19.231461807181184</v>
      </c>
      <c r="H465" s="566">
        <v>211.59409851022195</v>
      </c>
      <c r="I465" s="567">
        <v>99.302529381399978</v>
      </c>
      <c r="J465" s="560">
        <v>9.9278520065785525</v>
      </c>
      <c r="K465" s="568">
        <v>187.34468973961896</v>
      </c>
      <c r="L465" s="560">
        <v>18.979363993229374</v>
      </c>
      <c r="M465" s="1057">
        <f t="shared" si="52"/>
        <v>286.64721912101891</v>
      </c>
      <c r="N465" s="1058">
        <f t="shared" si="52"/>
        <v>28.907215999807924</v>
      </c>
      <c r="O465" s="569">
        <v>0</v>
      </c>
      <c r="P465" s="560">
        <v>0</v>
      </c>
      <c r="Q465" s="570">
        <v>48.138677806989108</v>
      </c>
      <c r="R465" s="571">
        <v>527.14853363104885</v>
      </c>
      <c r="S465" s="1075">
        <f t="shared" si="53"/>
        <v>527.14853363104874</v>
      </c>
      <c r="T465" s="1075">
        <f t="shared" si="51"/>
        <v>0</v>
      </c>
    </row>
    <row r="466" spans="1:20" ht="16.5" thickBot="1" x14ac:dyDescent="0.3">
      <c r="A466" s="640" t="s">
        <v>154</v>
      </c>
      <c r="B466" s="652"/>
      <c r="C466" s="807" t="s">
        <v>1133</v>
      </c>
      <c r="D466" s="549">
        <v>0</v>
      </c>
      <c r="E466" s="550">
        <v>219.25307019123417</v>
      </c>
      <c r="F466" s="551">
        <v>0</v>
      </c>
      <c r="G466" s="560">
        <v>21.92050515600053</v>
      </c>
      <c r="H466" s="566">
        <v>241.1735753472347</v>
      </c>
      <c r="I466" s="567">
        <v>72.724216996194514</v>
      </c>
      <c r="J466" s="560">
        <v>7.2748226311808972</v>
      </c>
      <c r="K466" s="568">
        <v>159.68595815176289</v>
      </c>
      <c r="L466" s="560">
        <v>15.966194883614843</v>
      </c>
      <c r="M466" s="1057">
        <f t="shared" si="52"/>
        <v>232.4101751479574</v>
      </c>
      <c r="N466" s="1058">
        <f t="shared" si="52"/>
        <v>23.24101751479574</v>
      </c>
      <c r="O466" s="569">
        <v>0</v>
      </c>
      <c r="P466" s="560">
        <v>0</v>
      </c>
      <c r="Q466" s="570">
        <v>45.161522670796273</v>
      </c>
      <c r="R466" s="571">
        <v>496.82476800998785</v>
      </c>
      <c r="S466" s="1075">
        <f t="shared" si="53"/>
        <v>496.82476800998785</v>
      </c>
      <c r="T466" s="1075">
        <f t="shared" si="51"/>
        <v>0</v>
      </c>
    </row>
    <row r="467" spans="1:20" ht="15.75" x14ac:dyDescent="0.25">
      <c r="A467" s="638" t="s">
        <v>155</v>
      </c>
      <c r="B467" s="693" t="s">
        <v>429</v>
      </c>
      <c r="C467" s="806" t="s">
        <v>1135</v>
      </c>
      <c r="D467" s="549">
        <v>206.24267029725661</v>
      </c>
      <c r="E467" s="550">
        <v>89.457605060604465</v>
      </c>
      <c r="F467" s="551">
        <v>0</v>
      </c>
      <c r="G467" s="560">
        <v>73.925068839465268</v>
      </c>
      <c r="H467" s="566">
        <v>369.62534419732634</v>
      </c>
      <c r="I467" s="567">
        <v>79.654031903277954</v>
      </c>
      <c r="J467" s="560">
        <v>19.913507975819488</v>
      </c>
      <c r="K467" s="568">
        <v>0</v>
      </c>
      <c r="L467" s="560">
        <v>0</v>
      </c>
      <c r="M467" s="1057">
        <f t="shared" si="52"/>
        <v>79.654031903277954</v>
      </c>
      <c r="N467" s="1058">
        <f t="shared" si="52"/>
        <v>19.913507975819488</v>
      </c>
      <c r="O467" s="569">
        <v>0</v>
      </c>
      <c r="P467" s="560">
        <v>0</v>
      </c>
      <c r="Q467" s="570">
        <v>93.838576815284753</v>
      </c>
      <c r="R467" s="571">
        <v>469.19288407642375</v>
      </c>
      <c r="S467" s="1075">
        <f t="shared" si="53"/>
        <v>469.19288407642375</v>
      </c>
      <c r="T467" s="1075">
        <f t="shared" si="51"/>
        <v>0</v>
      </c>
    </row>
    <row r="468" spans="1:20" ht="15.75" x14ac:dyDescent="0.25">
      <c r="A468" s="639" t="s">
        <v>156</v>
      </c>
      <c r="B468" s="639"/>
      <c r="C468" s="724" t="s">
        <v>1135</v>
      </c>
      <c r="D468" s="549">
        <v>299.37661529185851</v>
      </c>
      <c r="E468" s="550">
        <v>176.21922750294414</v>
      </c>
      <c r="F468" s="551">
        <v>0</v>
      </c>
      <c r="G468" s="560">
        <v>118.89896069870066</v>
      </c>
      <c r="H468" s="566">
        <v>594.49480349350335</v>
      </c>
      <c r="I468" s="567">
        <v>181.61119273947372</v>
      </c>
      <c r="J468" s="560">
        <v>45.402798184868431</v>
      </c>
      <c r="K468" s="568">
        <v>0</v>
      </c>
      <c r="L468" s="560">
        <v>0</v>
      </c>
      <c r="M468" s="1057">
        <f t="shared" si="52"/>
        <v>181.61119273947372</v>
      </c>
      <c r="N468" s="1058">
        <f t="shared" si="52"/>
        <v>45.402798184868431</v>
      </c>
      <c r="O468" s="569">
        <v>0</v>
      </c>
      <c r="P468" s="560">
        <v>0</v>
      </c>
      <c r="Q468" s="570">
        <v>164.30175888356911</v>
      </c>
      <c r="R468" s="571">
        <v>821.50879441784548</v>
      </c>
      <c r="S468" s="1075">
        <f t="shared" si="53"/>
        <v>821.50879441784548</v>
      </c>
      <c r="T468" s="1075">
        <f t="shared" si="51"/>
        <v>0</v>
      </c>
    </row>
    <row r="469" spans="1:20" ht="15.75" x14ac:dyDescent="0.25">
      <c r="A469" s="639" t="s">
        <v>157</v>
      </c>
      <c r="B469" s="639"/>
      <c r="C469" s="724" t="s">
        <v>1135</v>
      </c>
      <c r="D469" s="549">
        <v>202.56633036325914</v>
      </c>
      <c r="E469" s="550">
        <v>118.62323520365085</v>
      </c>
      <c r="F469" s="551">
        <v>0</v>
      </c>
      <c r="G469" s="560">
        <v>80.297391391727501</v>
      </c>
      <c r="H469" s="566">
        <v>401.48695695863751</v>
      </c>
      <c r="I469" s="567">
        <v>125.97591507164574</v>
      </c>
      <c r="J469" s="560">
        <v>31.493978767911436</v>
      </c>
      <c r="K469" s="568">
        <v>0</v>
      </c>
      <c r="L469" s="560">
        <v>0</v>
      </c>
      <c r="M469" s="1057">
        <f t="shared" si="52"/>
        <v>125.97591507164574</v>
      </c>
      <c r="N469" s="1058">
        <f t="shared" si="52"/>
        <v>31.493978767911436</v>
      </c>
      <c r="O469" s="569">
        <v>0</v>
      </c>
      <c r="P469" s="560">
        <v>0</v>
      </c>
      <c r="Q469" s="570">
        <v>111.79137015963894</v>
      </c>
      <c r="R469" s="571">
        <v>558.95685079819475</v>
      </c>
      <c r="S469" s="1075">
        <f t="shared" si="53"/>
        <v>558.95685079819475</v>
      </c>
      <c r="T469" s="1075">
        <f t="shared" si="51"/>
        <v>0</v>
      </c>
    </row>
    <row r="470" spans="1:20" ht="15.75" x14ac:dyDescent="0.25">
      <c r="A470" s="639" t="s">
        <v>158</v>
      </c>
      <c r="B470" s="639"/>
      <c r="C470" s="724" t="s">
        <v>1135</v>
      </c>
      <c r="D470" s="549">
        <v>0</v>
      </c>
      <c r="E470" s="550">
        <v>302.6853212324562</v>
      </c>
      <c r="F470" s="551">
        <v>0</v>
      </c>
      <c r="G470" s="560">
        <v>75.671330308114051</v>
      </c>
      <c r="H470" s="566">
        <v>378.35665154057028</v>
      </c>
      <c r="I470" s="567">
        <v>454.15052651315091</v>
      </c>
      <c r="J470" s="560">
        <v>113.53763162828773</v>
      </c>
      <c r="K470" s="568">
        <v>0</v>
      </c>
      <c r="L470" s="560">
        <v>0</v>
      </c>
      <c r="M470" s="1057">
        <f t="shared" si="52"/>
        <v>454.15052651315091</v>
      </c>
      <c r="N470" s="1058">
        <f t="shared" si="52"/>
        <v>113.53763162828773</v>
      </c>
      <c r="O470" s="569">
        <v>0</v>
      </c>
      <c r="P470" s="560">
        <v>0</v>
      </c>
      <c r="Q470" s="570">
        <v>189.20896193640178</v>
      </c>
      <c r="R470" s="571">
        <v>946.04480968200892</v>
      </c>
      <c r="S470" s="1075">
        <f t="shared" si="53"/>
        <v>946.04480968200892</v>
      </c>
      <c r="T470" s="1075">
        <f t="shared" si="51"/>
        <v>0</v>
      </c>
    </row>
    <row r="471" spans="1:20" ht="16.5" thickBot="1" x14ac:dyDescent="0.3">
      <c r="A471" s="640" t="s">
        <v>159</v>
      </c>
      <c r="B471" s="652"/>
      <c r="C471" s="807" t="s">
        <v>1135</v>
      </c>
      <c r="D471" s="549">
        <v>285.5290682071348</v>
      </c>
      <c r="E471" s="550">
        <v>155.63172387255847</v>
      </c>
      <c r="F471" s="551">
        <v>0</v>
      </c>
      <c r="G471" s="560">
        <v>110.29019801992331</v>
      </c>
      <c r="H471" s="566">
        <v>551.45099009961655</v>
      </c>
      <c r="I471" s="567">
        <v>209.5513762378543</v>
      </c>
      <c r="J471" s="560">
        <v>52.387844059463575</v>
      </c>
      <c r="K471" s="568">
        <v>0</v>
      </c>
      <c r="L471" s="560">
        <v>0</v>
      </c>
      <c r="M471" s="1057">
        <f t="shared" si="52"/>
        <v>209.5513762378543</v>
      </c>
      <c r="N471" s="1058">
        <f t="shared" si="52"/>
        <v>52.387844059463575</v>
      </c>
      <c r="O471" s="569">
        <v>0</v>
      </c>
      <c r="P471" s="560">
        <v>0</v>
      </c>
      <c r="Q471" s="570">
        <v>162.6780420793869</v>
      </c>
      <c r="R471" s="571">
        <v>813.39021039693444</v>
      </c>
      <c r="S471" s="1075">
        <f t="shared" si="53"/>
        <v>813.39021039693444</v>
      </c>
      <c r="T471" s="1075">
        <f t="shared" si="51"/>
        <v>0</v>
      </c>
    </row>
    <row r="472" spans="1:20" ht="15.75" x14ac:dyDescent="0.25">
      <c r="A472" s="547" t="s">
        <v>160</v>
      </c>
      <c r="B472" s="1046"/>
      <c r="C472" s="802" t="s">
        <v>1137</v>
      </c>
      <c r="D472" s="549">
        <v>114.94016953675008</v>
      </c>
      <c r="E472" s="550">
        <v>221.67032696373229</v>
      </c>
      <c r="F472" s="551">
        <v>0</v>
      </c>
      <c r="G472" s="560">
        <v>26.928839720038585</v>
      </c>
      <c r="H472" s="566">
        <v>363.53933622052097</v>
      </c>
      <c r="I472" s="567">
        <v>491.57447507235077</v>
      </c>
      <c r="J472" s="560">
        <v>12.294493134377374</v>
      </c>
      <c r="K472" s="568">
        <v>0</v>
      </c>
      <c r="L472" s="560">
        <v>0</v>
      </c>
      <c r="M472" s="1057">
        <f t="shared" si="52"/>
        <v>491.57447507235077</v>
      </c>
      <c r="N472" s="1058">
        <f t="shared" si="52"/>
        <v>12.294493134377374</v>
      </c>
      <c r="O472" s="569">
        <v>0</v>
      </c>
      <c r="P472" s="560">
        <v>0</v>
      </c>
      <c r="Q472" s="570">
        <v>39.223332854415958</v>
      </c>
      <c r="R472" s="571">
        <v>867.40830442724916</v>
      </c>
      <c r="S472" s="1075">
        <f t="shared" si="53"/>
        <v>867.40830442724916</v>
      </c>
      <c r="T472" s="1075">
        <f t="shared" si="51"/>
        <v>0</v>
      </c>
    </row>
    <row r="473" spans="1:20" ht="15.75" x14ac:dyDescent="0.25">
      <c r="A473" s="547" t="s">
        <v>603</v>
      </c>
      <c r="B473" s="1046"/>
      <c r="C473" s="802" t="s">
        <v>1137</v>
      </c>
      <c r="D473" s="549">
        <v>139.57020586605367</v>
      </c>
      <c r="E473" s="550">
        <v>394.08058126885737</v>
      </c>
      <c r="F473" s="551">
        <v>0</v>
      </c>
      <c r="G473" s="560">
        <v>42.692062970792882</v>
      </c>
      <c r="H473" s="566">
        <v>576.34285010570397</v>
      </c>
      <c r="I473" s="567">
        <v>474.38476221752427</v>
      </c>
      <c r="J473" s="560">
        <v>11.863467498614561</v>
      </c>
      <c r="K473" s="568">
        <v>0</v>
      </c>
      <c r="L473" s="560">
        <v>0</v>
      </c>
      <c r="M473" s="1057">
        <f t="shared" si="52"/>
        <v>474.38476221752427</v>
      </c>
      <c r="N473" s="1058">
        <f t="shared" si="52"/>
        <v>11.863467498614561</v>
      </c>
      <c r="O473" s="569">
        <v>0</v>
      </c>
      <c r="P473" s="560">
        <v>0</v>
      </c>
      <c r="Q473" s="570">
        <v>54.555530469407444</v>
      </c>
      <c r="R473" s="571">
        <v>1062.5910798218426</v>
      </c>
      <c r="S473" s="1075">
        <f t="shared" si="53"/>
        <v>1062.5910798218426</v>
      </c>
      <c r="T473" s="1075">
        <f t="shared" si="51"/>
        <v>0</v>
      </c>
    </row>
    <row r="474" spans="1:20" ht="15.75" x14ac:dyDescent="0.25">
      <c r="A474" s="547" t="s">
        <v>162</v>
      </c>
      <c r="B474" s="1046"/>
      <c r="C474" s="802" t="s">
        <v>1137</v>
      </c>
      <c r="D474" s="549">
        <v>71.837605960468792</v>
      </c>
      <c r="E474" s="550">
        <v>299.66544200652697</v>
      </c>
      <c r="F474" s="551">
        <v>0</v>
      </c>
      <c r="G474" s="560">
        <v>29.720243837359661</v>
      </c>
      <c r="H474" s="566">
        <v>401.22329180435543</v>
      </c>
      <c r="I474" s="567">
        <v>359.18802980234398</v>
      </c>
      <c r="J474" s="560">
        <v>8.9797007450585991</v>
      </c>
      <c r="K474" s="568">
        <v>0</v>
      </c>
      <c r="L474" s="560">
        <v>0</v>
      </c>
      <c r="M474" s="1057">
        <f t="shared" si="52"/>
        <v>359.18802980234398</v>
      </c>
      <c r="N474" s="1058">
        <f t="shared" si="52"/>
        <v>8.9797007450585991</v>
      </c>
      <c r="O474" s="569">
        <v>0</v>
      </c>
      <c r="P474" s="560">
        <v>0</v>
      </c>
      <c r="Q474" s="570">
        <v>38.699944582418262</v>
      </c>
      <c r="R474" s="571">
        <v>769.39102235175801</v>
      </c>
      <c r="S474" s="1075">
        <f t="shared" si="53"/>
        <v>769.39102235175801</v>
      </c>
      <c r="T474" s="1075">
        <f t="shared" si="51"/>
        <v>0</v>
      </c>
    </row>
    <row r="475" spans="1:20" ht="15.75" x14ac:dyDescent="0.25">
      <c r="A475" s="547" t="s">
        <v>161</v>
      </c>
      <c r="B475" s="1046"/>
      <c r="C475" s="802" t="s">
        <v>1137</v>
      </c>
      <c r="D475" s="549">
        <v>28.735042384187519</v>
      </c>
      <c r="E475" s="550">
        <v>420.76312062560294</v>
      </c>
      <c r="F475" s="551">
        <v>0</v>
      </c>
      <c r="G475" s="560">
        <v>35.959853040783237</v>
      </c>
      <c r="H475" s="566">
        <v>485.45801605057369</v>
      </c>
      <c r="I475" s="567">
        <v>446.41940846862752</v>
      </c>
      <c r="J475" s="560">
        <v>11.165616469284293</v>
      </c>
      <c r="K475" s="568">
        <v>0</v>
      </c>
      <c r="L475" s="560">
        <v>0</v>
      </c>
      <c r="M475" s="1057">
        <f t="shared" si="52"/>
        <v>446.41940846862752</v>
      </c>
      <c r="N475" s="1058">
        <f t="shared" si="52"/>
        <v>11.165616469284293</v>
      </c>
      <c r="O475" s="569">
        <v>0</v>
      </c>
      <c r="P475" s="560">
        <v>0</v>
      </c>
      <c r="Q475" s="570">
        <v>47.125469510067532</v>
      </c>
      <c r="R475" s="571">
        <v>943.04304098848547</v>
      </c>
      <c r="S475" s="1075">
        <f t="shared" si="53"/>
        <v>943.04304098848547</v>
      </c>
      <c r="T475" s="1075">
        <f t="shared" si="51"/>
        <v>0</v>
      </c>
    </row>
    <row r="476" spans="1:20" ht="16.5" thickBot="1" x14ac:dyDescent="0.3">
      <c r="A476" s="613" t="s">
        <v>163</v>
      </c>
      <c r="B476" s="1046" t="s">
        <v>429</v>
      </c>
      <c r="C476" s="802" t="s">
        <v>1137</v>
      </c>
      <c r="D476" s="549">
        <v>55.417581740933073</v>
      </c>
      <c r="E476" s="550">
        <v>476.18070236653602</v>
      </c>
      <c r="F476" s="551">
        <v>0</v>
      </c>
      <c r="G476" s="560">
        <v>42.527862728597526</v>
      </c>
      <c r="H476" s="566">
        <v>574.1261468360666</v>
      </c>
      <c r="I476" s="567">
        <v>447.2711972250159</v>
      </c>
      <c r="J476" s="560">
        <v>11.186141499558714</v>
      </c>
      <c r="K476" s="568">
        <v>0</v>
      </c>
      <c r="L476" s="560">
        <v>0</v>
      </c>
      <c r="M476" s="1057">
        <f t="shared" si="52"/>
        <v>447.2711972250159</v>
      </c>
      <c r="N476" s="1058">
        <f t="shared" si="52"/>
        <v>11.186141499558714</v>
      </c>
      <c r="O476" s="569">
        <v>0</v>
      </c>
      <c r="P476" s="560">
        <v>0</v>
      </c>
      <c r="Q476" s="570">
        <v>53.714004228156242</v>
      </c>
      <c r="R476" s="571">
        <v>1032.5834855606413</v>
      </c>
      <c r="S476" s="1075">
        <f t="shared" si="53"/>
        <v>1032.5834855606413</v>
      </c>
      <c r="T476" s="1075">
        <f t="shared" si="51"/>
        <v>0</v>
      </c>
    </row>
    <row r="477" spans="1:20" ht="15.75" x14ac:dyDescent="0.25">
      <c r="A477" s="693" t="s">
        <v>928</v>
      </c>
      <c r="B477" s="693" t="s">
        <v>429</v>
      </c>
      <c r="C477" s="806" t="s">
        <v>1145</v>
      </c>
      <c r="D477" s="549">
        <v>232.95649194929769</v>
      </c>
      <c r="E477" s="550">
        <v>0</v>
      </c>
      <c r="F477" s="551">
        <v>0</v>
      </c>
      <c r="G477" s="560">
        <v>18.636519355943815</v>
      </c>
      <c r="H477" s="566">
        <v>251.5930113052415</v>
      </c>
      <c r="I477" s="567">
        <v>0</v>
      </c>
      <c r="J477" s="560">
        <v>0</v>
      </c>
      <c r="K477" s="568">
        <v>116.47824597464884</v>
      </c>
      <c r="L477" s="560">
        <v>9.3182596779719074</v>
      </c>
      <c r="M477" s="1057">
        <f t="shared" si="52"/>
        <v>116.47824597464884</v>
      </c>
      <c r="N477" s="1058">
        <f t="shared" si="52"/>
        <v>9.3182596779719074</v>
      </c>
      <c r="O477" s="569">
        <v>12.649221282314807</v>
      </c>
      <c r="P477" s="560">
        <v>0</v>
      </c>
      <c r="Q477" s="570">
        <v>27.95477903391572</v>
      </c>
      <c r="R477" s="571">
        <v>390.03873824017705</v>
      </c>
      <c r="S477" s="1075">
        <f t="shared" si="53"/>
        <v>390.03873824017705</v>
      </c>
      <c r="T477" s="1075">
        <f t="shared" si="51"/>
        <v>0</v>
      </c>
    </row>
    <row r="478" spans="1:20" ht="15.75" x14ac:dyDescent="0.25">
      <c r="A478" s="639" t="s">
        <v>929</v>
      </c>
      <c r="B478" s="639"/>
      <c r="C478" s="724" t="s">
        <v>1145</v>
      </c>
      <c r="D478" s="549">
        <v>341.52897462249979</v>
      </c>
      <c r="E478" s="550">
        <v>0</v>
      </c>
      <c r="F478" s="551">
        <v>14.135504782986796</v>
      </c>
      <c r="G478" s="560">
        <v>18.763011568766963</v>
      </c>
      <c r="H478" s="566">
        <v>374.42749097425354</v>
      </c>
      <c r="I478" s="567">
        <v>0</v>
      </c>
      <c r="J478" s="560">
        <v>0</v>
      </c>
      <c r="K478" s="568">
        <v>120.69465306875378</v>
      </c>
      <c r="L478" s="560">
        <v>6.5775950668037</v>
      </c>
      <c r="M478" s="1057">
        <f t="shared" si="52"/>
        <v>120.69465306875378</v>
      </c>
      <c r="N478" s="1058">
        <f t="shared" si="52"/>
        <v>6.5775950668037</v>
      </c>
      <c r="O478" s="569">
        <v>12.649221282314807</v>
      </c>
      <c r="P478" s="560">
        <v>0</v>
      </c>
      <c r="Q478" s="570">
        <v>25.340606635570662</v>
      </c>
      <c r="R478" s="571">
        <v>514.34896039212583</v>
      </c>
      <c r="S478" s="1075">
        <f t="shared" si="53"/>
        <v>514.34896039212583</v>
      </c>
      <c r="T478" s="1075">
        <f t="shared" si="51"/>
        <v>0</v>
      </c>
    </row>
    <row r="479" spans="1:20" ht="16.5" thickBot="1" x14ac:dyDescent="0.3">
      <c r="A479" s="652" t="s">
        <v>930</v>
      </c>
      <c r="B479" s="652"/>
      <c r="C479" s="807" t="s">
        <v>1145</v>
      </c>
      <c r="D479" s="549">
        <v>120.69465306875378</v>
      </c>
      <c r="E479" s="550">
        <v>0</v>
      </c>
      <c r="F479" s="551">
        <v>0</v>
      </c>
      <c r="G479" s="560">
        <v>9.6555722455003021</v>
      </c>
      <c r="H479" s="566">
        <v>130.35022531425409</v>
      </c>
      <c r="I479" s="567">
        <v>0</v>
      </c>
      <c r="J479" s="560">
        <v>0</v>
      </c>
      <c r="K479" s="568">
        <v>98.558515824702866</v>
      </c>
      <c r="L479" s="560">
        <v>7.88468126597623</v>
      </c>
      <c r="M479" s="1057">
        <f t="shared" si="52"/>
        <v>98.558515824702866</v>
      </c>
      <c r="N479" s="1058">
        <f t="shared" si="52"/>
        <v>7.88468126597623</v>
      </c>
      <c r="O479" s="569">
        <v>12.649221282314807</v>
      </c>
      <c r="P479" s="560">
        <v>0</v>
      </c>
      <c r="Q479" s="570">
        <v>17.540253511476532</v>
      </c>
      <c r="R479" s="571">
        <v>249.44264368724799</v>
      </c>
      <c r="S479" s="1075">
        <f t="shared" si="53"/>
        <v>249.44264368724799</v>
      </c>
      <c r="T479" s="1075">
        <f t="shared" si="51"/>
        <v>0</v>
      </c>
    </row>
    <row r="480" spans="1:20" ht="15.75" x14ac:dyDescent="0.25">
      <c r="A480" s="690" t="s">
        <v>746</v>
      </c>
      <c r="B480" s="693" t="s">
        <v>429</v>
      </c>
      <c r="C480" s="806" t="s">
        <v>1147</v>
      </c>
      <c r="D480" s="549">
        <v>4.9608404483911857</v>
      </c>
      <c r="E480" s="550">
        <v>176.33031771559337</v>
      </c>
      <c r="F480" s="551">
        <v>0</v>
      </c>
      <c r="G480" s="560">
        <v>31.739457188806806</v>
      </c>
      <c r="H480" s="566">
        <v>213.03061535279136</v>
      </c>
      <c r="I480" s="567">
        <v>132.24773828669504</v>
      </c>
      <c r="J480" s="560">
        <v>23.804592891605107</v>
      </c>
      <c r="K480" s="568">
        <v>0</v>
      </c>
      <c r="L480" s="560">
        <v>0</v>
      </c>
      <c r="M480" s="1057">
        <f t="shared" si="52"/>
        <v>132.24773828669504</v>
      </c>
      <c r="N480" s="1058">
        <f t="shared" si="52"/>
        <v>23.804592891605107</v>
      </c>
      <c r="O480" s="569">
        <v>0</v>
      </c>
      <c r="P480" s="560">
        <v>0</v>
      </c>
      <c r="Q480" s="570">
        <v>55.544050080411914</v>
      </c>
      <c r="R480" s="571">
        <v>369.08294653109152</v>
      </c>
      <c r="S480" s="1075">
        <f t="shared" si="53"/>
        <v>369.08294653109152</v>
      </c>
      <c r="T480" s="1075">
        <f t="shared" si="51"/>
        <v>0</v>
      </c>
    </row>
    <row r="481" spans="1:20" ht="15.75" x14ac:dyDescent="0.25">
      <c r="A481" s="639" t="s">
        <v>747</v>
      </c>
      <c r="B481" s="639"/>
      <c r="C481" s="724" t="s">
        <v>1147</v>
      </c>
      <c r="D481" s="549">
        <v>4.9608404483911857</v>
      </c>
      <c r="E481" s="550">
        <v>176.33031771559337</v>
      </c>
      <c r="F481" s="551">
        <v>0</v>
      </c>
      <c r="G481" s="560">
        <v>31.739457188806806</v>
      </c>
      <c r="H481" s="566">
        <v>213.03061535279136</v>
      </c>
      <c r="I481" s="567">
        <v>132.24773828669504</v>
      </c>
      <c r="J481" s="560">
        <v>23.804592891605107</v>
      </c>
      <c r="K481" s="568">
        <v>0</v>
      </c>
      <c r="L481" s="560">
        <v>0</v>
      </c>
      <c r="M481" s="1057">
        <f t="shared" si="52"/>
        <v>132.24773828669504</v>
      </c>
      <c r="N481" s="1058">
        <f t="shared" si="52"/>
        <v>23.804592891605107</v>
      </c>
      <c r="O481" s="569">
        <v>0</v>
      </c>
      <c r="P481" s="560">
        <v>0</v>
      </c>
      <c r="Q481" s="570">
        <v>55.544050080411914</v>
      </c>
      <c r="R481" s="571">
        <v>369.08294653109152</v>
      </c>
      <c r="S481" s="1075">
        <f t="shared" si="53"/>
        <v>369.08294653109152</v>
      </c>
      <c r="T481" s="1075">
        <f t="shared" si="51"/>
        <v>0</v>
      </c>
    </row>
    <row r="482" spans="1:20" ht="15.75" x14ac:dyDescent="0.25">
      <c r="A482" s="639" t="s">
        <v>748</v>
      </c>
      <c r="B482" s="639"/>
      <c r="C482" s="724" t="s">
        <v>1147</v>
      </c>
      <c r="D482" s="549">
        <v>4.9608404483911857</v>
      </c>
      <c r="E482" s="550">
        <v>176.33031771559337</v>
      </c>
      <c r="F482" s="551">
        <v>0</v>
      </c>
      <c r="G482" s="560">
        <v>31.739457188806806</v>
      </c>
      <c r="H482" s="566">
        <v>213.03061535279136</v>
      </c>
      <c r="I482" s="567">
        <v>132.24773828669504</v>
      </c>
      <c r="J482" s="560">
        <v>23.804592891605107</v>
      </c>
      <c r="K482" s="568">
        <v>0</v>
      </c>
      <c r="L482" s="560">
        <v>0</v>
      </c>
      <c r="M482" s="1057">
        <f t="shared" si="52"/>
        <v>132.24773828669504</v>
      </c>
      <c r="N482" s="1058">
        <f t="shared" si="52"/>
        <v>23.804592891605107</v>
      </c>
      <c r="O482" s="569">
        <v>0</v>
      </c>
      <c r="P482" s="560">
        <v>0</v>
      </c>
      <c r="Q482" s="570">
        <v>55.544050080411914</v>
      </c>
      <c r="R482" s="571">
        <v>369.08294653109152</v>
      </c>
      <c r="S482" s="1075">
        <f t="shared" si="53"/>
        <v>369.08294653109152</v>
      </c>
      <c r="T482" s="1075">
        <f t="shared" si="51"/>
        <v>0</v>
      </c>
    </row>
    <row r="483" spans="1:20" ht="16.5" thickBot="1" x14ac:dyDescent="0.3">
      <c r="A483" s="652" t="s">
        <v>749</v>
      </c>
      <c r="B483" s="652"/>
      <c r="C483" s="807" t="s">
        <v>1147</v>
      </c>
      <c r="D483" s="549">
        <v>4.9608404483911857</v>
      </c>
      <c r="E483" s="550">
        <v>176.33031771559337</v>
      </c>
      <c r="F483" s="551">
        <v>0</v>
      </c>
      <c r="G483" s="560">
        <v>31.739457188806806</v>
      </c>
      <c r="H483" s="566">
        <v>213.03061535279136</v>
      </c>
      <c r="I483" s="567">
        <v>132.24773828669504</v>
      </c>
      <c r="J483" s="560">
        <v>23.804592891605107</v>
      </c>
      <c r="K483" s="568">
        <v>0</v>
      </c>
      <c r="L483" s="560">
        <v>0</v>
      </c>
      <c r="M483" s="1057">
        <f t="shared" si="52"/>
        <v>132.24773828669504</v>
      </c>
      <c r="N483" s="1058">
        <f t="shared" si="52"/>
        <v>23.804592891605107</v>
      </c>
      <c r="O483" s="569">
        <v>0</v>
      </c>
      <c r="P483" s="560">
        <v>0</v>
      </c>
      <c r="Q483" s="570">
        <v>55.544050080411914</v>
      </c>
      <c r="R483" s="571">
        <v>369.08294653109152</v>
      </c>
      <c r="S483" s="1075">
        <f t="shared" si="53"/>
        <v>369.08294653109152</v>
      </c>
      <c r="T483" s="1075">
        <f t="shared" si="51"/>
        <v>0</v>
      </c>
    </row>
    <row r="484" spans="1:20" ht="15.75" x14ac:dyDescent="0.25">
      <c r="A484" s="663" t="s">
        <v>165</v>
      </c>
      <c r="B484" s="1046"/>
      <c r="C484" s="802" t="s">
        <v>1149</v>
      </c>
      <c r="D484" s="549">
        <v>35.247053735538977</v>
      </c>
      <c r="E484" s="550">
        <v>410.66601794788625</v>
      </c>
      <c r="F484" s="551">
        <v>0</v>
      </c>
      <c r="G484" s="560">
        <v>0</v>
      </c>
      <c r="H484" s="566">
        <v>445.91307168342524</v>
      </c>
      <c r="I484" s="567">
        <v>0</v>
      </c>
      <c r="J484" s="560">
        <v>0</v>
      </c>
      <c r="K484" s="568">
        <v>354.11936425559514</v>
      </c>
      <c r="L484" s="560">
        <v>0</v>
      </c>
      <c r="M484" s="1057">
        <f t="shared" si="52"/>
        <v>354.11936425559514</v>
      </c>
      <c r="N484" s="1058">
        <f t="shared" si="52"/>
        <v>0</v>
      </c>
      <c r="O484" s="569">
        <v>0</v>
      </c>
      <c r="P484" s="560">
        <v>0</v>
      </c>
      <c r="Q484" s="570">
        <v>0</v>
      </c>
      <c r="R484" s="571">
        <v>800.03243593902039</v>
      </c>
      <c r="S484" s="1075">
        <f t="shared" si="53"/>
        <v>800.03243593902039</v>
      </c>
      <c r="T484" s="1075">
        <f t="shared" si="51"/>
        <v>0</v>
      </c>
    </row>
    <row r="485" spans="1:20" ht="15.75" x14ac:dyDescent="0.25">
      <c r="A485" s="547" t="s">
        <v>166</v>
      </c>
      <c r="B485" s="1046" t="s">
        <v>429</v>
      </c>
      <c r="C485" s="802" t="s">
        <v>1149</v>
      </c>
      <c r="D485" s="549">
        <v>46.559087468915564</v>
      </c>
      <c r="E485" s="550">
        <v>346.22661909395612</v>
      </c>
      <c r="F485" s="551">
        <v>0</v>
      </c>
      <c r="G485" s="560">
        <v>0</v>
      </c>
      <c r="H485" s="566">
        <v>392.78570656287167</v>
      </c>
      <c r="I485" s="567">
        <v>0</v>
      </c>
      <c r="J485" s="560">
        <v>0</v>
      </c>
      <c r="K485" s="568">
        <v>555.80333008973946</v>
      </c>
      <c r="L485" s="560">
        <v>0</v>
      </c>
      <c r="M485" s="1057">
        <f t="shared" si="52"/>
        <v>555.80333008973946</v>
      </c>
      <c r="N485" s="1058">
        <f t="shared" si="52"/>
        <v>0</v>
      </c>
      <c r="O485" s="569">
        <v>0</v>
      </c>
      <c r="P485" s="560">
        <v>0</v>
      </c>
      <c r="Q485" s="570">
        <v>0</v>
      </c>
      <c r="R485" s="571">
        <v>948.58903665261118</v>
      </c>
      <c r="S485" s="1075">
        <f t="shared" si="53"/>
        <v>948.58903665261118</v>
      </c>
      <c r="T485" s="1075">
        <f t="shared" si="51"/>
        <v>0</v>
      </c>
    </row>
    <row r="486" spans="1:20" ht="15.75" x14ac:dyDescent="0.25">
      <c r="A486" s="547" t="s">
        <v>167</v>
      </c>
      <c r="B486" s="1046" t="s">
        <v>429</v>
      </c>
      <c r="C486" s="802" t="s">
        <v>1149</v>
      </c>
      <c r="D486" s="549">
        <v>42.301870472483515</v>
      </c>
      <c r="E486" s="550">
        <v>346.98345767109959</v>
      </c>
      <c r="F486" s="551">
        <v>0</v>
      </c>
      <c r="G486" s="560">
        <v>0</v>
      </c>
      <c r="H486" s="566">
        <v>389.28532814358311</v>
      </c>
      <c r="I486" s="567">
        <v>0</v>
      </c>
      <c r="J486" s="560">
        <v>0</v>
      </c>
      <c r="K486" s="568">
        <v>264.71780733052219</v>
      </c>
      <c r="L486" s="560">
        <v>0</v>
      </c>
      <c r="M486" s="1057">
        <f t="shared" si="52"/>
        <v>264.71780733052219</v>
      </c>
      <c r="N486" s="1058">
        <f t="shared" si="52"/>
        <v>0</v>
      </c>
      <c r="O486" s="569">
        <v>0</v>
      </c>
      <c r="P486" s="560">
        <v>0</v>
      </c>
      <c r="Q486" s="570">
        <v>0</v>
      </c>
      <c r="R486" s="571">
        <v>654.00313547410531</v>
      </c>
      <c r="S486" s="1075">
        <f t="shared" si="53"/>
        <v>654.00313547410531</v>
      </c>
      <c r="T486" s="1075">
        <f t="shared" si="51"/>
        <v>0</v>
      </c>
    </row>
    <row r="487" spans="1:20" ht="15.75" x14ac:dyDescent="0.25">
      <c r="A487" s="547" t="s">
        <v>168</v>
      </c>
      <c r="B487" s="1046"/>
      <c r="C487" s="802" t="s">
        <v>1149</v>
      </c>
      <c r="D487" s="549">
        <v>43.031679100443291</v>
      </c>
      <c r="E487" s="550">
        <v>476.26770461671526</v>
      </c>
      <c r="F487" s="551">
        <v>0</v>
      </c>
      <c r="G487" s="560">
        <v>0</v>
      </c>
      <c r="H487" s="566">
        <v>519.29938371715855</v>
      </c>
      <c r="I487" s="567">
        <v>0</v>
      </c>
      <c r="J487" s="560">
        <v>0</v>
      </c>
      <c r="K487" s="568">
        <v>447.87274299924314</v>
      </c>
      <c r="L487" s="560">
        <v>0</v>
      </c>
      <c r="M487" s="1057">
        <f t="shared" si="52"/>
        <v>447.87274299924314</v>
      </c>
      <c r="N487" s="1058">
        <f t="shared" si="52"/>
        <v>0</v>
      </c>
      <c r="O487" s="569">
        <v>0</v>
      </c>
      <c r="P487" s="560">
        <v>0</v>
      </c>
      <c r="Q487" s="570">
        <v>0</v>
      </c>
      <c r="R487" s="571">
        <v>967.17212671640164</v>
      </c>
      <c r="S487" s="1075">
        <f t="shared" si="53"/>
        <v>967.17212671640164</v>
      </c>
      <c r="T487" s="1075">
        <f t="shared" si="51"/>
        <v>0</v>
      </c>
    </row>
    <row r="488" spans="1:20" ht="16.5" thickBot="1" x14ac:dyDescent="0.3">
      <c r="A488" s="547" t="s">
        <v>169</v>
      </c>
      <c r="B488" s="1046"/>
      <c r="C488" s="802" t="s">
        <v>1149</v>
      </c>
      <c r="D488" s="549">
        <v>32.530543842577572</v>
      </c>
      <c r="E488" s="550">
        <v>364.36371499621583</v>
      </c>
      <c r="F488" s="551">
        <v>0</v>
      </c>
      <c r="G488" s="560">
        <v>0</v>
      </c>
      <c r="H488" s="566">
        <v>396.89425883879341</v>
      </c>
      <c r="I488" s="567">
        <v>0</v>
      </c>
      <c r="J488" s="560">
        <v>0</v>
      </c>
      <c r="K488" s="568">
        <v>527.09752405665472</v>
      </c>
      <c r="L488" s="560">
        <v>0</v>
      </c>
      <c r="M488" s="1057">
        <f t="shared" si="52"/>
        <v>527.09752405665472</v>
      </c>
      <c r="N488" s="1058">
        <f t="shared" si="52"/>
        <v>0</v>
      </c>
      <c r="O488" s="569">
        <v>0</v>
      </c>
      <c r="P488" s="560">
        <v>0</v>
      </c>
      <c r="Q488" s="570">
        <v>0</v>
      </c>
      <c r="R488" s="571">
        <v>923.99178289544807</v>
      </c>
      <c r="S488" s="1075">
        <f t="shared" si="53"/>
        <v>923.99178289544807</v>
      </c>
      <c r="T488" s="1075">
        <f t="shared" si="51"/>
        <v>0</v>
      </c>
    </row>
    <row r="489" spans="1:20" ht="15.75" x14ac:dyDescent="0.25">
      <c r="A489" s="638" t="s">
        <v>170</v>
      </c>
      <c r="B489" s="693"/>
      <c r="C489" s="806" t="s">
        <v>1151</v>
      </c>
      <c r="D489" s="549" t="s">
        <v>5</v>
      </c>
      <c r="E489" s="550">
        <v>269.10000000000002</v>
      </c>
      <c r="F489" s="551" t="s">
        <v>5</v>
      </c>
      <c r="G489" s="560" t="s">
        <v>5</v>
      </c>
      <c r="H489" s="566">
        <v>269.10000000000002</v>
      </c>
      <c r="I489" s="567" t="s">
        <v>5</v>
      </c>
      <c r="J489" s="560" t="s">
        <v>5</v>
      </c>
      <c r="K489" s="568">
        <v>427.87</v>
      </c>
      <c r="L489" s="560" t="s">
        <v>5</v>
      </c>
      <c r="M489" s="1057">
        <f t="shared" ref="M489:M495" si="54">K489</f>
        <v>427.87</v>
      </c>
      <c r="N489" s="1077" t="s">
        <v>5</v>
      </c>
      <c r="O489" s="569" t="s">
        <v>5</v>
      </c>
      <c r="P489" s="560" t="s">
        <v>5</v>
      </c>
      <c r="Q489" s="570" t="s">
        <v>5</v>
      </c>
      <c r="R489" s="571">
        <v>696.97</v>
      </c>
      <c r="S489" s="1075">
        <f>H489+M489</f>
        <v>696.97</v>
      </c>
      <c r="T489" s="1075">
        <f t="shared" si="51"/>
        <v>0</v>
      </c>
    </row>
    <row r="490" spans="1:20" ht="15.75" x14ac:dyDescent="0.25">
      <c r="A490" s="639" t="s">
        <v>171</v>
      </c>
      <c r="B490" s="639" t="s">
        <v>429</v>
      </c>
      <c r="C490" s="724" t="s">
        <v>1151</v>
      </c>
      <c r="D490" s="549">
        <v>121.92</v>
      </c>
      <c r="E490" s="550">
        <v>259.12</v>
      </c>
      <c r="F490" s="551">
        <v>47.32</v>
      </c>
      <c r="G490" s="560" t="s">
        <v>5</v>
      </c>
      <c r="H490" s="566">
        <v>428.36</v>
      </c>
      <c r="I490" s="567" t="s">
        <v>5</v>
      </c>
      <c r="J490" s="560" t="s">
        <v>5</v>
      </c>
      <c r="K490" s="568">
        <v>588.34</v>
      </c>
      <c r="L490" s="560" t="s">
        <v>5</v>
      </c>
      <c r="M490" s="1057">
        <f t="shared" si="54"/>
        <v>588.34</v>
      </c>
      <c r="N490" s="1077" t="s">
        <v>5</v>
      </c>
      <c r="O490" s="569">
        <v>334.2</v>
      </c>
      <c r="P490" s="560" t="s">
        <v>5</v>
      </c>
      <c r="Q490" s="570" t="s">
        <v>5</v>
      </c>
      <c r="R490" s="571">
        <v>1350.9</v>
      </c>
      <c r="S490" s="1075">
        <f>H490+M490+O490</f>
        <v>1350.9</v>
      </c>
      <c r="T490" s="1075">
        <f t="shared" si="51"/>
        <v>0</v>
      </c>
    </row>
    <row r="491" spans="1:20" ht="15.75" x14ac:dyDescent="0.25">
      <c r="A491" s="639" t="s">
        <v>172</v>
      </c>
      <c r="B491" s="639"/>
      <c r="C491" s="724" t="s">
        <v>1151</v>
      </c>
      <c r="D491" s="549" t="s">
        <v>5</v>
      </c>
      <c r="E491" s="550">
        <v>408.34</v>
      </c>
      <c r="F491" s="551" t="s">
        <v>5</v>
      </c>
      <c r="G491" s="560" t="s">
        <v>5</v>
      </c>
      <c r="H491" s="566">
        <v>408.34</v>
      </c>
      <c r="I491" s="567" t="s">
        <v>5</v>
      </c>
      <c r="J491" s="560" t="s">
        <v>5</v>
      </c>
      <c r="K491" s="568">
        <v>332.24</v>
      </c>
      <c r="L491" s="560" t="s">
        <v>5</v>
      </c>
      <c r="M491" s="1057">
        <f t="shared" si="54"/>
        <v>332.24</v>
      </c>
      <c r="N491" s="1077" t="s">
        <v>5</v>
      </c>
      <c r="O491" s="569" t="s">
        <v>5</v>
      </c>
      <c r="P491" s="560" t="s">
        <v>5</v>
      </c>
      <c r="Q491" s="570" t="s">
        <v>5</v>
      </c>
      <c r="R491" s="571">
        <v>740.57999999999993</v>
      </c>
      <c r="S491" s="1075">
        <f>H491+M491</f>
        <v>740.57999999999993</v>
      </c>
      <c r="T491" s="1075">
        <f t="shared" ref="T491:T495" si="55">R491-S491</f>
        <v>0</v>
      </c>
    </row>
    <row r="492" spans="1:20" ht="15.75" x14ac:dyDescent="0.25">
      <c r="A492" s="639" t="s">
        <v>173</v>
      </c>
      <c r="B492" s="639"/>
      <c r="C492" s="724" t="s">
        <v>1151</v>
      </c>
      <c r="D492" s="549" t="s">
        <v>5</v>
      </c>
      <c r="E492" s="550">
        <v>205.11</v>
      </c>
      <c r="F492" s="551" t="s">
        <v>5</v>
      </c>
      <c r="G492" s="560" t="s">
        <v>5</v>
      </c>
      <c r="H492" s="566">
        <v>205.11</v>
      </c>
      <c r="I492" s="567" t="s">
        <v>5</v>
      </c>
      <c r="J492" s="560" t="s">
        <v>5</v>
      </c>
      <c r="K492" s="568">
        <v>205.11</v>
      </c>
      <c r="L492" s="560" t="s">
        <v>5</v>
      </c>
      <c r="M492" s="1057">
        <f t="shared" si="54"/>
        <v>205.11</v>
      </c>
      <c r="N492" s="1077" t="s">
        <v>5</v>
      </c>
      <c r="O492" s="569" t="s">
        <v>5</v>
      </c>
      <c r="P492" s="560" t="s">
        <v>5</v>
      </c>
      <c r="Q492" s="570" t="s">
        <v>5</v>
      </c>
      <c r="R492" s="571">
        <v>410.22</v>
      </c>
      <c r="S492" s="1075">
        <f>H492+M492</f>
        <v>410.22</v>
      </c>
      <c r="T492" s="1075">
        <f t="shared" si="55"/>
        <v>0</v>
      </c>
    </row>
    <row r="493" spans="1:20" ht="15.75" x14ac:dyDescent="0.25">
      <c r="A493" s="639" t="s">
        <v>174</v>
      </c>
      <c r="B493" s="639"/>
      <c r="C493" s="724" t="s">
        <v>1151</v>
      </c>
      <c r="D493" s="549">
        <v>184.68</v>
      </c>
      <c r="E493" s="550">
        <v>120.99</v>
      </c>
      <c r="F493" s="551" t="s">
        <v>5</v>
      </c>
      <c r="G493" s="560" t="s">
        <v>5</v>
      </c>
      <c r="H493" s="566">
        <v>305.67</v>
      </c>
      <c r="I493" s="567" t="s">
        <v>5</v>
      </c>
      <c r="J493" s="560" t="s">
        <v>5</v>
      </c>
      <c r="K493" s="568">
        <v>362.52</v>
      </c>
      <c r="L493" s="560" t="s">
        <v>5</v>
      </c>
      <c r="M493" s="1057">
        <f t="shared" si="54"/>
        <v>362.52</v>
      </c>
      <c r="N493" s="1077" t="s">
        <v>5</v>
      </c>
      <c r="O493" s="569">
        <v>16.670000000000002</v>
      </c>
      <c r="P493" s="560" t="s">
        <v>5</v>
      </c>
      <c r="Q493" s="570" t="s">
        <v>5</v>
      </c>
      <c r="R493" s="571">
        <v>684.86</v>
      </c>
      <c r="S493" s="1075">
        <f>H493+M493+O493</f>
        <v>684.86</v>
      </c>
      <c r="T493" s="1075">
        <f t="shared" si="55"/>
        <v>0</v>
      </c>
    </row>
    <row r="494" spans="1:20" ht="15.75" x14ac:dyDescent="0.25">
      <c r="A494" s="639" t="s">
        <v>175</v>
      </c>
      <c r="B494" s="639"/>
      <c r="C494" s="724" t="s">
        <v>1151</v>
      </c>
      <c r="D494" s="549">
        <v>38.4</v>
      </c>
      <c r="E494" s="550">
        <v>93.57</v>
      </c>
      <c r="F494" s="551" t="s">
        <v>5</v>
      </c>
      <c r="G494" s="560" t="s">
        <v>5</v>
      </c>
      <c r="H494" s="566">
        <v>131.97</v>
      </c>
      <c r="I494" s="567" t="s">
        <v>5</v>
      </c>
      <c r="J494" s="560" t="s">
        <v>5</v>
      </c>
      <c r="K494" s="568">
        <v>248.71</v>
      </c>
      <c r="L494" s="560" t="s">
        <v>5</v>
      </c>
      <c r="M494" s="1057">
        <f t="shared" si="54"/>
        <v>248.71</v>
      </c>
      <c r="N494" s="1077" t="s">
        <v>5</v>
      </c>
      <c r="O494" s="569" t="s">
        <v>5</v>
      </c>
      <c r="P494" s="560" t="s">
        <v>5</v>
      </c>
      <c r="Q494" s="570" t="s">
        <v>5</v>
      </c>
      <c r="R494" s="571">
        <v>380.68</v>
      </c>
      <c r="S494" s="1075">
        <f>H494+M494</f>
        <v>380.68</v>
      </c>
      <c r="T494" s="1075">
        <f t="shared" si="55"/>
        <v>0</v>
      </c>
    </row>
    <row r="495" spans="1:20" ht="16.5" thickBot="1" x14ac:dyDescent="0.3">
      <c r="A495" s="714" t="s">
        <v>212</v>
      </c>
      <c r="B495" s="1053"/>
      <c r="C495" s="807" t="s">
        <v>1151</v>
      </c>
      <c r="D495" s="716">
        <v>48</v>
      </c>
      <c r="E495" s="717">
        <v>249.32</v>
      </c>
      <c r="F495" s="718" t="s">
        <v>5</v>
      </c>
      <c r="G495" s="719" t="s">
        <v>5</v>
      </c>
      <c r="H495" s="566">
        <v>297.32</v>
      </c>
      <c r="I495" s="567" t="s">
        <v>5</v>
      </c>
      <c r="J495" s="560" t="s">
        <v>5</v>
      </c>
      <c r="K495" s="720">
        <v>308.33</v>
      </c>
      <c r="L495" s="560" t="s">
        <v>5</v>
      </c>
      <c r="M495" s="1057">
        <f t="shared" si="54"/>
        <v>308.33</v>
      </c>
      <c r="N495" s="1077" t="s">
        <v>5</v>
      </c>
      <c r="O495" s="721">
        <v>12.36</v>
      </c>
      <c r="P495" s="560" t="s">
        <v>5</v>
      </c>
      <c r="Q495" s="570" t="s">
        <v>5</v>
      </c>
      <c r="R495" s="571">
        <v>618.01</v>
      </c>
      <c r="S495" s="1075">
        <f>H495+M495+O495</f>
        <v>618.01</v>
      </c>
      <c r="T495" s="1075">
        <f t="shared" si="55"/>
        <v>0</v>
      </c>
    </row>
    <row r="499" spans="1:14" ht="32.25" thickBot="1" x14ac:dyDescent="0.3">
      <c r="A499" s="1059" t="s">
        <v>58</v>
      </c>
      <c r="B499" s="1060" t="s">
        <v>1190</v>
      </c>
      <c r="C499" s="1060" t="s">
        <v>1022</v>
      </c>
      <c r="D499" s="1061" t="s">
        <v>1294</v>
      </c>
      <c r="E499" s="1062" t="s">
        <v>1295</v>
      </c>
      <c r="F499" s="1063" t="s">
        <v>1194</v>
      </c>
      <c r="G499" s="1064" t="s">
        <v>1195</v>
      </c>
      <c r="H499" s="1065" t="s">
        <v>1196</v>
      </c>
      <c r="I499" s="1068" t="s">
        <v>1205</v>
      </c>
      <c r="J499" s="1069" t="s">
        <v>1208</v>
      </c>
      <c r="K499" s="1070" t="s">
        <v>1206</v>
      </c>
      <c r="L499" s="1064" t="s">
        <v>1207</v>
      </c>
      <c r="M499" s="1072" t="s">
        <v>1202</v>
      </c>
      <c r="N499" s="618" t="s">
        <v>1203</v>
      </c>
    </row>
    <row r="500" spans="1:14" ht="15.75" x14ac:dyDescent="0.25">
      <c r="A500" s="1098" t="s">
        <v>526</v>
      </c>
      <c r="B500" s="1099" t="s">
        <v>429</v>
      </c>
      <c r="C500" s="1100" t="s">
        <v>1026</v>
      </c>
      <c r="D500" s="625">
        <v>52.78568919107235</v>
      </c>
      <c r="E500" s="593">
        <v>0</v>
      </c>
      <c r="F500" s="594">
        <v>0</v>
      </c>
      <c r="G500" s="595">
        <v>10.557137838214471</v>
      </c>
      <c r="H500" s="566">
        <v>63.342827029286823</v>
      </c>
      <c r="I500" s="1057">
        <v>9.3151216219539439</v>
      </c>
      <c r="J500" s="1058">
        <v>1.8630243243907889</v>
      </c>
      <c r="K500" s="597">
        <v>0</v>
      </c>
      <c r="L500" s="595">
        <v>0</v>
      </c>
      <c r="M500" s="571"/>
      <c r="N500" s="1075">
        <f>H500+I500+J500+K500+L500</f>
        <v>74.520972975631565</v>
      </c>
    </row>
    <row r="501" spans="1:14" ht="15.75" x14ac:dyDescent="0.25">
      <c r="A501" s="781" t="s">
        <v>217</v>
      </c>
      <c r="B501" s="1091" t="s">
        <v>429</v>
      </c>
      <c r="C501" s="1083" t="s">
        <v>1024</v>
      </c>
      <c r="D501" s="625" t="s">
        <v>5</v>
      </c>
      <c r="E501" s="593" t="s">
        <v>5</v>
      </c>
      <c r="F501" s="594" t="s">
        <v>5</v>
      </c>
      <c r="G501" s="595" t="s">
        <v>5</v>
      </c>
      <c r="H501" s="566" t="s">
        <v>5</v>
      </c>
      <c r="I501" s="1076" t="s">
        <v>5</v>
      </c>
      <c r="J501" s="1077" t="s">
        <v>5</v>
      </c>
      <c r="K501" s="597" t="s">
        <v>5</v>
      </c>
      <c r="L501" s="595" t="s">
        <v>5</v>
      </c>
      <c r="M501" s="571">
        <v>79.756820995801675</v>
      </c>
      <c r="N501" s="1075">
        <f>M501</f>
        <v>79.756820995801675</v>
      </c>
    </row>
    <row r="502" spans="1:14" ht="15.75" x14ac:dyDescent="0.25">
      <c r="A502" s="1087" t="s">
        <v>143</v>
      </c>
      <c r="B502" s="762" t="s">
        <v>429</v>
      </c>
      <c r="C502" s="805" t="s">
        <v>1131</v>
      </c>
      <c r="D502" s="625">
        <v>0</v>
      </c>
      <c r="E502" s="550">
        <v>107.2378189267215</v>
      </c>
      <c r="F502" s="551">
        <v>0</v>
      </c>
      <c r="G502" s="560">
        <v>0</v>
      </c>
      <c r="H502" s="566">
        <v>107.2378189267215</v>
      </c>
      <c r="I502" s="1057">
        <v>0</v>
      </c>
      <c r="J502" s="1058">
        <v>0</v>
      </c>
      <c r="K502" s="569">
        <v>0</v>
      </c>
      <c r="L502" s="560">
        <v>0</v>
      </c>
      <c r="M502" s="571"/>
      <c r="N502" s="1075">
        <f t="shared" ref="N502:N507" si="56">H502+I502+J502+K502+L502</f>
        <v>107.2378189267215</v>
      </c>
    </row>
    <row r="503" spans="1:14" ht="15.75" x14ac:dyDescent="0.25">
      <c r="A503" s="1090" t="s">
        <v>82</v>
      </c>
      <c r="B503" s="1089" t="s">
        <v>429</v>
      </c>
      <c r="C503" s="805" t="s">
        <v>1048</v>
      </c>
      <c r="D503" s="625">
        <v>27.510121600805885</v>
      </c>
      <c r="E503" s="593">
        <v>52.525452762322999</v>
      </c>
      <c r="F503" s="594">
        <v>3.3713384314713095</v>
      </c>
      <c r="G503" s="595">
        <v>0</v>
      </c>
      <c r="H503" s="566">
        <v>83.406912794600203</v>
      </c>
      <c r="I503" s="1057">
        <v>33.713384314713096</v>
      </c>
      <c r="J503" s="1058">
        <v>0</v>
      </c>
      <c r="K503" s="597">
        <v>0</v>
      </c>
      <c r="L503" s="595">
        <v>3.9950360412935018</v>
      </c>
      <c r="M503" s="571"/>
      <c r="N503" s="1075">
        <f t="shared" si="56"/>
        <v>121.1153331506068</v>
      </c>
    </row>
    <row r="504" spans="1:14" ht="15.75" x14ac:dyDescent="0.25">
      <c r="A504" s="502" t="s">
        <v>887</v>
      </c>
      <c r="B504" s="263" t="s">
        <v>429</v>
      </c>
      <c r="C504" s="804" t="s">
        <v>1120</v>
      </c>
      <c r="D504" s="625">
        <v>0</v>
      </c>
      <c r="E504" s="550">
        <v>106.71419394245939</v>
      </c>
      <c r="F504" s="551">
        <v>0</v>
      </c>
      <c r="G504" s="560">
        <v>0</v>
      </c>
      <c r="H504" s="566">
        <v>106.71419394245939</v>
      </c>
      <c r="I504" s="1057">
        <v>76.512063581385974</v>
      </c>
      <c r="J504" s="1058">
        <v>0</v>
      </c>
      <c r="K504" s="569">
        <v>0</v>
      </c>
      <c r="L504" s="560">
        <v>0</v>
      </c>
      <c r="M504" s="571"/>
      <c r="N504" s="1075">
        <f t="shared" si="56"/>
        <v>183.22625752384536</v>
      </c>
    </row>
    <row r="505" spans="1:14" ht="15.75" x14ac:dyDescent="0.25">
      <c r="A505" s="1090" t="s">
        <v>84</v>
      </c>
      <c r="B505" s="1089" t="s">
        <v>429</v>
      </c>
      <c r="C505" s="805" t="s">
        <v>1046</v>
      </c>
      <c r="D505" s="625">
        <v>0</v>
      </c>
      <c r="E505" s="593">
        <v>113.95744452081885</v>
      </c>
      <c r="F505" s="594">
        <v>0</v>
      </c>
      <c r="G505" s="595">
        <v>0</v>
      </c>
      <c r="H505" s="566">
        <v>113.95744452081885</v>
      </c>
      <c r="I505" s="1057">
        <v>74.75305252297953</v>
      </c>
      <c r="J505" s="1058">
        <v>0</v>
      </c>
      <c r="K505" s="597">
        <v>0</v>
      </c>
      <c r="L505" s="595">
        <v>0</v>
      </c>
      <c r="M505" s="571"/>
      <c r="N505" s="1075">
        <f t="shared" si="56"/>
        <v>188.7104970437984</v>
      </c>
    </row>
    <row r="506" spans="1:14" ht="15.75" x14ac:dyDescent="0.25">
      <c r="A506" s="781" t="s">
        <v>889</v>
      </c>
      <c r="B506" s="1091" t="s">
        <v>429</v>
      </c>
      <c r="C506" s="1083" t="s">
        <v>1092</v>
      </c>
      <c r="D506" s="625">
        <v>211.48527737107531</v>
      </c>
      <c r="E506" s="550">
        <v>0</v>
      </c>
      <c r="F506" s="551">
        <v>0</v>
      </c>
      <c r="G506" s="560">
        <v>0</v>
      </c>
      <c r="H506" s="566">
        <v>211.48527737107531</v>
      </c>
      <c r="I506" s="1057">
        <v>0</v>
      </c>
      <c r="J506" s="1058">
        <v>0</v>
      </c>
      <c r="K506" s="569">
        <v>0</v>
      </c>
      <c r="L506" s="560">
        <v>0</v>
      </c>
      <c r="M506" s="571"/>
      <c r="N506" s="1075">
        <f t="shared" si="56"/>
        <v>211.48527737107531</v>
      </c>
    </row>
    <row r="507" spans="1:14" ht="15.75" x14ac:dyDescent="0.25">
      <c r="A507" s="1090" t="s">
        <v>78</v>
      </c>
      <c r="B507" s="1089" t="s">
        <v>429</v>
      </c>
      <c r="C507" s="805" t="s">
        <v>1044</v>
      </c>
      <c r="D507" s="686">
        <v>125.19686977064671</v>
      </c>
      <c r="E507" s="593">
        <v>0</v>
      </c>
      <c r="F507" s="594">
        <v>0</v>
      </c>
      <c r="G507" s="595">
        <v>0</v>
      </c>
      <c r="H507" s="566">
        <v>125.19686977064671</v>
      </c>
      <c r="I507" s="1057">
        <v>41.834826262427406</v>
      </c>
      <c r="J507" s="1058">
        <v>0</v>
      </c>
      <c r="K507" s="597">
        <v>48.294615611772812</v>
      </c>
      <c r="L507" s="595">
        <v>0</v>
      </c>
      <c r="M507" s="571"/>
      <c r="N507" s="1075">
        <f t="shared" si="56"/>
        <v>215.32631164484695</v>
      </c>
    </row>
    <row r="508" spans="1:14" ht="15.75" x14ac:dyDescent="0.25">
      <c r="A508" s="502" t="s">
        <v>933</v>
      </c>
      <c r="B508" s="263" t="s">
        <v>429</v>
      </c>
      <c r="C508" s="804" t="s">
        <v>1034</v>
      </c>
      <c r="D508" s="625" t="s">
        <v>5</v>
      </c>
      <c r="E508" s="593" t="s">
        <v>5</v>
      </c>
      <c r="F508" s="594" t="s">
        <v>5</v>
      </c>
      <c r="G508" s="595" t="s">
        <v>5</v>
      </c>
      <c r="H508" s="566" t="s">
        <v>5</v>
      </c>
      <c r="I508" s="1076" t="s">
        <v>5</v>
      </c>
      <c r="J508" s="1077" t="s">
        <v>5</v>
      </c>
      <c r="K508" s="597" t="s">
        <v>5</v>
      </c>
      <c r="L508" s="595" t="s">
        <v>5</v>
      </c>
      <c r="M508" s="571">
        <v>263.91040332394249</v>
      </c>
      <c r="N508" s="1075">
        <f>M508</f>
        <v>263.91040332394249</v>
      </c>
    </row>
    <row r="509" spans="1:14" ht="15.75" x14ac:dyDescent="0.25">
      <c r="A509" s="1090" t="s">
        <v>73</v>
      </c>
      <c r="B509" s="1089" t="s">
        <v>429</v>
      </c>
      <c r="C509" s="805" t="s">
        <v>1036</v>
      </c>
      <c r="D509" s="625">
        <v>143.36741582687893</v>
      </c>
      <c r="E509" s="593">
        <v>0</v>
      </c>
      <c r="F509" s="594">
        <v>0</v>
      </c>
      <c r="G509" s="595">
        <v>28.673483165375785</v>
      </c>
      <c r="H509" s="566">
        <v>172.04089899225471</v>
      </c>
      <c r="I509" s="1057">
        <v>77.452773447569015</v>
      </c>
      <c r="J509" s="1058">
        <v>15.490554689513804</v>
      </c>
      <c r="K509" s="597">
        <v>0</v>
      </c>
      <c r="L509" s="595">
        <v>0</v>
      </c>
      <c r="M509" s="571"/>
      <c r="N509" s="1075">
        <f t="shared" ref="N509:N533" si="57">H509+I509+J509+K509+L509</f>
        <v>264.98422712933757</v>
      </c>
    </row>
    <row r="510" spans="1:14" ht="15.75" x14ac:dyDescent="0.25">
      <c r="A510" s="502" t="s">
        <v>860</v>
      </c>
      <c r="B510" s="263" t="s">
        <v>429</v>
      </c>
      <c r="C510" s="804" t="s">
        <v>1118</v>
      </c>
      <c r="D510" s="625">
        <v>0</v>
      </c>
      <c r="E510" s="550">
        <v>170.31830484403784</v>
      </c>
      <c r="F510" s="551">
        <v>0</v>
      </c>
      <c r="G510" s="560">
        <v>15.328647435963404</v>
      </c>
      <c r="H510" s="566">
        <v>185.64695228000124</v>
      </c>
      <c r="I510" s="1057">
        <v>89.532885325868833</v>
      </c>
      <c r="J510" s="1058">
        <v>17.011248211915078</v>
      </c>
      <c r="K510" s="569">
        <v>0</v>
      </c>
      <c r="L510" s="560">
        <v>0</v>
      </c>
      <c r="M510" s="571"/>
      <c r="N510" s="1075">
        <f t="shared" si="57"/>
        <v>292.19108581778517</v>
      </c>
    </row>
    <row r="511" spans="1:14" ht="15.75" x14ac:dyDescent="0.25">
      <c r="A511" s="1087" t="s">
        <v>133</v>
      </c>
      <c r="B511" s="762" t="s">
        <v>429</v>
      </c>
      <c r="C511" s="805" t="s">
        <v>1116</v>
      </c>
      <c r="D511" s="625">
        <v>68.426549501206466</v>
      </c>
      <c r="E511" s="550">
        <v>124.47629680315961</v>
      </c>
      <c r="F511" s="551">
        <v>5.4261053288675996</v>
      </c>
      <c r="G511" s="560">
        <v>11.896615886964142</v>
      </c>
      <c r="H511" s="566">
        <v>210.22556752019784</v>
      </c>
      <c r="I511" s="1057">
        <v>127.9216335938344</v>
      </c>
      <c r="J511" s="1058">
        <v>0</v>
      </c>
      <c r="K511" s="569">
        <v>17.442767793904032</v>
      </c>
      <c r="L511" s="560">
        <v>0</v>
      </c>
      <c r="M511" s="571"/>
      <c r="N511" s="1075">
        <f t="shared" si="57"/>
        <v>355.58996890793622</v>
      </c>
    </row>
    <row r="512" spans="1:14" ht="15.75" x14ac:dyDescent="0.25">
      <c r="A512" s="1087" t="s">
        <v>153</v>
      </c>
      <c r="B512" s="762" t="s">
        <v>429</v>
      </c>
      <c r="C512" s="805" t="s">
        <v>1133</v>
      </c>
      <c r="D512" s="625">
        <v>0</v>
      </c>
      <c r="E512" s="550">
        <v>199.20529165316142</v>
      </c>
      <c r="F512" s="551">
        <v>0</v>
      </c>
      <c r="G512" s="560">
        <v>19.91572730219325</v>
      </c>
      <c r="H512" s="566">
        <v>219.12101895535469</v>
      </c>
      <c r="I512" s="1057">
        <v>134.64424196588274</v>
      </c>
      <c r="J512" s="1058">
        <v>13.457221401903938</v>
      </c>
      <c r="K512" s="569">
        <v>0</v>
      </c>
      <c r="L512" s="560">
        <v>0</v>
      </c>
      <c r="M512" s="571"/>
      <c r="N512" s="1075">
        <f t="shared" si="57"/>
        <v>367.22248232314138</v>
      </c>
    </row>
    <row r="513" spans="1:14" ht="15.75" x14ac:dyDescent="0.25">
      <c r="A513" s="1087" t="s">
        <v>746</v>
      </c>
      <c r="B513" s="762" t="s">
        <v>429</v>
      </c>
      <c r="C513" s="805" t="s">
        <v>1147</v>
      </c>
      <c r="D513" s="625">
        <v>4.9608404483911857</v>
      </c>
      <c r="E513" s="550">
        <v>176.33031771559337</v>
      </c>
      <c r="F513" s="551">
        <v>0</v>
      </c>
      <c r="G513" s="560">
        <v>31.739457188806806</v>
      </c>
      <c r="H513" s="566">
        <v>213.03061535279136</v>
      </c>
      <c r="I513" s="1057">
        <v>132.24773828669504</v>
      </c>
      <c r="J513" s="1058">
        <v>23.804592891605107</v>
      </c>
      <c r="K513" s="569">
        <v>0</v>
      </c>
      <c r="L513" s="560">
        <v>0</v>
      </c>
      <c r="M513" s="571"/>
      <c r="N513" s="1075">
        <f t="shared" si="57"/>
        <v>369.08294653109152</v>
      </c>
    </row>
    <row r="514" spans="1:14" ht="15.75" x14ac:dyDescent="0.25">
      <c r="A514" s="1087" t="s">
        <v>928</v>
      </c>
      <c r="B514" s="762" t="s">
        <v>429</v>
      </c>
      <c r="C514" s="805" t="s">
        <v>1145</v>
      </c>
      <c r="D514" s="625">
        <v>232.95649194929769</v>
      </c>
      <c r="E514" s="550">
        <v>0</v>
      </c>
      <c r="F514" s="551">
        <v>0</v>
      </c>
      <c r="G514" s="560">
        <v>18.636519355943815</v>
      </c>
      <c r="H514" s="566">
        <v>251.5930113052415</v>
      </c>
      <c r="I514" s="1057">
        <v>116.47824597464884</v>
      </c>
      <c r="J514" s="1058">
        <v>9.3182596779719074</v>
      </c>
      <c r="K514" s="569">
        <v>12.649221282314807</v>
      </c>
      <c r="L514" s="560">
        <v>0</v>
      </c>
      <c r="M514" s="571"/>
      <c r="N514" s="1075">
        <f t="shared" si="57"/>
        <v>390.03873824017705</v>
      </c>
    </row>
    <row r="515" spans="1:14" ht="15.75" x14ac:dyDescent="0.25">
      <c r="A515" s="1087" t="s">
        <v>110</v>
      </c>
      <c r="B515" s="762" t="s">
        <v>429</v>
      </c>
      <c r="C515" s="805" t="s">
        <v>1074</v>
      </c>
      <c r="D515" s="549">
        <v>22.028547076265593</v>
      </c>
      <c r="E515" s="550">
        <v>126.15694889617171</v>
      </c>
      <c r="F515" s="551">
        <v>0.96037262457833639</v>
      </c>
      <c r="G515" s="560">
        <v>14.909784996578672</v>
      </c>
      <c r="H515" s="566">
        <v>164.05565359359431</v>
      </c>
      <c r="I515" s="1057">
        <v>214.12708130754731</v>
      </c>
      <c r="J515" s="1058">
        <v>21.404304870289671</v>
      </c>
      <c r="K515" s="569">
        <v>1.9207452491566728</v>
      </c>
      <c r="L515" s="560">
        <v>0.19207452491566729</v>
      </c>
      <c r="M515" s="571"/>
      <c r="N515" s="1075">
        <f t="shared" si="57"/>
        <v>401.69985954550361</v>
      </c>
    </row>
    <row r="516" spans="1:14" ht="15.75" x14ac:dyDescent="0.25">
      <c r="A516" s="1087" t="s">
        <v>118</v>
      </c>
      <c r="B516" s="762" t="s">
        <v>429</v>
      </c>
      <c r="C516" s="805" t="s">
        <v>1076</v>
      </c>
      <c r="D516" s="549">
        <v>124.62167469162793</v>
      </c>
      <c r="E516" s="550">
        <v>102.60872930450277</v>
      </c>
      <c r="F516" s="551">
        <v>0</v>
      </c>
      <c r="G516" s="560">
        <v>18.15180375672216</v>
      </c>
      <c r="H516" s="566">
        <v>245.38220775285285</v>
      </c>
      <c r="I516" s="1057">
        <v>161.1915678347552</v>
      </c>
      <c r="J516" s="1058">
        <v>12.87934828899944</v>
      </c>
      <c r="K516" s="569">
        <v>0</v>
      </c>
      <c r="L516" s="560">
        <v>0</v>
      </c>
      <c r="M516" s="571"/>
      <c r="N516" s="1075">
        <f t="shared" si="57"/>
        <v>419.45312387660749</v>
      </c>
    </row>
    <row r="517" spans="1:14" ht="15.75" x14ac:dyDescent="0.25">
      <c r="A517" s="1087" t="s">
        <v>155</v>
      </c>
      <c r="B517" s="762" t="s">
        <v>429</v>
      </c>
      <c r="C517" s="805" t="s">
        <v>1135</v>
      </c>
      <c r="D517" s="549">
        <v>206.24267029725661</v>
      </c>
      <c r="E517" s="550">
        <v>89.457605060604465</v>
      </c>
      <c r="F517" s="551">
        <v>0</v>
      </c>
      <c r="G517" s="560">
        <v>73.925068839465268</v>
      </c>
      <c r="H517" s="566">
        <v>369.62534419732634</v>
      </c>
      <c r="I517" s="1057">
        <v>79.654031903277954</v>
      </c>
      <c r="J517" s="1058">
        <v>19.913507975819488</v>
      </c>
      <c r="K517" s="569">
        <v>0</v>
      </c>
      <c r="L517" s="560">
        <v>0</v>
      </c>
      <c r="M517" s="571"/>
      <c r="N517" s="1075">
        <f t="shared" si="57"/>
        <v>469.19288407642375</v>
      </c>
    </row>
    <row r="518" spans="1:14" ht="15.75" x14ac:dyDescent="0.25">
      <c r="A518" s="1087" t="s">
        <v>102</v>
      </c>
      <c r="B518" s="762" t="s">
        <v>429</v>
      </c>
      <c r="C518" s="805" t="s">
        <v>1066</v>
      </c>
      <c r="D518" s="549">
        <v>6.5670679389832856</v>
      </c>
      <c r="E518" s="550">
        <v>133.19558972714333</v>
      </c>
      <c r="F518" s="551">
        <v>0</v>
      </c>
      <c r="G518" s="560">
        <v>37.735917569854188</v>
      </c>
      <c r="H518" s="566">
        <v>177.49857523598081</v>
      </c>
      <c r="I518" s="1057">
        <v>231.9565655671708</v>
      </c>
      <c r="J518" s="1058">
        <v>62.628272703136119</v>
      </c>
      <c r="K518" s="569">
        <v>0</v>
      </c>
      <c r="L518" s="560">
        <v>0</v>
      </c>
      <c r="M518" s="571"/>
      <c r="N518" s="1075">
        <f t="shared" si="57"/>
        <v>472.08341350628774</v>
      </c>
    </row>
    <row r="519" spans="1:14" ht="15.75" x14ac:dyDescent="0.25">
      <c r="A519" s="1087" t="s">
        <v>878</v>
      </c>
      <c r="B519" s="762" t="s">
        <v>429</v>
      </c>
      <c r="C519" s="805" t="s">
        <v>1050</v>
      </c>
      <c r="D519" s="549">
        <v>50.419562790362662</v>
      </c>
      <c r="E519" s="593">
        <v>264.10247175904249</v>
      </c>
      <c r="F519" s="594">
        <v>0</v>
      </c>
      <c r="G519" s="595">
        <v>15.726101727470258</v>
      </c>
      <c r="H519" s="566">
        <v>330.24813627687541</v>
      </c>
      <c r="I519" s="1057">
        <v>263.50223886868105</v>
      </c>
      <c r="J519" s="1058">
        <v>0</v>
      </c>
      <c r="K519" s="597">
        <v>0</v>
      </c>
      <c r="L519" s="595">
        <v>0</v>
      </c>
      <c r="M519" s="571"/>
      <c r="N519" s="1075">
        <f t="shared" si="57"/>
        <v>593.75037514555652</v>
      </c>
    </row>
    <row r="520" spans="1:14" ht="15.75" x14ac:dyDescent="0.25">
      <c r="A520" s="1087" t="s">
        <v>167</v>
      </c>
      <c r="B520" s="762" t="s">
        <v>429</v>
      </c>
      <c r="C520" s="805" t="s">
        <v>1149</v>
      </c>
      <c r="D520" s="549">
        <v>42.301870472483515</v>
      </c>
      <c r="E520" s="550">
        <v>346.98345767109959</v>
      </c>
      <c r="F520" s="551">
        <v>0</v>
      </c>
      <c r="G520" s="560">
        <v>0</v>
      </c>
      <c r="H520" s="566">
        <v>389.28532814358311</v>
      </c>
      <c r="I520" s="1057">
        <v>264.71780733052219</v>
      </c>
      <c r="J520" s="1058">
        <v>0</v>
      </c>
      <c r="K520" s="569">
        <v>0</v>
      </c>
      <c r="L520" s="560">
        <v>0</v>
      </c>
      <c r="M520" s="571"/>
      <c r="N520" s="1075">
        <f t="shared" si="57"/>
        <v>654.00313547410531</v>
      </c>
    </row>
    <row r="521" spans="1:14" ht="15.75" x14ac:dyDescent="0.25">
      <c r="A521" s="1087" t="s">
        <v>891</v>
      </c>
      <c r="B521" s="762" t="s">
        <v>429</v>
      </c>
      <c r="C521" s="805" t="s">
        <v>1114</v>
      </c>
      <c r="D521" s="549">
        <v>0</v>
      </c>
      <c r="E521" s="550">
        <v>241.48339801638639</v>
      </c>
      <c r="F521" s="551">
        <v>0</v>
      </c>
      <c r="G521" s="560">
        <v>19.318671841310913</v>
      </c>
      <c r="H521" s="566">
        <v>260.80206985769729</v>
      </c>
      <c r="I521" s="1057">
        <v>369.12462268219059</v>
      </c>
      <c r="J521" s="1058">
        <v>29.529969814575249</v>
      </c>
      <c r="K521" s="569">
        <v>0</v>
      </c>
      <c r="L521" s="560">
        <v>0</v>
      </c>
      <c r="M521" s="571"/>
      <c r="N521" s="1075">
        <f t="shared" si="57"/>
        <v>659.45666235446311</v>
      </c>
    </row>
    <row r="522" spans="1:14" ht="15.75" x14ac:dyDescent="0.25">
      <c r="A522" s="502" t="s">
        <v>182</v>
      </c>
      <c r="B522" s="263" t="s">
        <v>429</v>
      </c>
      <c r="C522" s="804" t="s">
        <v>1106</v>
      </c>
      <c r="D522" s="549">
        <v>50.599632657471098</v>
      </c>
      <c r="E522" s="550">
        <v>283.30992425060924</v>
      </c>
      <c r="F522" s="551">
        <v>0</v>
      </c>
      <c r="G522" s="560">
        <v>20.035773880265545</v>
      </c>
      <c r="H522" s="566">
        <v>353.94533078834587</v>
      </c>
      <c r="I522" s="1057">
        <v>343.2731899977191</v>
      </c>
      <c r="J522" s="1058">
        <v>0</v>
      </c>
      <c r="K522" s="569">
        <v>80.671300464580256</v>
      </c>
      <c r="L522" s="560">
        <v>4.8378770963133695</v>
      </c>
      <c r="M522" s="571"/>
      <c r="N522" s="1075">
        <f t="shared" si="57"/>
        <v>782.72769834695862</v>
      </c>
    </row>
    <row r="523" spans="1:14" ht="15.75" x14ac:dyDescent="0.25">
      <c r="A523" s="1087" t="s">
        <v>126</v>
      </c>
      <c r="B523" s="762" t="s">
        <v>429</v>
      </c>
      <c r="C523" s="805" t="s">
        <v>1112</v>
      </c>
      <c r="D523" s="549">
        <v>37.536576834813467</v>
      </c>
      <c r="E523" s="550">
        <v>238.13789329618675</v>
      </c>
      <c r="F523" s="551">
        <v>0</v>
      </c>
      <c r="G523" s="560">
        <v>64.226545428398367</v>
      </c>
      <c r="H523" s="566">
        <v>339.90101555939856</v>
      </c>
      <c r="I523" s="1057">
        <v>357.32871194699055</v>
      </c>
      <c r="J523" s="1058">
        <v>94.024250091099319</v>
      </c>
      <c r="K523" s="569">
        <v>0</v>
      </c>
      <c r="L523" s="560">
        <v>0</v>
      </c>
      <c r="M523" s="571"/>
      <c r="N523" s="1075">
        <f t="shared" si="57"/>
        <v>791.25397759748842</v>
      </c>
    </row>
    <row r="524" spans="1:14" ht="15.75" x14ac:dyDescent="0.25">
      <c r="A524" s="1087" t="s">
        <v>911</v>
      </c>
      <c r="B524" s="762" t="s">
        <v>429</v>
      </c>
      <c r="C524" s="805" t="s">
        <v>1052</v>
      </c>
      <c r="D524" s="549">
        <v>0</v>
      </c>
      <c r="E524" s="593">
        <v>379.49790086992158</v>
      </c>
      <c r="F524" s="594">
        <v>0</v>
      </c>
      <c r="G524" s="595">
        <v>56.966987348816566</v>
      </c>
      <c r="H524" s="566">
        <v>436.46488821873817</v>
      </c>
      <c r="I524" s="1057">
        <v>318.77071633636467</v>
      </c>
      <c r="J524" s="1058">
        <v>47.754504246202664</v>
      </c>
      <c r="K524" s="597">
        <v>0</v>
      </c>
      <c r="L524" s="595">
        <v>0</v>
      </c>
      <c r="M524" s="571"/>
      <c r="N524" s="1075">
        <f t="shared" si="57"/>
        <v>802.9901088013055</v>
      </c>
    </row>
    <row r="525" spans="1:14" ht="15.75" x14ac:dyDescent="0.25">
      <c r="A525" s="1090" t="s">
        <v>940</v>
      </c>
      <c r="B525" s="1089" t="s">
        <v>429</v>
      </c>
      <c r="C525" s="805" t="s">
        <v>1040</v>
      </c>
      <c r="D525" s="549">
        <v>87.214433957013028</v>
      </c>
      <c r="E525" s="593">
        <v>301.62453581851003</v>
      </c>
      <c r="F525" s="594">
        <v>0</v>
      </c>
      <c r="G525" s="595">
        <v>0</v>
      </c>
      <c r="H525" s="566">
        <v>388.83896977552308</v>
      </c>
      <c r="I525" s="1057">
        <v>429.39272735947327</v>
      </c>
      <c r="J525" s="1058">
        <v>0</v>
      </c>
      <c r="K525" s="597">
        <v>0</v>
      </c>
      <c r="L525" s="595">
        <v>0</v>
      </c>
      <c r="M525" s="571"/>
      <c r="N525" s="1075">
        <f t="shared" si="57"/>
        <v>818.23169713499635</v>
      </c>
    </row>
    <row r="526" spans="1:14" ht="15.75" x14ac:dyDescent="0.25">
      <c r="A526" s="1087" t="s">
        <v>101</v>
      </c>
      <c r="B526" s="762" t="s">
        <v>429</v>
      </c>
      <c r="C526" s="805" t="s">
        <v>1058</v>
      </c>
      <c r="D526" s="549">
        <v>24.741599740699389</v>
      </c>
      <c r="E526" s="593">
        <v>244.89501926747576</v>
      </c>
      <c r="F526" s="594">
        <v>115.24471494940036</v>
      </c>
      <c r="G526" s="595">
        <v>21.248244318795692</v>
      </c>
      <c r="H526" s="566">
        <v>406.12957827637121</v>
      </c>
      <c r="I526" s="1057">
        <v>324.12576079518851</v>
      </c>
      <c r="J526" s="1058">
        <v>39.687398710699753</v>
      </c>
      <c r="K526" s="597">
        <v>72.027946843375233</v>
      </c>
      <c r="L526" s="595">
        <v>0</v>
      </c>
      <c r="M526" s="571"/>
      <c r="N526" s="1075">
        <f t="shared" si="57"/>
        <v>841.97068462563482</v>
      </c>
    </row>
    <row r="527" spans="1:14" ht="15.75" x14ac:dyDescent="0.25">
      <c r="A527" s="1087" t="s">
        <v>92</v>
      </c>
      <c r="B527" s="762" t="s">
        <v>429</v>
      </c>
      <c r="C527" s="805" t="s">
        <v>1056</v>
      </c>
      <c r="D527" s="549">
        <v>47.44240765416982</v>
      </c>
      <c r="E527" s="593">
        <v>271.30526644338005</v>
      </c>
      <c r="F527" s="594">
        <v>0</v>
      </c>
      <c r="G527" s="595">
        <v>76.493679547664485</v>
      </c>
      <c r="H527" s="566">
        <v>395.24135364521436</v>
      </c>
      <c r="I527" s="1057">
        <v>333.72948704097189</v>
      </c>
      <c r="J527" s="1058">
        <v>80.095076889833251</v>
      </c>
      <c r="K527" s="597">
        <v>47.44240765416982</v>
      </c>
      <c r="L527" s="595">
        <v>11.380415601253286</v>
      </c>
      <c r="M527" s="571"/>
      <c r="N527" s="1075">
        <f t="shared" si="57"/>
        <v>867.88874083144265</v>
      </c>
    </row>
    <row r="528" spans="1:14" ht="15.75" x14ac:dyDescent="0.25">
      <c r="A528" s="502" t="s">
        <v>544</v>
      </c>
      <c r="B528" s="263" t="s">
        <v>429</v>
      </c>
      <c r="C528" s="804" t="s">
        <v>1028</v>
      </c>
      <c r="D528" s="549">
        <v>79.154479154479162</v>
      </c>
      <c r="E528" s="593">
        <v>407.1604071604072</v>
      </c>
      <c r="F528" s="594">
        <v>0</v>
      </c>
      <c r="G528" s="595">
        <v>0</v>
      </c>
      <c r="H528" s="566">
        <v>486.31488631488639</v>
      </c>
      <c r="I528" s="1057">
        <v>412.62041262041265</v>
      </c>
      <c r="J528" s="1058">
        <v>0</v>
      </c>
      <c r="K528" s="597">
        <v>0</v>
      </c>
      <c r="L528" s="595">
        <v>0</v>
      </c>
      <c r="M528" s="571"/>
      <c r="N528" s="1075">
        <f t="shared" si="57"/>
        <v>898.93529893529899</v>
      </c>
    </row>
    <row r="529" spans="1:14" ht="15.75" x14ac:dyDescent="0.25">
      <c r="A529" s="1087" t="s">
        <v>166</v>
      </c>
      <c r="B529" s="762" t="s">
        <v>429</v>
      </c>
      <c r="C529" s="805" t="s">
        <v>1149</v>
      </c>
      <c r="D529" s="549">
        <v>46.559087468915564</v>
      </c>
      <c r="E529" s="550">
        <v>346.22661909395612</v>
      </c>
      <c r="F529" s="551">
        <v>0</v>
      </c>
      <c r="G529" s="560">
        <v>0</v>
      </c>
      <c r="H529" s="566">
        <v>392.78570656287167</v>
      </c>
      <c r="I529" s="1057">
        <v>555.80333008973946</v>
      </c>
      <c r="J529" s="1058">
        <v>0</v>
      </c>
      <c r="K529" s="569">
        <v>0</v>
      </c>
      <c r="L529" s="560">
        <v>0</v>
      </c>
      <c r="M529" s="571"/>
      <c r="N529" s="1075">
        <f t="shared" si="57"/>
        <v>948.58903665261118</v>
      </c>
    </row>
    <row r="530" spans="1:14" ht="15.75" x14ac:dyDescent="0.25">
      <c r="A530" s="1087" t="s">
        <v>939</v>
      </c>
      <c r="B530" s="762" t="s">
        <v>429</v>
      </c>
      <c r="C530" s="805" t="s">
        <v>1062</v>
      </c>
      <c r="D530" s="549">
        <v>26.290200597831955</v>
      </c>
      <c r="E530" s="550">
        <v>406.71780650892543</v>
      </c>
      <c r="F530" s="551">
        <v>0</v>
      </c>
      <c r="G530" s="560">
        <v>30.311760963253743</v>
      </c>
      <c r="H530" s="566">
        <v>463.31976807001115</v>
      </c>
      <c r="I530" s="1057">
        <v>530.60587507953085</v>
      </c>
      <c r="J530" s="1058">
        <v>0</v>
      </c>
      <c r="K530" s="569">
        <v>0</v>
      </c>
      <c r="L530" s="560">
        <v>0</v>
      </c>
      <c r="M530" s="571"/>
      <c r="N530" s="1075">
        <f t="shared" si="57"/>
        <v>993.925643149542</v>
      </c>
    </row>
    <row r="531" spans="1:14" ht="15.75" x14ac:dyDescent="0.25">
      <c r="A531" s="1087" t="s">
        <v>163</v>
      </c>
      <c r="B531" s="762" t="s">
        <v>429</v>
      </c>
      <c r="C531" s="805" t="s">
        <v>1137</v>
      </c>
      <c r="D531" s="549">
        <v>55.417581740933073</v>
      </c>
      <c r="E531" s="550">
        <v>476.18070236653602</v>
      </c>
      <c r="F531" s="551">
        <v>0</v>
      </c>
      <c r="G531" s="560">
        <v>42.527862728597526</v>
      </c>
      <c r="H531" s="566">
        <v>574.1261468360666</v>
      </c>
      <c r="I531" s="1057">
        <v>447.2711972250159</v>
      </c>
      <c r="J531" s="1058">
        <v>11.186141499558714</v>
      </c>
      <c r="K531" s="569">
        <v>0</v>
      </c>
      <c r="L531" s="560">
        <v>0</v>
      </c>
      <c r="M531" s="571"/>
      <c r="N531" s="1075">
        <f t="shared" si="57"/>
        <v>1032.5834855606413</v>
      </c>
    </row>
    <row r="532" spans="1:14" ht="15.75" x14ac:dyDescent="0.25">
      <c r="A532" s="1090" t="s">
        <v>68</v>
      </c>
      <c r="B532" s="1089" t="s">
        <v>429</v>
      </c>
      <c r="C532" s="805" t="s">
        <v>1032</v>
      </c>
      <c r="D532" s="549">
        <v>28.81117873735009</v>
      </c>
      <c r="E532" s="593">
        <v>548.51682452791681</v>
      </c>
      <c r="F532" s="594">
        <v>0</v>
      </c>
      <c r="G532" s="595">
        <v>34.645442431663483</v>
      </c>
      <c r="H532" s="566">
        <v>611.97344569693041</v>
      </c>
      <c r="I532" s="1057">
        <v>397.83435973157583</v>
      </c>
      <c r="J532" s="1058">
        <v>23.865259720771661</v>
      </c>
      <c r="K532" s="597">
        <v>0</v>
      </c>
      <c r="L532" s="595">
        <v>0</v>
      </c>
      <c r="M532" s="571"/>
      <c r="N532" s="1075">
        <f t="shared" si="57"/>
        <v>1033.673065149278</v>
      </c>
    </row>
    <row r="533" spans="1:14" ht="15.75" x14ac:dyDescent="0.25">
      <c r="A533" s="1087" t="s">
        <v>88</v>
      </c>
      <c r="B533" s="762" t="s">
        <v>429</v>
      </c>
      <c r="C533" s="805" t="s">
        <v>1054</v>
      </c>
      <c r="D533" s="549">
        <v>61.898145312343843</v>
      </c>
      <c r="E533" s="593">
        <v>268.67663699639252</v>
      </c>
      <c r="F533" s="594">
        <v>201.4913584386193</v>
      </c>
      <c r="G533" s="595">
        <v>133.01653518683892</v>
      </c>
      <c r="H533" s="566">
        <v>665.08267593419464</v>
      </c>
      <c r="I533" s="1057">
        <v>501.12190388378622</v>
      </c>
      <c r="J533" s="1058">
        <v>125.28087895366345</v>
      </c>
      <c r="K533" s="597">
        <v>22.433241883122115</v>
      </c>
      <c r="L533" s="595">
        <v>5.6079074880636517</v>
      </c>
      <c r="M533" s="571"/>
      <c r="N533" s="1075">
        <f t="shared" si="57"/>
        <v>1319.5266081428299</v>
      </c>
    </row>
    <row r="534" spans="1:14" ht="16.5" thickBot="1" x14ac:dyDescent="0.3">
      <c r="A534" s="798" t="s">
        <v>171</v>
      </c>
      <c r="B534" s="1101" t="s">
        <v>429</v>
      </c>
      <c r="C534" s="1092" t="s">
        <v>1151</v>
      </c>
      <c r="D534" s="549">
        <v>121.92</v>
      </c>
      <c r="E534" s="550">
        <v>259.12</v>
      </c>
      <c r="F534" s="551">
        <v>47.32</v>
      </c>
      <c r="G534" s="560" t="s">
        <v>5</v>
      </c>
      <c r="H534" s="566">
        <v>428.36</v>
      </c>
      <c r="I534" s="1057">
        <v>588.34</v>
      </c>
      <c r="J534" s="1077" t="s">
        <v>5</v>
      </c>
      <c r="K534" s="569">
        <v>334.2</v>
      </c>
      <c r="L534" s="560" t="s">
        <v>5</v>
      </c>
      <c r="M534" s="571"/>
      <c r="N534" s="1075">
        <f>H534+I534+K534</f>
        <v>1350.9</v>
      </c>
    </row>
  </sheetData>
  <sortState ref="A500:N534">
    <sortCondition ref="N500:N534"/>
  </sortState>
  <mergeCells count="586">
    <mergeCell ref="AF290:AF293"/>
    <mergeCell ref="AG290:AG293"/>
    <mergeCell ref="AG283:AG289"/>
    <mergeCell ref="A290:A293"/>
    <mergeCell ref="E290:E293"/>
    <mergeCell ref="U290:U293"/>
    <mergeCell ref="V290:V293"/>
    <mergeCell ref="W290:W293"/>
    <mergeCell ref="Y290:Y293"/>
    <mergeCell ref="Z290:Z293"/>
    <mergeCell ref="AB290:AB293"/>
    <mergeCell ref="AD290:AD293"/>
    <mergeCell ref="AA283:AA289"/>
    <mergeCell ref="AB283:AB289"/>
    <mergeCell ref="AC283:AC289"/>
    <mergeCell ref="AD283:AD289"/>
    <mergeCell ref="AE283:AE289"/>
    <mergeCell ref="AF283:AF289"/>
    <mergeCell ref="AP278:AP282"/>
    <mergeCell ref="A283:A289"/>
    <mergeCell ref="E283:E289"/>
    <mergeCell ref="U283:U289"/>
    <mergeCell ref="V283:V289"/>
    <mergeCell ref="W283:W289"/>
    <mergeCell ref="X283:X289"/>
    <mergeCell ref="Y283:Y289"/>
    <mergeCell ref="Z283:Z289"/>
    <mergeCell ref="AA278:AA282"/>
    <mergeCell ref="AB278:AB282"/>
    <mergeCell ref="AC278:AC282"/>
    <mergeCell ref="AD278:AD282"/>
    <mergeCell ref="AE278:AE282"/>
    <mergeCell ref="AF278:AF282"/>
    <mergeCell ref="A278:A282"/>
    <mergeCell ref="E278:E282"/>
    <mergeCell ref="U278:U282"/>
    <mergeCell ref="V278:V282"/>
    <mergeCell ref="W278:W282"/>
    <mergeCell ref="X278:X282"/>
    <mergeCell ref="Y278:Y282"/>
    <mergeCell ref="Z278:Z282"/>
    <mergeCell ref="AG278:AG282"/>
    <mergeCell ref="AE271:AE273"/>
    <mergeCell ref="AF271:AF273"/>
    <mergeCell ref="AG271:AG273"/>
    <mergeCell ref="AA271:AA273"/>
    <mergeCell ref="AB271:AB273"/>
    <mergeCell ref="AC271:AC273"/>
    <mergeCell ref="AD271:AD273"/>
    <mergeCell ref="AF274:AF277"/>
    <mergeCell ref="AG274:AG277"/>
    <mergeCell ref="AA274:AA277"/>
    <mergeCell ref="AB274:AB277"/>
    <mergeCell ref="AC274:AC277"/>
    <mergeCell ref="AD274:AD277"/>
    <mergeCell ref="AE274:AE277"/>
    <mergeCell ref="Y274:Y277"/>
    <mergeCell ref="Y271:Y273"/>
    <mergeCell ref="Z271:Z273"/>
    <mergeCell ref="A271:A273"/>
    <mergeCell ref="E271:E273"/>
    <mergeCell ref="U271:U273"/>
    <mergeCell ref="V271:V273"/>
    <mergeCell ref="W271:W273"/>
    <mergeCell ref="X271:X273"/>
    <mergeCell ref="Z274:Z277"/>
    <mergeCell ref="U258:U262"/>
    <mergeCell ref="V258:V262"/>
    <mergeCell ref="W258:W262"/>
    <mergeCell ref="X258:X262"/>
    <mergeCell ref="A274:A277"/>
    <mergeCell ref="E274:E277"/>
    <mergeCell ref="U274:U277"/>
    <mergeCell ref="V274:V277"/>
    <mergeCell ref="W274:W277"/>
    <mergeCell ref="X274:X277"/>
    <mergeCell ref="AB263:AB267"/>
    <mergeCell ref="AC263:AC267"/>
    <mergeCell ref="AD263:AD267"/>
    <mergeCell ref="AE263:AE267"/>
    <mergeCell ref="AF263:AF267"/>
    <mergeCell ref="AG263:AG267"/>
    <mergeCell ref="AG258:AG262"/>
    <mergeCell ref="A263:A267"/>
    <mergeCell ref="E263:E267"/>
    <mergeCell ref="U263:U267"/>
    <mergeCell ref="V263:V267"/>
    <mergeCell ref="W263:W267"/>
    <mergeCell ref="X263:X267"/>
    <mergeCell ref="Y263:Y267"/>
    <mergeCell ref="Z263:Z267"/>
    <mergeCell ref="AA263:AA267"/>
    <mergeCell ref="AA258:AA262"/>
    <mergeCell ref="AB258:AB262"/>
    <mergeCell ref="AC258:AC262"/>
    <mergeCell ref="AD258:AD262"/>
    <mergeCell ref="AE258:AE262"/>
    <mergeCell ref="AF258:AF262"/>
    <mergeCell ref="A258:A262"/>
    <mergeCell ref="E258:E262"/>
    <mergeCell ref="A245:A252"/>
    <mergeCell ref="E245:E252"/>
    <mergeCell ref="U245:U252"/>
    <mergeCell ref="V245:V252"/>
    <mergeCell ref="W245:W252"/>
    <mergeCell ref="AA253:AA257"/>
    <mergeCell ref="AB253:AB257"/>
    <mergeCell ref="AC253:AC257"/>
    <mergeCell ref="AD253:AD257"/>
    <mergeCell ref="AD225:AD226"/>
    <mergeCell ref="AE225:AE226"/>
    <mergeCell ref="AF225:AF226"/>
    <mergeCell ref="A225:A226"/>
    <mergeCell ref="E225:E226"/>
    <mergeCell ref="U225:U226"/>
    <mergeCell ref="Y258:Y262"/>
    <mergeCell ref="Z258:Z262"/>
    <mergeCell ref="Z253:Z257"/>
    <mergeCell ref="AE245:AE252"/>
    <mergeCell ref="AF245:AF252"/>
    <mergeCell ref="A253:A257"/>
    <mergeCell ref="E253:E257"/>
    <mergeCell ref="U253:U257"/>
    <mergeCell ref="V253:V257"/>
    <mergeCell ref="W253:W257"/>
    <mergeCell ref="X253:X257"/>
    <mergeCell ref="Y253:Y257"/>
    <mergeCell ref="Y245:Y252"/>
    <mergeCell ref="Z245:Z252"/>
    <mergeCell ref="AA245:AA252"/>
    <mergeCell ref="AB245:AB252"/>
    <mergeCell ref="AC245:AC252"/>
    <mergeCell ref="AD245:AD252"/>
    <mergeCell ref="A227:A235"/>
    <mergeCell ref="E227:E235"/>
    <mergeCell ref="A236:A238"/>
    <mergeCell ref="E236:E238"/>
    <mergeCell ref="A240:A242"/>
    <mergeCell ref="E240:E242"/>
    <mergeCell ref="U240:U242"/>
    <mergeCell ref="V240:V242"/>
    <mergeCell ref="W240:W242"/>
    <mergeCell ref="Y240:Y242"/>
    <mergeCell ref="Z240:Z242"/>
    <mergeCell ref="AB240:AB242"/>
    <mergeCell ref="AD240:AD242"/>
    <mergeCell ref="X245:X252"/>
    <mergeCell ref="AF253:AF257"/>
    <mergeCell ref="AG253:AG257"/>
    <mergeCell ref="AF240:AF242"/>
    <mergeCell ref="AG240:AG242"/>
    <mergeCell ref="AG245:AG252"/>
    <mergeCell ref="AE253:AE257"/>
    <mergeCell ref="V225:V226"/>
    <mergeCell ref="W225:W226"/>
    <mergeCell ref="X225:X226"/>
    <mergeCell ref="Y225:Y226"/>
    <mergeCell ref="Z225:Z226"/>
    <mergeCell ref="Z184:Z224"/>
    <mergeCell ref="AE177:AE183"/>
    <mergeCell ref="AF177:AF183"/>
    <mergeCell ref="AG177:AG183"/>
    <mergeCell ref="AA177:AA183"/>
    <mergeCell ref="AB177:AB183"/>
    <mergeCell ref="AC177:AC183"/>
    <mergeCell ref="AD177:AD183"/>
    <mergeCell ref="AF184:AF224"/>
    <mergeCell ref="AG184:AG224"/>
    <mergeCell ref="AA184:AA224"/>
    <mergeCell ref="AB184:AB224"/>
    <mergeCell ref="AC184:AC224"/>
    <mergeCell ref="AD184:AD224"/>
    <mergeCell ref="AE184:AE224"/>
    <mergeCell ref="AG225:AG226"/>
    <mergeCell ref="AA225:AA226"/>
    <mergeCell ref="AB225:AB226"/>
    <mergeCell ref="AC225:AC226"/>
    <mergeCell ref="A184:A224"/>
    <mergeCell ref="E184:E224"/>
    <mergeCell ref="U184:U224"/>
    <mergeCell ref="V184:V224"/>
    <mergeCell ref="W184:W224"/>
    <mergeCell ref="X184:X224"/>
    <mergeCell ref="Y184:Y224"/>
    <mergeCell ref="Y177:Y183"/>
    <mergeCell ref="Z177:Z183"/>
    <mergeCell ref="A177:A183"/>
    <mergeCell ref="E177:E183"/>
    <mergeCell ref="U177:U183"/>
    <mergeCell ref="V177:V183"/>
    <mergeCell ref="W177:W183"/>
    <mergeCell ref="X177:X183"/>
    <mergeCell ref="AB171:AB176"/>
    <mergeCell ref="AC171:AC176"/>
    <mergeCell ref="AD171:AD176"/>
    <mergeCell ref="AE171:AE176"/>
    <mergeCell ref="AF171:AF176"/>
    <mergeCell ref="AG171:AG176"/>
    <mergeCell ref="AG168:AG170"/>
    <mergeCell ref="A171:A176"/>
    <mergeCell ref="E171:E176"/>
    <mergeCell ref="U171:U176"/>
    <mergeCell ref="V171:V176"/>
    <mergeCell ref="W171:W176"/>
    <mergeCell ref="X171:X176"/>
    <mergeCell ref="Y171:Y176"/>
    <mergeCell ref="Z171:Z176"/>
    <mergeCell ref="AA171:AA176"/>
    <mergeCell ref="AA168:AA170"/>
    <mergeCell ref="AB168:AB170"/>
    <mergeCell ref="AC168:AC170"/>
    <mergeCell ref="AD168:AD170"/>
    <mergeCell ref="AE168:AE170"/>
    <mergeCell ref="AF168:AF170"/>
    <mergeCell ref="AF162:AF166"/>
    <mergeCell ref="AG162:AG166"/>
    <mergeCell ref="A168:A170"/>
    <mergeCell ref="E168:E170"/>
    <mergeCell ref="U168:U170"/>
    <mergeCell ref="V168:V170"/>
    <mergeCell ref="W168:W170"/>
    <mergeCell ref="X168:X170"/>
    <mergeCell ref="Y168:Y170"/>
    <mergeCell ref="Z168:Z170"/>
    <mergeCell ref="A162:A166"/>
    <mergeCell ref="E162:E166"/>
    <mergeCell ref="U162:U166"/>
    <mergeCell ref="V162:V166"/>
    <mergeCell ref="W162:W166"/>
    <mergeCell ref="Y162:Y166"/>
    <mergeCell ref="Z162:Z166"/>
    <mergeCell ref="AB162:AB166"/>
    <mergeCell ref="AD162:AD166"/>
    <mergeCell ref="AF151:AF155"/>
    <mergeCell ref="AG151:AG155"/>
    <mergeCell ref="A157:A161"/>
    <mergeCell ref="E157:E161"/>
    <mergeCell ref="U157:U161"/>
    <mergeCell ref="V157:V161"/>
    <mergeCell ref="W157:W161"/>
    <mergeCell ref="X157:X161"/>
    <mergeCell ref="Y157:Y161"/>
    <mergeCell ref="Z157:Z161"/>
    <mergeCell ref="AG157:AG161"/>
    <mergeCell ref="AA157:AA161"/>
    <mergeCell ref="AB157:AB161"/>
    <mergeCell ref="AC157:AC161"/>
    <mergeCell ref="AD157:AD161"/>
    <mergeCell ref="AE157:AE161"/>
    <mergeCell ref="AF157:AF161"/>
    <mergeCell ref="A151:A155"/>
    <mergeCell ref="E151:E155"/>
    <mergeCell ref="U151:U155"/>
    <mergeCell ref="V151:V155"/>
    <mergeCell ref="W151:W155"/>
    <mergeCell ref="Y151:Y155"/>
    <mergeCell ref="Z151:Z155"/>
    <mergeCell ref="AB151:AB155"/>
    <mergeCell ref="AD151:AD155"/>
    <mergeCell ref="A145:A150"/>
    <mergeCell ref="E145:E150"/>
    <mergeCell ref="U145:U150"/>
    <mergeCell ref="V145:V150"/>
    <mergeCell ref="W145:W150"/>
    <mergeCell ref="X145:X150"/>
    <mergeCell ref="Y145:Y150"/>
    <mergeCell ref="Z145:Z150"/>
    <mergeCell ref="AG145:AG150"/>
    <mergeCell ref="AA145:AA150"/>
    <mergeCell ref="AB145:AB150"/>
    <mergeCell ref="AC145:AC150"/>
    <mergeCell ref="AD145:AD150"/>
    <mergeCell ref="AE145:AE150"/>
    <mergeCell ref="AF145:AF150"/>
    <mergeCell ref="AG126:AG133"/>
    <mergeCell ref="A135:A139"/>
    <mergeCell ref="E135:E139"/>
    <mergeCell ref="U135:U139"/>
    <mergeCell ref="V135:V139"/>
    <mergeCell ref="W135:W139"/>
    <mergeCell ref="Y135:Y139"/>
    <mergeCell ref="Z135:Z139"/>
    <mergeCell ref="AB135:AB139"/>
    <mergeCell ref="AD135:AD139"/>
    <mergeCell ref="AA126:AA133"/>
    <mergeCell ref="AB126:AB133"/>
    <mergeCell ref="AC126:AC133"/>
    <mergeCell ref="AD126:AD133"/>
    <mergeCell ref="AE126:AE133"/>
    <mergeCell ref="AF126:AF133"/>
    <mergeCell ref="AF135:AF139"/>
    <mergeCell ref="AG135:AG139"/>
    <mergeCell ref="A126:A133"/>
    <mergeCell ref="E126:E133"/>
    <mergeCell ref="U126:U133"/>
    <mergeCell ref="V126:V133"/>
    <mergeCell ref="W126:W133"/>
    <mergeCell ref="X126:X133"/>
    <mergeCell ref="Y126:Y133"/>
    <mergeCell ref="Z126:Z133"/>
    <mergeCell ref="Z121:Z125"/>
    <mergeCell ref="AD115:AD119"/>
    <mergeCell ref="AF115:AF119"/>
    <mergeCell ref="AG115:AG119"/>
    <mergeCell ref="A121:A125"/>
    <mergeCell ref="E121:E125"/>
    <mergeCell ref="U121:U125"/>
    <mergeCell ref="V121:V125"/>
    <mergeCell ref="W121:W125"/>
    <mergeCell ref="X121:X125"/>
    <mergeCell ref="Y121:Y125"/>
    <mergeCell ref="AF121:AF125"/>
    <mergeCell ref="AG121:AG125"/>
    <mergeCell ref="AA121:AA125"/>
    <mergeCell ref="AB121:AB125"/>
    <mergeCell ref="AC121:AC125"/>
    <mergeCell ref="AD121:AD125"/>
    <mergeCell ref="AE121:AE125"/>
    <mergeCell ref="A115:A119"/>
    <mergeCell ref="E115:E119"/>
    <mergeCell ref="U115:U119"/>
    <mergeCell ref="V115:V119"/>
    <mergeCell ref="W115:W119"/>
    <mergeCell ref="Y115:Y119"/>
    <mergeCell ref="Z115:Z119"/>
    <mergeCell ref="AB115:AB119"/>
    <mergeCell ref="Z109:Z113"/>
    <mergeCell ref="AA109:AA113"/>
    <mergeCell ref="AB109:AB113"/>
    <mergeCell ref="AC91:AC101"/>
    <mergeCell ref="AD91:AD101"/>
    <mergeCell ref="AE91:AE101"/>
    <mergeCell ref="AD104:AD108"/>
    <mergeCell ref="Z91:Z101"/>
    <mergeCell ref="AA91:AA101"/>
    <mergeCell ref="AB91:AB101"/>
    <mergeCell ref="AF104:AF108"/>
    <mergeCell ref="AG104:AG108"/>
    <mergeCell ref="A109:A113"/>
    <mergeCell ref="E109:E113"/>
    <mergeCell ref="U109:U113"/>
    <mergeCell ref="V109:V113"/>
    <mergeCell ref="W109:W113"/>
    <mergeCell ref="X109:X113"/>
    <mergeCell ref="Y109:Y113"/>
    <mergeCell ref="AF109:AF113"/>
    <mergeCell ref="AG109:AG113"/>
    <mergeCell ref="AC109:AC113"/>
    <mergeCell ref="AD109:AD113"/>
    <mergeCell ref="AE109:AE113"/>
    <mergeCell ref="A104:A108"/>
    <mergeCell ref="E104:E108"/>
    <mergeCell ref="U104:U108"/>
    <mergeCell ref="V104:V108"/>
    <mergeCell ref="W104:W108"/>
    <mergeCell ref="Y104:Y108"/>
    <mergeCell ref="Z104:Z108"/>
    <mergeCell ref="AB104:AB108"/>
    <mergeCell ref="AE85:AE90"/>
    <mergeCell ref="AF85:AF90"/>
    <mergeCell ref="AG85:AG90"/>
    <mergeCell ref="A91:A101"/>
    <mergeCell ref="E91:E101"/>
    <mergeCell ref="U91:U101"/>
    <mergeCell ref="V91:V101"/>
    <mergeCell ref="W91:W101"/>
    <mergeCell ref="X91:X101"/>
    <mergeCell ref="Y91:Y101"/>
    <mergeCell ref="Y85:Y90"/>
    <mergeCell ref="Z85:Z90"/>
    <mergeCell ref="AA85:AA90"/>
    <mergeCell ref="AB85:AB90"/>
    <mergeCell ref="AC85:AC90"/>
    <mergeCell ref="AD85:AD90"/>
    <mergeCell ref="A85:A90"/>
    <mergeCell ref="E85:E90"/>
    <mergeCell ref="U85:U90"/>
    <mergeCell ref="V85:V90"/>
    <mergeCell ref="W85:W90"/>
    <mergeCell ref="X85:X90"/>
    <mergeCell ref="AF91:AF101"/>
    <mergeCell ref="AG91:AG101"/>
    <mergeCell ref="AB80:AB84"/>
    <mergeCell ref="AC80:AC84"/>
    <mergeCell ref="AD80:AD84"/>
    <mergeCell ref="AE80:AE84"/>
    <mergeCell ref="AF80:AF84"/>
    <mergeCell ref="AG80:AG84"/>
    <mergeCell ref="AG75:AG79"/>
    <mergeCell ref="A80:A84"/>
    <mergeCell ref="E80:E84"/>
    <mergeCell ref="U80:U84"/>
    <mergeCell ref="V80:V84"/>
    <mergeCell ref="W80:W84"/>
    <mergeCell ref="X80:X84"/>
    <mergeCell ref="Y80:Y84"/>
    <mergeCell ref="Z80:Z84"/>
    <mergeCell ref="AA80:AA84"/>
    <mergeCell ref="AA75:AA79"/>
    <mergeCell ref="AB75:AB79"/>
    <mergeCell ref="AC75:AC79"/>
    <mergeCell ref="AD75:AD79"/>
    <mergeCell ref="AE75:AE79"/>
    <mergeCell ref="AF75:AF79"/>
    <mergeCell ref="A75:A79"/>
    <mergeCell ref="E75:E79"/>
    <mergeCell ref="U75:U79"/>
    <mergeCell ref="V75:V79"/>
    <mergeCell ref="W75:W79"/>
    <mergeCell ref="X75:X79"/>
    <mergeCell ref="Y75:Y79"/>
    <mergeCell ref="Z75:Z79"/>
    <mergeCell ref="Z71:Z74"/>
    <mergeCell ref="AE69:AE70"/>
    <mergeCell ref="AF69:AF70"/>
    <mergeCell ref="V69:V70"/>
    <mergeCell ref="W69:W70"/>
    <mergeCell ref="X69:X70"/>
    <mergeCell ref="AG69:AG70"/>
    <mergeCell ref="A71:A74"/>
    <mergeCell ref="E71:E74"/>
    <mergeCell ref="U71:U74"/>
    <mergeCell ref="V71:V74"/>
    <mergeCell ref="W71:W74"/>
    <mergeCell ref="X71:X74"/>
    <mergeCell ref="Y71:Y74"/>
    <mergeCell ref="Y69:Y70"/>
    <mergeCell ref="Z69:Z70"/>
    <mergeCell ref="AA69:AA70"/>
    <mergeCell ref="AB69:AB70"/>
    <mergeCell ref="AC69:AC70"/>
    <mergeCell ref="AD69:AD70"/>
    <mergeCell ref="AF71:AF74"/>
    <mergeCell ref="AG71:AG74"/>
    <mergeCell ref="AA71:AA74"/>
    <mergeCell ref="AB71:AB74"/>
    <mergeCell ref="AC71:AC74"/>
    <mergeCell ref="AD71:AD74"/>
    <mergeCell ref="AE71:AE74"/>
    <mergeCell ref="A69:A70"/>
    <mergeCell ref="E69:E70"/>
    <mergeCell ref="U69:U70"/>
    <mergeCell ref="X63:X67"/>
    <mergeCell ref="Y63:Y67"/>
    <mergeCell ref="Z63:Z67"/>
    <mergeCell ref="Z57:Z62"/>
    <mergeCell ref="AB57:AB62"/>
    <mergeCell ref="AD57:AD62"/>
    <mergeCell ref="AF57:AF62"/>
    <mergeCell ref="AG57:AG62"/>
    <mergeCell ref="A63:A67"/>
    <mergeCell ref="E63:E67"/>
    <mergeCell ref="U63:U67"/>
    <mergeCell ref="V63:V67"/>
    <mergeCell ref="W63:W67"/>
    <mergeCell ref="A57:A62"/>
    <mergeCell ref="E57:E62"/>
    <mergeCell ref="U57:U62"/>
    <mergeCell ref="V57:V62"/>
    <mergeCell ref="W57:W62"/>
    <mergeCell ref="Y57:Y62"/>
    <mergeCell ref="AD63:AD67"/>
    <mergeCell ref="AE63:AE67"/>
    <mergeCell ref="AF63:AF67"/>
    <mergeCell ref="AG63:AG67"/>
    <mergeCell ref="AA63:AA67"/>
    <mergeCell ref="AB63:AB67"/>
    <mergeCell ref="AC63:AC67"/>
    <mergeCell ref="AC51:AC56"/>
    <mergeCell ref="AD51:AD56"/>
    <mergeCell ref="AE51:AE56"/>
    <mergeCell ref="AF51:AF56"/>
    <mergeCell ref="AG51:AG56"/>
    <mergeCell ref="AG45:AG49"/>
    <mergeCell ref="A51:A56"/>
    <mergeCell ref="E51:E56"/>
    <mergeCell ref="U51:U56"/>
    <mergeCell ref="V51:V56"/>
    <mergeCell ref="W51:W56"/>
    <mergeCell ref="X51:X56"/>
    <mergeCell ref="Y51:Y56"/>
    <mergeCell ref="Z51:Z56"/>
    <mergeCell ref="AA51:AA56"/>
    <mergeCell ref="AA45:AA49"/>
    <mergeCell ref="AB45:AB49"/>
    <mergeCell ref="AC45:AC49"/>
    <mergeCell ref="AD45:AD49"/>
    <mergeCell ref="AE45:AE49"/>
    <mergeCell ref="AF45:AF49"/>
    <mergeCell ref="A45:A49"/>
    <mergeCell ref="E45:E49"/>
    <mergeCell ref="U45:U49"/>
    <mergeCell ref="V45:V49"/>
    <mergeCell ref="W45:W49"/>
    <mergeCell ref="X45:X49"/>
    <mergeCell ref="Y45:Y49"/>
    <mergeCell ref="Z45:Z49"/>
    <mergeCell ref="AB51:AB56"/>
    <mergeCell ref="AA29:AA36"/>
    <mergeCell ref="AB29:AB36"/>
    <mergeCell ref="V37:V39"/>
    <mergeCell ref="W37:W39"/>
    <mergeCell ref="X37:X39"/>
    <mergeCell ref="Y37:Y39"/>
    <mergeCell ref="Z37:Z39"/>
    <mergeCell ref="Z29:Z36"/>
    <mergeCell ref="AC29:AC36"/>
    <mergeCell ref="AD29:AD36"/>
    <mergeCell ref="AE29:AE36"/>
    <mergeCell ref="AG37:AG39"/>
    <mergeCell ref="A40:A44"/>
    <mergeCell ref="E40:E44"/>
    <mergeCell ref="U40:U44"/>
    <mergeCell ref="V40:V44"/>
    <mergeCell ref="W40:W44"/>
    <mergeCell ref="Y40:Y44"/>
    <mergeCell ref="Z40:Z44"/>
    <mergeCell ref="AB40:AB44"/>
    <mergeCell ref="AD40:AD44"/>
    <mergeCell ref="AA37:AA39"/>
    <mergeCell ref="AB37:AB39"/>
    <mergeCell ref="AC37:AC39"/>
    <mergeCell ref="AD37:AD39"/>
    <mergeCell ref="AE37:AE39"/>
    <mergeCell ref="AF37:AF39"/>
    <mergeCell ref="AF40:AF44"/>
    <mergeCell ref="AG40:AG44"/>
    <mergeCell ref="A37:A39"/>
    <mergeCell ref="E37:E39"/>
    <mergeCell ref="U37:U39"/>
    <mergeCell ref="AE24:AE28"/>
    <mergeCell ref="AF24:AF28"/>
    <mergeCell ref="AG24:AG28"/>
    <mergeCell ref="A29:A36"/>
    <mergeCell ref="E29:E36"/>
    <mergeCell ref="U29:U36"/>
    <mergeCell ref="V29:V36"/>
    <mergeCell ref="W29:W36"/>
    <mergeCell ref="X29:X36"/>
    <mergeCell ref="Y29:Y36"/>
    <mergeCell ref="Y24:Y28"/>
    <mergeCell ref="Z24:Z28"/>
    <mergeCell ref="AA24:AA28"/>
    <mergeCell ref="AB24:AB28"/>
    <mergeCell ref="AC24:AC28"/>
    <mergeCell ref="AD24:AD28"/>
    <mergeCell ref="A24:A28"/>
    <mergeCell ref="E24:E28"/>
    <mergeCell ref="U24:U28"/>
    <mergeCell ref="V24:V28"/>
    <mergeCell ref="W24:W28"/>
    <mergeCell ref="X24:X28"/>
    <mergeCell ref="AF29:AF36"/>
    <mergeCell ref="AG29:AG36"/>
    <mergeCell ref="AB15:AB23"/>
    <mergeCell ref="AC15:AC23"/>
    <mergeCell ref="AD15:AD23"/>
    <mergeCell ref="AE15:AE23"/>
    <mergeCell ref="AF15:AF23"/>
    <mergeCell ref="AG15:AG23"/>
    <mergeCell ref="AG7:AG13"/>
    <mergeCell ref="A15:A23"/>
    <mergeCell ref="E15:E23"/>
    <mergeCell ref="U15:U23"/>
    <mergeCell ref="V15:V23"/>
    <mergeCell ref="W15:W23"/>
    <mergeCell ref="X15:X23"/>
    <mergeCell ref="Y15:Y23"/>
    <mergeCell ref="Z15:Z23"/>
    <mergeCell ref="AA15:AA23"/>
    <mergeCell ref="AA7:AA13"/>
    <mergeCell ref="AB7:AB13"/>
    <mergeCell ref="AC7:AC13"/>
    <mergeCell ref="AD7:AD13"/>
    <mergeCell ref="AE7:AE13"/>
    <mergeCell ref="AF7:AF13"/>
    <mergeCell ref="U4:AG4"/>
    <mergeCell ref="AI4:AO4"/>
    <mergeCell ref="A7:A13"/>
    <mergeCell ref="E7:E13"/>
    <mergeCell ref="U7:U13"/>
    <mergeCell ref="V7:V13"/>
    <mergeCell ref="W7:W13"/>
    <mergeCell ref="X7:X13"/>
    <mergeCell ref="Y7:Y13"/>
    <mergeCell ref="Z7:Z13"/>
  </mergeCells>
  <pageMargins left="0.7" right="0.7" top="0.75" bottom="0.75" header="0.3" footer="0.3"/>
  <pageSetup paperSize="9" orientation="portrait" r:id="rId1"/>
  <drawing r:id="rId2"/>
  <legacyDrawing r:id="rId3"/>
  <tableParts count="1">
    <tablePart r:id="rId4"/>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AI459"/>
  <sheetViews>
    <sheetView workbookViewId="0">
      <selection activeCell="D2" sqref="D2"/>
    </sheetView>
  </sheetViews>
  <sheetFormatPr defaultRowHeight="15" x14ac:dyDescent="0.25"/>
  <cols>
    <col min="1" max="1" width="24.42578125" bestFit="1" customWidth="1"/>
    <col min="2" max="2" width="11.28515625" bestFit="1" customWidth="1"/>
    <col min="3" max="3" width="29.5703125" customWidth="1"/>
    <col min="4" max="5" width="25" customWidth="1"/>
    <col min="6" max="6" width="16.28515625" customWidth="1"/>
    <col min="7" max="7" width="19.140625" bestFit="1" customWidth="1"/>
    <col min="8" max="8" width="22.28515625" customWidth="1"/>
    <col min="9" max="9" width="19.7109375" customWidth="1"/>
    <col min="10" max="10" width="15.42578125" customWidth="1"/>
    <col min="11" max="12" width="15.7109375" customWidth="1"/>
    <col min="13" max="14" width="19.85546875" customWidth="1"/>
    <col min="15" max="15" width="17.28515625" customWidth="1"/>
    <col min="16" max="16" width="32.42578125" bestFit="1" customWidth="1"/>
    <col min="17" max="17" width="13.28515625" customWidth="1"/>
    <col min="18" max="18" width="20.140625" bestFit="1" customWidth="1"/>
    <col min="19" max="19" width="16.42578125" customWidth="1"/>
    <col min="20" max="20" width="22" bestFit="1" customWidth="1"/>
    <col min="21" max="21" width="23.28515625" bestFit="1" customWidth="1"/>
    <col min="22" max="22" width="14.140625" customWidth="1"/>
    <col min="23" max="23" width="19.85546875" customWidth="1"/>
    <col min="24" max="24" width="14.42578125" customWidth="1"/>
    <col min="25" max="25" width="15.28515625" customWidth="1"/>
    <col min="26" max="26" width="25.42578125" customWidth="1"/>
    <col min="27" max="27" width="3.7109375" customWidth="1"/>
    <col min="28" max="28" width="13.5703125" customWidth="1"/>
    <col min="30" max="30" width="11.140625" customWidth="1"/>
    <col min="31" max="31" width="10.7109375" customWidth="1"/>
    <col min="35" max="36" width="75.28515625" customWidth="1"/>
  </cols>
  <sheetData>
    <row r="1" spans="1:35" ht="18.75" x14ac:dyDescent="0.3">
      <c r="A1" s="1454" t="s">
        <v>1367</v>
      </c>
      <c r="B1" s="1615"/>
      <c r="C1" s="254"/>
      <c r="D1" s="24"/>
    </row>
    <row r="2" spans="1:35" ht="16.5" thickBot="1" x14ac:dyDescent="0.3">
      <c r="A2" s="530" t="s">
        <v>1191</v>
      </c>
      <c r="B2" s="854"/>
      <c r="C2" s="531"/>
      <c r="D2" s="25"/>
    </row>
    <row r="4" spans="1:35" ht="23.25" hidden="1" x14ac:dyDescent="0.35">
      <c r="R4" s="1754" t="s">
        <v>1314</v>
      </c>
      <c r="S4" s="1754"/>
      <c r="T4" s="1754"/>
      <c r="U4" s="1754"/>
      <c r="V4" s="1754"/>
      <c r="W4" s="1754"/>
      <c r="X4" s="1754"/>
      <c r="Y4" s="1754"/>
      <c r="Z4" s="1754"/>
      <c r="AB4" s="1755" t="s">
        <v>248</v>
      </c>
      <c r="AC4" s="1755"/>
      <c r="AD4" s="1755"/>
      <c r="AE4" s="1755"/>
      <c r="AF4" s="1755"/>
      <c r="AG4" s="1755"/>
      <c r="AH4" s="1755"/>
    </row>
    <row r="5" spans="1:35" ht="64.5" hidden="1" customHeight="1" x14ac:dyDescent="0.3">
      <c r="D5" s="89" t="s">
        <v>215</v>
      </c>
      <c r="E5" s="90" t="s">
        <v>1315</v>
      </c>
      <c r="F5" s="111" t="s">
        <v>196</v>
      </c>
      <c r="G5" s="82" t="s">
        <v>197</v>
      </c>
      <c r="H5" s="1220" t="s">
        <v>198</v>
      </c>
      <c r="I5" s="1221" t="s">
        <v>200</v>
      </c>
      <c r="J5" s="1222" t="s">
        <v>1316</v>
      </c>
      <c r="K5" s="1223" t="s">
        <v>201</v>
      </c>
      <c r="L5" s="1223"/>
      <c r="M5" s="84" t="s">
        <v>199</v>
      </c>
      <c r="N5" s="1224" t="s">
        <v>1317</v>
      </c>
      <c r="O5" s="1225" t="s">
        <v>1318</v>
      </c>
      <c r="P5" s="85" t="s">
        <v>202</v>
      </c>
      <c r="R5" s="110" t="s">
        <v>240</v>
      </c>
      <c r="S5" s="109" t="s">
        <v>241</v>
      </c>
      <c r="T5" s="108" t="s">
        <v>242</v>
      </c>
      <c r="U5" s="107" t="s">
        <v>243</v>
      </c>
      <c r="V5" s="106" t="s">
        <v>244</v>
      </c>
      <c r="W5" s="105" t="s">
        <v>245</v>
      </c>
      <c r="X5" s="104" t="s">
        <v>246</v>
      </c>
      <c r="Y5" s="103" t="s">
        <v>1319</v>
      </c>
      <c r="Z5" s="102" t="s">
        <v>247</v>
      </c>
      <c r="AB5" s="112" t="s">
        <v>249</v>
      </c>
      <c r="AC5" s="112" t="s">
        <v>250</v>
      </c>
      <c r="AD5" s="112" t="s">
        <v>251</v>
      </c>
      <c r="AE5" s="112" t="s">
        <v>252</v>
      </c>
      <c r="AF5" s="112" t="s">
        <v>438</v>
      </c>
      <c r="AG5" s="112" t="s">
        <v>253</v>
      </c>
      <c r="AH5" s="112" t="s">
        <v>254</v>
      </c>
    </row>
    <row r="6" spans="1:35" ht="16.5" hidden="1" thickBot="1" x14ac:dyDescent="0.3">
      <c r="A6" s="42" t="s">
        <v>3</v>
      </c>
      <c r="B6" s="250"/>
      <c r="C6" s="250" t="s">
        <v>58</v>
      </c>
      <c r="D6" s="91" t="s">
        <v>1320</v>
      </c>
      <c r="E6" s="92" t="s">
        <v>1321</v>
      </c>
      <c r="F6" s="7" t="s">
        <v>1322</v>
      </c>
      <c r="G6" s="3" t="s">
        <v>1323</v>
      </c>
      <c r="H6" s="33" t="s">
        <v>1324</v>
      </c>
      <c r="I6" s="68" t="s">
        <v>1325</v>
      </c>
      <c r="J6" s="34" t="s">
        <v>1326</v>
      </c>
      <c r="K6" s="69" t="s">
        <v>1327</v>
      </c>
      <c r="L6" s="69" t="s">
        <v>1328</v>
      </c>
      <c r="M6" s="66" t="s">
        <v>1329</v>
      </c>
      <c r="N6" s="72" t="s">
        <v>1330</v>
      </c>
      <c r="O6" s="67" t="s">
        <v>1331</v>
      </c>
      <c r="P6" s="70" t="s">
        <v>1332</v>
      </c>
      <c r="R6" s="93" t="s">
        <v>1333</v>
      </c>
      <c r="S6" s="94" t="s">
        <v>1334</v>
      </c>
      <c r="T6" s="95" t="s">
        <v>1335</v>
      </c>
      <c r="U6" s="96" t="s">
        <v>1336</v>
      </c>
      <c r="V6" s="97" t="s">
        <v>1337</v>
      </c>
      <c r="W6" s="98" t="s">
        <v>1338</v>
      </c>
      <c r="X6" s="99" t="s">
        <v>1339</v>
      </c>
      <c r="Y6" s="100" t="s">
        <v>1340</v>
      </c>
      <c r="Z6" s="101" t="s">
        <v>1341</v>
      </c>
      <c r="AB6" s="113"/>
      <c r="AC6" s="113"/>
      <c r="AD6" s="113"/>
      <c r="AE6" s="113"/>
      <c r="AF6" s="113"/>
      <c r="AG6" s="113"/>
      <c r="AH6" s="113"/>
    </row>
    <row r="7" spans="1:35" ht="19.5" hidden="1" thickBot="1" x14ac:dyDescent="0.35">
      <c r="A7" s="270" t="s">
        <v>33</v>
      </c>
      <c r="B7" s="1616"/>
      <c r="C7" s="1049" t="s">
        <v>217</v>
      </c>
      <c r="D7" s="1226">
        <v>17400</v>
      </c>
      <c r="E7" s="305">
        <v>4.3089700000000004</v>
      </c>
      <c r="F7" s="310">
        <f>159.6/E7</f>
        <v>37.039013963893922</v>
      </c>
      <c r="G7" s="311">
        <v>0</v>
      </c>
      <c r="H7" s="312">
        <v>0</v>
      </c>
      <c r="I7" s="313">
        <f>Tabel668917263329[[#This Row],[Fix.ch. 2015]]+Tabel668917263329[[#This Row],[Var. ch. 2015]]+Tabel668917263329[[#This Row],[Oth. ch. DW 2015]]</f>
        <v>37.039013963893922</v>
      </c>
      <c r="J7" s="314">
        <v>0</v>
      </c>
      <c r="K7" s="315">
        <v>0</v>
      </c>
      <c r="L7" s="315"/>
      <c r="M7" s="316">
        <v>0</v>
      </c>
      <c r="N7" s="1227">
        <f>Tabel668917263329[[#This Row],[Sew. 2015]]+Tabel668917263329[[#This Row],[WW 2015]]+Tabel668917263329[[#This Row],[Other ch. 2015]]</f>
        <v>0</v>
      </c>
      <c r="O7" s="317">
        <f>35.56/E7</f>
        <v>8.252552234060575</v>
      </c>
      <c r="P7" s="318">
        <f>Tabel668917263329[[#This Row],[Total. ch. DW 2015]]+Tabel668917263329[[#This Row],[Sew. 2015]]+Tabel668917263329[[#This Row],[WW 2015]]+Tabel668917263329[[#This Row],[Other ch. 2015]]+Tabel668917263329[[#This Row],[VAT 2015]]</f>
        <v>45.291566197954495</v>
      </c>
      <c r="Q7" s="397"/>
      <c r="R7" s="1228">
        <f>Tabel668917263329[[#This Row],[Fix.ch. 2015]]</f>
        <v>37.039013963893922</v>
      </c>
      <c r="S7" s="1229">
        <v>0</v>
      </c>
      <c r="T7" s="1230">
        <v>0</v>
      </c>
      <c r="U7" s="1231">
        <f>Tabel668917263329[[#This Row],[Total. ch. DW 2015]]</f>
        <v>37.039013963893922</v>
      </c>
      <c r="V7" s="1232">
        <v>0</v>
      </c>
      <c r="W7" s="1233">
        <v>0</v>
      </c>
      <c r="X7" s="1234">
        <v>0</v>
      </c>
      <c r="Y7" s="1235">
        <f>Tabel668917263329[[#This Row],[VAT 2015]]</f>
        <v>8.252552234060575</v>
      </c>
      <c r="Z7" s="1236">
        <f>Tabel668917263329[[#This Row],[total charge 2015]]</f>
        <v>45.291566197954495</v>
      </c>
      <c r="AA7" s="397"/>
      <c r="AB7" s="396" t="s">
        <v>429</v>
      </c>
      <c r="AC7" s="396" t="s">
        <v>429</v>
      </c>
      <c r="AD7" s="396"/>
      <c r="AE7" s="396"/>
      <c r="AF7" s="396" t="s">
        <v>429</v>
      </c>
      <c r="AG7" s="396"/>
      <c r="AH7" s="396"/>
      <c r="AI7" s="397"/>
    </row>
    <row r="8" spans="1:35" ht="15.6" hidden="1" customHeight="1" x14ac:dyDescent="0.25">
      <c r="A8" s="2150" t="s">
        <v>524</v>
      </c>
      <c r="B8" s="1617"/>
      <c r="C8" s="1237" t="s">
        <v>526</v>
      </c>
      <c r="D8" s="2210">
        <v>5400</v>
      </c>
      <c r="E8" s="305">
        <v>385.82</v>
      </c>
      <c r="F8" s="310">
        <f>0</f>
        <v>0</v>
      </c>
      <c r="G8" s="311">
        <f>25746/E8</f>
        <v>66.730599761546841</v>
      </c>
      <c r="H8" s="312">
        <f>0</f>
        <v>0</v>
      </c>
      <c r="I8" s="313">
        <f>Tabel668917263329[[#This Row],[Fix.ch. 2015]]+Tabel668917263329[[#This Row],[Var. ch. 2015]]+Tabel668917263329[[#This Row],[Oth. ch. DW 2015]]</f>
        <v>66.730599761546841</v>
      </c>
      <c r="J8" s="314">
        <f>3500/E8</f>
        <v>9.0715877870509569</v>
      </c>
      <c r="K8" s="315">
        <f>1940/E8</f>
        <v>5.0282515162511014</v>
      </c>
      <c r="L8" s="315"/>
      <c r="M8" s="316">
        <v>0</v>
      </c>
      <c r="N8" s="1227">
        <f>Tabel668917263329[[#This Row],[Sew. 2015]]+Tabel668917263329[[#This Row],[WW 2015]]+Tabel668917263329[[#This Row],[Other ch. 2015]]</f>
        <v>14.099839303302058</v>
      </c>
      <c r="O8" s="317">
        <f>6237/E8</f>
        <v>16.165569436524805</v>
      </c>
      <c r="P8" s="318">
        <f>Tabel668917263329[[#This Row],[Total. ch. DW 2015]]+Tabel668917263329[[#This Row],[Sew. 2015]]+Tabel668917263329[[#This Row],[WW 2015]]+Tabel668917263329[[#This Row],[Other ch. 2015]]+Tabel668917263329[[#This Row],[VAT 2015]]</f>
        <v>96.996008501373709</v>
      </c>
      <c r="Q8" s="397"/>
      <c r="R8" s="2211">
        <f t="shared" ref="R8:W8" si="0">MEDIAN(F8:F11)</f>
        <v>0</v>
      </c>
      <c r="S8" s="2212">
        <f t="shared" si="0"/>
        <v>54.191073557617543</v>
      </c>
      <c r="T8" s="2213">
        <f t="shared" si="0"/>
        <v>0</v>
      </c>
      <c r="U8" s="2214">
        <f t="shared" si="0"/>
        <v>54.191073557617543</v>
      </c>
      <c r="V8" s="2215">
        <f t="shared" si="0"/>
        <v>9.2206210149810808</v>
      </c>
      <c r="W8" s="2216">
        <f t="shared" si="0"/>
        <v>0</v>
      </c>
      <c r="X8" s="2217">
        <f>MEDIAN(M8:M11)</f>
        <v>0</v>
      </c>
      <c r="Y8" s="2218">
        <f t="shared" ref="Y8:Z8" si="1">MEDIAN(O8:O11)</f>
        <v>12.986625887719661</v>
      </c>
      <c r="Z8" s="2219">
        <f t="shared" si="1"/>
        <v>77.919755326317983</v>
      </c>
      <c r="AA8" s="397"/>
      <c r="AB8" s="398"/>
      <c r="AC8" s="396" t="s">
        <v>429</v>
      </c>
      <c r="AD8" s="398"/>
      <c r="AE8" s="398"/>
      <c r="AF8" s="398"/>
      <c r="AG8" s="398"/>
      <c r="AH8" s="398"/>
      <c r="AI8" s="397"/>
    </row>
    <row r="9" spans="1:35" ht="15.6" hidden="1" customHeight="1" x14ac:dyDescent="0.25">
      <c r="A9" s="2151"/>
      <c r="B9" s="1617"/>
      <c r="C9" s="1237" t="s">
        <v>1342</v>
      </c>
      <c r="D9" s="2157"/>
      <c r="E9" s="305">
        <v>385.82</v>
      </c>
      <c r="F9" s="310">
        <f>0</f>
        <v>0</v>
      </c>
      <c r="G9" s="311">
        <f>20320/E9</f>
        <v>52.667046809392986</v>
      </c>
      <c r="H9" s="312">
        <f>0</f>
        <v>0</v>
      </c>
      <c r="I9" s="313">
        <f>Tabel668917263329[[#This Row],[Fix.ch. 2015]]+Tabel668917263329[[#This Row],[Var. ch. 2015]]+Tabel668917263329[[#This Row],[Oth. ch. DW 2015]]</f>
        <v>52.667046809392986</v>
      </c>
      <c r="J9" s="314">
        <f>3598/E9</f>
        <v>9.3255922450883837</v>
      </c>
      <c r="K9" s="315">
        <v>0</v>
      </c>
      <c r="L9" s="315"/>
      <c r="M9" s="316">
        <v>0</v>
      </c>
      <c r="N9" s="1227">
        <f>Tabel668917263329[[#This Row],[Sew. 2015]]+Tabel668917263329[[#This Row],[WW 2015]]+Tabel668917263329[[#This Row],[Other ch. 2015]]</f>
        <v>9.3255922450883837</v>
      </c>
      <c r="O9" s="317">
        <f>4784/E9</f>
        <v>12.399564563786221</v>
      </c>
      <c r="P9" s="318">
        <f>Tabel668917263329[[#This Row],[Total. ch. DW 2015]]+Tabel668917263329[[#This Row],[Sew. 2015]]+Tabel668917263329[[#This Row],[WW 2015]]+Tabel668917263329[[#This Row],[Other ch. 2015]]+Tabel668917263329[[#This Row],[VAT 2015]]</f>
        <v>74.392203618267587</v>
      </c>
      <c r="Q9" s="397"/>
      <c r="R9" s="2158"/>
      <c r="S9" s="2159"/>
      <c r="T9" s="2160"/>
      <c r="U9" s="2141"/>
      <c r="V9" s="2142"/>
      <c r="W9" s="2143"/>
      <c r="X9" s="2144"/>
      <c r="Y9" s="2145"/>
      <c r="Z9" s="2146"/>
      <c r="AA9" s="397"/>
      <c r="AB9" s="398"/>
      <c r="AC9" s="396" t="s">
        <v>429</v>
      </c>
      <c r="AD9" s="398"/>
      <c r="AE9" s="398"/>
      <c r="AF9" s="398"/>
      <c r="AG9" s="398"/>
      <c r="AH9" s="398"/>
      <c r="AI9" s="397"/>
    </row>
    <row r="10" spans="1:35" ht="15.6" hidden="1" customHeight="1" x14ac:dyDescent="0.25">
      <c r="A10" s="2151"/>
      <c r="B10" s="1617"/>
      <c r="C10" s="1237" t="s">
        <v>1343</v>
      </c>
      <c r="D10" s="2157"/>
      <c r="E10" s="305">
        <v>385.82</v>
      </c>
      <c r="F10" s="310">
        <f>0</f>
        <v>0</v>
      </c>
      <c r="G10" s="311">
        <f>20363/E10</f>
        <v>52.778497745062467</v>
      </c>
      <c r="H10" s="312">
        <f>0</f>
        <v>0</v>
      </c>
      <c r="I10" s="313">
        <f>Tabel668917263329[[#This Row],[Fix.ch. 2015]]+Tabel668917263329[[#This Row],[Var. ch. 2015]]+Tabel668917263329[[#This Row],[Oth. ch. DW 2015]]</f>
        <v>52.778497745062467</v>
      </c>
      <c r="J10" s="314">
        <f>4772/E10</f>
        <v>12.368461977087762</v>
      </c>
      <c r="K10" s="315">
        <v>0</v>
      </c>
      <c r="L10" s="315"/>
      <c r="M10" s="316">
        <v>0</v>
      </c>
      <c r="N10" s="1227">
        <f>Tabel668917263329[[#This Row],[Sew. 2015]]+Tabel668917263329[[#This Row],[WW 2015]]+Tabel668917263329[[#This Row],[Other ch. 2015]]</f>
        <v>12.368461977087762</v>
      </c>
      <c r="O10" s="317">
        <f>5027/E10</f>
        <v>13.029391944430046</v>
      </c>
      <c r="P10" s="318">
        <f>Tabel668917263329[[#This Row],[Total. ch. DW 2015]]+Tabel668917263329[[#This Row],[Sew. 2015]]+Tabel668917263329[[#This Row],[WW 2015]]+Tabel668917263329[[#This Row],[Other ch. 2015]]+Tabel668917263329[[#This Row],[VAT 2015]]</f>
        <v>78.176351666580274</v>
      </c>
      <c r="Q10" s="397"/>
      <c r="R10" s="2158"/>
      <c r="S10" s="2159"/>
      <c r="T10" s="2160"/>
      <c r="U10" s="2141"/>
      <c r="V10" s="2142"/>
      <c r="W10" s="2143"/>
      <c r="X10" s="2144"/>
      <c r="Y10" s="2145"/>
      <c r="Z10" s="2146"/>
      <c r="AA10" s="397"/>
      <c r="AB10" s="398"/>
      <c r="AC10" s="396" t="s">
        <v>429</v>
      </c>
      <c r="AD10" s="398"/>
      <c r="AE10" s="398"/>
      <c r="AF10" s="398"/>
      <c r="AG10" s="398"/>
      <c r="AH10" s="398"/>
      <c r="AI10" s="397"/>
    </row>
    <row r="11" spans="1:35" ht="16.149999999999999" hidden="1" customHeight="1" thickBot="1" x14ac:dyDescent="0.3">
      <c r="A11" s="2152"/>
      <c r="B11" s="1617"/>
      <c r="C11" s="1237" t="s">
        <v>1344</v>
      </c>
      <c r="D11" s="2221"/>
      <c r="E11" s="305">
        <v>385.82</v>
      </c>
      <c r="F11" s="310">
        <f>0</f>
        <v>0</v>
      </c>
      <c r="G11" s="311">
        <f>21453/E11</f>
        <v>55.603649370172619</v>
      </c>
      <c r="H11" s="312">
        <f>0</f>
        <v>0</v>
      </c>
      <c r="I11" s="313">
        <f>Tabel668917263329[[#This Row],[Fix.ch. 2015]]+Tabel668917263329[[#This Row],[Var. ch. 2015]]+Tabel668917263329[[#This Row],[Oth. ch. DW 2015]]</f>
        <v>55.603649370172619</v>
      </c>
      <c r="J11" s="314">
        <f>3517/E11</f>
        <v>9.1156497848737761</v>
      </c>
      <c r="K11" s="315">
        <v>0</v>
      </c>
      <c r="L11" s="315"/>
      <c r="M11" s="316">
        <v>0</v>
      </c>
      <c r="N11" s="1227">
        <f>Tabel668917263329[[#This Row],[Sew. 2015]]+Tabel668917263329[[#This Row],[WW 2015]]+Tabel668917263329[[#This Row],[Other ch. 2015]]</f>
        <v>9.1156497848737761</v>
      </c>
      <c r="O11" s="317">
        <f>4994/E11</f>
        <v>12.943859831009279</v>
      </c>
      <c r="P11" s="318">
        <f>Tabel668917263329[[#This Row],[Total. ch. DW 2015]]+Tabel668917263329[[#This Row],[Sew. 2015]]+Tabel668917263329[[#This Row],[WW 2015]]+Tabel668917263329[[#This Row],[Other ch. 2015]]+Tabel668917263329[[#This Row],[VAT 2015]]</f>
        <v>77.663158986055677</v>
      </c>
      <c r="Q11" s="397"/>
      <c r="R11" s="2223"/>
      <c r="S11" s="2225"/>
      <c r="T11" s="2227"/>
      <c r="U11" s="2234"/>
      <c r="V11" s="2236"/>
      <c r="W11" s="2238"/>
      <c r="X11" s="2240"/>
      <c r="Y11" s="2242"/>
      <c r="Z11" s="2244"/>
      <c r="AA11" s="397"/>
      <c r="AB11" s="398"/>
      <c r="AC11" s="396" t="s">
        <v>429</v>
      </c>
      <c r="AD11" s="398"/>
      <c r="AE11" s="398"/>
      <c r="AF11" s="398"/>
      <c r="AG11" s="398"/>
      <c r="AH11" s="398"/>
      <c r="AI11" s="397"/>
    </row>
    <row r="12" spans="1:35" ht="15.75" hidden="1" x14ac:dyDescent="0.25">
      <c r="A12" s="1795" t="s">
        <v>34</v>
      </c>
      <c r="B12" s="1618"/>
      <c r="C12" s="809" t="s">
        <v>176</v>
      </c>
      <c r="D12" s="1759">
        <v>65400</v>
      </c>
      <c r="E12" s="616">
        <f>'[1]exchange rates'!$M$5</f>
        <v>1.36829</v>
      </c>
      <c r="F12" s="625"/>
      <c r="G12" s="593"/>
      <c r="H12" s="594"/>
      <c r="I12" s="313"/>
      <c r="J12" s="596"/>
      <c r="K12" s="626"/>
      <c r="L12" s="626"/>
      <c r="M12" s="597"/>
      <c r="N12" s="1238">
        <f>Tabel668917263329[[#This Row],[Sew. 2015]]+Tabel668917263329[[#This Row],[WW 2015]]+Tabel668917263329[[#This Row],[Other ch. 2015]]</f>
        <v>0</v>
      </c>
      <c r="O12" s="570"/>
      <c r="P12" s="571"/>
      <c r="Q12" s="397"/>
      <c r="R12" s="1762">
        <f t="shared" ref="R12:W12" si="2">SUM(F12:F20)/5</f>
        <v>118.54212191859912</v>
      </c>
      <c r="S12" s="1765">
        <f t="shared" si="2"/>
        <v>349.34114844075452</v>
      </c>
      <c r="T12" s="1768">
        <f t="shared" si="2"/>
        <v>0</v>
      </c>
      <c r="U12" s="1774">
        <f t="shared" si="2"/>
        <v>467.88327035935362</v>
      </c>
      <c r="V12" s="1777">
        <f t="shared" si="2"/>
        <v>0</v>
      </c>
      <c r="W12" s="1810">
        <f t="shared" si="2"/>
        <v>445.81192583443573</v>
      </c>
      <c r="X12" s="1812">
        <f>SUM(M12:M20)/5</f>
        <v>0</v>
      </c>
      <c r="Y12" s="1814">
        <f t="shared" ref="Y12:Z12" si="3">SUM(O12:O20)/5</f>
        <v>0</v>
      </c>
      <c r="Z12" s="1793">
        <f t="shared" si="3"/>
        <v>913.69519619378934</v>
      </c>
      <c r="AA12" s="397"/>
      <c r="AB12" s="398"/>
      <c r="AC12" s="398"/>
      <c r="AD12" s="398"/>
      <c r="AE12" s="396"/>
      <c r="AF12" s="396"/>
      <c r="AG12" s="396"/>
      <c r="AH12" s="398"/>
      <c r="AI12" s="397"/>
    </row>
    <row r="13" spans="1:35" ht="15.75" hidden="1" x14ac:dyDescent="0.25">
      <c r="A13" s="2301"/>
      <c r="B13" s="1618"/>
      <c r="C13" s="1289" t="s">
        <v>177</v>
      </c>
      <c r="D13" s="1880"/>
      <c r="E13" s="616">
        <f>'[1]exchange rates'!$M$5</f>
        <v>1.36829</v>
      </c>
      <c r="F13" s="625"/>
      <c r="G13" s="593"/>
      <c r="H13" s="594"/>
      <c r="I13" s="313"/>
      <c r="J13" s="596"/>
      <c r="K13" s="626"/>
      <c r="L13" s="626"/>
      <c r="M13" s="597"/>
      <c r="N13" s="1238">
        <f>Tabel668917263329[[#This Row],[Sew. 2015]]+Tabel668917263329[[#This Row],[WW 2015]]+Tabel668917263329[[#This Row],[Other ch. 2015]]</f>
        <v>0</v>
      </c>
      <c r="O13" s="570"/>
      <c r="P13" s="571"/>
      <c r="Q13" s="397"/>
      <c r="R13" s="1886"/>
      <c r="S13" s="1888"/>
      <c r="T13" s="1890"/>
      <c r="U13" s="1892"/>
      <c r="V13" s="1894"/>
      <c r="W13" s="1911"/>
      <c r="X13" s="1913"/>
      <c r="Y13" s="1915"/>
      <c r="Z13" s="1832"/>
      <c r="AA13" s="397"/>
      <c r="AB13" s="398"/>
      <c r="AC13" s="398"/>
      <c r="AD13" s="398"/>
      <c r="AE13" s="396"/>
      <c r="AF13" s="396"/>
      <c r="AG13" s="396"/>
      <c r="AH13" s="398"/>
      <c r="AI13" s="397"/>
    </row>
    <row r="14" spans="1:35" ht="15.75" hidden="1" x14ac:dyDescent="0.25">
      <c r="A14" s="2301"/>
      <c r="B14" s="1618"/>
      <c r="C14" s="727" t="s">
        <v>178</v>
      </c>
      <c r="D14" s="1880"/>
      <c r="E14" s="616">
        <f>'[1]exchange rates'!$M$5</f>
        <v>1.36829</v>
      </c>
      <c r="F14" s="625">
        <f>156/E14</f>
        <v>114.01091873798683</v>
      </c>
      <c r="G14" s="593">
        <f>435/E14</f>
        <v>317.91506186554022</v>
      </c>
      <c r="H14" s="594">
        <v>0</v>
      </c>
      <c r="I14" s="566">
        <f>Tabel668917263329[[#This Row],[Fix.ch. 2015]]+Tabel668917263329[[#This Row],[Var. ch. 2015]]+Tabel668917263329[[#This Row],[Oth. ch. DW 2015]]</f>
        <v>431.92598060352702</v>
      </c>
      <c r="J14" s="596">
        <v>0</v>
      </c>
      <c r="K14" s="626">
        <f>603/E14</f>
        <v>440.69605127567985</v>
      </c>
      <c r="L14" s="626"/>
      <c r="M14" s="597">
        <v>0</v>
      </c>
      <c r="N14" s="1238">
        <f>Tabel668917263329[[#This Row],[Sew. 2015]]+Tabel668917263329[[#This Row],[WW 2015]]+Tabel668917263329[[#This Row],[Other ch. 2015]]</f>
        <v>440.69605127567985</v>
      </c>
      <c r="O14" s="570">
        <v>0</v>
      </c>
      <c r="P14" s="571">
        <f>Tabel668917263329[[#This Row],[Total. ch. DW 2015]]+Tabel668917263329[[#This Row],[Sew. 2015]]+Tabel668917263329[[#This Row],[WW 2015]]+Tabel668917263329[[#This Row],[Other ch. 2015]]+Tabel668917263329[[#This Row],[VAT 2015]]</f>
        <v>872.62203187920682</v>
      </c>
      <c r="Q14" s="397"/>
      <c r="R14" s="1886"/>
      <c r="S14" s="1888"/>
      <c r="T14" s="1890"/>
      <c r="U14" s="1892"/>
      <c r="V14" s="1894"/>
      <c r="W14" s="1911"/>
      <c r="X14" s="1913"/>
      <c r="Y14" s="1915"/>
      <c r="Z14" s="1832"/>
      <c r="AA14" s="397"/>
      <c r="AB14" s="398"/>
      <c r="AC14" s="398"/>
      <c r="AD14" s="398"/>
      <c r="AE14" s="591" t="s">
        <v>429</v>
      </c>
      <c r="AF14" s="591" t="s">
        <v>429</v>
      </c>
      <c r="AG14" s="591" t="s">
        <v>429</v>
      </c>
      <c r="AH14" s="398"/>
      <c r="AI14" s="397"/>
    </row>
    <row r="15" spans="1:35" ht="15.75" hidden="1" x14ac:dyDescent="0.25">
      <c r="A15" s="2301"/>
      <c r="B15" s="1618"/>
      <c r="C15" s="727" t="s">
        <v>179</v>
      </c>
      <c r="D15" s="1880"/>
      <c r="E15" s="616">
        <f>'[1]exchange rates'!$M$5</f>
        <v>1.36829</v>
      </c>
      <c r="F15" s="625">
        <f>216/E15</f>
        <v>157.86127209875099</v>
      </c>
      <c r="G15" s="593">
        <f>315/E15</f>
        <v>230.21435514401188</v>
      </c>
      <c r="H15" s="594">
        <v>0</v>
      </c>
      <c r="I15" s="566">
        <f>Tabel668917263329[[#This Row],[Fix.ch. 2015]]+Tabel668917263329[[#This Row],[Var. ch. 2015]]+Tabel668917263329[[#This Row],[Oth. ch. DW 2015]]</f>
        <v>388.07562724276283</v>
      </c>
      <c r="J15" s="596">
        <v>0</v>
      </c>
      <c r="K15" s="626">
        <f>720/E15</f>
        <v>526.20424032917003</v>
      </c>
      <c r="L15" s="626"/>
      <c r="M15" s="597">
        <v>0</v>
      </c>
      <c r="N15" s="1238">
        <f>Tabel668917263329[[#This Row],[Sew. 2015]]+Tabel668917263329[[#This Row],[WW 2015]]+Tabel668917263329[[#This Row],[Other ch. 2015]]</f>
        <v>526.20424032917003</v>
      </c>
      <c r="O15" s="570">
        <v>0</v>
      </c>
      <c r="P15" s="571">
        <f>Tabel668917263329[[#This Row],[Total. ch. DW 2015]]+Tabel668917263329[[#This Row],[Sew. 2015]]+Tabel668917263329[[#This Row],[WW 2015]]+Tabel668917263329[[#This Row],[Other ch. 2015]]+Tabel668917263329[[#This Row],[VAT 2015]]</f>
        <v>914.27986757193287</v>
      </c>
      <c r="Q15" s="397"/>
      <c r="R15" s="1886"/>
      <c r="S15" s="1888"/>
      <c r="T15" s="1890"/>
      <c r="U15" s="1892"/>
      <c r="V15" s="1894"/>
      <c r="W15" s="1911"/>
      <c r="X15" s="1913"/>
      <c r="Y15" s="1915"/>
      <c r="Z15" s="1832"/>
      <c r="AA15" s="397"/>
      <c r="AB15" s="398"/>
      <c r="AC15" s="398"/>
      <c r="AD15" s="398"/>
      <c r="AE15" s="591" t="s">
        <v>429</v>
      </c>
      <c r="AF15" s="591" t="s">
        <v>429</v>
      </c>
      <c r="AG15" s="591" t="s">
        <v>429</v>
      </c>
      <c r="AH15" s="398"/>
      <c r="AI15" s="397"/>
    </row>
    <row r="16" spans="1:35" ht="15.75" hidden="1" x14ac:dyDescent="0.25">
      <c r="A16" s="2301"/>
      <c r="B16" s="1618"/>
      <c r="C16" s="727" t="s">
        <v>180</v>
      </c>
      <c r="D16" s="1880"/>
      <c r="E16" s="616">
        <f>'[1]exchange rates'!$M$5</f>
        <v>1.36829</v>
      </c>
      <c r="F16" s="625">
        <f>114/E16</f>
        <v>83.315671385451921</v>
      </c>
      <c r="G16" s="593">
        <f>446/E16</f>
        <v>325.95429331501362</v>
      </c>
      <c r="H16" s="594">
        <v>0</v>
      </c>
      <c r="I16" s="566">
        <f>Tabel668917263329[[#This Row],[Fix.ch. 2015]]+Tabel668917263329[[#This Row],[Var. ch. 2015]]+Tabel668917263329[[#This Row],[Oth. ch. DW 2015]]</f>
        <v>409.26996470046555</v>
      </c>
      <c r="J16" s="596">
        <v>0</v>
      </c>
      <c r="K16" s="626">
        <f>592/E16</f>
        <v>432.65681982620646</v>
      </c>
      <c r="L16" s="626"/>
      <c r="M16" s="597">
        <v>0</v>
      </c>
      <c r="N16" s="1238">
        <f>Tabel668917263329[[#This Row],[Sew. 2015]]+Tabel668917263329[[#This Row],[WW 2015]]+Tabel668917263329[[#This Row],[Other ch. 2015]]</f>
        <v>432.65681982620646</v>
      </c>
      <c r="O16" s="570">
        <v>0</v>
      </c>
      <c r="P16" s="571">
        <f>Tabel668917263329[[#This Row],[Total. ch. DW 2015]]+Tabel668917263329[[#This Row],[Sew. 2015]]+Tabel668917263329[[#This Row],[WW 2015]]+Tabel668917263329[[#This Row],[Other ch. 2015]]+Tabel668917263329[[#This Row],[VAT 2015]]</f>
        <v>841.92678452667201</v>
      </c>
      <c r="Q16" s="397"/>
      <c r="R16" s="1886"/>
      <c r="S16" s="1888"/>
      <c r="T16" s="1890"/>
      <c r="U16" s="1892"/>
      <c r="V16" s="1894"/>
      <c r="W16" s="1911"/>
      <c r="X16" s="1913"/>
      <c r="Y16" s="1915"/>
      <c r="Z16" s="1832"/>
      <c r="AA16" s="397"/>
      <c r="AB16" s="398"/>
      <c r="AC16" s="396"/>
      <c r="AD16" s="396"/>
      <c r="AE16" s="591" t="s">
        <v>429</v>
      </c>
      <c r="AF16" s="591" t="s">
        <v>429</v>
      </c>
      <c r="AG16" s="591" t="s">
        <v>429</v>
      </c>
      <c r="AH16" s="398"/>
      <c r="AI16" s="397"/>
    </row>
    <row r="17" spans="1:35" ht="15.75" hidden="1" x14ac:dyDescent="0.25">
      <c r="A17" s="2301"/>
      <c r="B17" s="1618"/>
      <c r="C17" s="727" t="s">
        <v>544</v>
      </c>
      <c r="D17" s="1880"/>
      <c r="E17" s="616">
        <f>'[1]exchange rates'!$M$5</f>
        <v>1.36829</v>
      </c>
      <c r="F17" s="625">
        <f>103/E17</f>
        <v>75.276439935978487</v>
      </c>
      <c r="G17" s="593">
        <f>528/E17</f>
        <v>385.88310957472464</v>
      </c>
      <c r="H17" s="594">
        <v>0</v>
      </c>
      <c r="I17" s="566">
        <f>Tabel668917263329[[#This Row],[Fix.ch. 2015]]+Tabel668917263329[[#This Row],[Var. ch. 2015]]+Tabel668917263329[[#This Row],[Oth. ch. DW 2015]]</f>
        <v>461.15954951070313</v>
      </c>
      <c r="J17" s="596">
        <v>0</v>
      </c>
      <c r="K17" s="626">
        <f>505/E17</f>
        <v>369.07380745309837</v>
      </c>
      <c r="L17" s="626"/>
      <c r="M17" s="597">
        <v>0</v>
      </c>
      <c r="N17" s="1238">
        <f>Tabel668917263329[[#This Row],[Sew. 2015]]+Tabel668917263329[[#This Row],[WW 2015]]+Tabel668917263329[[#This Row],[Other ch. 2015]]</f>
        <v>369.07380745309837</v>
      </c>
      <c r="O17" s="570">
        <v>0</v>
      </c>
      <c r="P17" s="571">
        <f>Tabel668917263329[[#This Row],[Total. ch. DW 2015]]+Tabel668917263329[[#This Row],[Sew. 2015]]+Tabel668917263329[[#This Row],[WW 2015]]+Tabel668917263329[[#This Row],[Other ch. 2015]]+Tabel668917263329[[#This Row],[VAT 2015]]</f>
        <v>830.2333569638015</v>
      </c>
      <c r="Q17" s="397"/>
      <c r="R17" s="1886"/>
      <c r="S17" s="1888"/>
      <c r="T17" s="1890"/>
      <c r="U17" s="1892"/>
      <c r="V17" s="1894"/>
      <c r="W17" s="1911"/>
      <c r="X17" s="1913"/>
      <c r="Y17" s="1915"/>
      <c r="Z17" s="1832"/>
      <c r="AA17" s="397"/>
      <c r="AB17" s="396"/>
      <c r="AC17" s="396"/>
      <c r="AD17" s="396"/>
      <c r="AE17" s="591" t="s">
        <v>429</v>
      </c>
      <c r="AF17" s="591" t="s">
        <v>429</v>
      </c>
      <c r="AG17" s="591" t="s">
        <v>429</v>
      </c>
      <c r="AH17" s="396"/>
      <c r="AI17" s="399"/>
    </row>
    <row r="18" spans="1:35" ht="15.75" hidden="1" x14ac:dyDescent="0.25">
      <c r="A18" s="2301"/>
      <c r="B18" s="1618"/>
      <c r="C18" s="1289" t="s">
        <v>545</v>
      </c>
      <c r="D18" s="1880"/>
      <c r="E18" s="616">
        <f>'[1]exchange rates'!$M$5</f>
        <v>1.36829</v>
      </c>
      <c r="F18" s="625"/>
      <c r="G18" s="593"/>
      <c r="H18" s="594"/>
      <c r="I18" s="566"/>
      <c r="J18" s="596"/>
      <c r="K18" s="626"/>
      <c r="L18" s="626"/>
      <c r="M18" s="597"/>
      <c r="N18" s="1238">
        <f>Tabel668917263329[[#This Row],[Sew. 2015]]+Tabel668917263329[[#This Row],[WW 2015]]+Tabel668917263329[[#This Row],[Other ch. 2015]]</f>
        <v>0</v>
      </c>
      <c r="O18" s="570"/>
      <c r="P18" s="571"/>
      <c r="Q18" s="397"/>
      <c r="R18" s="1886"/>
      <c r="S18" s="1888"/>
      <c r="T18" s="1890"/>
      <c r="U18" s="1892"/>
      <c r="V18" s="1894"/>
      <c r="W18" s="1911"/>
      <c r="X18" s="1913"/>
      <c r="Y18" s="1915"/>
      <c r="Z18" s="1832"/>
      <c r="AA18" s="397"/>
      <c r="AB18" s="396"/>
      <c r="AC18" s="396"/>
      <c r="AD18" s="396"/>
      <c r="AE18" s="591"/>
      <c r="AF18" s="591"/>
      <c r="AG18" s="591"/>
      <c r="AH18" s="396"/>
      <c r="AI18" s="399"/>
    </row>
    <row r="19" spans="1:35" ht="15.75" hidden="1" x14ac:dyDescent="0.25">
      <c r="A19" s="2301"/>
      <c r="B19" s="1618"/>
      <c r="C19" s="727" t="s">
        <v>779</v>
      </c>
      <c r="D19" s="1880"/>
      <c r="E19" s="616">
        <f>'[1]exchange rates'!$M$5</f>
        <v>1.36829</v>
      </c>
      <c r="F19" s="625">
        <f>222/E19</f>
        <v>162.2463074348274</v>
      </c>
      <c r="G19" s="593">
        <f>666/E19</f>
        <v>486.73892230448223</v>
      </c>
      <c r="H19" s="594">
        <v>0</v>
      </c>
      <c r="I19" s="566">
        <f>Tabel668917263329[[#This Row],[Fix.ch. 2015]]+Tabel668917263329[[#This Row],[Var. ch. 2015]]+Tabel668917263329[[#This Row],[Oth. ch. DW 2015]]</f>
        <v>648.9852297393096</v>
      </c>
      <c r="J19" s="596">
        <v>0</v>
      </c>
      <c r="K19" s="626">
        <f>630/E19</f>
        <v>460.42871028802375</v>
      </c>
      <c r="L19" s="626"/>
      <c r="M19" s="597">
        <v>0</v>
      </c>
      <c r="N19" s="1238">
        <f>Tabel668917263329[[#This Row],[Sew. 2015]]+Tabel668917263329[[#This Row],[WW 2015]]+Tabel668917263329[[#This Row],[Other ch. 2015]]</f>
        <v>460.42871028802375</v>
      </c>
      <c r="O19" s="570">
        <v>0</v>
      </c>
      <c r="P19" s="571">
        <f>Tabel668917263329[[#This Row],[Total. ch. DW 2015]]+Tabel668917263329[[#This Row],[Sew. 2015]]+Tabel668917263329[[#This Row],[WW 2015]]+Tabel668917263329[[#This Row],[Other ch. 2015]]+Tabel668917263329[[#This Row],[VAT 2015]]</f>
        <v>1109.4139400273334</v>
      </c>
      <c r="Q19" s="397"/>
      <c r="R19" s="1886"/>
      <c r="S19" s="1888"/>
      <c r="T19" s="1890"/>
      <c r="U19" s="1892"/>
      <c r="V19" s="1894"/>
      <c r="W19" s="1911"/>
      <c r="X19" s="1913"/>
      <c r="Y19" s="1915"/>
      <c r="Z19" s="1832"/>
      <c r="AA19" s="397"/>
      <c r="AB19" s="396"/>
      <c r="AC19" s="396"/>
      <c r="AD19" s="396"/>
      <c r="AE19" s="591" t="s">
        <v>429</v>
      </c>
      <c r="AF19" s="591" t="s">
        <v>429</v>
      </c>
      <c r="AG19" s="591" t="s">
        <v>429</v>
      </c>
      <c r="AH19" s="396"/>
      <c r="AI19" s="399"/>
    </row>
    <row r="20" spans="1:35" ht="16.5" hidden="1" thickBot="1" x14ac:dyDescent="0.3">
      <c r="A20" s="2302"/>
      <c r="B20" s="1618"/>
      <c r="C20" s="800" t="s">
        <v>546</v>
      </c>
      <c r="D20" s="1761"/>
      <c r="E20" s="616">
        <f>'[1]exchange rates'!$M$5</f>
        <v>1.36829</v>
      </c>
      <c r="F20" s="625"/>
      <c r="G20" s="593"/>
      <c r="H20" s="594"/>
      <c r="I20" s="313"/>
      <c r="J20" s="596"/>
      <c r="K20" s="626"/>
      <c r="L20" s="626"/>
      <c r="M20" s="597"/>
      <c r="N20" s="1238">
        <f>Tabel668917263329[[#This Row],[Sew. 2015]]+Tabel668917263329[[#This Row],[WW 2015]]+Tabel668917263329[[#This Row],[Other ch. 2015]]</f>
        <v>0</v>
      </c>
      <c r="O20" s="570"/>
      <c r="P20" s="571"/>
      <c r="Q20" s="397"/>
      <c r="R20" s="1764"/>
      <c r="S20" s="1767"/>
      <c r="T20" s="1770"/>
      <c r="U20" s="1776"/>
      <c r="V20" s="1779"/>
      <c r="W20" s="1811"/>
      <c r="X20" s="1813"/>
      <c r="Y20" s="1815"/>
      <c r="Z20" s="1794"/>
      <c r="AA20" s="397"/>
      <c r="AB20" s="396"/>
      <c r="AC20" s="396"/>
      <c r="AD20" s="396"/>
      <c r="AE20" s="396"/>
      <c r="AF20" s="396"/>
      <c r="AG20" s="396"/>
      <c r="AH20" s="396"/>
      <c r="AI20" s="399"/>
    </row>
    <row r="21" spans="1:35" ht="15.75" hidden="1" customHeight="1" x14ac:dyDescent="0.25">
      <c r="A21" s="2082" t="s">
        <v>4</v>
      </c>
      <c r="B21" s="1619"/>
      <c r="C21" s="498" t="s">
        <v>59</v>
      </c>
      <c r="D21" s="2157">
        <v>42600</v>
      </c>
      <c r="E21" s="306">
        <f>'[1]exchange rates'!K6</f>
        <v>0.72762000000000004</v>
      </c>
      <c r="F21" s="310">
        <f>61.2/E21</f>
        <v>84.109837552568649</v>
      </c>
      <c r="G21" s="311">
        <f>325.6/E21</f>
        <v>447.48632527967897</v>
      </c>
      <c r="H21" s="312">
        <v>0</v>
      </c>
      <c r="I21" s="313">
        <f>Tabel668917263329[[#This Row],[Fix.ch. 2015]]+Tabel668917263329[[#This Row],[Var. ch. 2015]]+Tabel668917263329[[#This Row],[Oth. ch. DW 2015]]</f>
        <v>531.59616283224761</v>
      </c>
      <c r="J21" s="314">
        <v>0</v>
      </c>
      <c r="K21" s="315">
        <f>220/E21</f>
        <v>302.35562518897223</v>
      </c>
      <c r="L21" s="315"/>
      <c r="M21" s="316">
        <v>0</v>
      </c>
      <c r="N21" s="1227">
        <f>Tabel668917263329[[#This Row],[Sew. 2015]]+Tabel668917263329[[#This Row],[WW 2015]]+Tabel668917263329[[#This Row],[Other ch. 2015]]</f>
        <v>302.35562518897223</v>
      </c>
      <c r="O21" s="317">
        <f>60.68/E21</f>
        <v>83.395178802121976</v>
      </c>
      <c r="P21" s="318">
        <f>Tabel668917263329[[#This Row],[Total. ch. DW 2015]]+Tabel668917263329[[#This Row],[Sew. 2015]]+Tabel668917263329[[#This Row],[WW 2015]]+Tabel668917263329[[#This Row],[Other ch. 2015]]+Tabel668917263329[[#This Row],[VAT 2015]]</f>
        <v>917.34696682334186</v>
      </c>
      <c r="Q21" s="397"/>
      <c r="R21" s="2211">
        <f t="shared" ref="R21:W21" si="4">SUM(F21:F25)/5</f>
        <v>51.243781094527364</v>
      </c>
      <c r="S21" s="2212">
        <f t="shared" si="4"/>
        <v>373.32673648332923</v>
      </c>
      <c r="T21" s="2213">
        <f t="shared" si="4"/>
        <v>0</v>
      </c>
      <c r="U21" s="2214">
        <f t="shared" si="4"/>
        <v>424.57051757785655</v>
      </c>
      <c r="V21" s="2215">
        <f t="shared" si="4"/>
        <v>0</v>
      </c>
      <c r="W21" s="2216">
        <f t="shared" si="4"/>
        <v>452.22506253264066</v>
      </c>
      <c r="X21" s="2217">
        <f>SUM(M21:M25)/5</f>
        <v>0</v>
      </c>
      <c r="Y21" s="2218">
        <f t="shared" ref="Y21" si="5">SUM(O21:O25)/5</f>
        <v>87.677633929798517</v>
      </c>
      <c r="Z21" s="2219">
        <f>SUM(P21:P25)/5</f>
        <v>964.47321404029572</v>
      </c>
      <c r="AA21" s="397"/>
      <c r="AB21" s="398"/>
      <c r="AC21" s="396" t="s">
        <v>429</v>
      </c>
      <c r="AD21" s="398"/>
      <c r="AE21" s="398"/>
      <c r="AF21" s="396" t="s">
        <v>429</v>
      </c>
      <c r="AG21" s="396"/>
      <c r="AH21" s="398"/>
      <c r="AI21" s="397"/>
    </row>
    <row r="22" spans="1:35" ht="15.75" hidden="1" customHeight="1" x14ac:dyDescent="0.25">
      <c r="A22" s="2299"/>
      <c r="B22" s="1619"/>
      <c r="C22" s="498" t="s">
        <v>60</v>
      </c>
      <c r="D22" s="2157"/>
      <c r="E22" s="306">
        <f>'[1]exchange rates'!K6</f>
        <v>0.72762000000000004</v>
      </c>
      <c r="F22" s="310">
        <f>17.52/E22</f>
        <v>24.078502515049063</v>
      </c>
      <c r="G22" s="311">
        <f>262/E22</f>
        <v>360.07806272504877</v>
      </c>
      <c r="H22" s="312">
        <v>0</v>
      </c>
      <c r="I22" s="313">
        <f>Tabel668917263329[[#This Row],[Fix.ch. 2015]]+Tabel668917263329[[#This Row],[Var. ch. 2015]]+Tabel668917263329[[#This Row],[Oth. ch. DW 2015]]</f>
        <v>384.15656524009785</v>
      </c>
      <c r="J22" s="314">
        <v>0</v>
      </c>
      <c r="K22" s="315">
        <f>382.6/E22</f>
        <v>525.82391907863996</v>
      </c>
      <c r="L22" s="315"/>
      <c r="M22" s="316">
        <v>0</v>
      </c>
      <c r="N22" s="1227">
        <f>Tabel668917263329[[#This Row],[Sew. 2015]]+Tabel668917263329[[#This Row],[WW 2015]]+Tabel668917263329[[#This Row],[Other ch. 2015]]</f>
        <v>525.82391907863996</v>
      </c>
      <c r="O22" s="317">
        <f>66.21/E22</f>
        <v>90.995299744372048</v>
      </c>
      <c r="P22" s="318">
        <f>Tabel668917263329[[#This Row],[Total. ch. DW 2015]]+Tabel668917263329[[#This Row],[Sew. 2015]]+Tabel668917263329[[#This Row],[WW 2015]]+Tabel668917263329[[#This Row],[Other ch. 2015]]+Tabel668917263329[[#This Row],[VAT 2015]]</f>
        <v>1000.9757840631098</v>
      </c>
      <c r="Q22" s="397"/>
      <c r="R22" s="2158"/>
      <c r="S22" s="2159"/>
      <c r="T22" s="2160"/>
      <c r="U22" s="2141"/>
      <c r="V22" s="2142"/>
      <c r="W22" s="2143"/>
      <c r="X22" s="2144"/>
      <c r="Y22" s="2145"/>
      <c r="Z22" s="2146"/>
      <c r="AA22" s="397"/>
      <c r="AB22" s="398"/>
      <c r="AC22" s="396" t="s">
        <v>429</v>
      </c>
      <c r="AD22" s="398"/>
      <c r="AE22" s="398"/>
      <c r="AF22" s="396" t="s">
        <v>429</v>
      </c>
      <c r="AG22" s="396"/>
      <c r="AH22" s="398"/>
      <c r="AI22" s="397"/>
    </row>
    <row r="23" spans="1:35" ht="15.75" hidden="1" customHeight="1" x14ac:dyDescent="0.25">
      <c r="A23" s="2299"/>
      <c r="B23" s="1619"/>
      <c r="C23" s="498" t="s">
        <v>61</v>
      </c>
      <c r="D23" s="2157"/>
      <c r="E23" s="306">
        <f>'[1]exchange rates'!K6</f>
        <v>0.72762000000000004</v>
      </c>
      <c r="F23" s="310">
        <f>62.59/E23</f>
        <v>86.020175366262606</v>
      </c>
      <c r="G23" s="311">
        <f>165.58/E23</f>
        <v>227.5638382672274</v>
      </c>
      <c r="H23" s="312">
        <v>0</v>
      </c>
      <c r="I23" s="313">
        <f>Tabel668917263329[[#This Row],[Fix.ch. 2015]]+Tabel668917263329[[#This Row],[Var. ch. 2015]]+Tabel668917263329[[#This Row],[Oth. ch. DW 2015]]</f>
        <v>313.58401363349003</v>
      </c>
      <c r="J23" s="314">
        <f>0</f>
        <v>0</v>
      </c>
      <c r="K23" s="315">
        <f>192.04/E23</f>
        <v>263.92897391495558</v>
      </c>
      <c r="L23" s="315"/>
      <c r="M23" s="316">
        <v>0</v>
      </c>
      <c r="N23" s="1227">
        <f>Tabel668917263329[[#This Row],[Sew. 2015]]+Tabel668917263329[[#This Row],[WW 2015]]+Tabel668917263329[[#This Row],[Other ch. 2015]]</f>
        <v>263.92897391495558</v>
      </c>
      <c r="O23" s="317">
        <f>42.02/E23</f>
        <v>57.749924411093701</v>
      </c>
      <c r="P23" s="318">
        <f>Tabel668917263329[[#This Row],[Total. ch. DW 2015]]+Tabel668917263329[[#This Row],[Sew. 2015]]+Tabel668917263329[[#This Row],[WW 2015]]+Tabel668917263329[[#This Row],[Other ch. 2015]]+Tabel668917263329[[#This Row],[VAT 2015]]</f>
        <v>635.26291195953934</v>
      </c>
      <c r="Q23" s="397"/>
      <c r="R23" s="2158"/>
      <c r="S23" s="2159"/>
      <c r="T23" s="2160"/>
      <c r="U23" s="2141"/>
      <c r="V23" s="2142"/>
      <c r="W23" s="2143"/>
      <c r="X23" s="2144"/>
      <c r="Y23" s="2145"/>
      <c r="Z23" s="2146"/>
      <c r="AA23" s="397"/>
      <c r="AB23" s="398"/>
      <c r="AC23" s="396" t="s">
        <v>429</v>
      </c>
      <c r="AD23" s="398"/>
      <c r="AE23" s="398"/>
      <c r="AF23" s="396" t="s">
        <v>429</v>
      </c>
      <c r="AG23" s="396"/>
      <c r="AH23" s="398"/>
      <c r="AI23" s="397"/>
    </row>
    <row r="24" spans="1:35" ht="16.5" hidden="1" customHeight="1" x14ac:dyDescent="0.25">
      <c r="A24" s="2299"/>
      <c r="B24" s="1619"/>
      <c r="C24" s="498" t="s">
        <v>62</v>
      </c>
      <c r="D24" s="2157"/>
      <c r="E24" s="306">
        <f>'[1]exchange rates'!K6</f>
        <v>0.72762000000000004</v>
      </c>
      <c r="F24" s="310">
        <f>23.4/E24</f>
        <v>32.159643770099777</v>
      </c>
      <c r="G24" s="311">
        <f>293.62/E24</f>
        <v>403.53481212720925</v>
      </c>
      <c r="H24" s="312">
        <v>0</v>
      </c>
      <c r="I24" s="313">
        <f>Tabel668917263329[[#This Row],[Fix.ch. 2015]]+Tabel668917263329[[#This Row],[Var. ch. 2015]]+Tabel668917263329[[#This Row],[Oth. ch. DW 2015]]</f>
        <v>435.69445589730901</v>
      </c>
      <c r="J24" s="314">
        <v>0</v>
      </c>
      <c r="K24" s="315">
        <f>496/E24</f>
        <v>681.67450042604651</v>
      </c>
      <c r="L24" s="315"/>
      <c r="M24" s="316">
        <v>0</v>
      </c>
      <c r="N24" s="1227">
        <f>Tabel668917263329[[#This Row],[Sew. 2015]]+Tabel668917263329[[#This Row],[WW 2015]]+Tabel668917263329[[#This Row],[Other ch. 2015]]</f>
        <v>681.67450042604651</v>
      </c>
      <c r="O24" s="317">
        <f>81.3/E24</f>
        <v>111.73414694483382</v>
      </c>
      <c r="P24" s="318">
        <f>Tabel668917263329[[#This Row],[Total. ch. DW 2015]]+Tabel668917263329[[#This Row],[Sew. 2015]]+Tabel668917263329[[#This Row],[WW 2015]]+Tabel668917263329[[#This Row],[Other ch. 2015]]+Tabel668917263329[[#This Row],[VAT 2015]]</f>
        <v>1229.1031032681894</v>
      </c>
      <c r="Q24" s="397"/>
      <c r="R24" s="2158"/>
      <c r="S24" s="2159"/>
      <c r="T24" s="2160"/>
      <c r="U24" s="2141"/>
      <c r="V24" s="2142"/>
      <c r="W24" s="2143"/>
      <c r="X24" s="2144"/>
      <c r="Y24" s="2145"/>
      <c r="Z24" s="2146"/>
      <c r="AA24" s="397"/>
      <c r="AB24" s="398"/>
      <c r="AC24" s="396" t="s">
        <v>429</v>
      </c>
      <c r="AD24" s="398"/>
      <c r="AE24" s="398"/>
      <c r="AF24" s="396" t="s">
        <v>429</v>
      </c>
      <c r="AG24" s="396"/>
      <c r="AH24" s="398"/>
      <c r="AI24" s="397"/>
    </row>
    <row r="25" spans="1:35" ht="16.5" hidden="1" customHeight="1" thickBot="1" x14ac:dyDescent="0.3">
      <c r="A25" s="2300"/>
      <c r="B25" s="1619"/>
      <c r="C25" s="801" t="s">
        <v>63</v>
      </c>
      <c r="D25" s="2221"/>
      <c r="E25" s="306">
        <f>'[1]exchange rates'!K6</f>
        <v>0.72762000000000004</v>
      </c>
      <c r="F25" s="310">
        <f>21.72/E25</f>
        <v>29.850746268656714</v>
      </c>
      <c r="G25" s="311">
        <f>311.4/E25</f>
        <v>427.97064401748162</v>
      </c>
      <c r="H25" s="312">
        <v>0</v>
      </c>
      <c r="I25" s="313">
        <f>Tabel668917263329[[#This Row],[Fix.ch. 2015]]+Tabel668917263329[[#This Row],[Var. ch. 2015]]+Tabel668917263329[[#This Row],[Oth. ch. DW 2015]]</f>
        <v>457.82139028613835</v>
      </c>
      <c r="J25" s="314">
        <v>0</v>
      </c>
      <c r="K25" s="315">
        <f>354.6/E25</f>
        <v>487.34229405458893</v>
      </c>
      <c r="L25" s="315"/>
      <c r="M25" s="316">
        <v>0</v>
      </c>
      <c r="N25" s="1227">
        <f>Tabel668917263329[[#This Row],[Sew. 2015]]+Tabel668917263329[[#This Row],[WW 2015]]+Tabel668917263329[[#This Row],[Other ch. 2015]]</f>
        <v>487.34229405458893</v>
      </c>
      <c r="O25" s="317">
        <f>68.77/E25</f>
        <v>94.513619746570996</v>
      </c>
      <c r="P25" s="318">
        <f>Tabel668917263329[[#This Row],[Total. ch. DW 2015]]+Tabel668917263329[[#This Row],[Sew. 2015]]+Tabel668917263329[[#This Row],[WW 2015]]+Tabel668917263329[[#This Row],[Other ch. 2015]]+Tabel668917263329[[#This Row],[VAT 2015]]</f>
        <v>1039.6773040872984</v>
      </c>
      <c r="Q25" s="397"/>
      <c r="R25" s="2223"/>
      <c r="S25" s="2225"/>
      <c r="T25" s="2227"/>
      <c r="U25" s="2234"/>
      <c r="V25" s="2236"/>
      <c r="W25" s="2238"/>
      <c r="X25" s="2240"/>
      <c r="Y25" s="2242"/>
      <c r="Z25" s="2244"/>
      <c r="AA25" s="397"/>
      <c r="AB25" s="398"/>
      <c r="AC25" s="396" t="s">
        <v>429</v>
      </c>
      <c r="AD25" s="398"/>
      <c r="AE25" s="398"/>
      <c r="AF25" s="396" t="s">
        <v>429</v>
      </c>
      <c r="AG25" s="396"/>
      <c r="AH25" s="398"/>
      <c r="AI25" s="397"/>
    </row>
    <row r="26" spans="1:35" ht="15.75" hidden="1" customHeight="1" x14ac:dyDescent="0.25">
      <c r="A26" s="1818" t="s">
        <v>6</v>
      </c>
      <c r="B26" s="1213"/>
      <c r="C26" s="735" t="s">
        <v>67</v>
      </c>
      <c r="D26" s="2209">
        <v>44100</v>
      </c>
      <c r="E26" s="616">
        <f>'[1]exchange rates'!$M$7</f>
        <v>0.92093999999999998</v>
      </c>
      <c r="F26" s="625">
        <f>53.19/E26</f>
        <v>57.75620561600104</v>
      </c>
      <c r="G26" s="593">
        <f>255/E26</f>
        <v>276.8910026711838</v>
      </c>
      <c r="H26" s="594">
        <v>0</v>
      </c>
      <c r="I26" s="566">
        <f>Tabel668917263329[[#This Row],[Fix.ch. 2015]]+Tabel668917263329[[#This Row],[Var. ch. 2015]]+Tabel668917263329[[#This Row],[Oth. ch. DW 2015]]</f>
        <v>334.64720828718487</v>
      </c>
      <c r="J26" s="596">
        <f>338.46/E26</f>
        <v>367.51579907485831</v>
      </c>
      <c r="K26" s="626">
        <f>241.76/E26</f>
        <v>262.51438747366819</v>
      </c>
      <c r="L26" s="626"/>
      <c r="M26" s="597">
        <v>0</v>
      </c>
      <c r="N26" s="1238">
        <f>Tabel668917263329[[#This Row],[Sew. 2015]]+Tabel668917263329[[#This Row],[WW 2015]]+Tabel668917263329[[#This Row],[Other ch. 2015]]</f>
        <v>630.03018654852644</v>
      </c>
      <c r="O26" s="570">
        <f>53.3/E26</f>
        <v>57.875648793623903</v>
      </c>
      <c r="P26" s="571">
        <f>Tabel668917263329[[#This Row],[Total. ch. DW 2015]]+Tabel668917263329[[#This Row],[Sew. 2015]]+Tabel668917263329[[#This Row],[WW 2015]]+Tabel668917263329[[#This Row],[Other ch. 2015]]+Tabel668917263329[[#This Row],[VAT 2015]]</f>
        <v>1022.5530436293352</v>
      </c>
      <c r="Q26" s="397"/>
      <c r="R26" s="1762">
        <f t="shared" ref="R26:W26" si="6">SUM(F26:F33)/7</f>
        <v>71.516990404214326</v>
      </c>
      <c r="S26" s="1765">
        <f t="shared" si="6"/>
        <v>348.65928911143584</v>
      </c>
      <c r="T26" s="1768">
        <f t="shared" si="6"/>
        <v>0</v>
      </c>
      <c r="U26" s="1774">
        <f t="shared" si="6"/>
        <v>420.17627951565009</v>
      </c>
      <c r="V26" s="1777">
        <f t="shared" si="6"/>
        <v>216.49153504648979</v>
      </c>
      <c r="W26" s="1810">
        <f t="shared" si="6"/>
        <v>277.96444005969056</v>
      </c>
      <c r="X26" s="1812">
        <f>SUM(M26:M33)/7</f>
        <v>0.77560504949911435</v>
      </c>
      <c r="Y26" s="1814">
        <f t="shared" ref="Y26:Z26" si="7">SUM(O26:O33)/7</f>
        <v>54.877159672260333</v>
      </c>
      <c r="Z26" s="1793">
        <f t="shared" si="7"/>
        <v>970.28501934358985</v>
      </c>
      <c r="AA26" s="397"/>
      <c r="AB26" s="398"/>
      <c r="AC26" s="398"/>
      <c r="AD26" s="398"/>
      <c r="AE26" s="591" t="s">
        <v>429</v>
      </c>
      <c r="AF26" s="591" t="s">
        <v>429</v>
      </c>
      <c r="AG26" s="614"/>
      <c r="AH26" s="614"/>
      <c r="AI26" s="397"/>
    </row>
    <row r="27" spans="1:35" ht="15.75" hidden="1" customHeight="1" x14ac:dyDescent="0.25">
      <c r="A27" s="2294"/>
      <c r="B27" s="1213"/>
      <c r="C27" s="735" t="s">
        <v>71</v>
      </c>
      <c r="D27" s="1822"/>
      <c r="E27" s="616">
        <f>'[1]exchange rates'!$M$7</f>
        <v>0.92093999999999998</v>
      </c>
      <c r="F27" s="625">
        <f>67.84/E27</f>
        <v>73.663865181227877</v>
      </c>
      <c r="G27" s="593">
        <f>179.86/E27</f>
        <v>195.30045388407498</v>
      </c>
      <c r="H27" s="594">
        <v>0</v>
      </c>
      <c r="I27" s="566">
        <f>Tabel668917263329[[#This Row],[Fix.ch. 2015]]+Tabel668917263329[[#This Row],[Var. ch. 2015]]+Tabel668917263329[[#This Row],[Oth. ch. DW 2015]]</f>
        <v>268.96431906530285</v>
      </c>
      <c r="J27" s="596">
        <f>192/E27</f>
        <v>208.48263730536192</v>
      </c>
      <c r="K27" s="626">
        <f>266.64/E27</f>
        <v>289.53026255782135</v>
      </c>
      <c r="L27" s="626"/>
      <c r="M27" s="597">
        <v>0</v>
      </c>
      <c r="N27" s="1238">
        <f>Tabel668917263329[[#This Row],[Sew. 2015]]+Tabel668917263329[[#This Row],[WW 2015]]+Tabel668917263329[[#This Row],[Other ch. 2015]]</f>
        <v>498.01289986318329</v>
      </c>
      <c r="O27" s="570">
        <f>42.38/E27</f>
        <v>46.01819879688145</v>
      </c>
      <c r="P27" s="571">
        <f>Tabel668917263329[[#This Row],[Total. ch. DW 2015]]+Tabel668917263329[[#This Row],[Sew. 2015]]+Tabel668917263329[[#This Row],[WW 2015]]+Tabel668917263329[[#This Row],[Other ch. 2015]]+Tabel668917263329[[#This Row],[VAT 2015]]</f>
        <v>812.99541772536759</v>
      </c>
      <c r="Q27" s="397"/>
      <c r="R27" s="1763"/>
      <c r="S27" s="1766"/>
      <c r="T27" s="1769"/>
      <c r="U27" s="1775"/>
      <c r="V27" s="1778"/>
      <c r="W27" s="1781"/>
      <c r="X27" s="1785"/>
      <c r="Y27" s="1788"/>
      <c r="Z27" s="1791"/>
      <c r="AA27" s="397"/>
      <c r="AB27" s="398"/>
      <c r="AC27" s="398"/>
      <c r="AD27" s="398"/>
      <c r="AE27" s="591" t="s">
        <v>429</v>
      </c>
      <c r="AF27" s="591" t="s">
        <v>429</v>
      </c>
      <c r="AG27" s="614"/>
      <c r="AH27" s="614"/>
      <c r="AI27" s="397"/>
    </row>
    <row r="28" spans="1:35" ht="15.75" hidden="1" customHeight="1" x14ac:dyDescent="0.25">
      <c r="A28" s="2294"/>
      <c r="B28" s="1213"/>
      <c r="C28" s="735" t="s">
        <v>68</v>
      </c>
      <c r="D28" s="1822"/>
      <c r="E28" s="616">
        <f>'[1]exchange rates'!$M$7</f>
        <v>0.92093999999999998</v>
      </c>
      <c r="F28" s="625">
        <f>23.8/E28</f>
        <v>25.84316024931049</v>
      </c>
      <c r="G28" s="593">
        <f>374.08/E28</f>
        <v>406.19367168328012</v>
      </c>
      <c r="H28" s="594">
        <v>0</v>
      </c>
      <c r="I28" s="566">
        <f>Tabel668917263329[[#This Row],[Fix.ch. 2015]]+Tabel668917263329[[#This Row],[Var. ch. 2015]]+Tabel668917263329[[#This Row],[Oth. ch. DW 2015]]</f>
        <v>432.03683193259059</v>
      </c>
      <c r="J28" s="596">
        <f>188.25/E28</f>
        <v>204.41071079549155</v>
      </c>
      <c r="K28" s="626">
        <f>102/E28</f>
        <v>110.75640106847352</v>
      </c>
      <c r="L28" s="626"/>
      <c r="M28" s="597">
        <v>0</v>
      </c>
      <c r="N28" s="1238">
        <f>Tabel668917263329[[#This Row],[Sew. 2015]]+Tabel668917263329[[#This Row],[WW 2015]]+Tabel668917263329[[#This Row],[Other ch. 2015]]</f>
        <v>315.16711186396509</v>
      </c>
      <c r="O28" s="570">
        <f>41.29/E28</f>
        <v>44.834625491345797</v>
      </c>
      <c r="P28" s="571">
        <f>Tabel668917263329[[#This Row],[Total. ch. DW 2015]]+Tabel668917263329[[#This Row],[Sew. 2015]]+Tabel668917263329[[#This Row],[WW 2015]]+Tabel668917263329[[#This Row],[Other ch. 2015]]+Tabel668917263329[[#This Row],[VAT 2015]]</f>
        <v>792.03856928790151</v>
      </c>
      <c r="Q28" s="397"/>
      <c r="R28" s="1763"/>
      <c r="S28" s="1766"/>
      <c r="T28" s="1769"/>
      <c r="U28" s="1775"/>
      <c r="V28" s="1778"/>
      <c r="W28" s="1781"/>
      <c r="X28" s="1785"/>
      <c r="Y28" s="1788"/>
      <c r="Z28" s="1791"/>
      <c r="AA28" s="397"/>
      <c r="AB28" s="398"/>
      <c r="AC28" s="398"/>
      <c r="AD28" s="398"/>
      <c r="AE28" s="591" t="s">
        <v>429</v>
      </c>
      <c r="AF28" s="591" t="s">
        <v>429</v>
      </c>
      <c r="AG28" s="614"/>
      <c r="AH28" s="614"/>
      <c r="AI28" s="397"/>
    </row>
    <row r="29" spans="1:35" ht="15.75" hidden="1" customHeight="1" x14ac:dyDescent="0.25">
      <c r="A29" s="2294"/>
      <c r="B29" s="1213"/>
      <c r="C29" s="735" t="s">
        <v>72</v>
      </c>
      <c r="D29" s="1822"/>
      <c r="E29" s="616">
        <f>'[1]exchange rates'!$M$7</f>
        <v>0.92093999999999998</v>
      </c>
      <c r="F29" s="625">
        <f>105.08/E29</f>
        <v>114.1008100419137</v>
      </c>
      <c r="G29" s="593">
        <f>487.77/E29</f>
        <v>529.64362499185609</v>
      </c>
      <c r="H29" s="594">
        <v>0</v>
      </c>
      <c r="I29" s="566">
        <f>Tabel668917263329[[#This Row],[Fix.ch. 2015]]+Tabel668917263329[[#This Row],[Var. ch. 2015]]+Tabel668917263329[[#This Row],[Oth. ch. DW 2015]]</f>
        <v>643.74443503376983</v>
      </c>
      <c r="J29" s="596">
        <v>0</v>
      </c>
      <c r="K29" s="626">
        <f>349/E29</f>
        <v>378.96062718526724</v>
      </c>
      <c r="L29" s="626"/>
      <c r="M29" s="597">
        <f>2.5/E29</f>
        <v>2.7146176732469001</v>
      </c>
      <c r="N29" s="1238">
        <f>Tabel668917263329[[#This Row],[Sew. 2015]]+Tabel668917263329[[#This Row],[WW 2015]]+Tabel668917263329[[#This Row],[Other ch. 2015]]</f>
        <v>381.67524485851413</v>
      </c>
      <c r="O29" s="570">
        <f>56.51/E29</f>
        <v>61.361217886072922</v>
      </c>
      <c r="P29" s="571">
        <f>Tabel668917263329[[#This Row],[Total. ch. DW 2015]]+Tabel668917263329[[#This Row],[Sew. 2015]]+Tabel668917263329[[#This Row],[WW 2015]]+Tabel668917263329[[#This Row],[Other ch. 2015]]+Tabel668917263329[[#This Row],[VAT 2015]]</f>
        <v>1086.7808977783568</v>
      </c>
      <c r="Q29" s="397"/>
      <c r="R29" s="1763"/>
      <c r="S29" s="1766"/>
      <c r="T29" s="1769"/>
      <c r="U29" s="1775"/>
      <c r="V29" s="1778"/>
      <c r="W29" s="1781"/>
      <c r="X29" s="1785"/>
      <c r="Y29" s="1788"/>
      <c r="Z29" s="1791"/>
      <c r="AA29" s="397"/>
      <c r="AB29" s="398"/>
      <c r="AC29" s="398"/>
      <c r="AD29" s="398"/>
      <c r="AE29" s="591" t="s">
        <v>429</v>
      </c>
      <c r="AF29" s="591" t="s">
        <v>429</v>
      </c>
      <c r="AG29" s="591" t="s">
        <v>429</v>
      </c>
      <c r="AH29" s="614"/>
      <c r="AI29" s="397"/>
    </row>
    <row r="30" spans="1:35" ht="15.75" hidden="1" customHeight="1" x14ac:dyDescent="0.25">
      <c r="A30" s="2294"/>
      <c r="B30" s="1213"/>
      <c r="C30" s="735" t="s">
        <v>69</v>
      </c>
      <c r="D30" s="1822"/>
      <c r="E30" s="616">
        <f>'[1]exchange rates'!$M$7</f>
        <v>0.92093999999999998</v>
      </c>
      <c r="F30" s="625">
        <f>53.19/E30</f>
        <v>57.75620561600104</v>
      </c>
      <c r="G30" s="593">
        <f>268.75/E30</f>
        <v>291.82139987404173</v>
      </c>
      <c r="H30" s="594">
        <v>0</v>
      </c>
      <c r="I30" s="566">
        <f>Tabel668917263329[[#This Row],[Fix.ch. 2015]]+Tabel668917263329[[#This Row],[Var. ch. 2015]]+Tabel668917263329[[#This Row],[Oth. ch. DW 2015]]</f>
        <v>349.57760549004274</v>
      </c>
      <c r="J30" s="596">
        <f>338.46/E30</f>
        <v>367.51579907485831</v>
      </c>
      <c r="K30" s="626">
        <f>241.76/E30</f>
        <v>262.51438747366819</v>
      </c>
      <c r="L30" s="626"/>
      <c r="M30" s="597">
        <v>0</v>
      </c>
      <c r="N30" s="1238">
        <f>Tabel668917263329[[#This Row],[Sew. 2015]]+Tabel668917263329[[#This Row],[WW 2015]]+Tabel668917263329[[#This Row],[Other ch. 2015]]</f>
        <v>630.03018654852644</v>
      </c>
      <c r="O30" s="570">
        <f>54.13/E30</f>
        <v>58.77690186114188</v>
      </c>
      <c r="P30" s="571">
        <f>Tabel668917263329[[#This Row],[Total. ch. DW 2015]]+Tabel668917263329[[#This Row],[Sew. 2015]]+Tabel668917263329[[#This Row],[WW 2015]]+Tabel668917263329[[#This Row],[Other ch. 2015]]+Tabel668917263329[[#This Row],[VAT 2015]]</f>
        <v>1038.384693899711</v>
      </c>
      <c r="Q30" s="397"/>
      <c r="R30" s="1763"/>
      <c r="S30" s="1766"/>
      <c r="T30" s="1769"/>
      <c r="U30" s="1775"/>
      <c r="V30" s="1778"/>
      <c r="W30" s="1781"/>
      <c r="X30" s="1785"/>
      <c r="Y30" s="1788"/>
      <c r="Z30" s="1791"/>
      <c r="AA30" s="397"/>
      <c r="AB30" s="398"/>
      <c r="AC30" s="398"/>
      <c r="AD30" s="398"/>
      <c r="AE30" s="591" t="s">
        <v>429</v>
      </c>
      <c r="AF30" s="591" t="s">
        <v>429</v>
      </c>
      <c r="AG30" s="614"/>
      <c r="AH30" s="614"/>
      <c r="AI30" s="397"/>
    </row>
    <row r="31" spans="1:35" ht="15.75" hidden="1" customHeight="1" x14ac:dyDescent="0.25">
      <c r="A31" s="2294"/>
      <c r="B31" s="1213"/>
      <c r="C31" s="735" t="s">
        <v>70</v>
      </c>
      <c r="D31" s="1822"/>
      <c r="E31" s="616">
        <f>'[1]exchange rates'!$M$7</f>
        <v>0.92093999999999998</v>
      </c>
      <c r="F31" s="625">
        <f>53.19/E31</f>
        <v>57.75620561600104</v>
      </c>
      <c r="G31" s="593">
        <f>197.5/E31</f>
        <v>214.45479618650509</v>
      </c>
      <c r="H31" s="594">
        <v>0</v>
      </c>
      <c r="I31" s="566">
        <f>Tabel668917263329[[#This Row],[Fix.ch. 2015]]+Tabel668917263329[[#This Row],[Var. ch. 2015]]+Tabel668917263329[[#This Row],[Oth. ch. DW 2015]]</f>
        <v>272.21100180250613</v>
      </c>
      <c r="J31" s="596">
        <f>338.46/E31</f>
        <v>367.51579907485831</v>
      </c>
      <c r="K31" s="626">
        <f>241.76/E31</f>
        <v>262.51438747366819</v>
      </c>
      <c r="L31" s="626"/>
      <c r="M31" s="597">
        <v>0</v>
      </c>
      <c r="N31" s="1238">
        <f>Tabel668917263329[[#This Row],[Sew. 2015]]+Tabel668917263329[[#This Row],[WW 2015]]+Tabel668917263329[[#This Row],[Other ch. 2015]]</f>
        <v>630.03018654852644</v>
      </c>
      <c r="O31" s="570">
        <f>49.85/E31</f>
        <v>54.129476404543183</v>
      </c>
      <c r="P31" s="571">
        <f>Tabel668917263329[[#This Row],[Total. ch. DW 2015]]+Tabel668917263329[[#This Row],[Sew. 2015]]+Tabel668917263329[[#This Row],[WW 2015]]+Tabel668917263329[[#This Row],[Other ch. 2015]]+Tabel668917263329[[#This Row],[VAT 2015]]</f>
        <v>956.37066475557583</v>
      </c>
      <c r="Q31" s="397"/>
      <c r="R31" s="1763"/>
      <c r="S31" s="1766"/>
      <c r="T31" s="1769"/>
      <c r="U31" s="1775"/>
      <c r="V31" s="1778"/>
      <c r="W31" s="1781"/>
      <c r="X31" s="1785"/>
      <c r="Y31" s="1788"/>
      <c r="Z31" s="1791"/>
      <c r="AA31" s="397"/>
      <c r="AB31" s="398"/>
      <c r="AC31" s="398"/>
      <c r="AD31" s="398"/>
      <c r="AE31" s="591" t="s">
        <v>429</v>
      </c>
      <c r="AF31" s="591" t="s">
        <v>429</v>
      </c>
      <c r="AG31" s="614"/>
      <c r="AH31" s="614"/>
      <c r="AI31" s="397"/>
    </row>
    <row r="32" spans="1:35" ht="16.5" hidden="1" customHeight="1" x14ac:dyDescent="0.25">
      <c r="A32" s="2294"/>
      <c r="B32" s="1213"/>
      <c r="C32" s="735" t="s">
        <v>216</v>
      </c>
      <c r="D32" s="1822"/>
      <c r="E32" s="616">
        <f>'[1]exchange rates'!$M$7</f>
        <v>0.92093999999999998</v>
      </c>
      <c r="F32" s="625"/>
      <c r="G32" s="593"/>
      <c r="H32" s="594"/>
      <c r="I32" s="566"/>
      <c r="J32" s="596"/>
      <c r="K32" s="626"/>
      <c r="L32" s="626"/>
      <c r="M32" s="597"/>
      <c r="N32" s="1238">
        <f>Tabel668917263329[[#This Row],[Sew. 2015]]+Tabel668917263329[[#This Row],[WW 2015]]+Tabel668917263329[[#This Row],[Other ch. 2015]]</f>
        <v>0</v>
      </c>
      <c r="O32" s="570"/>
      <c r="P32" s="571"/>
      <c r="Q32" s="397"/>
      <c r="R32" s="1763"/>
      <c r="S32" s="1766"/>
      <c r="T32" s="1769"/>
      <c r="U32" s="1775"/>
      <c r="V32" s="1778"/>
      <c r="W32" s="1781"/>
      <c r="X32" s="1785"/>
      <c r="Y32" s="1788"/>
      <c r="Z32" s="1791"/>
      <c r="AA32" s="397"/>
      <c r="AB32" s="398"/>
      <c r="AC32" s="398"/>
      <c r="AD32" s="398"/>
      <c r="AE32" s="591" t="s">
        <v>429</v>
      </c>
      <c r="AF32" s="591" t="s">
        <v>429</v>
      </c>
      <c r="AG32" s="614"/>
      <c r="AH32" s="614"/>
      <c r="AI32" s="397"/>
    </row>
    <row r="33" spans="1:35" ht="17.25" hidden="1" customHeight="1" thickBot="1" x14ac:dyDescent="0.3">
      <c r="A33" s="2295"/>
      <c r="B33" s="1213"/>
      <c r="C33" s="736" t="s">
        <v>629</v>
      </c>
      <c r="D33" s="1823"/>
      <c r="E33" s="616">
        <f>'[1]exchange rates'!$M$7</f>
        <v>0.92093999999999998</v>
      </c>
      <c r="F33" s="625">
        <f>104.75/E33</f>
        <v>113.74248050904511</v>
      </c>
      <c r="G33" s="593">
        <f>484.7/E33</f>
        <v>526.31007448910896</v>
      </c>
      <c r="H33" s="594">
        <v>0</v>
      </c>
      <c r="I33" s="566">
        <f>Tabel668917263329[[#This Row],[Fix.ch. 2015]]+Tabel668917263329[[#This Row],[Var. ch. 2015]]+Tabel668917263329[[#This Row],[Oth. ch. DW 2015]]</f>
        <v>640.05255499815405</v>
      </c>
      <c r="J33" s="596">
        <f>0/E33</f>
        <v>0</v>
      </c>
      <c r="K33" s="626">
        <f>349/E33</f>
        <v>378.96062718526724</v>
      </c>
      <c r="L33" s="626"/>
      <c r="M33" s="597">
        <f>2.5/E33</f>
        <v>2.7146176732469001</v>
      </c>
      <c r="N33" s="1238">
        <f>Tabel668917263329[[#This Row],[Sew. 2015]]+Tabel668917263329[[#This Row],[WW 2015]]+Tabel668917263329[[#This Row],[Other ch. 2015]]</f>
        <v>381.67524485851413</v>
      </c>
      <c r="O33" s="570">
        <f>56.31/E33</f>
        <v>61.144048472213179</v>
      </c>
      <c r="P33" s="571">
        <f>Tabel668917263329[[#This Row],[Total. ch. DW 2015]]+Tabel668917263329[[#This Row],[Sew. 2015]]+Tabel668917263329[[#This Row],[WW 2015]]+Tabel668917263329[[#This Row],[Other ch. 2015]]+Tabel668917263329[[#This Row],[VAT 2015]]</f>
        <v>1082.8718483288815</v>
      </c>
      <c r="Q33" s="397"/>
      <c r="R33" s="1764"/>
      <c r="S33" s="1767"/>
      <c r="T33" s="1770"/>
      <c r="U33" s="1776"/>
      <c r="V33" s="1779"/>
      <c r="W33" s="1811"/>
      <c r="X33" s="1813"/>
      <c r="Y33" s="1815"/>
      <c r="Z33" s="1794"/>
      <c r="AA33" s="397"/>
      <c r="AB33" s="398"/>
      <c r="AC33" s="398"/>
      <c r="AD33" s="398"/>
      <c r="AE33" s="591" t="s">
        <v>429</v>
      </c>
      <c r="AF33" s="591" t="s">
        <v>429</v>
      </c>
      <c r="AG33" s="591" t="s">
        <v>429</v>
      </c>
      <c r="AH33" s="614"/>
      <c r="AI33" s="397"/>
    </row>
    <row r="34" spans="1:35" ht="15.75" hidden="1" x14ac:dyDescent="0.25">
      <c r="A34" s="1878" t="s">
        <v>1345</v>
      </c>
      <c r="B34" s="1213"/>
      <c r="C34" s="1433" t="s">
        <v>459</v>
      </c>
      <c r="D34" s="2318">
        <v>15800</v>
      </c>
      <c r="E34" s="616">
        <f>'[1]exchange rates'!$M$8</f>
        <v>3.9608599999999998</v>
      </c>
      <c r="F34" s="625" t="s">
        <v>5</v>
      </c>
      <c r="G34" s="593" t="s">
        <v>5</v>
      </c>
      <c r="H34" s="594" t="s">
        <v>5</v>
      </c>
      <c r="I34" s="566" t="s">
        <v>5</v>
      </c>
      <c r="J34" s="596" t="s">
        <v>5</v>
      </c>
      <c r="K34" s="626" t="s">
        <v>5</v>
      </c>
      <c r="L34" s="626"/>
      <c r="M34" s="597" t="s">
        <v>5</v>
      </c>
      <c r="N34" s="1238" t="e">
        <f>Tabel668917263329[[#This Row],[Sew. 2015]]+Tabel668917263329[[#This Row],[WW 2015]]+Tabel668917263329[[#This Row],[Other ch. 2015]]</f>
        <v>#VALUE!</v>
      </c>
      <c r="O34" s="570" t="s">
        <v>5</v>
      </c>
      <c r="P34" s="571">
        <f>536/E34</f>
        <v>135.32414677620517</v>
      </c>
      <c r="Q34" s="397"/>
      <c r="R34" s="2328" t="s">
        <v>5</v>
      </c>
      <c r="S34" s="2329" t="s">
        <v>5</v>
      </c>
      <c r="T34" s="2330" t="s">
        <v>5</v>
      </c>
      <c r="U34" s="2326" t="s">
        <v>5</v>
      </c>
      <c r="V34" s="2322" t="s">
        <v>5</v>
      </c>
      <c r="W34" s="2323" t="s">
        <v>5</v>
      </c>
      <c r="X34" s="2324" t="s">
        <v>5</v>
      </c>
      <c r="Y34" s="2325" t="s">
        <v>5</v>
      </c>
      <c r="Z34" s="2317">
        <f>Tabel668917263329[[#This Row],[total charge 2015]]</f>
        <v>135.32414677620517</v>
      </c>
      <c r="AA34" s="397"/>
      <c r="AB34" s="591" t="s">
        <v>429</v>
      </c>
      <c r="AC34" s="614"/>
      <c r="AD34" s="614"/>
      <c r="AE34" s="614"/>
      <c r="AF34" s="614"/>
      <c r="AG34" s="614"/>
      <c r="AH34" s="614"/>
      <c r="AI34" s="397"/>
    </row>
    <row r="35" spans="1:35" ht="15.75" hidden="1" x14ac:dyDescent="0.25">
      <c r="A35" s="1757"/>
      <c r="B35" s="1213"/>
      <c r="C35" s="633" t="s">
        <v>462</v>
      </c>
      <c r="D35" s="1880"/>
      <c r="E35" s="616">
        <f>'[1]exchange rates'!$M$8</f>
        <v>3.9608599999999998</v>
      </c>
      <c r="F35" s="625" t="s">
        <v>5</v>
      </c>
      <c r="G35" s="593" t="s">
        <v>5</v>
      </c>
      <c r="H35" s="594" t="s">
        <v>5</v>
      </c>
      <c r="I35" s="566" t="s">
        <v>5</v>
      </c>
      <c r="J35" s="596" t="s">
        <v>5</v>
      </c>
      <c r="K35" s="626" t="s">
        <v>5</v>
      </c>
      <c r="L35" s="626"/>
      <c r="M35" s="597" t="s">
        <v>5</v>
      </c>
      <c r="N35" s="1238" t="e">
        <f>Tabel668917263329[[#This Row],[Sew. 2015]]+Tabel668917263329[[#This Row],[WW 2015]]+Tabel668917263329[[#This Row],[Other ch. 2015]]</f>
        <v>#VALUE!</v>
      </c>
      <c r="O35" s="570" t="s">
        <v>5</v>
      </c>
      <c r="P35" s="571">
        <f>436/E35</f>
        <v>110.07710446721167</v>
      </c>
      <c r="Q35" s="397"/>
      <c r="R35" s="1882"/>
      <c r="S35" s="1896"/>
      <c r="T35" s="1899"/>
      <c r="U35" s="1902"/>
      <c r="V35" s="1905"/>
      <c r="W35" s="1864"/>
      <c r="X35" s="1867"/>
      <c r="Y35" s="1870"/>
      <c r="Z35" s="1832"/>
      <c r="AA35" s="397"/>
      <c r="AB35" s="591" t="s">
        <v>429</v>
      </c>
      <c r="AC35" s="614"/>
      <c r="AD35" s="614"/>
      <c r="AE35" s="614"/>
      <c r="AF35" s="614"/>
      <c r="AG35" s="614"/>
      <c r="AH35" s="614"/>
      <c r="AI35" s="397"/>
    </row>
    <row r="36" spans="1:35" ht="16.5" hidden="1" thickBot="1" x14ac:dyDescent="0.3">
      <c r="A36" s="1758"/>
      <c r="B36" s="1213"/>
      <c r="C36" s="634" t="s">
        <v>1346</v>
      </c>
      <c r="D36" s="1761"/>
      <c r="E36" s="616">
        <f>'[1]exchange rates'!$M$8</f>
        <v>3.9608599999999998</v>
      </c>
      <c r="F36" s="625" t="s">
        <v>5</v>
      </c>
      <c r="G36" s="593" t="s">
        <v>5</v>
      </c>
      <c r="H36" s="594" t="s">
        <v>5</v>
      </c>
      <c r="I36" s="566" t="s">
        <v>5</v>
      </c>
      <c r="J36" s="596" t="s">
        <v>5</v>
      </c>
      <c r="K36" s="626" t="s">
        <v>5</v>
      </c>
      <c r="L36" s="626"/>
      <c r="M36" s="597" t="s">
        <v>5</v>
      </c>
      <c r="N36" s="1238" t="e">
        <f>Tabel668917263329[[#This Row],[Sew. 2015]]+Tabel668917263329[[#This Row],[WW 2015]]+Tabel668917263329[[#This Row],[Other ch. 2015]]</f>
        <v>#VALUE!</v>
      </c>
      <c r="O36" s="570" t="s">
        <v>5</v>
      </c>
      <c r="P36" s="571">
        <f>842/E36</f>
        <v>212.5800962417253</v>
      </c>
      <c r="Q36" s="397"/>
      <c r="R36" s="2189"/>
      <c r="S36" s="2230"/>
      <c r="T36" s="2232"/>
      <c r="U36" s="2255"/>
      <c r="V36" s="2246"/>
      <c r="W36" s="2248"/>
      <c r="X36" s="2250"/>
      <c r="Y36" s="2252"/>
      <c r="Z36" s="1794"/>
      <c r="AA36" s="397"/>
      <c r="AB36" s="591" t="s">
        <v>429</v>
      </c>
      <c r="AC36" s="614"/>
      <c r="AD36" s="614"/>
      <c r="AE36" s="614"/>
      <c r="AF36" s="614"/>
      <c r="AG36" s="614"/>
      <c r="AH36" s="614"/>
      <c r="AI36" s="397"/>
    </row>
    <row r="37" spans="1:35" ht="18.75" hidden="1" customHeight="1" x14ac:dyDescent="0.25">
      <c r="A37" s="1833" t="s">
        <v>487</v>
      </c>
      <c r="B37" s="1617"/>
      <c r="C37" s="503" t="s">
        <v>481</v>
      </c>
      <c r="D37" s="2327">
        <v>11600</v>
      </c>
      <c r="E37" s="306">
        <v>1.86534</v>
      </c>
      <c r="F37" s="310">
        <f>132.88/E37</f>
        <v>71.236342972326753</v>
      </c>
      <c r="G37" s="311">
        <v>0</v>
      </c>
      <c r="H37" s="312">
        <v>0</v>
      </c>
      <c r="I37" s="313">
        <f>Tabel668917263329[[#This Row],[Fix.ch. 2015]]+Tabel668917263329[[#This Row],[Var. ch. 2015]]+Tabel668917263329[[#This Row],[Oth. ch. DW 2015]]</f>
        <v>71.236342972326753</v>
      </c>
      <c r="J37" s="314">
        <f>132.88/E37</f>
        <v>71.236342972326753</v>
      </c>
      <c r="K37" s="315">
        <v>0</v>
      </c>
      <c r="L37" s="315"/>
      <c r="M37" s="316">
        <v>0</v>
      </c>
      <c r="N37" s="1227">
        <f>Tabel668917263329[[#This Row],[Sew. 2015]]+Tabel668917263329[[#This Row],[WW 2015]]+Tabel668917263329[[#This Row],[Other ch. 2015]]</f>
        <v>71.236342972326753</v>
      </c>
      <c r="O37" s="317">
        <v>0</v>
      </c>
      <c r="P37" s="318">
        <f>Tabel668917263329[[#This Row],[Total. ch. DW 2015]]+Tabel668917263329[[#This Row],[Sew. 2015]]+Tabel668917263329[[#This Row],[WW 2015]]+Tabel668917263329[[#This Row],[Other ch. 2015]]+Tabel668917263329[[#This Row],[VAT 2015]]</f>
        <v>142.47268594465351</v>
      </c>
      <c r="Q37" s="397"/>
      <c r="R37" s="2309">
        <f t="shared" ref="R37:W37" si="8">SUM(F37:F41)/5</f>
        <v>197.96069349287529</v>
      </c>
      <c r="S37" s="2310">
        <f t="shared" si="8"/>
        <v>0</v>
      </c>
      <c r="T37" s="2311">
        <f t="shared" si="8"/>
        <v>0</v>
      </c>
      <c r="U37" s="2308">
        <f t="shared" si="8"/>
        <v>197.96069349287529</v>
      </c>
      <c r="V37" s="2303">
        <f t="shared" si="8"/>
        <v>197.96069349287529</v>
      </c>
      <c r="W37" s="2304">
        <f t="shared" si="8"/>
        <v>0</v>
      </c>
      <c r="X37" s="2305">
        <f>SUM(M37:M41)/5</f>
        <v>0</v>
      </c>
      <c r="Y37" s="2306">
        <f t="shared" ref="Y37:Z37" si="9">SUM(O37:O41)/5</f>
        <v>0</v>
      </c>
      <c r="Z37" s="2307">
        <f t="shared" si="9"/>
        <v>395.92138698575059</v>
      </c>
      <c r="AA37" s="397"/>
      <c r="AB37" s="396"/>
      <c r="AC37" s="398"/>
      <c r="AD37" s="398"/>
      <c r="AE37" s="398"/>
      <c r="AF37" s="398"/>
      <c r="AG37" s="398"/>
      <c r="AH37" s="398"/>
      <c r="AI37" s="397"/>
    </row>
    <row r="38" spans="1:35" ht="18.75" hidden="1" customHeight="1" x14ac:dyDescent="0.25">
      <c r="A38" s="2297"/>
      <c r="B38" s="1617"/>
      <c r="C38" s="503" t="s">
        <v>482</v>
      </c>
      <c r="D38" s="1837"/>
      <c r="E38" s="306">
        <v>1.86534</v>
      </c>
      <c r="F38" s="310">
        <f>83.04/E38</f>
        <v>44.517353404741229</v>
      </c>
      <c r="G38" s="311">
        <v>0</v>
      </c>
      <c r="H38" s="312">
        <v>0</v>
      </c>
      <c r="I38" s="313">
        <f>Tabel668917263329[[#This Row],[Fix.ch. 2015]]+Tabel668917263329[[#This Row],[Var. ch. 2015]]+Tabel668917263329[[#This Row],[Oth. ch. DW 2015]]</f>
        <v>44.517353404741229</v>
      </c>
      <c r="J38" s="314">
        <f>83.04/E38</f>
        <v>44.517353404741229</v>
      </c>
      <c r="K38" s="315">
        <v>0</v>
      </c>
      <c r="L38" s="315"/>
      <c r="M38" s="316">
        <v>0</v>
      </c>
      <c r="N38" s="1227">
        <f>Tabel668917263329[[#This Row],[Sew. 2015]]+Tabel668917263329[[#This Row],[WW 2015]]+Tabel668917263329[[#This Row],[Other ch. 2015]]</f>
        <v>44.517353404741229</v>
      </c>
      <c r="O38" s="317">
        <v>0</v>
      </c>
      <c r="P38" s="318">
        <f>Tabel668917263329[[#This Row],[Total. ch. DW 2015]]+Tabel668917263329[[#This Row],[Sew. 2015]]+Tabel668917263329[[#This Row],[WW 2015]]+Tabel668917263329[[#This Row],[Other ch. 2015]]+Tabel668917263329[[#This Row],[VAT 2015]]</f>
        <v>89.034706809482458</v>
      </c>
      <c r="Q38" s="397"/>
      <c r="R38" s="1840"/>
      <c r="S38" s="1843"/>
      <c r="T38" s="1846"/>
      <c r="U38" s="1849"/>
      <c r="V38" s="1852"/>
      <c r="W38" s="1855"/>
      <c r="X38" s="1858"/>
      <c r="Y38" s="1873"/>
      <c r="Z38" s="1876"/>
      <c r="AA38" s="397"/>
      <c r="AB38" s="396"/>
      <c r="AC38" s="398"/>
      <c r="AD38" s="398"/>
      <c r="AE38" s="398"/>
      <c r="AF38" s="398"/>
      <c r="AG38" s="398"/>
      <c r="AH38" s="398"/>
      <c r="AI38" s="397"/>
    </row>
    <row r="39" spans="1:35" ht="18.75" hidden="1" customHeight="1" x14ac:dyDescent="0.25">
      <c r="A39" s="2297"/>
      <c r="B39" s="1617"/>
      <c r="C39" s="503" t="s">
        <v>483</v>
      </c>
      <c r="D39" s="1837"/>
      <c r="E39" s="306">
        <v>1.86534</v>
      </c>
      <c r="F39" s="310">
        <f>371.52/E39</f>
        <v>199.1701244813278</v>
      </c>
      <c r="G39" s="311">
        <v>0</v>
      </c>
      <c r="H39" s="312">
        <v>0</v>
      </c>
      <c r="I39" s="313">
        <f>Tabel668917263329[[#This Row],[Fix.ch. 2015]]+Tabel668917263329[[#This Row],[Var. ch. 2015]]+Tabel668917263329[[#This Row],[Oth. ch. DW 2015]]</f>
        <v>199.1701244813278</v>
      </c>
      <c r="J39" s="314">
        <f>371.52/E39</f>
        <v>199.1701244813278</v>
      </c>
      <c r="K39" s="315">
        <v>0</v>
      </c>
      <c r="L39" s="315"/>
      <c r="M39" s="316">
        <v>0</v>
      </c>
      <c r="N39" s="1227">
        <f>Tabel668917263329[[#This Row],[Sew. 2015]]+Tabel668917263329[[#This Row],[WW 2015]]+Tabel668917263329[[#This Row],[Other ch. 2015]]</f>
        <v>199.1701244813278</v>
      </c>
      <c r="O39" s="317">
        <v>0</v>
      </c>
      <c r="P39" s="318">
        <f>Tabel668917263329[[#This Row],[Total. ch. DW 2015]]+Tabel668917263329[[#This Row],[Sew. 2015]]+Tabel668917263329[[#This Row],[WW 2015]]+Tabel668917263329[[#This Row],[Other ch. 2015]]+Tabel668917263329[[#This Row],[VAT 2015]]</f>
        <v>398.34024896265561</v>
      </c>
      <c r="Q39" s="397"/>
      <c r="R39" s="1840"/>
      <c r="S39" s="1843"/>
      <c r="T39" s="1846"/>
      <c r="U39" s="1849"/>
      <c r="V39" s="1852"/>
      <c r="W39" s="1855"/>
      <c r="X39" s="1858"/>
      <c r="Y39" s="1873"/>
      <c r="Z39" s="1876"/>
      <c r="AA39" s="397"/>
      <c r="AB39" s="396"/>
      <c r="AC39" s="398"/>
      <c r="AD39" s="398"/>
      <c r="AE39" s="396" t="s">
        <v>429</v>
      </c>
      <c r="AF39" s="398"/>
      <c r="AG39" s="398"/>
      <c r="AH39" s="398" t="s">
        <v>486</v>
      </c>
      <c r="AI39" s="397"/>
    </row>
    <row r="40" spans="1:35" ht="18.75" hidden="1" customHeight="1" x14ac:dyDescent="0.25">
      <c r="A40" s="2297"/>
      <c r="B40" s="1617"/>
      <c r="C40" s="503" t="s">
        <v>484</v>
      </c>
      <c r="D40" s="1837"/>
      <c r="E40" s="306">
        <v>1.86534</v>
      </c>
      <c r="F40" s="310">
        <f>420.12/E40</f>
        <v>225.22435588150151</v>
      </c>
      <c r="G40" s="311">
        <v>0</v>
      </c>
      <c r="H40" s="312">
        <v>0</v>
      </c>
      <c r="I40" s="313">
        <f>Tabel668917263329[[#This Row],[Fix.ch. 2015]]+Tabel668917263329[[#This Row],[Var. ch. 2015]]+Tabel668917263329[[#This Row],[Oth. ch. DW 2015]]</f>
        <v>225.22435588150151</v>
      </c>
      <c r="J40" s="314">
        <f>420.12/E40</f>
        <v>225.22435588150151</v>
      </c>
      <c r="K40" s="315">
        <v>0</v>
      </c>
      <c r="L40" s="315"/>
      <c r="M40" s="316">
        <v>0</v>
      </c>
      <c r="N40" s="1227">
        <f>Tabel668917263329[[#This Row],[Sew. 2015]]+Tabel668917263329[[#This Row],[WW 2015]]+Tabel668917263329[[#This Row],[Other ch. 2015]]</f>
        <v>225.22435588150151</v>
      </c>
      <c r="O40" s="317">
        <v>0</v>
      </c>
      <c r="P40" s="318">
        <f>Tabel668917263329[[#This Row],[Total. ch. DW 2015]]+Tabel668917263329[[#This Row],[Sew. 2015]]+Tabel668917263329[[#This Row],[WW 2015]]+Tabel668917263329[[#This Row],[Other ch. 2015]]+Tabel668917263329[[#This Row],[VAT 2015]]</f>
        <v>450.44871176300302</v>
      </c>
      <c r="Q40" s="397"/>
      <c r="R40" s="1840"/>
      <c r="S40" s="1843"/>
      <c r="T40" s="1846"/>
      <c r="U40" s="1849"/>
      <c r="V40" s="1852"/>
      <c r="W40" s="1855"/>
      <c r="X40" s="1858"/>
      <c r="Y40" s="1873"/>
      <c r="Z40" s="1876"/>
      <c r="AA40" s="397"/>
      <c r="AB40" s="396"/>
      <c r="AC40" s="398"/>
      <c r="AD40" s="398"/>
      <c r="AE40" s="398"/>
      <c r="AF40" s="398"/>
      <c r="AG40" s="398"/>
      <c r="AH40" s="398"/>
      <c r="AI40" s="397"/>
    </row>
    <row r="41" spans="1:35" ht="19.5" hidden="1" customHeight="1" thickBot="1" x14ac:dyDescent="0.3">
      <c r="A41" s="2298"/>
      <c r="B41" s="1617"/>
      <c r="C41" s="503" t="s">
        <v>485</v>
      </c>
      <c r="D41" s="2221"/>
      <c r="E41" s="306">
        <v>1.86534</v>
      </c>
      <c r="F41" s="310">
        <f>838.76/E41</f>
        <v>449.65529072447919</v>
      </c>
      <c r="G41" s="311">
        <v>0</v>
      </c>
      <c r="H41" s="312">
        <v>0</v>
      </c>
      <c r="I41" s="313">
        <f>Tabel668917263329[[#This Row],[Fix.ch. 2015]]+Tabel668917263329[[#This Row],[Var. ch. 2015]]+Tabel668917263329[[#This Row],[Oth. ch. DW 2015]]</f>
        <v>449.65529072447919</v>
      </c>
      <c r="J41" s="314">
        <f>838.76/E41</f>
        <v>449.65529072447919</v>
      </c>
      <c r="K41" s="315">
        <v>0</v>
      </c>
      <c r="L41" s="315"/>
      <c r="M41" s="316">
        <v>0</v>
      </c>
      <c r="N41" s="1227">
        <f>Tabel668917263329[[#This Row],[Sew. 2015]]+Tabel668917263329[[#This Row],[WW 2015]]+Tabel668917263329[[#This Row],[Other ch. 2015]]</f>
        <v>449.65529072447919</v>
      </c>
      <c r="O41" s="317">
        <v>0</v>
      </c>
      <c r="P41" s="318">
        <f>Tabel668917263329[[#This Row],[Total. ch. DW 2015]]+Tabel668917263329[[#This Row],[Sew. 2015]]+Tabel668917263329[[#This Row],[WW 2015]]+Tabel668917263329[[#This Row],[Other ch. 2015]]+Tabel668917263329[[#This Row],[VAT 2015]]</f>
        <v>899.31058144895837</v>
      </c>
      <c r="Q41" s="397"/>
      <c r="R41" s="2223"/>
      <c r="S41" s="2225"/>
      <c r="T41" s="2227"/>
      <c r="U41" s="2234"/>
      <c r="V41" s="2236"/>
      <c r="W41" s="2238"/>
      <c r="X41" s="2240"/>
      <c r="Y41" s="2242"/>
      <c r="Z41" s="2244"/>
      <c r="AA41" s="397"/>
      <c r="AB41" s="396"/>
      <c r="AC41" s="398"/>
      <c r="AD41" s="398"/>
      <c r="AE41" s="398"/>
      <c r="AF41" s="398"/>
      <c r="AG41" s="398"/>
      <c r="AH41" s="398"/>
      <c r="AI41" s="397"/>
    </row>
    <row r="42" spans="1:35" ht="15.75" hidden="1" customHeight="1" x14ac:dyDescent="0.25">
      <c r="A42" s="1833" t="s">
        <v>7</v>
      </c>
      <c r="B42" s="1617"/>
      <c r="C42" s="1434" t="s">
        <v>73</v>
      </c>
      <c r="D42" s="2210">
        <v>14400</v>
      </c>
      <c r="E42" s="305">
        <f>'[1]exchange rates'!K9</f>
        <v>1.423</v>
      </c>
      <c r="F42" s="310">
        <v>0</v>
      </c>
      <c r="G42" s="311">
        <f>232/E42</f>
        <v>163.03583977512298</v>
      </c>
      <c r="H42" s="312">
        <v>0</v>
      </c>
      <c r="I42" s="313">
        <f>Tabel668917263329[[#This Row],[Fix.ch. 2015]]+Tabel668917263329[[#This Row],[Var. ch. 2015]]+Tabel668917263329[[#This Row],[Oth. ch. DW 2015]]</f>
        <v>163.03583977512298</v>
      </c>
      <c r="J42" s="314">
        <f>46/E42</f>
        <v>32.326071679550246</v>
      </c>
      <c r="K42" s="315">
        <f>68/E42</f>
        <v>47.786366830639494</v>
      </c>
      <c r="L42" s="315"/>
      <c r="M42" s="316">
        <v>0</v>
      </c>
      <c r="N42" s="1227">
        <f>Tabel668917263329[[#This Row],[Sew. 2015]]+Tabel668917263329[[#This Row],[WW 2015]]+Tabel668917263329[[#This Row],[Other ch. 2015]]</f>
        <v>80.112438510189747</v>
      </c>
      <c r="O42" s="317">
        <f>69.2/E42</f>
        <v>48.629655657062543</v>
      </c>
      <c r="P42" s="318">
        <f>Tabel668917263329[[#This Row],[Total. ch. DW 2015]]+Tabel668917263329[[#This Row],[Sew. 2015]]+Tabel668917263329[[#This Row],[WW 2015]]+Tabel668917263329[[#This Row],[Other ch. 2015]]+Tabel668917263329[[#This Row],[VAT 2015]]</f>
        <v>291.77793394237523</v>
      </c>
      <c r="Q42" s="397"/>
      <c r="R42" s="2211">
        <f t="shared" ref="R42:W42" si="10">SUM(F42:F46)/5</f>
        <v>0</v>
      </c>
      <c r="S42" s="2212">
        <f t="shared" si="10"/>
        <v>241.18060435699226</v>
      </c>
      <c r="T42" s="2213">
        <f t="shared" si="10"/>
        <v>0</v>
      </c>
      <c r="U42" s="2214">
        <f t="shared" si="10"/>
        <v>241.18060435699226</v>
      </c>
      <c r="V42" s="2215">
        <f t="shared" si="10"/>
        <v>21.925509486999296</v>
      </c>
      <c r="W42" s="2216">
        <f t="shared" si="10"/>
        <v>47.786366830639487</v>
      </c>
      <c r="X42" s="2217">
        <f>SUM(M42:M46)/5</f>
        <v>0</v>
      </c>
      <c r="Y42" s="2218">
        <f t="shared" ref="Y42:Z42" si="11">SUM(O42:O46)/5</f>
        <v>63.078004216444128</v>
      </c>
      <c r="Z42" s="2219">
        <f t="shared" si="11"/>
        <v>373.97048489107516</v>
      </c>
      <c r="AA42" s="397"/>
      <c r="AB42" s="396" t="s">
        <v>429</v>
      </c>
      <c r="AC42" s="396" t="s">
        <v>429</v>
      </c>
      <c r="AD42" s="396"/>
      <c r="AE42" s="396"/>
      <c r="AF42" s="396"/>
      <c r="AG42" s="396" t="s">
        <v>429</v>
      </c>
      <c r="AH42" s="398"/>
      <c r="AI42" s="397"/>
    </row>
    <row r="43" spans="1:35" ht="15.75" hidden="1" customHeight="1" x14ac:dyDescent="0.25">
      <c r="A43" s="2297"/>
      <c r="B43" s="1617"/>
      <c r="C43" s="1242" t="s">
        <v>74</v>
      </c>
      <c r="D43" s="2157"/>
      <c r="E43" s="305">
        <f>'[1]exchange rates'!K9</f>
        <v>1.423</v>
      </c>
      <c r="F43" s="310">
        <v>0</v>
      </c>
      <c r="G43" s="311">
        <f>254/E43</f>
        <v>178.49613492621222</v>
      </c>
      <c r="H43" s="312">
        <v>0</v>
      </c>
      <c r="I43" s="313">
        <f>Tabel668917263329[[#This Row],[Fix.ch. 2015]]+Tabel668917263329[[#This Row],[Var. ch. 2015]]+Tabel668917263329[[#This Row],[Oth. ch. DW 2015]]</f>
        <v>178.49613492621222</v>
      </c>
      <c r="J43" s="314">
        <f>48/E43</f>
        <v>33.731553056921996</v>
      </c>
      <c r="K43" s="315">
        <f>122/E43</f>
        <v>85.734364019676732</v>
      </c>
      <c r="L43" s="315"/>
      <c r="M43" s="316">
        <v>0</v>
      </c>
      <c r="N43" s="1227">
        <f>Tabel668917263329[[#This Row],[Sew. 2015]]+Tabel668917263329[[#This Row],[WW 2015]]+Tabel668917263329[[#This Row],[Other ch. 2015]]</f>
        <v>119.46591707659873</v>
      </c>
      <c r="O43" s="317">
        <f>84.8/E43</f>
        <v>59.592410400562187</v>
      </c>
      <c r="P43" s="318">
        <f>Tabel668917263329[[#This Row],[Total. ch. DW 2015]]+Tabel668917263329[[#This Row],[Sew. 2015]]+Tabel668917263329[[#This Row],[WW 2015]]+Tabel668917263329[[#This Row],[Other ch. 2015]]+Tabel668917263329[[#This Row],[VAT 2015]]</f>
        <v>357.55446240337312</v>
      </c>
      <c r="Q43" s="397"/>
      <c r="R43" s="2158"/>
      <c r="S43" s="2159"/>
      <c r="T43" s="2160"/>
      <c r="U43" s="2141"/>
      <c r="V43" s="2142"/>
      <c r="W43" s="2143"/>
      <c r="X43" s="2144"/>
      <c r="Y43" s="2145"/>
      <c r="Z43" s="2146"/>
      <c r="AA43" s="397"/>
      <c r="AB43" s="396" t="s">
        <v>429</v>
      </c>
      <c r="AC43" s="396" t="s">
        <v>429</v>
      </c>
      <c r="AD43" s="396"/>
      <c r="AE43" s="396"/>
      <c r="AF43" s="396"/>
      <c r="AG43" s="396" t="s">
        <v>429</v>
      </c>
      <c r="AH43" s="398"/>
      <c r="AI43" s="397"/>
    </row>
    <row r="44" spans="1:35" ht="15.75" hidden="1" customHeight="1" x14ac:dyDescent="0.25">
      <c r="A44" s="2297"/>
      <c r="B44" s="1617"/>
      <c r="C44" s="1242" t="s">
        <v>75</v>
      </c>
      <c r="D44" s="2157"/>
      <c r="E44" s="305">
        <f>'[1]exchange rates'!K9</f>
        <v>1.423</v>
      </c>
      <c r="F44" s="310">
        <v>0</v>
      </c>
      <c r="G44" s="311">
        <f>334/E44</f>
        <v>234.71539002108221</v>
      </c>
      <c r="H44" s="312">
        <v>0</v>
      </c>
      <c r="I44" s="313">
        <f>Tabel668917263329[[#This Row],[Fix.ch. 2015]]+Tabel668917263329[[#This Row],[Var. ch. 2015]]+Tabel668917263329[[#This Row],[Oth. ch. DW 2015]]</f>
        <v>234.71539002108221</v>
      </c>
      <c r="J44" s="314">
        <f>24/E44</f>
        <v>16.865776528460998</v>
      </c>
      <c r="K44" s="315">
        <f>38/E44</f>
        <v>26.704146170063247</v>
      </c>
      <c r="L44" s="315"/>
      <c r="M44" s="316">
        <v>0</v>
      </c>
      <c r="N44" s="1227">
        <f>Tabel668917263329[[#This Row],[Sew. 2015]]+Tabel668917263329[[#This Row],[WW 2015]]+Tabel668917263329[[#This Row],[Other ch. 2015]]</f>
        <v>43.569922698524245</v>
      </c>
      <c r="O44" s="317">
        <f>79.2/E44</f>
        <v>55.657062543921292</v>
      </c>
      <c r="P44" s="318">
        <f>Tabel668917263329[[#This Row],[Total. ch. DW 2015]]+Tabel668917263329[[#This Row],[Sew. 2015]]+Tabel668917263329[[#This Row],[WW 2015]]+Tabel668917263329[[#This Row],[Other ch. 2015]]+Tabel668917263329[[#This Row],[VAT 2015]]</f>
        <v>333.94237526352777</v>
      </c>
      <c r="Q44" s="397"/>
      <c r="R44" s="2158"/>
      <c r="S44" s="2159"/>
      <c r="T44" s="2160"/>
      <c r="U44" s="2141"/>
      <c r="V44" s="2142"/>
      <c r="W44" s="2143"/>
      <c r="X44" s="2144"/>
      <c r="Y44" s="2145"/>
      <c r="Z44" s="2146"/>
      <c r="AA44" s="397"/>
      <c r="AB44" s="396" t="s">
        <v>429</v>
      </c>
      <c r="AC44" s="396" t="s">
        <v>429</v>
      </c>
      <c r="AD44" s="396"/>
      <c r="AE44" s="396"/>
      <c r="AF44" s="396"/>
      <c r="AG44" s="396" t="s">
        <v>429</v>
      </c>
      <c r="AH44" s="398"/>
      <c r="AI44" s="397"/>
    </row>
    <row r="45" spans="1:35" ht="15.75" hidden="1" customHeight="1" x14ac:dyDescent="0.25">
      <c r="A45" s="2297"/>
      <c r="B45" s="1617"/>
      <c r="C45" s="1242" t="s">
        <v>76</v>
      </c>
      <c r="D45" s="2157"/>
      <c r="E45" s="305">
        <f>'[1]exchange rates'!K9</f>
        <v>1.423</v>
      </c>
      <c r="F45" s="310">
        <v>0</v>
      </c>
      <c r="G45" s="311">
        <f>476/E45</f>
        <v>334.50456781447645</v>
      </c>
      <c r="H45" s="312">
        <v>0</v>
      </c>
      <c r="I45" s="313">
        <f>Tabel668917263329[[#This Row],[Fix.ch. 2015]]+Tabel668917263329[[#This Row],[Var. ch. 2015]]+Tabel668917263329[[#This Row],[Oth. ch. DW 2015]]</f>
        <v>334.50456781447645</v>
      </c>
      <c r="J45" s="314">
        <f>26/E45</f>
        <v>18.271257905832748</v>
      </c>
      <c r="K45" s="315">
        <f>36/E45</f>
        <v>25.298664792691497</v>
      </c>
      <c r="L45" s="315"/>
      <c r="M45" s="316">
        <v>0</v>
      </c>
      <c r="N45" s="1227">
        <f>Tabel668917263329[[#This Row],[Sew. 2015]]+Tabel668917263329[[#This Row],[WW 2015]]+Tabel668917263329[[#This Row],[Other ch. 2015]]</f>
        <v>43.569922698524245</v>
      </c>
      <c r="O45" s="317">
        <f>107.6/E45</f>
        <v>75.614898102600137</v>
      </c>
      <c r="P45" s="318">
        <f>Tabel668917263329[[#This Row],[Total. ch. DW 2015]]+Tabel668917263329[[#This Row],[Sew. 2015]]+Tabel668917263329[[#This Row],[WW 2015]]+Tabel668917263329[[#This Row],[Other ch. 2015]]+Tabel668917263329[[#This Row],[VAT 2015]]</f>
        <v>453.68938861560082</v>
      </c>
      <c r="Q45" s="397"/>
      <c r="R45" s="2158"/>
      <c r="S45" s="2159"/>
      <c r="T45" s="2160"/>
      <c r="U45" s="2141"/>
      <c r="V45" s="2142"/>
      <c r="W45" s="2143"/>
      <c r="X45" s="2144"/>
      <c r="Y45" s="2145"/>
      <c r="Z45" s="2146"/>
      <c r="AA45" s="397"/>
      <c r="AB45" s="396" t="s">
        <v>429</v>
      </c>
      <c r="AC45" s="396" t="s">
        <v>429</v>
      </c>
      <c r="AD45" s="396"/>
      <c r="AE45" s="396"/>
      <c r="AF45" s="396"/>
      <c r="AG45" s="396" t="s">
        <v>429</v>
      </c>
      <c r="AH45" s="398"/>
      <c r="AI45" s="397"/>
    </row>
    <row r="46" spans="1:35" ht="16.5" hidden="1" customHeight="1" thickBot="1" x14ac:dyDescent="0.3">
      <c r="A46" s="2298"/>
      <c r="B46" s="1617"/>
      <c r="C46" s="1242" t="s">
        <v>77</v>
      </c>
      <c r="D46" s="2221"/>
      <c r="E46" s="305">
        <f>'[1]exchange rates'!K9</f>
        <v>1.423</v>
      </c>
      <c r="F46" s="310">
        <v>0</v>
      </c>
      <c r="G46" s="311">
        <f>420/E46</f>
        <v>295.15108924806748</v>
      </c>
      <c r="H46" s="312">
        <v>0</v>
      </c>
      <c r="I46" s="313">
        <f>Tabel668917263329[[#This Row],[Fix.ch. 2015]]+Tabel668917263329[[#This Row],[Var. ch. 2015]]+Tabel668917263329[[#This Row],[Oth. ch. DW 2015]]</f>
        <v>295.15108924806748</v>
      </c>
      <c r="J46" s="314">
        <f>12/E46</f>
        <v>8.432888264230499</v>
      </c>
      <c r="K46" s="315">
        <f>76/E46</f>
        <v>53.408292340126494</v>
      </c>
      <c r="L46" s="315"/>
      <c r="M46" s="316">
        <v>0</v>
      </c>
      <c r="N46" s="1227">
        <f>Tabel668917263329[[#This Row],[Sew. 2015]]+Tabel668917263329[[#This Row],[WW 2015]]+Tabel668917263329[[#This Row],[Other ch. 2015]]</f>
        <v>61.841180604356992</v>
      </c>
      <c r="O46" s="317">
        <f>108/E46</f>
        <v>75.895994378074491</v>
      </c>
      <c r="P46" s="318">
        <f>Tabel668917263329[[#This Row],[Total. ch. DW 2015]]+Tabel668917263329[[#This Row],[Sew. 2015]]+Tabel668917263329[[#This Row],[WW 2015]]+Tabel668917263329[[#This Row],[Other ch. 2015]]+Tabel668917263329[[#This Row],[VAT 2015]]</f>
        <v>432.88826423049892</v>
      </c>
      <c r="Q46" s="397"/>
      <c r="R46" s="2223"/>
      <c r="S46" s="2225"/>
      <c r="T46" s="2227"/>
      <c r="U46" s="2234"/>
      <c r="V46" s="2236"/>
      <c r="W46" s="2238"/>
      <c r="X46" s="2240"/>
      <c r="Y46" s="2242"/>
      <c r="Z46" s="2244"/>
      <c r="AA46" s="397"/>
      <c r="AB46" s="396" t="s">
        <v>429</v>
      </c>
      <c r="AC46" s="396" t="s">
        <v>429</v>
      </c>
      <c r="AD46" s="396"/>
      <c r="AE46" s="396"/>
      <c r="AF46" s="396"/>
      <c r="AG46" s="396" t="s">
        <v>429</v>
      </c>
      <c r="AH46" s="398"/>
      <c r="AI46" s="397"/>
    </row>
    <row r="47" spans="1:35" ht="16.5" hidden="1" customHeight="1" thickBot="1" x14ac:dyDescent="0.3">
      <c r="A47" s="1205" t="s">
        <v>501</v>
      </c>
      <c r="B47" s="1617"/>
      <c r="C47" s="1045" t="s">
        <v>504</v>
      </c>
      <c r="D47" s="1243">
        <v>1500</v>
      </c>
      <c r="E47" s="305">
        <v>506.17869999999999</v>
      </c>
      <c r="F47" s="310">
        <f>12000/E47</f>
        <v>23.707042591875162</v>
      </c>
      <c r="G47" s="311">
        <f>64348/E47</f>
        <v>127.12506472516525</v>
      </c>
      <c r="H47" s="312">
        <v>0</v>
      </c>
      <c r="I47" s="313">
        <f>Tabel668917263329[[#This Row],[Fix.ch. 2015]]+Tabel668917263329[[#This Row],[Var. ch. 2015]]+Tabel668917263329[[#This Row],[Oth. ch. DW 2015]]</f>
        <v>150.8321073170404</v>
      </c>
      <c r="J47" s="314">
        <f>12000/E47</f>
        <v>23.707042591875162</v>
      </c>
      <c r="K47" s="315">
        <v>0</v>
      </c>
      <c r="L47" s="315"/>
      <c r="M47" s="316">
        <v>0</v>
      </c>
      <c r="N47" s="1227">
        <f>Tabel668917263329[[#This Row],[Sew. 2015]]+Tabel668917263329[[#This Row],[WW 2015]]+Tabel668917263329[[#This Row],[Other ch. 2015]]</f>
        <v>23.707042591875162</v>
      </c>
      <c r="O47" s="317">
        <f>15903/E47</f>
        <v>31.417758194882559</v>
      </c>
      <c r="P47" s="318">
        <f>Tabel668917263329[[#This Row],[Total. ch. DW 2015]]+Tabel668917263329[[#This Row],[Sew. 2015]]+Tabel668917263329[[#This Row],[WW 2015]]+Tabel668917263329[[#This Row],[Other ch. 2015]]+Tabel668917263329[[#This Row],[VAT 2015]]</f>
        <v>205.95690810379813</v>
      </c>
      <c r="Q47" s="397"/>
      <c r="R47" s="1214">
        <f>Tabel668917263329[[#This Row],[Fix.ch. 2015]]</f>
        <v>23.707042591875162</v>
      </c>
      <c r="S47" s="1215">
        <f>Tabel668917263329[[#This Row],[Var. ch. 2015]]</f>
        <v>127.12506472516525</v>
      </c>
      <c r="T47" s="1216">
        <v>0</v>
      </c>
      <c r="U47" s="1207">
        <f>Tabel668917263329[[#This Row],[Total. ch. DW 2015]]</f>
        <v>150.8321073170404</v>
      </c>
      <c r="V47" s="1208">
        <f>Tabel668917263329[[#This Row],[Sew. 2015]]</f>
        <v>23.707042591875162</v>
      </c>
      <c r="W47" s="1209">
        <v>0</v>
      </c>
      <c r="X47" s="1210">
        <v>0</v>
      </c>
      <c r="Y47" s="1211">
        <f>Tabel668917263329[[#This Row],[VAT 2015]]</f>
        <v>31.417758194882559</v>
      </c>
      <c r="Z47" s="1212">
        <f>Tabel668917263329[[#This Row],[total charge 2015]]</f>
        <v>205.95690810379813</v>
      </c>
      <c r="AA47" s="397"/>
      <c r="AB47" s="396"/>
      <c r="AC47" s="396"/>
      <c r="AD47" s="396"/>
      <c r="AE47" s="396" t="s">
        <v>429</v>
      </c>
      <c r="AF47" s="396" t="s">
        <v>429</v>
      </c>
      <c r="AG47" s="396"/>
      <c r="AH47" s="398"/>
      <c r="AI47" s="397"/>
    </row>
    <row r="48" spans="1:35" ht="16.5" hidden="1" customHeight="1" x14ac:dyDescent="0.25">
      <c r="A48" s="1878" t="s">
        <v>343</v>
      </c>
      <c r="B48" s="1213"/>
      <c r="C48" s="806" t="s">
        <v>548</v>
      </c>
      <c r="D48" s="1759">
        <v>45900</v>
      </c>
      <c r="E48" s="647">
        <f>'[1]exchange rates'!$M$11</f>
        <v>1.39011</v>
      </c>
      <c r="F48" s="625">
        <f>189.6/E48</f>
        <v>136.39208407967715</v>
      </c>
      <c r="G48" s="593">
        <f>353.96/E48</f>
        <v>254.6273316500133</v>
      </c>
      <c r="H48" s="594">
        <v>0</v>
      </c>
      <c r="I48" s="566">
        <f>Tabel668917263329[[#This Row],[Fix.ch. 2015]]+Tabel668917263329[[#This Row],[Var. ch. 2015]]+Tabel668917263329[[#This Row],[Oth. ch. DW 2015]]</f>
        <v>391.01941572969042</v>
      </c>
      <c r="J48" s="596">
        <v>0</v>
      </c>
      <c r="K48" s="626">
        <f>467.8/E48</f>
        <v>336.52013150038488</v>
      </c>
      <c r="L48" s="626"/>
      <c r="M48" s="597">
        <v>0</v>
      </c>
      <c r="N48" s="1238">
        <f>Tabel668917263329[[#This Row],[Sew. 2015]]+Tabel668917263329[[#This Row],[WW 2015]]+Tabel668917263329[[#This Row],[Other ch. 2015]]</f>
        <v>336.52013150038488</v>
      </c>
      <c r="O48" s="570">
        <v>0</v>
      </c>
      <c r="P48" s="571">
        <f>Tabel668917263329[[#This Row],[Total. ch. DW 2015]]+Tabel668917263329[[#This Row],[Sew. 2015]]+Tabel668917263329[[#This Row],[WW 2015]]+Tabel668917263329[[#This Row],[Other ch. 2015]]+Tabel668917263329[[#This Row],[VAT 2015]]</f>
        <v>727.5395472300753</v>
      </c>
      <c r="Q48" s="397"/>
      <c r="R48" s="1762">
        <f t="shared" ref="R48:W48" si="12">SUM(F48:F52)/5</f>
        <v>170.30594701138756</v>
      </c>
      <c r="S48" s="1765">
        <f t="shared" si="12"/>
        <v>161.53541806044126</v>
      </c>
      <c r="T48" s="1768">
        <f t="shared" si="12"/>
        <v>0</v>
      </c>
      <c r="U48" s="1774">
        <f t="shared" si="12"/>
        <v>331.84136507182887</v>
      </c>
      <c r="V48" s="1777">
        <f t="shared" si="12"/>
        <v>0</v>
      </c>
      <c r="W48" s="1810">
        <f t="shared" si="12"/>
        <v>276.10620742243424</v>
      </c>
      <c r="X48" s="1812">
        <f>SUM(M48:M52)/5</f>
        <v>0</v>
      </c>
      <c r="Y48" s="1814">
        <f t="shared" ref="Y48" si="13">SUM(O48:O52)/5</f>
        <v>0</v>
      </c>
      <c r="Z48" s="1793">
        <f>SUM(P48:P52)/5</f>
        <v>607.947572494263</v>
      </c>
      <c r="AA48" s="397"/>
      <c r="AB48" s="591"/>
      <c r="AC48" s="591" t="s">
        <v>429</v>
      </c>
      <c r="AD48" s="591"/>
      <c r="AE48" s="591"/>
      <c r="AF48" s="591" t="s">
        <v>429</v>
      </c>
      <c r="AG48" s="591" t="s">
        <v>429</v>
      </c>
      <c r="AH48" s="614"/>
      <c r="AI48" s="397"/>
    </row>
    <row r="49" spans="1:35" ht="16.5" hidden="1" customHeight="1" x14ac:dyDescent="0.25">
      <c r="A49" s="1757"/>
      <c r="B49" s="1213"/>
      <c r="C49" s="733" t="s">
        <v>549</v>
      </c>
      <c r="D49" s="1880"/>
      <c r="E49" s="647">
        <f>'[1]exchange rates'!$M$11</f>
        <v>1.39011</v>
      </c>
      <c r="F49" s="625">
        <f>130.2/E49</f>
        <v>93.661652674968167</v>
      </c>
      <c r="G49" s="593">
        <f>290/E49</f>
        <v>208.61658429908425</v>
      </c>
      <c r="H49" s="594">
        <v>0</v>
      </c>
      <c r="I49" s="566">
        <f>Tabel668917263329[[#This Row],[Fix.ch. 2015]]+Tabel668917263329[[#This Row],[Var. ch. 2015]]+Tabel668917263329[[#This Row],[Oth. ch. DW 2015]]</f>
        <v>302.27823697405245</v>
      </c>
      <c r="J49" s="596">
        <v>0</v>
      </c>
      <c r="K49" s="626">
        <f>456/E49</f>
        <v>328.03159462200836</v>
      </c>
      <c r="L49" s="626"/>
      <c r="M49" s="597">
        <v>0</v>
      </c>
      <c r="N49" s="1238">
        <f>Tabel668917263329[[#This Row],[Sew. 2015]]+Tabel668917263329[[#This Row],[WW 2015]]+Tabel668917263329[[#This Row],[Other ch. 2015]]</f>
        <v>328.03159462200836</v>
      </c>
      <c r="O49" s="570">
        <v>0</v>
      </c>
      <c r="P49" s="571">
        <f>Tabel668917263329[[#This Row],[Total. ch. DW 2015]]+Tabel668917263329[[#This Row],[Sew. 2015]]+Tabel668917263329[[#This Row],[WW 2015]]+Tabel668917263329[[#This Row],[Other ch. 2015]]+Tabel668917263329[[#This Row],[VAT 2015]]</f>
        <v>630.3098315960608</v>
      </c>
      <c r="Q49" s="397"/>
      <c r="R49" s="1886"/>
      <c r="S49" s="1888"/>
      <c r="T49" s="1890"/>
      <c r="U49" s="1892"/>
      <c r="V49" s="1894"/>
      <c r="W49" s="1911"/>
      <c r="X49" s="1913"/>
      <c r="Y49" s="1915"/>
      <c r="Z49" s="1832"/>
      <c r="AA49" s="397"/>
      <c r="AB49" s="591"/>
      <c r="AC49" s="591"/>
      <c r="AD49" s="591" t="s">
        <v>429</v>
      </c>
      <c r="AE49" s="591"/>
      <c r="AF49" s="591" t="s">
        <v>429</v>
      </c>
      <c r="AG49" s="591" t="s">
        <v>429</v>
      </c>
      <c r="AH49" s="614"/>
      <c r="AI49" s="397"/>
    </row>
    <row r="50" spans="1:35" ht="16.5" hidden="1" customHeight="1" x14ac:dyDescent="0.25">
      <c r="A50" s="1757"/>
      <c r="B50" s="1213"/>
      <c r="C50" s="733" t="s">
        <v>722</v>
      </c>
      <c r="D50" s="1880"/>
      <c r="E50" s="647">
        <f>'[1]exchange rates'!$M$11</f>
        <v>1.39011</v>
      </c>
      <c r="F50" s="625">
        <f>105.6/E50</f>
        <v>75.965211386149292</v>
      </c>
      <c r="G50" s="593">
        <f>290/E50</f>
        <v>208.61658429908425</v>
      </c>
      <c r="H50" s="594">
        <v>0</v>
      </c>
      <c r="I50" s="566">
        <f>Tabel668917263329[[#This Row],[Fix.ch. 2015]]+Tabel668917263329[[#This Row],[Var. ch. 2015]]+Tabel668917263329[[#This Row],[Oth. ch. DW 2015]]</f>
        <v>284.58179568523354</v>
      </c>
      <c r="J50" s="596">
        <v>0</v>
      </c>
      <c r="K50" s="626">
        <f>285.6/E50</f>
        <v>205.45136715799472</v>
      </c>
      <c r="L50" s="626"/>
      <c r="M50" s="597">
        <v>0</v>
      </c>
      <c r="N50" s="1238">
        <f>Tabel668917263329[[#This Row],[Sew. 2015]]+Tabel668917263329[[#This Row],[WW 2015]]+Tabel668917263329[[#This Row],[Other ch. 2015]]</f>
        <v>205.45136715799472</v>
      </c>
      <c r="O50" s="570">
        <v>0</v>
      </c>
      <c r="P50" s="571">
        <f>Tabel668917263329[[#This Row],[Total. ch. DW 2015]]+Tabel668917263329[[#This Row],[Sew. 2015]]+Tabel668917263329[[#This Row],[WW 2015]]+Tabel668917263329[[#This Row],[Other ch. 2015]]+Tabel668917263329[[#This Row],[VAT 2015]]</f>
        <v>490.0331628432283</v>
      </c>
      <c r="Q50" s="397"/>
      <c r="R50" s="1886"/>
      <c r="S50" s="1888"/>
      <c r="T50" s="1890"/>
      <c r="U50" s="1892"/>
      <c r="V50" s="1894"/>
      <c r="W50" s="1911"/>
      <c r="X50" s="1913"/>
      <c r="Y50" s="1915"/>
      <c r="Z50" s="1832"/>
      <c r="AA50" s="397"/>
      <c r="AB50" s="591"/>
      <c r="AC50" s="591"/>
      <c r="AD50" s="591"/>
      <c r="AE50" s="591" t="s">
        <v>429</v>
      </c>
      <c r="AF50" s="591" t="s">
        <v>429</v>
      </c>
      <c r="AG50" s="591" t="s">
        <v>429</v>
      </c>
      <c r="AH50" s="614"/>
      <c r="AI50" s="397"/>
    </row>
    <row r="51" spans="1:35" ht="16.5" hidden="1" customHeight="1" x14ac:dyDescent="0.25">
      <c r="A51" s="1757"/>
      <c r="B51" s="1213"/>
      <c r="C51" s="733" t="s">
        <v>723</v>
      </c>
      <c r="D51" s="1880"/>
      <c r="E51" s="647">
        <f>'[1]exchange rates'!$M$11</f>
        <v>1.39011</v>
      </c>
      <c r="F51" s="625">
        <f>568/E51</f>
        <v>408.60075821337881</v>
      </c>
      <c r="G51" s="593">
        <f>0</f>
        <v>0</v>
      </c>
      <c r="H51" s="594">
        <v>0</v>
      </c>
      <c r="I51" s="566">
        <f>Tabel668917263329[[#This Row],[Fix.ch. 2015]]+Tabel668917263329[[#This Row],[Var. ch. 2015]]+Tabel668917263329[[#This Row],[Oth. ch. DW 2015]]</f>
        <v>408.60075821337881</v>
      </c>
      <c r="J51" s="596">
        <v>0</v>
      </c>
      <c r="K51" s="626">
        <f>314/E51</f>
        <v>225.88140506866364</v>
      </c>
      <c r="L51" s="626"/>
      <c r="M51" s="597">
        <v>0</v>
      </c>
      <c r="N51" s="1238">
        <f>Tabel668917263329[[#This Row],[Sew. 2015]]+Tabel668917263329[[#This Row],[WW 2015]]+Tabel668917263329[[#This Row],[Other ch. 2015]]</f>
        <v>225.88140506866364</v>
      </c>
      <c r="O51" s="570">
        <v>0</v>
      </c>
      <c r="P51" s="571">
        <f>Tabel668917263329[[#This Row],[Total. ch. DW 2015]]+Tabel668917263329[[#This Row],[Sew. 2015]]+Tabel668917263329[[#This Row],[WW 2015]]+Tabel668917263329[[#This Row],[Other ch. 2015]]+Tabel668917263329[[#This Row],[VAT 2015]]</f>
        <v>634.48216328204239</v>
      </c>
      <c r="Q51" s="397"/>
      <c r="R51" s="1886"/>
      <c r="S51" s="1888"/>
      <c r="T51" s="1890"/>
      <c r="U51" s="1892"/>
      <c r="V51" s="1894"/>
      <c r="W51" s="1911"/>
      <c r="X51" s="1913"/>
      <c r="Y51" s="1915"/>
      <c r="Z51" s="1832"/>
      <c r="AA51" s="397"/>
      <c r="AB51" s="591" t="s">
        <v>429</v>
      </c>
      <c r="AC51" s="591"/>
      <c r="AD51" s="591"/>
      <c r="AE51" s="591"/>
      <c r="AF51" s="591" t="s">
        <v>429</v>
      </c>
      <c r="AG51" s="591" t="s">
        <v>429</v>
      </c>
      <c r="AH51" s="614"/>
      <c r="AI51" s="397"/>
    </row>
    <row r="52" spans="1:35" ht="16.5" hidden="1" customHeight="1" thickBot="1" x14ac:dyDescent="0.3">
      <c r="A52" s="1758"/>
      <c r="B52" s="1213"/>
      <c r="C52" s="807" t="s">
        <v>552</v>
      </c>
      <c r="D52" s="1761"/>
      <c r="E52" s="647">
        <f>'[1]exchange rates'!$M$11</f>
        <v>1.39011</v>
      </c>
      <c r="F52" s="625">
        <f>190.32/E52</f>
        <v>136.91002870276452</v>
      </c>
      <c r="G52" s="593">
        <f>188.8/E52</f>
        <v>135.81659005402452</v>
      </c>
      <c r="H52" s="594">
        <v>0</v>
      </c>
      <c r="I52" s="566">
        <f>Tabel668917263329[[#This Row],[Fix.ch. 2015]]+Tabel668917263329[[#This Row],[Var. ch. 2015]]+Tabel668917263329[[#This Row],[Oth. ch. DW 2015]]</f>
        <v>272.72661875678904</v>
      </c>
      <c r="J52" s="596">
        <v>0</v>
      </c>
      <c r="K52" s="626">
        <f>395.69/E52</f>
        <v>284.64653876311945</v>
      </c>
      <c r="L52" s="626"/>
      <c r="M52" s="597">
        <v>0</v>
      </c>
      <c r="N52" s="1238">
        <f>Tabel668917263329[[#This Row],[Sew. 2015]]+Tabel668917263329[[#This Row],[WW 2015]]+Tabel668917263329[[#This Row],[Other ch. 2015]]</f>
        <v>284.64653876311945</v>
      </c>
      <c r="O52" s="570">
        <v>0</v>
      </c>
      <c r="P52" s="571">
        <f>Tabel668917263329[[#This Row],[Total. ch. DW 2015]]+Tabel668917263329[[#This Row],[Sew. 2015]]+Tabel668917263329[[#This Row],[WW 2015]]+Tabel668917263329[[#This Row],[Other ch. 2015]]+Tabel668917263329[[#This Row],[VAT 2015]]</f>
        <v>557.37315751990855</v>
      </c>
      <c r="Q52" s="397"/>
      <c r="R52" s="1764"/>
      <c r="S52" s="1767"/>
      <c r="T52" s="1770"/>
      <c r="U52" s="1776"/>
      <c r="V52" s="1779"/>
      <c r="W52" s="1811"/>
      <c r="X52" s="1813"/>
      <c r="Y52" s="1815"/>
      <c r="Z52" s="1794"/>
      <c r="AA52" s="397"/>
      <c r="AB52" s="591"/>
      <c r="AC52" s="591"/>
      <c r="AD52" s="591" t="s">
        <v>429</v>
      </c>
      <c r="AE52" s="591"/>
      <c r="AF52" s="591" t="s">
        <v>429</v>
      </c>
      <c r="AG52" s="591" t="s">
        <v>429</v>
      </c>
      <c r="AH52" s="614"/>
      <c r="AI52" s="397"/>
    </row>
    <row r="53" spans="1:35" ht="16.5" hidden="1" customHeight="1" x14ac:dyDescent="0.25">
      <c r="A53" s="1818" t="s">
        <v>489</v>
      </c>
      <c r="B53" s="1213"/>
      <c r="C53" s="735" t="s">
        <v>728</v>
      </c>
      <c r="D53" s="1760">
        <v>23800</v>
      </c>
      <c r="E53" s="616">
        <f>'[1]exchange rates'!$M$12</f>
        <v>711.02919999999995</v>
      </c>
      <c r="F53" s="625">
        <f>10990/E53</f>
        <v>15.456467891895299</v>
      </c>
      <c r="G53" s="593">
        <f>284335/E53</f>
        <v>399.89215632775705</v>
      </c>
      <c r="H53" s="594">
        <v>0</v>
      </c>
      <c r="I53" s="566">
        <f>Tabel668917263329[[#This Row],[Fix.ch. 2015]]+Tabel668917263329[[#This Row],[Var. ch. 2015]]+Tabel668917263329[[#This Row],[Oth. ch. DW 2015]]</f>
        <v>415.34862421965232</v>
      </c>
      <c r="J53" s="596">
        <f>64761/E53</f>
        <v>91.080647602095667</v>
      </c>
      <c r="K53" s="626">
        <v>0</v>
      </c>
      <c r="L53" s="626"/>
      <c r="M53" s="597">
        <v>0</v>
      </c>
      <c r="N53" s="1238">
        <f>Tabel668917263329[[#This Row],[Sew. 2015]]+Tabel668917263329[[#This Row],[WW 2015]]+Tabel668917263329[[#This Row],[Other ch. 2015]]</f>
        <v>91.080647602095667</v>
      </c>
      <c r="O53" s="570">
        <v>0</v>
      </c>
      <c r="P53" s="571">
        <f>Tabel668917263329[[#This Row],[Total. ch. DW 2015]]+Tabel668917263329[[#This Row],[Sew. 2015]]+Tabel668917263329[[#This Row],[WW 2015]]+Tabel668917263329[[#This Row],[Other ch. 2015]]+Tabel668917263329[[#This Row],[VAT 2015]]</f>
        <v>506.42927182174799</v>
      </c>
      <c r="Q53" s="397"/>
      <c r="R53" s="1762">
        <f t="shared" ref="R53:W53" si="14">SUM(F53:F58)/6</f>
        <v>15.079549475605225</v>
      </c>
      <c r="S53" s="1765">
        <f t="shared" si="14"/>
        <v>184.98490169836438</v>
      </c>
      <c r="T53" s="1768">
        <f t="shared" si="14"/>
        <v>0</v>
      </c>
      <c r="U53" s="1774">
        <f t="shared" si="14"/>
        <v>200.06445117396959</v>
      </c>
      <c r="V53" s="1777">
        <f t="shared" si="14"/>
        <v>140.20872841790464</v>
      </c>
      <c r="W53" s="1810">
        <f t="shared" si="14"/>
        <v>0</v>
      </c>
      <c r="X53" s="1812">
        <f>SUM(M53:M58)/6</f>
        <v>0</v>
      </c>
      <c r="Y53" s="1814">
        <f t="shared" ref="Y53:Z53" si="15">SUM(O53:O58)/6</f>
        <v>0</v>
      </c>
      <c r="Z53" s="1793">
        <f t="shared" si="15"/>
        <v>340.27317959187428</v>
      </c>
      <c r="AA53" s="397"/>
      <c r="AB53" s="396"/>
      <c r="AC53" s="396"/>
      <c r="AD53" s="396"/>
      <c r="AE53" s="396"/>
      <c r="AF53" s="396"/>
      <c r="AG53" s="396"/>
      <c r="AH53" s="398"/>
      <c r="AI53" s="397"/>
    </row>
    <row r="54" spans="1:35" ht="16.5" hidden="1" customHeight="1" x14ac:dyDescent="0.25">
      <c r="A54" s="2294"/>
      <c r="B54" s="1213"/>
      <c r="C54" s="735" t="s">
        <v>492</v>
      </c>
      <c r="D54" s="1760"/>
      <c r="E54" s="616">
        <f>'[1]exchange rates'!$M$12</f>
        <v>711.02919999999995</v>
      </c>
      <c r="F54" s="625">
        <f>12717/E54</f>
        <v>17.885341417764561</v>
      </c>
      <c r="G54" s="593">
        <f>135129/E54</f>
        <v>190.04704729426021</v>
      </c>
      <c r="H54" s="594">
        <v>0</v>
      </c>
      <c r="I54" s="566">
        <f>Tabel668917263329[[#This Row],[Fix.ch. 2015]]+Tabel668917263329[[#This Row],[Var. ch. 2015]]+Tabel668917263329[[#This Row],[Oth. ch. DW 2015]]</f>
        <v>207.93238871202476</v>
      </c>
      <c r="J54" s="596">
        <f>99461/E54</f>
        <v>139.88314403965407</v>
      </c>
      <c r="K54" s="626">
        <v>0</v>
      </c>
      <c r="L54" s="626"/>
      <c r="M54" s="597">
        <v>0</v>
      </c>
      <c r="N54" s="1238">
        <f>Tabel668917263329[[#This Row],[Sew. 2015]]+Tabel668917263329[[#This Row],[WW 2015]]+Tabel668917263329[[#This Row],[Other ch. 2015]]</f>
        <v>139.88314403965407</v>
      </c>
      <c r="O54" s="570">
        <v>0</v>
      </c>
      <c r="P54" s="571">
        <f>Tabel668917263329[[#This Row],[Total. ch. DW 2015]]+Tabel668917263329[[#This Row],[Sew. 2015]]+Tabel668917263329[[#This Row],[WW 2015]]+Tabel668917263329[[#This Row],[Other ch. 2015]]+Tabel668917263329[[#This Row],[VAT 2015]]</f>
        <v>347.8155327516788</v>
      </c>
      <c r="Q54" s="397"/>
      <c r="R54" s="1763"/>
      <c r="S54" s="1766"/>
      <c r="T54" s="1769"/>
      <c r="U54" s="1775"/>
      <c r="V54" s="1778"/>
      <c r="W54" s="1781"/>
      <c r="X54" s="1785"/>
      <c r="Y54" s="1788"/>
      <c r="Z54" s="1791"/>
      <c r="AA54" s="397"/>
      <c r="AB54" s="396"/>
      <c r="AC54" s="396"/>
      <c r="AD54" s="396"/>
      <c r="AE54" s="396"/>
      <c r="AF54" s="396"/>
      <c r="AG54" s="396"/>
      <c r="AH54" s="398"/>
      <c r="AI54" s="397"/>
    </row>
    <row r="55" spans="1:35" ht="16.5" hidden="1" customHeight="1" x14ac:dyDescent="0.25">
      <c r="A55" s="2294"/>
      <c r="B55" s="1213"/>
      <c r="C55" s="735" t="s">
        <v>729</v>
      </c>
      <c r="D55" s="1760"/>
      <c r="E55" s="616">
        <f>'[1]exchange rates'!$M$12</f>
        <v>711.02919999999995</v>
      </c>
      <c r="F55" s="625">
        <f>12717/E55</f>
        <v>17.885341417764561</v>
      </c>
      <c r="G55" s="593">
        <f>135129/E55</f>
        <v>190.04704729426021</v>
      </c>
      <c r="H55" s="594">
        <v>0</v>
      </c>
      <c r="I55" s="566">
        <f>Tabel668917263329[[#This Row],[Fix.ch. 2015]]+Tabel668917263329[[#This Row],[Var. ch. 2015]]+Tabel668917263329[[#This Row],[Oth. ch. DW 2015]]</f>
        <v>207.93238871202476</v>
      </c>
      <c r="J55" s="596">
        <f>99461/E55</f>
        <v>139.88314403965407</v>
      </c>
      <c r="K55" s="626">
        <v>0</v>
      </c>
      <c r="L55" s="626"/>
      <c r="M55" s="597">
        <v>0</v>
      </c>
      <c r="N55" s="1238">
        <f>Tabel668917263329[[#This Row],[Sew. 2015]]+Tabel668917263329[[#This Row],[WW 2015]]+Tabel668917263329[[#This Row],[Other ch. 2015]]</f>
        <v>139.88314403965407</v>
      </c>
      <c r="O55" s="570">
        <v>0</v>
      </c>
      <c r="P55" s="571">
        <f>Tabel668917263329[[#This Row],[Total. ch. DW 2015]]+Tabel668917263329[[#This Row],[Sew. 2015]]+Tabel668917263329[[#This Row],[WW 2015]]+Tabel668917263329[[#This Row],[Other ch. 2015]]+Tabel668917263329[[#This Row],[VAT 2015]]</f>
        <v>347.8155327516788</v>
      </c>
      <c r="Q55" s="397"/>
      <c r="R55" s="1763"/>
      <c r="S55" s="1766"/>
      <c r="T55" s="1769"/>
      <c r="U55" s="1775"/>
      <c r="V55" s="1778"/>
      <c r="W55" s="1781"/>
      <c r="X55" s="1785"/>
      <c r="Y55" s="1788"/>
      <c r="Z55" s="1791"/>
      <c r="AA55" s="397"/>
      <c r="AB55" s="396"/>
      <c r="AC55" s="396"/>
      <c r="AD55" s="396"/>
      <c r="AE55" s="396"/>
      <c r="AF55" s="396"/>
      <c r="AG55" s="396"/>
      <c r="AH55" s="398"/>
      <c r="AI55" s="397"/>
    </row>
    <row r="56" spans="1:35" ht="16.5" hidden="1" customHeight="1" x14ac:dyDescent="0.25">
      <c r="A56" s="2294"/>
      <c r="B56" s="1213"/>
      <c r="C56" s="735" t="s">
        <v>493</v>
      </c>
      <c r="D56" s="1760"/>
      <c r="E56" s="616">
        <f>'[1]exchange rates'!$M$12</f>
        <v>711.02919999999995</v>
      </c>
      <c r="F56" s="625">
        <f>7685/E56</f>
        <v>10.80827622831805</v>
      </c>
      <c r="G56" s="593">
        <f>81904/E56</f>
        <v>115.19076853665082</v>
      </c>
      <c r="H56" s="594">
        <v>0</v>
      </c>
      <c r="I56" s="566">
        <f>Tabel668917263329[[#This Row],[Fix.ch. 2015]]+Tabel668917263329[[#This Row],[Var. ch. 2015]]+Tabel668917263329[[#This Row],[Oth. ch. DW 2015]]</f>
        <v>125.99904476496887</v>
      </c>
      <c r="J56" s="596">
        <f>104035/E56</f>
        <v>146.31607253260486</v>
      </c>
      <c r="K56" s="626">
        <v>0</v>
      </c>
      <c r="L56" s="626"/>
      <c r="M56" s="597">
        <v>0</v>
      </c>
      <c r="N56" s="1238">
        <f>Tabel668917263329[[#This Row],[Sew. 2015]]+Tabel668917263329[[#This Row],[WW 2015]]+Tabel668917263329[[#This Row],[Other ch. 2015]]</f>
        <v>146.31607253260486</v>
      </c>
      <c r="O56" s="570">
        <v>0</v>
      </c>
      <c r="P56" s="571">
        <f>Tabel668917263329[[#This Row],[Total. ch. DW 2015]]+Tabel668917263329[[#This Row],[Sew. 2015]]+Tabel668917263329[[#This Row],[WW 2015]]+Tabel668917263329[[#This Row],[Other ch. 2015]]+Tabel668917263329[[#This Row],[VAT 2015]]</f>
        <v>272.31511729757375</v>
      </c>
      <c r="Q56" s="397"/>
      <c r="R56" s="1763"/>
      <c r="S56" s="1766"/>
      <c r="T56" s="1769"/>
      <c r="U56" s="1775"/>
      <c r="V56" s="1778"/>
      <c r="W56" s="1781"/>
      <c r="X56" s="1785"/>
      <c r="Y56" s="1788"/>
      <c r="Z56" s="1791"/>
      <c r="AA56" s="397"/>
      <c r="AB56" s="396"/>
      <c r="AC56" s="396"/>
      <c r="AD56" s="396"/>
      <c r="AE56" s="396"/>
      <c r="AF56" s="396"/>
      <c r="AG56" s="396"/>
      <c r="AH56" s="398"/>
      <c r="AI56" s="397"/>
    </row>
    <row r="57" spans="1:35" ht="16.5" hidden="1" customHeight="1" x14ac:dyDescent="0.25">
      <c r="A57" s="2294"/>
      <c r="B57" s="1213"/>
      <c r="C57" s="735" t="s">
        <v>730</v>
      </c>
      <c r="D57" s="1760"/>
      <c r="E57" s="616">
        <f>'[1]exchange rates'!$M$12</f>
        <v>711.02919999999995</v>
      </c>
      <c r="F57" s="625">
        <f>12923/E57</f>
        <v>18.17506228998753</v>
      </c>
      <c r="G57" s="593">
        <f>85474/E57</f>
        <v>120.2116593805149</v>
      </c>
      <c r="H57" s="594">
        <v>0</v>
      </c>
      <c r="I57" s="566">
        <f>Tabel668917263329[[#This Row],[Fix.ch. 2015]]+Tabel668917263329[[#This Row],[Var. ch. 2015]]+Tabel668917263329[[#This Row],[Oth. ch. DW 2015]]</f>
        <v>138.38672167050242</v>
      </c>
      <c r="J57" s="596">
        <f>139941/E57</f>
        <v>196.81470184346861</v>
      </c>
      <c r="K57" s="626">
        <v>0</v>
      </c>
      <c r="L57" s="626"/>
      <c r="M57" s="597">
        <v>0</v>
      </c>
      <c r="N57" s="1238">
        <f>Tabel668917263329[[#This Row],[Sew. 2015]]+Tabel668917263329[[#This Row],[WW 2015]]+Tabel668917263329[[#This Row],[Other ch. 2015]]</f>
        <v>196.81470184346861</v>
      </c>
      <c r="O57" s="570">
        <v>0</v>
      </c>
      <c r="P57" s="571">
        <f>Tabel668917263329[[#This Row],[Total. ch. DW 2015]]+Tabel668917263329[[#This Row],[Sew. 2015]]+Tabel668917263329[[#This Row],[WW 2015]]+Tabel668917263329[[#This Row],[Other ch. 2015]]+Tabel668917263329[[#This Row],[VAT 2015]]</f>
        <v>335.20142351397101</v>
      </c>
      <c r="Q57" s="397"/>
      <c r="R57" s="1763"/>
      <c r="S57" s="1766"/>
      <c r="T57" s="1769"/>
      <c r="U57" s="1775"/>
      <c r="V57" s="1778"/>
      <c r="W57" s="1781"/>
      <c r="X57" s="1785"/>
      <c r="Y57" s="1788"/>
      <c r="Z57" s="1791"/>
      <c r="AA57" s="397"/>
      <c r="AB57" s="396"/>
      <c r="AC57" s="396"/>
      <c r="AD57" s="396"/>
      <c r="AE57" s="396"/>
      <c r="AF57" s="396"/>
      <c r="AG57" s="396"/>
      <c r="AH57" s="398"/>
      <c r="AI57" s="397"/>
    </row>
    <row r="58" spans="1:35" ht="16.5" hidden="1" customHeight="1" thickBot="1" x14ac:dyDescent="0.3">
      <c r="A58" s="2295"/>
      <c r="B58" s="1213"/>
      <c r="C58" s="735" t="s">
        <v>731</v>
      </c>
      <c r="D58" s="1761"/>
      <c r="E58" s="616">
        <f>'[1]exchange rates'!$M$12</f>
        <v>711.02919999999995</v>
      </c>
      <c r="F58" s="625">
        <f>7300/E58</f>
        <v>10.266807607901336</v>
      </c>
      <c r="G58" s="593">
        <f>67207/E58</f>
        <v>94.520731356743156</v>
      </c>
      <c r="H58" s="594">
        <v>0</v>
      </c>
      <c r="I58" s="566">
        <f>Tabel668917263329[[#This Row],[Fix.ch. 2015]]+Tabel668917263329[[#This Row],[Var. ch. 2015]]+Tabel668917263329[[#This Row],[Oth. ch. DW 2015]]</f>
        <v>104.7875389646445</v>
      </c>
      <c r="J58" s="596">
        <f>90496/E58</f>
        <v>127.27466044995059</v>
      </c>
      <c r="K58" s="626">
        <v>0</v>
      </c>
      <c r="L58" s="626"/>
      <c r="M58" s="597">
        <v>0</v>
      </c>
      <c r="N58" s="1238">
        <f>Tabel668917263329[[#This Row],[Sew. 2015]]+Tabel668917263329[[#This Row],[WW 2015]]+Tabel668917263329[[#This Row],[Other ch. 2015]]</f>
        <v>127.27466044995059</v>
      </c>
      <c r="O58" s="570">
        <v>0</v>
      </c>
      <c r="P58" s="571">
        <f>Tabel668917263329[[#This Row],[Total. ch. DW 2015]]+Tabel668917263329[[#This Row],[Sew. 2015]]+Tabel668917263329[[#This Row],[WW 2015]]+Tabel668917263329[[#This Row],[Other ch. 2015]]+Tabel668917263329[[#This Row],[VAT 2015]]</f>
        <v>232.06219941459509</v>
      </c>
      <c r="Q58" s="397"/>
      <c r="R58" s="1764"/>
      <c r="S58" s="1767"/>
      <c r="T58" s="1770"/>
      <c r="U58" s="1776"/>
      <c r="V58" s="1779"/>
      <c r="W58" s="1811"/>
      <c r="X58" s="1813"/>
      <c r="Y58" s="1815"/>
      <c r="Z58" s="1794"/>
      <c r="AA58" s="397"/>
      <c r="AB58" s="396"/>
      <c r="AC58" s="396"/>
      <c r="AD58" s="396"/>
      <c r="AE58" s="396"/>
      <c r="AF58" s="396"/>
      <c r="AG58" s="396"/>
      <c r="AH58" s="398"/>
      <c r="AI58" s="397"/>
    </row>
    <row r="59" spans="1:35" ht="15.75" hidden="1" x14ac:dyDescent="0.25">
      <c r="A59" s="1818" t="s">
        <v>8</v>
      </c>
      <c r="B59" s="1213"/>
      <c r="C59" s="1435" t="s">
        <v>78</v>
      </c>
      <c r="D59" s="2318">
        <v>14300</v>
      </c>
      <c r="E59" s="647">
        <f>'[1]exchange rates'!$M$13</f>
        <v>6.5138100000000003</v>
      </c>
      <c r="F59" s="686"/>
      <c r="G59" s="593"/>
      <c r="H59" s="594"/>
      <c r="I59" s="566">
        <f>Tabel668917263329[[#This Row],[Fix.ch. 2015]]+Tabel668917263329[[#This Row],[Var. ch. 2015]]+Tabel668917263329[[#This Row],[Oth. ch. DW 2015]]</f>
        <v>0</v>
      </c>
      <c r="J59" s="596"/>
      <c r="K59" s="626"/>
      <c r="L59" s="626"/>
      <c r="M59" s="597"/>
      <c r="N59" s="1238">
        <f>Tabel668917263329[[#This Row],[Sew. 2015]]+Tabel668917263329[[#This Row],[WW 2015]]+Tabel668917263329[[#This Row],[Other ch. 2015]]</f>
        <v>0</v>
      </c>
      <c r="O59" s="570"/>
      <c r="P59" s="571">
        <f>Tabel668917263329[[#This Row],[Total. ch. DW 2015]]+Tabel668917263329[[#This Row],[Sew. 2015]]+Tabel668917263329[[#This Row],[WW 2015]]+Tabel668917263329[[#This Row],[Other ch. 2015]]+Tabel668917263329[[#This Row],[VAT 2015]]</f>
        <v>0</v>
      </c>
      <c r="Q59" s="430"/>
      <c r="R59" s="2319"/>
      <c r="S59" s="2320"/>
      <c r="T59" s="2321"/>
      <c r="U59" s="2312"/>
      <c r="V59" s="2313"/>
      <c r="W59" s="2314"/>
      <c r="X59" s="2315"/>
      <c r="Y59" s="2316"/>
      <c r="Z59" s="2317"/>
      <c r="AA59" s="397"/>
      <c r="AB59" s="398"/>
      <c r="AC59" s="398"/>
      <c r="AD59" s="398"/>
      <c r="AE59" s="591" t="s">
        <v>429</v>
      </c>
      <c r="AF59" s="591"/>
      <c r="AG59" s="591" t="s">
        <v>429</v>
      </c>
      <c r="AH59" s="398"/>
      <c r="AI59" s="397"/>
    </row>
    <row r="60" spans="1:35" ht="15.75" hidden="1" x14ac:dyDescent="0.25">
      <c r="A60" s="2294"/>
      <c r="B60" s="1213"/>
      <c r="C60" s="735" t="s">
        <v>79</v>
      </c>
      <c r="D60" s="1880"/>
      <c r="E60" s="647">
        <f>'[1]exchange rates'!$M$13</f>
        <v>6.5138100000000003</v>
      </c>
      <c r="F60" s="686"/>
      <c r="G60" s="593"/>
      <c r="H60" s="594"/>
      <c r="I60" s="566">
        <f>Tabel668917263329[[#This Row],[Fix.ch. 2015]]+Tabel668917263329[[#This Row],[Var. ch. 2015]]+Tabel668917263329[[#This Row],[Oth. ch. DW 2015]]</f>
        <v>0</v>
      </c>
      <c r="J60" s="596"/>
      <c r="K60" s="626"/>
      <c r="L60" s="626"/>
      <c r="M60" s="597"/>
      <c r="N60" s="1238">
        <f>Tabel668917263329[[#This Row],[Sew. 2015]]+Tabel668917263329[[#This Row],[WW 2015]]+Tabel668917263329[[#This Row],[Other ch. 2015]]</f>
        <v>0</v>
      </c>
      <c r="O60" s="570"/>
      <c r="P60" s="571">
        <f>Tabel668917263329[[#This Row],[Total. ch. DW 2015]]+Tabel668917263329[[#This Row],[Sew. 2015]]+Tabel668917263329[[#This Row],[WW 2015]]+Tabel668917263329[[#This Row],[Other ch. 2015]]+Tabel668917263329[[#This Row],[VAT 2015]]</f>
        <v>0</v>
      </c>
      <c r="Q60" s="430"/>
      <c r="R60" s="1886"/>
      <c r="S60" s="1888"/>
      <c r="T60" s="1890"/>
      <c r="U60" s="1892"/>
      <c r="V60" s="1894"/>
      <c r="W60" s="1911"/>
      <c r="X60" s="1913"/>
      <c r="Y60" s="1915"/>
      <c r="Z60" s="1832"/>
      <c r="AA60" s="397"/>
      <c r="AB60" s="398"/>
      <c r="AC60" s="398"/>
      <c r="AD60" s="398"/>
      <c r="AE60" s="591" t="s">
        <v>429</v>
      </c>
      <c r="AF60" s="591"/>
      <c r="AG60" s="591" t="s">
        <v>429</v>
      </c>
      <c r="AH60" s="398"/>
      <c r="AI60" s="397"/>
    </row>
    <row r="61" spans="1:35" ht="15.75" hidden="1" x14ac:dyDescent="0.25">
      <c r="A61" s="2294"/>
      <c r="B61" s="1213"/>
      <c r="C61" s="735" t="s">
        <v>80</v>
      </c>
      <c r="D61" s="1880"/>
      <c r="E61" s="647">
        <f>'[1]exchange rates'!$M$13</f>
        <v>6.5138100000000003</v>
      </c>
      <c r="F61" s="686"/>
      <c r="G61" s="593"/>
      <c r="H61" s="594"/>
      <c r="I61" s="566">
        <f>Tabel668917263329[[#This Row],[Fix.ch. 2015]]+Tabel668917263329[[#This Row],[Var. ch. 2015]]+Tabel668917263329[[#This Row],[Oth. ch. DW 2015]]</f>
        <v>0</v>
      </c>
      <c r="J61" s="596"/>
      <c r="K61" s="626"/>
      <c r="L61" s="626"/>
      <c r="M61" s="597"/>
      <c r="N61" s="1238">
        <f>Tabel668917263329[[#This Row],[Sew. 2015]]+Tabel668917263329[[#This Row],[WW 2015]]+Tabel668917263329[[#This Row],[Other ch. 2015]]</f>
        <v>0</v>
      </c>
      <c r="O61" s="570"/>
      <c r="P61" s="571">
        <f>Tabel668917263329[[#This Row],[Total. ch. DW 2015]]+Tabel668917263329[[#This Row],[Sew. 2015]]+Tabel668917263329[[#This Row],[WW 2015]]+Tabel668917263329[[#This Row],[Other ch. 2015]]+Tabel668917263329[[#This Row],[VAT 2015]]</f>
        <v>0</v>
      </c>
      <c r="Q61" s="430"/>
      <c r="R61" s="1886"/>
      <c r="S61" s="1888"/>
      <c r="T61" s="1890"/>
      <c r="U61" s="1892"/>
      <c r="V61" s="1894"/>
      <c r="W61" s="1911"/>
      <c r="X61" s="1913"/>
      <c r="Y61" s="1915"/>
      <c r="Z61" s="1832"/>
      <c r="AA61" s="397"/>
      <c r="AB61" s="398"/>
      <c r="AC61" s="398"/>
      <c r="AD61" s="398"/>
      <c r="AE61" s="591" t="s">
        <v>429</v>
      </c>
      <c r="AF61" s="591"/>
      <c r="AG61" s="591" t="s">
        <v>429</v>
      </c>
      <c r="AH61" s="398"/>
      <c r="AI61" s="397"/>
    </row>
    <row r="62" spans="1:35" ht="15.75" hidden="1" x14ac:dyDescent="0.25">
      <c r="A62" s="2294"/>
      <c r="B62" s="1213"/>
      <c r="C62" s="735" t="s">
        <v>81</v>
      </c>
      <c r="D62" s="1880"/>
      <c r="E62" s="647">
        <f>'[1]exchange rates'!$M$13</f>
        <v>6.5138100000000003</v>
      </c>
      <c r="F62" s="686"/>
      <c r="G62" s="593"/>
      <c r="H62" s="594"/>
      <c r="I62" s="566">
        <f>Tabel668917263329[[#This Row],[Fix.ch. 2015]]+Tabel668917263329[[#This Row],[Var. ch. 2015]]+Tabel668917263329[[#This Row],[Oth. ch. DW 2015]]</f>
        <v>0</v>
      </c>
      <c r="J62" s="596"/>
      <c r="K62" s="626"/>
      <c r="L62" s="626"/>
      <c r="M62" s="597"/>
      <c r="N62" s="1238">
        <f>Tabel668917263329[[#This Row],[Sew. 2015]]+Tabel668917263329[[#This Row],[WW 2015]]+Tabel668917263329[[#This Row],[Other ch. 2015]]</f>
        <v>0</v>
      </c>
      <c r="O62" s="570"/>
      <c r="P62" s="571">
        <f>Tabel668917263329[[#This Row],[Total. ch. DW 2015]]+Tabel668917263329[[#This Row],[Sew. 2015]]+Tabel668917263329[[#This Row],[WW 2015]]+Tabel668917263329[[#This Row],[Other ch. 2015]]+Tabel668917263329[[#This Row],[VAT 2015]]</f>
        <v>0</v>
      </c>
      <c r="Q62" s="430"/>
      <c r="R62" s="1886"/>
      <c r="S62" s="1888"/>
      <c r="T62" s="1890"/>
      <c r="U62" s="1892"/>
      <c r="V62" s="1894"/>
      <c r="W62" s="1911"/>
      <c r="X62" s="1913"/>
      <c r="Y62" s="1915"/>
      <c r="Z62" s="1832"/>
      <c r="AA62" s="397"/>
      <c r="AB62" s="398"/>
      <c r="AC62" s="398"/>
      <c r="AD62" s="398"/>
      <c r="AE62" s="591" t="s">
        <v>429</v>
      </c>
      <c r="AF62" s="591"/>
      <c r="AG62" s="591" t="s">
        <v>429</v>
      </c>
      <c r="AH62" s="398"/>
      <c r="AI62" s="397"/>
    </row>
    <row r="63" spans="1:35" ht="16.5" hidden="1" thickBot="1" x14ac:dyDescent="0.3">
      <c r="A63" s="2295"/>
      <c r="B63" s="1213"/>
      <c r="C63" s="736" t="s">
        <v>468</v>
      </c>
      <c r="D63" s="1923"/>
      <c r="E63" s="647">
        <f>'[1]exchange rates'!$M$13</f>
        <v>6.5138100000000003</v>
      </c>
      <c r="F63" s="686"/>
      <c r="G63" s="593"/>
      <c r="H63" s="594"/>
      <c r="I63" s="566">
        <f>Tabel668917263329[[#This Row],[Fix.ch. 2015]]+Tabel668917263329[[#This Row],[Var. ch. 2015]]+Tabel668917263329[[#This Row],[Oth. ch. DW 2015]]</f>
        <v>0</v>
      </c>
      <c r="J63" s="596"/>
      <c r="K63" s="626"/>
      <c r="L63" s="626"/>
      <c r="M63" s="597"/>
      <c r="N63" s="1238">
        <f>Tabel668917263329[[#This Row],[Sew. 2015]]+Tabel668917263329[[#This Row],[WW 2015]]+Tabel668917263329[[#This Row],[Other ch. 2015]]</f>
        <v>0</v>
      </c>
      <c r="O63" s="570"/>
      <c r="P63" s="571">
        <f>Tabel668917263329[[#This Row],[Total. ch. DW 2015]]+Tabel668917263329[[#This Row],[Sew. 2015]]+Tabel668917263329[[#This Row],[WW 2015]]+Tabel668917263329[[#This Row],[Other ch. 2015]]+Tabel668917263329[[#This Row],[VAT 2015]]</f>
        <v>0</v>
      </c>
      <c r="Q63" s="430"/>
      <c r="R63" s="1764"/>
      <c r="S63" s="1767"/>
      <c r="T63" s="1770"/>
      <c r="U63" s="1776"/>
      <c r="V63" s="1779"/>
      <c r="W63" s="1811"/>
      <c r="X63" s="1813"/>
      <c r="Y63" s="1815"/>
      <c r="Z63" s="1794"/>
      <c r="AA63" s="397"/>
      <c r="AB63" s="398"/>
      <c r="AC63" s="398"/>
      <c r="AD63" s="398"/>
      <c r="AE63" s="591" t="s">
        <v>429</v>
      </c>
      <c r="AF63" s="591"/>
      <c r="AG63" s="591" t="s">
        <v>429</v>
      </c>
      <c r="AH63" s="398"/>
      <c r="AI63" s="397"/>
    </row>
    <row r="64" spans="1:35" ht="19.5" hidden="1" thickBot="1" x14ac:dyDescent="0.3">
      <c r="A64" s="694" t="s">
        <v>585</v>
      </c>
      <c r="B64" s="1620"/>
      <c r="C64" s="735" t="s">
        <v>84</v>
      </c>
      <c r="D64" s="1436">
        <v>57000</v>
      </c>
      <c r="E64" s="616">
        <f>'[1]exchange rates'!M14</f>
        <v>7.77562</v>
      </c>
      <c r="F64" s="625">
        <f>0</f>
        <v>0</v>
      </c>
      <c r="G64" s="593">
        <f>890.28/E64</f>
        <v>114.49633598349713</v>
      </c>
      <c r="H64" s="594">
        <v>0</v>
      </c>
      <c r="I64" s="566">
        <f>Tabel668917263329[[#This Row],[Fix.ch. 2015]]+Tabel668917263329[[#This Row],[Var. ch. 2015]]+Tabel668917263329[[#This Row],[Oth. ch. DW 2015]]</f>
        <v>114.49633598349713</v>
      </c>
      <c r="J64" s="596">
        <v>0</v>
      </c>
      <c r="K64" s="626">
        <f>434/E64</f>
        <v>55.815484810214492</v>
      </c>
      <c r="L64" s="626"/>
      <c r="M64" s="597">
        <v>0</v>
      </c>
      <c r="N64" s="1238">
        <f>Tabel668917263329[[#This Row],[Sew. 2015]]+Tabel668917263329[[#This Row],[WW 2015]]+Tabel668917263329[[#This Row],[Other ch. 2015]]</f>
        <v>55.815484810214492</v>
      </c>
      <c r="O64" s="570">
        <v>0</v>
      </c>
      <c r="P64" s="571">
        <f>Tabel668917263329[[#This Row],[Total. ch. DW 2015]]+Tabel668917263329[[#This Row],[Sew. 2015]]+Tabel668917263329[[#This Row],[WW 2015]]+Tabel668917263329[[#This Row],[Other ch. 2015]]+Tabel668917263329[[#This Row],[VAT 2015]]</f>
        <v>170.31182079371163</v>
      </c>
      <c r="Q64" s="397"/>
      <c r="R64" s="1437">
        <f>Tabel668917263329[[#This Row],[Fix.ch. 2015]]</f>
        <v>0</v>
      </c>
      <c r="S64" s="1438">
        <f>Tabel668917263329[[#This Row],[Var. ch. 2015]]</f>
        <v>114.49633598349713</v>
      </c>
      <c r="T64" s="1439">
        <f>Tabel668917263329[[#This Row],[Oth. ch. DW 2015]]</f>
        <v>0</v>
      </c>
      <c r="U64" s="1440">
        <f>SUM(R64:T64)</f>
        <v>114.49633598349713</v>
      </c>
      <c r="V64" s="1441">
        <f>Tabel668917263329[[#This Row],[Sew. 2015]]</f>
        <v>0</v>
      </c>
      <c r="W64" s="1442">
        <f>Tabel668917263329[[#This Row],[WW 2015]]</f>
        <v>55.815484810214492</v>
      </c>
      <c r="X64" s="1443">
        <f>Tabel668917263329[[#This Row],[Other ch. 2015]]</f>
        <v>0</v>
      </c>
      <c r="Y64" s="1444">
        <f>Tabel668917263329[[#This Row],[VAT 2015]]</f>
        <v>0</v>
      </c>
      <c r="Z64" s="1445">
        <f>SUM(U64:Y64)</f>
        <v>170.31182079371163</v>
      </c>
      <c r="AA64" s="397"/>
      <c r="AB64" s="398"/>
      <c r="AC64" s="396"/>
      <c r="AD64" s="398"/>
      <c r="AE64" s="398"/>
      <c r="AF64" s="398"/>
      <c r="AG64" s="398"/>
      <c r="AH64" s="398"/>
      <c r="AI64" s="397"/>
    </row>
    <row r="65" spans="1:35" ht="15.75" hidden="1" x14ac:dyDescent="0.25">
      <c r="A65" s="1818" t="s">
        <v>9</v>
      </c>
      <c r="B65" s="1213"/>
      <c r="C65" s="1435" t="s">
        <v>82</v>
      </c>
      <c r="D65" s="1759">
        <v>47500</v>
      </c>
      <c r="E65" s="616">
        <f>'[1]exchange rates'!$M$15</f>
        <v>33.06664</v>
      </c>
      <c r="F65" s="625">
        <f>780/E65</f>
        <v>23.588728700587662</v>
      </c>
      <c r="G65" s="593">
        <f>956/E65</f>
        <v>28.911313638156159</v>
      </c>
      <c r="H65" s="594">
        <v>0</v>
      </c>
      <c r="I65" s="566">
        <f>Tabel668917263329[[#This Row],[Fix.ch. 2015]]+Tabel668917263329[[#This Row],[Var. ch. 2015]]+Tabel668917263329[[#This Row],[Oth. ch. DW 2015]]</f>
        <v>52.500042338743825</v>
      </c>
      <c r="J65" s="596">
        <f>1000/E65</f>
        <v>30.241959872548286</v>
      </c>
      <c r="K65" s="626">
        <v>0</v>
      </c>
      <c r="L65" s="626"/>
      <c r="M65" s="597">
        <f>40/E65</f>
        <v>1.2096783949019314</v>
      </c>
      <c r="N65" s="1238">
        <f>Tabel668917263329[[#This Row],[Sew. 2015]]+Tabel668917263329[[#This Row],[WW 2015]]+Tabel668917263329[[#This Row],[Other ch. 2015]]</f>
        <v>31.451638267450218</v>
      </c>
      <c r="O65" s="570">
        <f>87/E65</f>
        <v>2.6310505089117009</v>
      </c>
      <c r="P65" s="571">
        <f>Tabel668917263329[[#This Row],[Total. ch. DW 2015]]+Tabel668917263329[[#This Row],[Sew. 2015]]+Tabel668917263329[[#This Row],[WW 2015]]+Tabel668917263329[[#This Row],[Other ch. 2015]]+Tabel668917263329[[#This Row],[VAT 2015]]</f>
        <v>86.582731115105744</v>
      </c>
      <c r="Q65" s="397"/>
      <c r="R65" s="1762">
        <f t="shared" ref="R65:W65" si="16">SUM(F65:F66)/2</f>
        <v>26.068569410136622</v>
      </c>
      <c r="S65" s="1765">
        <f t="shared" si="16"/>
        <v>38.044385519665738</v>
      </c>
      <c r="T65" s="1768">
        <f t="shared" si="16"/>
        <v>1.1794364350293831</v>
      </c>
      <c r="U65" s="1774">
        <f t="shared" si="16"/>
        <v>65.292391364831744</v>
      </c>
      <c r="V65" s="1777">
        <f t="shared" si="16"/>
        <v>30.241959872548286</v>
      </c>
      <c r="W65" s="1810">
        <f t="shared" si="16"/>
        <v>0</v>
      </c>
      <c r="X65" s="1812">
        <f>SUM(M65:M66)/2</f>
        <v>12.701623146470279</v>
      </c>
      <c r="Y65" s="1814">
        <f t="shared" ref="Y65:Z65" si="17">SUM(O65:O66)/2</f>
        <v>2.9788330474460061</v>
      </c>
      <c r="Z65" s="1793">
        <f t="shared" si="17"/>
        <v>111.21480743129632</v>
      </c>
      <c r="AA65" s="397"/>
      <c r="AB65" s="398"/>
      <c r="AC65" s="398"/>
      <c r="AD65" s="398"/>
      <c r="AE65" s="591" t="s">
        <v>429</v>
      </c>
      <c r="AF65" s="591" t="s">
        <v>429</v>
      </c>
      <c r="AG65" s="591" t="s">
        <v>429</v>
      </c>
      <c r="AH65" s="398"/>
      <c r="AI65" s="397"/>
    </row>
    <row r="66" spans="1:35" ht="16.5" hidden="1" thickBot="1" x14ac:dyDescent="0.3">
      <c r="A66" s="2295"/>
      <c r="B66" s="1213"/>
      <c r="C66" s="735" t="s">
        <v>83</v>
      </c>
      <c r="D66" s="1761"/>
      <c r="E66" s="616">
        <f>'[1]exchange rates'!$M$15</f>
        <v>33.06664</v>
      </c>
      <c r="F66" s="625">
        <f>944/E66</f>
        <v>28.548410119685581</v>
      </c>
      <c r="G66" s="593">
        <f>1560/E66</f>
        <v>47.177457401175324</v>
      </c>
      <c r="H66" s="594">
        <f>78/E66</f>
        <v>2.3588728700587662</v>
      </c>
      <c r="I66" s="566">
        <f>Tabel668917263329[[#This Row],[Fix.ch. 2015]]+Tabel668917263329[[#This Row],[Var. ch. 2015]]+Tabel668917263329[[#This Row],[Oth. ch. DW 2015]]</f>
        <v>78.084740390919663</v>
      </c>
      <c r="J66" s="596">
        <f>1000/E66</f>
        <v>30.241959872548286</v>
      </c>
      <c r="K66" s="626">
        <v>0</v>
      </c>
      <c r="L66" s="626"/>
      <c r="M66" s="597">
        <f>800/E66</f>
        <v>24.193567898038626</v>
      </c>
      <c r="N66" s="1238">
        <f>Tabel668917263329[[#This Row],[Sew. 2015]]+Tabel668917263329[[#This Row],[WW 2015]]+Tabel668917263329[[#This Row],[Other ch. 2015]]</f>
        <v>54.435527770586916</v>
      </c>
      <c r="O66" s="570">
        <f>110/E66</f>
        <v>3.3266155859803113</v>
      </c>
      <c r="P66" s="571">
        <f>Tabel668917263329[[#This Row],[Total. ch. DW 2015]]+Tabel668917263329[[#This Row],[Sew. 2015]]+Tabel668917263329[[#This Row],[WW 2015]]+Tabel668917263329[[#This Row],[Other ch. 2015]]+Tabel668917263329[[#This Row],[VAT 2015]]</f>
        <v>135.84688374748688</v>
      </c>
      <c r="Q66" s="397"/>
      <c r="R66" s="1764"/>
      <c r="S66" s="1767"/>
      <c r="T66" s="1770"/>
      <c r="U66" s="1776"/>
      <c r="V66" s="1779"/>
      <c r="W66" s="1811"/>
      <c r="X66" s="1813"/>
      <c r="Y66" s="1815"/>
      <c r="Z66" s="1794"/>
      <c r="AA66" s="397"/>
      <c r="AB66" s="398"/>
      <c r="AC66" s="398"/>
      <c r="AD66" s="398"/>
      <c r="AE66" s="591" t="s">
        <v>429</v>
      </c>
      <c r="AF66" s="591" t="s">
        <v>429</v>
      </c>
      <c r="AG66" s="591" t="s">
        <v>429</v>
      </c>
      <c r="AH66" s="398"/>
      <c r="AI66" s="397"/>
    </row>
    <row r="67" spans="1:35" ht="15.75" hidden="1" x14ac:dyDescent="0.25">
      <c r="A67" s="1878" t="s">
        <v>10</v>
      </c>
      <c r="B67" s="1213"/>
      <c r="C67" s="693" t="s">
        <v>85</v>
      </c>
      <c r="D67" s="1759">
        <v>31000</v>
      </c>
      <c r="E67" s="617">
        <f>'[1]exchange rates'!$M$16</f>
        <v>0.92093999999999998</v>
      </c>
      <c r="F67" s="625">
        <f>66/E67</f>
        <v>71.665906573718161</v>
      </c>
      <c r="G67" s="593">
        <f>228/E67</f>
        <v>247.57313180011727</v>
      </c>
      <c r="H67" s="594">
        <v>0</v>
      </c>
      <c r="I67" s="566">
        <f>Tabel668917263329[[#This Row],[Fix.ch. 2015]]+Tabel668917263329[[#This Row],[Var. ch. 2015]]+Tabel668917263329[[#This Row],[Oth. ch. DW 2015]]</f>
        <v>319.23903837383546</v>
      </c>
      <c r="J67" s="596">
        <f>100/E67</f>
        <v>108.58470692987599</v>
      </c>
      <c r="K67" s="626">
        <f>160/E67</f>
        <v>173.7355310878016</v>
      </c>
      <c r="L67" s="626"/>
      <c r="M67" s="597">
        <f>40/E67</f>
        <v>43.433882771950401</v>
      </c>
      <c r="N67" s="1238">
        <f>Tabel668917263329[[#This Row],[Sew. 2015]]+Tabel668917263329[[#This Row],[WW 2015]]+Tabel668917263329[[#This Row],[Other ch. 2015]]</f>
        <v>325.75412078962796</v>
      </c>
      <c r="O67" s="570">
        <f>14.7/E67</f>
        <v>15.961951918691771</v>
      </c>
      <c r="P67" s="571">
        <f>Tabel668917263329[[#This Row],[Total. ch. DW 2015]]+Tabel668917263329[[#This Row],[Sew. 2015]]+Tabel668917263329[[#This Row],[WW 2015]]+Tabel668917263329[[#This Row],[Other ch. 2015]]+Tabel668917263329[[#This Row],[VAT 2015]]</f>
        <v>660.95511108215521</v>
      </c>
      <c r="Q67" s="397"/>
      <c r="R67" s="1762">
        <f t="shared" ref="R67:W67" si="18">SUM(F67:F70)/4</f>
        <v>60.264512346081176</v>
      </c>
      <c r="S67" s="1765">
        <f t="shared" si="18"/>
        <v>237.96338523682326</v>
      </c>
      <c r="T67" s="1768">
        <f t="shared" si="18"/>
        <v>0</v>
      </c>
      <c r="U67" s="1774">
        <f t="shared" si="18"/>
        <v>298.22789758290446</v>
      </c>
      <c r="V67" s="1777">
        <f t="shared" si="18"/>
        <v>112.92809520707104</v>
      </c>
      <c r="W67" s="1810">
        <f t="shared" si="18"/>
        <v>183.0113796772863</v>
      </c>
      <c r="X67" s="1812">
        <f>SUM(M67:M70)/4</f>
        <v>29.589332638391209</v>
      </c>
      <c r="Y67" s="1814">
        <f t="shared" ref="Y67:Z67" si="19">SUM(O67:O70)/4</f>
        <v>14.91139487914522</v>
      </c>
      <c r="Z67" s="1793">
        <f t="shared" si="19"/>
        <v>638.66809998479812</v>
      </c>
      <c r="AA67" s="397"/>
      <c r="AB67" s="398"/>
      <c r="AC67" s="398"/>
      <c r="AD67" s="398"/>
      <c r="AE67" s="591" t="s">
        <v>429</v>
      </c>
      <c r="AF67" s="591" t="s">
        <v>429</v>
      </c>
      <c r="AG67" s="591" t="s">
        <v>429</v>
      </c>
      <c r="AH67" s="398"/>
      <c r="AI67" s="397"/>
    </row>
    <row r="68" spans="1:35" ht="15.75" hidden="1" x14ac:dyDescent="0.25">
      <c r="A68" s="1757"/>
      <c r="B68" s="1213"/>
      <c r="C68" s="639" t="s">
        <v>1347</v>
      </c>
      <c r="D68" s="1760"/>
      <c r="E68" s="617">
        <f>'[1]exchange rates'!$M$16</f>
        <v>0.92093999999999998</v>
      </c>
      <c r="F68" s="625">
        <f>42/E68</f>
        <v>45.605576910547917</v>
      </c>
      <c r="G68" s="593">
        <f>220/E68</f>
        <v>238.8863552457272</v>
      </c>
      <c r="H68" s="594">
        <f>0</f>
        <v>0</v>
      </c>
      <c r="I68" s="566">
        <f>Tabel668917263329[[#This Row],[Fix.ch. 2015]]+Tabel668917263329[[#This Row],[Var. ch. 2015]]+Tabel668917263329[[#This Row],[Oth. ch. DW 2015]]</f>
        <v>284.49193215627514</v>
      </c>
      <c r="J68" s="596">
        <f>110/E68</f>
        <v>119.4431776228636</v>
      </c>
      <c r="K68" s="626">
        <f>225.12/E68</f>
        <v>244.44589224053686</v>
      </c>
      <c r="L68" s="626"/>
      <c r="M68" s="597">
        <f>0</f>
        <v>0</v>
      </c>
      <c r="N68" s="1238">
        <f>Tabel668917263329[[#This Row],[Sew. 2015]]+Tabel668917263329[[#This Row],[WW 2015]]+Tabel668917263329[[#This Row],[Other ch. 2015]]</f>
        <v>363.88906986340044</v>
      </c>
      <c r="O68" s="570">
        <f>13.1/E68</f>
        <v>14.224596607813755</v>
      </c>
      <c r="P68" s="571">
        <f>Tabel668917263329[[#This Row],[Total. ch. DW 2015]]+Tabel668917263329[[#This Row],[Sew. 2015]]+Tabel668917263329[[#This Row],[WW 2015]]+Tabel668917263329[[#This Row],[Other ch. 2015]]+Tabel668917263329[[#This Row],[VAT 2015]]</f>
        <v>662.60559862748937</v>
      </c>
      <c r="Q68" s="397"/>
      <c r="R68" s="1763"/>
      <c r="S68" s="1766"/>
      <c r="T68" s="1769"/>
      <c r="U68" s="1775"/>
      <c r="V68" s="1778"/>
      <c r="W68" s="1781"/>
      <c r="X68" s="1785"/>
      <c r="Y68" s="1788"/>
      <c r="Z68" s="1791"/>
      <c r="AA68" s="397"/>
      <c r="AB68" s="398"/>
      <c r="AC68" s="398"/>
      <c r="AD68" s="398"/>
      <c r="AE68" s="591" t="s">
        <v>429</v>
      </c>
      <c r="AF68" s="591" t="s">
        <v>429</v>
      </c>
      <c r="AG68" s="591" t="s">
        <v>429</v>
      </c>
      <c r="AH68" s="398"/>
      <c r="AI68" s="397"/>
    </row>
    <row r="69" spans="1:35" ht="15.75" hidden="1" x14ac:dyDescent="0.25">
      <c r="A69" s="1757"/>
      <c r="B69" s="1213"/>
      <c r="C69" s="639" t="s">
        <v>1348</v>
      </c>
      <c r="D69" s="1760"/>
      <c r="E69" s="617">
        <f>'[1]exchange rates'!$M$16</f>
        <v>0.92093999999999998</v>
      </c>
      <c r="F69" s="625">
        <f>66/E69</f>
        <v>71.665906573718161</v>
      </c>
      <c r="G69" s="593">
        <f>220/E69</f>
        <v>238.8863552457272</v>
      </c>
      <c r="H69" s="594">
        <v>0</v>
      </c>
      <c r="I69" s="566">
        <f>Tabel668917263329[[#This Row],[Fix.ch. 2015]]+Tabel668917263329[[#This Row],[Var. ch. 2015]]+Tabel668917263329[[#This Row],[Oth. ch. DW 2015]]</f>
        <v>310.55226181944533</v>
      </c>
      <c r="J69" s="596">
        <f>120/E69</f>
        <v>130.3016483158512</v>
      </c>
      <c r="K69" s="626">
        <f>157.05/E69</f>
        <v>170.53228223337027</v>
      </c>
      <c r="L69" s="626"/>
      <c r="M69" s="597">
        <f>36/E69</f>
        <v>39.090494494755362</v>
      </c>
      <c r="N69" s="1238">
        <f>Tabel668917263329[[#This Row],[Sew. 2015]]+Tabel668917263329[[#This Row],[WW 2015]]+Tabel668917263329[[#This Row],[Other ch. 2015]]</f>
        <v>339.92442504397684</v>
      </c>
      <c r="O69" s="570">
        <f>14.3/E69</f>
        <v>15.527613090972268</v>
      </c>
      <c r="P69" s="571">
        <f>Tabel668917263329[[#This Row],[Total. ch. DW 2015]]+Tabel668917263329[[#This Row],[Sew. 2015]]+Tabel668917263329[[#This Row],[WW 2015]]+Tabel668917263329[[#This Row],[Other ch. 2015]]+Tabel668917263329[[#This Row],[VAT 2015]]</f>
        <v>666.00429995439447</v>
      </c>
      <c r="Q69" s="397"/>
      <c r="R69" s="1763"/>
      <c r="S69" s="1766"/>
      <c r="T69" s="1769"/>
      <c r="U69" s="1775"/>
      <c r="V69" s="1778"/>
      <c r="W69" s="1781"/>
      <c r="X69" s="1785"/>
      <c r="Y69" s="1788"/>
      <c r="Z69" s="1791"/>
      <c r="AA69" s="397"/>
      <c r="AB69" s="398"/>
      <c r="AC69" s="398"/>
      <c r="AD69" s="398"/>
      <c r="AE69" s="591" t="s">
        <v>429</v>
      </c>
      <c r="AF69" s="591" t="s">
        <v>429</v>
      </c>
      <c r="AG69" s="591" t="s">
        <v>429</v>
      </c>
      <c r="AH69" s="398"/>
      <c r="AI69" s="397"/>
    </row>
    <row r="70" spans="1:35" ht="16.5" hidden="1" thickBot="1" x14ac:dyDescent="0.3">
      <c r="A70" s="1758"/>
      <c r="B70" s="1213"/>
      <c r="C70" s="652" t="s">
        <v>86</v>
      </c>
      <c r="D70" s="1761"/>
      <c r="E70" s="617">
        <f>'[1]exchange rates'!$M$16</f>
        <v>0.92093999999999998</v>
      </c>
      <c r="F70" s="625">
        <f>48/E70</f>
        <v>52.12065932634048</v>
      </c>
      <c r="G70" s="593">
        <f>208.6/E70</f>
        <v>226.50769865572133</v>
      </c>
      <c r="H70" s="594">
        <v>0</v>
      </c>
      <c r="I70" s="566">
        <f>Tabel668917263329[[#This Row],[Fix.ch. 2015]]+Tabel668917263329[[#This Row],[Var. ch. 2015]]+Tabel668917263329[[#This Row],[Oth. ch. DW 2015]]</f>
        <v>278.6283579820618</v>
      </c>
      <c r="J70" s="596">
        <f>86/E70</f>
        <v>93.382847959693365</v>
      </c>
      <c r="K70" s="626">
        <f>132/E70</f>
        <v>143.33181314743632</v>
      </c>
      <c r="L70" s="626"/>
      <c r="M70" s="597">
        <f>33/E70</f>
        <v>35.83295328685908</v>
      </c>
      <c r="N70" s="1238">
        <f>Tabel668917263329[[#This Row],[Sew. 2015]]+Tabel668917263329[[#This Row],[WW 2015]]+Tabel668917263329[[#This Row],[Other ch. 2015]]</f>
        <v>272.54761439398879</v>
      </c>
      <c r="O70" s="570">
        <f>12.83/E70</f>
        <v>13.93141789910309</v>
      </c>
      <c r="P70" s="571">
        <f>Tabel668917263329[[#This Row],[Total. ch. DW 2015]]+Tabel668917263329[[#This Row],[Sew. 2015]]+Tabel668917263329[[#This Row],[WW 2015]]+Tabel668917263329[[#This Row],[Other ch. 2015]]+Tabel668917263329[[#This Row],[VAT 2015]]</f>
        <v>565.10739027515365</v>
      </c>
      <c r="Q70" s="397"/>
      <c r="R70" s="1764"/>
      <c r="S70" s="1767"/>
      <c r="T70" s="1770"/>
      <c r="U70" s="1776"/>
      <c r="V70" s="1779"/>
      <c r="W70" s="1811"/>
      <c r="X70" s="1813"/>
      <c r="Y70" s="1815"/>
      <c r="Z70" s="1794"/>
      <c r="AA70" s="397"/>
      <c r="AB70" s="398"/>
      <c r="AC70" s="398"/>
      <c r="AD70" s="398"/>
      <c r="AE70" s="591" t="s">
        <v>429</v>
      </c>
      <c r="AF70" s="591" t="s">
        <v>429</v>
      </c>
      <c r="AG70" s="591" t="s">
        <v>429</v>
      </c>
      <c r="AH70" s="398"/>
      <c r="AI70" s="397"/>
    </row>
    <row r="71" spans="1:35" ht="15.75" hidden="1" x14ac:dyDescent="0.25">
      <c r="A71" s="1818" t="s">
        <v>11</v>
      </c>
      <c r="B71" s="1213"/>
      <c r="C71" s="543" t="s">
        <v>87</v>
      </c>
      <c r="D71" s="1759">
        <v>45800</v>
      </c>
      <c r="E71" s="661">
        <f>'[1]exchange rates'!$M$17</f>
        <v>6.8727499999999999</v>
      </c>
      <c r="F71" s="625">
        <f>975.04/E71</f>
        <v>141.87043032265103</v>
      </c>
      <c r="G71" s="593">
        <f>879.6/E71</f>
        <v>127.9837037575934</v>
      </c>
      <c r="H71" s="594">
        <f>1306/E71</f>
        <v>190.02582663417118</v>
      </c>
      <c r="I71" s="566">
        <f>Tabel668917263329[[#This Row],[Fix.ch. 2015]]+Tabel668917263329[[#This Row],[Var. ch. 2015]]+Tabel668917263329[[#This Row],[Oth. ch. DW 2015]]</f>
        <v>459.87996071441557</v>
      </c>
      <c r="J71" s="596">
        <v>0</v>
      </c>
      <c r="K71" s="626">
        <f>4536/E71</f>
        <v>659.99781746753479</v>
      </c>
      <c r="L71" s="626"/>
      <c r="M71" s="597">
        <f>116/E71</f>
        <v>16.878251063984578</v>
      </c>
      <c r="N71" s="1238">
        <f>Tabel668917263329[[#This Row],[Sew. 2015]]+Tabel668917263329[[#This Row],[WW 2015]]+Tabel668917263329[[#This Row],[Other ch. 2015]]</f>
        <v>676.87606853151942</v>
      </c>
      <c r="O71" s="570">
        <f>1953.16/E71</f>
        <v>284.18900731148375</v>
      </c>
      <c r="P71" s="571">
        <f>Tabel668917263329[[#This Row],[Total. ch. DW 2015]]+Tabel668917263329[[#This Row],[Sew. 2015]]+Tabel668917263329[[#This Row],[WW 2015]]+Tabel668917263329[[#This Row],[Other ch. 2015]]+Tabel668917263329[[#This Row],[VAT 2015]]</f>
        <v>1420.9450365574187</v>
      </c>
      <c r="Q71" s="397"/>
      <c r="R71" s="1762">
        <f t="shared" ref="R71:W71" si="20">SUM(F71:F75)/5</f>
        <v>88.78658470044742</v>
      </c>
      <c r="S71" s="1765">
        <f t="shared" si="20"/>
        <v>217.56647630133497</v>
      </c>
      <c r="T71" s="1768">
        <f t="shared" si="20"/>
        <v>190.02582663417118</v>
      </c>
      <c r="U71" s="1774">
        <f t="shared" si="20"/>
        <v>496.37888763595367</v>
      </c>
      <c r="V71" s="1777">
        <f t="shared" si="20"/>
        <v>0</v>
      </c>
      <c r="W71" s="1810">
        <f t="shared" si="20"/>
        <v>702.91047979338691</v>
      </c>
      <c r="X71" s="1812">
        <f>SUM(M71:M75)/5</f>
        <v>15.19042595758612</v>
      </c>
      <c r="Y71" s="1814">
        <f t="shared" ref="Y71:Z71" si="21">SUM(O71:O75)/5</f>
        <v>303.61994834673158</v>
      </c>
      <c r="Z71" s="1793">
        <f t="shared" si="21"/>
        <v>1518.0997417336584</v>
      </c>
      <c r="AA71" s="397"/>
      <c r="AB71" s="396"/>
      <c r="AC71" s="591" t="s">
        <v>429</v>
      </c>
      <c r="AD71" s="591"/>
      <c r="AE71" s="591"/>
      <c r="AF71" s="591" t="s">
        <v>429</v>
      </c>
      <c r="AG71" s="591" t="s">
        <v>429</v>
      </c>
      <c r="AH71" s="396"/>
      <c r="AI71" s="397"/>
    </row>
    <row r="72" spans="1:35" ht="15.75" hidden="1" x14ac:dyDescent="0.25">
      <c r="A72" s="2294"/>
      <c r="B72" s="1213"/>
      <c r="C72" s="543" t="s">
        <v>213</v>
      </c>
      <c r="D72" s="1880"/>
      <c r="E72" s="661">
        <f>'[1]exchange rates'!$M$17</f>
        <v>6.8727499999999999</v>
      </c>
      <c r="F72" s="625">
        <f>550/E72</f>
        <v>80.026190389582041</v>
      </c>
      <c r="G72" s="593">
        <f>2142/E72</f>
        <v>311.6656360263359</v>
      </c>
      <c r="H72" s="594">
        <f t="shared" ref="H72:H75" si="22">1306/E72</f>
        <v>190.02582663417118</v>
      </c>
      <c r="I72" s="566">
        <f>Tabel668917263329[[#This Row],[Fix.ch. 2015]]+Tabel668917263329[[#This Row],[Var. ch. 2015]]+Tabel668917263329[[#This Row],[Oth. ch. DW 2015]]</f>
        <v>581.7176530500891</v>
      </c>
      <c r="J72" s="596">
        <v>0</v>
      </c>
      <c r="K72" s="626">
        <f>5374.4/E72</f>
        <v>781.98683205412681</v>
      </c>
      <c r="L72" s="626"/>
      <c r="M72" s="597">
        <f>100/E72</f>
        <v>14.550216434469464</v>
      </c>
      <c r="N72" s="1238">
        <f>Tabel668917263329[[#This Row],[Sew. 2015]]+Tabel668917263329[[#This Row],[WW 2015]]+Tabel668917263329[[#This Row],[Other ch. 2015]]</f>
        <v>796.53704848859627</v>
      </c>
      <c r="O72" s="570">
        <f>2368.1/E72</f>
        <v>344.56367538467134</v>
      </c>
      <c r="P72" s="571">
        <f>Tabel668917263329[[#This Row],[Total. ch. DW 2015]]+Tabel668917263329[[#This Row],[Sew. 2015]]+Tabel668917263329[[#This Row],[WW 2015]]+Tabel668917263329[[#This Row],[Other ch. 2015]]+Tabel668917263329[[#This Row],[VAT 2015]]</f>
        <v>1722.8183769233569</v>
      </c>
      <c r="Q72" s="397"/>
      <c r="R72" s="1886"/>
      <c r="S72" s="1888"/>
      <c r="T72" s="1890"/>
      <c r="U72" s="1892"/>
      <c r="V72" s="1894"/>
      <c r="W72" s="1911"/>
      <c r="X72" s="1913"/>
      <c r="Y72" s="1915"/>
      <c r="Z72" s="1832"/>
      <c r="AA72" s="397"/>
      <c r="AB72" s="396"/>
      <c r="AC72" s="591" t="s">
        <v>429</v>
      </c>
      <c r="AD72" s="591"/>
      <c r="AE72" s="591"/>
      <c r="AF72" s="591" t="s">
        <v>429</v>
      </c>
      <c r="AG72" s="591" t="s">
        <v>429</v>
      </c>
      <c r="AH72" s="396"/>
      <c r="AI72" s="397"/>
    </row>
    <row r="73" spans="1:35" ht="15.75" hidden="1" x14ac:dyDescent="0.25">
      <c r="A73" s="2294"/>
      <c r="B73" s="1213"/>
      <c r="C73" s="543" t="s">
        <v>88</v>
      </c>
      <c r="D73" s="1880"/>
      <c r="E73" s="661">
        <f>'[1]exchange rates'!$M$17</f>
        <v>6.8727499999999999</v>
      </c>
      <c r="F73" s="625">
        <f>384/E73</f>
        <v>55.872831108362739</v>
      </c>
      <c r="G73" s="593">
        <f>1734/E73</f>
        <v>252.3007529737005</v>
      </c>
      <c r="H73" s="594">
        <f t="shared" si="22"/>
        <v>190.02582663417118</v>
      </c>
      <c r="I73" s="566">
        <f>Tabel668917263329[[#This Row],[Fix.ch. 2015]]+Tabel668917263329[[#This Row],[Var. ch. 2015]]+Tabel668917263329[[#This Row],[Oth. ch. DW 2015]]</f>
        <v>498.19941071623441</v>
      </c>
      <c r="J73" s="596">
        <v>0</v>
      </c>
      <c r="K73" s="626">
        <f>2846.4/E73</f>
        <v>414.15736059073879</v>
      </c>
      <c r="L73" s="626"/>
      <c r="M73" s="597">
        <f>112/E73</f>
        <v>16.296242406605799</v>
      </c>
      <c r="N73" s="1238">
        <f>Tabel668917263329[[#This Row],[Sew. 2015]]+Tabel668917263329[[#This Row],[WW 2015]]+Tabel668917263329[[#This Row],[Other ch. 2015]]</f>
        <v>430.4536029973446</v>
      </c>
      <c r="O73" s="570">
        <f>1595.6/E73</f>
        <v>232.16325342839474</v>
      </c>
      <c r="P73" s="571">
        <f>Tabel668917263329[[#This Row],[Total. ch. DW 2015]]+Tabel668917263329[[#This Row],[Sew. 2015]]+Tabel668917263329[[#This Row],[WW 2015]]+Tabel668917263329[[#This Row],[Other ch. 2015]]+Tabel668917263329[[#This Row],[VAT 2015]]</f>
        <v>1160.8162671419736</v>
      </c>
      <c r="Q73" s="397"/>
      <c r="R73" s="1886"/>
      <c r="S73" s="1888"/>
      <c r="T73" s="1890"/>
      <c r="U73" s="1892"/>
      <c r="V73" s="1894"/>
      <c r="W73" s="1911"/>
      <c r="X73" s="1913"/>
      <c r="Y73" s="1915"/>
      <c r="Z73" s="1832"/>
      <c r="AA73" s="397"/>
      <c r="AB73" s="396"/>
      <c r="AC73" s="591" t="s">
        <v>429</v>
      </c>
      <c r="AD73" s="591"/>
      <c r="AE73" s="591"/>
      <c r="AF73" s="591" t="s">
        <v>429</v>
      </c>
      <c r="AG73" s="591" t="s">
        <v>429</v>
      </c>
      <c r="AH73" s="396"/>
      <c r="AI73" s="397"/>
    </row>
    <row r="74" spans="1:35" ht="15.75" hidden="1" x14ac:dyDescent="0.25">
      <c r="A74" s="2294"/>
      <c r="B74" s="1213"/>
      <c r="C74" s="543" t="s">
        <v>89</v>
      </c>
      <c r="D74" s="1880"/>
      <c r="E74" s="661">
        <f>'[1]exchange rates'!$M$17</f>
        <v>6.8727499999999999</v>
      </c>
      <c r="F74" s="625">
        <f>662/E74</f>
        <v>96.32243279618784</v>
      </c>
      <c r="G74" s="593">
        <f>970.8/E74</f>
        <v>141.25350114582955</v>
      </c>
      <c r="H74" s="594">
        <f t="shared" si="22"/>
        <v>190.02582663417118</v>
      </c>
      <c r="I74" s="566">
        <f>Tabel668917263329[[#This Row],[Fix.ch. 2015]]+Tabel668917263329[[#This Row],[Var. ch. 2015]]+Tabel668917263329[[#This Row],[Oth. ch. DW 2015]]</f>
        <v>427.60176057618855</v>
      </c>
      <c r="J74" s="596">
        <v>0</v>
      </c>
      <c r="K74" s="626">
        <f>5169.04/E74</f>
        <v>752.10650758430029</v>
      </c>
      <c r="L74" s="626"/>
      <c r="M74" s="597">
        <f>92/E74</f>
        <v>13.386199119711906</v>
      </c>
      <c r="N74" s="1238">
        <f>Tabel668917263329[[#This Row],[Sew. 2015]]+Tabel668917263329[[#This Row],[WW 2015]]+Tabel668917263329[[#This Row],[Other ch. 2015]]</f>
        <v>765.49270670401222</v>
      </c>
      <c r="O74" s="570">
        <f>2049.96/E74</f>
        <v>298.27361682005022</v>
      </c>
      <c r="P74" s="571">
        <f>Tabel668917263329[[#This Row],[Total. ch. DW 2015]]+Tabel668917263329[[#This Row],[Sew. 2015]]+Tabel668917263329[[#This Row],[WW 2015]]+Tabel668917263329[[#This Row],[Other ch. 2015]]+Tabel668917263329[[#This Row],[VAT 2015]]</f>
        <v>1491.3680841002508</v>
      </c>
      <c r="Q74" s="397"/>
      <c r="R74" s="1886"/>
      <c r="S74" s="1888"/>
      <c r="T74" s="1890"/>
      <c r="U74" s="1892"/>
      <c r="V74" s="1894"/>
      <c r="W74" s="1911"/>
      <c r="X74" s="1913"/>
      <c r="Y74" s="1915"/>
      <c r="Z74" s="1832"/>
      <c r="AA74" s="397"/>
      <c r="AB74" s="396"/>
      <c r="AC74" s="591" t="s">
        <v>429</v>
      </c>
      <c r="AD74" s="591"/>
      <c r="AE74" s="591"/>
      <c r="AF74" s="591" t="s">
        <v>429</v>
      </c>
      <c r="AG74" s="591" t="s">
        <v>429</v>
      </c>
      <c r="AH74" s="396"/>
      <c r="AI74" s="397"/>
    </row>
    <row r="75" spans="1:35" ht="16.5" hidden="1" thickBot="1" x14ac:dyDescent="0.3">
      <c r="A75" s="2295"/>
      <c r="B75" s="1213"/>
      <c r="C75" s="544" t="s">
        <v>90</v>
      </c>
      <c r="D75" s="1923"/>
      <c r="E75" s="661">
        <f>'[1]exchange rates'!$M$17</f>
        <v>6.8727499999999999</v>
      </c>
      <c r="F75" s="625">
        <f>480/E75</f>
        <v>69.841038885453429</v>
      </c>
      <c r="G75" s="593">
        <f>1750/E75</f>
        <v>254.62878760321561</v>
      </c>
      <c r="H75" s="594">
        <f t="shared" si="22"/>
        <v>190.02582663417118</v>
      </c>
      <c r="I75" s="566">
        <f>Tabel668917263329[[#This Row],[Fix.ch. 2015]]+Tabel668917263329[[#This Row],[Var. ch. 2015]]+Tabel668917263329[[#This Row],[Oth. ch. DW 2015]]</f>
        <v>514.49565312284017</v>
      </c>
      <c r="J75" s="596">
        <v>0</v>
      </c>
      <c r="K75" s="626">
        <f>6228.8/E75</f>
        <v>906.30388127023389</v>
      </c>
      <c r="L75" s="626"/>
      <c r="M75" s="597">
        <f>102/E75</f>
        <v>14.841220763158852</v>
      </c>
      <c r="N75" s="1238">
        <f>Tabel668917263329[[#This Row],[Sew. 2015]]+Tabel668917263329[[#This Row],[WW 2015]]+Tabel668917263329[[#This Row],[Other ch. 2015]]</f>
        <v>921.14510203339273</v>
      </c>
      <c r="O75" s="570">
        <f>2466.7/E75</f>
        <v>358.91018878905822</v>
      </c>
      <c r="P75" s="571">
        <f>Tabel668917263329[[#This Row],[Total. ch. DW 2015]]+Tabel668917263329[[#This Row],[Sew. 2015]]+Tabel668917263329[[#This Row],[WW 2015]]+Tabel668917263329[[#This Row],[Other ch. 2015]]+Tabel668917263329[[#This Row],[VAT 2015]]</f>
        <v>1794.5509439452912</v>
      </c>
      <c r="Q75" s="397"/>
      <c r="R75" s="1970"/>
      <c r="S75" s="1973"/>
      <c r="T75" s="1976"/>
      <c r="U75" s="1979"/>
      <c r="V75" s="1982"/>
      <c r="W75" s="1956"/>
      <c r="X75" s="1959"/>
      <c r="Y75" s="1962"/>
      <c r="Z75" s="1965"/>
      <c r="AA75" s="397"/>
      <c r="AB75" s="396"/>
      <c r="AC75" s="591" t="s">
        <v>429</v>
      </c>
      <c r="AD75" s="591"/>
      <c r="AE75" s="591"/>
      <c r="AF75" s="591" t="s">
        <v>429</v>
      </c>
      <c r="AG75" s="591" t="s">
        <v>429</v>
      </c>
      <c r="AH75" s="396"/>
      <c r="AI75" s="397"/>
    </row>
    <row r="76" spans="1:35" ht="15.75" hidden="1" x14ac:dyDescent="0.25">
      <c r="A76" s="1818" t="s">
        <v>12</v>
      </c>
      <c r="B76" s="1213"/>
      <c r="C76" s="1446" t="s">
        <v>91</v>
      </c>
      <c r="D76" s="1759">
        <v>41200</v>
      </c>
      <c r="E76" s="616">
        <f>'[1]exchange rates'!$M$18</f>
        <v>0.92093999999999998</v>
      </c>
      <c r="F76" s="625">
        <f>38.59/E76</f>
        <v>41.902838404239155</v>
      </c>
      <c r="G76" s="593">
        <f>216/E76</f>
        <v>234.54296696853217</v>
      </c>
      <c r="H76" s="594">
        <v>0</v>
      </c>
      <c r="I76" s="566">
        <f>Tabel668917263329[[#This Row],[Fix.ch. 2015]]+Tabel668917263329[[#This Row],[Var. ch. 2015]]+Tabel668917263329[[#This Row],[Oth. ch. DW 2015]]</f>
        <v>276.4458053727713</v>
      </c>
      <c r="J76" s="596">
        <f>0</f>
        <v>0</v>
      </c>
      <c r="K76" s="626">
        <f>268/E76</f>
        <v>291.0070145720677</v>
      </c>
      <c r="L76" s="626"/>
      <c r="M76" s="597">
        <f>57.89/E76</f>
        <v>62.859686841705219</v>
      </c>
      <c r="N76" s="1238">
        <f>Tabel668917263329[[#This Row],[Sew. 2015]]+Tabel668917263329[[#This Row],[WW 2015]]+Tabel668917263329[[#This Row],[Other ch. 2015]]</f>
        <v>353.86670141377294</v>
      </c>
      <c r="O76" s="570">
        <f>139.32/E76</f>
        <v>151.28021369470324</v>
      </c>
      <c r="P76" s="571">
        <f>Tabel668917263329[[#This Row],[Total. ch. DW 2015]]+Tabel668917263329[[#This Row],[Sew. 2015]]+Tabel668917263329[[#This Row],[WW 2015]]+Tabel668917263329[[#This Row],[Other ch. 2015]]+Tabel668917263329[[#This Row],[VAT 2015]]</f>
        <v>781.5927204812474</v>
      </c>
      <c r="Q76" s="397"/>
      <c r="R76" s="1762">
        <f t="shared" ref="R76:W76" si="23">SUM(F76:F81)/6</f>
        <v>62.007296892305696</v>
      </c>
      <c r="S76" s="1765">
        <f t="shared" si="23"/>
        <v>247.21118277701771</v>
      </c>
      <c r="T76" s="1768">
        <f t="shared" si="23"/>
        <v>0</v>
      </c>
      <c r="U76" s="1774">
        <f t="shared" si="23"/>
        <v>309.21847966932336</v>
      </c>
      <c r="V76" s="1777">
        <f t="shared" si="23"/>
        <v>0</v>
      </c>
      <c r="W76" s="1810">
        <f t="shared" si="23"/>
        <v>321.41073251243296</v>
      </c>
      <c r="X76" s="1812">
        <f>SUM(M76:M81)/6</f>
        <v>63.798944556648649</v>
      </c>
      <c r="Y76" s="1814">
        <f t="shared" ref="Y76:Z76" si="24">SUM(O76:O81)/6</f>
        <v>166.66485692155115</v>
      </c>
      <c r="Z76" s="1793">
        <f t="shared" si="24"/>
        <v>861.093013659956</v>
      </c>
      <c r="AA76" s="397"/>
      <c r="AB76" s="400"/>
      <c r="AC76" s="662" t="s">
        <v>429</v>
      </c>
      <c r="AD76" s="662"/>
      <c r="AE76" s="662"/>
      <c r="AF76" s="662" t="s">
        <v>429</v>
      </c>
      <c r="AG76" s="662" t="s">
        <v>429</v>
      </c>
      <c r="AH76" s="400"/>
      <c r="AI76" s="397"/>
    </row>
    <row r="77" spans="1:35" ht="15.75" hidden="1" x14ac:dyDescent="0.25">
      <c r="A77" s="2294"/>
      <c r="B77" s="1213"/>
      <c r="C77" s="543" t="s">
        <v>92</v>
      </c>
      <c r="D77" s="1880"/>
      <c r="E77" s="616">
        <f>'[1]exchange rates'!$M$18</f>
        <v>0.92093999999999998</v>
      </c>
      <c r="F77" s="625">
        <f>38.59/E77</f>
        <v>41.902838404239155</v>
      </c>
      <c r="G77" s="593">
        <f>216/E77</f>
        <v>234.54296696853217</v>
      </c>
      <c r="H77" s="594">
        <v>0</v>
      </c>
      <c r="I77" s="566">
        <f>Tabel668917263329[[#This Row],[Fix.ch. 2015]]+Tabel668917263329[[#This Row],[Var. ch. 2015]]+Tabel668917263329[[#This Row],[Oth. ch. DW 2015]]</f>
        <v>276.4458053727713</v>
      </c>
      <c r="J77" s="596">
        <v>0</v>
      </c>
      <c r="K77" s="626">
        <f>268/E77</f>
        <v>291.0070145720677</v>
      </c>
      <c r="L77" s="626"/>
      <c r="M77" s="597">
        <f>57.89/E77</f>
        <v>62.859686841705219</v>
      </c>
      <c r="N77" s="1238">
        <f>Tabel668917263329[[#This Row],[Sew. 2015]]+Tabel668917263329[[#This Row],[WW 2015]]+Tabel668917263329[[#This Row],[Other ch. 2015]]</f>
        <v>353.86670141377294</v>
      </c>
      <c r="O77" s="570">
        <f>139.32/E77</f>
        <v>151.28021369470324</v>
      </c>
      <c r="P77" s="571">
        <f>Tabel668917263329[[#This Row],[Total. ch. DW 2015]]+Tabel668917263329[[#This Row],[Sew. 2015]]+Tabel668917263329[[#This Row],[WW 2015]]+Tabel668917263329[[#This Row],[Other ch. 2015]]+Tabel668917263329[[#This Row],[VAT 2015]]</f>
        <v>781.5927204812474</v>
      </c>
      <c r="Q77" s="397"/>
      <c r="R77" s="1886"/>
      <c r="S77" s="1888"/>
      <c r="T77" s="1890"/>
      <c r="U77" s="1892"/>
      <c r="V77" s="1894"/>
      <c r="W77" s="1911"/>
      <c r="X77" s="1913"/>
      <c r="Y77" s="1915"/>
      <c r="Z77" s="1832"/>
      <c r="AA77" s="397"/>
      <c r="AB77" s="400"/>
      <c r="AC77" s="662" t="s">
        <v>429</v>
      </c>
      <c r="AD77" s="662"/>
      <c r="AE77" s="662"/>
      <c r="AF77" s="662" t="s">
        <v>429</v>
      </c>
      <c r="AG77" s="662" t="s">
        <v>429</v>
      </c>
      <c r="AH77" s="400"/>
      <c r="AI77" s="397"/>
    </row>
    <row r="78" spans="1:35" ht="15.75" hidden="1" x14ac:dyDescent="0.25">
      <c r="A78" s="2294"/>
      <c r="B78" s="1213"/>
      <c r="C78" s="543" t="s">
        <v>93</v>
      </c>
      <c r="D78" s="1880"/>
      <c r="E78" s="616">
        <f>'[1]exchange rates'!$M$18</f>
        <v>0.92093999999999998</v>
      </c>
      <c r="F78" s="625">
        <f>41.94/E78</f>
        <v>45.540426086389992</v>
      </c>
      <c r="G78" s="593">
        <f>246/E78</f>
        <v>267.11837904749495</v>
      </c>
      <c r="H78" s="594">
        <v>0</v>
      </c>
      <c r="I78" s="566">
        <f>Tabel668917263329[[#This Row],[Fix.ch. 2015]]+Tabel668917263329[[#This Row],[Var. ch. 2015]]+Tabel668917263329[[#This Row],[Oth. ch. DW 2015]]</f>
        <v>312.65880513388493</v>
      </c>
      <c r="J78" s="596">
        <v>0</v>
      </c>
      <c r="K78" s="626">
        <f>336/E78</f>
        <v>364.84461528438334</v>
      </c>
      <c r="L78" s="626"/>
      <c r="M78" s="597">
        <f>41.94/E78</f>
        <v>45.540426086389992</v>
      </c>
      <c r="N78" s="1238">
        <f>Tabel668917263329[[#This Row],[Sew. 2015]]+Tabel668917263329[[#This Row],[WW 2015]]+Tabel668917263329[[#This Row],[Other ch. 2015]]</f>
        <v>410.38504137077331</v>
      </c>
      <c r="O78" s="570">
        <f>159.81/E78</f>
        <v>173.52922014463485</v>
      </c>
      <c r="P78" s="571">
        <f>Tabel668917263329[[#This Row],[Total. ch. DW 2015]]+Tabel668917263329[[#This Row],[Sew. 2015]]+Tabel668917263329[[#This Row],[WW 2015]]+Tabel668917263329[[#This Row],[Other ch. 2015]]+Tabel668917263329[[#This Row],[VAT 2015]]</f>
        <v>896.57306664929297</v>
      </c>
      <c r="Q78" s="397"/>
      <c r="R78" s="1886"/>
      <c r="S78" s="1888"/>
      <c r="T78" s="1890"/>
      <c r="U78" s="1892"/>
      <c r="V78" s="1894"/>
      <c r="W78" s="1911"/>
      <c r="X78" s="1913"/>
      <c r="Y78" s="1915"/>
      <c r="Z78" s="1832"/>
      <c r="AA78" s="397"/>
      <c r="AB78" s="400"/>
      <c r="AC78" s="662" t="s">
        <v>429</v>
      </c>
      <c r="AD78" s="662"/>
      <c r="AE78" s="662"/>
      <c r="AF78" s="662" t="s">
        <v>429</v>
      </c>
      <c r="AG78" s="662" t="s">
        <v>429</v>
      </c>
      <c r="AH78" s="400"/>
      <c r="AI78" s="397"/>
    </row>
    <row r="79" spans="1:35" ht="15.75" hidden="1" x14ac:dyDescent="0.25">
      <c r="A79" s="2294"/>
      <c r="B79" s="1213"/>
      <c r="C79" s="543" t="s">
        <v>94</v>
      </c>
      <c r="D79" s="1880"/>
      <c r="E79" s="616">
        <f>'[1]exchange rates'!$M$18</f>
        <v>0.92093999999999998</v>
      </c>
      <c r="F79" s="625">
        <f>76.92/E79</f>
        <v>83.523356570460621</v>
      </c>
      <c r="G79" s="593">
        <f>218/E79</f>
        <v>236.71466110712967</v>
      </c>
      <c r="H79" s="594">
        <v>0</v>
      </c>
      <c r="I79" s="566">
        <f>Tabel668917263329[[#This Row],[Fix.ch. 2015]]+Tabel668917263329[[#This Row],[Var. ch. 2015]]+Tabel668917263329[[#This Row],[Oth. ch. DW 2015]]</f>
        <v>320.23801767759028</v>
      </c>
      <c r="J79" s="596">
        <v>0</v>
      </c>
      <c r="K79" s="626">
        <f>320/E79</f>
        <v>347.47106217560321</v>
      </c>
      <c r="L79" s="626"/>
      <c r="M79" s="597">
        <f>76.92/E79</f>
        <v>83.523356570460621</v>
      </c>
      <c r="N79" s="1238">
        <f>Tabel668917263329[[#This Row],[Sew. 2015]]+Tabel668917263329[[#This Row],[WW 2015]]+Tabel668917263329[[#This Row],[Other ch. 2015]]</f>
        <v>430.99441874606384</v>
      </c>
      <c r="O79" s="570">
        <f>166.04/E79</f>
        <v>180.29404738636609</v>
      </c>
      <c r="P79" s="571">
        <f>Tabel668917263329[[#This Row],[Total. ch. DW 2015]]+Tabel668917263329[[#This Row],[Sew. 2015]]+Tabel668917263329[[#This Row],[WW 2015]]+Tabel668917263329[[#This Row],[Other ch. 2015]]+Tabel668917263329[[#This Row],[VAT 2015]]</f>
        <v>931.52648381002018</v>
      </c>
      <c r="Q79" s="397"/>
      <c r="R79" s="1886"/>
      <c r="S79" s="1888"/>
      <c r="T79" s="1890"/>
      <c r="U79" s="1892"/>
      <c r="V79" s="1894"/>
      <c r="W79" s="1911"/>
      <c r="X79" s="1913"/>
      <c r="Y79" s="1915"/>
      <c r="Z79" s="1832"/>
      <c r="AA79" s="397"/>
      <c r="AB79" s="400"/>
      <c r="AC79" s="662" t="s">
        <v>429</v>
      </c>
      <c r="AD79" s="662"/>
      <c r="AE79" s="662"/>
      <c r="AF79" s="662" t="s">
        <v>429</v>
      </c>
      <c r="AG79" s="662" t="s">
        <v>429</v>
      </c>
      <c r="AH79" s="400"/>
      <c r="AI79" s="397"/>
    </row>
    <row r="80" spans="1:35" ht="15.75" hidden="1" x14ac:dyDescent="0.25">
      <c r="A80" s="2294"/>
      <c r="B80" s="1213"/>
      <c r="C80" s="543" t="s">
        <v>95</v>
      </c>
      <c r="D80" s="1880"/>
      <c r="E80" s="616">
        <f>'[1]exchange rates'!$M$18</f>
        <v>0.92093999999999998</v>
      </c>
      <c r="F80" s="625">
        <f>108/E80</f>
        <v>117.27148348426608</v>
      </c>
      <c r="G80" s="593">
        <f>254/E80</f>
        <v>275.80515560188502</v>
      </c>
      <c r="H80" s="594">
        <v>0</v>
      </c>
      <c r="I80" s="566">
        <f>Tabel668917263329[[#This Row],[Fix.ch. 2015]]+Tabel668917263329[[#This Row],[Var. ch. 2015]]+Tabel668917263329[[#This Row],[Oth. ch. DW 2015]]</f>
        <v>393.07663908615109</v>
      </c>
      <c r="J80" s="596">
        <v>0</v>
      </c>
      <c r="K80" s="626">
        <f>316/E80</f>
        <v>343.12767389840815</v>
      </c>
      <c r="L80" s="626"/>
      <c r="M80" s="597">
        <f>60/E80</f>
        <v>65.150824157925598</v>
      </c>
      <c r="N80" s="1238">
        <f>Tabel668917263329[[#This Row],[Sew. 2015]]+Tabel668917263329[[#This Row],[WW 2015]]+Tabel668917263329[[#This Row],[Other ch. 2015]]</f>
        <v>408.27849805633377</v>
      </c>
      <c r="O80" s="570">
        <f>177.12/E80</f>
        <v>192.32523291419636</v>
      </c>
      <c r="P80" s="571">
        <f>Tabel668917263329[[#This Row],[Total. ch. DW 2015]]+Tabel668917263329[[#This Row],[Sew. 2015]]+Tabel668917263329[[#This Row],[WW 2015]]+Tabel668917263329[[#This Row],[Other ch. 2015]]+Tabel668917263329[[#This Row],[VAT 2015]]</f>
        <v>993.68037005668123</v>
      </c>
      <c r="Q80" s="397"/>
      <c r="R80" s="1886"/>
      <c r="S80" s="1888"/>
      <c r="T80" s="1890"/>
      <c r="U80" s="1892"/>
      <c r="V80" s="1894"/>
      <c r="W80" s="1911"/>
      <c r="X80" s="1913"/>
      <c r="Y80" s="1915"/>
      <c r="Z80" s="1832"/>
      <c r="AA80" s="397"/>
      <c r="AB80" s="400"/>
      <c r="AC80" s="662" t="s">
        <v>429</v>
      </c>
      <c r="AD80" s="662"/>
      <c r="AE80" s="662"/>
      <c r="AF80" s="662" t="s">
        <v>429</v>
      </c>
      <c r="AG80" s="662" t="s">
        <v>429</v>
      </c>
      <c r="AH80" s="400"/>
      <c r="AI80" s="397"/>
    </row>
    <row r="81" spans="1:35" ht="16.5" hidden="1" thickBot="1" x14ac:dyDescent="0.3">
      <c r="A81" s="2295"/>
      <c r="B81" s="1213"/>
      <c r="C81" s="544" t="s">
        <v>195</v>
      </c>
      <c r="D81" s="1923"/>
      <c r="E81" s="616">
        <f>'[1]exchange rates'!$M$18</f>
        <v>0.92093999999999998</v>
      </c>
      <c r="F81" s="625">
        <f>38.59/E81</f>
        <v>41.902838404239155</v>
      </c>
      <c r="G81" s="593">
        <f>216/E81</f>
        <v>234.54296696853217</v>
      </c>
      <c r="H81" s="594">
        <v>0</v>
      </c>
      <c r="I81" s="566">
        <f>Tabel668917263329[[#This Row],[Fix.ch. 2015]]+Tabel668917263329[[#This Row],[Var. ch. 2015]]+Tabel668917263329[[#This Row],[Oth. ch. DW 2015]]</f>
        <v>276.4458053727713</v>
      </c>
      <c r="J81" s="596">
        <v>0</v>
      </c>
      <c r="K81" s="626">
        <f>268/E81</f>
        <v>291.0070145720677</v>
      </c>
      <c r="L81" s="626"/>
      <c r="M81" s="597">
        <f>57.89/E81</f>
        <v>62.859686841705219</v>
      </c>
      <c r="N81" s="1238">
        <f>Tabel668917263329[[#This Row],[Sew. 2015]]+Tabel668917263329[[#This Row],[WW 2015]]+Tabel668917263329[[#This Row],[Other ch. 2015]]</f>
        <v>353.86670141377294</v>
      </c>
      <c r="O81" s="570">
        <f>139.32/E81</f>
        <v>151.28021369470324</v>
      </c>
      <c r="P81" s="571">
        <f>Tabel668917263329[[#This Row],[Total. ch. DW 2015]]+Tabel668917263329[[#This Row],[Sew. 2015]]+Tabel668917263329[[#This Row],[WW 2015]]+Tabel668917263329[[#This Row],[Other ch. 2015]]+Tabel668917263329[[#This Row],[VAT 2015]]</f>
        <v>781.5927204812474</v>
      </c>
      <c r="Q81" s="397"/>
      <c r="R81" s="1970"/>
      <c r="S81" s="1973"/>
      <c r="T81" s="1976"/>
      <c r="U81" s="1979"/>
      <c r="V81" s="1982"/>
      <c r="W81" s="1956"/>
      <c r="X81" s="1959"/>
      <c r="Y81" s="1962"/>
      <c r="Z81" s="1965"/>
      <c r="AA81" s="397"/>
      <c r="AB81" s="400"/>
      <c r="AC81" s="662" t="s">
        <v>429</v>
      </c>
      <c r="AD81" s="662"/>
      <c r="AE81" s="662"/>
      <c r="AF81" s="662" t="s">
        <v>429</v>
      </c>
      <c r="AG81" s="662" t="s">
        <v>429</v>
      </c>
      <c r="AH81" s="400"/>
      <c r="AI81" s="397"/>
    </row>
    <row r="82" spans="1:35" ht="15.75" hidden="1" customHeight="1" x14ac:dyDescent="0.25">
      <c r="A82" s="1878" t="s">
        <v>13</v>
      </c>
      <c r="B82" s="1213"/>
      <c r="C82" s="1446" t="s">
        <v>97</v>
      </c>
      <c r="D82" s="1759">
        <v>41400</v>
      </c>
      <c r="E82" s="616">
        <f>'[1]exchange rates'!$M$19</f>
        <v>0.92093999999999998</v>
      </c>
      <c r="F82" s="625">
        <f>54.91/E82</f>
        <v>59.623862575194906</v>
      </c>
      <c r="G82" s="593">
        <f>(1.07*200)/E82</f>
        <v>232.37127282993464</v>
      </c>
      <c r="H82" s="594">
        <f>(0.4*200)/E82</f>
        <v>86.867765543900802</v>
      </c>
      <c r="I82" s="566">
        <f>Tabel668917263329[[#This Row],[Fix.ch. 2015]]+Tabel668917263329[[#This Row],[Var. ch. 2015]]+Tabel668917263329[[#This Row],[Oth. ch. DW 2015]]</f>
        <v>378.86290094903035</v>
      </c>
      <c r="J82" s="596">
        <f>(1.1*200)/E82</f>
        <v>238.88635524572723</v>
      </c>
      <c r="K82" s="626">
        <f>(0*200)/E82</f>
        <v>0</v>
      </c>
      <c r="L82" s="626"/>
      <c r="M82" s="597">
        <f>(0.235*200)/E82</f>
        <v>51.034812257041722</v>
      </c>
      <c r="N82" s="1238">
        <f>Tabel668917263329[[#This Row],[Sew. 2015]]+Tabel668917263329[[#This Row],[WW 2015]]+Tabel668917263329[[#This Row],[Other ch. 2015]]</f>
        <v>289.92116750276898</v>
      </c>
      <c r="O82" s="570">
        <f>(19.13+26.62)/E82</f>
        <v>49.677503420418269</v>
      </c>
      <c r="P82" s="571">
        <f>Tabel668917263329[[#This Row],[Total. ch. DW 2015]]+Tabel668917263329[[#This Row],[Sew. 2015]]+Tabel668917263329[[#This Row],[WW 2015]]+Tabel668917263329[[#This Row],[Other ch. 2015]]+Tabel668917263329[[#This Row],[VAT 2015]]</f>
        <v>718.46157187221752</v>
      </c>
      <c r="Q82" s="397"/>
      <c r="R82" s="1762">
        <f t="shared" ref="R82:W82" si="25">SUM(F82:F92)/11</f>
        <v>28.850956631268051</v>
      </c>
      <c r="S82" s="1765">
        <f t="shared" si="25"/>
        <v>266.52609882787743</v>
      </c>
      <c r="T82" s="1768">
        <f t="shared" si="25"/>
        <v>92.987994479948341</v>
      </c>
      <c r="U82" s="1774">
        <f t="shared" si="25"/>
        <v>388.36504993909386</v>
      </c>
      <c r="V82" s="1777">
        <f t="shared" si="25"/>
        <v>267.51323252723995</v>
      </c>
      <c r="W82" s="1810">
        <f t="shared" si="25"/>
        <v>28.232023801767756</v>
      </c>
      <c r="X82" s="1812">
        <f>SUM(M82:M92)/11</f>
        <v>57.915134141598408</v>
      </c>
      <c r="Y82" s="1814">
        <f t="shared" ref="Y82:Z82" si="26">SUM(O82:O92)/11</f>
        <v>56.675294215199102</v>
      </c>
      <c r="Z82" s="2260">
        <f t="shared" si="26"/>
        <v>798.70073462489893</v>
      </c>
      <c r="AA82" s="397"/>
      <c r="AB82" s="398"/>
      <c r="AC82" s="591" t="s">
        <v>429</v>
      </c>
      <c r="AD82" s="396"/>
      <c r="AE82" s="591" t="s">
        <v>429</v>
      </c>
      <c r="AF82" s="591" t="s">
        <v>429</v>
      </c>
      <c r="AG82" s="396"/>
      <c r="AH82" s="398"/>
      <c r="AI82" t="s">
        <v>1349</v>
      </c>
    </row>
    <row r="83" spans="1:35" ht="15.75" hidden="1" customHeight="1" x14ac:dyDescent="0.25">
      <c r="A83" s="1757"/>
      <c r="B83" s="1213"/>
      <c r="C83" s="543" t="s">
        <v>98</v>
      </c>
      <c r="D83" s="1880"/>
      <c r="E83" s="616">
        <f>'[1]exchange rates'!$M$19</f>
        <v>0.92093999999999998</v>
      </c>
      <c r="F83" s="625">
        <f>0/E83</f>
        <v>0</v>
      </c>
      <c r="G83" s="593">
        <f>(1.48*200)/E83</f>
        <v>321.41073251243296</v>
      </c>
      <c r="H83" s="594">
        <f>(0.48*200)/E83</f>
        <v>104.24131865268096</v>
      </c>
      <c r="I83" s="566">
        <f>Tabel668917263329[[#This Row],[Fix.ch. 2015]]+Tabel668917263329[[#This Row],[Var. ch. 2015]]+Tabel668917263329[[#This Row],[Oth. ch. DW 2015]]</f>
        <v>425.6520511651139</v>
      </c>
      <c r="J83" s="596">
        <f>(1.78*200)/E83</f>
        <v>386.56155667035853</v>
      </c>
      <c r="K83" s="626">
        <f>(0*200)/E83</f>
        <v>0</v>
      </c>
      <c r="L83" s="626"/>
      <c r="M83" s="597">
        <f>(0.2999*200)/E83</f>
        <v>65.129107216539623</v>
      </c>
      <c r="N83" s="1238">
        <f>Tabel668917263329[[#This Row],[Sew. 2015]]+Tabel668917263329[[#This Row],[WW 2015]]+Tabel668917263329[[#This Row],[Other ch. 2015]]</f>
        <v>451.69066388689816</v>
      </c>
      <c r="O83" s="570">
        <f>(21.46+41.67)/E83</f>
        <v>68.549525484830724</v>
      </c>
      <c r="P83" s="571">
        <f>Tabel668917263329[[#This Row],[Total. ch. DW 2015]]+Tabel668917263329[[#This Row],[Sew. 2015]]+Tabel668917263329[[#This Row],[WW 2015]]+Tabel668917263329[[#This Row],[Other ch. 2015]]+Tabel668917263329[[#This Row],[VAT 2015]]</f>
        <v>945.89224053684279</v>
      </c>
      <c r="Q83" s="397"/>
      <c r="R83" s="1763"/>
      <c r="S83" s="1766"/>
      <c r="T83" s="1769"/>
      <c r="U83" s="1775"/>
      <c r="V83" s="1778"/>
      <c r="W83" s="1781"/>
      <c r="X83" s="1785"/>
      <c r="Y83" s="1788"/>
      <c r="Z83" s="1990"/>
      <c r="AA83" s="397"/>
      <c r="AB83" s="398"/>
      <c r="AC83" s="591" t="s">
        <v>429</v>
      </c>
      <c r="AD83" s="396"/>
      <c r="AE83" s="396"/>
      <c r="AF83" s="591" t="s">
        <v>429</v>
      </c>
      <c r="AG83" s="396"/>
      <c r="AH83" s="398"/>
      <c r="AI83" t="s">
        <v>1349</v>
      </c>
    </row>
    <row r="84" spans="1:35" ht="15.75" hidden="1" customHeight="1" x14ac:dyDescent="0.25">
      <c r="A84" s="1757"/>
      <c r="B84" s="1213"/>
      <c r="C84" s="543" t="s">
        <v>99</v>
      </c>
      <c r="D84" s="1880"/>
      <c r="E84" s="616">
        <f>'[1]exchange rates'!$M$19</f>
        <v>0.92093999999999998</v>
      </c>
      <c r="F84" s="625">
        <f>18.41/E84</f>
        <v>19.990444545790172</v>
      </c>
      <c r="G84" s="593">
        <f>(1.12*200)/E84</f>
        <v>243.22974352292226</v>
      </c>
      <c r="H84" s="594">
        <f>(0.45*200)/E84</f>
        <v>97.726236236888397</v>
      </c>
      <c r="I84" s="566">
        <f>Tabel668917263329[[#This Row],[Fix.ch. 2015]]+Tabel668917263329[[#This Row],[Var. ch. 2015]]+Tabel668917263329[[#This Row],[Oth. ch. DW 2015]]</f>
        <v>360.94642430560083</v>
      </c>
      <c r="J84" s="596">
        <f>(1.46*200)/E84</f>
        <v>317.0673442352379</v>
      </c>
      <c r="K84" s="626">
        <f>(0*200)/E84</f>
        <v>0</v>
      </c>
      <c r="L84" s="626"/>
      <c r="M84" s="597">
        <f>(0.2616*200)/E84</f>
        <v>56.81151866571112</v>
      </c>
      <c r="N84" s="1238">
        <f>Tabel668917263329[[#This Row],[Sew. 2015]]+Tabel668917263329[[#This Row],[WW 2015]]+Tabel668917263329[[#This Row],[Other ch. 2015]]</f>
        <v>373.878862900949</v>
      </c>
      <c r="O84" s="570">
        <f>(18.3+34.49)/E84</f>
        <v>57.321866788281547</v>
      </c>
      <c r="P84" s="571">
        <f>Tabel668917263329[[#This Row],[Total. ch. DW 2015]]+Tabel668917263329[[#This Row],[Sew. 2015]]+Tabel668917263329[[#This Row],[WW 2015]]+Tabel668917263329[[#This Row],[Other ch. 2015]]+Tabel668917263329[[#This Row],[VAT 2015]]</f>
        <v>792.14715399483146</v>
      </c>
      <c r="Q84" s="397"/>
      <c r="R84" s="1763"/>
      <c r="S84" s="1766"/>
      <c r="T84" s="1769"/>
      <c r="U84" s="1775"/>
      <c r="V84" s="1778"/>
      <c r="W84" s="1781"/>
      <c r="X84" s="1785"/>
      <c r="Y84" s="1788"/>
      <c r="Z84" s="1990"/>
      <c r="AA84" s="397"/>
      <c r="AB84" s="398"/>
      <c r="AC84" s="591" t="s">
        <v>429</v>
      </c>
      <c r="AD84" s="591" t="s">
        <v>429</v>
      </c>
      <c r="AE84" s="396"/>
      <c r="AF84" s="591" t="s">
        <v>429</v>
      </c>
      <c r="AG84" s="396"/>
      <c r="AH84" s="398"/>
      <c r="AI84" t="s">
        <v>1349</v>
      </c>
    </row>
    <row r="85" spans="1:35" ht="15.75" hidden="1" customHeight="1" x14ac:dyDescent="0.25">
      <c r="A85" s="1757"/>
      <c r="B85" s="1213"/>
      <c r="C85" s="543" t="s">
        <v>100</v>
      </c>
      <c r="D85" s="1880"/>
      <c r="E85" s="616">
        <f>'[1]exchange rates'!$M$19</f>
        <v>0.92093999999999998</v>
      </c>
      <c r="F85" s="625">
        <f>60.96/E85</f>
        <v>66.193237344452413</v>
      </c>
      <c r="G85" s="593">
        <f>(1.18*200)/E85</f>
        <v>256.25990835450733</v>
      </c>
      <c r="H85" s="594">
        <f>(0.35*200)/E85</f>
        <v>76.009294850913193</v>
      </c>
      <c r="I85" s="566">
        <f>Tabel668917263329[[#This Row],[Fix.ch. 2015]]+Tabel668917263329[[#This Row],[Var. ch. 2015]]+Tabel668917263329[[#This Row],[Oth. ch. DW 2015]]</f>
        <v>398.46244054987295</v>
      </c>
      <c r="J85" s="596">
        <f>(0.96*200)/E85</f>
        <v>208.48263730536192</v>
      </c>
      <c r="K85" s="626">
        <v>0</v>
      </c>
      <c r="L85" s="626"/>
      <c r="M85" s="597">
        <f>(0.1764*200)/E85</f>
        <v>38.308684604860254</v>
      </c>
      <c r="N85" s="1238">
        <f>Tabel668917263329[[#This Row],[Sew. 2015]]+Tabel668917263329[[#This Row],[WW 2015]]+Tabel668917263329[[#This Row],[Other ch. 2015]]</f>
        <v>246.79132191022217</v>
      </c>
      <c r="O85" s="570">
        <f>(20.18+22.78)/E85</f>
        <v>46.647990097074732</v>
      </c>
      <c r="P85" s="571">
        <f>Tabel668917263329[[#This Row],[Total. ch. DW 2015]]+Tabel668917263329[[#This Row],[Sew. 2015]]+Tabel668917263329[[#This Row],[WW 2015]]+Tabel668917263329[[#This Row],[Other ch. 2015]]+Tabel668917263329[[#This Row],[VAT 2015]]</f>
        <v>691.90175255716986</v>
      </c>
      <c r="Q85" s="397"/>
      <c r="R85" s="1763"/>
      <c r="S85" s="1766"/>
      <c r="T85" s="1769"/>
      <c r="U85" s="1775"/>
      <c r="V85" s="1778"/>
      <c r="W85" s="1781"/>
      <c r="X85" s="1785"/>
      <c r="Y85" s="1788"/>
      <c r="Z85" s="1990"/>
      <c r="AA85" s="397"/>
      <c r="AB85" s="398"/>
      <c r="AC85" s="591" t="s">
        <v>429</v>
      </c>
      <c r="AD85" s="396"/>
      <c r="AE85" s="396"/>
      <c r="AF85" s="591" t="s">
        <v>429</v>
      </c>
      <c r="AG85" s="396"/>
      <c r="AH85" s="398"/>
      <c r="AI85" t="s">
        <v>1349</v>
      </c>
    </row>
    <row r="86" spans="1:35" ht="15.75" hidden="1" customHeight="1" x14ac:dyDescent="0.25">
      <c r="A86" s="1757"/>
      <c r="B86" s="1213"/>
      <c r="C86" s="543" t="s">
        <v>101</v>
      </c>
      <c r="D86" s="1880"/>
      <c r="E86" s="616">
        <f>'[1]exchange rates'!$M$19</f>
        <v>0.92093999999999998</v>
      </c>
      <c r="F86" s="625">
        <f>21.02/E86</f>
        <v>22.824505396659934</v>
      </c>
      <c r="G86" s="593">
        <f>(0.99*200)/E86</f>
        <v>214.99771972115448</v>
      </c>
      <c r="H86" s="594">
        <f>(0.49*200)/E86</f>
        <v>106.41301279127848</v>
      </c>
      <c r="I86" s="566">
        <f>Tabel668917263329[[#This Row],[Fix.ch. 2015]]+Tabel668917263329[[#This Row],[Var. ch. 2015]]+Tabel668917263329[[#This Row],[Oth. ch. DW 2015]]</f>
        <v>344.23523790909292</v>
      </c>
      <c r="J86" s="596">
        <f>(0.29*200)/E86</f>
        <v>62.979130019328075</v>
      </c>
      <c r="K86" s="626">
        <f>(0.97*200)/E86</f>
        <v>210.65433144395945</v>
      </c>
      <c r="L86" s="626"/>
      <c r="M86" s="597">
        <f>(0.3*200)/E86</f>
        <v>65.150824157925598</v>
      </c>
      <c r="N86" s="1238">
        <f>Tabel668917263329[[#This Row],[Sew. 2015]]+Tabel668917263329[[#This Row],[WW 2015]]+Tabel668917263329[[#This Row],[Other ch. 2015]]</f>
        <v>338.78428562121314</v>
      </c>
      <c r="O86" s="570">
        <f>(17.4+31.08)/E86</f>
        <v>52.64186591960388</v>
      </c>
      <c r="P86" s="571">
        <f>Tabel668917263329[[#This Row],[Total. ch. DW 2015]]+Tabel668917263329[[#This Row],[Sew. 2015]]+Tabel668917263329[[#This Row],[WW 2015]]+Tabel668917263329[[#This Row],[Other ch. 2015]]+Tabel668917263329[[#This Row],[VAT 2015]]</f>
        <v>735.66138944990996</v>
      </c>
      <c r="Q86" s="397"/>
      <c r="R86" s="1763"/>
      <c r="S86" s="1766"/>
      <c r="T86" s="1769"/>
      <c r="U86" s="1775"/>
      <c r="V86" s="1778"/>
      <c r="W86" s="1781"/>
      <c r="X86" s="1785"/>
      <c r="Y86" s="1788"/>
      <c r="Z86" s="1990"/>
      <c r="AA86" s="397"/>
      <c r="AB86" s="398"/>
      <c r="AC86" s="591" t="s">
        <v>429</v>
      </c>
      <c r="AD86" s="396"/>
      <c r="AE86" s="396"/>
      <c r="AF86" s="591" t="s">
        <v>429</v>
      </c>
      <c r="AG86" s="396"/>
      <c r="AH86" s="398"/>
      <c r="AI86" t="s">
        <v>1349</v>
      </c>
    </row>
    <row r="87" spans="1:35" ht="15.75" hidden="1" customHeight="1" x14ac:dyDescent="0.25">
      <c r="A87" s="1757"/>
      <c r="B87" s="1213"/>
      <c r="C87" s="543" t="s">
        <v>630</v>
      </c>
      <c r="D87" s="1880"/>
      <c r="E87" s="616">
        <f>'[1]exchange rates'!$M$19</f>
        <v>0.92093999999999998</v>
      </c>
      <c r="F87" s="625">
        <f>28.36/E87</f>
        <v>30.794622885312833</v>
      </c>
      <c r="G87" s="593">
        <f>(1*200)/E87</f>
        <v>217.16941385975198</v>
      </c>
      <c r="H87" s="594">
        <f>(0.4*200)/E87</f>
        <v>86.867765543900802</v>
      </c>
      <c r="I87" s="566">
        <f>Tabel668917263329[[#This Row],[Fix.ch. 2015]]+Tabel668917263329[[#This Row],[Var. ch. 2015]]+Tabel668917263329[[#This Row],[Oth. ch. DW 2015]]</f>
        <v>334.8318022889656</v>
      </c>
      <c r="J87" s="596">
        <f>(0.5*200)/E87</f>
        <v>108.58470692987599</v>
      </c>
      <c r="K87" s="626">
        <f>(0.46*200)/E87</f>
        <v>99.897930375485913</v>
      </c>
      <c r="L87" s="626"/>
      <c r="M87" s="597">
        <f>(0.4*200)/E87</f>
        <v>86.867765543900802</v>
      </c>
      <c r="N87" s="1238">
        <f>Tabel668917263329[[#This Row],[Sew. 2015]]+Tabel668917263329[[#This Row],[WW 2015]]+Tabel668917263329[[#This Row],[Other ch. 2015]]</f>
        <v>295.35040284926271</v>
      </c>
      <c r="O87" s="570">
        <f>(16.9+27.18)/E87</f>
        <v>47.864138814689341</v>
      </c>
      <c r="P87" s="571">
        <f>Tabel668917263329[[#This Row],[Total. ch. DW 2015]]+Tabel668917263329[[#This Row],[Sew. 2015]]+Tabel668917263329[[#This Row],[WW 2015]]+Tabel668917263329[[#This Row],[Other ch. 2015]]+Tabel668917263329[[#This Row],[VAT 2015]]</f>
        <v>678.0463439529176</v>
      </c>
      <c r="Q87" s="397"/>
      <c r="R87" s="1763"/>
      <c r="S87" s="1766"/>
      <c r="T87" s="1769"/>
      <c r="U87" s="1775"/>
      <c r="V87" s="1778"/>
      <c r="W87" s="1781"/>
      <c r="X87" s="1785"/>
      <c r="Y87" s="1788"/>
      <c r="Z87" s="1990"/>
      <c r="AA87" s="397"/>
      <c r="AB87" s="398"/>
      <c r="AC87" s="591" t="s">
        <v>429</v>
      </c>
      <c r="AD87" s="396"/>
      <c r="AE87" s="396"/>
      <c r="AF87" s="591" t="s">
        <v>429</v>
      </c>
      <c r="AG87" s="396"/>
      <c r="AH87" s="398"/>
      <c r="AI87" t="s">
        <v>1349</v>
      </c>
    </row>
    <row r="88" spans="1:35" ht="15.75" hidden="1" customHeight="1" x14ac:dyDescent="0.25">
      <c r="A88" s="1757"/>
      <c r="B88" s="1213"/>
      <c r="C88" s="543" t="s">
        <v>631</v>
      </c>
      <c r="D88" s="1880"/>
      <c r="E88" s="616">
        <f>'[1]exchange rates'!$M$19</f>
        <v>0.92093999999999998</v>
      </c>
      <c r="F88" s="625">
        <f>10.95/E88</f>
        <v>11.890025408821421</v>
      </c>
      <c r="G88" s="593">
        <f>(0.93*200)/E88</f>
        <v>201.96755488956936</v>
      </c>
      <c r="H88" s="594">
        <f>(0.44*200)/E88</f>
        <v>95.554542098290881</v>
      </c>
      <c r="I88" s="566">
        <f>Tabel668917263329[[#This Row],[Fix.ch. 2015]]+Tabel668917263329[[#This Row],[Var. ch. 2015]]+Tabel668917263329[[#This Row],[Oth. ch. DW 2015]]</f>
        <v>309.41212239668164</v>
      </c>
      <c r="J88" s="596">
        <f>(1.16*200)/E88</f>
        <v>251.9165200773123</v>
      </c>
      <c r="K88" s="626">
        <f>(0*200)/E88</f>
        <v>0</v>
      </c>
      <c r="L88" s="626"/>
      <c r="M88" s="597">
        <f>(0.3*200)/E88</f>
        <v>65.150824157925598</v>
      </c>
      <c r="N88" s="1238">
        <f>Tabel668917263329[[#This Row],[Sew. 2015]]+Tabel668917263329[[#This Row],[WW 2015]]+Tabel668917263329[[#This Row],[Other ch. 2015]]</f>
        <v>317.0673442352379</v>
      </c>
      <c r="O88" s="570">
        <f>(15.66+29.2)/E88</f>
        <v>48.711099528742373</v>
      </c>
      <c r="P88" s="571">
        <f>Tabel668917263329[[#This Row],[Total. ch. DW 2015]]+Tabel668917263329[[#This Row],[Sew. 2015]]+Tabel668917263329[[#This Row],[WW 2015]]+Tabel668917263329[[#This Row],[Other ch. 2015]]+Tabel668917263329[[#This Row],[VAT 2015]]</f>
        <v>675.19056616066189</v>
      </c>
      <c r="Q88" s="397"/>
      <c r="R88" s="1763"/>
      <c r="S88" s="1766"/>
      <c r="T88" s="1769"/>
      <c r="U88" s="1775"/>
      <c r="V88" s="1778"/>
      <c r="W88" s="1781"/>
      <c r="X88" s="1785"/>
      <c r="Y88" s="1788"/>
      <c r="Z88" s="1990"/>
      <c r="AA88" s="397"/>
      <c r="AB88" s="398"/>
      <c r="AC88" s="591" t="s">
        <v>429</v>
      </c>
      <c r="AD88" s="396"/>
      <c r="AE88" s="396"/>
      <c r="AF88" s="591"/>
      <c r="AG88" s="396"/>
      <c r="AH88" s="398"/>
      <c r="AI88" t="s">
        <v>1349</v>
      </c>
    </row>
    <row r="89" spans="1:35" ht="15.75" hidden="1" customHeight="1" x14ac:dyDescent="0.25">
      <c r="A89" s="1757"/>
      <c r="B89" s="1213"/>
      <c r="C89" s="543" t="s">
        <v>632</v>
      </c>
      <c r="D89" s="1880"/>
      <c r="E89" s="616">
        <f>'[1]exchange rates'!$M$19</f>
        <v>0.92093999999999998</v>
      </c>
      <c r="F89" s="625">
        <f>42.15/E89</f>
        <v>45.76845397094273</v>
      </c>
      <c r="G89" s="593">
        <f>(1.48*200)/E89</f>
        <v>321.41073251243296</v>
      </c>
      <c r="H89" s="594">
        <f>(0.46*200)/E89</f>
        <v>99.897930375485913</v>
      </c>
      <c r="I89" s="566">
        <f>Tabel668917263329[[#This Row],[Fix.ch. 2015]]+Tabel668917263329[[#This Row],[Var. ch. 2015]]+Tabel668917263329[[#This Row],[Oth. ch. DW 2015]]</f>
        <v>467.07711685886159</v>
      </c>
      <c r="J89" s="596">
        <f>(1*200)/E89</f>
        <v>217.16941385975198</v>
      </c>
      <c r="K89" s="626">
        <v>0</v>
      </c>
      <c r="L89" s="626"/>
      <c r="M89" s="597">
        <f>(0.2966*200)/E89</f>
        <v>64.412448150802433</v>
      </c>
      <c r="N89" s="1238">
        <f>Tabel668917263329[[#This Row],[Sew. 2015]]+Tabel668917263329[[#This Row],[WW 2015]]+Tabel668917263329[[#This Row],[Other ch. 2015]]</f>
        <v>281.5818620105544</v>
      </c>
      <c r="O89" s="570">
        <f>(23.6+25.84)/E89</f>
        <v>53.684279106130688</v>
      </c>
      <c r="P89" s="571">
        <f>Tabel668917263329[[#This Row],[Total. ch. DW 2015]]+Tabel668917263329[[#This Row],[Sew. 2015]]+Tabel668917263329[[#This Row],[WW 2015]]+Tabel668917263329[[#This Row],[Other ch. 2015]]+Tabel668917263329[[#This Row],[VAT 2015]]</f>
        <v>802.34325797554675</v>
      </c>
      <c r="Q89" s="397"/>
      <c r="R89" s="1763"/>
      <c r="S89" s="1766"/>
      <c r="T89" s="1769"/>
      <c r="U89" s="1775"/>
      <c r="V89" s="1778"/>
      <c r="W89" s="1781"/>
      <c r="X89" s="1785"/>
      <c r="Y89" s="1788"/>
      <c r="Z89" s="1990"/>
      <c r="AA89" s="397"/>
      <c r="AB89" s="398"/>
      <c r="AC89" s="591" t="s">
        <v>429</v>
      </c>
      <c r="AD89" s="396"/>
      <c r="AE89" s="396"/>
      <c r="AF89" s="591" t="s">
        <v>429</v>
      </c>
      <c r="AG89" s="396"/>
      <c r="AH89" s="398"/>
      <c r="AI89" t="s">
        <v>1349</v>
      </c>
    </row>
    <row r="90" spans="1:35" ht="15.75" hidden="1" customHeight="1" x14ac:dyDescent="0.25">
      <c r="A90" s="1757"/>
      <c r="B90" s="1213"/>
      <c r="C90" s="543" t="s">
        <v>633</v>
      </c>
      <c r="D90" s="1880"/>
      <c r="E90" s="616">
        <f>'[1]exchange rates'!$M$19</f>
        <v>0.92093999999999998</v>
      </c>
      <c r="F90" s="625">
        <f>30.37/E90</f>
        <v>32.977175494603344</v>
      </c>
      <c r="G90" s="593">
        <f>(1.51*200)/E90</f>
        <v>327.92581492822552</v>
      </c>
      <c r="H90" s="594">
        <f>(0.52*200)/E90</f>
        <v>112.92809520707104</v>
      </c>
      <c r="I90" s="566">
        <f>Tabel668917263329[[#This Row],[Fix.ch. 2015]]+Tabel668917263329[[#This Row],[Var. ch. 2015]]+Tabel668917263329[[#This Row],[Oth. ch. DW 2015]]</f>
        <v>473.83108562989992</v>
      </c>
      <c r="J90" s="596">
        <f>(2.01*200)/E90</f>
        <v>436.51052185810147</v>
      </c>
      <c r="K90" s="626">
        <f>(0*200)/E90</f>
        <v>0</v>
      </c>
      <c r="L90" s="626"/>
      <c r="M90" s="597">
        <f>(0.3*200)/E90</f>
        <v>65.150824157925598</v>
      </c>
      <c r="N90" s="1238">
        <f>Tabel668917263329[[#This Row],[Sew. 2015]]+Tabel668917263329[[#This Row],[WW 2015]]+Tabel668917263329[[#This Row],[Other ch. 2015]]</f>
        <v>501.6613460160271</v>
      </c>
      <c r="O90" s="570">
        <f>(23.98+46.26)/E90</f>
        <v>76.269898147544893</v>
      </c>
      <c r="P90" s="571">
        <f>Tabel668917263329[[#This Row],[Total. ch. DW 2015]]+Tabel668917263329[[#This Row],[Sew. 2015]]+Tabel668917263329[[#This Row],[WW 2015]]+Tabel668917263329[[#This Row],[Other ch. 2015]]+Tabel668917263329[[#This Row],[VAT 2015]]</f>
        <v>1051.762329793472</v>
      </c>
      <c r="Q90" s="397"/>
      <c r="R90" s="1763"/>
      <c r="S90" s="1766"/>
      <c r="T90" s="1769"/>
      <c r="U90" s="1775"/>
      <c r="V90" s="1778"/>
      <c r="W90" s="1781"/>
      <c r="X90" s="1785"/>
      <c r="Y90" s="1788"/>
      <c r="Z90" s="1990"/>
      <c r="AA90" s="397"/>
      <c r="AB90" s="398"/>
      <c r="AC90" s="591" t="s">
        <v>429</v>
      </c>
      <c r="AD90" s="396"/>
      <c r="AE90" s="396"/>
      <c r="AF90" s="591" t="s">
        <v>429</v>
      </c>
      <c r="AG90" s="396"/>
      <c r="AH90" s="398"/>
      <c r="AI90" t="s">
        <v>1349</v>
      </c>
    </row>
    <row r="91" spans="1:35" ht="15.75" hidden="1" customHeight="1" x14ac:dyDescent="0.25">
      <c r="A91" s="1757"/>
      <c r="B91" s="1213"/>
      <c r="C91" s="543" t="s">
        <v>634</v>
      </c>
      <c r="D91" s="1880"/>
      <c r="E91" s="616">
        <f>'[1]exchange rates'!$M$19</f>
        <v>0.92093999999999998</v>
      </c>
      <c r="F91" s="625">
        <f>19/E91</f>
        <v>20.631094316676439</v>
      </c>
      <c r="G91" s="593">
        <f>(1.42*200)/E91</f>
        <v>308.38056768084783</v>
      </c>
      <c r="H91" s="594">
        <f>(0.34*200)/E91</f>
        <v>73.837600712315677</v>
      </c>
      <c r="I91" s="566">
        <f>Tabel668917263329[[#This Row],[Fix.ch. 2015]]+Tabel668917263329[[#This Row],[Var. ch. 2015]]+Tabel668917263329[[#This Row],[Oth. ch. DW 2015]]</f>
        <v>402.84926270983993</v>
      </c>
      <c r="J91" s="596">
        <f>(1.25*200)/E91</f>
        <v>271.46176732469002</v>
      </c>
      <c r="K91" s="626">
        <f>(0*200)/E91</f>
        <v>0</v>
      </c>
      <c r="L91" s="626"/>
      <c r="M91" s="597">
        <f>(0.155*200)/E91</f>
        <v>33.661259148261557</v>
      </c>
      <c r="N91" s="1238">
        <f>Tabel668917263329[[#This Row],[Sew. 2015]]+Tabel668917263329[[#This Row],[WW 2015]]+Tabel668917263329[[#This Row],[Other ch. 2015]]</f>
        <v>305.12302647295155</v>
      </c>
      <c r="O91" s="570">
        <f>(20.4+28.09)/E91</f>
        <v>52.652724390296868</v>
      </c>
      <c r="P91" s="571">
        <f>Tabel668917263329[[#This Row],[Total. ch. DW 2015]]+Tabel668917263329[[#This Row],[Sew. 2015]]+Tabel668917263329[[#This Row],[WW 2015]]+Tabel668917263329[[#This Row],[Other ch. 2015]]+Tabel668917263329[[#This Row],[VAT 2015]]</f>
        <v>760.62501357308838</v>
      </c>
      <c r="Q91" s="397"/>
      <c r="R91" s="1763"/>
      <c r="S91" s="1766"/>
      <c r="T91" s="1769"/>
      <c r="U91" s="1775"/>
      <c r="V91" s="1778"/>
      <c r="W91" s="1781"/>
      <c r="X91" s="1785"/>
      <c r="Y91" s="1788"/>
      <c r="Z91" s="1990"/>
      <c r="AA91" s="397"/>
      <c r="AB91" s="398"/>
      <c r="AC91" s="591" t="s">
        <v>429</v>
      </c>
      <c r="AD91" s="396"/>
      <c r="AE91" s="396"/>
      <c r="AF91" s="396"/>
      <c r="AG91" s="396"/>
      <c r="AH91" s="398"/>
      <c r="AI91" t="s">
        <v>1349</v>
      </c>
    </row>
    <row r="92" spans="1:35" ht="16.5" hidden="1" customHeight="1" thickBot="1" x14ac:dyDescent="0.3">
      <c r="A92" s="1758"/>
      <c r="B92" s="1213"/>
      <c r="C92" s="543" t="s">
        <v>635</v>
      </c>
      <c r="D92" s="1923"/>
      <c r="E92" s="616">
        <f>'[1]exchange rates'!$M$19</f>
        <v>0.92093999999999998</v>
      </c>
      <c r="F92" s="625">
        <f>6.14/E92</f>
        <v>6.667101005494386</v>
      </c>
      <c r="G92" s="593">
        <f>(1.32*200)/E92</f>
        <v>286.66362629487264</v>
      </c>
      <c r="H92" s="594">
        <f>(0.38*200)/E92</f>
        <v>82.524377266705756</v>
      </c>
      <c r="I92" s="566">
        <f>Tabel668917263329[[#This Row],[Fix.ch. 2015]]+Tabel668917263329[[#This Row],[Var. ch. 2015]]+Tabel668917263329[[#This Row],[Oth. ch. DW 2015]]</f>
        <v>375.85510456707277</v>
      </c>
      <c r="J92" s="596">
        <f>(2.04*200)/E92</f>
        <v>443.02560427389409</v>
      </c>
      <c r="K92" s="626">
        <f>(0*200)/E92</f>
        <v>0</v>
      </c>
      <c r="L92" s="626"/>
      <c r="M92" s="597">
        <f>(0.209*200)/E92</f>
        <v>45.388407496688167</v>
      </c>
      <c r="N92" s="1238">
        <f>Tabel668917263329[[#This Row],[Sew. 2015]]+Tabel668917263329[[#This Row],[WW 2015]]+Tabel668917263329[[#This Row],[Other ch. 2015]]</f>
        <v>488.41401177058225</v>
      </c>
      <c r="O92" s="570">
        <f>(18.96+44.96)/E92</f>
        <v>69.407344669576744</v>
      </c>
      <c r="P92" s="571">
        <f>Tabel668917263329[[#This Row],[Total. ch. DW 2015]]+Tabel668917263329[[#This Row],[Sew. 2015]]+Tabel668917263329[[#This Row],[WW 2015]]+Tabel668917263329[[#This Row],[Other ch. 2015]]+Tabel668917263329[[#This Row],[VAT 2015]]</f>
        <v>933.67646100723186</v>
      </c>
      <c r="Q92" s="397"/>
      <c r="R92" s="1970"/>
      <c r="S92" s="1973"/>
      <c r="T92" s="1976"/>
      <c r="U92" s="1979"/>
      <c r="V92" s="1982"/>
      <c r="W92" s="1956"/>
      <c r="X92" s="1959"/>
      <c r="Y92" s="1962"/>
      <c r="Z92" s="2261"/>
      <c r="AA92" s="397"/>
      <c r="AB92" s="398"/>
      <c r="AC92" s="591" t="s">
        <v>429</v>
      </c>
      <c r="AD92" s="396"/>
      <c r="AE92" s="396"/>
      <c r="AF92" s="396"/>
      <c r="AG92" s="396"/>
      <c r="AH92" s="398"/>
      <c r="AI92" t="s">
        <v>1349</v>
      </c>
    </row>
    <row r="93" spans="1:35" ht="19.5" hidden="1" thickBot="1" x14ac:dyDescent="0.3">
      <c r="A93" s="1206" t="s">
        <v>521</v>
      </c>
      <c r="B93" s="1617"/>
      <c r="C93" s="1047" t="s">
        <v>522</v>
      </c>
      <c r="D93" s="1256">
        <v>16000</v>
      </c>
      <c r="E93" s="308">
        <v>506.17869999999999</v>
      </c>
      <c r="F93" s="319">
        <f>3396/E93</f>
        <v>6.7090930535006708</v>
      </c>
      <c r="G93" s="320">
        <f>74524/E93</f>
        <v>147.22863684307538</v>
      </c>
      <c r="H93" s="321">
        <v>0</v>
      </c>
      <c r="I93" s="313">
        <f>Tabel668917263329[[#This Row],[Fix.ch. 2015]]+Tabel668917263329[[#This Row],[Var. ch. 2015]]+Tabel668917263329[[#This Row],[Oth. ch. DW 2015]]</f>
        <v>153.93772989657606</v>
      </c>
      <c r="J93" s="322">
        <v>0</v>
      </c>
      <c r="K93" s="323">
        <v>0</v>
      </c>
      <c r="L93" s="323"/>
      <c r="M93" s="324">
        <v>0</v>
      </c>
      <c r="N93" s="1257">
        <f>Tabel668917263329[[#This Row],[Sew. 2015]]+Tabel668917263329[[#This Row],[WW 2015]]+Tabel668917263329[[#This Row],[Other ch. 2015]]</f>
        <v>0</v>
      </c>
      <c r="O93" s="1258">
        <f>7792/E93</f>
        <v>15.393772989657606</v>
      </c>
      <c r="P93" s="318">
        <f>Tabel668917263329[[#This Row],[Total. ch. DW 2015]]+Tabel668917263329[[#This Row],[Sew. 2015]]+Tabel668917263329[[#This Row],[WW 2015]]+Tabel668917263329[[#This Row],[Other ch. 2015]]+Tabel668917263329[[#This Row],[VAT 2015]]</f>
        <v>169.33150288623366</v>
      </c>
      <c r="Q93" s="397"/>
      <c r="R93" s="1259">
        <f>Tabel668917263329[[#This Row],[Fix.ch. 2015]]</f>
        <v>6.7090930535006708</v>
      </c>
      <c r="S93" s="1260">
        <f>Tabel668917263329[[#This Row],[Var. ch. 2015]]</f>
        <v>147.22863684307538</v>
      </c>
      <c r="T93" s="1261">
        <v>0</v>
      </c>
      <c r="U93" s="1262">
        <f>Tabel668917263329[[#This Row],[Total. ch. DW 2015]]</f>
        <v>153.93772989657606</v>
      </c>
      <c r="V93" s="1263">
        <v>0</v>
      </c>
      <c r="W93" s="1264">
        <v>0</v>
      </c>
      <c r="X93" s="1265">
        <v>0</v>
      </c>
      <c r="Y93" s="1266">
        <f>Tabel668917263329[[#This Row],[VAT 2015]]</f>
        <v>15.393772989657606</v>
      </c>
      <c r="Z93" s="1267">
        <f>Tabel668917263329[[#This Row],[total charge 2015]]</f>
        <v>169.33150288623366</v>
      </c>
      <c r="AA93" s="397"/>
      <c r="AB93" s="398"/>
      <c r="AC93" s="398"/>
      <c r="AD93" s="398"/>
      <c r="AE93" s="396" t="s">
        <v>429</v>
      </c>
      <c r="AF93" s="398"/>
      <c r="AG93" s="398"/>
      <c r="AH93" s="398"/>
      <c r="AI93" s="397"/>
    </row>
    <row r="94" spans="1:35" ht="19.5" hidden="1" thickBot="1" x14ac:dyDescent="0.35">
      <c r="A94" s="669" t="s">
        <v>14</v>
      </c>
      <c r="B94" s="1621"/>
      <c r="C94" s="544" t="s">
        <v>96</v>
      </c>
      <c r="D94" s="1268">
        <v>47400</v>
      </c>
      <c r="E94" s="616">
        <f>'[1]exchange rates'!M21</f>
        <v>0.92093999999999998</v>
      </c>
      <c r="F94" s="319"/>
      <c r="G94" s="320"/>
      <c r="H94" s="321"/>
      <c r="I94" s="313"/>
      <c r="J94" s="322"/>
      <c r="K94" s="323"/>
      <c r="L94" s="323"/>
      <c r="M94" s="324"/>
      <c r="N94" s="1257">
        <f>Tabel668917263329[[#This Row],[Sew. 2015]]+Tabel668917263329[[#This Row],[WW 2015]]+Tabel668917263329[[#This Row],[Other ch. 2015]]</f>
        <v>0</v>
      </c>
      <c r="O94" s="1258"/>
      <c r="P94" s="318"/>
      <c r="Q94" s="397"/>
      <c r="R94" s="1228"/>
      <c r="S94" s="1229"/>
      <c r="T94" s="1230"/>
      <c r="U94" s="1231"/>
      <c r="V94" s="1232"/>
      <c r="W94" s="1233"/>
      <c r="X94" s="1234"/>
      <c r="Y94" s="1235"/>
      <c r="Z94" s="1236"/>
      <c r="AA94" s="397"/>
      <c r="AB94" s="398"/>
      <c r="AC94" s="398"/>
      <c r="AD94" s="398"/>
      <c r="AE94" s="398"/>
      <c r="AF94" s="398"/>
      <c r="AG94" s="398"/>
      <c r="AH94" s="398"/>
      <c r="AI94" s="397"/>
    </row>
    <row r="95" spans="1:35" ht="15.6" hidden="1" customHeight="1" x14ac:dyDescent="0.25">
      <c r="A95" s="1878" t="s">
        <v>35</v>
      </c>
      <c r="B95" s="1213"/>
      <c r="C95" s="1269" t="s">
        <v>712</v>
      </c>
      <c r="D95" s="1759">
        <v>25600</v>
      </c>
      <c r="E95" s="616">
        <f>'[1]exchange rates'!$M$22</f>
        <v>0.92093999999999998</v>
      </c>
      <c r="F95" s="549">
        <f>79.5/E95</f>
        <v>86.324842009251412</v>
      </c>
      <c r="G95" s="550">
        <f>74.92/E95</f>
        <v>81.351662431863105</v>
      </c>
      <c r="H95" s="551">
        <f>59.93/E95</f>
        <v>65.074814863074693</v>
      </c>
      <c r="I95" s="566">
        <f>Tabel668917263329[[#This Row],[Fix.ch. 2015]]+Tabel668917263329[[#This Row],[Var. ch. 2015]]+Tabel668917263329[[#This Row],[Oth. ch. DW 2015]]</f>
        <v>232.7513193041892</v>
      </c>
      <c r="J95" s="567">
        <f>67.42/E95</f>
        <v>73.207809412122401</v>
      </c>
      <c r="K95" s="568">
        <v>0</v>
      </c>
      <c r="L95" s="568"/>
      <c r="M95" s="569">
        <f>13.25/E95</f>
        <v>14.387473668208569</v>
      </c>
      <c r="N95" s="1270">
        <f>Tabel668917263329[[#This Row],[Sew. 2015]]+Tabel668917263329[[#This Row],[WW 2015]]+Tabel668917263329[[#This Row],[Other ch. 2015]]</f>
        <v>87.595283080330972</v>
      </c>
      <c r="O95" s="1271">
        <f>60.36/E95</f>
        <v>65.541729102873148</v>
      </c>
      <c r="P95" s="571">
        <f>Tabel668917263329[[#This Row],[Total. ch. DW 2015]]+Tabel668917263329[[#This Row],[Sew. 2015]]+Tabel668917263329[[#This Row],[WW 2015]]+Tabel668917263329[[#This Row],[Other ch. 2015]]+Tabel668917263329[[#This Row],[VAT 2015]]</f>
        <v>385.88833148739332</v>
      </c>
      <c r="Q95" s="397"/>
      <c r="R95" s="2258">
        <f t="shared" ref="R95:W95" si="27">SUM(F95:F99)/5</f>
        <v>46.756574804004607</v>
      </c>
      <c r="S95" s="1765">
        <f t="shared" si="27"/>
        <v>198.80556822377139</v>
      </c>
      <c r="T95" s="1768">
        <f t="shared" si="27"/>
        <v>30.388516081395096</v>
      </c>
      <c r="U95" s="1774">
        <f t="shared" si="27"/>
        <v>275.95065910917111</v>
      </c>
      <c r="V95" s="1777">
        <f t="shared" si="27"/>
        <v>154.93734662410145</v>
      </c>
      <c r="W95" s="1810">
        <f t="shared" si="27"/>
        <v>0</v>
      </c>
      <c r="X95" s="1812">
        <f>SUM(M95:M99)/5</f>
        <v>8.5238994939952661</v>
      </c>
      <c r="Y95" s="1814">
        <f t="shared" ref="Y95:Z95" si="28">SUM(O95:O99)/5</f>
        <v>80.880404803787428</v>
      </c>
      <c r="Z95" s="1793">
        <f t="shared" si="28"/>
        <v>520.29231003105519</v>
      </c>
      <c r="AA95" s="397"/>
      <c r="AB95" s="398"/>
      <c r="AC95" s="398"/>
      <c r="AD95" s="591" t="s">
        <v>429</v>
      </c>
      <c r="AE95" s="591" t="s">
        <v>429</v>
      </c>
      <c r="AF95" s="591" t="s">
        <v>429</v>
      </c>
      <c r="AG95" s="591" t="s">
        <v>429</v>
      </c>
      <c r="AH95" s="398"/>
      <c r="AI95" s="397"/>
    </row>
    <row r="96" spans="1:35" ht="15.6" hidden="1" customHeight="1" x14ac:dyDescent="0.25">
      <c r="A96" s="1757"/>
      <c r="B96" s="1213"/>
      <c r="C96" s="754" t="s">
        <v>713</v>
      </c>
      <c r="D96" s="1760"/>
      <c r="E96" s="616">
        <f>'[1]exchange rates'!$M$22</f>
        <v>0.92093999999999998</v>
      </c>
      <c r="F96" s="549">
        <f>51/E96</f>
        <v>55.378200534236761</v>
      </c>
      <c r="G96" s="550">
        <f>170/E96</f>
        <v>184.5940017807892</v>
      </c>
      <c r="H96" s="551">
        <f>0/E96</f>
        <v>0</v>
      </c>
      <c r="I96" s="566">
        <f>Tabel668917263329[[#This Row],[Fix.ch. 2015]]+Tabel668917263329[[#This Row],[Var. ch. 2015]]+Tabel668917263329[[#This Row],[Oth. ch. DW 2015]]</f>
        <v>239.97220231502595</v>
      </c>
      <c r="J96" s="567">
        <f>93.5/E96</f>
        <v>101.52670097943405</v>
      </c>
      <c r="K96" s="568">
        <v>0</v>
      </c>
      <c r="L96" s="568"/>
      <c r="M96" s="569">
        <f>12/E96</f>
        <v>13.03016483158512</v>
      </c>
      <c r="N96" s="1270">
        <f>Tabel668917263329[[#This Row],[Sew. 2015]]+Tabel668917263329[[#This Row],[WW 2015]]+Tabel668917263329[[#This Row],[Other ch. 2015]]</f>
        <v>114.55686581101918</v>
      </c>
      <c r="O96" s="1271">
        <f>58.1/E96</f>
        <v>63.087714726257957</v>
      </c>
      <c r="P96" s="571">
        <f>Tabel668917263329[[#This Row],[Total. ch. DW 2015]]+Tabel668917263329[[#This Row],[Sew. 2015]]+Tabel668917263329[[#This Row],[WW 2015]]+Tabel668917263329[[#This Row],[Other ch. 2015]]+Tabel668917263329[[#This Row],[VAT 2015]]</f>
        <v>417.61678285230306</v>
      </c>
      <c r="Q96" s="397"/>
      <c r="R96" s="2081"/>
      <c r="S96" s="1766"/>
      <c r="T96" s="1769"/>
      <c r="U96" s="1775"/>
      <c r="V96" s="1778"/>
      <c r="W96" s="1781"/>
      <c r="X96" s="1785"/>
      <c r="Y96" s="1788"/>
      <c r="Z96" s="1791"/>
      <c r="AA96" s="397"/>
      <c r="AB96" s="398"/>
      <c r="AC96" s="398"/>
      <c r="AD96" s="591" t="s">
        <v>429</v>
      </c>
      <c r="AE96" s="591" t="s">
        <v>429</v>
      </c>
      <c r="AF96" s="591" t="s">
        <v>429</v>
      </c>
      <c r="AG96" s="591" t="s">
        <v>429</v>
      </c>
      <c r="AH96" s="398"/>
      <c r="AI96" s="397"/>
    </row>
    <row r="97" spans="1:35" ht="15.6" hidden="1" customHeight="1" x14ac:dyDescent="0.25">
      <c r="A97" s="1757"/>
      <c r="B97" s="1213"/>
      <c r="C97" s="754" t="s">
        <v>714</v>
      </c>
      <c r="D97" s="1760"/>
      <c r="E97" s="616">
        <f>'[1]exchange rates'!$M$22</f>
        <v>0.92093999999999998</v>
      </c>
      <c r="F97" s="549">
        <f>48.8/E97</f>
        <v>52.989336981779488</v>
      </c>
      <c r="G97" s="550">
        <f>100/E97</f>
        <v>108.58470692987599</v>
      </c>
      <c r="H97" s="551">
        <f>80/E97</f>
        <v>86.867765543900802</v>
      </c>
      <c r="I97" s="566">
        <f>Tabel668917263329[[#This Row],[Fix.ch. 2015]]+Tabel668917263329[[#This Row],[Var. ch. 2015]]+Tabel668917263329[[#This Row],[Oth. ch. DW 2015]]</f>
        <v>248.44180945555627</v>
      </c>
      <c r="J97" s="567">
        <f>118/E97</f>
        <v>128.12995417725367</v>
      </c>
      <c r="K97" s="568">
        <v>0</v>
      </c>
      <c r="L97" s="568"/>
      <c r="M97" s="569">
        <f>0/E97</f>
        <v>0</v>
      </c>
      <c r="N97" s="1270">
        <f>Tabel668917263329[[#This Row],[Sew. 2015]]+Tabel668917263329[[#This Row],[WW 2015]]+Tabel668917263329[[#This Row],[Other ch. 2015]]</f>
        <v>128.12995417725367</v>
      </c>
      <c r="O97" s="1271">
        <f>69.76/E97</f>
        <v>75.748691554281507</v>
      </c>
      <c r="P97" s="571">
        <f>Tabel668917263329[[#This Row],[Total. ch. DW 2015]]+Tabel668917263329[[#This Row],[Sew. 2015]]+Tabel668917263329[[#This Row],[WW 2015]]+Tabel668917263329[[#This Row],[Other ch. 2015]]+Tabel668917263329[[#This Row],[VAT 2015]]</f>
        <v>452.32045518709145</v>
      </c>
      <c r="Q97" s="397"/>
      <c r="R97" s="2081"/>
      <c r="S97" s="1766"/>
      <c r="T97" s="1769"/>
      <c r="U97" s="1775"/>
      <c r="V97" s="1778"/>
      <c r="W97" s="1781"/>
      <c r="X97" s="1785"/>
      <c r="Y97" s="1788"/>
      <c r="Z97" s="1791"/>
      <c r="AA97" s="397"/>
      <c r="AB97" s="398"/>
      <c r="AC97" s="398"/>
      <c r="AD97" s="591" t="s">
        <v>429</v>
      </c>
      <c r="AE97" s="591" t="s">
        <v>429</v>
      </c>
      <c r="AF97" s="591" t="s">
        <v>429</v>
      </c>
      <c r="AG97" s="591" t="s">
        <v>429</v>
      </c>
      <c r="AH97" s="398"/>
      <c r="AI97" s="397"/>
    </row>
    <row r="98" spans="1:35" ht="15.6" hidden="1" customHeight="1" x14ac:dyDescent="0.25">
      <c r="A98" s="1757"/>
      <c r="B98" s="1213"/>
      <c r="C98" s="754" t="s">
        <v>715</v>
      </c>
      <c r="D98" s="1760"/>
      <c r="E98" s="616">
        <f>'[1]exchange rates'!$M$22</f>
        <v>0.92093999999999998</v>
      </c>
      <c r="F98" s="549">
        <f>12/E98</f>
        <v>13.03016483158512</v>
      </c>
      <c r="G98" s="550">
        <f>437.92/E98</f>
        <v>475.514148587313</v>
      </c>
      <c r="H98" s="551">
        <f>0/E98</f>
        <v>0</v>
      </c>
      <c r="I98" s="566">
        <f>Tabel668917263329[[#This Row],[Fix.ch. 2015]]+Tabel668917263329[[#This Row],[Var. ch. 2015]]+Tabel668917263329[[#This Row],[Oth. ch. DW 2015]]</f>
        <v>488.54431341889813</v>
      </c>
      <c r="J98" s="567">
        <f>328.44/E98</f>
        <v>356.63561144048475</v>
      </c>
      <c r="K98" s="568">
        <v>0</v>
      </c>
      <c r="L98" s="568"/>
      <c r="M98" s="569">
        <f>0/E98</f>
        <v>0</v>
      </c>
      <c r="N98" s="1270">
        <f>Tabel668917263329[[#This Row],[Sew. 2015]]+Tabel668917263329[[#This Row],[WW 2015]]+Tabel668917263329[[#This Row],[Other ch. 2015]]</f>
        <v>356.63561144048475</v>
      </c>
      <c r="O98" s="1271">
        <f>135.23/E98</f>
        <v>146.83909918127131</v>
      </c>
      <c r="P98" s="571">
        <f>Tabel668917263329[[#This Row],[Total. ch. DW 2015]]+Tabel668917263329[[#This Row],[Sew. 2015]]+Tabel668917263329[[#This Row],[WW 2015]]+Tabel668917263329[[#This Row],[Other ch. 2015]]+Tabel668917263329[[#This Row],[VAT 2015]]</f>
        <v>992.01902404065424</v>
      </c>
      <c r="Q98" s="397"/>
      <c r="R98" s="2081"/>
      <c r="S98" s="1766"/>
      <c r="T98" s="1769"/>
      <c r="U98" s="1775"/>
      <c r="V98" s="1778"/>
      <c r="W98" s="1781"/>
      <c r="X98" s="1785"/>
      <c r="Y98" s="1788"/>
      <c r="Z98" s="1791"/>
      <c r="AA98" s="397"/>
      <c r="AB98" s="398"/>
      <c r="AC98" s="398"/>
      <c r="AD98" s="591" t="s">
        <v>429</v>
      </c>
      <c r="AE98" s="591" t="s">
        <v>429</v>
      </c>
      <c r="AF98" s="591" t="s">
        <v>429</v>
      </c>
      <c r="AG98" s="591" t="s">
        <v>429</v>
      </c>
      <c r="AH98" s="398"/>
      <c r="AI98" s="397"/>
    </row>
    <row r="99" spans="1:35" ht="16.149999999999999" hidden="1" customHeight="1" thickBot="1" x14ac:dyDescent="0.3">
      <c r="A99" s="1758"/>
      <c r="B99" s="1213"/>
      <c r="C99" s="1272" t="s">
        <v>716</v>
      </c>
      <c r="D99" s="1761"/>
      <c r="E99" s="616">
        <f>'[1]exchange rates'!$M$22</f>
        <v>0.92093999999999998</v>
      </c>
      <c r="F99" s="549">
        <f>24/E99</f>
        <v>26.06032966317024</v>
      </c>
      <c r="G99" s="550">
        <f>132.6/E99</f>
        <v>143.98332138901557</v>
      </c>
      <c r="H99" s="551">
        <f>0/E99</f>
        <v>0</v>
      </c>
      <c r="I99" s="566">
        <f>Tabel668917263329[[#This Row],[Fix.ch. 2015]]+Tabel668917263329[[#This Row],[Var. ch. 2015]]+Tabel668917263329[[#This Row],[Oth. ch. DW 2015]]</f>
        <v>170.04365105218582</v>
      </c>
      <c r="J99" s="567">
        <f>106.08/E99</f>
        <v>115.18665711121245</v>
      </c>
      <c r="K99" s="568">
        <v>0</v>
      </c>
      <c r="L99" s="568"/>
      <c r="M99" s="569">
        <f>14/E99</f>
        <v>15.20185897018264</v>
      </c>
      <c r="N99" s="1270">
        <f>Tabel668917263329[[#This Row],[Sew. 2015]]+Tabel668917263329[[#This Row],[WW 2015]]+Tabel668917263329[[#This Row],[Other ch. 2015]]</f>
        <v>130.3885160813951</v>
      </c>
      <c r="O99" s="1271">
        <f>48.98/E99</f>
        <v>53.184789454253263</v>
      </c>
      <c r="P99" s="571">
        <f>Tabel668917263329[[#This Row],[Total. ch. DW 2015]]+Tabel668917263329[[#This Row],[Sew. 2015]]+Tabel668917263329[[#This Row],[WW 2015]]+Tabel668917263329[[#This Row],[Other ch. 2015]]+Tabel668917263329[[#This Row],[VAT 2015]]</f>
        <v>353.61695658783412</v>
      </c>
      <c r="Q99" s="397"/>
      <c r="R99" s="2270"/>
      <c r="S99" s="1767"/>
      <c r="T99" s="1770"/>
      <c r="U99" s="1776"/>
      <c r="V99" s="1779"/>
      <c r="W99" s="1811"/>
      <c r="X99" s="1813"/>
      <c r="Y99" s="1815"/>
      <c r="Z99" s="1794"/>
      <c r="AA99" s="397"/>
      <c r="AB99" s="398"/>
      <c r="AC99" s="398"/>
      <c r="AD99" s="591" t="s">
        <v>429</v>
      </c>
      <c r="AE99" s="591" t="s">
        <v>429</v>
      </c>
      <c r="AF99" s="591" t="s">
        <v>429</v>
      </c>
      <c r="AG99" s="591" t="s">
        <v>429</v>
      </c>
      <c r="AH99" s="398"/>
      <c r="AI99" s="397"/>
    </row>
    <row r="100" spans="1:35" ht="15.75" hidden="1" customHeight="1" x14ac:dyDescent="0.25">
      <c r="A100" s="1818" t="s">
        <v>45</v>
      </c>
      <c r="B100" s="1213"/>
      <c r="C100" s="1446" t="s">
        <v>102</v>
      </c>
      <c r="D100" s="1759">
        <v>26000</v>
      </c>
      <c r="E100" s="616">
        <f>'[1]exchange rates'!$M$23</f>
        <v>290.45296999999999</v>
      </c>
      <c r="F100" s="549">
        <f>1700/E100</f>
        <v>5.8529268955314864</v>
      </c>
      <c r="G100" s="550">
        <f>34480/E100</f>
        <v>118.71112903407392</v>
      </c>
      <c r="H100" s="551">
        <v>0</v>
      </c>
      <c r="I100" s="566">
        <f>Tabel668917263329[[#This Row],[Fix.ch. 2015]]+Tabel668917263329[[#This Row],[Var. ch. 2015]]+Tabel668917263329[[#This Row],[Oth. ch. DW 2015]]</f>
        <v>124.5640559296054</v>
      </c>
      <c r="J100" s="567">
        <f>914/E100</f>
        <v>3.1468089308916345</v>
      </c>
      <c r="K100" s="568">
        <f>59132/E100</f>
        <v>203.58545481562817</v>
      </c>
      <c r="L100" s="568"/>
      <c r="M100" s="569">
        <v>0</v>
      </c>
      <c r="N100" s="1270">
        <f>Tabel668917263329[[#This Row],[Sew. 2015]]+Tabel668917263329[[#This Row],[WW 2015]]+Tabel668917263329[[#This Row],[Other ch. 2015]]</f>
        <v>206.73226374651981</v>
      </c>
      <c r="O100" s="1271">
        <f>26440/E100</f>
        <v>91.030227716383834</v>
      </c>
      <c r="P100" s="571">
        <f>Tabel668917263329[[#This Row],[Total. ch. DW 2015]]+Tabel668917263329[[#This Row],[Sew. 2015]]+Tabel668917263329[[#This Row],[WW 2015]]+Tabel668917263329[[#This Row],[Other ch. 2015]]+Tabel668917263329[[#This Row],[VAT 2015]]</f>
        <v>422.32654739250904</v>
      </c>
      <c r="Q100" s="397"/>
      <c r="R100" s="1762">
        <f t="shared" ref="R100:W100" si="29">SUM(F100:F104)/5</f>
        <v>2.0182269095062102</v>
      </c>
      <c r="S100" s="1765">
        <f t="shared" si="29"/>
        <v>168.59459209523664</v>
      </c>
      <c r="T100" s="1768">
        <f t="shared" si="29"/>
        <v>0</v>
      </c>
      <c r="U100" s="1774">
        <f t="shared" si="29"/>
        <v>170.61281900474285</v>
      </c>
      <c r="V100" s="1777">
        <f t="shared" si="29"/>
        <v>2.0850191340787463</v>
      </c>
      <c r="W100" s="1810">
        <f t="shared" si="29"/>
        <v>146.29149772508782</v>
      </c>
      <c r="X100" s="1812">
        <f>SUM(M100:M104)/5</f>
        <v>0.84764153039991297</v>
      </c>
      <c r="Y100" s="1814">
        <f t="shared" ref="Y100:Z100" si="30">SUM(O100:O104)/5</f>
        <v>86.672207207934562</v>
      </c>
      <c r="Z100" s="1793">
        <f t="shared" si="30"/>
        <v>406.50918460224386</v>
      </c>
      <c r="AA100" s="397"/>
      <c r="AB100" s="398"/>
      <c r="AC100" s="398"/>
      <c r="AD100" s="398"/>
      <c r="AE100" s="398"/>
      <c r="AF100" s="591" t="s">
        <v>429</v>
      </c>
      <c r="AG100" s="398"/>
      <c r="AH100" s="398"/>
      <c r="AI100" s="397"/>
    </row>
    <row r="101" spans="1:35" ht="15.75" hidden="1" customHeight="1" x14ac:dyDescent="0.25">
      <c r="A101" s="2294"/>
      <c r="B101" s="1213"/>
      <c r="C101" s="543" t="s">
        <v>103</v>
      </c>
      <c r="D101" s="1760"/>
      <c r="E101" s="616">
        <f>'[1]exchange rates'!$M$23</f>
        <v>290.45296999999999</v>
      </c>
      <c r="F101" s="549">
        <f>1231/E101</f>
        <v>4.2382076519995646</v>
      </c>
      <c r="G101" s="550">
        <f>48980/E101</f>
        <v>168.63315255478366</v>
      </c>
      <c r="H101" s="551">
        <v>0</v>
      </c>
      <c r="I101" s="566">
        <f>Tabel668917263329[[#This Row],[Fix.ch. 2015]]+Tabel668917263329[[#This Row],[Var. ch. 2015]]+Tabel668917263329[[#This Row],[Oth. ch. DW 2015]]</f>
        <v>172.87136020678324</v>
      </c>
      <c r="J101" s="567">
        <f>854/E101</f>
        <v>2.9402350404611117</v>
      </c>
      <c r="K101" s="568">
        <f>38940/E101</f>
        <v>134.06645488940947</v>
      </c>
      <c r="L101" s="568"/>
      <c r="M101" s="569">
        <f>1231/E101</f>
        <v>4.2382076519995646</v>
      </c>
      <c r="N101" s="1270">
        <f>Tabel668917263329[[#This Row],[Sew. 2015]]+Tabel668917263329[[#This Row],[WW 2015]]+Tabel668917263329[[#This Row],[Other ch. 2015]]</f>
        <v>141.24489758187016</v>
      </c>
      <c r="O101" s="1271">
        <f>24634/E101</f>
        <v>84.812353614425078</v>
      </c>
      <c r="P101" s="571">
        <f>Tabel668917263329[[#This Row],[Total. ch. DW 2015]]+Tabel668917263329[[#This Row],[Sew. 2015]]+Tabel668917263329[[#This Row],[WW 2015]]+Tabel668917263329[[#This Row],[Other ch. 2015]]+Tabel668917263329[[#This Row],[VAT 2015]]</f>
        <v>398.92861140307849</v>
      </c>
      <c r="Q101" s="397"/>
      <c r="R101" s="1763"/>
      <c r="S101" s="1766"/>
      <c r="T101" s="1769"/>
      <c r="U101" s="1775"/>
      <c r="V101" s="1778"/>
      <c r="W101" s="1781"/>
      <c r="X101" s="1785"/>
      <c r="Y101" s="1788"/>
      <c r="Z101" s="1791"/>
      <c r="AA101" s="397"/>
      <c r="AB101" s="398"/>
      <c r="AC101" s="398"/>
      <c r="AD101" s="398"/>
      <c r="AE101" s="398"/>
      <c r="AF101" s="591" t="s">
        <v>429</v>
      </c>
      <c r="AG101" s="398"/>
      <c r="AH101" s="398"/>
      <c r="AI101" s="397"/>
    </row>
    <row r="102" spans="1:35" ht="15.75" hidden="1" customHeight="1" x14ac:dyDescent="0.25">
      <c r="A102" s="2294"/>
      <c r="B102" s="1213"/>
      <c r="C102" s="543" t="s">
        <v>104</v>
      </c>
      <c r="D102" s="1760"/>
      <c r="E102" s="616">
        <f>'[1]exchange rates'!$M$23</f>
        <v>290.45296999999999</v>
      </c>
      <c r="F102" s="549">
        <v>0</v>
      </c>
      <c r="G102" s="550">
        <f>49824/E102</f>
        <v>171.53895861350634</v>
      </c>
      <c r="H102" s="551">
        <v>0</v>
      </c>
      <c r="I102" s="566">
        <f>Tabel668917263329[[#This Row],[Fix.ch. 2015]]+Tabel668917263329[[#This Row],[Var. ch. 2015]]+Tabel668917263329[[#This Row],[Oth. ch. DW 2015]]</f>
        <v>171.53895861350634</v>
      </c>
      <c r="J102" s="567">
        <v>0</v>
      </c>
      <c r="K102" s="568">
        <f>38322/E102</f>
        <v>131.93874381797508</v>
      </c>
      <c r="L102" s="568"/>
      <c r="M102" s="569">
        <v>0</v>
      </c>
      <c r="N102" s="1270">
        <f>Tabel668917263329[[#This Row],[Sew. 2015]]+Tabel668917263329[[#This Row],[WW 2015]]+Tabel668917263329[[#This Row],[Other ch. 2015]]</f>
        <v>131.93874381797508</v>
      </c>
      <c r="O102" s="1271">
        <f>23799/E102</f>
        <v>81.937533639266974</v>
      </c>
      <c r="P102" s="571">
        <f>Tabel668917263329[[#This Row],[Total. ch. DW 2015]]+Tabel668917263329[[#This Row],[Sew. 2015]]+Tabel668917263329[[#This Row],[WW 2015]]+Tabel668917263329[[#This Row],[Other ch. 2015]]+Tabel668917263329[[#This Row],[VAT 2015]]</f>
        <v>385.41523607074839</v>
      </c>
      <c r="Q102" s="397"/>
      <c r="R102" s="1763"/>
      <c r="S102" s="1766"/>
      <c r="T102" s="1769"/>
      <c r="U102" s="1775"/>
      <c r="V102" s="1778"/>
      <c r="W102" s="1781"/>
      <c r="X102" s="1785"/>
      <c r="Y102" s="1788"/>
      <c r="Z102" s="1791"/>
      <c r="AA102" s="397"/>
      <c r="AB102" s="398"/>
      <c r="AC102" s="398"/>
      <c r="AD102" s="398"/>
      <c r="AE102" s="398"/>
      <c r="AF102" s="398"/>
      <c r="AG102" s="398"/>
      <c r="AH102" s="398"/>
      <c r="AI102" s="397"/>
    </row>
    <row r="103" spans="1:35" ht="16.5" hidden="1" customHeight="1" x14ac:dyDescent="0.25">
      <c r="A103" s="2294"/>
      <c r="B103" s="1213"/>
      <c r="C103" s="543" t="s">
        <v>105</v>
      </c>
      <c r="D103" s="1760"/>
      <c r="E103" s="616">
        <f>'[1]exchange rates'!$M$23</f>
        <v>290.45296999999999</v>
      </c>
      <c r="F103" s="549">
        <v>0</v>
      </c>
      <c r="G103" s="550">
        <f>68000/E103</f>
        <v>234.11707582125948</v>
      </c>
      <c r="H103" s="551">
        <v>0</v>
      </c>
      <c r="I103" s="566">
        <f>Tabel668917263329[[#This Row],[Fix.ch. 2015]]+Tabel668917263329[[#This Row],[Var. ch. 2015]]+Tabel668917263329[[#This Row],[Oth. ch. DW 2015]]</f>
        <v>234.11707582125948</v>
      </c>
      <c r="J103" s="567">
        <v>0</v>
      </c>
      <c r="K103" s="568">
        <f>49600/E103</f>
        <v>170.76774942256574</v>
      </c>
      <c r="L103" s="568"/>
      <c r="M103" s="569">
        <v>0</v>
      </c>
      <c r="N103" s="1270">
        <f>Tabel668917263329[[#This Row],[Sew. 2015]]+Tabel668917263329[[#This Row],[WW 2015]]+Tabel668917263329[[#This Row],[Other ch. 2015]]</f>
        <v>170.76774942256574</v>
      </c>
      <c r="O103" s="1271">
        <f>31752/E103</f>
        <v>109.3189028158328</v>
      </c>
      <c r="P103" s="571">
        <f>Tabel668917263329[[#This Row],[Total. ch. DW 2015]]+Tabel668917263329[[#This Row],[Sew. 2015]]+Tabel668917263329[[#This Row],[WW 2015]]+Tabel668917263329[[#This Row],[Other ch. 2015]]+Tabel668917263329[[#This Row],[VAT 2015]]</f>
        <v>514.20372805965803</v>
      </c>
      <c r="Q103" s="397"/>
      <c r="R103" s="1763"/>
      <c r="S103" s="1766"/>
      <c r="T103" s="1769"/>
      <c r="U103" s="1775"/>
      <c r="V103" s="1778"/>
      <c r="W103" s="1781"/>
      <c r="X103" s="1785"/>
      <c r="Y103" s="1788"/>
      <c r="Z103" s="1791"/>
      <c r="AA103" s="397"/>
      <c r="AB103" s="398"/>
      <c r="AC103" s="398"/>
      <c r="AD103" s="398"/>
      <c r="AE103" s="398"/>
      <c r="AF103" s="398"/>
      <c r="AG103" s="398"/>
      <c r="AH103" s="398"/>
      <c r="AI103" s="397"/>
    </row>
    <row r="104" spans="1:35" ht="17.25" hidden="1" customHeight="1" thickBot="1" x14ac:dyDescent="0.3">
      <c r="A104" s="2295"/>
      <c r="B104" s="1213"/>
      <c r="C104" s="544" t="s">
        <v>613</v>
      </c>
      <c r="D104" s="1761"/>
      <c r="E104" s="616">
        <f>'[1]exchange rates'!$M$23</f>
        <v>290.45296999999999</v>
      </c>
      <c r="F104" s="549">
        <v>0</v>
      </c>
      <c r="G104" s="550">
        <f>43560/E104</f>
        <v>149.97264445255973</v>
      </c>
      <c r="H104" s="551">
        <v>0</v>
      </c>
      <c r="I104" s="566">
        <f>Tabel668917263329[[#This Row],[Fix.ch. 2015]]+Tabel668917263329[[#This Row],[Var. ch. 2015]]+Tabel668917263329[[#This Row],[Oth. ch. DW 2015]]</f>
        <v>149.97264445255973</v>
      </c>
      <c r="J104" s="567">
        <f>1260/E104</f>
        <v>4.3380516990409843</v>
      </c>
      <c r="K104" s="568">
        <f>26460/E104</f>
        <v>91.099085679860664</v>
      </c>
      <c r="L104" s="568"/>
      <c r="M104" s="569">
        <v>0</v>
      </c>
      <c r="N104" s="1270">
        <f>Tabel668917263329[[#This Row],[Sew. 2015]]+Tabel668917263329[[#This Row],[WW 2015]]+Tabel668917263329[[#This Row],[Other ch. 2015]]</f>
        <v>95.437137378901653</v>
      </c>
      <c r="O104" s="1271">
        <f>19246/E104</f>
        <v>66.262018253764111</v>
      </c>
      <c r="P104" s="571">
        <f>Tabel668917263329[[#This Row],[Total. ch. DW 2015]]+Tabel668917263329[[#This Row],[Sew. 2015]]+Tabel668917263329[[#This Row],[WW 2015]]+Tabel668917263329[[#This Row],[Other ch. 2015]]+Tabel668917263329[[#This Row],[VAT 2015]]</f>
        <v>311.67180008522547</v>
      </c>
      <c r="Q104" s="397"/>
      <c r="R104" s="1764"/>
      <c r="S104" s="1767"/>
      <c r="T104" s="1770"/>
      <c r="U104" s="1776"/>
      <c r="V104" s="1779"/>
      <c r="W104" s="1811"/>
      <c r="X104" s="1813"/>
      <c r="Y104" s="1815"/>
      <c r="Z104" s="1794"/>
      <c r="AA104" s="397"/>
      <c r="AB104" s="398"/>
      <c r="AC104" s="398"/>
      <c r="AD104" s="398"/>
      <c r="AE104" s="398"/>
      <c r="AF104" s="398"/>
      <c r="AG104" s="398"/>
      <c r="AH104" s="398"/>
      <c r="AI104" s="397"/>
    </row>
    <row r="105" spans="1:35" ht="17.25" hidden="1" customHeight="1" thickBot="1" x14ac:dyDescent="0.3">
      <c r="A105" s="1447" t="s">
        <v>754</v>
      </c>
      <c r="B105" s="1213"/>
      <c r="C105" s="543" t="s">
        <v>755</v>
      </c>
      <c r="D105" s="1171">
        <v>46600</v>
      </c>
      <c r="E105" s="616">
        <f>'[1]exchange rates'!M24</f>
        <v>130.32431</v>
      </c>
      <c r="F105" s="549"/>
      <c r="G105" s="550"/>
      <c r="H105" s="551"/>
      <c r="I105" s="566">
        <f>Tabel668917263329[[#This Row],[Fix.ch. 2015]]+Tabel668917263329[[#This Row],[Var. ch. 2015]]+Tabel668917263329[[#This Row],[Oth. ch. DW 2015]]</f>
        <v>0</v>
      </c>
      <c r="J105" s="567"/>
      <c r="K105" s="568"/>
      <c r="L105" s="568"/>
      <c r="M105" s="569"/>
      <c r="N105" s="1270">
        <f>Tabel668917263329[[#This Row],[Sew. 2015]]+Tabel668917263329[[#This Row],[WW 2015]]+Tabel668917263329[[#This Row],[Other ch. 2015]]</f>
        <v>0</v>
      </c>
      <c r="O105" s="1271"/>
      <c r="P105" s="571">
        <f>Tabel668917263329[[#This Row],[Total. ch. DW 2015]]+Tabel668917263329[[#This Row],[Sew. 2015]]+Tabel668917263329[[#This Row],[WW 2015]]+Tabel668917263329[[#This Row],[Other ch. 2015]]+Tabel668917263329[[#This Row],[VAT 2015]]</f>
        <v>0</v>
      </c>
      <c r="Q105" s="397"/>
      <c r="R105" s="1173"/>
      <c r="S105" s="1174"/>
      <c r="T105" s="1175"/>
      <c r="U105" s="1176"/>
      <c r="V105" s="1177"/>
      <c r="W105" s="1178"/>
      <c r="X105" s="1179"/>
      <c r="Y105" s="1180"/>
      <c r="Z105" s="1181"/>
      <c r="AA105" s="397"/>
      <c r="AB105" s="398"/>
      <c r="AC105" s="398"/>
      <c r="AD105" s="398"/>
      <c r="AE105" s="398"/>
      <c r="AF105" s="398"/>
      <c r="AG105" s="398"/>
      <c r="AH105" s="398"/>
      <c r="AI105" s="397"/>
    </row>
    <row r="106" spans="1:35" ht="18" hidden="1" customHeight="1" x14ac:dyDescent="0.25">
      <c r="A106" s="1833" t="s">
        <v>466</v>
      </c>
      <c r="B106" s="1617"/>
      <c r="C106" s="1448" t="s">
        <v>606</v>
      </c>
      <c r="D106" s="2210">
        <v>12800</v>
      </c>
      <c r="E106" s="307">
        <f>'[1]exchange rates'!K27</f>
        <v>11241.536700000001</v>
      </c>
      <c r="F106" s="319">
        <f>0</f>
        <v>0</v>
      </c>
      <c r="G106" s="320">
        <f>466512/E106</f>
        <v>41.498952718804006</v>
      </c>
      <c r="H106" s="321">
        <v>0</v>
      </c>
      <c r="I106" s="313">
        <f>Tabel668917263329[[#This Row],[Fix.ch. 2015]]+Tabel668917263329[[#This Row],[Var. ch. 2015]]+Tabel668917263329[[#This Row],[Oth. ch. DW 2015]]</f>
        <v>41.498952718804006</v>
      </c>
      <c r="J106" s="322">
        <f>71496/E106</f>
        <v>6.3599845739951189</v>
      </c>
      <c r="K106" s="323">
        <v>0</v>
      </c>
      <c r="L106" s="323"/>
      <c r="M106" s="324">
        <v>0</v>
      </c>
      <c r="N106" s="1257">
        <f>Tabel668917263329[[#This Row],[Sew. 2015]]+Tabel668917263329[[#This Row],[WW 2015]]+Tabel668917263329[[#This Row],[Other ch. 2015]]</f>
        <v>6.3599845739951189</v>
      </c>
      <c r="O106" s="1258">
        <f>32280/E106</f>
        <v>2.8714935387792666</v>
      </c>
      <c r="P106" s="318">
        <f>Tabel668917263329[[#This Row],[Total. ch. DW 2015]]+Tabel668917263329[[#This Row],[Sew. 2015]]+Tabel668917263329[[#This Row],[WW 2015]]+Tabel668917263329[[#This Row],[Other ch. 2015]]+Tabel668917263329[[#This Row],[VAT 2015]]</f>
        <v>50.730430831578396</v>
      </c>
      <c r="Q106" s="397"/>
      <c r="R106" s="2211">
        <f t="shared" ref="R106:W106" si="31">SUM(F106:F110)/5</f>
        <v>0</v>
      </c>
      <c r="S106" s="2212">
        <f t="shared" si="31"/>
        <v>37.034153880403203</v>
      </c>
      <c r="T106" s="2213">
        <f t="shared" si="31"/>
        <v>0</v>
      </c>
      <c r="U106" s="2214">
        <f t="shared" si="31"/>
        <v>37.034153880403203</v>
      </c>
      <c r="V106" s="2215">
        <f t="shared" si="31"/>
        <v>6.3599845739951189</v>
      </c>
      <c r="W106" s="2216">
        <f t="shared" si="31"/>
        <v>0</v>
      </c>
      <c r="X106" s="2217">
        <f>SUM(M106:M110)/5</f>
        <v>0</v>
      </c>
      <c r="Y106" s="2218">
        <f t="shared" ref="Y106:Z106" si="32">SUM(O106:O110)/5</f>
        <v>2.603345145864266</v>
      </c>
      <c r="Z106" s="2219">
        <f t="shared" si="32"/>
        <v>45.997483600262591</v>
      </c>
      <c r="AA106" s="397"/>
      <c r="AB106" s="398"/>
      <c r="AC106" s="398"/>
      <c r="AD106" s="398"/>
      <c r="AE106" s="396" t="s">
        <v>429</v>
      </c>
      <c r="AF106" s="398"/>
      <c r="AG106" s="398"/>
      <c r="AH106" s="398"/>
      <c r="AI106" s="397"/>
    </row>
    <row r="107" spans="1:35" ht="15.75" hidden="1" x14ac:dyDescent="0.25">
      <c r="A107" s="2297"/>
      <c r="B107" s="1617"/>
      <c r="C107" s="298" t="s">
        <v>607</v>
      </c>
      <c r="D107" s="1837"/>
      <c r="E107" s="307">
        <f>'[1]exchange rates'!K27</f>
        <v>11241.536700000001</v>
      </c>
      <c r="F107" s="319">
        <f>0</f>
        <v>0</v>
      </c>
      <c r="G107" s="320">
        <f>408600/E107</f>
        <v>36.347343864473615</v>
      </c>
      <c r="H107" s="321">
        <v>0</v>
      </c>
      <c r="I107" s="313">
        <f>Tabel668917263329[[#This Row],[Fix.ch. 2015]]+Tabel668917263329[[#This Row],[Var. ch. 2015]]+Tabel668917263329[[#This Row],[Oth. ch. DW 2015]]</f>
        <v>36.347343864473615</v>
      </c>
      <c r="J107" s="322">
        <f>71496/E107</f>
        <v>6.3599845739951189</v>
      </c>
      <c r="K107" s="323">
        <v>0</v>
      </c>
      <c r="L107" s="323"/>
      <c r="M107" s="324">
        <v>0</v>
      </c>
      <c r="N107" s="1257">
        <f>Tabel668917263329[[#This Row],[Sew. 2015]]+Tabel668917263329[[#This Row],[WW 2015]]+Tabel668917263329[[#This Row],[Other ch. 2015]]</f>
        <v>6.3599845739951189</v>
      </c>
      <c r="O107" s="1258">
        <f>28800/E107</f>
        <v>2.5619273208439552</v>
      </c>
      <c r="P107" s="318">
        <f>Tabel668917263329[[#This Row],[Total. ch. DW 2015]]+Tabel668917263329[[#This Row],[Sew. 2015]]+Tabel668917263329[[#This Row],[WW 2015]]+Tabel668917263329[[#This Row],[Other ch. 2015]]+Tabel668917263329[[#This Row],[VAT 2015]]</f>
        <v>45.269255759312692</v>
      </c>
      <c r="Q107" s="397"/>
      <c r="R107" s="1840"/>
      <c r="S107" s="1843"/>
      <c r="T107" s="1846"/>
      <c r="U107" s="1849"/>
      <c r="V107" s="1852"/>
      <c r="W107" s="1855"/>
      <c r="X107" s="1858"/>
      <c r="Y107" s="1873"/>
      <c r="Z107" s="1876"/>
      <c r="AA107" s="397"/>
      <c r="AB107" s="398"/>
      <c r="AC107" s="398"/>
      <c r="AD107" s="398"/>
      <c r="AE107" s="396" t="s">
        <v>429</v>
      </c>
      <c r="AF107" s="398"/>
      <c r="AG107" s="398"/>
      <c r="AH107" s="398"/>
      <c r="AI107" s="397"/>
    </row>
    <row r="108" spans="1:35" ht="15.75" hidden="1" x14ac:dyDescent="0.25">
      <c r="A108" s="2297"/>
      <c r="B108" s="1617"/>
      <c r="C108" s="298" t="s">
        <v>608</v>
      </c>
      <c r="D108" s="1837"/>
      <c r="E108" s="307">
        <f>'[1]exchange rates'!K27</f>
        <v>11241.536700000001</v>
      </c>
      <c r="F108" s="319">
        <f>0</f>
        <v>0</v>
      </c>
      <c r="G108" s="320">
        <f>366780/E108</f>
        <v>32.62721190066479</v>
      </c>
      <c r="H108" s="321">
        <v>0</v>
      </c>
      <c r="I108" s="313">
        <f>Tabel668917263329[[#This Row],[Fix.ch. 2015]]+Tabel668917263329[[#This Row],[Var. ch. 2015]]+Tabel668917263329[[#This Row],[Oth. ch. DW 2015]]</f>
        <v>32.62721190066479</v>
      </c>
      <c r="J108" s="322">
        <f t="shared" ref="J108:J110" si="33">71496/E108</f>
        <v>6.3599845739951189</v>
      </c>
      <c r="K108" s="323">
        <v>0</v>
      </c>
      <c r="L108" s="323"/>
      <c r="M108" s="324">
        <v>0</v>
      </c>
      <c r="N108" s="1257">
        <f>Tabel668917263329[[#This Row],[Sew. 2015]]+Tabel668917263329[[#This Row],[WW 2015]]+Tabel668917263329[[#This Row],[Other ch. 2015]]</f>
        <v>6.3599845739951189</v>
      </c>
      <c r="O108" s="1258">
        <f>26292/E108</f>
        <v>2.3388261499871277</v>
      </c>
      <c r="P108" s="318">
        <f>Tabel668917263329[[#This Row],[Total. ch. DW 2015]]+Tabel668917263329[[#This Row],[Sew. 2015]]+Tabel668917263329[[#This Row],[WW 2015]]+Tabel668917263329[[#This Row],[Other ch. 2015]]+Tabel668917263329[[#This Row],[VAT 2015]]</f>
        <v>41.326022624647038</v>
      </c>
      <c r="Q108" s="397"/>
      <c r="R108" s="1840"/>
      <c r="S108" s="1843"/>
      <c r="T108" s="1846"/>
      <c r="U108" s="1849"/>
      <c r="V108" s="1852"/>
      <c r="W108" s="1855"/>
      <c r="X108" s="1858"/>
      <c r="Y108" s="1873"/>
      <c r="Z108" s="1876"/>
      <c r="AA108" s="397"/>
      <c r="AB108" s="398"/>
      <c r="AC108" s="398"/>
      <c r="AD108" s="398"/>
      <c r="AE108" s="396" t="s">
        <v>429</v>
      </c>
      <c r="AF108" s="398"/>
      <c r="AG108" s="398"/>
      <c r="AH108" s="398"/>
      <c r="AI108" s="397"/>
    </row>
    <row r="109" spans="1:35" ht="15.75" hidden="1" x14ac:dyDescent="0.25">
      <c r="A109" s="2297"/>
      <c r="B109" s="1617"/>
      <c r="C109" s="298" t="s">
        <v>609</v>
      </c>
      <c r="D109" s="1837"/>
      <c r="E109" s="307">
        <f>'[1]exchange rates'!K27</f>
        <v>11241.536700000001</v>
      </c>
      <c r="F109" s="319">
        <f>0</f>
        <v>0</v>
      </c>
      <c r="G109" s="320">
        <f>418248/E109</f>
        <v>37.205589516956344</v>
      </c>
      <c r="H109" s="321">
        <v>0</v>
      </c>
      <c r="I109" s="313">
        <f>Tabel668917263329[[#This Row],[Fix.ch. 2015]]+Tabel668917263329[[#This Row],[Var. ch. 2015]]+Tabel668917263329[[#This Row],[Oth. ch. DW 2015]]</f>
        <v>37.205589516956344</v>
      </c>
      <c r="J109" s="322">
        <f t="shared" si="33"/>
        <v>6.3599845739951189</v>
      </c>
      <c r="K109" s="323">
        <v>0</v>
      </c>
      <c r="L109" s="323"/>
      <c r="M109" s="324">
        <v>0</v>
      </c>
      <c r="N109" s="1257">
        <f>Tabel668917263329[[#This Row],[Sew. 2015]]+Tabel668917263329[[#This Row],[WW 2015]]+Tabel668917263329[[#This Row],[Other ch. 2015]]</f>
        <v>6.3599845739951189</v>
      </c>
      <c r="O109" s="1258">
        <f>29388/E109</f>
        <v>2.6142333369778528</v>
      </c>
      <c r="P109" s="318">
        <f>Tabel668917263329[[#This Row],[Total. ch. DW 2015]]+Tabel668917263329[[#This Row],[Sew. 2015]]+Tabel668917263329[[#This Row],[WW 2015]]+Tabel668917263329[[#This Row],[Other ch. 2015]]+Tabel668917263329[[#This Row],[VAT 2015]]</f>
        <v>46.179807427929319</v>
      </c>
      <c r="Q109" s="397"/>
      <c r="R109" s="1840"/>
      <c r="S109" s="1843"/>
      <c r="T109" s="1846"/>
      <c r="U109" s="1849"/>
      <c r="V109" s="1852"/>
      <c r="W109" s="1855"/>
      <c r="X109" s="1858"/>
      <c r="Y109" s="1873"/>
      <c r="Z109" s="1876"/>
      <c r="AA109" s="397"/>
      <c r="AB109" s="398"/>
      <c r="AC109" s="398"/>
      <c r="AD109" s="398"/>
      <c r="AE109" s="396" t="s">
        <v>429</v>
      </c>
      <c r="AF109" s="398"/>
      <c r="AG109" s="398"/>
      <c r="AH109" s="398"/>
      <c r="AI109" s="397"/>
    </row>
    <row r="110" spans="1:35" ht="16.5" hidden="1" thickBot="1" x14ac:dyDescent="0.3">
      <c r="A110" s="2298"/>
      <c r="B110" s="1617"/>
      <c r="C110" s="293" t="s">
        <v>610</v>
      </c>
      <c r="D110" s="2008"/>
      <c r="E110" s="307">
        <f>'[1]exchange rates'!K27</f>
        <v>11241.536700000001</v>
      </c>
      <c r="F110" s="319">
        <f>0</f>
        <v>0</v>
      </c>
      <c r="G110" s="320">
        <f>421464/E110</f>
        <v>37.491671401117252</v>
      </c>
      <c r="H110" s="321">
        <v>0</v>
      </c>
      <c r="I110" s="313">
        <f>Tabel668917263329[[#This Row],[Fix.ch. 2015]]+Tabel668917263329[[#This Row],[Var. ch. 2015]]+Tabel668917263329[[#This Row],[Oth. ch. DW 2015]]</f>
        <v>37.491671401117252</v>
      </c>
      <c r="J110" s="322">
        <f t="shared" si="33"/>
        <v>6.3599845739951189</v>
      </c>
      <c r="K110" s="323">
        <v>0</v>
      </c>
      <c r="L110" s="323"/>
      <c r="M110" s="324">
        <v>0</v>
      </c>
      <c r="N110" s="1257">
        <f>Tabel668917263329[[#This Row],[Sew. 2015]]+Tabel668917263329[[#This Row],[WW 2015]]+Tabel668917263329[[#This Row],[Other ch. 2015]]</f>
        <v>6.3599845739951189</v>
      </c>
      <c r="O110" s="1258">
        <f>29568/E110</f>
        <v>2.6302453827331274</v>
      </c>
      <c r="P110" s="318">
        <f>Tabel668917263329[[#This Row],[Total. ch. DW 2015]]+Tabel668917263329[[#This Row],[Sew. 2015]]+Tabel668917263329[[#This Row],[WW 2015]]+Tabel668917263329[[#This Row],[Other ch. 2015]]+Tabel668917263329[[#This Row],[VAT 2015]]</f>
        <v>46.481901357845501</v>
      </c>
      <c r="Q110" s="397"/>
      <c r="R110" s="2088"/>
      <c r="S110" s="2013"/>
      <c r="T110" s="2015"/>
      <c r="U110" s="2017"/>
      <c r="V110" s="2019"/>
      <c r="W110" s="2021"/>
      <c r="X110" s="2030"/>
      <c r="Y110" s="1993"/>
      <c r="Z110" s="1995"/>
      <c r="AA110" s="397"/>
      <c r="AB110" s="398"/>
      <c r="AC110" s="398"/>
      <c r="AD110" s="398"/>
      <c r="AE110" s="396" t="s">
        <v>429</v>
      </c>
      <c r="AF110" s="398"/>
      <c r="AG110" s="398"/>
      <c r="AH110" s="398"/>
      <c r="AI110" s="397"/>
    </row>
    <row r="111" spans="1:35" ht="19.5" hidden="1" thickBot="1" x14ac:dyDescent="0.35">
      <c r="A111" s="267" t="s">
        <v>16</v>
      </c>
      <c r="B111" s="1616"/>
      <c r="C111" s="296" t="s">
        <v>106</v>
      </c>
      <c r="D111" s="1256">
        <v>34900</v>
      </c>
      <c r="E111" s="308">
        <f>'[1]exchange rates'!K28</f>
        <v>3.4691000000000001</v>
      </c>
      <c r="F111" s="319">
        <v>0</v>
      </c>
      <c r="G111" s="320">
        <f>1632.16/E111</f>
        <v>470.48514023810213</v>
      </c>
      <c r="H111" s="321">
        <v>0</v>
      </c>
      <c r="I111" s="313">
        <f>Tabel668917263329[[#This Row],[Fix.ch. 2015]]+Tabel668917263329[[#This Row],[Var. ch. 2015]]+Tabel668917263329[[#This Row],[Oth. ch. DW 2015]]</f>
        <v>470.48514023810213</v>
      </c>
      <c r="J111" s="322">
        <v>0</v>
      </c>
      <c r="K111" s="323">
        <v>0</v>
      </c>
      <c r="L111" s="323"/>
      <c r="M111" s="324">
        <v>0</v>
      </c>
      <c r="N111" s="1257">
        <f>Tabel668917263329[[#This Row],[Sew. 2015]]+Tabel668917263329[[#This Row],[WW 2015]]+Tabel668917263329[[#This Row],[Other ch. 2015]]</f>
        <v>0</v>
      </c>
      <c r="O111" s="1258">
        <f>282.84/E111</f>
        <v>81.531232884609835</v>
      </c>
      <c r="P111" s="318">
        <f>Tabel668917263329[[#This Row],[Total. ch. DW 2015]]+Tabel668917263329[[#This Row],[Sew. 2015]]+Tabel668917263329[[#This Row],[WW 2015]]+Tabel668917263329[[#This Row],[Other ch. 2015]]+Tabel668917263329[[#This Row],[VAT 2015]]</f>
        <v>552.01637312271191</v>
      </c>
      <c r="Q111" s="397"/>
      <c r="R111" s="1228">
        <v>0</v>
      </c>
      <c r="S111" s="1229">
        <f>Tabel668917263329[[#This Row],[Var. ch. 2015]]</f>
        <v>470.48514023810213</v>
      </c>
      <c r="T111" s="1230">
        <v>0</v>
      </c>
      <c r="U111" s="1231">
        <f>Tabel668917263329[[#This Row],[Total. ch. DW 2015]]</f>
        <v>470.48514023810213</v>
      </c>
      <c r="V111" s="1232">
        <v>0</v>
      </c>
      <c r="W111" s="1233">
        <v>0</v>
      </c>
      <c r="X111" s="1234">
        <v>0</v>
      </c>
      <c r="Y111" s="1235">
        <f>Tabel668917263329[[#This Row],[VAT 2015]]</f>
        <v>81.531232884609835</v>
      </c>
      <c r="Z111" s="1236">
        <f>Tabel668917263329[[#This Row],[total charge 2015]]</f>
        <v>552.01637312271191</v>
      </c>
      <c r="AA111" s="397"/>
      <c r="AB111" s="398"/>
      <c r="AC111" s="398"/>
      <c r="AD111" s="398"/>
      <c r="AE111" s="396" t="s">
        <v>429</v>
      </c>
      <c r="AF111" s="398"/>
      <c r="AG111" s="398"/>
      <c r="AH111" s="398" t="s">
        <v>590</v>
      </c>
      <c r="AI111" s="397"/>
    </row>
    <row r="112" spans="1:35" ht="15.75" hidden="1" x14ac:dyDescent="0.25">
      <c r="A112" s="1833" t="s">
        <v>17</v>
      </c>
      <c r="B112" s="1617"/>
      <c r="C112" s="1448" t="s">
        <v>107</v>
      </c>
      <c r="D112" s="2210">
        <v>29600</v>
      </c>
      <c r="E112" s="306">
        <f>'[1]exchange rates'!K29</f>
        <v>0.72762000000000004</v>
      </c>
      <c r="F112" s="319">
        <f>17.62/E112</f>
        <v>24.215936890134959</v>
      </c>
      <c r="G112" s="320">
        <f>172.8/E112</f>
        <v>237.48660014842912</v>
      </c>
      <c r="H112" s="321">
        <v>0</v>
      </c>
      <c r="I112" s="313">
        <f>Tabel668917263329[[#This Row],[Fix.ch. 2015]]+Tabel668917263329[[#This Row],[Var. ch. 2015]]+Tabel668917263329[[#This Row],[Oth. ch. DW 2015]]</f>
        <v>261.70253703856406</v>
      </c>
      <c r="J112" s="322">
        <f>34.3/E112</f>
        <v>47.139990654462487</v>
      </c>
      <c r="K112" s="323">
        <f>92.42/E112</f>
        <v>127.01684945438552</v>
      </c>
      <c r="L112" s="323"/>
      <c r="M112" s="324">
        <v>0</v>
      </c>
      <c r="N112" s="1257">
        <f>Tabel668917263329[[#This Row],[Sew. 2015]]+Tabel668917263329[[#This Row],[WW 2015]]+Tabel668917263329[[#This Row],[Other ch. 2015]]</f>
        <v>174.156840108848</v>
      </c>
      <c r="O112" s="1258">
        <f>31.71/E112</f>
        <v>43.580440339737777</v>
      </c>
      <c r="P112" s="318">
        <f>Tabel668917263329[[#This Row],[Total. ch. DW 2015]]+Tabel668917263329[[#This Row],[Sew. 2015]]+Tabel668917263329[[#This Row],[WW 2015]]+Tabel668917263329[[#This Row],[Other ch. 2015]]+Tabel668917263329[[#This Row],[VAT 2015]]</f>
        <v>479.43981748714987</v>
      </c>
      <c r="Q112" s="397"/>
      <c r="R112" s="2309">
        <f t="shared" ref="R112:W112" si="34">SUM(F112:F116)/5</f>
        <v>16.250240510156399</v>
      </c>
      <c r="S112" s="2310">
        <f t="shared" si="34"/>
        <v>150.37794453148621</v>
      </c>
      <c r="T112" s="2311">
        <f t="shared" si="34"/>
        <v>0.69266925043291816</v>
      </c>
      <c r="U112" s="2308">
        <f t="shared" si="34"/>
        <v>167.3208542920755</v>
      </c>
      <c r="V112" s="2303">
        <f t="shared" si="34"/>
        <v>42.178609713861633</v>
      </c>
      <c r="W112" s="2304">
        <f t="shared" si="34"/>
        <v>119.13361369945851</v>
      </c>
      <c r="X112" s="2305">
        <f>SUM(M112:M116)/5</f>
        <v>0</v>
      </c>
      <c r="Y112" s="2306">
        <f t="shared" ref="Y112:Z112" si="35">SUM(O112:O116)/5</f>
        <v>32.860559083037842</v>
      </c>
      <c r="Z112" s="2307">
        <f t="shared" si="35"/>
        <v>361.49363678843349</v>
      </c>
      <c r="AA112" s="397"/>
      <c r="AB112" s="398"/>
      <c r="AC112" s="398"/>
      <c r="AD112" s="398"/>
      <c r="AE112" s="396" t="s">
        <v>429</v>
      </c>
      <c r="AF112" s="396"/>
      <c r="AG112" s="398"/>
      <c r="AH112" s="398"/>
      <c r="AI112" s="397"/>
    </row>
    <row r="113" spans="1:35" ht="15.75" hidden="1" x14ac:dyDescent="0.25">
      <c r="A113" s="2297"/>
      <c r="B113" s="1617"/>
      <c r="C113" s="298" t="s">
        <v>108</v>
      </c>
      <c r="D113" s="1837"/>
      <c r="E113" s="306">
        <f>'[1]exchange rates'!K29</f>
        <v>0.72762000000000004</v>
      </c>
      <c r="F113" s="319">
        <f>2.79/E113</f>
        <v>3.8344190648965117</v>
      </c>
      <c r="G113" s="320">
        <f>30.35/E113</f>
        <v>41.711332838569582</v>
      </c>
      <c r="H113" s="321">
        <v>0</v>
      </c>
      <c r="I113" s="313">
        <f>Tabel668917263329[[#This Row],[Fix.ch. 2015]]+Tabel668917263329[[#This Row],[Var. ch. 2015]]+Tabel668917263329[[#This Row],[Oth. ch. DW 2015]]</f>
        <v>45.545751903466098</v>
      </c>
      <c r="J113" s="322">
        <f>21.6/E113</f>
        <v>29.68582501855364</v>
      </c>
      <c r="K113" s="323">
        <f>55.4/E113</f>
        <v>76.138643797586653</v>
      </c>
      <c r="L113" s="323"/>
      <c r="M113" s="324">
        <v>0</v>
      </c>
      <c r="N113" s="1257">
        <f>Tabel668917263329[[#This Row],[Sew. 2015]]+Tabel668917263329[[#This Row],[WW 2015]]+Tabel668917263329[[#This Row],[Other ch. 2015]]</f>
        <v>105.8244688161403</v>
      </c>
      <c r="O113" s="1258">
        <f>11.01/E113</f>
        <v>15.131524696957202</v>
      </c>
      <c r="P113" s="318">
        <f>Tabel668917263329[[#This Row],[Total. ch. DW 2015]]+Tabel668917263329[[#This Row],[Sew. 2015]]+Tabel668917263329[[#This Row],[WW 2015]]+Tabel668917263329[[#This Row],[Other ch. 2015]]+Tabel668917263329[[#This Row],[VAT 2015]]</f>
        <v>166.50174541656358</v>
      </c>
      <c r="Q113" s="397"/>
      <c r="R113" s="1840"/>
      <c r="S113" s="1843"/>
      <c r="T113" s="1846"/>
      <c r="U113" s="1849"/>
      <c r="V113" s="1852"/>
      <c r="W113" s="1855"/>
      <c r="X113" s="1858"/>
      <c r="Y113" s="1873"/>
      <c r="Z113" s="1876"/>
      <c r="AA113" s="397"/>
      <c r="AB113" s="398"/>
      <c r="AC113" s="398"/>
      <c r="AD113" s="398"/>
      <c r="AE113" s="396" t="s">
        <v>429</v>
      </c>
      <c r="AF113" s="396"/>
      <c r="AG113" s="398"/>
      <c r="AH113" s="398"/>
      <c r="AI113" s="397"/>
    </row>
    <row r="114" spans="1:35" ht="15.75" hidden="1" x14ac:dyDescent="0.25">
      <c r="A114" s="2297"/>
      <c r="B114" s="1617"/>
      <c r="C114" s="298" t="s">
        <v>109</v>
      </c>
      <c r="D114" s="1837"/>
      <c r="E114" s="306">
        <f>'[1]exchange rates'!K29</f>
        <v>0.72762000000000004</v>
      </c>
      <c r="F114" s="319">
        <f>8.79/E114</f>
        <v>12.080481570050299</v>
      </c>
      <c r="G114" s="320">
        <f>133.39/E114</f>
        <v>183.32371292707728</v>
      </c>
      <c r="H114" s="321">
        <v>0</v>
      </c>
      <c r="I114" s="313">
        <f>Tabel668917263329[[#This Row],[Fix.ch. 2015]]+Tabel668917263329[[#This Row],[Var. ch. 2015]]+Tabel668917263329[[#This Row],[Oth. ch. DW 2015]]</f>
        <v>195.40419449712758</v>
      </c>
      <c r="J114" s="322">
        <f>20.49/E114</f>
        <v>28.160303455100184</v>
      </c>
      <c r="K114" s="323">
        <f>72.64/E114</f>
        <v>99.832330062395201</v>
      </c>
      <c r="L114" s="323"/>
      <c r="M114" s="324">
        <v>0</v>
      </c>
      <c r="N114" s="1257">
        <f>Tabel668917263329[[#This Row],[Sew. 2015]]+Tabel668917263329[[#This Row],[WW 2015]]+Tabel668917263329[[#This Row],[Other ch. 2015]]</f>
        <v>127.99263351749539</v>
      </c>
      <c r="O114" s="1258">
        <f>23.53/E114</f>
        <v>32.338308457711442</v>
      </c>
      <c r="P114" s="318">
        <f>Tabel668917263329[[#This Row],[Total. ch. DW 2015]]+Tabel668917263329[[#This Row],[Sew. 2015]]+Tabel668917263329[[#This Row],[WW 2015]]+Tabel668917263329[[#This Row],[Other ch. 2015]]+Tabel668917263329[[#This Row],[VAT 2015]]</f>
        <v>355.73513647233437</v>
      </c>
      <c r="Q114" s="397"/>
      <c r="R114" s="1840"/>
      <c r="S114" s="1843"/>
      <c r="T114" s="1846"/>
      <c r="U114" s="1849"/>
      <c r="V114" s="1852"/>
      <c r="W114" s="1855"/>
      <c r="X114" s="1858"/>
      <c r="Y114" s="1873"/>
      <c r="Z114" s="1876"/>
      <c r="AA114" s="397"/>
      <c r="AB114" s="398"/>
      <c r="AC114" s="398"/>
      <c r="AD114" s="398"/>
      <c r="AE114" s="396" t="s">
        <v>429</v>
      </c>
      <c r="AF114" s="396" t="s">
        <v>429</v>
      </c>
      <c r="AG114" s="398"/>
      <c r="AH114" s="398"/>
      <c r="AI114" s="397"/>
    </row>
    <row r="115" spans="1:35" ht="15.75" hidden="1" x14ac:dyDescent="0.25">
      <c r="A115" s="2297"/>
      <c r="B115" s="1617"/>
      <c r="C115" s="298" t="s">
        <v>110</v>
      </c>
      <c r="D115" s="1837"/>
      <c r="E115" s="306">
        <f>'[1]exchange rates'!K29</f>
        <v>0.72762000000000004</v>
      </c>
      <c r="F115" s="319">
        <f>22.66/E115</f>
        <v>31.142629394464141</v>
      </c>
      <c r="G115" s="320">
        <f>83.91/E115</f>
        <v>115.32118413457573</v>
      </c>
      <c r="H115" s="321">
        <f>2.52/E115</f>
        <v>3.463346252164591</v>
      </c>
      <c r="I115" s="313">
        <f>Tabel668917263329[[#This Row],[Fix.ch. 2015]]+Tabel668917263329[[#This Row],[Var. ch. 2015]]+Tabel668917263329[[#This Row],[Oth. ch. DW 2015]]</f>
        <v>149.92715978120447</v>
      </c>
      <c r="J115" s="322">
        <f>32.46/E115</f>
        <v>44.611198152881997</v>
      </c>
      <c r="K115" s="323">
        <f>93.64/E115</f>
        <v>128.69354883043346</v>
      </c>
      <c r="L115" s="323"/>
      <c r="M115" s="324">
        <v>0</v>
      </c>
      <c r="N115" s="1257">
        <f>Tabel668917263329[[#This Row],[Sew. 2015]]+Tabel668917263329[[#This Row],[WW 2015]]+Tabel668917263329[[#This Row],[Other ch. 2015]]</f>
        <v>173.30474698331545</v>
      </c>
      <c r="O115" s="1258">
        <f>23.52/E115</f>
        <v>32.324565020202847</v>
      </c>
      <c r="P115" s="318">
        <f>Tabel668917263329[[#This Row],[Total. ch. DW 2015]]+Tabel668917263329[[#This Row],[Sew. 2015]]+Tabel668917263329[[#This Row],[WW 2015]]+Tabel668917263329[[#This Row],[Other ch. 2015]]+Tabel668917263329[[#This Row],[VAT 2015]]</f>
        <v>355.55647178472276</v>
      </c>
      <c r="Q115" s="397"/>
      <c r="R115" s="1840"/>
      <c r="S115" s="1843"/>
      <c r="T115" s="1846"/>
      <c r="U115" s="1849"/>
      <c r="V115" s="1852"/>
      <c r="W115" s="1855"/>
      <c r="X115" s="1858"/>
      <c r="Y115" s="1873"/>
      <c r="Z115" s="1876"/>
      <c r="AA115" s="397"/>
      <c r="AB115" s="398"/>
      <c r="AC115" s="398"/>
      <c r="AD115" s="398"/>
      <c r="AE115" s="396" t="s">
        <v>429</v>
      </c>
      <c r="AF115" s="396" t="s">
        <v>429</v>
      </c>
      <c r="AG115" s="398"/>
      <c r="AH115" s="398"/>
      <c r="AI115" s="397"/>
    </row>
    <row r="116" spans="1:35" ht="16.5" hidden="1" thickBot="1" x14ac:dyDescent="0.3">
      <c r="A116" s="2298"/>
      <c r="B116" s="1617"/>
      <c r="C116" s="293" t="s">
        <v>111</v>
      </c>
      <c r="D116" s="2221"/>
      <c r="E116" s="306">
        <f>'[1]exchange rates'!K29</f>
        <v>0.72762000000000004</v>
      </c>
      <c r="F116" s="319">
        <f>7.26/E116</f>
        <v>9.977735631236083</v>
      </c>
      <c r="G116" s="320">
        <f>126.64/E116</f>
        <v>174.0468926087793</v>
      </c>
      <c r="H116" s="321">
        <v>0</v>
      </c>
      <c r="I116" s="313">
        <f>Tabel668917263329[[#This Row],[Fix.ch. 2015]]+Tabel668917263329[[#This Row],[Var. ch. 2015]]+Tabel668917263329[[#This Row],[Oth. ch. DW 2015]]</f>
        <v>184.02462824001537</v>
      </c>
      <c r="J116" s="322">
        <f>44.6/E116</f>
        <v>61.295731288309831</v>
      </c>
      <c r="K116" s="323">
        <f>119.32/E116</f>
        <v>163.98669635249166</v>
      </c>
      <c r="L116" s="323"/>
      <c r="M116" s="324">
        <v>0</v>
      </c>
      <c r="N116" s="1257">
        <f>Tabel668917263329[[#This Row],[Sew. 2015]]+Tabel668917263329[[#This Row],[WW 2015]]+Tabel668917263329[[#This Row],[Other ch. 2015]]</f>
        <v>225.2824276408015</v>
      </c>
      <c r="O116" s="1258">
        <f>29.78/E116</f>
        <v>40.927956900579971</v>
      </c>
      <c r="P116" s="318">
        <f>Tabel668917263329[[#This Row],[Total. ch. DW 2015]]+Tabel668917263329[[#This Row],[Sew. 2015]]+Tabel668917263329[[#This Row],[WW 2015]]+Tabel668917263329[[#This Row],[Other ch. 2015]]+Tabel668917263329[[#This Row],[VAT 2015]]</f>
        <v>450.23501278139679</v>
      </c>
      <c r="Q116" s="397"/>
      <c r="R116" s="2223"/>
      <c r="S116" s="2225"/>
      <c r="T116" s="2227"/>
      <c r="U116" s="2234"/>
      <c r="V116" s="2236"/>
      <c r="W116" s="2238"/>
      <c r="X116" s="2240"/>
      <c r="Y116" s="2242"/>
      <c r="Z116" s="2244"/>
      <c r="AA116" s="397"/>
      <c r="AB116" s="398"/>
      <c r="AC116" s="398"/>
      <c r="AD116" s="398"/>
      <c r="AE116" s="396" t="s">
        <v>429</v>
      </c>
      <c r="AF116" s="396" t="s">
        <v>429</v>
      </c>
      <c r="AG116" s="398"/>
      <c r="AH116" s="398"/>
      <c r="AI116" s="397"/>
    </row>
    <row r="117" spans="1:35" ht="15.75" hidden="1" x14ac:dyDescent="0.25">
      <c r="A117" s="1818" t="s">
        <v>18</v>
      </c>
      <c r="B117" s="1213"/>
      <c r="C117" s="1446" t="s">
        <v>112</v>
      </c>
      <c r="D117" s="1759">
        <v>38200</v>
      </c>
      <c r="E117" s="617">
        <f>'[1]exchange rates'!$M$30</f>
        <v>120.30594000000001</v>
      </c>
      <c r="F117" s="549">
        <f>7500/E117</f>
        <v>62.341061463798042</v>
      </c>
      <c r="G117" s="550">
        <f>11568/E117</f>
        <v>96.154853201762108</v>
      </c>
      <c r="H117" s="551">
        <f>0</f>
        <v>0</v>
      </c>
      <c r="I117" s="566">
        <f>Tabel668917263329[[#This Row],[Fix.ch. 2015]]+Tabel668917263329[[#This Row],[Var. ch. 2015]]+Tabel668917263329[[#This Row],[Oth. ch. DW 2015]]</f>
        <v>158.49591466556015</v>
      </c>
      <c r="J117" s="567">
        <f>14496/E117</f>
        <v>120.49280359722886</v>
      </c>
      <c r="K117" s="568">
        <v>0</v>
      </c>
      <c r="L117" s="568"/>
      <c r="M117" s="569">
        <v>0</v>
      </c>
      <c r="N117" s="1270">
        <f>Tabel668917263329[[#This Row],[Sew. 2015]]+Tabel668917263329[[#This Row],[WW 2015]]+Tabel668917263329[[#This Row],[Other ch. 2015]]</f>
        <v>120.49280359722886</v>
      </c>
      <c r="O117" s="1271">
        <f>2676/E117</f>
        <v>22.243290730283142</v>
      </c>
      <c r="P117" s="571">
        <f>Tabel668917263329[[#This Row],[Total. ch. DW 2015]]+Tabel668917263329[[#This Row],[Sew. 2015]]+Tabel668917263329[[#This Row],[WW 2015]]+Tabel668917263329[[#This Row],[Other ch. 2015]]+Tabel668917263329[[#This Row],[VAT 2015]]</f>
        <v>301.23200899307216</v>
      </c>
      <c r="Q117" s="397"/>
      <c r="R117" s="1762">
        <f t="shared" ref="R117:W117" si="36">SUM(F117:F124)/8</f>
        <v>95.568847224002397</v>
      </c>
      <c r="S117" s="1765">
        <f t="shared" si="36"/>
        <v>114.63689989039609</v>
      </c>
      <c r="T117" s="1768">
        <f t="shared" si="36"/>
        <v>0</v>
      </c>
      <c r="U117" s="1774">
        <f t="shared" si="36"/>
        <v>210.20574711439852</v>
      </c>
      <c r="V117" s="1777">
        <f t="shared" si="36"/>
        <v>136.0240400432431</v>
      </c>
      <c r="W117" s="1810">
        <f t="shared" si="36"/>
        <v>0</v>
      </c>
      <c r="X117" s="1812">
        <f>SUM(M117:M124)/8</f>
        <v>0</v>
      </c>
      <c r="Y117" s="1814">
        <f t="shared" ref="Y117:Z117" si="37">SUM(O117:O124)/8</f>
        <v>27.639948617665926</v>
      </c>
      <c r="Z117" s="1793">
        <f t="shared" si="37"/>
        <v>373.8697357753075</v>
      </c>
      <c r="AA117" s="397"/>
      <c r="AB117" s="396"/>
      <c r="AC117" s="591" t="s">
        <v>429</v>
      </c>
      <c r="AD117" s="398"/>
      <c r="AE117" s="591" t="s">
        <v>429</v>
      </c>
      <c r="AF117" s="398"/>
      <c r="AG117" s="398"/>
      <c r="AH117" s="398"/>
      <c r="AI117" s="397"/>
    </row>
    <row r="118" spans="1:35" ht="15.75" hidden="1" x14ac:dyDescent="0.25">
      <c r="A118" s="2294"/>
      <c r="B118" s="1213"/>
      <c r="C118" s="543" t="s">
        <v>113</v>
      </c>
      <c r="D118" s="1880"/>
      <c r="E118" s="617">
        <f>'[1]exchange rates'!$M$30</f>
        <v>120.30594000000001</v>
      </c>
      <c r="F118" s="549">
        <f>10200/E118</f>
        <v>84.783843590765343</v>
      </c>
      <c r="G118" s="550">
        <f>8960/E118</f>
        <v>74.47678809541739</v>
      </c>
      <c r="H118" s="551">
        <v>0</v>
      </c>
      <c r="I118" s="566">
        <f>Tabel668917263329[[#This Row],[Fix.ch. 2015]]+Tabel668917263329[[#This Row],[Var. ch. 2015]]+Tabel668917263329[[#This Row],[Oth. ch. DW 2015]]</f>
        <v>159.26063168618273</v>
      </c>
      <c r="J118" s="567">
        <f>11480/E118</f>
        <v>95.423384747253536</v>
      </c>
      <c r="K118" s="568">
        <v>0</v>
      </c>
      <c r="L118" s="568"/>
      <c r="M118" s="569">
        <v>0</v>
      </c>
      <c r="N118" s="1270">
        <f>Tabel668917263329[[#This Row],[Sew. 2015]]+Tabel668917263329[[#This Row],[WW 2015]]+Tabel668917263329[[#This Row],[Other ch. 2015]]</f>
        <v>95.423384747253536</v>
      </c>
      <c r="O118" s="1271">
        <f>2444/E118</f>
        <v>20.314873895669656</v>
      </c>
      <c r="P118" s="571">
        <f>Tabel668917263329[[#This Row],[Total. ch. DW 2015]]+Tabel668917263329[[#This Row],[Sew. 2015]]+Tabel668917263329[[#This Row],[WW 2015]]+Tabel668917263329[[#This Row],[Other ch. 2015]]+Tabel668917263329[[#This Row],[VAT 2015]]</f>
        <v>274.99889032910596</v>
      </c>
      <c r="Q118" s="397"/>
      <c r="R118" s="1886"/>
      <c r="S118" s="1888"/>
      <c r="T118" s="1890"/>
      <c r="U118" s="1892"/>
      <c r="V118" s="1894"/>
      <c r="W118" s="1911"/>
      <c r="X118" s="1913"/>
      <c r="Y118" s="1915"/>
      <c r="Z118" s="1832"/>
      <c r="AA118" s="397"/>
      <c r="AB118" s="396"/>
      <c r="AC118" s="591" t="s">
        <v>429</v>
      </c>
      <c r="AD118" s="398"/>
      <c r="AE118" s="591" t="s">
        <v>429</v>
      </c>
      <c r="AF118" s="398"/>
      <c r="AG118" s="398"/>
      <c r="AH118" s="398"/>
      <c r="AI118" s="397"/>
    </row>
    <row r="119" spans="1:35" ht="15.75" hidden="1" x14ac:dyDescent="0.25">
      <c r="A119" s="2294"/>
      <c r="B119" s="1213"/>
      <c r="C119" s="543" t="s">
        <v>114</v>
      </c>
      <c r="D119" s="1880"/>
      <c r="E119" s="617">
        <f>'[1]exchange rates'!$M$30</f>
        <v>120.30594000000001</v>
      </c>
      <c r="F119" s="549">
        <f>9720/E119</f>
        <v>80.794015657082269</v>
      </c>
      <c r="G119" s="550">
        <f>10320/E119</f>
        <v>85.781300574186105</v>
      </c>
      <c r="H119" s="551">
        <v>0</v>
      </c>
      <c r="I119" s="566">
        <f>Tabel668917263329[[#This Row],[Fix.ch. 2015]]+Tabel668917263329[[#This Row],[Var. ch. 2015]]+Tabel668917263329[[#This Row],[Oth. ch. DW 2015]]</f>
        <v>166.57531623126837</v>
      </c>
      <c r="J119" s="567">
        <f>18180/E119</f>
        <v>151.11473298824646</v>
      </c>
      <c r="K119" s="568">
        <v>0</v>
      </c>
      <c r="L119" s="568"/>
      <c r="M119" s="569">
        <v>0</v>
      </c>
      <c r="N119" s="1270">
        <f>Tabel668917263329[[#This Row],[Sew. 2015]]+Tabel668917263329[[#This Row],[WW 2015]]+Tabel668917263329[[#This Row],[Other ch. 2015]]</f>
        <v>151.11473298824646</v>
      </c>
      <c r="O119" s="1271">
        <f>3054/E119</f>
        <v>25.385280228058562</v>
      </c>
      <c r="P119" s="571">
        <f>Tabel668917263329[[#This Row],[Total. ch. DW 2015]]+Tabel668917263329[[#This Row],[Sew. 2015]]+Tabel668917263329[[#This Row],[WW 2015]]+Tabel668917263329[[#This Row],[Other ch. 2015]]+Tabel668917263329[[#This Row],[VAT 2015]]</f>
        <v>343.07532944757338</v>
      </c>
      <c r="Q119" s="397"/>
      <c r="R119" s="1886"/>
      <c r="S119" s="1888"/>
      <c r="T119" s="1890"/>
      <c r="U119" s="1892"/>
      <c r="V119" s="1894"/>
      <c r="W119" s="1911"/>
      <c r="X119" s="1913"/>
      <c r="Y119" s="1915"/>
      <c r="Z119" s="1832"/>
      <c r="AA119" s="397"/>
      <c r="AB119" s="396"/>
      <c r="AC119" s="591" t="s">
        <v>429</v>
      </c>
      <c r="AD119" s="398"/>
      <c r="AE119" s="591" t="s">
        <v>429</v>
      </c>
      <c r="AF119" s="398"/>
      <c r="AG119" s="398"/>
      <c r="AH119" s="398"/>
      <c r="AI119" s="397"/>
    </row>
    <row r="120" spans="1:35" ht="15.75" hidden="1" x14ac:dyDescent="0.25">
      <c r="A120" s="2294"/>
      <c r="B120" s="1213"/>
      <c r="C120" s="543" t="s">
        <v>115</v>
      </c>
      <c r="D120" s="1880"/>
      <c r="E120" s="617">
        <f>'[1]exchange rates'!$M$30</f>
        <v>120.30594000000001</v>
      </c>
      <c r="F120" s="549">
        <f>10200/E120</f>
        <v>84.783843590765343</v>
      </c>
      <c r="G120" s="550">
        <f>13200/E120</f>
        <v>109.72026817628456</v>
      </c>
      <c r="H120" s="551">
        <v>0</v>
      </c>
      <c r="I120" s="566">
        <f>Tabel668917263329[[#This Row],[Fix.ch. 2015]]+Tabel668917263329[[#This Row],[Var. ch. 2015]]+Tabel668917263329[[#This Row],[Oth. ch. DW 2015]]</f>
        <v>194.50411176704989</v>
      </c>
      <c r="J120" s="567">
        <f>21624/E120</f>
        <v>179.74174841242251</v>
      </c>
      <c r="K120" s="568">
        <v>0</v>
      </c>
      <c r="L120" s="568"/>
      <c r="M120" s="569">
        <v>0</v>
      </c>
      <c r="N120" s="1270">
        <f>Tabel668917263329[[#This Row],[Sew. 2015]]+Tabel668917263329[[#This Row],[WW 2015]]+Tabel668917263329[[#This Row],[Other ch. 2015]]</f>
        <v>179.74174841242251</v>
      </c>
      <c r="O120" s="1271">
        <f>3600/E120</f>
        <v>29.923709502623062</v>
      </c>
      <c r="P120" s="571">
        <f>Tabel668917263329[[#This Row],[Total. ch. DW 2015]]+Tabel668917263329[[#This Row],[Sew. 2015]]+Tabel668917263329[[#This Row],[WW 2015]]+Tabel668917263329[[#This Row],[Other ch. 2015]]+Tabel668917263329[[#This Row],[VAT 2015]]</f>
        <v>404.16956968209547</v>
      </c>
      <c r="Q120" s="397"/>
      <c r="R120" s="1886"/>
      <c r="S120" s="1888"/>
      <c r="T120" s="1890"/>
      <c r="U120" s="1892"/>
      <c r="V120" s="1894"/>
      <c r="W120" s="1911"/>
      <c r="X120" s="1913"/>
      <c r="Y120" s="1915"/>
      <c r="Z120" s="1832"/>
      <c r="AA120" s="397"/>
      <c r="AB120" s="396"/>
      <c r="AC120" s="591" t="s">
        <v>429</v>
      </c>
      <c r="AD120" s="398"/>
      <c r="AE120" s="591" t="s">
        <v>429</v>
      </c>
      <c r="AF120" s="398"/>
      <c r="AG120" s="398"/>
      <c r="AH120" s="398"/>
      <c r="AI120" s="397"/>
    </row>
    <row r="121" spans="1:35" ht="15.75" hidden="1" x14ac:dyDescent="0.25">
      <c r="A121" s="2294"/>
      <c r="B121" s="1213"/>
      <c r="C121" s="543" t="s">
        <v>116</v>
      </c>
      <c r="D121" s="1880"/>
      <c r="E121" s="617">
        <f>'[1]exchange rates'!$M$30</f>
        <v>120.30594000000001</v>
      </c>
      <c r="F121" s="549">
        <f>15840/E121</f>
        <v>131.66432181154147</v>
      </c>
      <c r="G121" s="550">
        <f>16800/E121</f>
        <v>139.64397767890762</v>
      </c>
      <c r="H121" s="551">
        <v>0</v>
      </c>
      <c r="I121" s="566">
        <f>Tabel668917263329[[#This Row],[Fix.ch. 2015]]+Tabel668917263329[[#This Row],[Var. ch. 2015]]+Tabel668917263329[[#This Row],[Oth. ch. DW 2015]]</f>
        <v>271.30829949044909</v>
      </c>
      <c r="J121" s="567">
        <f>12828/E121</f>
        <v>106.62815152768017</v>
      </c>
      <c r="K121" s="568">
        <v>0</v>
      </c>
      <c r="L121" s="568"/>
      <c r="M121" s="569">
        <v>0</v>
      </c>
      <c r="N121" s="1270">
        <f>Tabel668917263329[[#This Row],[Sew. 2015]]+Tabel668917263329[[#This Row],[WW 2015]]+Tabel668917263329[[#This Row],[Other ch. 2015]]</f>
        <v>106.62815152768017</v>
      </c>
      <c r="O121" s="1271">
        <f>3624/E121</f>
        <v>30.123200899307214</v>
      </c>
      <c r="P121" s="571">
        <f>Tabel668917263329[[#This Row],[Total. ch. DW 2015]]+Tabel668917263329[[#This Row],[Sew. 2015]]+Tabel668917263329[[#This Row],[WW 2015]]+Tabel668917263329[[#This Row],[Other ch. 2015]]+Tabel668917263329[[#This Row],[VAT 2015]]</f>
        <v>408.0596519174365</v>
      </c>
      <c r="Q121" s="397"/>
      <c r="R121" s="1886"/>
      <c r="S121" s="1888"/>
      <c r="T121" s="1890"/>
      <c r="U121" s="1892"/>
      <c r="V121" s="1894"/>
      <c r="W121" s="1911"/>
      <c r="X121" s="1913"/>
      <c r="Y121" s="1915"/>
      <c r="Z121" s="1832"/>
      <c r="AA121" s="397"/>
      <c r="AB121" s="396"/>
      <c r="AC121" s="591" t="s">
        <v>429</v>
      </c>
      <c r="AD121" s="398"/>
      <c r="AE121" s="591" t="s">
        <v>429</v>
      </c>
      <c r="AF121" s="398"/>
      <c r="AG121" s="398"/>
      <c r="AH121" s="398"/>
      <c r="AI121" s="397"/>
    </row>
    <row r="122" spans="1:35" ht="15.75" hidden="1" x14ac:dyDescent="0.25">
      <c r="A122" s="2294"/>
      <c r="B122" s="1213"/>
      <c r="C122" s="543" t="s">
        <v>117</v>
      </c>
      <c r="D122" s="1880"/>
      <c r="E122" s="617">
        <f>'[1]exchange rates'!$M$30</f>
        <v>120.30594000000001</v>
      </c>
      <c r="F122" s="549">
        <f>15000/E122</f>
        <v>124.68212292759608</v>
      </c>
      <c r="G122" s="550">
        <f>24252/E122</f>
        <v>201.58605634933735</v>
      </c>
      <c r="H122" s="551">
        <v>0</v>
      </c>
      <c r="I122" s="566">
        <f>Tabel668917263329[[#This Row],[Fix.ch. 2015]]+Tabel668917263329[[#This Row],[Var. ch. 2015]]+Tabel668917263329[[#This Row],[Oth. ch. DW 2015]]</f>
        <v>326.26817927693344</v>
      </c>
      <c r="J122" s="567">
        <f>16668/E122</f>
        <v>138.54677499714478</v>
      </c>
      <c r="K122" s="568">
        <v>0</v>
      </c>
      <c r="L122" s="568"/>
      <c r="M122" s="569">
        <v>0</v>
      </c>
      <c r="N122" s="1270">
        <f>Tabel668917263329[[#This Row],[Sew. 2015]]+Tabel668917263329[[#This Row],[WW 2015]]+Tabel668917263329[[#This Row],[Other ch. 2015]]</f>
        <v>138.54677499714478</v>
      </c>
      <c r="O122" s="1271">
        <f>4464/E122</f>
        <v>37.105399783252594</v>
      </c>
      <c r="P122" s="571">
        <f>Tabel668917263329[[#This Row],[Total. ch. DW 2015]]+Tabel668917263329[[#This Row],[Sew. 2015]]+Tabel668917263329[[#This Row],[WW 2015]]+Tabel668917263329[[#This Row],[Other ch. 2015]]+Tabel668917263329[[#This Row],[VAT 2015]]</f>
        <v>501.92035405733083</v>
      </c>
      <c r="Q122" s="397"/>
      <c r="R122" s="1886"/>
      <c r="S122" s="1888"/>
      <c r="T122" s="1890"/>
      <c r="U122" s="1892"/>
      <c r="V122" s="1894"/>
      <c r="W122" s="1911"/>
      <c r="X122" s="1913"/>
      <c r="Y122" s="1915"/>
      <c r="Z122" s="1832"/>
      <c r="AA122" s="397"/>
      <c r="AB122" s="396"/>
      <c r="AC122" s="591" t="s">
        <v>429</v>
      </c>
      <c r="AD122" s="398"/>
      <c r="AE122" s="591" t="s">
        <v>429</v>
      </c>
      <c r="AF122" s="398"/>
      <c r="AG122" s="398"/>
      <c r="AH122" s="398"/>
      <c r="AI122" s="397"/>
    </row>
    <row r="123" spans="1:35" ht="15.75" hidden="1" x14ac:dyDescent="0.25">
      <c r="A123" s="2294"/>
      <c r="B123" s="1213"/>
      <c r="C123" s="543" t="s">
        <v>118</v>
      </c>
      <c r="D123" s="1880"/>
      <c r="E123" s="617">
        <f>'[1]exchange rates'!$M$30</f>
        <v>120.30594000000001</v>
      </c>
      <c r="F123" s="549">
        <f>14040/E123</f>
        <v>116.70246706022994</v>
      </c>
      <c r="G123" s="550">
        <f>11560/E123</f>
        <v>96.088356069534058</v>
      </c>
      <c r="H123" s="551">
        <v>0</v>
      </c>
      <c r="I123" s="566">
        <f>Tabel668917263329[[#This Row],[Fix.ch. 2015]]+Tabel668917263329[[#This Row],[Var. ch. 2015]]+Tabel668917263329[[#This Row],[Oth. ch. DW 2015]]</f>
        <v>212.79082312976399</v>
      </c>
      <c r="J123" s="567">
        <f>18160/E123</f>
        <v>150.94849015767633</v>
      </c>
      <c r="K123" s="568">
        <v>0</v>
      </c>
      <c r="L123" s="568"/>
      <c r="M123" s="569">
        <v>0</v>
      </c>
      <c r="N123" s="1270">
        <f>Tabel668917263329[[#This Row],[Sew. 2015]]+Tabel668917263329[[#This Row],[WW 2015]]+Tabel668917263329[[#This Row],[Other ch. 2015]]</f>
        <v>150.94849015767633</v>
      </c>
      <c r="O123" s="1271">
        <f>3496/E123</f>
        <v>29.059246783658395</v>
      </c>
      <c r="P123" s="571">
        <f>Tabel668917263329[[#This Row],[Total. ch. DW 2015]]+Tabel668917263329[[#This Row],[Sew. 2015]]+Tabel668917263329[[#This Row],[WW 2015]]+Tabel668917263329[[#This Row],[Other ch. 2015]]+Tabel668917263329[[#This Row],[VAT 2015]]</f>
        <v>392.79856007109873</v>
      </c>
      <c r="Q123" s="397"/>
      <c r="R123" s="1886"/>
      <c r="S123" s="1888"/>
      <c r="T123" s="1890"/>
      <c r="U123" s="1892"/>
      <c r="V123" s="1894"/>
      <c r="W123" s="1911"/>
      <c r="X123" s="1913"/>
      <c r="Y123" s="1915"/>
      <c r="Z123" s="1832"/>
      <c r="AA123" s="397"/>
      <c r="AB123" s="396"/>
      <c r="AC123" s="591" t="s">
        <v>429</v>
      </c>
      <c r="AD123" s="398"/>
      <c r="AE123" s="591" t="s">
        <v>429</v>
      </c>
      <c r="AF123" s="398"/>
      <c r="AG123" s="398"/>
      <c r="AH123" s="398"/>
      <c r="AI123" s="397"/>
    </row>
    <row r="124" spans="1:35" ht="16.5" hidden="1" thickBot="1" x14ac:dyDescent="0.3">
      <c r="A124" s="2295"/>
      <c r="B124" s="1213"/>
      <c r="C124" s="544" t="s">
        <v>119</v>
      </c>
      <c r="D124" s="1761"/>
      <c r="E124" s="617">
        <f>'[1]exchange rates'!$M$30</f>
        <v>120.30594000000001</v>
      </c>
      <c r="F124" s="549">
        <f>9480/E124</f>
        <v>78.799101690240732</v>
      </c>
      <c r="G124" s="550">
        <f>13672/E124</f>
        <v>113.64359897773959</v>
      </c>
      <c r="H124" s="551">
        <v>0</v>
      </c>
      <c r="I124" s="566">
        <f>Tabel668917263329[[#This Row],[Fix.ch. 2015]]+Tabel668917263329[[#This Row],[Var. ch. 2015]]+Tabel668917263329[[#This Row],[Oth. ch. DW 2015]]</f>
        <v>192.44270066798032</v>
      </c>
      <c r="J124" s="567">
        <f>17480/E124</f>
        <v>145.29623391829196</v>
      </c>
      <c r="K124" s="568">
        <v>0</v>
      </c>
      <c r="L124" s="568"/>
      <c r="M124" s="569">
        <v>0</v>
      </c>
      <c r="N124" s="1270">
        <f>Tabel668917263329[[#This Row],[Sew. 2015]]+Tabel668917263329[[#This Row],[WW 2015]]+Tabel668917263329[[#This Row],[Other ch. 2015]]</f>
        <v>145.29623391829196</v>
      </c>
      <c r="O124" s="1271">
        <f>3244/E124</f>
        <v>26.964587118474782</v>
      </c>
      <c r="P124" s="571">
        <f>Tabel668917263329[[#This Row],[Total. ch. DW 2015]]+Tabel668917263329[[#This Row],[Sew. 2015]]+Tabel668917263329[[#This Row],[WW 2015]]+Tabel668917263329[[#This Row],[Other ch. 2015]]+Tabel668917263329[[#This Row],[VAT 2015]]</f>
        <v>364.70352170474712</v>
      </c>
      <c r="Q124" s="397"/>
      <c r="R124" s="1764"/>
      <c r="S124" s="1767"/>
      <c r="T124" s="1770"/>
      <c r="U124" s="1776"/>
      <c r="V124" s="1779"/>
      <c r="W124" s="1811"/>
      <c r="X124" s="1813"/>
      <c r="Y124" s="1815"/>
      <c r="Z124" s="1794"/>
      <c r="AA124" s="397"/>
      <c r="AB124" s="396"/>
      <c r="AC124" s="591" t="s">
        <v>429</v>
      </c>
      <c r="AD124" s="398"/>
      <c r="AE124" s="591" t="s">
        <v>429</v>
      </c>
      <c r="AF124" s="398"/>
      <c r="AG124" s="398"/>
      <c r="AH124" s="398"/>
      <c r="AI124" s="397"/>
    </row>
    <row r="125" spans="1:35" ht="19.5" hidden="1" thickBot="1" x14ac:dyDescent="0.3">
      <c r="A125" s="1447" t="s">
        <v>742</v>
      </c>
      <c r="B125" s="1213"/>
      <c r="C125" s="751" t="s">
        <v>743</v>
      </c>
      <c r="D125" s="1194">
        <v>3300</v>
      </c>
      <c r="E125" s="617">
        <f>'[1]exchange rates'!M31</f>
        <v>102.86302000000001</v>
      </c>
      <c r="F125" s="549">
        <f>600/E125</f>
        <v>5.8330000421920332</v>
      </c>
      <c r="G125" s="550">
        <f>4603.08/E125</f>
        <v>44.749609723688842</v>
      </c>
      <c r="H125" s="551">
        <f>0</f>
        <v>0</v>
      </c>
      <c r="I125" s="566">
        <f>Tabel668917263329[[#This Row],[Fix.ch. 2015]]+Tabel668917263329[[#This Row],[Var. ch. 2015]]+Tabel668917263329[[#This Row],[Oth. ch. DW 2015]]</f>
        <v>50.582609765880875</v>
      </c>
      <c r="J125" s="567">
        <f>0</f>
        <v>0</v>
      </c>
      <c r="K125" s="568">
        <f>3452.31/E125</f>
        <v>33.56220729276663</v>
      </c>
      <c r="L125" s="568"/>
      <c r="M125" s="569">
        <f>0</f>
        <v>0</v>
      </c>
      <c r="N125" s="1270">
        <f>Tabel668917263329[[#This Row],[Sew. 2015]]+Tabel668917263329[[#This Row],[WW 2015]]+Tabel668917263329[[#This Row],[Other ch. 2015]]</f>
        <v>33.56220729276663</v>
      </c>
      <c r="O125" s="1271">
        <v>0</v>
      </c>
      <c r="P125" s="571">
        <f>Tabel668917263329[[#This Row],[Total. ch. DW 2015]]+Tabel668917263329[[#This Row],[Sew. 2015]]+Tabel668917263329[[#This Row],[WW 2015]]+Tabel668917263329[[#This Row],[Other ch. 2015]]+Tabel668917263329[[#This Row],[VAT 2015]]</f>
        <v>84.144817058647504</v>
      </c>
      <c r="Q125" s="397"/>
      <c r="R125" s="1195">
        <f>Tabel668917263329[[#This Row],[Fix.ch. 2015]]</f>
        <v>5.8330000421920332</v>
      </c>
      <c r="S125" s="1196">
        <f>Tabel668917263329[[#This Row],[Var. ch. 2015]]</f>
        <v>44.749609723688842</v>
      </c>
      <c r="T125" s="1197">
        <f>Tabel668917263329[[#This Row],[Oth. ch. DW 2015]]</f>
        <v>0</v>
      </c>
      <c r="U125" s="1198">
        <f>SUM(R125:T125)</f>
        <v>50.582609765880875</v>
      </c>
      <c r="V125" s="1199">
        <f>Tabel668917263329[[#This Row],[Sew. 2015]]</f>
        <v>0</v>
      </c>
      <c r="W125" s="1201">
        <f>Tabel668917263329[[#This Row],[WW 2015]]</f>
        <v>33.56220729276663</v>
      </c>
      <c r="X125" s="1202">
        <f>Tabel668917263329[[#This Row],[Other ch. 2015]]</f>
        <v>0</v>
      </c>
      <c r="Y125" s="1203">
        <f>Tabel668917263329[[#This Row],[VAT 2015]]</f>
        <v>0</v>
      </c>
      <c r="Z125" s="1182">
        <f>SUM(U125:Y125)</f>
        <v>84.144817058647504</v>
      </c>
      <c r="AA125" s="397"/>
      <c r="AB125" s="396"/>
      <c r="AC125" s="591" t="s">
        <v>429</v>
      </c>
      <c r="AD125" s="398"/>
      <c r="AE125" s="591" t="s">
        <v>429</v>
      </c>
      <c r="AF125" s="591" t="s">
        <v>429</v>
      </c>
      <c r="AG125" s="398"/>
      <c r="AH125" s="614" t="s">
        <v>745</v>
      </c>
      <c r="AI125" s="397"/>
    </row>
    <row r="126" spans="1:35" ht="18.75" hidden="1" customHeight="1" x14ac:dyDescent="0.25">
      <c r="A126" s="1833" t="s">
        <v>19</v>
      </c>
      <c r="B126" s="1617"/>
      <c r="C126" s="1448" t="s">
        <v>120</v>
      </c>
      <c r="D126" s="2262">
        <v>18700</v>
      </c>
      <c r="E126" s="307">
        <v>2.6644800000000002</v>
      </c>
      <c r="F126" s="319">
        <f>39/E126</f>
        <v>14.637002341920374</v>
      </c>
      <c r="G126" s="320">
        <f>364/E126</f>
        <v>136.61202185792348</v>
      </c>
      <c r="H126" s="321">
        <v>0</v>
      </c>
      <c r="I126" s="313">
        <f>Tabel668917263329[[#This Row],[Fix.ch. 2015]]+Tabel668917263329[[#This Row],[Var. ch. 2015]]+Tabel668917263329[[#This Row],[Oth. ch. DW 2015]]</f>
        <v>151.24902419984386</v>
      </c>
      <c r="J126" s="322">
        <f>398/E126</f>
        <v>149.37248543805919</v>
      </c>
      <c r="K126" s="323">
        <v>0</v>
      </c>
      <c r="L126" s="323"/>
      <c r="M126" s="324">
        <v>0</v>
      </c>
      <c r="N126" s="1257">
        <f>Tabel668917263329[[#This Row],[Sew. 2015]]+Tabel668917263329[[#This Row],[WW 2015]]+Tabel668917263329[[#This Row],[Other ch. 2015]]</f>
        <v>149.37248543805919</v>
      </c>
      <c r="O126" s="1258">
        <f>168.21/E126</f>
        <v>63.130517023959648</v>
      </c>
      <c r="P126" s="318">
        <f>Tabel668917263329[[#This Row],[Total. ch. DW 2015]]+Tabel668917263329[[#This Row],[Sew. 2015]]+Tabel668917263329[[#This Row],[WW 2015]]+Tabel668917263329[[#This Row],[Other ch. 2015]]+Tabel668917263329[[#This Row],[VAT 2015]]</f>
        <v>363.75202666186271</v>
      </c>
      <c r="Q126" s="397"/>
      <c r="R126" s="2211">
        <f t="shared" ref="R126:W126" si="38">SUM(F126:F130)/5</f>
        <v>14.29472167177085</v>
      </c>
      <c r="S126" s="2212">
        <f t="shared" si="38"/>
        <v>145.16903861166153</v>
      </c>
      <c r="T126" s="2213">
        <f t="shared" si="38"/>
        <v>0</v>
      </c>
      <c r="U126" s="2214">
        <f t="shared" si="38"/>
        <v>159.46376028343238</v>
      </c>
      <c r="V126" s="2215">
        <f t="shared" si="38"/>
        <v>181.19858283792709</v>
      </c>
      <c r="W126" s="2216">
        <f t="shared" si="38"/>
        <v>0</v>
      </c>
      <c r="X126" s="2217">
        <f>SUM(M126:M130)/5</f>
        <v>0</v>
      </c>
      <c r="Y126" s="2218">
        <f t="shared" ref="Y126:Z126" si="39">SUM(O126:O130)/5</f>
        <v>71.538911907764358</v>
      </c>
      <c r="Z126" s="2265">
        <f t="shared" si="39"/>
        <v>412.20125502912379</v>
      </c>
      <c r="AA126" s="397"/>
      <c r="AB126" s="398"/>
      <c r="AC126" s="398"/>
      <c r="AD126" s="398"/>
      <c r="AE126" s="398"/>
      <c r="AF126" s="396" t="s">
        <v>429</v>
      </c>
      <c r="AG126" s="398"/>
      <c r="AH126" s="398" t="s">
        <v>444</v>
      </c>
      <c r="AI126" s="397"/>
    </row>
    <row r="127" spans="1:35" ht="18.75" hidden="1" customHeight="1" x14ac:dyDescent="0.25">
      <c r="A127" s="2297"/>
      <c r="B127" s="1617"/>
      <c r="C127" s="298" t="s">
        <v>121</v>
      </c>
      <c r="D127" s="2263"/>
      <c r="E127" s="307">
        <v>2.6644800000000002</v>
      </c>
      <c r="F127" s="319">
        <f>47.04/E127</f>
        <v>17.65447667087011</v>
      </c>
      <c r="G127" s="320">
        <f>330/E127</f>
        <v>123.85155827778777</v>
      </c>
      <c r="H127" s="321">
        <v>0</v>
      </c>
      <c r="I127" s="313">
        <f>Tabel668917263329[[#This Row],[Fix.ch. 2015]]+Tabel668917263329[[#This Row],[Var. ch. 2015]]+Tabel668917263329[[#This Row],[Oth. ch. DW 2015]]</f>
        <v>141.50603494865788</v>
      </c>
      <c r="J127" s="322">
        <f>468/E127</f>
        <v>175.64402810304449</v>
      </c>
      <c r="K127" s="323">
        <v>0</v>
      </c>
      <c r="L127" s="323"/>
      <c r="M127" s="324">
        <v>0</v>
      </c>
      <c r="N127" s="1257">
        <f>Tabel668917263329[[#This Row],[Sew. 2015]]+Tabel668917263329[[#This Row],[WW 2015]]+Tabel668917263329[[#This Row],[Other ch. 2015]]</f>
        <v>175.64402810304449</v>
      </c>
      <c r="O127" s="1258">
        <f>177.46/E127</f>
        <v>66.602113733261277</v>
      </c>
      <c r="P127" s="318">
        <f>Tabel668917263329[[#This Row],[Total. ch. DW 2015]]+Tabel668917263329[[#This Row],[Sew. 2015]]+Tabel668917263329[[#This Row],[WW 2015]]+Tabel668917263329[[#This Row],[Other ch. 2015]]+Tabel668917263329[[#This Row],[VAT 2015]]</f>
        <v>383.75217678496364</v>
      </c>
      <c r="Q127" s="397"/>
      <c r="R127" s="2158"/>
      <c r="S127" s="2159"/>
      <c r="T127" s="2160"/>
      <c r="U127" s="2141"/>
      <c r="V127" s="2142"/>
      <c r="W127" s="2143"/>
      <c r="X127" s="2144"/>
      <c r="Y127" s="2145"/>
      <c r="Z127" s="2266"/>
      <c r="AA127" s="397"/>
      <c r="AB127" s="398"/>
      <c r="AC127" s="398"/>
      <c r="AD127" s="398"/>
      <c r="AE127" s="398"/>
      <c r="AF127" s="396" t="s">
        <v>429</v>
      </c>
      <c r="AG127" s="398"/>
      <c r="AH127" s="398" t="s">
        <v>444</v>
      </c>
      <c r="AI127" s="397"/>
    </row>
    <row r="128" spans="1:35" ht="18.75" hidden="1" customHeight="1" x14ac:dyDescent="0.25">
      <c r="A128" s="2297"/>
      <c r="B128" s="1617"/>
      <c r="C128" s="298" t="s">
        <v>122</v>
      </c>
      <c r="D128" s="2263"/>
      <c r="E128" s="307">
        <v>2.6644800000000002</v>
      </c>
      <c r="F128" s="319">
        <f>30.84/E128</f>
        <v>11.574491082687803</v>
      </c>
      <c r="G128" s="320">
        <f>334/E128</f>
        <v>125.35278928721551</v>
      </c>
      <c r="H128" s="321">
        <v>0</v>
      </c>
      <c r="I128" s="313">
        <f>Tabel668917263329[[#This Row],[Fix.ch. 2015]]+Tabel668917263329[[#This Row],[Var. ch. 2015]]+Tabel668917263329[[#This Row],[Oth. ch. DW 2015]]</f>
        <v>136.92728036990331</v>
      </c>
      <c r="J128" s="322">
        <f>636/E128</f>
        <v>238.69573049900916</v>
      </c>
      <c r="K128" s="323">
        <v>0</v>
      </c>
      <c r="L128" s="323"/>
      <c r="M128" s="324">
        <v>0</v>
      </c>
      <c r="N128" s="1257">
        <f>Tabel668917263329[[#This Row],[Sew. 2015]]+Tabel668917263329[[#This Row],[WW 2015]]+Tabel668917263329[[#This Row],[Other ch. 2015]]</f>
        <v>238.69573049900916</v>
      </c>
      <c r="O128" s="1258">
        <f>210.18/E128</f>
        <v>78.882183390380106</v>
      </c>
      <c r="P128" s="318">
        <f>Tabel668917263329[[#This Row],[Total. ch. DW 2015]]+Tabel668917263329[[#This Row],[Sew. 2015]]+Tabel668917263329[[#This Row],[WW 2015]]+Tabel668917263329[[#This Row],[Other ch. 2015]]+Tabel668917263329[[#This Row],[VAT 2015]]</f>
        <v>454.50519425929258</v>
      </c>
      <c r="Q128" s="397"/>
      <c r="R128" s="2158"/>
      <c r="S128" s="2159"/>
      <c r="T128" s="2160"/>
      <c r="U128" s="2141"/>
      <c r="V128" s="2142"/>
      <c r="W128" s="2143"/>
      <c r="X128" s="2144"/>
      <c r="Y128" s="2145"/>
      <c r="Z128" s="2266"/>
      <c r="AA128" s="397"/>
      <c r="AB128" s="398"/>
      <c r="AC128" s="398"/>
      <c r="AD128" s="398"/>
      <c r="AE128" s="398"/>
      <c r="AF128" s="396" t="s">
        <v>429</v>
      </c>
      <c r="AG128" s="398"/>
      <c r="AH128" s="398" t="s">
        <v>444</v>
      </c>
      <c r="AI128" s="397"/>
    </row>
    <row r="129" spans="1:35" ht="18.75" hidden="1" customHeight="1" x14ac:dyDescent="0.25">
      <c r="A129" s="2297"/>
      <c r="B129" s="1617"/>
      <c r="C129" s="298" t="s">
        <v>123</v>
      </c>
      <c r="D129" s="2263"/>
      <c r="E129" s="307">
        <v>2.6644800000000002</v>
      </c>
      <c r="F129" s="319">
        <f>34.68/E129</f>
        <v>13.015672851738424</v>
      </c>
      <c r="G129" s="320">
        <f>570/E129</f>
        <v>213.92541884345161</v>
      </c>
      <c r="H129" s="321">
        <v>0</v>
      </c>
      <c r="I129" s="313">
        <f>Tabel668917263329[[#This Row],[Fix.ch. 2015]]+Tabel668917263329[[#This Row],[Var. ch. 2015]]+Tabel668917263329[[#This Row],[Oth. ch. DW 2015]]</f>
        <v>226.94109169519004</v>
      </c>
      <c r="J129" s="322">
        <f>526/E129</f>
        <v>197.41187773974659</v>
      </c>
      <c r="K129" s="323">
        <v>0</v>
      </c>
      <c r="L129" s="323"/>
      <c r="M129" s="324">
        <v>0</v>
      </c>
      <c r="N129" s="1257">
        <f>Tabel668917263329[[#This Row],[Sew. 2015]]+Tabel668917263329[[#This Row],[WW 2015]]+Tabel668917263329[[#This Row],[Other ch. 2015]]</f>
        <v>197.41187773974659</v>
      </c>
      <c r="O129" s="1258">
        <f>237.44/E129</f>
        <v>89.113072719630097</v>
      </c>
      <c r="P129" s="318">
        <f>Tabel668917263329[[#This Row],[Total. ch. DW 2015]]+Tabel668917263329[[#This Row],[Sew. 2015]]+Tabel668917263329[[#This Row],[WW 2015]]+Tabel668917263329[[#This Row],[Other ch. 2015]]+Tabel668917263329[[#This Row],[VAT 2015]]</f>
        <v>513.46604215456671</v>
      </c>
      <c r="Q129" s="397"/>
      <c r="R129" s="2158"/>
      <c r="S129" s="2159"/>
      <c r="T129" s="2160"/>
      <c r="U129" s="2141"/>
      <c r="V129" s="2142"/>
      <c r="W129" s="2143"/>
      <c r="X129" s="2144"/>
      <c r="Y129" s="2145"/>
      <c r="Z129" s="2266"/>
      <c r="AA129" s="397"/>
      <c r="AB129" s="398"/>
      <c r="AC129" s="398"/>
      <c r="AD129" s="398"/>
      <c r="AE129" s="398"/>
      <c r="AF129" s="396" t="s">
        <v>429</v>
      </c>
      <c r="AG129" s="398"/>
      <c r="AH129" s="398" t="s">
        <v>444</v>
      </c>
      <c r="AI129" s="397"/>
    </row>
    <row r="130" spans="1:35" ht="19.5" hidden="1" customHeight="1" thickBot="1" x14ac:dyDescent="0.3">
      <c r="A130" s="2298"/>
      <c r="B130" s="1617"/>
      <c r="C130" s="293" t="s">
        <v>124</v>
      </c>
      <c r="D130" s="2264"/>
      <c r="E130" s="307">
        <v>2.6644800000000002</v>
      </c>
      <c r="F130" s="319">
        <f>38.88/E130</f>
        <v>14.591965411637542</v>
      </c>
      <c r="G130" s="320">
        <f>336/E130</f>
        <v>126.10340479192938</v>
      </c>
      <c r="H130" s="321">
        <v>0</v>
      </c>
      <c r="I130" s="313">
        <f>Tabel668917263329[[#This Row],[Fix.ch. 2015]]+Tabel668917263329[[#This Row],[Var. ch. 2015]]+Tabel668917263329[[#This Row],[Oth. ch. DW 2015]]</f>
        <v>140.69537020356691</v>
      </c>
      <c r="J130" s="322">
        <f>386/E130</f>
        <v>144.86879240977601</v>
      </c>
      <c r="K130" s="323">
        <v>0</v>
      </c>
      <c r="L130" s="323"/>
      <c r="M130" s="324">
        <v>0</v>
      </c>
      <c r="N130" s="1257">
        <f>Tabel668917263329[[#This Row],[Sew. 2015]]+Tabel668917263329[[#This Row],[WW 2015]]+Tabel668917263329[[#This Row],[Other ch. 2015]]</f>
        <v>144.86879240977601</v>
      </c>
      <c r="O130" s="1258">
        <f>159.78/E130</f>
        <v>59.9666726715907</v>
      </c>
      <c r="P130" s="318">
        <f>Tabel668917263329[[#This Row],[Total. ch. DW 2015]]+Tabel668917263329[[#This Row],[Sew. 2015]]+Tabel668917263329[[#This Row],[WW 2015]]+Tabel668917263329[[#This Row],[Other ch. 2015]]+Tabel668917263329[[#This Row],[VAT 2015]]</f>
        <v>345.53083528493357</v>
      </c>
      <c r="Q130" s="397"/>
      <c r="R130" s="2223"/>
      <c r="S130" s="2225"/>
      <c r="T130" s="2227"/>
      <c r="U130" s="2234"/>
      <c r="V130" s="2236"/>
      <c r="W130" s="2238"/>
      <c r="X130" s="2240"/>
      <c r="Y130" s="2242"/>
      <c r="Z130" s="2267"/>
      <c r="AA130" s="397"/>
      <c r="AB130" s="398"/>
      <c r="AC130" s="398"/>
      <c r="AD130" s="398"/>
      <c r="AE130" s="398"/>
      <c r="AF130" s="396" t="s">
        <v>429</v>
      </c>
      <c r="AG130" s="398"/>
      <c r="AH130" s="398" t="s">
        <v>444</v>
      </c>
      <c r="AI130" s="397"/>
    </row>
    <row r="131" spans="1:35" ht="16.5" hidden="1" thickBot="1" x14ac:dyDescent="0.3">
      <c r="A131" s="270" t="s">
        <v>50</v>
      </c>
      <c r="B131" s="1616"/>
      <c r="C131" s="297"/>
      <c r="D131" s="1276"/>
      <c r="E131" s="309"/>
      <c r="F131" s="325"/>
      <c r="G131" s="326"/>
      <c r="H131" s="327"/>
      <c r="I131" s="313">
        <f>Tabel668917263329[[#This Row],[Fix.ch. 2015]]+Tabel668917263329[[#This Row],[Var. ch. 2015]]+Tabel668917263329[[#This Row],[Oth. ch. DW 2015]]</f>
        <v>0</v>
      </c>
      <c r="J131" s="328"/>
      <c r="K131" s="329"/>
      <c r="L131" s="329"/>
      <c r="M131" s="330"/>
      <c r="N131" s="1277">
        <f>Tabel668917263329[[#This Row],[Sew. 2015]]+Tabel668917263329[[#This Row],[WW 2015]]+Tabel668917263329[[#This Row],[Other ch. 2015]]</f>
        <v>0</v>
      </c>
      <c r="O131" s="1278"/>
      <c r="P131" s="318">
        <f>Tabel668917263329[[#This Row],[Total. ch. DW 2015]]+Tabel668917263329[[#This Row],[Sew. 2015]]+Tabel668917263329[[#This Row],[WW 2015]]+Tabel668917263329[[#This Row],[Other ch. 2015]]+Tabel668917263329[[#This Row],[VAT 2015]]</f>
        <v>0</v>
      </c>
      <c r="Q131" s="397"/>
      <c r="R131" s="349"/>
      <c r="S131" s="350"/>
      <c r="T131" s="351"/>
      <c r="U131" s="352"/>
      <c r="V131" s="353"/>
      <c r="W131" s="354"/>
      <c r="X131" s="355"/>
      <c r="Y131" s="356"/>
      <c r="Z131" s="357"/>
      <c r="AA131" s="397"/>
      <c r="AB131" s="398"/>
      <c r="AC131" s="398"/>
      <c r="AD131" s="398"/>
      <c r="AE131" s="398"/>
      <c r="AF131" s="398"/>
      <c r="AG131" s="398"/>
      <c r="AH131" s="398"/>
      <c r="AI131" s="397"/>
    </row>
    <row r="132" spans="1:35" ht="19.5" hidden="1" thickBot="1" x14ac:dyDescent="0.35">
      <c r="A132" s="695" t="s">
        <v>586</v>
      </c>
      <c r="B132" s="1621"/>
      <c r="C132" s="1449" t="s">
        <v>587</v>
      </c>
      <c r="D132" s="1279">
        <v>88700</v>
      </c>
      <c r="E132" s="616">
        <f>'[1]exchange rates'!M36</f>
        <v>8.0490899999999996</v>
      </c>
      <c r="F132" s="549">
        <f>0</f>
        <v>0</v>
      </c>
      <c r="G132" s="550">
        <f>11294.63/E132</f>
        <v>1403.2182520011579</v>
      </c>
      <c r="H132" s="551">
        <v>0</v>
      </c>
      <c r="I132" s="566">
        <f>Tabel668917263329[[#This Row],[Fix.ch. 2015]]+Tabel668917263329[[#This Row],[Var. ch. 2015]]+Tabel668917263329[[#This Row],[Oth. ch. DW 2015]]</f>
        <v>1403.2182520011579</v>
      </c>
      <c r="J132" s="567">
        <v>0</v>
      </c>
      <c r="K132" s="568">
        <v>0</v>
      </c>
      <c r="L132" s="568"/>
      <c r="M132" s="569">
        <v>0</v>
      </c>
      <c r="N132" s="1270">
        <f>Tabel668917263329[[#This Row],[Sew. 2015]]+Tabel668917263329[[#This Row],[WW 2015]]+Tabel668917263329[[#This Row],[Other ch. 2015]]</f>
        <v>0</v>
      </c>
      <c r="O132" s="1271">
        <v>0</v>
      </c>
      <c r="P132" s="571">
        <f>Tabel668917263329[[#This Row],[Total. ch. DW 2015]]+Tabel668917263329[[#This Row],[Sew. 2015]]+Tabel668917263329[[#This Row],[WW 2015]]+Tabel668917263329[[#This Row],[Other ch. 2015]]+Tabel668917263329[[#This Row],[VAT 2015]]</f>
        <v>1403.2182520011579</v>
      </c>
      <c r="Q132" s="397"/>
      <c r="R132" s="1280">
        <v>0</v>
      </c>
      <c r="S132" s="1281">
        <f>Tabel668917263329[[#This Row],[Var. ch. 2015]]</f>
        <v>1403.2182520011579</v>
      </c>
      <c r="T132" s="1282">
        <v>0</v>
      </c>
      <c r="U132" s="1283">
        <f>Tabel668917263329[[#This Row],[Total. ch. DW 2015]]</f>
        <v>1403.2182520011579</v>
      </c>
      <c r="V132" s="1284">
        <v>0</v>
      </c>
      <c r="W132" s="1285">
        <v>0</v>
      </c>
      <c r="X132" s="1286">
        <v>0</v>
      </c>
      <c r="Y132" s="1287">
        <v>0</v>
      </c>
      <c r="Z132" s="1288">
        <f>Tabel668917263329[[#This Row],[total charge 2015]]</f>
        <v>1403.2182520011579</v>
      </c>
      <c r="AA132" s="397"/>
      <c r="AB132" s="398"/>
      <c r="AC132" s="396"/>
      <c r="AD132" s="398"/>
      <c r="AE132" s="591" t="s">
        <v>429</v>
      </c>
      <c r="AF132" s="398"/>
      <c r="AG132" s="398"/>
      <c r="AH132" s="398"/>
      <c r="AI132" s="397"/>
    </row>
    <row r="133" spans="1:35" ht="19.5" hidden="1" thickBot="1" x14ac:dyDescent="0.35">
      <c r="A133" s="267" t="s">
        <v>36</v>
      </c>
      <c r="B133" s="1616"/>
      <c r="C133" s="261" t="s">
        <v>181</v>
      </c>
      <c r="D133" s="1256">
        <v>900</v>
      </c>
      <c r="E133" s="306">
        <v>163.83132000000001</v>
      </c>
      <c r="F133" s="319">
        <f>363/E133</f>
        <v>2.2156935560306783</v>
      </c>
      <c r="G133" s="320">
        <f>(124*200)/E133</f>
        <v>151.37520713377637</v>
      </c>
      <c r="H133" s="321">
        <v>0</v>
      </c>
      <c r="I133" s="313">
        <f>Tabel668917263329[[#This Row],[Fix.ch. 2015]]+Tabel668917263329[[#This Row],[Var. ch. 2015]]+Tabel668917263329[[#This Row],[Oth. ch. DW 2015]]</f>
        <v>153.59090068980706</v>
      </c>
      <c r="J133" s="322">
        <v>0</v>
      </c>
      <c r="K133" s="323">
        <v>0</v>
      </c>
      <c r="L133" s="323"/>
      <c r="M133" s="324">
        <v>0</v>
      </c>
      <c r="N133" s="1257">
        <f>Tabel668917263329[[#This Row],[Sew. 2015]]+Tabel668917263329[[#This Row],[WW 2015]]+Tabel668917263329[[#This Row],[Other ch. 2015]]</f>
        <v>0</v>
      </c>
      <c r="O133" s="1258">
        <v>0</v>
      </c>
      <c r="P133" s="318">
        <f>Tabel668917263329[[#This Row],[Total. ch. DW 2015]]+Tabel668917263329[[#This Row],[Sew. 2015]]+Tabel668917263329[[#This Row],[WW 2015]]+Tabel668917263329[[#This Row],[Other ch. 2015]]+Tabel668917263329[[#This Row],[VAT 2015]]</f>
        <v>153.59090068980706</v>
      </c>
      <c r="Q133" s="397"/>
      <c r="R133" s="1228">
        <f>Tabel668917263329[[#This Row],[Fix.ch. 2015]]</f>
        <v>2.2156935560306783</v>
      </c>
      <c r="S133" s="1229">
        <f>Tabel668917263329[[#This Row],[Var. ch. 2015]]</f>
        <v>151.37520713377637</v>
      </c>
      <c r="T133" s="1230">
        <v>0</v>
      </c>
      <c r="U133" s="1231">
        <v>0</v>
      </c>
      <c r="V133" s="1232">
        <v>0</v>
      </c>
      <c r="W133" s="1233">
        <v>0</v>
      </c>
      <c r="X133" s="1234">
        <v>0</v>
      </c>
      <c r="Y133" s="1235">
        <v>0</v>
      </c>
      <c r="Z133" s="1236">
        <f>Tabel668917263329[[#This Row],[total charge 2015]]</f>
        <v>153.59090068980706</v>
      </c>
      <c r="AA133" s="397"/>
      <c r="AB133" s="398"/>
      <c r="AC133" s="398"/>
      <c r="AD133" s="398"/>
      <c r="AE133" s="396" t="s">
        <v>429</v>
      </c>
      <c r="AF133" s="396" t="s">
        <v>429</v>
      </c>
      <c r="AG133" s="398"/>
      <c r="AH133" s="398"/>
      <c r="AI133" s="397"/>
    </row>
    <row r="134" spans="1:35" ht="19.5" hidden="1" thickBot="1" x14ac:dyDescent="0.35">
      <c r="A134" s="669" t="s">
        <v>774</v>
      </c>
      <c r="B134" s="1621"/>
      <c r="C134" s="751" t="s">
        <v>775</v>
      </c>
      <c r="D134" s="1268">
        <v>34700</v>
      </c>
      <c r="E134" s="616">
        <f>'[1]exchange rates'!M38</f>
        <v>0.92093999999999998</v>
      </c>
      <c r="F134" s="549">
        <f>59/E134</f>
        <v>64.064977088626833</v>
      </c>
      <c r="G134" s="550">
        <f>657.34/E134</f>
        <v>713.77071253284691</v>
      </c>
      <c r="H134" s="551">
        <v>0</v>
      </c>
      <c r="I134" s="566" t="e">
        <f>[1]!Tabel6689[[#This Row],[Fix.ch. 2015]]+[1]!Tabel6689[[#This Row],[Var. ch. 2015]]+[1]!Tabel6689[[#This Row],[Oth. ch. DW 2015]]</f>
        <v>#REF!</v>
      </c>
      <c r="J134" s="567">
        <v>0</v>
      </c>
      <c r="K134" s="568">
        <v>0</v>
      </c>
      <c r="L134" s="568"/>
      <c r="M134" s="569">
        <v>0</v>
      </c>
      <c r="N134" s="1270">
        <f>Tabel668917263329[[#This Row],[Sew. 2015]]+Tabel668917263329[[#This Row],[WW 2015]]+Tabel668917263329[[#This Row],[Other ch. 2015]]</f>
        <v>0</v>
      </c>
      <c r="O134" s="1271">
        <v>0</v>
      </c>
      <c r="P134" s="571" t="e">
        <f>[1]!Tabel6689[[#This Row],[Total. ch. DW 2015]]+[1]!Tabel6689[[#This Row],[Sew. 2015]]+[1]!Tabel6689[[#This Row],[WW 2015]]+[1]!Tabel6689[[#This Row],[Other ch. 2015]]+[1]!Tabel6689[[#This Row],[VAT 2015]]</f>
        <v>#REF!</v>
      </c>
      <c r="Q134" s="397"/>
      <c r="R134" s="1280" t="e">
        <f>[1]!Tabel6689[[#This Row],[Fix.ch. 2015]]</f>
        <v>#REF!</v>
      </c>
      <c r="S134" s="1281" t="e">
        <f>[1]!Tabel6689[[#This Row],[Var. ch. 2015]]</f>
        <v>#REF!</v>
      </c>
      <c r="T134" s="1282" t="e">
        <f>[1]!Tabel6689[[#This Row],[Oth. ch. DW 2015]]</f>
        <v>#REF!</v>
      </c>
      <c r="U134" s="1283" t="e">
        <f>[1]!Tabel6689[[#This Row],[Total. ch. DW 2015]]</f>
        <v>#REF!</v>
      </c>
      <c r="V134" s="1284" t="e">
        <f>[1]!Tabel6689[[#This Row],[Sew. 2015]]</f>
        <v>#REF!</v>
      </c>
      <c r="W134" s="1285" t="e">
        <f>[1]!Tabel6689[[#This Row],[WW 2015]]</f>
        <v>#REF!</v>
      </c>
      <c r="X134" s="1286" t="e">
        <f>[1]!Tabel6689[[#This Row],[Other ch. 2015]]</f>
        <v>#REF!</v>
      </c>
      <c r="Y134" s="1287" t="e">
        <f>[1]!Tabel6689[[#This Row],[VAT 2015]]</f>
        <v>#REF!</v>
      </c>
      <c r="Z134" s="1288" t="e">
        <f>[1]!Tabel6689[[#This Row],[total charge 2015]]</f>
        <v>#REF!</v>
      </c>
      <c r="AA134" s="397"/>
      <c r="AB134" s="398"/>
      <c r="AC134" s="398"/>
      <c r="AD134" s="398"/>
      <c r="AE134" s="591" t="s">
        <v>429</v>
      </c>
      <c r="AF134" s="591" t="s">
        <v>429</v>
      </c>
      <c r="AG134" s="398"/>
      <c r="AH134" s="398"/>
      <c r="AI134" s="397"/>
    </row>
    <row r="135" spans="1:35" ht="19.5" hidden="1" thickBot="1" x14ac:dyDescent="0.35">
      <c r="A135" s="669" t="s">
        <v>37</v>
      </c>
      <c r="B135" s="1621"/>
      <c r="C135" s="1290" t="s">
        <v>37</v>
      </c>
      <c r="D135" s="1268">
        <v>19500</v>
      </c>
      <c r="E135" s="616">
        <f>'[1]exchange rates'!M39</f>
        <v>35.849890000000002</v>
      </c>
      <c r="F135" s="549">
        <f>660/E135</f>
        <v>18.410098329450939</v>
      </c>
      <c r="G135" s="550">
        <f>732/E135</f>
        <v>20.418472692663769</v>
      </c>
      <c r="H135" s="551">
        <v>0</v>
      </c>
      <c r="I135" s="566">
        <f>Tabel668917263329[[#This Row],[Fix.ch. 2015]]+Tabel668917263329[[#This Row],[Var. ch. 2015]]+Tabel668917263329[[#This Row],[Oth. ch. DW 2015]]</f>
        <v>38.828571022114708</v>
      </c>
      <c r="J135" s="567">
        <f>7.515/E135</f>
        <v>0.2096240741603391</v>
      </c>
      <c r="K135" s="568">
        <f>1650/E135</f>
        <v>46.025245823627351</v>
      </c>
      <c r="L135" s="568"/>
      <c r="M135" s="569">
        <v>0</v>
      </c>
      <c r="N135" s="1270">
        <f>Tabel668917263329[[#This Row],[Sew. 2015]]+Tabel668917263329[[#This Row],[WW 2015]]+Tabel668917263329[[#This Row],[Other ch. 2015]]</f>
        <v>46.234869897787689</v>
      </c>
      <c r="O135" s="1271">
        <v>0</v>
      </c>
      <c r="P135" s="571">
        <f>Tabel668917263329[[#This Row],[Total. ch. DW 2015]]+Tabel668917263329[[#This Row],[Sew. 2015]]+Tabel668917263329[[#This Row],[WW 2015]]+Tabel668917263329[[#This Row],[Other ch. 2015]]+Tabel668917263329[[#This Row],[VAT 2015]]</f>
        <v>85.063440919902405</v>
      </c>
      <c r="Q135" s="397"/>
      <c r="R135" s="1280">
        <f>Tabel668917263329[[#This Row],[Fix.ch. 2015]]</f>
        <v>18.410098329450939</v>
      </c>
      <c r="S135" s="1281">
        <f>Tabel668917263329[[#This Row],[Var. ch. 2015]]</f>
        <v>20.418472692663769</v>
      </c>
      <c r="T135" s="1282">
        <v>0</v>
      </c>
      <c r="U135" s="1283">
        <f>Tabel668917263329[[#This Row],[Total. ch. DW 2015]]</f>
        <v>38.828571022114708</v>
      </c>
      <c r="V135" s="1284">
        <f>Tabel668917263329[[#This Row],[Sew. 2015]]</f>
        <v>0.2096240741603391</v>
      </c>
      <c r="W135" s="1285">
        <f>Tabel668917263329[[#This Row],[WW 2015]]</f>
        <v>46.025245823627351</v>
      </c>
      <c r="X135" s="1286">
        <v>0</v>
      </c>
      <c r="Y135" s="1287">
        <v>0</v>
      </c>
      <c r="Z135" s="1288">
        <f>Tabel668917263329[[#This Row],[total charge 2015]]</f>
        <v>85.063440919902405</v>
      </c>
      <c r="AA135" s="397"/>
      <c r="AB135" s="398"/>
      <c r="AC135" s="398"/>
      <c r="AD135" s="398"/>
      <c r="AE135" s="591" t="s">
        <v>429</v>
      </c>
      <c r="AF135" s="398"/>
      <c r="AG135" s="398"/>
      <c r="AH135" s="398"/>
      <c r="AI135" s="397"/>
    </row>
    <row r="136" spans="1:35" ht="15.75" hidden="1" x14ac:dyDescent="0.25">
      <c r="A136" s="1795" t="s">
        <v>38</v>
      </c>
      <c r="B136" s="1618"/>
      <c r="C136" s="752" t="s">
        <v>620</v>
      </c>
      <c r="D136" s="1759">
        <v>18500</v>
      </c>
      <c r="E136" s="616">
        <f>'[1]exchange rates'!$M$40</f>
        <v>17.273230000000002</v>
      </c>
      <c r="F136" s="549">
        <f>2.2/E136</f>
        <v>0.12736471406911157</v>
      </c>
      <c r="G136" s="550">
        <f>16.8/E136</f>
        <v>0.97260327107321554</v>
      </c>
      <c r="H136" s="551">
        <v>0</v>
      </c>
      <c r="I136" s="566">
        <f>Tabel668917263329[[#This Row],[Fix.ch. 2015]]+Tabel668917263329[[#This Row],[Var. ch. 2015]]+Tabel668917263329[[#This Row],[Oth. ch. DW 2015]]</f>
        <v>1.0999679851423272</v>
      </c>
      <c r="J136" s="567">
        <f>6/E136</f>
        <v>0.34735831109757698</v>
      </c>
      <c r="K136" s="568">
        <v>0</v>
      </c>
      <c r="L136" s="568"/>
      <c r="M136" s="569">
        <v>0</v>
      </c>
      <c r="N136" s="1270">
        <f>Tabel668917263329[[#This Row],[Sew. 2015]]+Tabel668917263329[[#This Row],[WW 2015]]+Tabel668917263329[[#This Row],[Other ch. 2015]]</f>
        <v>0.34735831109757698</v>
      </c>
      <c r="O136" s="1271">
        <f>1.16/E136</f>
        <v>6.7155940145531542E-2</v>
      </c>
      <c r="P136" s="571">
        <f>Tabel668917263329[[#This Row],[Total. ch. DW 2015]]+Tabel668917263329[[#This Row],[Sew. 2015]]+Tabel668917263329[[#This Row],[WW 2015]]+Tabel668917263329[[#This Row],[Other ch. 2015]]+Tabel668917263329[[#This Row],[VAT 2015]]</f>
        <v>1.5144822363854356</v>
      </c>
      <c r="Q136" s="397"/>
      <c r="R136" s="1762">
        <f t="shared" ref="R136:W136" si="40">SUM(F136:F140)/5</f>
        <v>0.1991520983626108</v>
      </c>
      <c r="S136" s="1765">
        <f t="shared" si="40"/>
        <v>1.2759628627650994</v>
      </c>
      <c r="T136" s="1768">
        <f t="shared" si="40"/>
        <v>0</v>
      </c>
      <c r="U136" s="1774">
        <f t="shared" si="40"/>
        <v>1.4751149611277103</v>
      </c>
      <c r="V136" s="1777">
        <f t="shared" si="40"/>
        <v>0.26630803850814233</v>
      </c>
      <c r="W136" s="1810">
        <f t="shared" si="40"/>
        <v>0</v>
      </c>
      <c r="X136" s="1812">
        <f>SUM(M136:M140)/5</f>
        <v>0</v>
      </c>
      <c r="Y136" s="1814">
        <f t="shared" ref="Y136:Z136" si="41">SUM(O136:O140)/5</f>
        <v>6.7155940145531542E-2</v>
      </c>
      <c r="Z136" s="2260">
        <f t="shared" si="41"/>
        <v>1.8085789397813841</v>
      </c>
      <c r="AA136" s="397"/>
      <c r="AB136" s="591" t="s">
        <v>429</v>
      </c>
      <c r="AC136" s="614"/>
      <c r="AD136" s="614"/>
      <c r="AE136" s="591" t="s">
        <v>429</v>
      </c>
      <c r="AF136" s="591" t="s">
        <v>429</v>
      </c>
      <c r="AG136" s="398"/>
      <c r="AH136" s="398"/>
      <c r="AI136" s="397"/>
    </row>
    <row r="137" spans="1:35" ht="15.75" hidden="1" x14ac:dyDescent="0.25">
      <c r="A137" s="2301"/>
      <c r="B137" s="1618"/>
      <c r="C137" s="747" t="s">
        <v>621</v>
      </c>
      <c r="D137" s="1760"/>
      <c r="E137" s="616">
        <f>'[1]exchange rates'!$M$40</f>
        <v>17.273230000000002</v>
      </c>
      <c r="F137" s="549">
        <f>0/E137</f>
        <v>0</v>
      </c>
      <c r="G137" s="550">
        <f>17.2/E137</f>
        <v>0.99576049181305393</v>
      </c>
      <c r="H137" s="551">
        <v>0</v>
      </c>
      <c r="I137" s="566">
        <f>Tabel668917263329[[#This Row],[Fix.ch. 2015]]+Tabel668917263329[[#This Row],[Var. ch. 2015]]+Tabel668917263329[[#This Row],[Oth. ch. DW 2015]]</f>
        <v>0.99576049181305393</v>
      </c>
      <c r="J137" s="567">
        <f>0.8/E137</f>
        <v>4.6314441479676935E-2</v>
      </c>
      <c r="K137" s="568">
        <v>0</v>
      </c>
      <c r="L137" s="568"/>
      <c r="M137" s="569">
        <v>0</v>
      </c>
      <c r="N137" s="1270">
        <f>Tabel668917263329[[#This Row],[Sew. 2015]]+Tabel668917263329[[#This Row],[WW 2015]]+Tabel668917263329[[#This Row],[Other ch. 2015]]</f>
        <v>4.6314441479676935E-2</v>
      </c>
      <c r="O137" s="1271">
        <f>1.16/E137</f>
        <v>6.7155940145531542E-2</v>
      </c>
      <c r="P137" s="571">
        <f>Tabel668917263329[[#This Row],[Total. ch. DW 2015]]+Tabel668917263329[[#This Row],[Sew. 2015]]+Tabel668917263329[[#This Row],[WW 2015]]+Tabel668917263329[[#This Row],[Other ch. 2015]]+Tabel668917263329[[#This Row],[VAT 2015]]</f>
        <v>1.1092308734382623</v>
      </c>
      <c r="Q137" s="397"/>
      <c r="R137" s="1763"/>
      <c r="S137" s="1766"/>
      <c r="T137" s="1769"/>
      <c r="U137" s="1775"/>
      <c r="V137" s="1778"/>
      <c r="W137" s="1781"/>
      <c r="X137" s="1785"/>
      <c r="Y137" s="1788"/>
      <c r="Z137" s="1990"/>
      <c r="AA137" s="397"/>
      <c r="AB137" s="591" t="s">
        <v>429</v>
      </c>
      <c r="AC137" s="614"/>
      <c r="AD137" s="614"/>
      <c r="AE137" s="591" t="s">
        <v>429</v>
      </c>
      <c r="AF137" s="591"/>
      <c r="AG137" s="398"/>
      <c r="AH137" s="398"/>
      <c r="AI137" s="397"/>
    </row>
    <row r="138" spans="1:35" ht="15.75" hidden="1" x14ac:dyDescent="0.25">
      <c r="A138" s="2301"/>
      <c r="B138" s="1618"/>
      <c r="C138" s="747" t="s">
        <v>622</v>
      </c>
      <c r="D138" s="1760"/>
      <c r="E138" s="616">
        <f>'[1]exchange rates'!$M$40</f>
        <v>17.273230000000002</v>
      </c>
      <c r="F138" s="549">
        <f>6.4/E138</f>
        <v>0.37051553183741548</v>
      </c>
      <c r="G138" s="550">
        <f>36.6/E138</f>
        <v>2.1188856976952195</v>
      </c>
      <c r="H138" s="551">
        <v>0</v>
      </c>
      <c r="I138" s="566">
        <f>Tabel668917263329[[#This Row],[Fix.ch. 2015]]+Tabel668917263329[[#This Row],[Var. ch. 2015]]+Tabel668917263329[[#This Row],[Oth. ch. DW 2015]]</f>
        <v>2.4894012295326351</v>
      </c>
      <c r="J138" s="567">
        <f>4.8/E138</f>
        <v>0.27788664887806158</v>
      </c>
      <c r="K138" s="568">
        <v>0</v>
      </c>
      <c r="L138" s="568"/>
      <c r="M138" s="569">
        <v>0</v>
      </c>
      <c r="N138" s="1270">
        <f>Tabel668917263329[[#This Row],[Sew. 2015]]+Tabel668917263329[[#This Row],[WW 2015]]+Tabel668917263329[[#This Row],[Other ch. 2015]]</f>
        <v>0.27788664887806158</v>
      </c>
      <c r="O138" s="1271">
        <f t="shared" ref="O138:O140" si="42">1.16/E138</f>
        <v>6.7155940145531542E-2</v>
      </c>
      <c r="P138" s="571">
        <f>Tabel668917263329[[#This Row],[Total. ch. DW 2015]]+Tabel668917263329[[#This Row],[Sew. 2015]]+Tabel668917263329[[#This Row],[WW 2015]]+Tabel668917263329[[#This Row],[Other ch. 2015]]+Tabel668917263329[[#This Row],[VAT 2015]]</f>
        <v>2.8344438185562284</v>
      </c>
      <c r="Q138" s="397"/>
      <c r="R138" s="1763"/>
      <c r="S138" s="1766"/>
      <c r="T138" s="1769"/>
      <c r="U138" s="1775"/>
      <c r="V138" s="1778"/>
      <c r="W138" s="1781"/>
      <c r="X138" s="1785"/>
      <c r="Y138" s="1788"/>
      <c r="Z138" s="1990"/>
      <c r="AA138" s="397"/>
      <c r="AB138" s="591" t="s">
        <v>429</v>
      </c>
      <c r="AC138" s="614"/>
      <c r="AD138" s="614"/>
      <c r="AE138" s="591" t="s">
        <v>429</v>
      </c>
      <c r="AF138" s="591" t="s">
        <v>429</v>
      </c>
      <c r="AG138" s="396"/>
      <c r="AH138" s="398"/>
      <c r="AI138" s="397"/>
    </row>
    <row r="139" spans="1:35" ht="15.75" hidden="1" x14ac:dyDescent="0.25">
      <c r="A139" s="2301"/>
      <c r="B139" s="1618"/>
      <c r="C139" s="747" t="s">
        <v>623</v>
      </c>
      <c r="D139" s="1760"/>
      <c r="E139" s="616">
        <f>'[1]exchange rates'!$M$40</f>
        <v>17.273230000000002</v>
      </c>
      <c r="F139" s="549">
        <f>3.8/E139</f>
        <v>0.21999359702846541</v>
      </c>
      <c r="G139" s="550">
        <f>17.8/E139</f>
        <v>1.0304963229228117</v>
      </c>
      <c r="H139" s="551">
        <v>0</v>
      </c>
      <c r="I139" s="566">
        <f>Tabel668917263329[[#This Row],[Fix.ch. 2015]]+Tabel668917263329[[#This Row],[Var. ch. 2015]]+Tabel668917263329[[#This Row],[Oth. ch. DW 2015]]</f>
        <v>1.2504899199512771</v>
      </c>
      <c r="J139" s="567">
        <f>4.6/E139</f>
        <v>0.26630803850814233</v>
      </c>
      <c r="K139" s="568">
        <v>0</v>
      </c>
      <c r="L139" s="568"/>
      <c r="M139" s="569">
        <v>0</v>
      </c>
      <c r="N139" s="1270">
        <f>Tabel668917263329[[#This Row],[Sew. 2015]]+Tabel668917263329[[#This Row],[WW 2015]]+Tabel668917263329[[#This Row],[Other ch. 2015]]</f>
        <v>0.26630803850814233</v>
      </c>
      <c r="O139" s="1271">
        <f t="shared" si="42"/>
        <v>6.7155940145531542E-2</v>
      </c>
      <c r="P139" s="571">
        <f>Tabel668917263329[[#This Row],[Total. ch. DW 2015]]+Tabel668917263329[[#This Row],[Sew. 2015]]+Tabel668917263329[[#This Row],[WW 2015]]+Tabel668917263329[[#This Row],[Other ch. 2015]]+Tabel668917263329[[#This Row],[VAT 2015]]</f>
        <v>1.5839538986049508</v>
      </c>
      <c r="Q139" s="397"/>
      <c r="R139" s="1763"/>
      <c r="S139" s="1766"/>
      <c r="T139" s="1769"/>
      <c r="U139" s="1775"/>
      <c r="V139" s="1778"/>
      <c r="W139" s="1781"/>
      <c r="X139" s="1785"/>
      <c r="Y139" s="1788"/>
      <c r="Z139" s="1990"/>
      <c r="AA139" s="397"/>
      <c r="AB139" s="591" t="s">
        <v>429</v>
      </c>
      <c r="AC139" s="614"/>
      <c r="AD139" s="614"/>
      <c r="AE139" s="591" t="s">
        <v>429</v>
      </c>
      <c r="AF139" s="591" t="s">
        <v>429</v>
      </c>
      <c r="AG139" s="396"/>
      <c r="AH139" s="398"/>
      <c r="AI139" s="397"/>
    </row>
    <row r="140" spans="1:35" ht="16.5" hidden="1" thickBot="1" x14ac:dyDescent="0.3">
      <c r="A140" s="2302"/>
      <c r="B140" s="1618"/>
      <c r="C140" s="747" t="s">
        <v>624</v>
      </c>
      <c r="D140" s="1761"/>
      <c r="E140" s="616">
        <f>'[1]exchange rates'!$M$40</f>
        <v>17.273230000000002</v>
      </c>
      <c r="F140" s="549">
        <f>4.8/E140</f>
        <v>0.27788664887806158</v>
      </c>
      <c r="G140" s="550">
        <f>21.8/E140</f>
        <v>1.2620685303211963</v>
      </c>
      <c r="H140" s="551">
        <v>0</v>
      </c>
      <c r="I140" s="566">
        <f>Tabel668917263329[[#This Row],[Fix.ch. 2015]]+Tabel668917263329[[#This Row],[Var. ch. 2015]]+Tabel668917263329[[#This Row],[Oth. ch. DW 2015]]</f>
        <v>1.5399551791992578</v>
      </c>
      <c r="J140" s="567">
        <f>6.8/E140</f>
        <v>0.39367275257725387</v>
      </c>
      <c r="K140" s="568">
        <v>0</v>
      </c>
      <c r="L140" s="568"/>
      <c r="M140" s="569">
        <v>0</v>
      </c>
      <c r="N140" s="1270">
        <f>Tabel668917263329[[#This Row],[Sew. 2015]]+Tabel668917263329[[#This Row],[WW 2015]]+Tabel668917263329[[#This Row],[Other ch. 2015]]</f>
        <v>0.39367275257725387</v>
      </c>
      <c r="O140" s="1271">
        <f t="shared" si="42"/>
        <v>6.7155940145531542E-2</v>
      </c>
      <c r="P140" s="571">
        <f>Tabel668917263329[[#This Row],[Total. ch. DW 2015]]+Tabel668917263329[[#This Row],[Sew. 2015]]+Tabel668917263329[[#This Row],[WW 2015]]+Tabel668917263329[[#This Row],[Other ch. 2015]]+Tabel668917263329[[#This Row],[VAT 2015]]</f>
        <v>2.0007838719220432</v>
      </c>
      <c r="Q140" s="397"/>
      <c r="R140" s="1764"/>
      <c r="S140" s="1767"/>
      <c r="T140" s="1770"/>
      <c r="U140" s="1776"/>
      <c r="V140" s="1779"/>
      <c r="W140" s="1811"/>
      <c r="X140" s="1813"/>
      <c r="Y140" s="1815"/>
      <c r="Z140" s="1991"/>
      <c r="AA140" s="397"/>
      <c r="AB140" s="591" t="s">
        <v>429</v>
      </c>
      <c r="AC140" s="614"/>
      <c r="AD140" s="614"/>
      <c r="AE140" s="591" t="s">
        <v>429</v>
      </c>
      <c r="AF140" s="591" t="s">
        <v>429</v>
      </c>
      <c r="AG140" s="396"/>
      <c r="AH140" s="398"/>
      <c r="AI140" s="397"/>
    </row>
    <row r="141" spans="1:35" ht="15.75" hidden="1" x14ac:dyDescent="0.25">
      <c r="A141" s="2082" t="s">
        <v>39</v>
      </c>
      <c r="B141" s="1619"/>
      <c r="C141" s="1051" t="s">
        <v>494</v>
      </c>
      <c r="D141" s="2210">
        <v>5100</v>
      </c>
      <c r="E141" s="306">
        <v>8.5832200000000007</v>
      </c>
      <c r="F141" s="319">
        <f>84/E141</f>
        <v>9.7865369872844923</v>
      </c>
      <c r="G141" s="320">
        <f>1362.08/E141</f>
        <v>158.69102737667214</v>
      </c>
      <c r="H141" s="321">
        <v>0</v>
      </c>
      <c r="I141" s="313">
        <f>Tabel668917263329[[#This Row],[Fix.ch. 2015]]+Tabel668917263329[[#This Row],[Var. ch. 2015]]+Tabel668917263329[[#This Row],[Oth. ch. DW 2015]]</f>
        <v>168.47756436395662</v>
      </c>
      <c r="J141" s="322">
        <f>343.44/E141</f>
        <v>40.012955510868878</v>
      </c>
      <c r="K141" s="323">
        <v>0</v>
      </c>
      <c r="L141" s="323"/>
      <c r="M141" s="324">
        <v>0</v>
      </c>
      <c r="N141" s="1257">
        <f>Tabel668917263329[[#This Row],[Sew. 2015]]+Tabel668917263329[[#This Row],[WW 2015]]+Tabel668917263329[[#This Row],[Other ch. 2015]]</f>
        <v>40.012955510868878</v>
      </c>
      <c r="O141" s="1258">
        <f>125.27/E141</f>
        <v>14.594755814251526</v>
      </c>
      <c r="P141" s="318">
        <f>Tabel668917263329[[#This Row],[Total. ch. DW 2015]]+Tabel668917263329[[#This Row],[Sew. 2015]]+Tabel668917263329[[#This Row],[WW 2015]]+Tabel668917263329[[#This Row],[Other ch. 2015]]+Tabel668917263329[[#This Row],[VAT 2015]]</f>
        <v>223.08527568907704</v>
      </c>
      <c r="Q141" s="397"/>
      <c r="R141" s="2211">
        <f t="shared" ref="R141:W141" si="43">SUM(F141:F145)/5</f>
        <v>9.38109474066842</v>
      </c>
      <c r="S141" s="2212">
        <f t="shared" si="43"/>
        <v>129.00333441295922</v>
      </c>
      <c r="T141" s="2213">
        <f t="shared" si="43"/>
        <v>0</v>
      </c>
      <c r="U141" s="2214">
        <f t="shared" si="43"/>
        <v>138.38442915362765</v>
      </c>
      <c r="V141" s="2215">
        <f t="shared" si="43"/>
        <v>34.621971707587591</v>
      </c>
      <c r="W141" s="2216">
        <f t="shared" si="43"/>
        <v>0</v>
      </c>
      <c r="X141" s="2217">
        <f>SUM(M141:M145)/5</f>
        <v>0</v>
      </c>
      <c r="Y141" s="2218">
        <f t="shared" ref="Y141:Z141" si="44">SUM(O141:O145)/5</f>
        <v>12.110373496193734</v>
      </c>
      <c r="Z141" s="2219">
        <f t="shared" si="44"/>
        <v>185.11677435740899</v>
      </c>
      <c r="AA141" s="397"/>
      <c r="AB141" s="398"/>
      <c r="AC141" s="398"/>
      <c r="AD141" s="398"/>
      <c r="AE141" s="396" t="s">
        <v>429</v>
      </c>
      <c r="AF141" s="398"/>
      <c r="AG141" s="398"/>
      <c r="AH141" s="398"/>
      <c r="AI141" s="397"/>
    </row>
    <row r="142" spans="1:35" ht="15.75" hidden="1" x14ac:dyDescent="0.25">
      <c r="A142" s="2299"/>
      <c r="B142" s="1619"/>
      <c r="C142" s="764" t="s">
        <v>495</v>
      </c>
      <c r="D142" s="1837"/>
      <c r="E142" s="306">
        <v>8.5832200000000007</v>
      </c>
      <c r="F142" s="319">
        <f>102.6/E142</f>
        <v>11.953555891611771</v>
      </c>
      <c r="G142" s="320">
        <f>1117.04/E142</f>
        <v>130.1423009080508</v>
      </c>
      <c r="H142" s="321">
        <v>0</v>
      </c>
      <c r="I142" s="313">
        <f>Tabel668917263329[[#This Row],[Fix.ch. 2015]]+Tabel668917263329[[#This Row],[Var. ch. 2015]]+Tabel668917263329[[#This Row],[Oth. ch. DW 2015]]</f>
        <v>142.09585679966256</v>
      </c>
      <c r="J142" s="322">
        <f>328.8/E142</f>
        <v>38.307301921656439</v>
      </c>
      <c r="K142" s="323">
        <v>0</v>
      </c>
      <c r="L142" s="323"/>
      <c r="M142" s="324">
        <v>0</v>
      </c>
      <c r="N142" s="1257">
        <f>Tabel668917263329[[#This Row],[Sew. 2015]]+Tabel668917263329[[#This Row],[WW 2015]]+Tabel668917263329[[#This Row],[Other ch. 2015]]</f>
        <v>38.307301921656439</v>
      </c>
      <c r="O142" s="1258">
        <f>108.39/E142</f>
        <v>12.628127905378166</v>
      </c>
      <c r="P142" s="318">
        <f>Tabel668917263329[[#This Row],[Total. ch. DW 2015]]+Tabel668917263329[[#This Row],[Sew. 2015]]+Tabel668917263329[[#This Row],[WW 2015]]+Tabel668917263329[[#This Row],[Other ch. 2015]]+Tabel668917263329[[#This Row],[VAT 2015]]</f>
        <v>193.03128662669715</v>
      </c>
      <c r="Q142" s="397"/>
      <c r="R142" s="1840"/>
      <c r="S142" s="1843"/>
      <c r="T142" s="1846"/>
      <c r="U142" s="1849"/>
      <c r="V142" s="1852"/>
      <c r="W142" s="1855"/>
      <c r="X142" s="1858"/>
      <c r="Y142" s="1873"/>
      <c r="Z142" s="1876"/>
      <c r="AA142" s="397"/>
      <c r="AB142" s="398"/>
      <c r="AC142" s="398"/>
      <c r="AD142" s="398"/>
      <c r="AE142" s="396" t="s">
        <v>429</v>
      </c>
      <c r="AF142" s="398"/>
      <c r="AG142" s="398"/>
      <c r="AH142" s="398"/>
      <c r="AI142" s="397"/>
    </row>
    <row r="143" spans="1:35" ht="15.75" hidden="1" x14ac:dyDescent="0.25">
      <c r="A143" s="2299"/>
      <c r="B143" s="1619"/>
      <c r="C143" s="764" t="s">
        <v>496</v>
      </c>
      <c r="D143" s="1837"/>
      <c r="E143" s="306">
        <v>8.5832200000000007</v>
      </c>
      <c r="F143" s="319">
        <f>72/E143</f>
        <v>8.3884602748152783</v>
      </c>
      <c r="G143" s="320">
        <f>1045.2/E143</f>
        <v>121.77248165606846</v>
      </c>
      <c r="H143" s="321">
        <v>0</v>
      </c>
      <c r="I143" s="313">
        <f>Tabel668917263329[[#This Row],[Fix.ch. 2015]]+Tabel668917263329[[#This Row],[Var. ch. 2015]]+Tabel668917263329[[#This Row],[Oth. ch. DW 2015]]</f>
        <v>130.16094193088375</v>
      </c>
      <c r="J143" s="322">
        <f>223.4/E143</f>
        <v>26.027528130468518</v>
      </c>
      <c r="K143" s="323">
        <v>0</v>
      </c>
      <c r="L143" s="323"/>
      <c r="M143" s="324">
        <v>0</v>
      </c>
      <c r="N143" s="1257">
        <f>Tabel668917263329[[#This Row],[Sew. 2015]]+Tabel668917263329[[#This Row],[WW 2015]]+Tabel668917263329[[#This Row],[Other ch. 2015]]</f>
        <v>26.027528130468518</v>
      </c>
      <c r="O143" s="1258">
        <f>93.84/E143</f>
        <v>10.932959891509247</v>
      </c>
      <c r="P143" s="318">
        <f>Tabel668917263329[[#This Row],[Total. ch. DW 2015]]+Tabel668917263329[[#This Row],[Sew. 2015]]+Tabel668917263329[[#This Row],[WW 2015]]+Tabel668917263329[[#This Row],[Other ch. 2015]]+Tabel668917263329[[#This Row],[VAT 2015]]</f>
        <v>167.12142995286152</v>
      </c>
      <c r="Q143" s="397"/>
      <c r="R143" s="1840"/>
      <c r="S143" s="1843"/>
      <c r="T143" s="1846"/>
      <c r="U143" s="1849"/>
      <c r="V143" s="1852"/>
      <c r="W143" s="1855"/>
      <c r="X143" s="1858"/>
      <c r="Y143" s="1873"/>
      <c r="Z143" s="1876"/>
      <c r="AA143" s="397"/>
      <c r="AB143" s="398"/>
      <c r="AC143" s="398"/>
      <c r="AD143" s="398"/>
      <c r="AE143" s="396" t="s">
        <v>429</v>
      </c>
      <c r="AF143" s="398"/>
      <c r="AG143" s="398"/>
      <c r="AH143" s="398"/>
      <c r="AI143" s="397"/>
    </row>
    <row r="144" spans="1:35" ht="15.75" hidden="1" x14ac:dyDescent="0.25">
      <c r="A144" s="2299"/>
      <c r="B144" s="1619"/>
      <c r="C144" s="764" t="s">
        <v>497</v>
      </c>
      <c r="D144" s="1837"/>
      <c r="E144" s="306">
        <v>8.5832200000000007</v>
      </c>
      <c r="F144" s="319">
        <f>72/E144</f>
        <v>8.3884602748152783</v>
      </c>
      <c r="G144" s="320">
        <f>1074.24/E144</f>
        <v>125.15582730024396</v>
      </c>
      <c r="H144" s="321">
        <v>0</v>
      </c>
      <c r="I144" s="313">
        <f>Tabel668917263329[[#This Row],[Fix.ch. 2015]]+Tabel668917263329[[#This Row],[Var. ch. 2015]]+Tabel668917263329[[#This Row],[Oth. ch. DW 2015]]</f>
        <v>133.54428757505923</v>
      </c>
      <c r="J144" s="322">
        <f>233.08/E144</f>
        <v>27.155310011860351</v>
      </c>
      <c r="K144" s="323">
        <v>0</v>
      </c>
      <c r="L144" s="323"/>
      <c r="M144" s="324">
        <v>0</v>
      </c>
      <c r="N144" s="1257">
        <f>Tabel668917263329[[#This Row],[Sew. 2015]]+Tabel668917263329[[#This Row],[WW 2015]]+Tabel668917263329[[#This Row],[Other ch. 2015]]</f>
        <v>27.155310011860351</v>
      </c>
      <c r="O144" s="1258">
        <f>96.55/E144</f>
        <v>11.248692215741876</v>
      </c>
      <c r="P144" s="318">
        <f>Tabel668917263329[[#This Row],[Total. ch. DW 2015]]+Tabel668917263329[[#This Row],[Sew. 2015]]+Tabel668917263329[[#This Row],[WW 2015]]+Tabel668917263329[[#This Row],[Other ch. 2015]]+Tabel668917263329[[#This Row],[VAT 2015]]</f>
        <v>171.94828980266146</v>
      </c>
      <c r="Q144" s="397"/>
      <c r="R144" s="1840"/>
      <c r="S144" s="1843"/>
      <c r="T144" s="1846"/>
      <c r="U144" s="1849"/>
      <c r="V144" s="1852"/>
      <c r="W144" s="1855"/>
      <c r="X144" s="1858"/>
      <c r="Y144" s="1873"/>
      <c r="Z144" s="1876"/>
      <c r="AA144" s="397"/>
      <c r="AB144" s="398"/>
      <c r="AC144" s="398"/>
      <c r="AD144" s="398"/>
      <c r="AE144" s="396" t="s">
        <v>429</v>
      </c>
      <c r="AF144" s="398"/>
      <c r="AG144" s="398"/>
      <c r="AH144" s="398"/>
      <c r="AI144" s="397"/>
    </row>
    <row r="145" spans="1:35" ht="16.5" hidden="1" thickBot="1" x14ac:dyDescent="0.3">
      <c r="A145" s="2300"/>
      <c r="B145" s="1619"/>
      <c r="C145" s="1052" t="s">
        <v>498</v>
      </c>
      <c r="D145" s="2221"/>
      <c r="E145" s="306">
        <v>8.5832200000000007</v>
      </c>
      <c r="F145" s="319">
        <f>72/E145</f>
        <v>8.3884602748152783</v>
      </c>
      <c r="G145" s="320">
        <f>937.76/E145</f>
        <v>109.25503482376077</v>
      </c>
      <c r="H145" s="321">
        <v>0</v>
      </c>
      <c r="I145" s="313">
        <f>Tabel668917263329[[#This Row],[Fix.ch. 2015]]+Tabel668917263329[[#This Row],[Var. ch. 2015]]+Tabel668917263329[[#This Row],[Oth. ch. DW 2015]]</f>
        <v>117.64349509857604</v>
      </c>
      <c r="J145" s="322">
        <f>357.12/E145</f>
        <v>41.606762963083781</v>
      </c>
      <c r="K145" s="323">
        <v>0</v>
      </c>
      <c r="L145" s="323"/>
      <c r="M145" s="324">
        <v>0</v>
      </c>
      <c r="N145" s="1257">
        <f>Tabel668917263329[[#This Row],[Sew. 2015]]+Tabel668917263329[[#This Row],[WW 2015]]+Tabel668917263329[[#This Row],[Other ch. 2015]]</f>
        <v>41.606762963083781</v>
      </c>
      <c r="O145" s="1258">
        <f>95.68/E145</f>
        <v>11.147331654087859</v>
      </c>
      <c r="P145" s="318">
        <f>Tabel668917263329[[#This Row],[Total. ch. DW 2015]]+Tabel668917263329[[#This Row],[Sew. 2015]]+Tabel668917263329[[#This Row],[WW 2015]]+Tabel668917263329[[#This Row],[Other ch. 2015]]+Tabel668917263329[[#This Row],[VAT 2015]]</f>
        <v>170.39758971574767</v>
      </c>
      <c r="Q145" s="397"/>
      <c r="R145" s="2223"/>
      <c r="S145" s="2225"/>
      <c r="T145" s="2227"/>
      <c r="U145" s="2234"/>
      <c r="V145" s="2236"/>
      <c r="W145" s="2238"/>
      <c r="X145" s="2240"/>
      <c r="Y145" s="2242"/>
      <c r="Z145" s="2244"/>
      <c r="AA145" s="397"/>
      <c r="AB145" s="398"/>
      <c r="AC145" s="398"/>
      <c r="AD145" s="398"/>
      <c r="AE145" s="396" t="s">
        <v>429</v>
      </c>
      <c r="AF145" s="398"/>
      <c r="AG145" s="398"/>
      <c r="AH145" s="398"/>
      <c r="AI145" s="397"/>
    </row>
    <row r="146" spans="1:35" ht="19.5" hidden="1" thickBot="1" x14ac:dyDescent="0.3">
      <c r="A146" s="1169" t="s">
        <v>734</v>
      </c>
      <c r="B146" s="1213"/>
      <c r="C146" s="751" t="s">
        <v>735</v>
      </c>
      <c r="D146" s="1171">
        <v>11300</v>
      </c>
      <c r="E146" s="616">
        <f>'[1]exchange rates'!M42</f>
        <v>15.682219999999999</v>
      </c>
      <c r="F146" s="319"/>
      <c r="G146" s="320"/>
      <c r="H146" s="321"/>
      <c r="I146" s="313">
        <f>Tabel668917263329[[#This Row],[Fix.ch. 2015]]+Tabel668917263329[[#This Row],[Var. ch. 2015]]+Tabel668917263329[[#This Row],[Oth. ch. DW 2015]]</f>
        <v>0</v>
      </c>
      <c r="J146" s="322"/>
      <c r="K146" s="323"/>
      <c r="L146" s="323"/>
      <c r="M146" s="324"/>
      <c r="N146" s="1257">
        <f>Tabel668917263329[[#This Row],[Sew. 2015]]+Tabel668917263329[[#This Row],[WW 2015]]+Tabel668917263329[[#This Row],[Other ch. 2015]]</f>
        <v>0</v>
      </c>
      <c r="O146" s="1258"/>
      <c r="P146" s="318">
        <f>Tabel668917263329[[#This Row],[Total. ch. DW 2015]]+Tabel668917263329[[#This Row],[Sew. 2015]]+Tabel668917263329[[#This Row],[WW 2015]]+Tabel668917263329[[#This Row],[Other ch. 2015]]+Tabel668917263329[[#This Row],[VAT 2015]]</f>
        <v>0</v>
      </c>
      <c r="Q146" s="397"/>
      <c r="R146" s="1183"/>
      <c r="S146" s="1184"/>
      <c r="T146" s="1185"/>
      <c r="U146" s="1186"/>
      <c r="V146" s="1187"/>
      <c r="W146" s="1188"/>
      <c r="X146" s="1189"/>
      <c r="Y146" s="1192"/>
      <c r="Z146" s="1193"/>
      <c r="AA146" s="397"/>
      <c r="AB146" s="398"/>
      <c r="AC146" s="398"/>
      <c r="AD146" s="398"/>
      <c r="AE146" s="396"/>
      <c r="AF146" s="398"/>
      <c r="AG146" s="398"/>
      <c r="AH146" s="398"/>
      <c r="AI146" s="397"/>
    </row>
    <row r="147" spans="1:35" ht="15.75" hidden="1" customHeight="1" x14ac:dyDescent="0.25">
      <c r="A147" s="2078" t="s">
        <v>20</v>
      </c>
      <c r="B147" s="1213"/>
      <c r="C147" s="631" t="s">
        <v>182</v>
      </c>
      <c r="D147" s="1759">
        <v>49300</v>
      </c>
      <c r="E147" s="616">
        <f>'[1]exchange rates'!$M$43</f>
        <v>0.92093999999999998</v>
      </c>
      <c r="F147" s="549">
        <f>42.15/E147</f>
        <v>45.76845397094273</v>
      </c>
      <c r="G147" s="550">
        <f>248/E147</f>
        <v>269.29007318609246</v>
      </c>
      <c r="H147" s="551">
        <v>0</v>
      </c>
      <c r="I147" s="566">
        <f>Tabel668917263329[[#This Row],[Fix.ch. 2015]]+Tabel668917263329[[#This Row],[Var. ch. 2015]]+Tabel668917263329[[#This Row],[Oth. ch. DW 2015]]</f>
        <v>315.0585271570352</v>
      </c>
      <c r="J147" s="567">
        <f>149/E147</f>
        <v>161.79121332551523</v>
      </c>
      <c r="K147" s="323">
        <f>165/E147</f>
        <v>179.16476643429539</v>
      </c>
      <c r="L147" s="323"/>
      <c r="M147" s="569">
        <f>66.6/E147</f>
        <v>72.317414815297411</v>
      </c>
      <c r="N147" s="1270">
        <f>Tabel668917263329[[#This Row],[Sew. 2015]]+Tabel668917263329[[#This Row],[WW 2015]]+Tabel668917263329[[#This Row],[Other ch. 2015]]</f>
        <v>413.273394575108</v>
      </c>
      <c r="O147" s="1271">
        <f>21.41/E147</f>
        <v>23.24798575368645</v>
      </c>
      <c r="P147" s="571">
        <f>Tabel668917263329[[#This Row],[Total. ch. DW 2015]]+Tabel668917263329[[#This Row],[Sew. 2015]]+Tabel668917263329[[#This Row],[WW 2015]]+Tabel668917263329[[#This Row],[Other ch. 2015]]+Tabel668917263329[[#This Row],[VAT 2015]]</f>
        <v>751.57990748582961</v>
      </c>
      <c r="Q147" s="397"/>
      <c r="R147" s="2258">
        <f t="shared" ref="R147:W147" si="45">SUM(F147:F151)/5</f>
        <v>60.488196842356714</v>
      </c>
      <c r="S147" s="1765">
        <f t="shared" si="45"/>
        <v>189.17627641322994</v>
      </c>
      <c r="T147" s="1768">
        <f t="shared" si="45"/>
        <v>5.8961495862922657</v>
      </c>
      <c r="U147" s="1774">
        <f t="shared" si="45"/>
        <v>255.56062284187891</v>
      </c>
      <c r="V147" s="1777">
        <f t="shared" si="45"/>
        <v>218.90676917063001</v>
      </c>
      <c r="W147" s="1810">
        <f t="shared" si="45"/>
        <v>197.62416661237432</v>
      </c>
      <c r="X147" s="1812">
        <f>SUM(M147:M151)/5</f>
        <v>72.317414815297411</v>
      </c>
      <c r="Y147" s="1814">
        <f t="shared" ref="Y147:Z147" si="46">SUM(O147:O151)/5</f>
        <v>19.321562751102132</v>
      </c>
      <c r="Z147" s="1793">
        <f t="shared" si="46"/>
        <v>763.73053619128291</v>
      </c>
      <c r="AA147" s="397"/>
      <c r="AB147" s="591" t="s">
        <v>429</v>
      </c>
      <c r="AC147" s="591" t="s">
        <v>429</v>
      </c>
      <c r="AD147" s="396"/>
      <c r="AE147" s="396"/>
      <c r="AF147" s="591" t="s">
        <v>429</v>
      </c>
      <c r="AG147" s="396"/>
      <c r="AH147" s="712" t="s">
        <v>1350</v>
      </c>
      <c r="AI147" s="397"/>
    </row>
    <row r="148" spans="1:35" ht="15.75" hidden="1" customHeight="1" x14ac:dyDescent="0.25">
      <c r="A148" s="2079"/>
      <c r="B148" s="1213"/>
      <c r="C148" s="631" t="s">
        <v>183</v>
      </c>
      <c r="D148" s="1760"/>
      <c r="E148" s="616">
        <f>'[1]exchange rates'!$M$43</f>
        <v>0.92093999999999998</v>
      </c>
      <c r="F148" s="549">
        <f>59.76/E148</f>
        <v>64.890220861293898</v>
      </c>
      <c r="G148" s="550">
        <f>182.8/E148</f>
        <v>198.49284426781333</v>
      </c>
      <c r="H148" s="551">
        <f>8.45/E148</f>
        <v>9.1754077355745203</v>
      </c>
      <c r="I148" s="566">
        <f>Tabel668917263329[[#This Row],[Fix.ch. 2015]]+Tabel668917263329[[#This Row],[Var. ch. 2015]]+Tabel668917263329[[#This Row],[Oth. ch. DW 2015]]</f>
        <v>272.55847286468173</v>
      </c>
      <c r="J148" s="567">
        <f>351/E148</f>
        <v>381.13232132386474</v>
      </c>
      <c r="K148" s="323">
        <f>190/E148</f>
        <v>206.31094316676439</v>
      </c>
      <c r="L148" s="323"/>
      <c r="M148" s="569">
        <f>66.6/E148</f>
        <v>72.317414815297411</v>
      </c>
      <c r="N148" s="1270">
        <f>Tabel668917263329[[#This Row],[Sew. 2015]]+Tabel668917263329[[#This Row],[WW 2015]]+Tabel668917263329[[#This Row],[Other ch. 2015]]</f>
        <v>659.7606793059266</v>
      </c>
      <c r="O148" s="1271">
        <f>18.55/E148</f>
        <v>20.142463135491997</v>
      </c>
      <c r="P148" s="571">
        <f>Tabel668917263329[[#This Row],[Total. ch. DW 2015]]+Tabel668917263329[[#This Row],[Sew. 2015]]+Tabel668917263329[[#This Row],[WW 2015]]+Tabel668917263329[[#This Row],[Other ch. 2015]]+Tabel668917263329[[#This Row],[VAT 2015]]</f>
        <v>952.46161530610038</v>
      </c>
      <c r="Q148" s="397"/>
      <c r="R148" s="2081"/>
      <c r="S148" s="1766"/>
      <c r="T148" s="1769"/>
      <c r="U148" s="1775"/>
      <c r="V148" s="1778"/>
      <c r="W148" s="1781"/>
      <c r="X148" s="1785"/>
      <c r="Y148" s="1788"/>
      <c r="Z148" s="1791"/>
      <c r="AA148" s="397"/>
      <c r="AB148" s="591" t="s">
        <v>429</v>
      </c>
      <c r="AC148" s="591" t="s">
        <v>429</v>
      </c>
      <c r="AD148" s="396"/>
      <c r="AE148" s="396"/>
      <c r="AF148" s="591" t="s">
        <v>429</v>
      </c>
      <c r="AG148" s="396"/>
      <c r="AH148" s="712" t="s">
        <v>1350</v>
      </c>
      <c r="AI148" s="397"/>
    </row>
    <row r="149" spans="1:35" ht="15.75" hidden="1" customHeight="1" x14ac:dyDescent="0.25">
      <c r="A149" s="2079"/>
      <c r="B149" s="1213"/>
      <c r="C149" s="631" t="s">
        <v>184</v>
      </c>
      <c r="D149" s="1760"/>
      <c r="E149" s="616">
        <f>'[1]exchange rates'!$M$43</f>
        <v>0.92093999999999998</v>
      </c>
      <c r="F149" s="549">
        <f>61.18/E149</f>
        <v>66.432123699698138</v>
      </c>
      <c r="G149" s="550">
        <f>212/E149</f>
        <v>230.19957869133711</v>
      </c>
      <c r="H149" s="551">
        <f>18.7/E149</f>
        <v>20.30534019588681</v>
      </c>
      <c r="I149" s="566">
        <f>Tabel668917263329[[#This Row],[Fix.ch. 2015]]+Tabel668917263329[[#This Row],[Var. ch. 2015]]+Tabel668917263329[[#This Row],[Oth. ch. DW 2015]]</f>
        <v>316.93704258692202</v>
      </c>
      <c r="J149" s="567">
        <f>133/E149</f>
        <v>144.41766021673507</v>
      </c>
      <c r="K149" s="323">
        <f>255/E149</f>
        <v>276.8910026711838</v>
      </c>
      <c r="L149" s="323"/>
      <c r="M149" s="569">
        <f>66.6/E149</f>
        <v>72.317414815297411</v>
      </c>
      <c r="N149" s="1270">
        <f>Tabel668917263329[[#This Row],[Sew. 2015]]+Tabel668917263329[[#This Row],[WW 2015]]+Tabel668917263329[[#This Row],[Other ch. 2015]]</f>
        <v>493.62607770321631</v>
      </c>
      <c r="O149" s="1271">
        <f>20.39/E149</f>
        <v>22.140421743001717</v>
      </c>
      <c r="P149" s="571">
        <f>Tabel668917263329[[#This Row],[Total. ch. DW 2015]]+Tabel668917263329[[#This Row],[Sew. 2015]]+Tabel668917263329[[#This Row],[WW 2015]]+Tabel668917263329[[#This Row],[Other ch. 2015]]+Tabel668917263329[[#This Row],[VAT 2015]]</f>
        <v>832.70354203314002</v>
      </c>
      <c r="Q149" s="397"/>
      <c r="R149" s="2081"/>
      <c r="S149" s="1766"/>
      <c r="T149" s="1769"/>
      <c r="U149" s="1775"/>
      <c r="V149" s="1778"/>
      <c r="W149" s="1781"/>
      <c r="X149" s="1785"/>
      <c r="Y149" s="1788"/>
      <c r="Z149" s="1791"/>
      <c r="AA149" s="397"/>
      <c r="AB149" s="614"/>
      <c r="AC149" s="591" t="s">
        <v>429</v>
      </c>
      <c r="AD149" s="396"/>
      <c r="AE149" s="396"/>
      <c r="AF149" s="591" t="s">
        <v>429</v>
      </c>
      <c r="AG149" s="396"/>
      <c r="AH149" s="712" t="s">
        <v>1350</v>
      </c>
      <c r="AI149" s="397"/>
    </row>
    <row r="150" spans="1:35" ht="15.75" hidden="1" customHeight="1" x14ac:dyDescent="0.25">
      <c r="A150" s="2079"/>
      <c r="B150" s="1213"/>
      <c r="C150" s="631" t="s">
        <v>185</v>
      </c>
      <c r="D150" s="1760"/>
      <c r="E150" s="616">
        <f>'[1]exchange rates'!$M$43</f>
        <v>0.92093999999999998</v>
      </c>
      <c r="F150" s="549">
        <f>45/E150</f>
        <v>48.863118118444199</v>
      </c>
      <c r="G150" s="550">
        <f>136/E150</f>
        <v>147.67520142463135</v>
      </c>
      <c r="H150" s="551">
        <v>0</v>
      </c>
      <c r="I150" s="566">
        <f>Tabel668917263329[[#This Row],[Fix.ch. 2015]]+Tabel668917263329[[#This Row],[Var. ch. 2015]]+Tabel668917263329[[#This Row],[Oth. ch. DW 2015]]</f>
        <v>196.53831954307554</v>
      </c>
      <c r="J150" s="567">
        <f>231/E150</f>
        <v>250.83067300801355</v>
      </c>
      <c r="K150" s="323">
        <f>165/E150</f>
        <v>179.16476643429539</v>
      </c>
      <c r="L150" s="323"/>
      <c r="M150" s="569">
        <f>66.6/E150</f>
        <v>72.317414815297411</v>
      </c>
      <c r="N150" s="1270">
        <f>Tabel668917263329[[#This Row],[Sew. 2015]]+Tabel668917263329[[#This Row],[WW 2015]]+Tabel668917263329[[#This Row],[Other ch. 2015]]</f>
        <v>502.31285425760632</v>
      </c>
      <c r="O150" s="1271">
        <f>14.86/E150</f>
        <v>16.135687449779574</v>
      </c>
      <c r="P150" s="571">
        <f>Tabel668917263329[[#This Row],[Total. ch. DW 2015]]+Tabel668917263329[[#This Row],[Sew. 2015]]+Tabel668917263329[[#This Row],[WW 2015]]+Tabel668917263329[[#This Row],[Other ch. 2015]]+Tabel668917263329[[#This Row],[VAT 2015]]</f>
        <v>714.9868612504614</v>
      </c>
      <c r="Q150" s="397"/>
      <c r="R150" s="2081"/>
      <c r="S150" s="1766"/>
      <c r="T150" s="1769"/>
      <c r="U150" s="1775"/>
      <c r="V150" s="1778"/>
      <c r="W150" s="1781"/>
      <c r="X150" s="1785"/>
      <c r="Y150" s="1788"/>
      <c r="Z150" s="1791"/>
      <c r="AA150" s="397"/>
      <c r="AB150" s="614"/>
      <c r="AC150" s="591" t="s">
        <v>429</v>
      </c>
      <c r="AD150" s="396"/>
      <c r="AE150" s="396"/>
      <c r="AF150" s="591" t="s">
        <v>429</v>
      </c>
      <c r="AG150" s="396"/>
      <c r="AH150" s="712" t="s">
        <v>1350</v>
      </c>
      <c r="AI150" s="397"/>
    </row>
    <row r="151" spans="1:35" ht="16.5" hidden="1" customHeight="1" x14ac:dyDescent="0.25">
      <c r="A151" s="2079"/>
      <c r="B151" s="1213"/>
      <c r="C151" s="631" t="s">
        <v>186</v>
      </c>
      <c r="D151" s="1760"/>
      <c r="E151" s="616">
        <f>'[1]exchange rates'!$M$43</f>
        <v>0.92093999999999998</v>
      </c>
      <c r="F151" s="549">
        <f>70.44/E151</f>
        <v>76.487067561404658</v>
      </c>
      <c r="G151" s="550">
        <f>92.3/E151</f>
        <v>100.22368449627554</v>
      </c>
      <c r="H151" s="551">
        <v>0</v>
      </c>
      <c r="I151" s="566">
        <f>Tabel668917263329[[#This Row],[Fix.ch. 2015]]+Tabel668917263329[[#This Row],[Var. ch. 2015]]+Tabel668917263329[[#This Row],[Oth. ch. DW 2015]]</f>
        <v>176.7107520576802</v>
      </c>
      <c r="J151" s="567">
        <f>144/E151</f>
        <v>156.36197797902145</v>
      </c>
      <c r="K151" s="323">
        <f>135/E151</f>
        <v>146.5893543553326</v>
      </c>
      <c r="L151" s="323"/>
      <c r="M151" s="569">
        <f>66.6/E151</f>
        <v>72.317414815297411</v>
      </c>
      <c r="N151" s="1270">
        <f>Tabel668917263329[[#This Row],[Sew. 2015]]+Tabel668917263329[[#This Row],[WW 2015]]+Tabel668917263329[[#This Row],[Other ch. 2015]]</f>
        <v>375.26874714965146</v>
      </c>
      <c r="O151" s="1271">
        <f>13.76/E151</f>
        <v>14.941255673550938</v>
      </c>
      <c r="P151" s="571">
        <f>Tabel668917263329[[#This Row],[Total. ch. DW 2015]]+Tabel668917263329[[#This Row],[Sew. 2015]]+Tabel668917263329[[#This Row],[WW 2015]]+Tabel668917263329[[#This Row],[Other ch. 2015]]+Tabel668917263329[[#This Row],[VAT 2015]]</f>
        <v>566.92075488088255</v>
      </c>
      <c r="Q151" s="397"/>
      <c r="R151" s="2081"/>
      <c r="S151" s="1766"/>
      <c r="T151" s="1769"/>
      <c r="U151" s="1775"/>
      <c r="V151" s="1778"/>
      <c r="W151" s="1781"/>
      <c r="X151" s="1785"/>
      <c r="Y151" s="1788"/>
      <c r="Z151" s="1791"/>
      <c r="AA151" s="397"/>
      <c r="AB151" s="614"/>
      <c r="AC151" s="591" t="s">
        <v>429</v>
      </c>
      <c r="AD151" s="396"/>
      <c r="AE151" s="396"/>
      <c r="AF151" s="591" t="s">
        <v>429</v>
      </c>
      <c r="AG151" s="396"/>
      <c r="AH151" s="712" t="s">
        <v>1350</v>
      </c>
      <c r="AI151" s="397"/>
    </row>
    <row r="152" spans="1:35" ht="16.5" hidden="1" customHeight="1" thickBot="1" x14ac:dyDescent="0.3">
      <c r="A152" s="2268"/>
      <c r="B152" s="1213"/>
      <c r="C152" s="261" t="s">
        <v>187</v>
      </c>
      <c r="D152" s="1761"/>
      <c r="E152" s="616">
        <f>'[1]exchange rates'!$M$43</f>
        <v>0.92093999999999998</v>
      </c>
      <c r="F152" s="319"/>
      <c r="G152" s="320"/>
      <c r="H152" s="321"/>
      <c r="I152" s="313">
        <f>Tabel668917263329[[#This Row],[Fix.ch. 2015]]+Tabel668917263329[[#This Row],[Var. ch. 2015]]+Tabel668917263329[[#This Row],[Oth. ch. DW 2015]]</f>
        <v>0</v>
      </c>
      <c r="J152" s="322"/>
      <c r="K152" s="323"/>
      <c r="L152" s="323"/>
      <c r="M152" s="324"/>
      <c r="N152" s="1257">
        <f>Tabel668917263329[[#This Row],[Sew. 2015]]+Tabel668917263329[[#This Row],[WW 2015]]+Tabel668917263329[[#This Row],[Other ch. 2015]]</f>
        <v>0</v>
      </c>
      <c r="O152" s="1258"/>
      <c r="P152" s="318">
        <f>Tabel668917263329[[#This Row],[Total. ch. DW 2015]]+Tabel668917263329[[#This Row],[Sew. 2015]]+Tabel668917263329[[#This Row],[WW 2015]]+Tabel668917263329[[#This Row],[Other ch. 2015]]+Tabel668917263329[[#This Row],[VAT 2015]]</f>
        <v>0</v>
      </c>
      <c r="Q152" s="397"/>
      <c r="R152" s="2270"/>
      <c r="S152" s="1767"/>
      <c r="T152" s="1770"/>
      <c r="U152" s="1776"/>
      <c r="V152" s="1779"/>
      <c r="W152" s="1811"/>
      <c r="X152" s="1813"/>
      <c r="Y152" s="1815"/>
      <c r="Z152" s="1794"/>
      <c r="AA152" s="397"/>
      <c r="AB152" s="398"/>
      <c r="AC152" s="396" t="s">
        <v>429</v>
      </c>
      <c r="AD152" s="396"/>
      <c r="AE152" s="396"/>
      <c r="AF152" s="396" t="s">
        <v>429</v>
      </c>
      <c r="AG152" s="398"/>
      <c r="AH152" s="1292" t="s">
        <v>1350</v>
      </c>
      <c r="AI152" s="397"/>
    </row>
    <row r="153" spans="1:35" ht="15.75" hidden="1" x14ac:dyDescent="0.25">
      <c r="A153" s="2004" t="s">
        <v>527</v>
      </c>
      <c r="B153" s="1617"/>
      <c r="C153" s="809" t="s">
        <v>528</v>
      </c>
      <c r="D153" s="2210">
        <v>27900</v>
      </c>
      <c r="E153" s="306">
        <v>1.28559</v>
      </c>
      <c r="F153" s="319">
        <f>125/E153</f>
        <v>97.231621278945852</v>
      </c>
      <c r="G153" s="320">
        <v>0</v>
      </c>
      <c r="H153" s="321">
        <f>220/E153</f>
        <v>171.12765345094471</v>
      </c>
      <c r="I153" s="313">
        <f>Tabel668917263329[[#This Row],[Fix.ch. 2015]]+Tabel668917263329[[#This Row],[Var. ch. 2015]]+Tabel668917263329[[#This Row],[Oth. ch. DW 2015]]</f>
        <v>268.35927472989056</v>
      </c>
      <c r="J153" s="322">
        <v>0</v>
      </c>
      <c r="K153" s="323">
        <f>280/E153</f>
        <v>217.7988316648387</v>
      </c>
      <c r="L153" s="323"/>
      <c r="M153" s="324">
        <v>0</v>
      </c>
      <c r="N153" s="1257">
        <f>Tabel668917263329[[#This Row],[Sew. 2015]]+Tabel668917263329[[#This Row],[WW 2015]]+Tabel668917263329[[#This Row],[Other ch. 2015]]</f>
        <v>217.7988316648387</v>
      </c>
      <c r="O153" s="1258">
        <v>0</v>
      </c>
      <c r="P153" s="318">
        <f>Tabel668917263329[[#This Row],[Total. ch. DW 2015]]+Tabel668917263329[[#This Row],[Sew. 2015]]+Tabel668917263329[[#This Row],[WW 2015]]+Tabel668917263329[[#This Row],[Other ch. 2015]]+Tabel668917263329[[#This Row],[VAT 2015]]</f>
        <v>486.15810639472926</v>
      </c>
      <c r="Q153" s="397"/>
      <c r="R153" s="2211">
        <f t="shared" ref="R153:W153" si="47">SUM(F153:F157)/5</f>
        <v>118.23365147519814</v>
      </c>
      <c r="S153" s="2212">
        <f t="shared" si="47"/>
        <v>98.009474249177416</v>
      </c>
      <c r="T153" s="2213">
        <f t="shared" si="47"/>
        <v>34.22553069018894</v>
      </c>
      <c r="U153" s="2214">
        <f t="shared" si="47"/>
        <v>250.46865641456452</v>
      </c>
      <c r="V153" s="2215">
        <f t="shared" si="47"/>
        <v>0</v>
      </c>
      <c r="W153" s="2216">
        <f t="shared" si="47"/>
        <v>238.80086186109102</v>
      </c>
      <c r="X153" s="2217">
        <f>SUM(M153:M157)/5</f>
        <v>0</v>
      </c>
      <c r="Y153" s="2218">
        <f t="shared" ref="Y153:Z153" si="48">SUM(O153:O157)/5</f>
        <v>0</v>
      </c>
      <c r="Z153" s="2219">
        <f t="shared" si="48"/>
        <v>489.26951827565551</v>
      </c>
      <c r="AA153" s="397"/>
      <c r="AB153" s="398"/>
      <c r="AC153" s="398"/>
      <c r="AD153" s="398"/>
      <c r="AE153" s="398"/>
      <c r="AF153" s="398"/>
      <c r="AG153" s="398"/>
      <c r="AH153" s="398"/>
      <c r="AI153" s="397"/>
    </row>
    <row r="154" spans="1:35" ht="15.75" hidden="1" x14ac:dyDescent="0.25">
      <c r="A154" s="2005"/>
      <c r="B154" s="1617"/>
      <c r="C154" s="261" t="s">
        <v>529</v>
      </c>
      <c r="D154" s="1837"/>
      <c r="E154" s="306">
        <v>1.28559</v>
      </c>
      <c r="F154" s="319">
        <f>360/E154</f>
        <v>280.02706928336403</v>
      </c>
      <c r="G154" s="320">
        <v>0</v>
      </c>
      <c r="H154" s="321">
        <v>0</v>
      </c>
      <c r="I154" s="313">
        <f>Tabel668917263329[[#This Row],[Fix.ch. 2015]]+Tabel668917263329[[#This Row],[Var. ch. 2015]]+Tabel668917263329[[#This Row],[Oth. ch. DW 2015]]</f>
        <v>280.02706928336403</v>
      </c>
      <c r="J154" s="322">
        <v>0</v>
      </c>
      <c r="K154" s="323">
        <f>310/E154</f>
        <v>241.13442077178573</v>
      </c>
      <c r="L154" s="323"/>
      <c r="M154" s="324">
        <v>0</v>
      </c>
      <c r="N154" s="1257">
        <f>Tabel668917263329[[#This Row],[Sew. 2015]]+Tabel668917263329[[#This Row],[WW 2015]]+Tabel668917263329[[#This Row],[Other ch. 2015]]</f>
        <v>241.13442077178573</v>
      </c>
      <c r="O154" s="1258">
        <v>0</v>
      </c>
      <c r="P154" s="318">
        <f>Tabel668917263329[[#This Row],[Total. ch. DW 2015]]+Tabel668917263329[[#This Row],[Sew. 2015]]+Tabel668917263329[[#This Row],[WW 2015]]+Tabel668917263329[[#This Row],[Other ch. 2015]]+Tabel668917263329[[#This Row],[VAT 2015]]</f>
        <v>521.16149005514978</v>
      </c>
      <c r="Q154" s="397"/>
      <c r="R154" s="1840"/>
      <c r="S154" s="1843"/>
      <c r="T154" s="1846"/>
      <c r="U154" s="1849"/>
      <c r="V154" s="1852"/>
      <c r="W154" s="1855"/>
      <c r="X154" s="1858"/>
      <c r="Y154" s="1873"/>
      <c r="Z154" s="1876"/>
      <c r="AA154" s="397"/>
      <c r="AB154" s="398"/>
      <c r="AC154" s="398"/>
      <c r="AD154" s="398"/>
      <c r="AE154" s="398"/>
      <c r="AF154" s="398"/>
      <c r="AG154" s="398"/>
      <c r="AH154" s="398"/>
      <c r="AI154" s="397"/>
    </row>
    <row r="155" spans="1:35" ht="15.75" hidden="1" x14ac:dyDescent="0.25">
      <c r="A155" s="2005"/>
      <c r="B155" s="1617"/>
      <c r="C155" s="261" t="s">
        <v>530</v>
      </c>
      <c r="D155" s="1837"/>
      <c r="E155" s="306">
        <v>1.28559</v>
      </c>
      <c r="F155" s="319">
        <f>225/E155</f>
        <v>175.01691830210254</v>
      </c>
      <c r="G155" s="320">
        <v>0</v>
      </c>
      <c r="H155" s="321">
        <v>0</v>
      </c>
      <c r="I155" s="313">
        <f>Tabel668917263329[[#This Row],[Fix.ch. 2015]]+Tabel668917263329[[#This Row],[Var. ch. 2015]]+Tabel668917263329[[#This Row],[Oth. ch. DW 2015]]</f>
        <v>175.01691830210254</v>
      </c>
      <c r="J155" s="322">
        <v>0</v>
      </c>
      <c r="K155" s="323">
        <f>125/E155</f>
        <v>97.231621278945852</v>
      </c>
      <c r="L155" s="323"/>
      <c r="M155" s="324">
        <v>0</v>
      </c>
      <c r="N155" s="1257">
        <f>Tabel668917263329[[#This Row],[Sew. 2015]]+Tabel668917263329[[#This Row],[WW 2015]]+Tabel668917263329[[#This Row],[Other ch. 2015]]</f>
        <v>97.231621278945852</v>
      </c>
      <c r="O155" s="1258">
        <v>0</v>
      </c>
      <c r="P155" s="318">
        <f>Tabel668917263329[[#This Row],[Total. ch. DW 2015]]+Tabel668917263329[[#This Row],[Sew. 2015]]+Tabel668917263329[[#This Row],[WW 2015]]+Tabel668917263329[[#This Row],[Other ch. 2015]]+Tabel668917263329[[#This Row],[VAT 2015]]</f>
        <v>272.24853958104836</v>
      </c>
      <c r="Q155" s="397"/>
      <c r="R155" s="1840"/>
      <c r="S155" s="1843"/>
      <c r="T155" s="1846"/>
      <c r="U155" s="1849"/>
      <c r="V155" s="1852"/>
      <c r="W155" s="1855"/>
      <c r="X155" s="1858"/>
      <c r="Y155" s="1873"/>
      <c r="Z155" s="1876"/>
      <c r="AA155" s="397"/>
      <c r="AB155" s="398"/>
      <c r="AC155" s="398"/>
      <c r="AD155" s="398"/>
      <c r="AE155" s="398"/>
      <c r="AF155" s="398"/>
      <c r="AG155" s="398"/>
      <c r="AH155" s="398"/>
      <c r="AI155" s="397"/>
    </row>
    <row r="156" spans="1:35" ht="15.75" hidden="1" x14ac:dyDescent="0.25">
      <c r="A156" s="2005"/>
      <c r="B156" s="1617"/>
      <c r="C156" s="261" t="s">
        <v>531</v>
      </c>
      <c r="D156" s="1837"/>
      <c r="E156" s="306">
        <v>1.28559</v>
      </c>
      <c r="F156" s="319">
        <f>25/E156</f>
        <v>19.446324255789172</v>
      </c>
      <c r="G156" s="320">
        <f>280/E156</f>
        <v>217.7988316648387</v>
      </c>
      <c r="H156" s="321">
        <v>0</v>
      </c>
      <c r="I156" s="313">
        <f>Tabel668917263329[[#This Row],[Fix.ch. 2015]]+Tabel668917263329[[#This Row],[Var. ch. 2015]]+Tabel668917263329[[#This Row],[Oth. ch. DW 2015]]</f>
        <v>237.24515592062787</v>
      </c>
      <c r="J156" s="322">
        <v>0</v>
      </c>
      <c r="K156" s="323">
        <f>280/E156</f>
        <v>217.7988316648387</v>
      </c>
      <c r="L156" s="323"/>
      <c r="M156" s="324">
        <v>0</v>
      </c>
      <c r="N156" s="1257">
        <f>Tabel668917263329[[#This Row],[Sew. 2015]]+Tabel668917263329[[#This Row],[WW 2015]]+Tabel668917263329[[#This Row],[Other ch. 2015]]</f>
        <v>217.7988316648387</v>
      </c>
      <c r="O156" s="1258">
        <v>0</v>
      </c>
      <c r="P156" s="318">
        <f>Tabel668917263329[[#This Row],[Total. ch. DW 2015]]+Tabel668917263329[[#This Row],[Sew. 2015]]+Tabel668917263329[[#This Row],[WW 2015]]+Tabel668917263329[[#This Row],[Other ch. 2015]]+Tabel668917263329[[#This Row],[VAT 2015]]</f>
        <v>455.04398758546654</v>
      </c>
      <c r="Q156" s="397"/>
      <c r="R156" s="1840"/>
      <c r="S156" s="1843"/>
      <c r="T156" s="1846"/>
      <c r="U156" s="1849"/>
      <c r="V156" s="1852"/>
      <c r="W156" s="1855"/>
      <c r="X156" s="1858"/>
      <c r="Y156" s="1873"/>
      <c r="Z156" s="1876"/>
      <c r="AA156" s="397"/>
      <c r="AB156" s="398"/>
      <c r="AC156" s="398"/>
      <c r="AD156" s="398"/>
      <c r="AE156" s="398"/>
      <c r="AF156" s="398"/>
      <c r="AG156" s="398"/>
      <c r="AH156" s="398"/>
      <c r="AI156" s="397"/>
    </row>
    <row r="157" spans="1:35" ht="16.5" hidden="1" thickBot="1" x14ac:dyDescent="0.3">
      <c r="A157" s="2006"/>
      <c r="B157" s="1617"/>
      <c r="C157" s="800" t="s">
        <v>532</v>
      </c>
      <c r="D157" s="2221"/>
      <c r="E157" s="306">
        <v>1.28559</v>
      </c>
      <c r="F157" s="319">
        <f>25/E157</f>
        <v>19.446324255789172</v>
      </c>
      <c r="G157" s="320">
        <f>350/E157</f>
        <v>272.24853958104836</v>
      </c>
      <c r="H157" s="321">
        <v>0</v>
      </c>
      <c r="I157" s="313">
        <f>Tabel668917263329[[#This Row],[Fix.ch. 2015]]+Tabel668917263329[[#This Row],[Var. ch. 2015]]+Tabel668917263329[[#This Row],[Oth. ch. DW 2015]]</f>
        <v>291.69486383683756</v>
      </c>
      <c r="J157" s="322">
        <v>0</v>
      </c>
      <c r="K157" s="323">
        <f>540/E157</f>
        <v>420.04060392504607</v>
      </c>
      <c r="L157" s="323"/>
      <c r="M157" s="324">
        <v>0</v>
      </c>
      <c r="N157" s="1257">
        <f>Tabel668917263329[[#This Row],[Sew. 2015]]+Tabel668917263329[[#This Row],[WW 2015]]+Tabel668917263329[[#This Row],[Other ch. 2015]]</f>
        <v>420.04060392504607</v>
      </c>
      <c r="O157" s="1258">
        <v>0</v>
      </c>
      <c r="P157" s="318">
        <f>Tabel668917263329[[#This Row],[Total. ch. DW 2015]]+Tabel668917263329[[#This Row],[Sew. 2015]]+Tabel668917263329[[#This Row],[WW 2015]]+Tabel668917263329[[#This Row],[Other ch. 2015]]+Tabel668917263329[[#This Row],[VAT 2015]]</f>
        <v>711.73546776188368</v>
      </c>
      <c r="Q157" s="397"/>
      <c r="R157" s="2223"/>
      <c r="S157" s="2225"/>
      <c r="T157" s="2227"/>
      <c r="U157" s="2234"/>
      <c r="V157" s="2236"/>
      <c r="W157" s="2238"/>
      <c r="X157" s="2240"/>
      <c r="Y157" s="2242"/>
      <c r="Z157" s="2244"/>
      <c r="AA157" s="397"/>
      <c r="AB157" s="398"/>
      <c r="AC157" s="398"/>
      <c r="AD157" s="398"/>
      <c r="AE157" s="398"/>
      <c r="AF157" s="398"/>
      <c r="AG157" s="398"/>
      <c r="AH157" s="398"/>
      <c r="AI157" s="397"/>
    </row>
    <row r="158" spans="1:35" ht="19.5" hidden="1" thickBot="1" x14ac:dyDescent="0.35">
      <c r="A158" s="267" t="s">
        <v>46</v>
      </c>
      <c r="B158" s="1616"/>
      <c r="C158" s="293" t="s">
        <v>477</v>
      </c>
      <c r="D158" s="1226">
        <v>39500</v>
      </c>
      <c r="E158" s="306">
        <v>0.64417999999999997</v>
      </c>
      <c r="F158" s="319">
        <f>94/E158</f>
        <v>145.92194728181565</v>
      </c>
      <c r="G158" s="320">
        <f>208/E158</f>
        <v>322.89111738954949</v>
      </c>
      <c r="H158" s="321">
        <v>0</v>
      </c>
      <c r="I158" s="313">
        <f>Tabel668917263329[[#This Row],[Fix.ch. 2015]]+Tabel668917263329[[#This Row],[Var. ch. 2015]]+Tabel668917263329[[#This Row],[Oth. ch. DW 2015]]</f>
        <v>468.81306467136517</v>
      </c>
      <c r="J158" s="322">
        <v>0</v>
      </c>
      <c r="K158" s="323">
        <f>449/E158</f>
        <v>697.01015244186408</v>
      </c>
      <c r="L158" s="323"/>
      <c r="M158" s="324">
        <v>0</v>
      </c>
      <c r="N158" s="1257">
        <f>Tabel668917263329[[#This Row],[Sew. 2015]]+Tabel668917263329[[#This Row],[WW 2015]]+Tabel668917263329[[#This Row],[Other ch. 2015]]</f>
        <v>697.01015244186408</v>
      </c>
      <c r="O158" s="1258">
        <f>60/E158</f>
        <v>93.141668477754664</v>
      </c>
      <c r="P158" s="318">
        <f>Tabel668917263329[[#This Row],[Total. ch. DW 2015]]+Tabel668917263329[[#This Row],[Sew. 2015]]+Tabel668917263329[[#This Row],[WW 2015]]+Tabel668917263329[[#This Row],[Other ch. 2015]]+Tabel668917263329[[#This Row],[VAT 2015]]</f>
        <v>1258.9648855909838</v>
      </c>
      <c r="Q158" s="397"/>
      <c r="R158" s="1228">
        <f>Tabel668917263329[[#This Row],[Fix.ch. 2015]]</f>
        <v>145.92194728181565</v>
      </c>
      <c r="S158" s="1229">
        <f>Tabel668917263329[[#This Row],[Var. ch. 2015]]</f>
        <v>322.89111738954949</v>
      </c>
      <c r="T158" s="1230">
        <v>0</v>
      </c>
      <c r="U158" s="1231">
        <f>Tabel668917263329[[#This Row],[Total. ch. DW 2015]]</f>
        <v>468.81306467136517</v>
      </c>
      <c r="V158" s="1232">
        <v>0</v>
      </c>
      <c r="W158" s="1233">
        <f>Tabel668917263329[[#This Row],[WW 2015]]</f>
        <v>697.01015244186408</v>
      </c>
      <c r="X158" s="1234">
        <v>0</v>
      </c>
      <c r="Y158" s="1235">
        <f>Tabel668917263329[[#This Row],[VAT 2015]]</f>
        <v>93.141668477754664</v>
      </c>
      <c r="Z158" s="1236">
        <f>Tabel668917263329[[#This Row],[total charge 2015]]</f>
        <v>1258.9648855909838</v>
      </c>
      <c r="AA158" s="397"/>
      <c r="AB158" s="398"/>
      <c r="AC158" s="398"/>
      <c r="AD158" s="398"/>
      <c r="AE158" s="398"/>
      <c r="AF158" s="398"/>
      <c r="AG158" s="398"/>
      <c r="AH158" s="398" t="s">
        <v>476</v>
      </c>
      <c r="AI158" s="397"/>
    </row>
    <row r="159" spans="1:35" ht="15.75" hidden="1" customHeight="1" x14ac:dyDescent="0.25">
      <c r="A159" s="1818" t="s">
        <v>21</v>
      </c>
      <c r="B159" s="1213"/>
      <c r="C159" s="1446" t="s">
        <v>125</v>
      </c>
      <c r="D159" s="1759">
        <v>68400</v>
      </c>
      <c r="E159" s="617">
        <f>'[1]exchange rates'!$M$46</f>
        <v>8.8603000000000005</v>
      </c>
      <c r="F159" s="549">
        <v>277.53010620407883</v>
      </c>
      <c r="G159" s="550">
        <v>0</v>
      </c>
      <c r="H159" s="551">
        <v>0</v>
      </c>
      <c r="I159" s="566">
        <f>Tabel668917263329[[#This Row],[Fix.ch. 2015]]+Tabel668917263329[[#This Row],[Var. ch. 2015]]+Tabel668917263329[[#This Row],[Oth. ch. DW 2015]]</f>
        <v>277.53010620407883</v>
      </c>
      <c r="J159" s="567">
        <v>360.93585995959501</v>
      </c>
      <c r="K159" s="568">
        <v>0</v>
      </c>
      <c r="L159" s="568"/>
      <c r="M159" s="569">
        <v>0</v>
      </c>
      <c r="N159" s="1270">
        <f>Tabel668917263329[[#This Row],[Sew. 2015]]+Tabel668917263329[[#This Row],[WW 2015]]+Tabel668917263329[[#This Row],[Other ch. 2015]]</f>
        <v>360.93585995959501</v>
      </c>
      <c r="O159" s="1271">
        <v>159.58827579201605</v>
      </c>
      <c r="P159" s="571">
        <f>Tabel668917263329[[#This Row],[Total. ch. DW 2015]]+Tabel668917263329[[#This Row],[Sew. 2015]]+Tabel668917263329[[#This Row],[WW 2015]]+Tabel668917263329[[#This Row],[Other ch. 2015]]+Tabel668917263329[[#This Row],[VAT 2015]]</f>
        <v>798.0542419556898</v>
      </c>
      <c r="Q159" s="397"/>
      <c r="R159" s="2258">
        <f t="shared" ref="R159:W159" si="49">SUM(F159:F161)/3</f>
        <v>115.6093285027971</v>
      </c>
      <c r="S159" s="2271">
        <f t="shared" si="49"/>
        <v>137.16616066423634</v>
      </c>
      <c r="T159" s="2272">
        <f t="shared" si="49"/>
        <v>6.9448363298458666</v>
      </c>
      <c r="U159" s="2274">
        <f t="shared" si="49"/>
        <v>259.7203254968793</v>
      </c>
      <c r="V159" s="2276">
        <f t="shared" si="49"/>
        <v>333.59291822323547</v>
      </c>
      <c r="W159" s="2278">
        <f t="shared" si="49"/>
        <v>0</v>
      </c>
      <c r="X159" s="2280">
        <f>SUM(M159:M161)/3</f>
        <v>0</v>
      </c>
      <c r="Y159" s="2282">
        <f t="shared" ref="Y159" si="50">SUM(O159:O161)/3</f>
        <v>148.32078673032137</v>
      </c>
      <c r="Z159" s="1793">
        <f>SUM(P159:P161)/3</f>
        <v>741.63403045043617</v>
      </c>
      <c r="AA159" s="397"/>
      <c r="AB159" s="591" t="s">
        <v>429</v>
      </c>
      <c r="AC159" s="591" t="s">
        <v>429</v>
      </c>
      <c r="AD159" s="591"/>
      <c r="AE159" s="591"/>
      <c r="AF159" s="591" t="s">
        <v>429</v>
      </c>
      <c r="AG159" s="591" t="s">
        <v>429</v>
      </c>
      <c r="AH159" s="614"/>
      <c r="AI159" s="397"/>
    </row>
    <row r="160" spans="1:35" ht="16.5" hidden="1" customHeight="1" x14ac:dyDescent="0.25">
      <c r="A160" s="2294"/>
      <c r="B160" s="1213"/>
      <c r="C160" s="543" t="s">
        <v>126</v>
      </c>
      <c r="D160" s="1760"/>
      <c r="E160" s="617">
        <f>'[1]exchange rates'!$M$46</f>
        <v>8.8603000000000005</v>
      </c>
      <c r="F160" s="549">
        <v>35.438980621423653</v>
      </c>
      <c r="G160" s="550">
        <v>225.04881324560114</v>
      </c>
      <c r="H160" s="551">
        <v>0</v>
      </c>
      <c r="I160" s="566">
        <f>Tabel668917263329[[#This Row],[Fix.ch. 2015]]+Tabel668917263329[[#This Row],[Var. ch. 2015]]+Tabel668917263329[[#This Row],[Oth. ch. DW 2015]]</f>
        <v>260.48779386702478</v>
      </c>
      <c r="J160" s="567">
        <v>337.68608286401138</v>
      </c>
      <c r="K160" s="568">
        <v>0</v>
      </c>
      <c r="L160" s="568"/>
      <c r="M160" s="569">
        <v>0</v>
      </c>
      <c r="N160" s="1270">
        <f>Tabel668917263329[[#This Row],[Sew. 2015]]+Tabel668917263329[[#This Row],[WW 2015]]+Tabel668917263329[[#This Row],[Other ch. 2015]]</f>
        <v>337.68608286401138</v>
      </c>
      <c r="O160" s="1271">
        <v>149.54346918275905</v>
      </c>
      <c r="P160" s="571">
        <f>Tabel668917263329[[#This Row],[Total. ch. DW 2015]]+Tabel668917263329[[#This Row],[Sew. 2015]]+Tabel668917263329[[#This Row],[WW 2015]]+Tabel668917263329[[#This Row],[Other ch. 2015]]+Tabel668917263329[[#This Row],[VAT 2015]]</f>
        <v>747.71734591379527</v>
      </c>
      <c r="Q160" s="397"/>
      <c r="R160" s="2081"/>
      <c r="S160" s="2097"/>
      <c r="T160" s="2100"/>
      <c r="U160" s="2106"/>
      <c r="V160" s="2109"/>
      <c r="W160" s="2120"/>
      <c r="X160" s="2123"/>
      <c r="Y160" s="2126"/>
      <c r="Z160" s="1791"/>
      <c r="AA160" s="397"/>
      <c r="AB160" s="591" t="s">
        <v>429</v>
      </c>
      <c r="AC160" s="591" t="s">
        <v>429</v>
      </c>
      <c r="AD160" s="591"/>
      <c r="AE160" s="591"/>
      <c r="AF160" s="591" t="s">
        <v>429</v>
      </c>
      <c r="AG160" s="591" t="s">
        <v>429</v>
      </c>
      <c r="AH160" s="614"/>
      <c r="AI160" s="397"/>
    </row>
    <row r="161" spans="1:35" ht="18" hidden="1" customHeight="1" thickBot="1" x14ac:dyDescent="0.3">
      <c r="A161" s="2295"/>
      <c r="B161" s="1213"/>
      <c r="C161" s="543" t="s">
        <v>127</v>
      </c>
      <c r="D161" s="1761"/>
      <c r="E161" s="617">
        <f>'[1]exchange rates'!$M$46</f>
        <v>8.8603000000000005</v>
      </c>
      <c r="F161" s="549">
        <v>33.858898682888842</v>
      </c>
      <c r="G161" s="550">
        <v>186.44966874710786</v>
      </c>
      <c r="H161" s="551">
        <v>20.8345089895376</v>
      </c>
      <c r="I161" s="566">
        <f>Tabel668917263329[[#This Row],[Fix.ch. 2015]]+Tabel668917263329[[#This Row],[Var. ch. 2015]]+Tabel668917263329[[#This Row],[Oth. ch. DW 2015]]</f>
        <v>241.14307641953431</v>
      </c>
      <c r="J161" s="567">
        <v>302.15681184609997</v>
      </c>
      <c r="K161" s="568">
        <v>0</v>
      </c>
      <c r="L161" s="568"/>
      <c r="M161" s="569">
        <v>0</v>
      </c>
      <c r="N161" s="1270">
        <f>Tabel668917263329[[#This Row],[Sew. 2015]]+Tabel668917263329[[#This Row],[WW 2015]]+Tabel668917263329[[#This Row],[Other ch. 2015]]</f>
        <v>302.15681184609997</v>
      </c>
      <c r="O161" s="1271">
        <v>135.83061521618907</v>
      </c>
      <c r="P161" s="571">
        <f>Tabel668917263329[[#This Row],[Total. ch. DW 2015]]+Tabel668917263329[[#This Row],[Sew. 2015]]+Tabel668917263329[[#This Row],[WW 2015]]+Tabel668917263329[[#This Row],[Other ch. 2015]]+Tabel668917263329[[#This Row],[VAT 2015]]</f>
        <v>679.13050348182333</v>
      </c>
      <c r="Q161" s="397"/>
      <c r="R161" s="2270"/>
      <c r="S161" s="2132"/>
      <c r="T161" s="2273"/>
      <c r="U161" s="2275"/>
      <c r="V161" s="2277"/>
      <c r="W161" s="2279"/>
      <c r="X161" s="2281"/>
      <c r="Y161" s="2283"/>
      <c r="Z161" s="1794"/>
      <c r="AA161" s="397"/>
      <c r="AB161" s="591" t="s">
        <v>429</v>
      </c>
      <c r="AC161" s="591" t="s">
        <v>429</v>
      </c>
      <c r="AD161" s="591"/>
      <c r="AE161" s="591"/>
      <c r="AF161" s="591" t="s">
        <v>429</v>
      </c>
      <c r="AG161" s="591" t="s">
        <v>429</v>
      </c>
      <c r="AH161" s="614"/>
      <c r="AI161" s="397"/>
    </row>
    <row r="162" spans="1:35" ht="15.75" hidden="1" x14ac:dyDescent="0.25">
      <c r="A162" s="1818" t="s">
        <v>22</v>
      </c>
      <c r="B162" s="1213"/>
      <c r="C162" s="1446" t="s">
        <v>128</v>
      </c>
      <c r="D162" s="1759">
        <v>26400</v>
      </c>
      <c r="E162" s="661">
        <f>'[1]exchange rates'!$M$47</f>
        <v>3.9519899999999999</v>
      </c>
      <c r="F162" s="549">
        <v>0</v>
      </c>
      <c r="G162" s="550">
        <f>1102/E162</f>
        <v>278.84685943031235</v>
      </c>
      <c r="H162" s="551">
        <v>0</v>
      </c>
      <c r="I162" s="566">
        <f>Tabel668917263329[[#This Row],[Fix.ch. 2015]]+Tabel668917263329[[#This Row],[Var. ch. 2015]]+Tabel668917263329[[#This Row],[Oth. ch. DW 2015]]</f>
        <v>278.84685943031235</v>
      </c>
      <c r="J162" s="567">
        <v>0</v>
      </c>
      <c r="K162" s="568">
        <f>1098/E162</f>
        <v>277.83471112022045</v>
      </c>
      <c r="L162" s="568"/>
      <c r="M162" s="569">
        <v>0</v>
      </c>
      <c r="N162" s="1270">
        <f>Tabel668917263329[[#This Row],[Sew. 2015]]+Tabel668917263329[[#This Row],[WW 2015]]+Tabel668917263329[[#This Row],[Other ch. 2015]]</f>
        <v>277.83471112022045</v>
      </c>
      <c r="O162" s="1271">
        <v>0</v>
      </c>
      <c r="P162" s="571">
        <f>Tabel668917263329[[#This Row],[Total. ch. DW 2015]]+Tabel668917263329[[#This Row],[Sew. 2015]]+Tabel668917263329[[#This Row],[WW 2015]]+Tabel668917263329[[#This Row],[Other ch. 2015]]+Tabel668917263329[[#This Row],[VAT 2015]]</f>
        <v>556.6815705505328</v>
      </c>
      <c r="Q162" s="397"/>
      <c r="R162" s="1762">
        <f t="shared" ref="R162:W162" si="51">SUM(F162:F166)/5</f>
        <v>4.3360433604336039</v>
      </c>
      <c r="S162" s="1765">
        <f t="shared" si="51"/>
        <v>231.07345919397568</v>
      </c>
      <c r="T162" s="1768">
        <f t="shared" si="51"/>
        <v>2.8056751155746853</v>
      </c>
      <c r="U162" s="1774">
        <f t="shared" si="51"/>
        <v>238.215177669984</v>
      </c>
      <c r="V162" s="1777">
        <f t="shared" si="51"/>
        <v>0</v>
      </c>
      <c r="W162" s="1810">
        <f t="shared" si="51"/>
        <v>264.87921275104446</v>
      </c>
      <c r="X162" s="1812">
        <f>SUM(M162:M166)/5</f>
        <v>13.493961270144913</v>
      </c>
      <c r="Y162" s="1814">
        <f t="shared" ref="Y162:Z162" si="52">SUM(O162:O166)/5</f>
        <v>0</v>
      </c>
      <c r="Z162" s="1793">
        <f t="shared" si="52"/>
        <v>516.58835169117333</v>
      </c>
      <c r="AA162" s="397"/>
      <c r="AB162" s="398"/>
      <c r="AC162" s="591" t="s">
        <v>429</v>
      </c>
      <c r="AD162" s="398"/>
      <c r="AE162" s="398"/>
      <c r="AF162" s="398"/>
      <c r="AG162" s="398"/>
      <c r="AH162" s="398"/>
      <c r="AI162" s="397"/>
    </row>
    <row r="163" spans="1:35" ht="15.75" hidden="1" x14ac:dyDescent="0.25">
      <c r="A163" s="2294"/>
      <c r="B163" s="1213"/>
      <c r="C163" s="543" t="s">
        <v>129</v>
      </c>
      <c r="D163" s="1880"/>
      <c r="E163" s="661">
        <f>'[1]exchange rates'!$M$47</f>
        <v>3.9519899999999999</v>
      </c>
      <c r="F163" s="549">
        <v>0</v>
      </c>
      <c r="G163" s="550">
        <f>858/E163</f>
        <v>217.10581251470779</v>
      </c>
      <c r="H163" s="551">
        <v>0</v>
      </c>
      <c r="I163" s="566">
        <f>Tabel668917263329[[#This Row],[Fix.ch. 2015]]+Tabel668917263329[[#This Row],[Var. ch. 2015]]+Tabel668917263329[[#This Row],[Oth. ch. DW 2015]]</f>
        <v>217.10581251470779</v>
      </c>
      <c r="J163" s="567">
        <v>0</v>
      </c>
      <c r="K163" s="568">
        <f>1002/E163</f>
        <v>253.54315167801539</v>
      </c>
      <c r="L163" s="568"/>
      <c r="M163" s="569">
        <v>0</v>
      </c>
      <c r="N163" s="1270">
        <f>Tabel668917263329[[#This Row],[Sew. 2015]]+Tabel668917263329[[#This Row],[WW 2015]]+Tabel668917263329[[#This Row],[Other ch. 2015]]</f>
        <v>253.54315167801539</v>
      </c>
      <c r="O163" s="1271">
        <v>0</v>
      </c>
      <c r="P163" s="571">
        <f>Tabel668917263329[[#This Row],[Total. ch. DW 2015]]+Tabel668917263329[[#This Row],[Sew. 2015]]+Tabel668917263329[[#This Row],[WW 2015]]+Tabel668917263329[[#This Row],[Other ch. 2015]]+Tabel668917263329[[#This Row],[VAT 2015]]</f>
        <v>470.64896419272316</v>
      </c>
      <c r="Q163" s="397"/>
      <c r="R163" s="1886"/>
      <c r="S163" s="1888"/>
      <c r="T163" s="1890"/>
      <c r="U163" s="1892"/>
      <c r="V163" s="1894"/>
      <c r="W163" s="1911"/>
      <c r="X163" s="1913"/>
      <c r="Y163" s="1915"/>
      <c r="Z163" s="1832"/>
      <c r="AA163" s="397"/>
      <c r="AB163" s="398"/>
      <c r="AC163" s="591" t="s">
        <v>429</v>
      </c>
      <c r="AD163" s="398"/>
      <c r="AE163" s="398"/>
      <c r="AF163" s="398"/>
      <c r="AG163" s="398"/>
      <c r="AH163" s="398"/>
      <c r="AI163" s="397"/>
    </row>
    <row r="164" spans="1:35" ht="15.75" hidden="1" x14ac:dyDescent="0.25">
      <c r="A164" s="2294"/>
      <c r="B164" s="1213"/>
      <c r="C164" s="543" t="s">
        <v>130</v>
      </c>
      <c r="D164" s="1880"/>
      <c r="E164" s="661">
        <f>'[1]exchange rates'!$M$47</f>
        <v>3.9519899999999999</v>
      </c>
      <c r="F164" s="549">
        <f>((3.57/E164)*12)*2</f>
        <v>21.680216802168019</v>
      </c>
      <c r="G164" s="550">
        <f>1292/E164</f>
        <v>326.92390415967651</v>
      </c>
      <c r="H164" s="551">
        <v>0</v>
      </c>
      <c r="I164" s="566">
        <f>Tabel668917263329[[#This Row],[Fix.ch. 2015]]+Tabel668917263329[[#This Row],[Var. ch. 2015]]+Tabel668917263329[[#This Row],[Oth. ch. DW 2015]]</f>
        <v>348.6041209618445</v>
      </c>
      <c r="J164" s="567">
        <v>0</v>
      </c>
      <c r="K164" s="568">
        <f>1292/E164</f>
        <v>326.92390415967651</v>
      </c>
      <c r="L164" s="568"/>
      <c r="M164" s="569">
        <f>((3.57/E164)*12)*2</f>
        <v>21.680216802168019</v>
      </c>
      <c r="N164" s="1270">
        <f>Tabel668917263329[[#This Row],[Sew. 2015]]+Tabel668917263329[[#This Row],[WW 2015]]+Tabel668917263329[[#This Row],[Other ch. 2015]]</f>
        <v>348.6041209618445</v>
      </c>
      <c r="O164" s="1271">
        <v>0</v>
      </c>
      <c r="P164" s="571">
        <f>Tabel668917263329[[#This Row],[Total. ch. DW 2015]]+Tabel668917263329[[#This Row],[Sew. 2015]]+Tabel668917263329[[#This Row],[WW 2015]]+Tabel668917263329[[#This Row],[Other ch. 2015]]+Tabel668917263329[[#This Row],[VAT 2015]]</f>
        <v>697.20824192368912</v>
      </c>
      <c r="Q164" s="397"/>
      <c r="R164" s="1886"/>
      <c r="S164" s="1888"/>
      <c r="T164" s="1890"/>
      <c r="U164" s="1892"/>
      <c r="V164" s="1894"/>
      <c r="W164" s="1911"/>
      <c r="X164" s="1913"/>
      <c r="Y164" s="1915"/>
      <c r="Z164" s="1832"/>
      <c r="AA164" s="397"/>
      <c r="AB164" s="591" t="s">
        <v>429</v>
      </c>
      <c r="AC164" s="591" t="s">
        <v>429</v>
      </c>
      <c r="AD164" s="398"/>
      <c r="AE164" s="398"/>
      <c r="AF164" s="398"/>
      <c r="AG164" s="398"/>
      <c r="AH164" s="398"/>
      <c r="AI164" s="397"/>
    </row>
    <row r="165" spans="1:35" ht="15.75" hidden="1" x14ac:dyDescent="0.25">
      <c r="A165" s="2294"/>
      <c r="B165" s="1213"/>
      <c r="C165" s="543" t="s">
        <v>131</v>
      </c>
      <c r="D165" s="1880"/>
      <c r="E165" s="661">
        <f>'[1]exchange rates'!$M$47</f>
        <v>3.9519899999999999</v>
      </c>
      <c r="F165" s="549">
        <v>0</v>
      </c>
      <c r="G165" s="550">
        <f>684/E165</f>
        <v>173.0773610257111</v>
      </c>
      <c r="H165" s="551">
        <v>0</v>
      </c>
      <c r="I165" s="566">
        <f>Tabel668917263329[[#This Row],[Fix.ch. 2015]]+Tabel668917263329[[#This Row],[Var. ch. 2015]]+Tabel668917263329[[#This Row],[Oth. ch. DW 2015]]</f>
        <v>173.0773610257111</v>
      </c>
      <c r="J165" s="567">
        <v>0</v>
      </c>
      <c r="K165" s="568">
        <f>674/E165</f>
        <v>170.5469902504814</v>
      </c>
      <c r="L165" s="568"/>
      <c r="M165" s="569">
        <v>0</v>
      </c>
      <c r="N165" s="1270">
        <f>Tabel668917263329[[#This Row],[Sew. 2015]]+Tabel668917263329[[#This Row],[WW 2015]]+Tabel668917263329[[#This Row],[Other ch. 2015]]</f>
        <v>170.5469902504814</v>
      </c>
      <c r="O165" s="1271">
        <v>0</v>
      </c>
      <c r="P165" s="571">
        <f>Tabel668917263329[[#This Row],[Total. ch. DW 2015]]+Tabel668917263329[[#This Row],[Sew. 2015]]+Tabel668917263329[[#This Row],[WW 2015]]+Tabel668917263329[[#This Row],[Other ch. 2015]]+Tabel668917263329[[#This Row],[VAT 2015]]</f>
        <v>343.6243512761925</v>
      </c>
      <c r="Q165" s="397"/>
      <c r="R165" s="1886"/>
      <c r="S165" s="1888"/>
      <c r="T165" s="1890"/>
      <c r="U165" s="1892"/>
      <c r="V165" s="1894"/>
      <c r="W165" s="1911"/>
      <c r="X165" s="1913"/>
      <c r="Y165" s="1915"/>
      <c r="Z165" s="1832"/>
      <c r="AA165" s="397"/>
      <c r="AB165" s="591"/>
      <c r="AC165" s="591" t="s">
        <v>429</v>
      </c>
      <c r="AD165" s="398"/>
      <c r="AE165" s="398"/>
      <c r="AF165" s="398"/>
      <c r="AG165" s="398"/>
      <c r="AH165" s="398"/>
      <c r="AI165" s="397"/>
    </row>
    <row r="166" spans="1:35" ht="16.5" hidden="1" thickBot="1" x14ac:dyDescent="0.3">
      <c r="A166" s="2295"/>
      <c r="B166" s="1213"/>
      <c r="C166" s="543" t="s">
        <v>132</v>
      </c>
      <c r="D166" s="1761"/>
      <c r="E166" s="661">
        <f>'[1]exchange rates'!$M$47</f>
        <v>3.9519899999999999</v>
      </c>
      <c r="F166" s="549">
        <v>0</v>
      </c>
      <c r="G166" s="550">
        <f>630/E166</f>
        <v>159.41335883947076</v>
      </c>
      <c r="H166" s="551">
        <f>((2.31/E166)*12)*2</f>
        <v>14.028375577873426</v>
      </c>
      <c r="I166" s="566">
        <f>Tabel668917263329[[#This Row],[Fix.ch. 2015]]+Tabel668917263329[[#This Row],[Var. ch. 2015]]+Tabel668917263329[[#This Row],[Oth. ch. DW 2015]]</f>
        <v>173.44173441734418</v>
      </c>
      <c r="J166" s="567">
        <v>0</v>
      </c>
      <c r="K166" s="568">
        <f>1168/E166</f>
        <v>295.54730654682834</v>
      </c>
      <c r="L166" s="568"/>
      <c r="M166" s="569">
        <f>((7.54/E166)*12)*2</f>
        <v>45.789589548556549</v>
      </c>
      <c r="N166" s="1270">
        <f>Tabel668917263329[[#This Row],[Sew. 2015]]+Tabel668917263329[[#This Row],[WW 2015]]+Tabel668917263329[[#This Row],[Other ch. 2015]]</f>
        <v>341.33689609538487</v>
      </c>
      <c r="O166" s="1271">
        <v>0</v>
      </c>
      <c r="P166" s="571">
        <f>Tabel668917263329[[#This Row],[Total. ch. DW 2015]]+Tabel668917263329[[#This Row],[Sew. 2015]]+Tabel668917263329[[#This Row],[WW 2015]]+Tabel668917263329[[#This Row],[Other ch. 2015]]+Tabel668917263329[[#This Row],[VAT 2015]]</f>
        <v>514.77863051272914</v>
      </c>
      <c r="Q166" s="397"/>
      <c r="R166" s="1764"/>
      <c r="S166" s="1767"/>
      <c r="T166" s="1770"/>
      <c r="U166" s="1776"/>
      <c r="V166" s="1779"/>
      <c r="W166" s="1811"/>
      <c r="X166" s="1813"/>
      <c r="Y166" s="1815"/>
      <c r="Z166" s="1794"/>
      <c r="AA166" s="397"/>
      <c r="AB166" s="591" t="s">
        <v>429</v>
      </c>
      <c r="AC166" s="591" t="s">
        <v>429</v>
      </c>
      <c r="AD166" s="398"/>
      <c r="AE166" s="398"/>
      <c r="AF166" s="398"/>
      <c r="AG166" s="398"/>
      <c r="AH166" s="398"/>
      <c r="AI166" s="397"/>
    </row>
    <row r="167" spans="1:35" ht="15.75" hidden="1" x14ac:dyDescent="0.25">
      <c r="A167" s="1878" t="s">
        <v>23</v>
      </c>
      <c r="B167" s="1213"/>
      <c r="C167" s="693" t="s">
        <v>133</v>
      </c>
      <c r="D167" s="1759">
        <v>27800</v>
      </c>
      <c r="E167" s="616">
        <f>'[1]exchange rates'!$M$48</f>
        <v>0.92093999999999998</v>
      </c>
      <c r="F167" s="549">
        <f>51.48/E167</f>
        <v>55.899407127500162</v>
      </c>
      <c r="G167" s="550">
        <f>123.61/E167</f>
        <v>134.22155623601972</v>
      </c>
      <c r="H167" s="551">
        <f>22.24/E167</f>
        <v>24.14923882120442</v>
      </c>
      <c r="I167" s="566">
        <f>Tabel668917263329[[#This Row],[Fix.ch. 2015]]+Tabel668917263329[[#This Row],[Var. ch. 2015]]+Tabel668917263329[[#This Row],[Oth. ch. DW 2015]]</f>
        <v>214.2702021847243</v>
      </c>
      <c r="J167" s="567">
        <v>0</v>
      </c>
      <c r="K167" s="568">
        <f>59.48/E167</f>
        <v>64.586183681890247</v>
      </c>
      <c r="L167" s="568"/>
      <c r="M167" s="569">
        <f>5.92/E167</f>
        <v>6.428214650248659</v>
      </c>
      <c r="N167" s="1270">
        <f>Tabel668917263329[[#This Row],[Sew. 2015]]+Tabel668917263329[[#This Row],[WW 2015]]+Tabel668917263329[[#This Row],[Other ch. 2015]]</f>
        <v>71.01439833213891</v>
      </c>
      <c r="O167" s="1271">
        <f>10.86/E167</f>
        <v>11.792299172584533</v>
      </c>
      <c r="P167" s="571">
        <f>Tabel668917263329[[#This Row],[Total. ch. DW 2015]]+Tabel668917263329[[#This Row],[Sew. 2015]]+Tabel668917263329[[#This Row],[WW 2015]]+Tabel668917263329[[#This Row],[Other ch. 2015]]+Tabel668917263329[[#This Row],[VAT 2015]]</f>
        <v>297.07689968944777</v>
      </c>
      <c r="Q167" s="397"/>
      <c r="R167" s="1762">
        <f t="shared" ref="R167:W167" si="53">SUM(F167:F173)/7</f>
        <v>48.760738251910318</v>
      </c>
      <c r="S167" s="1765">
        <f t="shared" si="53"/>
        <v>177.8384817996519</v>
      </c>
      <c r="T167" s="1768">
        <f t="shared" si="53"/>
        <v>3.4498912601720599</v>
      </c>
      <c r="U167" s="1774">
        <f t="shared" si="53"/>
        <v>230.04911131173429</v>
      </c>
      <c r="V167" s="1777">
        <f t="shared" si="53"/>
        <v>0</v>
      </c>
      <c r="W167" s="1810">
        <f t="shared" si="53"/>
        <v>158.18309863524536</v>
      </c>
      <c r="X167" s="1812">
        <f>SUM(M167:M173)/7</f>
        <v>9.6392195551749911</v>
      </c>
      <c r="Y167" s="1814">
        <f t="shared" ref="Y167:Z167" si="54">SUM(O167:O173)/7</f>
        <v>19.225697966984047</v>
      </c>
      <c r="Z167" s="1793">
        <f t="shared" si="54"/>
        <v>417.09712746913868</v>
      </c>
      <c r="AA167" s="397"/>
      <c r="AB167" s="398"/>
      <c r="AC167" s="398"/>
      <c r="AD167" s="398"/>
      <c r="AE167" s="591" t="s">
        <v>429</v>
      </c>
      <c r="AF167" s="591" t="s">
        <v>429</v>
      </c>
      <c r="AG167" s="398"/>
      <c r="AH167" s="398"/>
      <c r="AI167" s="397"/>
    </row>
    <row r="168" spans="1:35" ht="15.75" hidden="1" x14ac:dyDescent="0.25">
      <c r="A168" s="1757"/>
      <c r="B168" s="1213"/>
      <c r="C168" s="1293" t="s">
        <v>134</v>
      </c>
      <c r="D168" s="1880"/>
      <c r="E168" s="616">
        <f>'[1]exchange rates'!$M$48</f>
        <v>0.92093999999999998</v>
      </c>
      <c r="F168" s="549">
        <f>48.84/E168</f>
        <v>53.032770864551445</v>
      </c>
      <c r="G168" s="550">
        <f>183.47/E168</f>
        <v>199.22036180424348</v>
      </c>
      <c r="H168" s="551">
        <v>0</v>
      </c>
      <c r="I168" s="566">
        <f>Tabel668917263329[[#This Row],[Fix.ch. 2015]]+Tabel668917263329[[#This Row],[Var. ch. 2015]]+Tabel668917263329[[#This Row],[Oth. ch. DW 2015]]</f>
        <v>252.25313266879493</v>
      </c>
      <c r="J168" s="567">
        <v>0</v>
      </c>
      <c r="K168" s="568">
        <f>207.12/E168</f>
        <v>224.90064499315918</v>
      </c>
      <c r="L168" s="568"/>
      <c r="M168" s="569">
        <f>20.5/E168</f>
        <v>22.25986492062458</v>
      </c>
      <c r="N168" s="1270">
        <f>Tabel668917263329[[#This Row],[Sew. 2015]]+Tabel668917263329[[#This Row],[WW 2015]]+Tabel668917263329[[#This Row],[Other ch. 2015]]</f>
        <v>247.16050991378376</v>
      </c>
      <c r="O168" s="1271">
        <f>15.17/E168</f>
        <v>16.472300041262187</v>
      </c>
      <c r="P168" s="571">
        <f>Tabel668917263329[[#This Row],[Total. ch. DW 2015]]+Tabel668917263329[[#This Row],[Sew. 2015]]+Tabel668917263329[[#This Row],[WW 2015]]+Tabel668917263329[[#This Row],[Other ch. 2015]]+Tabel668917263329[[#This Row],[VAT 2015]]</f>
        <v>515.88594262384083</v>
      </c>
      <c r="Q168" s="397"/>
      <c r="R168" s="1886"/>
      <c r="S168" s="1888"/>
      <c r="T168" s="1890"/>
      <c r="U168" s="1892"/>
      <c r="V168" s="1894"/>
      <c r="W168" s="1911"/>
      <c r="X168" s="1913"/>
      <c r="Y168" s="1915"/>
      <c r="Z168" s="1832"/>
      <c r="AA168" s="397"/>
      <c r="AB168" s="398"/>
      <c r="AC168" s="398"/>
      <c r="AD168" s="398"/>
      <c r="AE168" s="591" t="s">
        <v>429</v>
      </c>
      <c r="AF168" s="591" t="s">
        <v>429</v>
      </c>
      <c r="AG168" s="398"/>
      <c r="AH168" s="398"/>
      <c r="AI168" s="397"/>
    </row>
    <row r="169" spans="1:35" ht="15.75" hidden="1" x14ac:dyDescent="0.25">
      <c r="A169" s="1757"/>
      <c r="B169" s="1213"/>
      <c r="C169" s="1293" t="s">
        <v>135</v>
      </c>
      <c r="D169" s="1880"/>
      <c r="E169" s="616">
        <f>'[1]exchange rates'!$M$48</f>
        <v>0.92093999999999998</v>
      </c>
      <c r="F169" s="549">
        <f>41.11/E169</f>
        <v>44.639173018872022</v>
      </c>
      <c r="G169" s="550">
        <f>190.24/E169</f>
        <v>206.57154646339612</v>
      </c>
      <c r="H169" s="551">
        <v>0</v>
      </c>
      <c r="I169" s="566">
        <f>Tabel668917263329[[#This Row],[Fix.ch. 2015]]+Tabel668917263329[[#This Row],[Var. ch. 2015]]+Tabel668917263329[[#This Row],[Oth. ch. DW 2015]]</f>
        <v>251.21071948226813</v>
      </c>
      <c r="J169" s="567">
        <v>0</v>
      </c>
      <c r="K169" s="568">
        <f>90.54/E169</f>
        <v>98.312593654309737</v>
      </c>
      <c r="L169" s="568"/>
      <c r="M169" s="569">
        <f>6.14/E169</f>
        <v>6.667101005494386</v>
      </c>
      <c r="N169" s="1270">
        <f>Tabel668917263329[[#This Row],[Sew. 2015]]+Tabel668917263329[[#This Row],[WW 2015]]+Tabel668917263329[[#This Row],[Other ch. 2015]]</f>
        <v>104.97969465980412</v>
      </c>
      <c r="O169" s="1271">
        <f>19.68/E169</f>
        <v>21.369470323799597</v>
      </c>
      <c r="P169" s="571">
        <f>Tabel668917263329[[#This Row],[Total. ch. DW 2015]]+Tabel668917263329[[#This Row],[Sew. 2015]]+Tabel668917263329[[#This Row],[WW 2015]]+Tabel668917263329[[#This Row],[Other ch. 2015]]+Tabel668917263329[[#This Row],[VAT 2015]]</f>
        <v>377.55988446587185</v>
      </c>
      <c r="Q169" s="397"/>
      <c r="R169" s="1886"/>
      <c r="S169" s="1888"/>
      <c r="T169" s="1890"/>
      <c r="U169" s="1892"/>
      <c r="V169" s="1894"/>
      <c r="W169" s="1911"/>
      <c r="X169" s="1913"/>
      <c r="Y169" s="1915"/>
      <c r="Z169" s="1832"/>
      <c r="AA169" s="397"/>
      <c r="AB169" s="398"/>
      <c r="AC169" s="398"/>
      <c r="AD169" s="398"/>
      <c r="AE169" s="591" t="s">
        <v>429</v>
      </c>
      <c r="AF169" s="591" t="s">
        <v>429</v>
      </c>
      <c r="AG169" s="398"/>
      <c r="AH169" s="398"/>
      <c r="AI169" s="397"/>
    </row>
    <row r="170" spans="1:35" ht="15.75" hidden="1" x14ac:dyDescent="0.25">
      <c r="A170" s="1757"/>
      <c r="B170" s="1213"/>
      <c r="C170" s="1293" t="s">
        <v>136</v>
      </c>
      <c r="D170" s="1880"/>
      <c r="E170" s="616">
        <f>'[1]exchange rates'!$M$48</f>
        <v>0.92093999999999998</v>
      </c>
      <c r="F170" s="549">
        <f>37.14/E170</f>
        <v>40.328360153755945</v>
      </c>
      <c r="G170" s="550">
        <f>208.54/E170</f>
        <v>226.44254783156339</v>
      </c>
      <c r="H170" s="551">
        <v>0</v>
      </c>
      <c r="I170" s="566">
        <f>Tabel668917263329[[#This Row],[Fix.ch. 2015]]+Tabel668917263329[[#This Row],[Var. ch. 2015]]+Tabel668917263329[[#This Row],[Oth. ch. DW 2015]]</f>
        <v>266.77090798531935</v>
      </c>
      <c r="J170" s="567">
        <v>0</v>
      </c>
      <c r="K170" s="568">
        <f>210.48/E170</f>
        <v>228.54909114600298</v>
      </c>
      <c r="L170" s="568"/>
      <c r="M170" s="569">
        <f>9.46/E170</f>
        <v>10.272113275566271</v>
      </c>
      <c r="N170" s="1270">
        <f>Tabel668917263329[[#This Row],[Sew. 2015]]+Tabel668917263329[[#This Row],[WW 2015]]+Tabel668917263329[[#This Row],[Other ch. 2015]]</f>
        <v>238.82120442156926</v>
      </c>
      <c r="O170" s="1271">
        <f>15.31/E170</f>
        <v>16.624318630964016</v>
      </c>
      <c r="P170" s="571">
        <f>Tabel668917263329[[#This Row],[Total. ch. DW 2015]]+Tabel668917263329[[#This Row],[Sew. 2015]]+Tabel668917263329[[#This Row],[WW 2015]]+Tabel668917263329[[#This Row],[Other ch. 2015]]+Tabel668917263329[[#This Row],[VAT 2015]]</f>
        <v>522.21643103785266</v>
      </c>
      <c r="Q170" s="397"/>
      <c r="R170" s="1886"/>
      <c r="S170" s="1888"/>
      <c r="T170" s="1890"/>
      <c r="U170" s="1892"/>
      <c r="V170" s="1894"/>
      <c r="W170" s="1911"/>
      <c r="X170" s="1913"/>
      <c r="Y170" s="1915"/>
      <c r="Z170" s="1832"/>
      <c r="AA170" s="397"/>
      <c r="AB170" s="398"/>
      <c r="AC170" s="398"/>
      <c r="AD170" s="398"/>
      <c r="AE170" s="591" t="s">
        <v>429</v>
      </c>
      <c r="AF170" s="591" t="s">
        <v>429</v>
      </c>
      <c r="AG170" s="398"/>
      <c r="AH170" s="398"/>
      <c r="AI170" s="397"/>
    </row>
    <row r="171" spans="1:35" ht="15.75" hidden="1" x14ac:dyDescent="0.25">
      <c r="A171" s="1757"/>
      <c r="B171" s="1213"/>
      <c r="C171" s="1293" t="s">
        <v>137</v>
      </c>
      <c r="D171" s="1880"/>
      <c r="E171" s="616">
        <f>'[1]exchange rates'!$M$48</f>
        <v>0.92093999999999998</v>
      </c>
      <c r="F171" s="549">
        <f>56.28/E171</f>
        <v>61.111473060134216</v>
      </c>
      <c r="G171" s="550">
        <f>153.8/E171</f>
        <v>167.00327925814929</v>
      </c>
      <c r="H171" s="551">
        <v>0</v>
      </c>
      <c r="I171" s="566">
        <f>Tabel668917263329[[#This Row],[Fix.ch. 2015]]+Tabel668917263329[[#This Row],[Var. ch. 2015]]+Tabel668917263329[[#This Row],[Oth. ch. DW 2015]]</f>
        <v>228.11475231828351</v>
      </c>
      <c r="J171" s="567">
        <v>0</v>
      </c>
      <c r="K171" s="568">
        <f>138.32/E171</f>
        <v>150.19436662540448</v>
      </c>
      <c r="L171" s="568"/>
      <c r="M171" s="569">
        <f>6.12/E171</f>
        <v>6.645384064108411</v>
      </c>
      <c r="N171" s="1270">
        <f>Tabel668917263329[[#This Row],[Sew. 2015]]+Tabel668917263329[[#This Row],[WW 2015]]+Tabel668917263329[[#This Row],[Other ch. 2015]]</f>
        <v>156.8397506895129</v>
      </c>
      <c r="O171" s="1271">
        <f>21.27/E171</f>
        <v>23.095967163984625</v>
      </c>
      <c r="P171" s="571">
        <f>Tabel668917263329[[#This Row],[Total. ch. DW 2015]]+Tabel668917263329[[#This Row],[Sew. 2015]]+Tabel668917263329[[#This Row],[WW 2015]]+Tabel668917263329[[#This Row],[Other ch. 2015]]+Tabel668917263329[[#This Row],[VAT 2015]]</f>
        <v>408.05047017178094</v>
      </c>
      <c r="Q171" s="397"/>
      <c r="R171" s="1886"/>
      <c r="S171" s="1888"/>
      <c r="T171" s="1890"/>
      <c r="U171" s="1892"/>
      <c r="V171" s="1894"/>
      <c r="W171" s="1911"/>
      <c r="X171" s="1913"/>
      <c r="Y171" s="1915"/>
      <c r="Z171" s="1832"/>
      <c r="AA171" s="397"/>
      <c r="AB171" s="398"/>
      <c r="AC171" s="398"/>
      <c r="AD171" s="398"/>
      <c r="AE171" s="591" t="s">
        <v>429</v>
      </c>
      <c r="AF171" s="591" t="s">
        <v>429</v>
      </c>
      <c r="AG171" s="398"/>
      <c r="AH171" s="398"/>
      <c r="AI171" s="397"/>
    </row>
    <row r="172" spans="1:35" ht="15.75" hidden="1" x14ac:dyDescent="0.25">
      <c r="A172" s="1757"/>
      <c r="B172" s="1213"/>
      <c r="C172" s="1293" t="s">
        <v>138</v>
      </c>
      <c r="D172" s="1880"/>
      <c r="E172" s="616">
        <f>'[1]exchange rates'!$M$48</f>
        <v>0.92093999999999998</v>
      </c>
      <c r="F172" s="549">
        <f>46.74/E172</f>
        <v>50.752492019024046</v>
      </c>
      <c r="G172" s="550">
        <f>162.36/E172</f>
        <v>176.29813017134668</v>
      </c>
      <c r="H172" s="551">
        <v>0</v>
      </c>
      <c r="I172" s="566">
        <f>Tabel668917263329[[#This Row],[Fix.ch. 2015]]+Tabel668917263329[[#This Row],[Var. ch. 2015]]+Tabel668917263329[[#This Row],[Oth. ch. DW 2015]]</f>
        <v>227.05062219037075</v>
      </c>
      <c r="J172" s="567">
        <v>0</v>
      </c>
      <c r="K172" s="568">
        <f>152.33/E172</f>
        <v>165.40708406628013</v>
      </c>
      <c r="L172" s="568"/>
      <c r="M172" s="569">
        <f>8.2/E172</f>
        <v>8.9039459682498308</v>
      </c>
      <c r="N172" s="1270">
        <f>Tabel668917263329[[#This Row],[Sew. 2015]]+Tabel668917263329[[#This Row],[WW 2015]]+Tabel668917263329[[#This Row],[Other ch. 2015]]</f>
        <v>174.31103003452998</v>
      </c>
      <c r="O172" s="1271">
        <f>22.18/E172</f>
        <v>24.084087997046495</v>
      </c>
      <c r="P172" s="571">
        <f>Tabel668917263329[[#This Row],[Total. ch. DW 2015]]+Tabel668917263329[[#This Row],[Sew. 2015]]+Tabel668917263329[[#This Row],[WW 2015]]+Tabel668917263329[[#This Row],[Other ch. 2015]]+Tabel668917263329[[#This Row],[VAT 2015]]</f>
        <v>425.44574022194723</v>
      </c>
      <c r="Q172" s="397"/>
      <c r="R172" s="1886"/>
      <c r="S172" s="1888"/>
      <c r="T172" s="1890"/>
      <c r="U172" s="1892"/>
      <c r="V172" s="1894"/>
      <c r="W172" s="1911"/>
      <c r="X172" s="1913"/>
      <c r="Y172" s="1915"/>
      <c r="Z172" s="1832"/>
      <c r="AA172" s="397"/>
      <c r="AB172" s="398"/>
      <c r="AC172" s="398"/>
      <c r="AD172" s="398"/>
      <c r="AE172" s="591" t="s">
        <v>429</v>
      </c>
      <c r="AF172" s="591" t="s">
        <v>429</v>
      </c>
      <c r="AG172" s="398"/>
      <c r="AH172" s="398"/>
      <c r="AI172" s="397"/>
    </row>
    <row r="173" spans="1:35" ht="16.5" hidden="1" thickBot="1" x14ac:dyDescent="0.3">
      <c r="A173" s="1758"/>
      <c r="B173" s="1213"/>
      <c r="C173" s="652" t="s">
        <v>139</v>
      </c>
      <c r="D173" s="1761"/>
      <c r="E173" s="616">
        <f>'[1]exchange rates'!$M$48</f>
        <v>0.92093999999999998</v>
      </c>
      <c r="F173" s="549">
        <f>32.75/E173</f>
        <v>35.561491519534393</v>
      </c>
      <c r="G173" s="550">
        <f>124.43/E173</f>
        <v>135.11195083284471</v>
      </c>
      <c r="H173" s="551">
        <v>0</v>
      </c>
      <c r="I173" s="566">
        <f>Tabel668917263329[[#This Row],[Fix.ch. 2015]]+Tabel668917263329[[#This Row],[Var. ch. 2015]]+Tabel668917263329[[#This Row],[Oth. ch. DW 2015]]</f>
        <v>170.67344235237911</v>
      </c>
      <c r="J173" s="567">
        <v>0</v>
      </c>
      <c r="K173" s="568">
        <f>161.47/E173</f>
        <v>175.33172627967076</v>
      </c>
      <c r="L173" s="568"/>
      <c r="M173" s="569">
        <f>5.8/E173</f>
        <v>6.297913001932808</v>
      </c>
      <c r="N173" s="1270">
        <f>Tabel668917263329[[#This Row],[Sew. 2015]]+Tabel668917263329[[#This Row],[WW 2015]]+Tabel668917263329[[#This Row],[Other ch. 2015]]</f>
        <v>181.62963928160357</v>
      </c>
      <c r="O173" s="1271">
        <f>19.47/E173</f>
        <v>21.141442439246855</v>
      </c>
      <c r="P173" s="571">
        <f>Tabel668917263329[[#This Row],[Total. ch. DW 2015]]+Tabel668917263329[[#This Row],[Sew. 2015]]+Tabel668917263329[[#This Row],[WW 2015]]+Tabel668917263329[[#This Row],[Other ch. 2015]]+Tabel668917263329[[#This Row],[VAT 2015]]</f>
        <v>373.4445240732295</v>
      </c>
      <c r="Q173" s="397"/>
      <c r="R173" s="1764"/>
      <c r="S173" s="1767"/>
      <c r="T173" s="1770"/>
      <c r="U173" s="1776"/>
      <c r="V173" s="1779"/>
      <c r="W173" s="1811"/>
      <c r="X173" s="1813"/>
      <c r="Y173" s="1815"/>
      <c r="Z173" s="1794"/>
      <c r="AA173" s="397"/>
      <c r="AB173" s="398"/>
      <c r="AC173" s="398"/>
      <c r="AD173" s="398"/>
      <c r="AE173" s="591" t="s">
        <v>429</v>
      </c>
      <c r="AF173" s="591" t="s">
        <v>429</v>
      </c>
      <c r="AG173" s="398"/>
      <c r="AH173" s="398"/>
      <c r="AI173" s="397"/>
    </row>
    <row r="174" spans="1:35" ht="18.75" hidden="1" customHeight="1" x14ac:dyDescent="0.25">
      <c r="A174" s="1878" t="s">
        <v>40</v>
      </c>
      <c r="B174" s="1213"/>
      <c r="C174" s="502" t="s">
        <v>1351</v>
      </c>
      <c r="D174" s="1759">
        <v>20600</v>
      </c>
      <c r="E174" s="616">
        <f>'[1]exchange rates'!$M$49</f>
        <v>4.1749499999999999</v>
      </c>
      <c r="F174" s="319"/>
      <c r="G174" s="320"/>
      <c r="H174" s="321"/>
      <c r="I174" s="313"/>
      <c r="J174" s="322"/>
      <c r="K174" s="323"/>
      <c r="L174" s="323"/>
      <c r="M174" s="324"/>
      <c r="N174" s="1257">
        <f>Tabel668917263329[[#This Row],[Sew. 2015]]+Tabel668917263329[[#This Row],[WW 2015]]+Tabel668917263329[[#This Row],[Other ch. 2015]]</f>
        <v>0</v>
      </c>
      <c r="O174" s="1258"/>
      <c r="P174" s="318"/>
      <c r="Q174" s="397"/>
      <c r="R174" s="1762">
        <f t="shared" ref="R174:W174" si="55">SUM(F174:F202)/20</f>
        <v>0</v>
      </c>
      <c r="S174" s="2286">
        <f t="shared" si="55"/>
        <v>135.97767637935783</v>
      </c>
      <c r="T174" s="1768">
        <f t="shared" si="55"/>
        <v>0</v>
      </c>
      <c r="U174" s="1774" t="e">
        <f t="shared" si="55"/>
        <v>#REF!</v>
      </c>
      <c r="V174" s="1777">
        <f t="shared" si="55"/>
        <v>0</v>
      </c>
      <c r="W174" s="1810">
        <f t="shared" si="55"/>
        <v>86.875291919663709</v>
      </c>
      <c r="X174" s="1812">
        <f>SUM(M174:M202)/20</f>
        <v>0</v>
      </c>
      <c r="Y174" s="2284">
        <f t="shared" ref="Y174:Z174" si="56">SUM(O174:O202)/20</f>
        <v>53.484712391765171</v>
      </c>
      <c r="Z174" s="2260" t="e">
        <f t="shared" si="56"/>
        <v>#REF!</v>
      </c>
      <c r="AA174" s="397"/>
      <c r="AB174" s="591"/>
      <c r="AC174" s="591"/>
      <c r="AD174" s="591"/>
      <c r="AE174" s="591"/>
      <c r="AF174" s="591"/>
      <c r="AG174" s="591"/>
      <c r="AH174" s="614"/>
      <c r="AI174" s="397"/>
    </row>
    <row r="175" spans="1:35" ht="15.75" hidden="1" customHeight="1" x14ac:dyDescent="0.25">
      <c r="A175" s="1757"/>
      <c r="B175" s="1213"/>
      <c r="C175" s="783" t="s">
        <v>188</v>
      </c>
      <c r="D175" s="1880"/>
      <c r="E175" s="616">
        <f>'[1]exchange rates'!$M$49</f>
        <v>4.1749499999999999</v>
      </c>
      <c r="F175" s="549">
        <v>0</v>
      </c>
      <c r="G175" s="550">
        <f>640/E175</f>
        <v>153.29524904489875</v>
      </c>
      <c r="H175" s="551">
        <v>0</v>
      </c>
      <c r="I175" s="566" t="e">
        <f>[1]!Tabel6689[[#This Row],[Fix.ch. 2015]]+[1]!Tabel6689[[#This Row],[Var. ch. 2015]]+[1]!Tabel6689[[#This Row],[Oth. ch. DW 2015]]</f>
        <v>#REF!</v>
      </c>
      <c r="J175" s="567">
        <v>0</v>
      </c>
      <c r="K175" s="568">
        <f>466/E175</f>
        <v>111.6181032108169</v>
      </c>
      <c r="L175" s="568"/>
      <c r="M175" s="569">
        <v>0</v>
      </c>
      <c r="N175" s="1270">
        <f>Tabel668917263329[[#This Row],[Sew. 2015]]+Tabel668917263329[[#This Row],[WW 2015]]+Tabel668917263329[[#This Row],[Other ch. 2015]]</f>
        <v>111.6181032108169</v>
      </c>
      <c r="O175" s="1271">
        <f>265.44/E175</f>
        <v>63.579204541371752</v>
      </c>
      <c r="P175" s="571" t="e">
        <f>[1]!Tabel6689[[#This Row],[Total. ch. DW 2015]]+[1]!Tabel6689[[#This Row],[Sew. 2015]]+[1]!Tabel6689[[#This Row],[WW 2015]]+[1]!Tabel6689[[#This Row],[Other ch. 2015]]+[1]!Tabel6689[[#This Row],[VAT 2015]]</f>
        <v>#REF!</v>
      </c>
      <c r="Q175" s="397"/>
      <c r="R175" s="1886"/>
      <c r="S175" s="2130"/>
      <c r="T175" s="1890"/>
      <c r="U175" s="1892"/>
      <c r="V175" s="1894"/>
      <c r="W175" s="1911"/>
      <c r="X175" s="1913"/>
      <c r="Y175" s="2138"/>
      <c r="Z175" s="2053"/>
      <c r="AA175" s="397"/>
      <c r="AB175" s="591" t="s">
        <v>429</v>
      </c>
      <c r="AC175" s="591" t="s">
        <v>429</v>
      </c>
      <c r="AD175" s="614"/>
      <c r="AE175" s="614"/>
      <c r="AF175" s="614"/>
      <c r="AG175" s="591" t="s">
        <v>429</v>
      </c>
      <c r="AH175" s="614"/>
      <c r="AI175" s="397"/>
    </row>
    <row r="176" spans="1:35" ht="15.75" hidden="1" customHeight="1" x14ac:dyDescent="0.25">
      <c r="A176" s="1757"/>
      <c r="B176" s="1213"/>
      <c r="C176" s="502" t="s">
        <v>189</v>
      </c>
      <c r="D176" s="1880"/>
      <c r="E176" s="616">
        <f>'[1]exchange rates'!$M$49</f>
        <v>4.1749499999999999</v>
      </c>
      <c r="F176" s="319"/>
      <c r="G176" s="320"/>
      <c r="H176" s="321"/>
      <c r="I176" s="313"/>
      <c r="J176" s="322"/>
      <c r="K176" s="323"/>
      <c r="L176" s="323"/>
      <c r="M176" s="324"/>
      <c r="N176" s="1257">
        <f>Tabel668917263329[[#This Row],[Sew. 2015]]+Tabel668917263329[[#This Row],[WW 2015]]+Tabel668917263329[[#This Row],[Other ch. 2015]]</f>
        <v>0</v>
      </c>
      <c r="O176" s="1258"/>
      <c r="P176" s="318"/>
      <c r="Q176" s="397"/>
      <c r="R176" s="1886"/>
      <c r="S176" s="2130"/>
      <c r="T176" s="1890"/>
      <c r="U176" s="1892"/>
      <c r="V176" s="1894"/>
      <c r="W176" s="1911"/>
      <c r="X176" s="1913"/>
      <c r="Y176" s="2138"/>
      <c r="Z176" s="2053"/>
      <c r="AA176" s="397"/>
      <c r="AB176" s="591"/>
      <c r="AC176" s="591"/>
      <c r="AD176" s="614"/>
      <c r="AE176" s="614"/>
      <c r="AF176" s="614"/>
      <c r="AG176" s="591"/>
      <c r="AH176" s="614"/>
      <c r="AI176" s="397"/>
    </row>
    <row r="177" spans="1:35" ht="15.75" hidden="1" customHeight="1" x14ac:dyDescent="0.25">
      <c r="A177" s="1757"/>
      <c r="B177" s="1213"/>
      <c r="C177" s="783" t="s">
        <v>190</v>
      </c>
      <c r="D177" s="1880"/>
      <c r="E177" s="616">
        <f>'[1]exchange rates'!$M$49</f>
        <v>4.1749499999999999</v>
      </c>
      <c r="F177" s="549">
        <v>0</v>
      </c>
      <c r="G177" s="550">
        <f>704/E177</f>
        <v>168.62477394938861</v>
      </c>
      <c r="H177" s="551">
        <v>0</v>
      </c>
      <c r="I177" s="566" t="e">
        <f>[1]!Tabel6689[[#This Row],[Fix.ch. 2015]]+[1]!Tabel6689[[#This Row],[Var. ch. 2015]]+[1]!Tabel6689[[#This Row],[Oth. ch. DW 2015]]</f>
        <v>#REF!</v>
      </c>
      <c r="J177" s="567">
        <v>0</v>
      </c>
      <c r="K177" s="568">
        <f>486/E177</f>
        <v>116.40857974346999</v>
      </c>
      <c r="L177" s="568"/>
      <c r="M177" s="569">
        <v>0</v>
      </c>
      <c r="N177" s="1270">
        <f>Tabel668917263329[[#This Row],[Sew. 2015]]+Tabel668917263329[[#This Row],[WW 2015]]+Tabel668917263329[[#This Row],[Other ch. 2015]]</f>
        <v>116.40857974346999</v>
      </c>
      <c r="O177" s="1271">
        <f>285.6/E177</f>
        <v>68.408004886286065</v>
      </c>
      <c r="P177" s="571" t="e">
        <f>[1]!Tabel6689[[#This Row],[Total. ch. DW 2015]]+[1]!Tabel6689[[#This Row],[Sew. 2015]]+[1]!Tabel6689[[#This Row],[WW 2015]]+[1]!Tabel6689[[#This Row],[Other ch. 2015]]+[1]!Tabel6689[[#This Row],[VAT 2015]]</f>
        <v>#REF!</v>
      </c>
      <c r="Q177" s="397"/>
      <c r="R177" s="1886"/>
      <c r="S177" s="2130"/>
      <c r="T177" s="1890"/>
      <c r="U177" s="1892"/>
      <c r="V177" s="1894"/>
      <c r="W177" s="1911"/>
      <c r="X177" s="1913"/>
      <c r="Y177" s="2138"/>
      <c r="Z177" s="2053"/>
      <c r="AA177" s="397"/>
      <c r="AB177" s="591" t="s">
        <v>429</v>
      </c>
      <c r="AC177" s="591" t="s">
        <v>429</v>
      </c>
      <c r="AD177" s="614"/>
      <c r="AE177" s="614"/>
      <c r="AF177" s="614"/>
      <c r="AG177" s="591" t="s">
        <v>429</v>
      </c>
      <c r="AH177" s="614"/>
      <c r="AI177" s="397"/>
    </row>
    <row r="178" spans="1:35" ht="15.75" hidden="1" customHeight="1" x14ac:dyDescent="0.25">
      <c r="A178" s="1757"/>
      <c r="B178" s="1213"/>
      <c r="C178" s="1289" t="s">
        <v>191</v>
      </c>
      <c r="D178" s="1880"/>
      <c r="E178" s="616">
        <f>'[1]exchange rates'!$M$49</f>
        <v>4.1749499999999999</v>
      </c>
      <c r="F178" s="319"/>
      <c r="G178" s="320"/>
      <c r="H178" s="321"/>
      <c r="I178" s="313"/>
      <c r="J178" s="322"/>
      <c r="K178" s="323"/>
      <c r="L178" s="323"/>
      <c r="M178" s="324"/>
      <c r="N178" s="1257">
        <f>Tabel668917263329[[#This Row],[Sew. 2015]]+Tabel668917263329[[#This Row],[WW 2015]]+Tabel668917263329[[#This Row],[Other ch. 2015]]</f>
        <v>0</v>
      </c>
      <c r="O178" s="1258"/>
      <c r="P178" s="318"/>
      <c r="Q178" s="397"/>
      <c r="R178" s="1886"/>
      <c r="S178" s="2130"/>
      <c r="T178" s="1890"/>
      <c r="U178" s="1892"/>
      <c r="V178" s="1894"/>
      <c r="W178" s="1911"/>
      <c r="X178" s="1913"/>
      <c r="Y178" s="2138"/>
      <c r="Z178" s="2053"/>
      <c r="AA178" s="397"/>
      <c r="AB178" s="591"/>
      <c r="AC178" s="591"/>
      <c r="AD178" s="614"/>
      <c r="AE178" s="614"/>
      <c r="AF178" s="614"/>
      <c r="AG178" s="591"/>
      <c r="AH178" s="614"/>
      <c r="AI178" s="397"/>
    </row>
    <row r="179" spans="1:35" ht="15.75" hidden="1" customHeight="1" x14ac:dyDescent="0.25">
      <c r="A179" s="1757"/>
      <c r="B179" s="1213"/>
      <c r="C179" s="1289" t="s">
        <v>218</v>
      </c>
      <c r="D179" s="1880"/>
      <c r="E179" s="616">
        <f>'[1]exchange rates'!$M$49</f>
        <v>4.1749499999999999</v>
      </c>
      <c r="F179" s="319"/>
      <c r="G179" s="320"/>
      <c r="H179" s="321"/>
      <c r="I179" s="313"/>
      <c r="J179" s="322"/>
      <c r="K179" s="323"/>
      <c r="L179" s="323"/>
      <c r="M179" s="324"/>
      <c r="N179" s="1257">
        <f>Tabel668917263329[[#This Row],[Sew. 2015]]+Tabel668917263329[[#This Row],[WW 2015]]+Tabel668917263329[[#This Row],[Other ch. 2015]]</f>
        <v>0</v>
      </c>
      <c r="O179" s="1258"/>
      <c r="P179" s="318"/>
      <c r="Q179" s="397"/>
      <c r="R179" s="1886"/>
      <c r="S179" s="2130"/>
      <c r="T179" s="1890"/>
      <c r="U179" s="1892"/>
      <c r="V179" s="1894"/>
      <c r="W179" s="1911"/>
      <c r="X179" s="1913"/>
      <c r="Y179" s="2138"/>
      <c r="Z179" s="2053"/>
      <c r="AA179" s="397"/>
      <c r="AB179" s="591"/>
      <c r="AC179" s="591"/>
      <c r="AD179" s="614"/>
      <c r="AE179" s="614"/>
      <c r="AF179" s="614"/>
      <c r="AG179" s="591"/>
      <c r="AH179" s="614"/>
      <c r="AI179" s="397"/>
    </row>
    <row r="180" spans="1:35" ht="16.5" hidden="1" customHeight="1" x14ac:dyDescent="0.25">
      <c r="A180" s="1757"/>
      <c r="B180" s="1213"/>
      <c r="C180" s="633" t="s">
        <v>219</v>
      </c>
      <c r="D180" s="1880"/>
      <c r="E180" s="616">
        <f>'[1]exchange rates'!$M$49</f>
        <v>4.1749499999999999</v>
      </c>
      <c r="F180" s="549">
        <v>0</v>
      </c>
      <c r="G180" s="550">
        <f>556/E180</f>
        <v>133.17524760775578</v>
      </c>
      <c r="H180" s="551">
        <v>0</v>
      </c>
      <c r="I180" s="566" t="e">
        <f>[1]!Tabel6689[[#This Row],[Fix.ch. 2015]]+[1]!Tabel6689[[#This Row],[Var. ch. 2015]]+[1]!Tabel6689[[#This Row],[Oth. ch. DW 2015]]</f>
        <v>#REF!</v>
      </c>
      <c r="J180" s="567">
        <v>0</v>
      </c>
      <c r="K180" s="568">
        <f>368/E180</f>
        <v>88.144768200816785</v>
      </c>
      <c r="L180" s="568"/>
      <c r="M180" s="569">
        <v>0</v>
      </c>
      <c r="N180" s="1270">
        <f>Tabel668917263329[[#This Row],[Sew. 2015]]+Tabel668917263329[[#This Row],[WW 2015]]+Tabel668917263329[[#This Row],[Other ch. 2015]]</f>
        <v>88.144768200816785</v>
      </c>
      <c r="O180" s="1271">
        <f>221.76/E180</f>
        <v>53.116803794057411</v>
      </c>
      <c r="P180" s="571" t="e">
        <f>[1]!Tabel6689[[#This Row],[Total. ch. DW 2015]]+[1]!Tabel6689[[#This Row],[Sew. 2015]]+[1]!Tabel6689[[#This Row],[WW 2015]]+[1]!Tabel6689[[#This Row],[Other ch. 2015]]+[1]!Tabel6689[[#This Row],[VAT 2015]]</f>
        <v>#REF!</v>
      </c>
      <c r="Q180" s="397"/>
      <c r="R180" s="1886"/>
      <c r="S180" s="2130"/>
      <c r="T180" s="1890"/>
      <c r="U180" s="1892"/>
      <c r="V180" s="1894"/>
      <c r="W180" s="1911"/>
      <c r="X180" s="1913"/>
      <c r="Y180" s="2138"/>
      <c r="Z180" s="2053"/>
      <c r="AA180" s="397"/>
      <c r="AB180" s="591" t="s">
        <v>429</v>
      </c>
      <c r="AC180" s="591" t="s">
        <v>429</v>
      </c>
      <c r="AD180" s="614"/>
      <c r="AE180" s="614"/>
      <c r="AF180" s="614"/>
      <c r="AG180" s="591" t="s">
        <v>429</v>
      </c>
      <c r="AH180" s="614"/>
      <c r="AI180" s="397"/>
    </row>
    <row r="181" spans="1:35" ht="15.75" hidden="1" customHeight="1" x14ac:dyDescent="0.25">
      <c r="A181" s="1757"/>
      <c r="B181" s="1213"/>
      <c r="C181" s="633" t="s">
        <v>513</v>
      </c>
      <c r="D181" s="1880"/>
      <c r="E181" s="616">
        <f>'[1]exchange rates'!$M$49</f>
        <v>4.1749499999999999</v>
      </c>
      <c r="F181" s="549">
        <v>0</v>
      </c>
      <c r="G181" s="550">
        <f>738/E181</f>
        <v>176.76858405489887</v>
      </c>
      <c r="H181" s="551">
        <v>0</v>
      </c>
      <c r="I181" s="566" t="e">
        <f>[1]!Tabel6689[[#This Row],[Fix.ch. 2015]]+[1]!Tabel6689[[#This Row],[Var. ch. 2015]]+[1]!Tabel6689[[#This Row],[Oth. ch. DW 2015]]</f>
        <v>#REF!</v>
      </c>
      <c r="J181" s="567">
        <v>0</v>
      </c>
      <c r="K181" s="568">
        <f>664/E181</f>
        <v>159.04382088408244</v>
      </c>
      <c r="L181" s="568"/>
      <c r="M181" s="569">
        <v>0</v>
      </c>
      <c r="N181" s="1270">
        <f>Tabel668917263329[[#This Row],[Sew. 2015]]+Tabel668917263329[[#This Row],[WW 2015]]+Tabel668917263329[[#This Row],[Other ch. 2015]]</f>
        <v>159.04382088408244</v>
      </c>
      <c r="O181" s="1271">
        <f>336.48/E181</f>
        <v>80.594977185355518</v>
      </c>
      <c r="P181" s="571" t="e">
        <f>[1]!Tabel6689[[#This Row],[Total. ch. DW 2015]]+[1]!Tabel6689[[#This Row],[Sew. 2015]]+[1]!Tabel6689[[#This Row],[WW 2015]]+[1]!Tabel6689[[#This Row],[Other ch. 2015]]+[1]!Tabel6689[[#This Row],[VAT 2015]]</f>
        <v>#REF!</v>
      </c>
      <c r="Q181" s="397"/>
      <c r="R181" s="1886"/>
      <c r="S181" s="2130"/>
      <c r="T181" s="1890"/>
      <c r="U181" s="1892"/>
      <c r="V181" s="1894"/>
      <c r="W181" s="1911"/>
      <c r="X181" s="1913"/>
      <c r="Y181" s="2138"/>
      <c r="Z181" s="2053"/>
      <c r="AA181" s="397"/>
      <c r="AB181" s="591" t="s">
        <v>429</v>
      </c>
      <c r="AC181" s="591" t="s">
        <v>429</v>
      </c>
      <c r="AD181" s="614"/>
      <c r="AE181" s="614"/>
      <c r="AF181" s="614"/>
      <c r="AG181" s="591" t="s">
        <v>429</v>
      </c>
      <c r="AH181" s="614"/>
      <c r="AI181" s="397"/>
    </row>
    <row r="182" spans="1:35" ht="15.75" hidden="1" customHeight="1" x14ac:dyDescent="0.25">
      <c r="A182" s="1757"/>
      <c r="B182" s="1213"/>
      <c r="C182" s="503" t="s">
        <v>514</v>
      </c>
      <c r="D182" s="1880"/>
      <c r="E182" s="616">
        <f>'[1]exchange rates'!$M$49</f>
        <v>4.1749499999999999</v>
      </c>
      <c r="F182" s="319"/>
      <c r="G182" s="320"/>
      <c r="H182" s="321"/>
      <c r="I182" s="313"/>
      <c r="J182" s="322"/>
      <c r="K182" s="323"/>
      <c r="L182" s="323"/>
      <c r="M182" s="324"/>
      <c r="N182" s="1257">
        <f>Tabel668917263329[[#This Row],[Sew. 2015]]+Tabel668917263329[[#This Row],[WW 2015]]+Tabel668917263329[[#This Row],[Other ch. 2015]]</f>
        <v>0</v>
      </c>
      <c r="O182" s="1258"/>
      <c r="P182" s="318"/>
      <c r="Q182" s="397"/>
      <c r="R182" s="1886"/>
      <c r="S182" s="2130"/>
      <c r="T182" s="1890"/>
      <c r="U182" s="1892"/>
      <c r="V182" s="1894"/>
      <c r="W182" s="1911"/>
      <c r="X182" s="1913"/>
      <c r="Y182" s="2138"/>
      <c r="Z182" s="2053"/>
      <c r="AA182" s="397"/>
      <c r="AB182" s="591"/>
      <c r="AC182" s="591"/>
      <c r="AD182" s="614"/>
      <c r="AE182" s="614"/>
      <c r="AF182" s="614"/>
      <c r="AG182" s="591"/>
      <c r="AH182" s="614"/>
      <c r="AI182" s="397"/>
    </row>
    <row r="183" spans="1:35" ht="15.75" hidden="1" customHeight="1" x14ac:dyDescent="0.25">
      <c r="A183" s="1757"/>
      <c r="B183" s="1213"/>
      <c r="C183" s="503" t="s">
        <v>515</v>
      </c>
      <c r="D183" s="1880"/>
      <c r="E183" s="616">
        <f>'[1]exchange rates'!$M$49</f>
        <v>4.1749499999999999</v>
      </c>
      <c r="F183" s="319"/>
      <c r="G183" s="320"/>
      <c r="H183" s="321"/>
      <c r="I183" s="313"/>
      <c r="J183" s="322"/>
      <c r="K183" s="323"/>
      <c r="L183" s="323"/>
      <c r="M183" s="324"/>
      <c r="N183" s="1257">
        <f>Tabel668917263329[[#This Row],[Sew. 2015]]+Tabel668917263329[[#This Row],[WW 2015]]+Tabel668917263329[[#This Row],[Other ch. 2015]]</f>
        <v>0</v>
      </c>
      <c r="O183" s="1258"/>
      <c r="P183" s="318"/>
      <c r="Q183" s="397"/>
      <c r="R183" s="1886"/>
      <c r="S183" s="2130"/>
      <c r="T183" s="1890"/>
      <c r="U183" s="1892"/>
      <c r="V183" s="1894"/>
      <c r="W183" s="1911"/>
      <c r="X183" s="1913"/>
      <c r="Y183" s="2138"/>
      <c r="Z183" s="2053"/>
      <c r="AA183" s="397"/>
      <c r="AB183" s="591"/>
      <c r="AC183" s="591"/>
      <c r="AD183" s="614"/>
      <c r="AE183" s="614"/>
      <c r="AF183" s="614"/>
      <c r="AG183" s="591"/>
      <c r="AH183" s="614"/>
      <c r="AI183" s="397"/>
    </row>
    <row r="184" spans="1:35" ht="15.75" hidden="1" customHeight="1" x14ac:dyDescent="0.25">
      <c r="A184" s="1757"/>
      <c r="B184" s="1213"/>
      <c r="C184" s="633" t="s">
        <v>516</v>
      </c>
      <c r="D184" s="1880"/>
      <c r="E184" s="616">
        <f>'[1]exchange rates'!$M$49</f>
        <v>4.1749499999999999</v>
      </c>
      <c r="F184" s="549">
        <v>0</v>
      </c>
      <c r="G184" s="550">
        <f>880/E184</f>
        <v>210.78096743673578</v>
      </c>
      <c r="H184" s="551">
        <v>0</v>
      </c>
      <c r="I184" s="566" t="e">
        <f>[1]!Tabel6689[[#This Row],[Fix.ch. 2015]]+[1]!Tabel6689[[#This Row],[Var. ch. 2015]]+[1]!Tabel6689[[#This Row],[Oth. ch. DW 2015]]</f>
        <v>#REF!</v>
      </c>
      <c r="J184" s="567">
        <v>0</v>
      </c>
      <c r="K184" s="568">
        <f>502/E184</f>
        <v>120.24096096959245</v>
      </c>
      <c r="L184" s="568"/>
      <c r="M184" s="569">
        <v>0</v>
      </c>
      <c r="N184" s="1270">
        <f>Tabel668917263329[[#This Row],[Sew. 2015]]+Tabel668917263329[[#This Row],[WW 2015]]+Tabel668917263329[[#This Row],[Other ch. 2015]]</f>
        <v>120.24096096959245</v>
      </c>
      <c r="O184" s="1271">
        <f>331.68/E184</f>
        <v>79.445262817518781</v>
      </c>
      <c r="P184" s="571" t="e">
        <f>[1]!Tabel6689[[#This Row],[Total. ch. DW 2015]]+[1]!Tabel6689[[#This Row],[Sew. 2015]]+[1]!Tabel6689[[#This Row],[WW 2015]]+[1]!Tabel6689[[#This Row],[Other ch. 2015]]+[1]!Tabel6689[[#This Row],[VAT 2015]]</f>
        <v>#REF!</v>
      </c>
      <c r="Q184" s="397"/>
      <c r="R184" s="1886"/>
      <c r="S184" s="2130"/>
      <c r="T184" s="1890"/>
      <c r="U184" s="1892"/>
      <c r="V184" s="1894"/>
      <c r="W184" s="1911"/>
      <c r="X184" s="1913"/>
      <c r="Y184" s="2138"/>
      <c r="Z184" s="2053"/>
      <c r="AA184" s="397"/>
      <c r="AB184" s="591" t="s">
        <v>429</v>
      </c>
      <c r="AC184" s="591" t="s">
        <v>429</v>
      </c>
      <c r="AD184" s="614"/>
      <c r="AE184" s="614"/>
      <c r="AF184" s="614"/>
      <c r="AG184" s="591" t="s">
        <v>429</v>
      </c>
      <c r="AH184" s="614"/>
      <c r="AI184" s="397"/>
    </row>
    <row r="185" spans="1:35" ht="15.75" hidden="1" customHeight="1" x14ac:dyDescent="0.25">
      <c r="A185" s="1757"/>
      <c r="B185" s="1213"/>
      <c r="C185" s="503" t="s">
        <v>1352</v>
      </c>
      <c r="D185" s="1880"/>
      <c r="E185" s="616">
        <f>'[1]exchange rates'!$M$49</f>
        <v>4.1749499999999999</v>
      </c>
      <c r="F185" s="319"/>
      <c r="G185" s="320"/>
      <c r="H185" s="321"/>
      <c r="I185" s="313"/>
      <c r="J185" s="322"/>
      <c r="K185" s="323"/>
      <c r="L185" s="323"/>
      <c r="M185" s="324"/>
      <c r="N185" s="1257">
        <f>Tabel668917263329[[#This Row],[Sew. 2015]]+Tabel668917263329[[#This Row],[WW 2015]]+Tabel668917263329[[#This Row],[Other ch. 2015]]</f>
        <v>0</v>
      </c>
      <c r="O185" s="1258"/>
      <c r="P185" s="318"/>
      <c r="Q185" s="397"/>
      <c r="R185" s="1886"/>
      <c r="S185" s="2130"/>
      <c r="T185" s="1890"/>
      <c r="U185" s="1892"/>
      <c r="V185" s="1894"/>
      <c r="W185" s="1911"/>
      <c r="X185" s="1913"/>
      <c r="Y185" s="2138"/>
      <c r="Z185" s="2053"/>
      <c r="AA185" s="397"/>
      <c r="AB185" s="591"/>
      <c r="AC185" s="591"/>
      <c r="AD185" s="614"/>
      <c r="AE185" s="614"/>
      <c r="AF185" s="614"/>
      <c r="AG185" s="591"/>
      <c r="AH185" s="614"/>
      <c r="AI185" s="397"/>
    </row>
    <row r="186" spans="1:35" ht="15.75" hidden="1" customHeight="1" x14ac:dyDescent="0.25">
      <c r="A186" s="1757"/>
      <c r="B186" s="1213"/>
      <c r="C186" s="503" t="s">
        <v>517</v>
      </c>
      <c r="D186" s="1880"/>
      <c r="E186" s="616">
        <f>'[1]exchange rates'!$M$49</f>
        <v>4.1749499999999999</v>
      </c>
      <c r="F186" s="319"/>
      <c r="G186" s="320"/>
      <c r="H186" s="321"/>
      <c r="I186" s="313"/>
      <c r="J186" s="322"/>
      <c r="K186" s="323"/>
      <c r="L186" s="323"/>
      <c r="M186" s="324"/>
      <c r="N186" s="1257">
        <f>Tabel668917263329[[#This Row],[Sew. 2015]]+Tabel668917263329[[#This Row],[WW 2015]]+Tabel668917263329[[#This Row],[Other ch. 2015]]</f>
        <v>0</v>
      </c>
      <c r="O186" s="1258"/>
      <c r="P186" s="318"/>
      <c r="Q186" s="397"/>
      <c r="R186" s="1886"/>
      <c r="S186" s="2130"/>
      <c r="T186" s="1890"/>
      <c r="U186" s="1892"/>
      <c r="V186" s="1894"/>
      <c r="W186" s="1911"/>
      <c r="X186" s="1913"/>
      <c r="Y186" s="2138"/>
      <c r="Z186" s="2053"/>
      <c r="AA186" s="397"/>
      <c r="AB186" s="591"/>
      <c r="AC186" s="591"/>
      <c r="AD186" s="614"/>
      <c r="AE186" s="614"/>
      <c r="AF186" s="614"/>
      <c r="AG186" s="591"/>
      <c r="AH186" s="614"/>
      <c r="AI186" s="397"/>
    </row>
    <row r="187" spans="1:35" ht="15.75" hidden="1" customHeight="1" x14ac:dyDescent="0.25">
      <c r="A187" s="1757"/>
      <c r="B187" s="1213"/>
      <c r="C187" s="503" t="s">
        <v>518</v>
      </c>
      <c r="D187" s="1880"/>
      <c r="E187" s="616">
        <f>'[1]exchange rates'!$M$49</f>
        <v>4.1749499999999999</v>
      </c>
      <c r="F187" s="319"/>
      <c r="G187" s="320"/>
      <c r="H187" s="321"/>
      <c r="I187" s="313"/>
      <c r="J187" s="322"/>
      <c r="K187" s="323"/>
      <c r="L187" s="323"/>
      <c r="M187" s="324"/>
      <c r="N187" s="1257">
        <f>Tabel668917263329[[#This Row],[Sew. 2015]]+Tabel668917263329[[#This Row],[WW 2015]]+Tabel668917263329[[#This Row],[Other ch. 2015]]</f>
        <v>0</v>
      </c>
      <c r="O187" s="1258"/>
      <c r="P187" s="318"/>
      <c r="Q187" s="397"/>
      <c r="R187" s="1886"/>
      <c r="S187" s="2130"/>
      <c r="T187" s="1890"/>
      <c r="U187" s="1892"/>
      <c r="V187" s="1894"/>
      <c r="W187" s="1911"/>
      <c r="X187" s="1913"/>
      <c r="Y187" s="2138"/>
      <c r="Z187" s="2053"/>
      <c r="AA187" s="397"/>
      <c r="AB187" s="591"/>
      <c r="AC187" s="591"/>
      <c r="AD187" s="614"/>
      <c r="AE187" s="614"/>
      <c r="AF187" s="614"/>
      <c r="AG187" s="591"/>
      <c r="AH187" s="614"/>
      <c r="AI187" s="397"/>
    </row>
    <row r="188" spans="1:35" ht="15.75" hidden="1" customHeight="1" x14ac:dyDescent="0.25">
      <c r="A188" s="1757"/>
      <c r="B188" s="1213"/>
      <c r="C188" s="503" t="s">
        <v>519</v>
      </c>
      <c r="D188" s="1880"/>
      <c r="E188" s="616">
        <f>'[1]exchange rates'!$M$49</f>
        <v>4.1749499999999999</v>
      </c>
      <c r="F188" s="319"/>
      <c r="G188" s="320"/>
      <c r="H188" s="321"/>
      <c r="I188" s="313"/>
      <c r="J188" s="322"/>
      <c r="K188" s="323"/>
      <c r="L188" s="323"/>
      <c r="M188" s="324"/>
      <c r="N188" s="1257">
        <f>Tabel668917263329[[#This Row],[Sew. 2015]]+Tabel668917263329[[#This Row],[WW 2015]]+Tabel668917263329[[#This Row],[Other ch. 2015]]</f>
        <v>0</v>
      </c>
      <c r="O188" s="1258"/>
      <c r="P188" s="318"/>
      <c r="Q188" s="397"/>
      <c r="R188" s="1886"/>
      <c r="S188" s="2130"/>
      <c r="T188" s="1890"/>
      <c r="U188" s="1892"/>
      <c r="V188" s="1894"/>
      <c r="W188" s="1911"/>
      <c r="X188" s="1913"/>
      <c r="Y188" s="2138"/>
      <c r="Z188" s="2053"/>
      <c r="AA188" s="397"/>
      <c r="AB188" s="591"/>
      <c r="AC188" s="591"/>
      <c r="AD188" s="614"/>
      <c r="AE188" s="614"/>
      <c r="AF188" s="614"/>
      <c r="AG188" s="591"/>
      <c r="AH188" s="614"/>
      <c r="AI188" s="397"/>
    </row>
    <row r="189" spans="1:35" ht="15.75" hidden="1" customHeight="1" x14ac:dyDescent="0.25">
      <c r="A189" s="1757"/>
      <c r="B189" s="1213"/>
      <c r="C189" s="503" t="s">
        <v>596</v>
      </c>
      <c r="D189" s="1880"/>
      <c r="E189" s="616">
        <f>'[1]exchange rates'!$M$49</f>
        <v>4.1749499999999999</v>
      </c>
      <c r="F189" s="319"/>
      <c r="G189" s="320"/>
      <c r="H189" s="321"/>
      <c r="I189" s="313"/>
      <c r="J189" s="322"/>
      <c r="K189" s="323"/>
      <c r="L189" s="323"/>
      <c r="M189" s="324"/>
      <c r="N189" s="1257">
        <f>Tabel668917263329[[#This Row],[Sew. 2015]]+Tabel668917263329[[#This Row],[WW 2015]]+Tabel668917263329[[#This Row],[Other ch. 2015]]</f>
        <v>0</v>
      </c>
      <c r="O189" s="1258"/>
      <c r="P189" s="318"/>
      <c r="Q189" s="397"/>
      <c r="R189" s="1886"/>
      <c r="S189" s="2130"/>
      <c r="T189" s="1890"/>
      <c r="U189" s="1892"/>
      <c r="V189" s="1894"/>
      <c r="W189" s="1911"/>
      <c r="X189" s="1913"/>
      <c r="Y189" s="2138"/>
      <c r="Z189" s="2053"/>
      <c r="AA189" s="397"/>
      <c r="AB189" s="591"/>
      <c r="AC189" s="591"/>
      <c r="AD189" s="614"/>
      <c r="AE189" s="614"/>
      <c r="AF189" s="614"/>
      <c r="AG189" s="591"/>
      <c r="AH189" s="614"/>
      <c r="AI189" s="397"/>
    </row>
    <row r="190" spans="1:35" ht="15.75" hidden="1" customHeight="1" x14ac:dyDescent="0.25">
      <c r="A190" s="1757"/>
      <c r="B190" s="1213"/>
      <c r="C190" s="633" t="s">
        <v>1353</v>
      </c>
      <c r="D190" s="1880"/>
      <c r="E190" s="616">
        <f>'[1]exchange rates'!$M$49</f>
        <v>4.1749499999999999</v>
      </c>
      <c r="F190" s="549">
        <v>0</v>
      </c>
      <c r="G190" s="550">
        <f>622/E190</f>
        <v>148.98382016551096</v>
      </c>
      <c r="H190" s="551">
        <v>0</v>
      </c>
      <c r="I190" s="566" t="e">
        <f>[1]!Tabel6689[[#This Row],[Fix.ch. 2015]]+[1]!Tabel6689[[#This Row],[Var. ch. 2015]]+[1]!Tabel6689[[#This Row],[Oth. ch. DW 2015]]</f>
        <v>#REF!</v>
      </c>
      <c r="J190" s="567">
        <v>0</v>
      </c>
      <c r="K190" s="568">
        <f>248/E190</f>
        <v>59.401909004898265</v>
      </c>
      <c r="L190" s="568"/>
      <c r="M190" s="569">
        <v>0</v>
      </c>
      <c r="N190" s="1270">
        <f>Tabel668917263329[[#This Row],[Sew. 2015]]+Tabel668917263329[[#This Row],[WW 2015]]+Tabel668917263329[[#This Row],[Other ch. 2015]]</f>
        <v>59.401909004898265</v>
      </c>
      <c r="O190" s="1271">
        <f>208.8/E190</f>
        <v>50.012575000898217</v>
      </c>
      <c r="P190" s="571" t="e">
        <f>[1]!Tabel6689[[#This Row],[Total. ch. DW 2015]]+[1]!Tabel6689[[#This Row],[Sew. 2015]]+[1]!Tabel6689[[#This Row],[WW 2015]]+[1]!Tabel6689[[#This Row],[Other ch. 2015]]+[1]!Tabel6689[[#This Row],[VAT 2015]]</f>
        <v>#REF!</v>
      </c>
      <c r="Q190" s="397"/>
      <c r="R190" s="1886"/>
      <c r="S190" s="2130"/>
      <c r="T190" s="1890"/>
      <c r="U190" s="1892"/>
      <c r="V190" s="1894"/>
      <c r="W190" s="1911"/>
      <c r="X190" s="1913"/>
      <c r="Y190" s="2138"/>
      <c r="Z190" s="2053"/>
      <c r="AA190" s="397"/>
      <c r="AB190" s="591" t="s">
        <v>429</v>
      </c>
      <c r="AC190" s="591" t="s">
        <v>429</v>
      </c>
      <c r="AD190" s="614"/>
      <c r="AE190" s="614"/>
      <c r="AF190" s="614"/>
      <c r="AG190" s="591" t="s">
        <v>429</v>
      </c>
      <c r="AH190" s="614"/>
      <c r="AI190" s="397"/>
    </row>
    <row r="191" spans="1:35" ht="16.5" hidden="1" customHeight="1" x14ac:dyDescent="0.25">
      <c r="A191" s="1757"/>
      <c r="B191" s="1213"/>
      <c r="C191" s="633" t="s">
        <v>520</v>
      </c>
      <c r="D191" s="1880"/>
      <c r="E191" s="616">
        <f>'[1]exchange rates'!$M$49</f>
        <v>4.1749499999999999</v>
      </c>
      <c r="F191" s="549">
        <v>0</v>
      </c>
      <c r="G191" s="550">
        <f>638/E191</f>
        <v>152.81620139163343</v>
      </c>
      <c r="H191" s="551">
        <v>0</v>
      </c>
      <c r="I191" s="566" t="e">
        <f>[1]!Tabel6689[[#This Row],[Fix.ch. 2015]]+[1]!Tabel6689[[#This Row],[Var. ch. 2015]]+[1]!Tabel6689[[#This Row],[Oth. ch. DW 2015]]</f>
        <v>#REF!</v>
      </c>
      <c r="J191" s="567">
        <v>0</v>
      </c>
      <c r="K191" s="568">
        <f>614/E191</f>
        <v>147.06762955244974</v>
      </c>
      <c r="L191" s="568"/>
      <c r="M191" s="569">
        <v>0</v>
      </c>
      <c r="N191" s="1270">
        <f>Tabel668917263329[[#This Row],[Sew. 2015]]+Tabel668917263329[[#This Row],[WW 2015]]+Tabel668917263329[[#This Row],[Other ch. 2015]]</f>
        <v>147.06762955244974</v>
      </c>
      <c r="O191" s="1271">
        <f>300.48/E191</f>
        <v>71.972119426579965</v>
      </c>
      <c r="P191" s="571" t="e">
        <f>[1]!Tabel6689[[#This Row],[Total. ch. DW 2015]]+[1]!Tabel6689[[#This Row],[Sew. 2015]]+[1]!Tabel6689[[#This Row],[WW 2015]]+[1]!Tabel6689[[#This Row],[Other ch. 2015]]+[1]!Tabel6689[[#This Row],[VAT 2015]]</f>
        <v>#REF!</v>
      </c>
      <c r="Q191" s="397"/>
      <c r="R191" s="1886"/>
      <c r="S191" s="2130"/>
      <c r="T191" s="1890"/>
      <c r="U191" s="1892"/>
      <c r="V191" s="1894"/>
      <c r="W191" s="1911"/>
      <c r="X191" s="1913"/>
      <c r="Y191" s="2138"/>
      <c r="Z191" s="2053"/>
      <c r="AA191" s="397"/>
      <c r="AB191" s="591" t="s">
        <v>429</v>
      </c>
      <c r="AC191" s="591" t="s">
        <v>429</v>
      </c>
      <c r="AD191" s="614"/>
      <c r="AE191" s="614"/>
      <c r="AF191" s="614"/>
      <c r="AG191" s="591" t="s">
        <v>429</v>
      </c>
      <c r="AH191" s="614"/>
      <c r="AI191" s="397"/>
    </row>
    <row r="192" spans="1:35" ht="15.75" hidden="1" x14ac:dyDescent="0.25">
      <c r="A192" s="1757"/>
      <c r="B192" s="1213"/>
      <c r="C192" s="633" t="s">
        <v>597</v>
      </c>
      <c r="D192" s="1880"/>
      <c r="E192" s="616">
        <f>'[1]exchange rates'!$M$49</f>
        <v>4.1749499999999999</v>
      </c>
      <c r="F192" s="549">
        <v>0</v>
      </c>
      <c r="G192" s="550">
        <f>702/E192</f>
        <v>168.14572629612331</v>
      </c>
      <c r="H192" s="551">
        <v>0</v>
      </c>
      <c r="I192" s="566" t="e">
        <f>[1]!Tabel6689[[#This Row],[Fix.ch. 2015]]+[1]!Tabel6689[[#This Row],[Var. ch. 2015]]+[1]!Tabel6689[[#This Row],[Oth. ch. DW 2015]]</f>
        <v>#REF!</v>
      </c>
      <c r="J192" s="567">
        <v>0</v>
      </c>
      <c r="K192" s="568">
        <f>506/E192</f>
        <v>121.19905627612307</v>
      </c>
      <c r="L192" s="568"/>
      <c r="M192" s="569">
        <v>0</v>
      </c>
      <c r="N192" s="1270">
        <f>Tabel668917263329[[#This Row],[Sew. 2015]]+Tabel668917263329[[#This Row],[WW 2015]]+Tabel668917263329[[#This Row],[Other ch. 2015]]</f>
        <v>121.19905627612307</v>
      </c>
      <c r="O192" s="1271">
        <f>289.92/E192</f>
        <v>69.442747817339139</v>
      </c>
      <c r="P192" s="571" t="e">
        <f>[1]!Tabel6689[[#This Row],[Total. ch. DW 2015]]+[1]!Tabel6689[[#This Row],[Sew. 2015]]+[1]!Tabel6689[[#This Row],[WW 2015]]+[1]!Tabel6689[[#This Row],[Other ch. 2015]]+[1]!Tabel6689[[#This Row],[VAT 2015]]</f>
        <v>#REF!</v>
      </c>
      <c r="Q192" s="397"/>
      <c r="R192" s="1886"/>
      <c r="S192" s="2130"/>
      <c r="T192" s="1890"/>
      <c r="U192" s="1892"/>
      <c r="V192" s="1894"/>
      <c r="W192" s="1911"/>
      <c r="X192" s="1913"/>
      <c r="Y192" s="2138"/>
      <c r="Z192" s="2053"/>
      <c r="AA192" s="397"/>
      <c r="AB192" s="591" t="s">
        <v>429</v>
      </c>
      <c r="AC192" s="591" t="s">
        <v>429</v>
      </c>
      <c r="AD192" s="614"/>
      <c r="AE192" s="614"/>
      <c r="AF192" s="614"/>
      <c r="AG192" s="591" t="s">
        <v>429</v>
      </c>
      <c r="AH192" s="614"/>
      <c r="AI192" s="397"/>
    </row>
    <row r="193" spans="1:35" ht="15.75" hidden="1" x14ac:dyDescent="0.25">
      <c r="A193" s="1757"/>
      <c r="B193" s="1213"/>
      <c r="C193" s="633" t="s">
        <v>765</v>
      </c>
      <c r="D193" s="1880"/>
      <c r="E193" s="616">
        <f>'[1]exchange rates'!$M$49</f>
        <v>4.1749499999999999</v>
      </c>
      <c r="F193" s="549">
        <v>0</v>
      </c>
      <c r="G193" s="550">
        <f>618/E193</f>
        <v>148.02572485898034</v>
      </c>
      <c r="H193" s="551">
        <v>0</v>
      </c>
      <c r="I193" s="566" t="e">
        <f>[1]!Tabel6689[[#This Row],[Fix.ch. 2015]]+[1]!Tabel6689[[#This Row],[Var. ch. 2015]]+[1]!Tabel6689[[#This Row],[Oth. ch. DW 2015]]</f>
        <v>#REF!</v>
      </c>
      <c r="J193" s="567">
        <v>0</v>
      </c>
      <c r="K193" s="568">
        <f>514/E193</f>
        <v>123.11524688918431</v>
      </c>
      <c r="L193" s="568"/>
      <c r="M193" s="569">
        <v>0</v>
      </c>
      <c r="N193" s="1270">
        <f>Tabel668917263329[[#This Row],[Sew. 2015]]+Tabel668917263329[[#This Row],[WW 2015]]+Tabel668917263329[[#This Row],[Other ch. 2015]]</f>
        <v>123.11524688918431</v>
      </c>
      <c r="O193" s="1271">
        <f>271.68/E193</f>
        <v>65.073833219559518</v>
      </c>
      <c r="P193" s="571" t="e">
        <f>[1]!Tabel6689[[#This Row],[Total. ch. DW 2015]]+[1]!Tabel6689[[#This Row],[Sew. 2015]]+[1]!Tabel6689[[#This Row],[WW 2015]]+[1]!Tabel6689[[#This Row],[Other ch. 2015]]+[1]!Tabel6689[[#This Row],[VAT 2015]]</f>
        <v>#REF!</v>
      </c>
      <c r="Q193" s="397"/>
      <c r="R193" s="1886"/>
      <c r="S193" s="2130"/>
      <c r="T193" s="1890"/>
      <c r="U193" s="1892"/>
      <c r="V193" s="1894"/>
      <c r="W193" s="1911"/>
      <c r="X193" s="1913"/>
      <c r="Y193" s="2138"/>
      <c r="Z193" s="2053"/>
      <c r="AA193" s="397"/>
      <c r="AB193" s="591" t="s">
        <v>429</v>
      </c>
      <c r="AC193" s="591" t="s">
        <v>429</v>
      </c>
      <c r="AD193" s="614"/>
      <c r="AE193" s="614"/>
      <c r="AF193" s="614"/>
      <c r="AG193" s="591" t="s">
        <v>429</v>
      </c>
      <c r="AH193" s="614"/>
      <c r="AI193" s="397"/>
    </row>
    <row r="194" spans="1:35" ht="15.75" hidden="1" x14ac:dyDescent="0.25">
      <c r="A194" s="1757"/>
      <c r="B194" s="1213"/>
      <c r="C194" s="633" t="s">
        <v>1354</v>
      </c>
      <c r="D194" s="1880"/>
      <c r="E194" s="616">
        <f>'[1]exchange rates'!$M$49</f>
        <v>4.1749499999999999</v>
      </c>
      <c r="F194" s="549">
        <v>0</v>
      </c>
      <c r="G194" s="550">
        <f>918/E194</f>
        <v>219.88287284877663</v>
      </c>
      <c r="H194" s="551">
        <v>0</v>
      </c>
      <c r="I194" s="566" t="e">
        <f>[1]!Tabel6689[[#This Row],[Fix.ch. 2015]]+[1]!Tabel6689[[#This Row],[Var. ch. 2015]]+[1]!Tabel6689[[#This Row],[Oth. ch. DW 2015]]</f>
        <v>#REF!</v>
      </c>
      <c r="J194" s="567">
        <v>0</v>
      </c>
      <c r="K194" s="568">
        <f>204/E194</f>
        <v>48.862860633061473</v>
      </c>
      <c r="L194" s="568"/>
      <c r="M194" s="569">
        <v>0</v>
      </c>
      <c r="N194" s="1270">
        <f>Tabel668917263329[[#This Row],[Sew. 2015]]+Tabel668917263329[[#This Row],[WW 2015]]+Tabel668917263329[[#This Row],[Other ch. 2015]]</f>
        <v>48.862860633061473</v>
      </c>
      <c r="O194" s="1271">
        <f>269.28/E194</f>
        <v>64.498976035641135</v>
      </c>
      <c r="P194" s="571" t="e">
        <f>[1]!Tabel6689[[#This Row],[Total. ch. DW 2015]]+[1]!Tabel6689[[#This Row],[Sew. 2015]]+[1]!Tabel6689[[#This Row],[WW 2015]]+[1]!Tabel6689[[#This Row],[Other ch. 2015]]+[1]!Tabel6689[[#This Row],[VAT 2015]]</f>
        <v>#REF!</v>
      </c>
      <c r="Q194" s="397"/>
      <c r="R194" s="1886"/>
      <c r="S194" s="2130"/>
      <c r="T194" s="1890"/>
      <c r="U194" s="1892"/>
      <c r="V194" s="1894"/>
      <c r="W194" s="1911"/>
      <c r="X194" s="1913"/>
      <c r="Y194" s="2138"/>
      <c r="Z194" s="2053"/>
      <c r="AA194" s="397"/>
      <c r="AB194" s="591" t="s">
        <v>429</v>
      </c>
      <c r="AC194" s="591" t="s">
        <v>429</v>
      </c>
      <c r="AD194" s="614"/>
      <c r="AE194" s="614"/>
      <c r="AF194" s="614"/>
      <c r="AG194" s="591" t="s">
        <v>429</v>
      </c>
      <c r="AH194" s="614"/>
      <c r="AI194" s="397"/>
    </row>
    <row r="195" spans="1:35" ht="15.75" hidden="1" x14ac:dyDescent="0.25">
      <c r="A195" s="1757"/>
      <c r="B195" s="1213"/>
      <c r="C195" s="633" t="s">
        <v>766</v>
      </c>
      <c r="D195" s="1880"/>
      <c r="E195" s="616">
        <f>'[1]exchange rates'!$M$49</f>
        <v>4.1749499999999999</v>
      </c>
      <c r="F195" s="549">
        <v>0</v>
      </c>
      <c r="G195" s="550">
        <f>604/E195</f>
        <v>144.6723912861232</v>
      </c>
      <c r="H195" s="551">
        <v>0</v>
      </c>
      <c r="I195" s="566" t="e">
        <f>[1]!Tabel6689[[#This Row],[Fix.ch. 2015]]+[1]!Tabel6689[[#This Row],[Var. ch. 2015]]+[1]!Tabel6689[[#This Row],[Oth. ch. DW 2015]]</f>
        <v>#REF!</v>
      </c>
      <c r="J195" s="567">
        <v>0</v>
      </c>
      <c r="K195" s="568">
        <f>458/E195</f>
        <v>109.70191259775567</v>
      </c>
      <c r="L195" s="568"/>
      <c r="M195" s="569">
        <v>0</v>
      </c>
      <c r="N195" s="1270">
        <f>Tabel668917263329[[#This Row],[Sew. 2015]]+Tabel668917263329[[#This Row],[WW 2015]]+Tabel668917263329[[#This Row],[Other ch. 2015]]</f>
        <v>109.70191259775567</v>
      </c>
      <c r="O195" s="1271">
        <f>254.88/E195</f>
        <v>61.049832932130926</v>
      </c>
      <c r="P195" s="571" t="e">
        <f>[1]!Tabel6689[[#This Row],[Total. ch. DW 2015]]+[1]!Tabel6689[[#This Row],[Sew. 2015]]+[1]!Tabel6689[[#This Row],[WW 2015]]+[1]!Tabel6689[[#This Row],[Other ch. 2015]]+[1]!Tabel6689[[#This Row],[VAT 2015]]</f>
        <v>#REF!</v>
      </c>
      <c r="Q195" s="397"/>
      <c r="R195" s="1886"/>
      <c r="S195" s="2130"/>
      <c r="T195" s="1890"/>
      <c r="U195" s="1892"/>
      <c r="V195" s="1894"/>
      <c r="W195" s="1911"/>
      <c r="X195" s="1913"/>
      <c r="Y195" s="2138"/>
      <c r="Z195" s="2053"/>
      <c r="AA195" s="397"/>
      <c r="AB195" s="591"/>
      <c r="AC195" s="591" t="s">
        <v>429</v>
      </c>
      <c r="AD195" s="614"/>
      <c r="AE195" s="614"/>
      <c r="AF195" s="614"/>
      <c r="AG195" s="591" t="s">
        <v>429</v>
      </c>
      <c r="AH195" s="614"/>
      <c r="AI195" s="397"/>
    </row>
    <row r="196" spans="1:35" ht="15.75" hidden="1" x14ac:dyDescent="0.25">
      <c r="A196" s="1757"/>
      <c r="B196" s="1213"/>
      <c r="C196" s="633" t="s">
        <v>767</v>
      </c>
      <c r="D196" s="1880"/>
      <c r="E196" s="616">
        <f>'[1]exchange rates'!$M$49</f>
        <v>4.1749499999999999</v>
      </c>
      <c r="F196" s="549">
        <v>0</v>
      </c>
      <c r="G196" s="550">
        <f>540/E196</f>
        <v>129.34286638163331</v>
      </c>
      <c r="H196" s="551">
        <v>0</v>
      </c>
      <c r="I196" s="566" t="e">
        <f>[1]!Tabel6689[[#This Row],[Fix.ch. 2015]]+[1]!Tabel6689[[#This Row],[Var. ch. 2015]]+[1]!Tabel6689[[#This Row],[Oth. ch. DW 2015]]</f>
        <v>#REF!</v>
      </c>
      <c r="J196" s="567">
        <v>0</v>
      </c>
      <c r="K196" s="568">
        <f>508/E196</f>
        <v>121.67810392938837</v>
      </c>
      <c r="L196" s="568"/>
      <c r="M196" s="569">
        <v>0</v>
      </c>
      <c r="N196" s="1270">
        <f>Tabel668917263329[[#This Row],[Sew. 2015]]+Tabel668917263329[[#This Row],[WW 2015]]+Tabel668917263329[[#This Row],[Other ch. 2015]]</f>
        <v>121.67810392938837</v>
      </c>
      <c r="O196" s="1271">
        <f>251.52/E196</f>
        <v>60.245032874645212</v>
      </c>
      <c r="P196" s="571" t="e">
        <f>[1]!Tabel6689[[#This Row],[Total. ch. DW 2015]]+[1]!Tabel6689[[#This Row],[Sew. 2015]]+[1]!Tabel6689[[#This Row],[WW 2015]]+[1]!Tabel6689[[#This Row],[Other ch. 2015]]+[1]!Tabel6689[[#This Row],[VAT 2015]]</f>
        <v>#REF!</v>
      </c>
      <c r="Q196" s="397"/>
      <c r="R196" s="1886"/>
      <c r="S196" s="2130"/>
      <c r="T196" s="1890"/>
      <c r="U196" s="1892"/>
      <c r="V196" s="1894"/>
      <c r="W196" s="1911"/>
      <c r="X196" s="1913"/>
      <c r="Y196" s="2138"/>
      <c r="Z196" s="2053"/>
      <c r="AA196" s="397"/>
      <c r="AB196" s="591" t="s">
        <v>429</v>
      </c>
      <c r="AC196" s="591" t="s">
        <v>429</v>
      </c>
      <c r="AD196" s="614"/>
      <c r="AE196" s="614"/>
      <c r="AF196" s="614"/>
      <c r="AG196" s="591" t="s">
        <v>429</v>
      </c>
      <c r="AH196" s="614"/>
      <c r="AI196" s="397"/>
    </row>
    <row r="197" spans="1:35" ht="15.75" hidden="1" x14ac:dyDescent="0.25">
      <c r="A197" s="1757"/>
      <c r="B197" s="1213"/>
      <c r="C197" s="633" t="s">
        <v>768</v>
      </c>
      <c r="D197" s="1880"/>
      <c r="E197" s="616">
        <f>'[1]exchange rates'!$M$49</f>
        <v>4.1749499999999999</v>
      </c>
      <c r="F197" s="549">
        <v>0</v>
      </c>
      <c r="G197" s="550">
        <f>610/E197</f>
        <v>146.10953424591912</v>
      </c>
      <c r="H197" s="551">
        <v>0</v>
      </c>
      <c r="I197" s="566" t="e">
        <f>[1]!Tabel6689[[#This Row],[Fix.ch. 2015]]+[1]!Tabel6689[[#This Row],[Var. ch. 2015]]+[1]!Tabel6689[[#This Row],[Oth. ch. DW 2015]]</f>
        <v>#REF!</v>
      </c>
      <c r="J197" s="567">
        <v>0</v>
      </c>
      <c r="K197" s="568">
        <f>294/E197</f>
        <v>70.420005030000354</v>
      </c>
      <c r="L197" s="568"/>
      <c r="M197" s="569">
        <v>0</v>
      </c>
      <c r="N197" s="1270">
        <f>Tabel668917263329[[#This Row],[Sew. 2015]]+Tabel668917263329[[#This Row],[WW 2015]]+Tabel668917263329[[#This Row],[Other ch. 2015]]</f>
        <v>70.420005030000354</v>
      </c>
      <c r="O197" s="1271">
        <f>216.96/E197</f>
        <v>51.967089426220674</v>
      </c>
      <c r="P197" s="571" t="e">
        <f>[1]!Tabel6689[[#This Row],[Total. ch. DW 2015]]+[1]!Tabel6689[[#This Row],[Sew. 2015]]+[1]!Tabel6689[[#This Row],[WW 2015]]+[1]!Tabel6689[[#This Row],[Other ch. 2015]]+[1]!Tabel6689[[#This Row],[VAT 2015]]</f>
        <v>#REF!</v>
      </c>
      <c r="Q197" s="397"/>
      <c r="R197" s="1886"/>
      <c r="S197" s="2130"/>
      <c r="T197" s="1890"/>
      <c r="U197" s="1892"/>
      <c r="V197" s="1894"/>
      <c r="W197" s="1911"/>
      <c r="X197" s="1913"/>
      <c r="Y197" s="2138"/>
      <c r="Z197" s="2053"/>
      <c r="AA197" s="397"/>
      <c r="AB197" s="591" t="s">
        <v>429</v>
      </c>
      <c r="AC197" s="591" t="s">
        <v>429</v>
      </c>
      <c r="AD197" s="614"/>
      <c r="AE197" s="614"/>
      <c r="AF197" s="614"/>
      <c r="AG197" s="591" t="s">
        <v>429</v>
      </c>
      <c r="AH197" s="614"/>
      <c r="AI197" s="397"/>
    </row>
    <row r="198" spans="1:35" ht="15.75" hidden="1" x14ac:dyDescent="0.25">
      <c r="A198" s="1757"/>
      <c r="B198" s="1213"/>
      <c r="C198" s="633" t="s">
        <v>769</v>
      </c>
      <c r="D198" s="1880"/>
      <c r="E198" s="616">
        <f>'[1]exchange rates'!$M$49</f>
        <v>4.1749499999999999</v>
      </c>
      <c r="F198" s="549">
        <v>0</v>
      </c>
      <c r="G198" s="550">
        <f>606/E198</f>
        <v>145.1514389393885</v>
      </c>
      <c r="H198" s="551">
        <v>0</v>
      </c>
      <c r="I198" s="566" t="e">
        <f>[1]!Tabel6689[[#This Row],[Fix.ch. 2015]]+[1]!Tabel6689[[#This Row],[Var. ch. 2015]]+[1]!Tabel6689[[#This Row],[Oth. ch. DW 2015]]</f>
        <v>#REF!</v>
      </c>
      <c r="J198" s="567">
        <v>0</v>
      </c>
      <c r="K198" s="568">
        <f>388/E198</f>
        <v>92.935244733469858</v>
      </c>
      <c r="L198" s="568"/>
      <c r="M198" s="569">
        <v>0</v>
      </c>
      <c r="N198" s="1270">
        <f>Tabel668917263329[[#This Row],[Sew. 2015]]+Tabel668917263329[[#This Row],[WW 2015]]+Tabel668917263329[[#This Row],[Other ch. 2015]]</f>
        <v>92.935244733469858</v>
      </c>
      <c r="O198" s="1271">
        <f>238.56/E198</f>
        <v>57.14080408148601</v>
      </c>
      <c r="P198" s="571" t="e">
        <f>[1]!Tabel6689[[#This Row],[Total. ch. DW 2015]]+[1]!Tabel6689[[#This Row],[Sew. 2015]]+[1]!Tabel6689[[#This Row],[WW 2015]]+[1]!Tabel6689[[#This Row],[Other ch. 2015]]+[1]!Tabel6689[[#This Row],[VAT 2015]]</f>
        <v>#REF!</v>
      </c>
      <c r="Q198" s="397"/>
      <c r="R198" s="1886"/>
      <c r="S198" s="2130"/>
      <c r="T198" s="1890"/>
      <c r="U198" s="1892"/>
      <c r="V198" s="1894"/>
      <c r="W198" s="1911"/>
      <c r="X198" s="1913"/>
      <c r="Y198" s="2138"/>
      <c r="Z198" s="2053"/>
      <c r="AA198" s="397"/>
      <c r="AB198" s="591" t="s">
        <v>429</v>
      </c>
      <c r="AC198" s="591" t="s">
        <v>429</v>
      </c>
      <c r="AD198" s="614"/>
      <c r="AE198" s="614"/>
      <c r="AF198" s="614"/>
      <c r="AG198" s="591" t="s">
        <v>429</v>
      </c>
      <c r="AH198" s="614"/>
      <c r="AI198" s="397"/>
    </row>
    <row r="199" spans="1:35" ht="15.75" hidden="1" x14ac:dyDescent="0.25">
      <c r="A199" s="1757"/>
      <c r="B199" s="1213"/>
      <c r="C199" s="633" t="s">
        <v>770</v>
      </c>
      <c r="D199" s="1880"/>
      <c r="E199" s="616">
        <f>'[1]exchange rates'!$M$49</f>
        <v>4.1749499999999999</v>
      </c>
      <c r="F199" s="549">
        <v>0</v>
      </c>
      <c r="G199" s="550">
        <f>596/E199</f>
        <v>142.75620067306195</v>
      </c>
      <c r="H199" s="551">
        <v>0</v>
      </c>
      <c r="I199" s="566" t="e">
        <f>[1]!Tabel6689[[#This Row],[Fix.ch. 2015]]+[1]!Tabel6689[[#This Row],[Var. ch. 2015]]+[1]!Tabel6689[[#This Row],[Oth. ch. DW 2015]]</f>
        <v>#REF!</v>
      </c>
      <c r="J199" s="567">
        <v>0</v>
      </c>
      <c r="K199" s="568">
        <f>276/E199</f>
        <v>66.108576150612578</v>
      </c>
      <c r="L199" s="568"/>
      <c r="M199" s="569">
        <v>0</v>
      </c>
      <c r="N199" s="1270">
        <f>Tabel668917263329[[#This Row],[Sew. 2015]]+Tabel668917263329[[#This Row],[WW 2015]]+Tabel668917263329[[#This Row],[Other ch. 2015]]</f>
        <v>66.108576150612578</v>
      </c>
      <c r="O199" s="1271">
        <f>209.28/E199</f>
        <v>50.127546437681886</v>
      </c>
      <c r="P199" s="571" t="e">
        <f>[1]!Tabel6689[[#This Row],[Total. ch. DW 2015]]+[1]!Tabel6689[[#This Row],[Sew. 2015]]+[1]!Tabel6689[[#This Row],[WW 2015]]+[1]!Tabel6689[[#This Row],[Other ch. 2015]]+[1]!Tabel6689[[#This Row],[VAT 2015]]</f>
        <v>#REF!</v>
      </c>
      <c r="Q199" s="397"/>
      <c r="R199" s="1886"/>
      <c r="S199" s="2130"/>
      <c r="T199" s="1890"/>
      <c r="U199" s="1892"/>
      <c r="V199" s="1894"/>
      <c r="W199" s="1911"/>
      <c r="X199" s="1913"/>
      <c r="Y199" s="2138"/>
      <c r="Z199" s="2053"/>
      <c r="AA199" s="397"/>
      <c r="AB199" s="591" t="s">
        <v>429</v>
      </c>
      <c r="AC199" s="591" t="s">
        <v>429</v>
      </c>
      <c r="AD199" s="614"/>
      <c r="AE199" s="614"/>
      <c r="AF199" s="614"/>
      <c r="AG199" s="591" t="s">
        <v>429</v>
      </c>
      <c r="AH199" s="614"/>
      <c r="AI199" s="397"/>
    </row>
    <row r="200" spans="1:35" ht="15.75" hidden="1" x14ac:dyDescent="0.25">
      <c r="A200" s="1757"/>
      <c r="B200" s="1213"/>
      <c r="C200" s="633" t="s">
        <v>771</v>
      </c>
      <c r="D200" s="1880"/>
      <c r="E200" s="616">
        <f>'[1]exchange rates'!$M$49</f>
        <v>4.1749499999999999</v>
      </c>
      <c r="F200" s="549">
        <v>0</v>
      </c>
      <c r="G200" s="550">
        <f>612/E200</f>
        <v>146.58858189918442</v>
      </c>
      <c r="H200" s="551">
        <v>0</v>
      </c>
      <c r="I200" s="566" t="e">
        <f>[1]!Tabel6689[[#This Row],[Fix.ch. 2015]]+[1]!Tabel6689[[#This Row],[Var. ch. 2015]]+[1]!Tabel6689[[#This Row],[Oth. ch. DW 2015]]</f>
        <v>#REF!</v>
      </c>
      <c r="J200" s="567">
        <v>0</v>
      </c>
      <c r="K200" s="568">
        <f>412/E200</f>
        <v>98.683816572653569</v>
      </c>
      <c r="L200" s="568"/>
      <c r="M200" s="569">
        <v>0</v>
      </c>
      <c r="N200" s="1270">
        <f>Tabel668917263329[[#This Row],[Sew. 2015]]+Tabel668917263329[[#This Row],[WW 2015]]+Tabel668917263329[[#This Row],[Other ch. 2015]]</f>
        <v>98.683816572653569</v>
      </c>
      <c r="O200" s="1271">
        <f>245.76/E200</f>
        <v>58.865375633241115</v>
      </c>
      <c r="P200" s="571" t="e">
        <f>[1]!Tabel6689[[#This Row],[Total. ch. DW 2015]]+[1]!Tabel6689[[#This Row],[Sew. 2015]]+[1]!Tabel6689[[#This Row],[WW 2015]]+[1]!Tabel6689[[#This Row],[Other ch. 2015]]+[1]!Tabel6689[[#This Row],[VAT 2015]]</f>
        <v>#REF!</v>
      </c>
      <c r="Q200" s="397"/>
      <c r="R200" s="1886"/>
      <c r="S200" s="2130"/>
      <c r="T200" s="1890"/>
      <c r="U200" s="1892"/>
      <c r="V200" s="1894"/>
      <c r="W200" s="1911"/>
      <c r="X200" s="1913"/>
      <c r="Y200" s="2138"/>
      <c r="Z200" s="2053"/>
      <c r="AA200" s="397"/>
      <c r="AB200" s="591" t="s">
        <v>429</v>
      </c>
      <c r="AC200" s="591" t="s">
        <v>429</v>
      </c>
      <c r="AD200" s="614"/>
      <c r="AE200" s="614"/>
      <c r="AF200" s="614"/>
      <c r="AG200" s="591" t="s">
        <v>429</v>
      </c>
      <c r="AH200" s="614"/>
      <c r="AI200" s="397"/>
    </row>
    <row r="201" spans="1:35" ht="15.75" hidden="1" x14ac:dyDescent="0.25">
      <c r="A201" s="1757"/>
      <c r="B201" s="1213"/>
      <c r="C201" s="633" t="s">
        <v>772</v>
      </c>
      <c r="D201" s="1880"/>
      <c r="E201" s="616">
        <f>'[1]exchange rates'!$M$49</f>
        <v>4.1749499999999999</v>
      </c>
      <c r="F201" s="549">
        <v>0</v>
      </c>
      <c r="G201" s="550">
        <f>770/E201</f>
        <v>184.4333465071438</v>
      </c>
      <c r="H201" s="551">
        <v>0</v>
      </c>
      <c r="I201" s="566" t="e">
        <f>[1]!Tabel6689[[#This Row],[Fix.ch. 2015]]+[1]!Tabel6689[[#This Row],[Var. ch. 2015]]+[1]!Tabel6689[[#This Row],[Oth. ch. DW 2015]]</f>
        <v>#REF!</v>
      </c>
      <c r="J201" s="567">
        <v>0</v>
      </c>
      <c r="K201" s="568">
        <f>346/E201</f>
        <v>82.875244014898385</v>
      </c>
      <c r="L201" s="568"/>
      <c r="M201" s="569">
        <v>0</v>
      </c>
      <c r="N201" s="1270">
        <f>Tabel668917263329[[#This Row],[Sew. 2015]]+Tabel668917263329[[#This Row],[WW 2015]]+Tabel668917263329[[#This Row],[Other ch. 2015]]</f>
        <v>82.875244014898385</v>
      </c>
      <c r="O201" s="1271">
        <f>267.84/E201</f>
        <v>64.15406172529012</v>
      </c>
      <c r="P201" s="571" t="e">
        <f>[1]!Tabel6689[[#This Row],[Total. ch. DW 2015]]+[1]!Tabel6689[[#This Row],[Sew. 2015]]+[1]!Tabel6689[[#This Row],[WW 2015]]+[1]!Tabel6689[[#This Row],[Other ch. 2015]]+[1]!Tabel6689[[#This Row],[VAT 2015]]</f>
        <v>#REF!</v>
      </c>
      <c r="Q201" s="397"/>
      <c r="R201" s="1886"/>
      <c r="S201" s="2130"/>
      <c r="T201" s="1890"/>
      <c r="U201" s="1892"/>
      <c r="V201" s="1894"/>
      <c r="W201" s="1911"/>
      <c r="X201" s="1913"/>
      <c r="Y201" s="2138"/>
      <c r="Z201" s="2053"/>
      <c r="AA201" s="397"/>
      <c r="AB201" s="591" t="s">
        <v>429</v>
      </c>
      <c r="AC201" s="591" t="s">
        <v>429</v>
      </c>
      <c r="AD201" s="614"/>
      <c r="AE201" s="614"/>
      <c r="AF201" s="614"/>
      <c r="AG201" s="591" t="s">
        <v>429</v>
      </c>
      <c r="AH201" s="614"/>
      <c r="AI201" s="397"/>
    </row>
    <row r="202" spans="1:35" ht="16.5" hidden="1" thickBot="1" x14ac:dyDescent="0.3">
      <c r="A202" s="1758"/>
      <c r="B202" s="1213"/>
      <c r="C202" s="1294" t="s">
        <v>598</v>
      </c>
      <c r="D202" s="1923"/>
      <c r="E202" s="616">
        <f>'[1]exchange rates'!$M$49</f>
        <v>4.1749499999999999</v>
      </c>
      <c r="F202" s="319"/>
      <c r="G202" s="320"/>
      <c r="H202" s="321"/>
      <c r="I202" s="313"/>
      <c r="J202" s="322"/>
      <c r="K202" s="323"/>
      <c r="L202" s="323"/>
      <c r="M202" s="324"/>
      <c r="N202" s="1257">
        <f>Tabel668917263329[[#This Row],[Sew. 2015]]+Tabel668917263329[[#This Row],[WW 2015]]+Tabel668917263329[[#This Row],[Other ch. 2015]]</f>
        <v>0</v>
      </c>
      <c r="O202" s="1258"/>
      <c r="P202" s="318"/>
      <c r="Q202" s="397"/>
      <c r="R202" s="1970"/>
      <c r="S202" s="2287"/>
      <c r="T202" s="1976"/>
      <c r="U202" s="1979"/>
      <c r="V202" s="1982"/>
      <c r="W202" s="1956"/>
      <c r="X202" s="1959"/>
      <c r="Y202" s="2285"/>
      <c r="Z202" s="2261"/>
      <c r="AA202" s="397"/>
      <c r="AB202" s="591"/>
      <c r="AC202" s="591"/>
      <c r="AD202" s="614"/>
      <c r="AE202" s="614"/>
      <c r="AF202" s="614"/>
      <c r="AG202" s="591"/>
      <c r="AH202" s="614"/>
      <c r="AI202" s="397"/>
    </row>
    <row r="203" spans="1:35" ht="19.5" hidden="1" thickBot="1" x14ac:dyDescent="0.35">
      <c r="A203" s="1169" t="s">
        <v>693</v>
      </c>
      <c r="B203" s="1213"/>
      <c r="C203" s="1295" t="s">
        <v>694</v>
      </c>
      <c r="D203" s="1194">
        <v>23700</v>
      </c>
      <c r="E203" s="616">
        <f>'[1]exchange rates'!M50</f>
        <v>72.996619999999993</v>
      </c>
      <c r="F203" s="549">
        <f>0</f>
        <v>0</v>
      </c>
      <c r="G203" s="550">
        <f>5064/E203</f>
        <v>69.373075082106553</v>
      </c>
      <c r="H203" s="551">
        <f>454/E203</f>
        <v>6.2194660519898051</v>
      </c>
      <c r="I203" s="566">
        <f>Tabel668917263329[[#This Row],[Fix.ch. 2015]]+Tabel668917263329[[#This Row],[Var. ch. 2015]]+Tabel668917263329[[#This Row],[Oth. ch. DW 2015]]</f>
        <v>75.592541134096365</v>
      </c>
      <c r="J203" s="567">
        <f>4400/E203</f>
        <v>60.276763499460664</v>
      </c>
      <c r="K203" s="568">
        <f>0</f>
        <v>0</v>
      </c>
      <c r="L203" s="568"/>
      <c r="M203" s="569">
        <f>742/E203</f>
        <v>10.16485420831814</v>
      </c>
      <c r="N203" s="1270">
        <f>Tabel668917263329[[#This Row],[Sew. 2015]]+Tabel668917263329[[#This Row],[WW 2015]]+Tabel668917263329[[#This Row],[Other ch. 2015]]</f>
        <v>70.441617707778803</v>
      </c>
      <c r="O203" s="1271">
        <v>0</v>
      </c>
      <c r="P203" s="571">
        <f>Tabel668917263329[[#This Row],[Total. ch. DW 2015]]+Tabel668917263329[[#This Row],[Sew. 2015]]+Tabel668917263329[[#This Row],[WW 2015]]+Tabel668917263329[[#This Row],[Other ch. 2015]]+Tabel668917263329[[#This Row],[VAT 2015]]</f>
        <v>146.03415884187515</v>
      </c>
      <c r="Q203" s="397"/>
      <c r="R203" s="1296">
        <f>Tabel668917263329[[#This Row],[Fix.ch. 2015]]</f>
        <v>0</v>
      </c>
      <c r="S203" s="1297">
        <f>Tabel668917263329[[#This Row],[Var. ch. 2015]]</f>
        <v>69.373075082106553</v>
      </c>
      <c r="T203" s="1298">
        <f>Tabel668917263329[[#This Row],[Oth. ch. DW 2015]]</f>
        <v>6.2194660519898051</v>
      </c>
      <c r="U203" s="1299">
        <f>Tabel668917263329[[#This Row],[Total. ch. DW 2015]]</f>
        <v>75.592541134096365</v>
      </c>
      <c r="V203" s="1300">
        <f>Tabel668917263329[[#This Row],[Sew. 2015]]</f>
        <v>60.276763499460664</v>
      </c>
      <c r="W203" s="1301">
        <f>Tabel668917263329[[#This Row],[WW 2015]]</f>
        <v>0</v>
      </c>
      <c r="X203" s="1302">
        <f>Tabel668917263329[[#This Row],[Other ch. 2015]]</f>
        <v>10.16485420831814</v>
      </c>
      <c r="Y203" s="1303">
        <f>Tabel668917263329[[#This Row],[VAT 2015]]</f>
        <v>0</v>
      </c>
      <c r="Z203" s="1304">
        <f>Tabel668917263329[[#This Row],[total charge 2015]]</f>
        <v>146.03415884187515</v>
      </c>
      <c r="AA203" s="397"/>
      <c r="AB203" s="396"/>
      <c r="AC203" s="396"/>
      <c r="AD203" s="398"/>
      <c r="AE203" s="398"/>
      <c r="AF203" s="398"/>
      <c r="AG203" s="396"/>
      <c r="AH203" s="398"/>
      <c r="AI203" s="397"/>
    </row>
    <row r="204" spans="1:35" ht="15.75" hidden="1" x14ac:dyDescent="0.25">
      <c r="A204" s="1878" t="s">
        <v>47</v>
      </c>
      <c r="B204" s="1213"/>
      <c r="C204" s="543" t="s">
        <v>204</v>
      </c>
      <c r="D204" s="1759">
        <v>41200</v>
      </c>
      <c r="E204" s="617">
        <f>'[1]exchange rates'!$M$51</f>
        <v>0.67854999999999999</v>
      </c>
      <c r="F204" s="319"/>
      <c r="G204" s="320"/>
      <c r="H204" s="321"/>
      <c r="I204" s="313">
        <f>Tabel668917263329[[#This Row],[Fix.ch. 2015]]+Tabel668917263329[[#This Row],[Var. ch. 2015]]+Tabel668917263329[[#This Row],[Oth. ch. DW 2015]]</f>
        <v>0</v>
      </c>
      <c r="J204" s="322"/>
      <c r="K204" s="323"/>
      <c r="L204" s="323"/>
      <c r="M204" s="324"/>
      <c r="N204" s="1257">
        <f>Tabel668917263329[[#This Row],[Sew. 2015]]+Tabel668917263329[[#This Row],[WW 2015]]+Tabel668917263329[[#This Row],[Other ch. 2015]]</f>
        <v>0</v>
      </c>
      <c r="O204" s="1258"/>
      <c r="P204" s="318">
        <f>Tabel668917263329[[#This Row],[Total. ch. DW 2015]]+Tabel668917263329[[#This Row],[Sew. 2015]]+Tabel668917263329[[#This Row],[WW 2015]]+Tabel668917263329[[#This Row],[Other ch. 2015]]+Tabel668917263329[[#This Row],[VAT 2015]]</f>
        <v>0</v>
      </c>
      <c r="Q204" s="397"/>
      <c r="R204" s="349"/>
      <c r="S204" s="350"/>
      <c r="T204" s="351"/>
      <c r="U204" s="352"/>
      <c r="V204" s="353"/>
      <c r="W204" s="354"/>
      <c r="X204" s="355"/>
      <c r="Y204" s="356"/>
      <c r="Z204" s="357"/>
      <c r="AA204" s="397"/>
      <c r="AB204" s="662" t="s">
        <v>429</v>
      </c>
      <c r="AC204" s="662" t="s">
        <v>429</v>
      </c>
      <c r="AD204" s="398"/>
      <c r="AE204" s="398"/>
      <c r="AF204" s="398"/>
      <c r="AG204" s="398"/>
      <c r="AH204" s="398"/>
      <c r="AI204" s="397"/>
    </row>
    <row r="205" spans="1:35" ht="15.75" hidden="1" x14ac:dyDescent="0.25">
      <c r="A205" s="1757"/>
      <c r="B205" s="1213"/>
      <c r="C205" s="639" t="s">
        <v>205</v>
      </c>
      <c r="D205" s="1760"/>
      <c r="E205" s="617">
        <f>'[1]exchange rates'!$M$51</f>
        <v>0.67854999999999999</v>
      </c>
      <c r="F205" s="319"/>
      <c r="G205" s="320"/>
      <c r="H205" s="321"/>
      <c r="I205" s="313">
        <f>Tabel668917263329[[#This Row],[Fix.ch. 2015]]+Tabel668917263329[[#This Row],[Var. ch. 2015]]+Tabel668917263329[[#This Row],[Oth. ch. DW 2015]]</f>
        <v>0</v>
      </c>
      <c r="J205" s="322"/>
      <c r="K205" s="323"/>
      <c r="L205" s="323"/>
      <c r="M205" s="324"/>
      <c r="N205" s="1257">
        <f>Tabel668917263329[[#This Row],[Sew. 2015]]+Tabel668917263329[[#This Row],[WW 2015]]+Tabel668917263329[[#This Row],[Other ch. 2015]]</f>
        <v>0</v>
      </c>
      <c r="O205" s="1258"/>
      <c r="P205" s="318">
        <f>Tabel668917263329[[#This Row],[Total. ch. DW 2015]]+Tabel668917263329[[#This Row],[Sew. 2015]]+Tabel668917263329[[#This Row],[WW 2015]]+Tabel668917263329[[#This Row],[Other ch. 2015]]+Tabel668917263329[[#This Row],[VAT 2015]]</f>
        <v>0</v>
      </c>
      <c r="Q205" s="397"/>
      <c r="R205" s="358"/>
      <c r="S205" s="359"/>
      <c r="T205" s="360"/>
      <c r="U205" s="361"/>
      <c r="V205" s="362"/>
      <c r="W205" s="363"/>
      <c r="X205" s="364"/>
      <c r="Y205" s="365"/>
      <c r="Z205" s="366"/>
      <c r="AA205" s="397"/>
      <c r="AB205" s="662" t="s">
        <v>429</v>
      </c>
      <c r="AC205" s="662" t="s">
        <v>429</v>
      </c>
      <c r="AD205" s="398"/>
      <c r="AE205" s="398"/>
      <c r="AF205" s="398"/>
      <c r="AG205" s="398"/>
      <c r="AH205" s="398"/>
      <c r="AI205" s="397"/>
    </row>
    <row r="206" spans="1:35" ht="15.75" hidden="1" x14ac:dyDescent="0.25">
      <c r="A206" s="1757"/>
      <c r="B206" s="1213"/>
      <c r="C206" s="639" t="s">
        <v>206</v>
      </c>
      <c r="D206" s="1760"/>
      <c r="E206" s="617">
        <f>'[1]exchange rates'!$M$51</f>
        <v>0.67854999999999999</v>
      </c>
      <c r="F206" s="319"/>
      <c r="G206" s="320"/>
      <c r="H206" s="321"/>
      <c r="I206" s="313">
        <f>Tabel668917263329[[#This Row],[Fix.ch. 2015]]+Tabel668917263329[[#This Row],[Var. ch. 2015]]+Tabel668917263329[[#This Row],[Oth. ch. DW 2015]]</f>
        <v>0</v>
      </c>
      <c r="J206" s="322"/>
      <c r="K206" s="323"/>
      <c r="L206" s="323"/>
      <c r="M206" s="324"/>
      <c r="N206" s="1257">
        <f>Tabel668917263329[[#This Row],[Sew. 2015]]+Tabel668917263329[[#This Row],[WW 2015]]+Tabel668917263329[[#This Row],[Other ch. 2015]]</f>
        <v>0</v>
      </c>
      <c r="O206" s="1258"/>
      <c r="P206" s="318">
        <f>Tabel668917263329[[#This Row],[Total. ch. DW 2015]]+Tabel668917263329[[#This Row],[Sew. 2015]]+Tabel668917263329[[#This Row],[WW 2015]]+Tabel668917263329[[#This Row],[Other ch. 2015]]+Tabel668917263329[[#This Row],[VAT 2015]]</f>
        <v>0</v>
      </c>
      <c r="Q206" s="397"/>
      <c r="R206" s="358"/>
      <c r="S206" s="359"/>
      <c r="T206" s="360"/>
      <c r="U206" s="361"/>
      <c r="V206" s="362"/>
      <c r="W206" s="363"/>
      <c r="X206" s="364"/>
      <c r="Y206" s="365"/>
      <c r="Z206" s="366"/>
      <c r="AA206" s="397"/>
      <c r="AB206" s="662" t="s">
        <v>429</v>
      </c>
      <c r="AC206" s="662" t="s">
        <v>429</v>
      </c>
      <c r="AD206" s="398"/>
      <c r="AE206" s="398"/>
      <c r="AF206" s="398"/>
      <c r="AG206" s="398"/>
      <c r="AH206" s="398"/>
      <c r="AI206" s="397"/>
    </row>
    <row r="207" spans="1:35" ht="15.75" hidden="1" x14ac:dyDescent="0.25">
      <c r="A207" s="1757"/>
      <c r="B207" s="1213"/>
      <c r="C207" s="639" t="s">
        <v>207</v>
      </c>
      <c r="D207" s="1760"/>
      <c r="E207" s="617">
        <f>'[1]exchange rates'!$M$51</f>
        <v>0.67854999999999999</v>
      </c>
      <c r="F207" s="319"/>
      <c r="G207" s="320"/>
      <c r="H207" s="321"/>
      <c r="I207" s="313">
        <f>Tabel668917263329[[#This Row],[Fix.ch. 2015]]+Tabel668917263329[[#This Row],[Var. ch. 2015]]+Tabel668917263329[[#This Row],[Oth. ch. DW 2015]]</f>
        <v>0</v>
      </c>
      <c r="J207" s="322"/>
      <c r="K207" s="323"/>
      <c r="L207" s="323"/>
      <c r="M207" s="324"/>
      <c r="N207" s="1257">
        <f>Tabel668917263329[[#This Row],[Sew. 2015]]+Tabel668917263329[[#This Row],[WW 2015]]+Tabel668917263329[[#This Row],[Other ch. 2015]]</f>
        <v>0</v>
      </c>
      <c r="O207" s="1258"/>
      <c r="P207" s="318">
        <f>Tabel668917263329[[#This Row],[Total. ch. DW 2015]]+Tabel668917263329[[#This Row],[Sew. 2015]]+Tabel668917263329[[#This Row],[WW 2015]]+Tabel668917263329[[#This Row],[Other ch. 2015]]+Tabel668917263329[[#This Row],[VAT 2015]]</f>
        <v>0</v>
      </c>
      <c r="Q207" s="397"/>
      <c r="R207" s="358"/>
      <c r="S207" s="359"/>
      <c r="T207" s="360"/>
      <c r="U207" s="361"/>
      <c r="V207" s="362"/>
      <c r="W207" s="363"/>
      <c r="X207" s="364"/>
      <c r="Y207" s="365"/>
      <c r="Z207" s="366"/>
      <c r="AA207" s="397"/>
      <c r="AB207" s="662" t="s">
        <v>429</v>
      </c>
      <c r="AC207" s="662" t="s">
        <v>429</v>
      </c>
      <c r="AD207" s="398"/>
      <c r="AE207" s="398"/>
      <c r="AF207" s="398"/>
      <c r="AG207" s="398"/>
      <c r="AH207" s="398"/>
      <c r="AI207" s="397"/>
    </row>
    <row r="208" spans="1:35" ht="15.75" hidden="1" x14ac:dyDescent="0.25">
      <c r="A208" s="1757"/>
      <c r="B208" s="1213"/>
      <c r="C208" s="639" t="s">
        <v>208</v>
      </c>
      <c r="D208" s="1760"/>
      <c r="E208" s="617">
        <f>'[1]exchange rates'!$M$51</f>
        <v>0.67854999999999999</v>
      </c>
      <c r="F208" s="319"/>
      <c r="G208" s="320"/>
      <c r="H208" s="321"/>
      <c r="I208" s="313">
        <f>Tabel668917263329[[#This Row],[Fix.ch. 2015]]+Tabel668917263329[[#This Row],[Var. ch. 2015]]+Tabel668917263329[[#This Row],[Oth. ch. DW 2015]]</f>
        <v>0</v>
      </c>
      <c r="J208" s="322"/>
      <c r="K208" s="323"/>
      <c r="L208" s="323"/>
      <c r="M208" s="324"/>
      <c r="N208" s="1257">
        <f>Tabel668917263329[[#This Row],[Sew. 2015]]+Tabel668917263329[[#This Row],[WW 2015]]+Tabel668917263329[[#This Row],[Other ch. 2015]]</f>
        <v>0</v>
      </c>
      <c r="O208" s="1258"/>
      <c r="P208" s="318">
        <f>Tabel668917263329[[#This Row],[Total. ch. DW 2015]]+Tabel668917263329[[#This Row],[Sew. 2015]]+Tabel668917263329[[#This Row],[WW 2015]]+Tabel668917263329[[#This Row],[Other ch. 2015]]+Tabel668917263329[[#This Row],[VAT 2015]]</f>
        <v>0</v>
      </c>
      <c r="Q208" s="397"/>
      <c r="R208" s="358"/>
      <c r="S208" s="359"/>
      <c r="T208" s="360"/>
      <c r="U208" s="361"/>
      <c r="V208" s="362"/>
      <c r="W208" s="363"/>
      <c r="X208" s="364"/>
      <c r="Y208" s="365"/>
      <c r="Z208" s="366"/>
      <c r="AA208" s="397"/>
      <c r="AB208" s="662" t="s">
        <v>429</v>
      </c>
      <c r="AC208" s="662" t="s">
        <v>429</v>
      </c>
      <c r="AD208" s="398"/>
      <c r="AE208" s="398"/>
      <c r="AF208" s="398"/>
      <c r="AG208" s="398"/>
      <c r="AH208" s="398"/>
      <c r="AI208" s="397"/>
    </row>
    <row r="209" spans="1:35" ht="15.75" hidden="1" x14ac:dyDescent="0.25">
      <c r="A209" s="1757"/>
      <c r="B209" s="1213"/>
      <c r="C209" s="639" t="s">
        <v>209</v>
      </c>
      <c r="D209" s="1760"/>
      <c r="E209" s="617">
        <f>'[1]exchange rates'!$M$51</f>
        <v>0.67854999999999999</v>
      </c>
      <c r="F209" s="319"/>
      <c r="G209" s="320"/>
      <c r="H209" s="321"/>
      <c r="I209" s="313">
        <f>Tabel668917263329[[#This Row],[Fix.ch. 2015]]+Tabel668917263329[[#This Row],[Var. ch. 2015]]+Tabel668917263329[[#This Row],[Oth. ch. DW 2015]]</f>
        <v>0</v>
      </c>
      <c r="J209" s="322"/>
      <c r="K209" s="323"/>
      <c r="L209" s="323"/>
      <c r="M209" s="324"/>
      <c r="N209" s="1257">
        <f>Tabel668917263329[[#This Row],[Sew. 2015]]+Tabel668917263329[[#This Row],[WW 2015]]+Tabel668917263329[[#This Row],[Other ch. 2015]]</f>
        <v>0</v>
      </c>
      <c r="O209" s="1258"/>
      <c r="P209" s="318">
        <f>Tabel668917263329[[#This Row],[Total. ch. DW 2015]]+Tabel668917263329[[#This Row],[Sew. 2015]]+Tabel668917263329[[#This Row],[WW 2015]]+Tabel668917263329[[#This Row],[Other ch. 2015]]+Tabel668917263329[[#This Row],[VAT 2015]]</f>
        <v>0</v>
      </c>
      <c r="Q209" s="397"/>
      <c r="R209" s="358"/>
      <c r="S209" s="359"/>
      <c r="T209" s="360"/>
      <c r="U209" s="361"/>
      <c r="V209" s="362"/>
      <c r="W209" s="363"/>
      <c r="X209" s="364"/>
      <c r="Y209" s="365"/>
      <c r="Z209" s="366"/>
      <c r="AA209" s="397"/>
      <c r="AB209" s="662" t="s">
        <v>429</v>
      </c>
      <c r="AC209" s="662" t="s">
        <v>429</v>
      </c>
      <c r="AD209" s="398"/>
      <c r="AE209" s="398"/>
      <c r="AF209" s="398"/>
      <c r="AG209" s="398"/>
      <c r="AH209" s="398"/>
      <c r="AI209" s="397"/>
    </row>
    <row r="210" spans="1:35" ht="15.75" hidden="1" x14ac:dyDescent="0.25">
      <c r="A210" s="1757"/>
      <c r="B210" s="1213"/>
      <c r="C210" s="639" t="s">
        <v>210</v>
      </c>
      <c r="D210" s="1760"/>
      <c r="E210" s="617">
        <f>'[1]exchange rates'!$M$51</f>
        <v>0.67854999999999999</v>
      </c>
      <c r="F210" s="319"/>
      <c r="G210" s="320"/>
      <c r="H210" s="321"/>
      <c r="I210" s="313">
        <f>Tabel668917263329[[#This Row],[Fix.ch. 2015]]+Tabel668917263329[[#This Row],[Var. ch. 2015]]+Tabel668917263329[[#This Row],[Oth. ch. DW 2015]]</f>
        <v>0</v>
      </c>
      <c r="J210" s="322"/>
      <c r="K210" s="323"/>
      <c r="L210" s="323"/>
      <c r="M210" s="324"/>
      <c r="N210" s="1257">
        <f>Tabel668917263329[[#This Row],[Sew. 2015]]+Tabel668917263329[[#This Row],[WW 2015]]+Tabel668917263329[[#This Row],[Other ch. 2015]]</f>
        <v>0</v>
      </c>
      <c r="O210" s="1258"/>
      <c r="P210" s="318">
        <f>Tabel668917263329[[#This Row],[Total. ch. DW 2015]]+Tabel668917263329[[#This Row],[Sew. 2015]]+Tabel668917263329[[#This Row],[WW 2015]]+Tabel668917263329[[#This Row],[Other ch. 2015]]+Tabel668917263329[[#This Row],[VAT 2015]]</f>
        <v>0</v>
      </c>
      <c r="Q210" s="397"/>
      <c r="R210" s="358"/>
      <c r="S210" s="359"/>
      <c r="T210" s="360"/>
      <c r="U210" s="361"/>
      <c r="V210" s="362"/>
      <c r="W210" s="363"/>
      <c r="X210" s="364"/>
      <c r="Y210" s="365"/>
      <c r="Z210" s="366"/>
      <c r="AA210" s="397"/>
      <c r="AB210" s="662" t="s">
        <v>429</v>
      </c>
      <c r="AC210" s="662" t="s">
        <v>429</v>
      </c>
      <c r="AD210" s="398"/>
      <c r="AE210" s="398"/>
      <c r="AF210" s="398"/>
      <c r="AG210" s="398"/>
      <c r="AH210" s="398"/>
      <c r="AI210" s="397"/>
    </row>
    <row r="211" spans="1:35" ht="16.5" hidden="1" thickBot="1" x14ac:dyDescent="0.3">
      <c r="A211" s="1758"/>
      <c r="B211" s="1213"/>
      <c r="C211" s="1305" t="s">
        <v>211</v>
      </c>
      <c r="D211" s="1923"/>
      <c r="E211" s="617">
        <f>'[1]exchange rates'!$M$51</f>
        <v>0.67854999999999999</v>
      </c>
      <c r="F211" s="319"/>
      <c r="G211" s="320"/>
      <c r="H211" s="321"/>
      <c r="I211" s="313">
        <f>Tabel668917263329[[#This Row],[Fix.ch. 2015]]+Tabel668917263329[[#This Row],[Var. ch. 2015]]+Tabel668917263329[[#This Row],[Oth. ch. DW 2015]]</f>
        <v>0</v>
      </c>
      <c r="J211" s="322"/>
      <c r="K211" s="323"/>
      <c r="L211" s="323"/>
      <c r="M211" s="324"/>
      <c r="N211" s="1257">
        <f>Tabel668917263329[[#This Row],[Sew. 2015]]+Tabel668917263329[[#This Row],[WW 2015]]+Tabel668917263329[[#This Row],[Other ch. 2015]]</f>
        <v>0</v>
      </c>
      <c r="O211" s="1258"/>
      <c r="P211" s="318">
        <f>Tabel668917263329[[#This Row],[Total. ch. DW 2015]]+Tabel668917263329[[#This Row],[Sew. 2015]]+Tabel668917263329[[#This Row],[WW 2015]]+Tabel668917263329[[#This Row],[Other ch. 2015]]+Tabel668917263329[[#This Row],[VAT 2015]]</f>
        <v>0</v>
      </c>
      <c r="Q211" s="397"/>
      <c r="R211" s="358"/>
      <c r="S211" s="359"/>
      <c r="T211" s="360"/>
      <c r="U211" s="361"/>
      <c r="V211" s="362"/>
      <c r="W211" s="363"/>
      <c r="X211" s="364"/>
      <c r="Y211" s="365"/>
      <c r="Z211" s="366"/>
      <c r="AA211" s="397"/>
      <c r="AB211" s="662" t="s">
        <v>429</v>
      </c>
      <c r="AC211" s="662" t="s">
        <v>429</v>
      </c>
      <c r="AD211" s="398"/>
      <c r="AE211" s="398"/>
      <c r="AF211" s="398"/>
      <c r="AG211" s="398"/>
      <c r="AH211" s="398"/>
      <c r="AI211" s="397"/>
    </row>
    <row r="212" spans="1:35" ht="15.75" hidden="1" x14ac:dyDescent="0.25">
      <c r="A212" s="2150" t="s">
        <v>41</v>
      </c>
      <c r="B212" s="1617"/>
      <c r="C212" s="261" t="s">
        <v>192</v>
      </c>
      <c r="D212" s="2288"/>
      <c r="E212" s="306"/>
      <c r="F212" s="325"/>
      <c r="G212" s="326"/>
      <c r="H212" s="327"/>
      <c r="I212" s="313">
        <f>Tabel668917263329[[#This Row],[Fix.ch. 2015]]+Tabel668917263329[[#This Row],[Var. ch. 2015]]+Tabel668917263329[[#This Row],[Oth. ch. DW 2015]]</f>
        <v>0</v>
      </c>
      <c r="J212" s="328"/>
      <c r="K212" s="329"/>
      <c r="L212" s="329"/>
      <c r="M212" s="330"/>
      <c r="N212" s="1277">
        <f>Tabel668917263329[[#This Row],[Sew. 2015]]+Tabel668917263329[[#This Row],[WW 2015]]+Tabel668917263329[[#This Row],[Other ch. 2015]]</f>
        <v>0</v>
      </c>
      <c r="O212" s="1278"/>
      <c r="P212" s="318">
        <f>Tabel668917263329[[#This Row],[Total. ch. DW 2015]]+Tabel668917263329[[#This Row],[Sew. 2015]]+Tabel668917263329[[#This Row],[WW 2015]]+Tabel668917263329[[#This Row],[Other ch. 2015]]+Tabel668917263329[[#This Row],[VAT 2015]]</f>
        <v>0</v>
      </c>
      <c r="Q212" s="397"/>
      <c r="R212" s="358"/>
      <c r="S212" s="359"/>
      <c r="T212" s="360"/>
      <c r="U212" s="361"/>
      <c r="V212" s="362"/>
      <c r="W212" s="363"/>
      <c r="X212" s="364"/>
      <c r="Y212" s="365"/>
      <c r="Z212" s="366"/>
      <c r="AA212" s="397"/>
      <c r="AB212" s="398"/>
      <c r="AC212" s="398"/>
      <c r="AD212" s="398"/>
      <c r="AE212" s="398"/>
      <c r="AF212" s="398"/>
      <c r="AG212" s="398"/>
      <c r="AH212" s="398"/>
      <c r="AI212" s="397"/>
    </row>
    <row r="213" spans="1:35" ht="15.75" hidden="1" x14ac:dyDescent="0.25">
      <c r="A213" s="2151"/>
      <c r="B213" s="1617"/>
      <c r="C213" s="261" t="s">
        <v>193</v>
      </c>
      <c r="D213" s="2289"/>
      <c r="E213" s="306"/>
      <c r="F213" s="325"/>
      <c r="G213" s="326"/>
      <c r="H213" s="327"/>
      <c r="I213" s="313">
        <f>Tabel668917263329[[#This Row],[Fix.ch. 2015]]+Tabel668917263329[[#This Row],[Var. ch. 2015]]+Tabel668917263329[[#This Row],[Oth. ch. DW 2015]]</f>
        <v>0</v>
      </c>
      <c r="J213" s="328"/>
      <c r="K213" s="329"/>
      <c r="L213" s="329"/>
      <c r="M213" s="330"/>
      <c r="N213" s="1277">
        <f>Tabel668917263329[[#This Row],[Sew. 2015]]+Tabel668917263329[[#This Row],[WW 2015]]+Tabel668917263329[[#This Row],[Other ch. 2015]]</f>
        <v>0</v>
      </c>
      <c r="O213" s="1278"/>
      <c r="P213" s="318">
        <f>Tabel668917263329[[#This Row],[Total. ch. DW 2015]]+Tabel668917263329[[#This Row],[Sew. 2015]]+Tabel668917263329[[#This Row],[WW 2015]]+Tabel668917263329[[#This Row],[Other ch. 2015]]+Tabel668917263329[[#This Row],[VAT 2015]]</f>
        <v>0</v>
      </c>
      <c r="Q213" s="397"/>
      <c r="R213" s="358"/>
      <c r="S213" s="359"/>
      <c r="T213" s="360"/>
      <c r="U213" s="361"/>
      <c r="V213" s="362"/>
      <c r="W213" s="363"/>
      <c r="X213" s="364"/>
      <c r="Y213" s="365"/>
      <c r="Z213" s="366"/>
      <c r="AA213" s="397"/>
      <c r="AB213" s="398"/>
      <c r="AC213" s="398"/>
      <c r="AD213" s="398"/>
      <c r="AE213" s="398"/>
      <c r="AF213" s="398"/>
      <c r="AG213" s="398"/>
      <c r="AH213" s="398"/>
      <c r="AI213" s="397"/>
    </row>
    <row r="214" spans="1:35" ht="16.5" hidden="1" thickBot="1" x14ac:dyDescent="0.3">
      <c r="A214" s="2152"/>
      <c r="B214" s="1617"/>
      <c r="C214" s="261" t="s">
        <v>194</v>
      </c>
      <c r="D214" s="2155"/>
      <c r="E214" s="306"/>
      <c r="F214" s="325"/>
      <c r="G214" s="326"/>
      <c r="H214" s="327"/>
      <c r="I214" s="313">
        <f>Tabel668917263329[[#This Row],[Fix.ch. 2015]]+Tabel668917263329[[#This Row],[Var. ch. 2015]]+Tabel668917263329[[#This Row],[Oth. ch. DW 2015]]</f>
        <v>0</v>
      </c>
      <c r="J214" s="328"/>
      <c r="K214" s="329"/>
      <c r="L214" s="329"/>
      <c r="M214" s="330"/>
      <c r="N214" s="1277">
        <f>Tabel668917263329[[#This Row],[Sew. 2015]]+Tabel668917263329[[#This Row],[WW 2015]]+Tabel668917263329[[#This Row],[Other ch. 2015]]</f>
        <v>0</v>
      </c>
      <c r="O214" s="1278"/>
      <c r="P214" s="318">
        <f>Tabel668917263329[[#This Row],[Total. ch. DW 2015]]+Tabel668917263329[[#This Row],[Sew. 2015]]+Tabel668917263329[[#This Row],[WW 2015]]+Tabel668917263329[[#This Row],[Other ch. 2015]]+Tabel668917263329[[#This Row],[VAT 2015]]</f>
        <v>0</v>
      </c>
      <c r="Q214" s="397"/>
      <c r="R214" s="367"/>
      <c r="S214" s="368"/>
      <c r="T214" s="369"/>
      <c r="U214" s="370"/>
      <c r="V214" s="371"/>
      <c r="W214" s="372"/>
      <c r="X214" s="373"/>
      <c r="Y214" s="374"/>
      <c r="Z214" s="375"/>
      <c r="AA214" s="397"/>
      <c r="AB214" s="398"/>
      <c r="AC214" s="398"/>
      <c r="AD214" s="398"/>
      <c r="AE214" s="398"/>
      <c r="AF214" s="398"/>
      <c r="AG214" s="398"/>
      <c r="AH214" s="398"/>
      <c r="AI214" s="397"/>
    </row>
    <row r="215" spans="1:35" ht="19.5" hidden="1" thickBot="1" x14ac:dyDescent="0.35">
      <c r="A215" s="270" t="s">
        <v>42</v>
      </c>
      <c r="B215" s="1616"/>
      <c r="C215" s="1049" t="s">
        <v>42</v>
      </c>
      <c r="D215" s="1256">
        <v>59900</v>
      </c>
      <c r="E215" s="306">
        <v>1.2966299999999999</v>
      </c>
      <c r="F215" s="319">
        <v>0</v>
      </c>
      <c r="G215" s="320">
        <f>234/E215</f>
        <v>180.46782813909905</v>
      </c>
      <c r="H215" s="321">
        <f>70.2/E215</f>
        <v>54.140348441729721</v>
      </c>
      <c r="I215" s="313">
        <f>Tabel668917263329[[#This Row],[Fix.ch. 2015]]+Tabel668917263329[[#This Row],[Var. ch. 2015]]+Tabel668917263329[[#This Row],[Oth. ch. DW 2015]]</f>
        <v>234.60817658082877</v>
      </c>
      <c r="J215" s="322">
        <v>0</v>
      </c>
      <c r="K215" s="323">
        <f>56.06/E215</f>
        <v>43.23515574990553</v>
      </c>
      <c r="L215" s="323"/>
      <c r="M215" s="324">
        <f>67.29/E215</f>
        <v>51.896069040512721</v>
      </c>
      <c r="N215" s="1257">
        <f>Tabel668917263329[[#This Row],[Sew. 2015]]+Tabel668917263329[[#This Row],[WW 2015]]+Tabel668917263329[[#This Row],[Other ch. 2015]]</f>
        <v>95.131224790418258</v>
      </c>
      <c r="O215" s="1258">
        <f>29.93/E215</f>
        <v>23.082914941039466</v>
      </c>
      <c r="P215" s="318">
        <f>Tabel668917263329[[#This Row],[Total. ch. DW 2015]]+Tabel668917263329[[#This Row],[Sew. 2015]]+Tabel668917263329[[#This Row],[WW 2015]]+Tabel668917263329[[#This Row],[Other ch. 2015]]+Tabel668917263329[[#This Row],[VAT 2015]]</f>
        <v>352.82231631228649</v>
      </c>
      <c r="Q215" s="397"/>
      <c r="R215" s="1228">
        <f>Tabel668917263329[[#This Row],[Fix.ch. 2015]]</f>
        <v>0</v>
      </c>
      <c r="S215" s="1229">
        <f>Tabel668917263329[[#This Row],[Var. ch. 2015]]</f>
        <v>180.46782813909905</v>
      </c>
      <c r="T215" s="1230">
        <f>Tabel668917263329[[#This Row],[Oth. ch. DW 2015]]</f>
        <v>54.140348441729721</v>
      </c>
      <c r="U215" s="1231">
        <f>Tabel668917263329[[#This Row],[Total. ch. DW 2015]]</f>
        <v>234.60817658082877</v>
      </c>
      <c r="V215" s="1232">
        <f>Tabel668917263329[[#This Row],[Sew. 2015]]</f>
        <v>0</v>
      </c>
      <c r="W215" s="1233">
        <f>Tabel668917263329[[#This Row],[WW 2015]]</f>
        <v>43.23515574990553</v>
      </c>
      <c r="X215" s="1234">
        <f>Tabel668917263329[[#This Row],[Other ch. 2015]]</f>
        <v>51.896069040512721</v>
      </c>
      <c r="Y215" s="1235">
        <f>Tabel668917263329[[#This Row],[VAT 2015]]</f>
        <v>23.082914941039466</v>
      </c>
      <c r="Z215" s="1236">
        <f>Tabel668917263329[[#This Row],[total charge 2015]]</f>
        <v>352.82231631228649</v>
      </c>
      <c r="AA215" s="397"/>
      <c r="AB215" s="398"/>
      <c r="AC215" s="398"/>
      <c r="AD215" s="398"/>
      <c r="AE215" s="396" t="s">
        <v>429</v>
      </c>
      <c r="AF215" s="398"/>
      <c r="AG215" s="398"/>
      <c r="AH215" s="398"/>
      <c r="AI215" s="397"/>
    </row>
    <row r="216" spans="1:35" ht="15.75" hidden="1" x14ac:dyDescent="0.25">
      <c r="A216" s="1833" t="s">
        <v>24</v>
      </c>
      <c r="B216" s="1617"/>
      <c r="C216" s="298" t="s">
        <v>140</v>
      </c>
      <c r="D216" s="2210">
        <v>23400</v>
      </c>
      <c r="E216" s="307">
        <v>0.77166999999999997</v>
      </c>
      <c r="F216" s="319">
        <f>0.9*200/E216</f>
        <v>233.26033148884886</v>
      </c>
      <c r="G216" s="320">
        <v>0</v>
      </c>
      <c r="H216" s="321">
        <v>0</v>
      </c>
      <c r="I216" s="313">
        <f>Tabel668917263329[[#This Row],[Fix.ch. 2015]]+Tabel668917263329[[#This Row],[Var. ch. 2015]]+Tabel668917263329[[#This Row],[Oth. ch. DW 2015]]</f>
        <v>233.26033148884886</v>
      </c>
      <c r="J216" s="322">
        <f>1.02*200/E216</f>
        <v>264.3617090206954</v>
      </c>
      <c r="K216" s="323">
        <v>0</v>
      </c>
      <c r="L216" s="323"/>
      <c r="M216" s="324">
        <v>0</v>
      </c>
      <c r="N216" s="1257">
        <f>Tabel668917263329[[#This Row],[Sew. 2015]]+Tabel668917263329[[#This Row],[WW 2015]]+Tabel668917263329[[#This Row],[Other ch. 2015]]</f>
        <v>264.3617090206954</v>
      </c>
      <c r="O216" s="1258">
        <f>0.4*200/E216</f>
        <v>103.67125843948838</v>
      </c>
      <c r="P216" s="318">
        <f>Tabel668917263329[[#This Row],[Total. ch. DW 2015]]+Tabel668917263329[[#This Row],[Sew. 2015]]+Tabel668917263329[[#This Row],[WW 2015]]+Tabel668917263329[[#This Row],[Other ch. 2015]]+Tabel668917263329[[#This Row],[VAT 2015]]</f>
        <v>601.29329894903265</v>
      </c>
      <c r="Q216" s="397"/>
      <c r="R216" s="2211">
        <f>SUM(F216:F218)/3</f>
        <v>264.3617090206954</v>
      </c>
      <c r="S216" s="2212">
        <v>0</v>
      </c>
      <c r="T216" s="2213">
        <v>0</v>
      </c>
      <c r="U216" s="2214">
        <f>SUM(I216:I218)/3</f>
        <v>264.3617090206954</v>
      </c>
      <c r="V216" s="2215">
        <f>SUM(J216:J218)/3</f>
        <v>282.50417924760586</v>
      </c>
      <c r="W216" s="2216">
        <v>0</v>
      </c>
      <c r="X216" s="2217">
        <v>0</v>
      </c>
      <c r="Y216" s="2218">
        <f>SUM(O216:O218)/3</f>
        <v>113.17445712977481</v>
      </c>
      <c r="Z216" s="2219">
        <f>SUM(P216:P218)/3</f>
        <v>660.04034539807606</v>
      </c>
      <c r="AA216" s="397"/>
      <c r="AB216" s="398"/>
      <c r="AC216" s="396" t="s">
        <v>429</v>
      </c>
      <c r="AD216" s="396" t="s">
        <v>429</v>
      </c>
      <c r="AE216" s="396"/>
      <c r="AF216" s="396" t="s">
        <v>429</v>
      </c>
      <c r="AG216" s="398"/>
      <c r="AH216" s="398"/>
      <c r="AI216" s="397"/>
    </row>
    <row r="217" spans="1:35" ht="15.75" hidden="1" x14ac:dyDescent="0.25">
      <c r="A217" s="2297"/>
      <c r="B217" s="1617"/>
      <c r="C217" s="298" t="s">
        <v>141</v>
      </c>
      <c r="D217" s="2157"/>
      <c r="E217" s="307">
        <v>0.77166999999999997</v>
      </c>
      <c r="F217" s="319">
        <f>0.96*200/E217</f>
        <v>248.81102025477213</v>
      </c>
      <c r="G217" s="320">
        <v>0</v>
      </c>
      <c r="H217" s="321">
        <v>0</v>
      </c>
      <c r="I217" s="313">
        <f>Tabel668917263329[[#This Row],[Fix.ch. 2015]]+Tabel668917263329[[#This Row],[Var. ch. 2015]]+Tabel668917263329[[#This Row],[Oth. ch. DW 2015]]</f>
        <v>248.81102025477213</v>
      </c>
      <c r="J217" s="322">
        <f>1.1*200/E217</f>
        <v>285.09596070859311</v>
      </c>
      <c r="K217" s="323">
        <v>0</v>
      </c>
      <c r="L217" s="323"/>
      <c r="M217" s="324">
        <v>0</v>
      </c>
      <c r="N217" s="1257">
        <f>Tabel668917263329[[#This Row],[Sew. 2015]]+Tabel668917263329[[#This Row],[WW 2015]]+Tabel668917263329[[#This Row],[Other ch. 2015]]</f>
        <v>285.09596070859311</v>
      </c>
      <c r="O217" s="1258">
        <f>0.44*200/E217</f>
        <v>114.03838428343722</v>
      </c>
      <c r="P217" s="318">
        <f>Tabel668917263329[[#This Row],[Total. ch. DW 2015]]+Tabel668917263329[[#This Row],[Sew. 2015]]+Tabel668917263329[[#This Row],[WW 2015]]+Tabel668917263329[[#This Row],[Other ch. 2015]]+Tabel668917263329[[#This Row],[VAT 2015]]</f>
        <v>647.94536524680245</v>
      </c>
      <c r="Q217" s="397"/>
      <c r="R217" s="2158"/>
      <c r="S217" s="2159"/>
      <c r="T217" s="2160"/>
      <c r="U217" s="2141"/>
      <c r="V217" s="2142"/>
      <c r="W217" s="2143"/>
      <c r="X217" s="2144"/>
      <c r="Y217" s="2145"/>
      <c r="Z217" s="2146"/>
      <c r="AA217" s="397"/>
      <c r="AB217" s="398"/>
      <c r="AC217" s="396" t="s">
        <v>429</v>
      </c>
      <c r="AD217" s="396" t="s">
        <v>429</v>
      </c>
      <c r="AE217" s="396"/>
      <c r="AF217" s="396" t="s">
        <v>429</v>
      </c>
      <c r="AG217" s="398"/>
      <c r="AH217" s="398"/>
      <c r="AI217" s="397"/>
    </row>
    <row r="218" spans="1:35" ht="16.5" hidden="1" thickBot="1" x14ac:dyDescent="0.3">
      <c r="A218" s="2298"/>
      <c r="B218" s="1617"/>
      <c r="C218" s="293" t="s">
        <v>142</v>
      </c>
      <c r="D218" s="2221"/>
      <c r="E218" s="307">
        <v>0.77166999999999997</v>
      </c>
      <c r="F218" s="319">
        <f>1.2*200/E218</f>
        <v>311.01377531846515</v>
      </c>
      <c r="G218" s="320">
        <v>0</v>
      </c>
      <c r="H218" s="321">
        <v>0</v>
      </c>
      <c r="I218" s="313">
        <f>Tabel668917263329[[#This Row],[Fix.ch. 2015]]+Tabel668917263329[[#This Row],[Var. ch. 2015]]+Tabel668917263329[[#This Row],[Oth. ch. DW 2015]]</f>
        <v>311.01377531846515</v>
      </c>
      <c r="J218" s="322">
        <f>1.15*200/E218</f>
        <v>298.05486801352907</v>
      </c>
      <c r="K218" s="323">
        <v>0</v>
      </c>
      <c r="L218" s="323"/>
      <c r="M218" s="324">
        <v>0</v>
      </c>
      <c r="N218" s="1257">
        <f>Tabel668917263329[[#This Row],[Sew. 2015]]+Tabel668917263329[[#This Row],[WW 2015]]+Tabel668917263329[[#This Row],[Other ch. 2015]]</f>
        <v>298.05486801352907</v>
      </c>
      <c r="O218" s="1258">
        <f>0.47*200/E218</f>
        <v>121.81372866639886</v>
      </c>
      <c r="P218" s="318">
        <f>Tabel668917263329[[#This Row],[Total. ch. DW 2015]]+Tabel668917263329[[#This Row],[Sew. 2015]]+Tabel668917263329[[#This Row],[WW 2015]]+Tabel668917263329[[#This Row],[Other ch. 2015]]+Tabel668917263329[[#This Row],[VAT 2015]]</f>
        <v>730.88237199839318</v>
      </c>
      <c r="Q218" s="397"/>
      <c r="R218" s="2223"/>
      <c r="S218" s="2225"/>
      <c r="T218" s="2227"/>
      <c r="U218" s="2234"/>
      <c r="V218" s="2236"/>
      <c r="W218" s="2238"/>
      <c r="X218" s="2240"/>
      <c r="Y218" s="2242"/>
      <c r="Z218" s="2244"/>
      <c r="AA218" s="397"/>
      <c r="AB218" s="398"/>
      <c r="AC218" s="396" t="s">
        <v>429</v>
      </c>
      <c r="AD218" s="396" t="s">
        <v>429</v>
      </c>
      <c r="AE218" s="396"/>
      <c r="AF218" s="396" t="s">
        <v>429</v>
      </c>
      <c r="AG218" s="398"/>
      <c r="AH218" s="398"/>
      <c r="AI218" s="397"/>
    </row>
    <row r="219" spans="1:35" ht="19.5" hidden="1" thickBot="1" x14ac:dyDescent="0.35">
      <c r="A219" s="267" t="s">
        <v>43</v>
      </c>
      <c r="B219" s="1616"/>
      <c r="C219" s="294" t="s">
        <v>644</v>
      </c>
      <c r="D219" s="1256">
        <v>11500</v>
      </c>
      <c r="E219" s="306">
        <f>'[1]exchange rates'!K55</f>
        <v>10.498559999999999</v>
      </c>
      <c r="F219" s="319">
        <v>0</v>
      </c>
      <c r="G219" s="320">
        <f>1099.22/E219</f>
        <v>104.70197817605462</v>
      </c>
      <c r="H219" s="321">
        <v>0</v>
      </c>
      <c r="I219" s="313">
        <f>Tabel668917263329[[#This Row],[Fix.ch. 2015]]+Tabel668917263329[[#This Row],[Var. ch. 2015]]+Tabel668917263329[[#This Row],[Oth. ch. DW 2015]]</f>
        <v>104.70197817605462</v>
      </c>
      <c r="J219" s="322">
        <f>860.9/E219</f>
        <v>82.00172214094124</v>
      </c>
      <c r="K219" s="323">
        <v>0</v>
      </c>
      <c r="L219" s="323"/>
      <c r="M219" s="324">
        <v>0</v>
      </c>
      <c r="N219" s="1257">
        <f>Tabel668917263329[[#This Row],[Sew. 2015]]+Tabel668917263329[[#This Row],[WW 2015]]+Tabel668917263329[[#This Row],[Other ch. 2015]]</f>
        <v>82.00172214094124</v>
      </c>
      <c r="O219" s="1278">
        <f>274.42/E219</f>
        <v>26.138822848085837</v>
      </c>
      <c r="P219" s="318">
        <f>Tabel668917263329[[#This Row],[Total. ch. DW 2015]]+Tabel668917263329[[#This Row],[Sew. 2015]]+Tabel668917263329[[#This Row],[WW 2015]]+Tabel668917263329[[#This Row],[Other ch. 2015]]+Tabel668917263329[[#This Row],[VAT 2015]]</f>
        <v>212.84252316508173</v>
      </c>
      <c r="Q219" s="397"/>
      <c r="R219" s="1259">
        <f>Tabel668917263329[[#This Row],[Fix.ch. 2015]]</f>
        <v>0</v>
      </c>
      <c r="S219" s="1260">
        <f>Tabel668917263329[[#This Row],[Var. ch. 2015]]</f>
        <v>104.70197817605462</v>
      </c>
      <c r="T219" s="1230">
        <f>Tabel668917263329[[#This Row],[Oth. ch. DW 2015]]</f>
        <v>0</v>
      </c>
      <c r="U219" s="1231">
        <f>Tabel668917263329[[#This Row],[Total. ch. DW 2015]]</f>
        <v>104.70197817605462</v>
      </c>
      <c r="V219" s="1232">
        <f>Tabel668917263329[[#This Row],[Sew. 2015]]</f>
        <v>82.00172214094124</v>
      </c>
      <c r="W219" s="1233">
        <f>Tabel668917263329[[#This Row],[WW 2015]]</f>
        <v>0</v>
      </c>
      <c r="X219" s="1234">
        <f>Tabel668917263329[[#This Row],[Other ch. 2015]]</f>
        <v>0</v>
      </c>
      <c r="Y219" s="1235">
        <f>Tabel668917263329[[#This Row],[VAT 2015]]</f>
        <v>26.138822848085837</v>
      </c>
      <c r="Z219" s="1306">
        <f>SUM(U219:Y219)</f>
        <v>212.84252316508173</v>
      </c>
      <c r="AA219" s="397"/>
      <c r="AB219" s="398"/>
      <c r="AC219" s="398"/>
      <c r="AD219" s="398"/>
      <c r="AE219" s="396" t="s">
        <v>429</v>
      </c>
      <c r="AF219" s="396"/>
      <c r="AG219" s="396" t="s">
        <v>429</v>
      </c>
      <c r="AH219" s="398"/>
      <c r="AI219" s="397"/>
    </row>
    <row r="220" spans="1:35" ht="19.5" hidden="1" thickBot="1" x14ac:dyDescent="0.3">
      <c r="A220" s="267" t="s">
        <v>450</v>
      </c>
      <c r="B220" s="1616"/>
      <c r="C220" s="1289" t="s">
        <v>177</v>
      </c>
      <c r="D220" s="1256">
        <v>40800</v>
      </c>
      <c r="E220" s="306">
        <v>0.97958999999999996</v>
      </c>
      <c r="F220" s="310">
        <f>142.4/E220</f>
        <v>145.36693922967774</v>
      </c>
      <c r="G220" s="311">
        <f>352/E220</f>
        <v>359.33400708459664</v>
      </c>
      <c r="H220" s="312">
        <f>36/E220</f>
        <v>36.750068906379198</v>
      </c>
      <c r="I220" s="313">
        <f>Tabel668917263329[[#This Row],[Fix.ch. 2015]]+Tabel668917263329[[#This Row],[Var. ch. 2015]]+Tabel668917263329[[#This Row],[Oth. ch. DW 2015]]</f>
        <v>541.45101522065352</v>
      </c>
      <c r="J220" s="314">
        <f>457.3/E220</f>
        <v>466.82795863575581</v>
      </c>
      <c r="K220" s="315">
        <f>0</f>
        <v>0</v>
      </c>
      <c r="L220" s="315"/>
      <c r="M220" s="316">
        <v>0</v>
      </c>
      <c r="N220" s="1227">
        <f>Tabel668917263329[[#This Row],[Sew. 2015]]+Tabel668917263329[[#This Row],[WW 2015]]+Tabel668917263329[[#This Row],[Other ch. 2015]]</f>
        <v>466.82795863575581</v>
      </c>
      <c r="O220" s="317">
        <f>0</f>
        <v>0</v>
      </c>
      <c r="P220" s="318">
        <f>Tabel668917263329[[#This Row],[Total. ch. DW 2015]]+Tabel668917263329[[#This Row],[Sew. 2015]]+Tabel668917263329[[#This Row],[WW 2015]]+Tabel668917263329[[#This Row],[Other ch. 2015]]+Tabel668917263329[[#This Row],[VAT 2015]]</f>
        <v>1008.2789738564093</v>
      </c>
      <c r="Q220" s="397"/>
      <c r="R220" s="1259">
        <f>Tabel668917263329[[#This Row],[Fix.ch. 2015]]</f>
        <v>145.36693922967774</v>
      </c>
      <c r="S220" s="1260">
        <v>359.33400708459664</v>
      </c>
      <c r="T220" s="1261">
        <v>36.750068906379198</v>
      </c>
      <c r="U220" s="1262">
        <v>541.45101522065352</v>
      </c>
      <c r="V220" s="1263">
        <v>466.82795863575581</v>
      </c>
      <c r="W220" s="1264">
        <v>0</v>
      </c>
      <c r="X220" s="1265">
        <v>0</v>
      </c>
      <c r="Y220" s="1266">
        <v>0</v>
      </c>
      <c r="Z220" s="1267">
        <v>1008.2789738564093</v>
      </c>
      <c r="AA220" s="397"/>
      <c r="AB220" s="398"/>
      <c r="AC220" s="398"/>
      <c r="AD220" s="398"/>
      <c r="AE220" s="396" t="s">
        <v>429</v>
      </c>
      <c r="AF220" s="396" t="s">
        <v>429</v>
      </c>
      <c r="AG220" s="396" t="s">
        <v>429</v>
      </c>
      <c r="AH220" s="398" t="s">
        <v>452</v>
      </c>
      <c r="AI220" s="397"/>
    </row>
    <row r="221" spans="1:35" ht="15.75" hidden="1" x14ac:dyDescent="0.25">
      <c r="A221" s="1878" t="s">
        <v>25</v>
      </c>
      <c r="B221" s="1213"/>
      <c r="C221" s="693" t="s">
        <v>143</v>
      </c>
      <c r="D221" s="1759">
        <v>36700</v>
      </c>
      <c r="E221" s="617">
        <f>'[1]exchange rates'!$M$56</f>
        <v>1180.2052799999999</v>
      </c>
      <c r="F221" s="549">
        <v>0</v>
      </c>
      <c r="G221" s="550">
        <f>114850/E221</f>
        <v>97.313579210559041</v>
      </c>
      <c r="H221" s="551">
        <v>0</v>
      </c>
      <c r="I221" s="566">
        <f>Tabel668917263329[[#This Row],[Fix.ch. 2015]]+Tabel668917263329[[#This Row],[Var. ch. 2015]]+Tabel668917263329[[#This Row],[Oth. ch. DW 2015]]</f>
        <v>97.313579210559041</v>
      </c>
      <c r="J221" s="567">
        <f>89158/E221</f>
        <v>75.544484939094673</v>
      </c>
      <c r="K221" s="568">
        <v>0</v>
      </c>
      <c r="L221" s="568"/>
      <c r="M221" s="569">
        <v>0</v>
      </c>
      <c r="N221" s="1270">
        <f>Tabel668917263329[[#This Row],[Sew. 2015]]+Tabel668917263329[[#This Row],[WW 2015]]+Tabel668917263329[[#This Row],[Other ch. 2015]]</f>
        <v>75.544484939094673</v>
      </c>
      <c r="O221" s="1271">
        <v>0</v>
      </c>
      <c r="P221" s="571">
        <f>Tabel668917263329[[#This Row],[Total. ch. DW 2015]]+Tabel668917263329[[#This Row],[Sew. 2015]]+Tabel668917263329[[#This Row],[WW 2015]]+Tabel668917263329[[#This Row],[Other ch. 2015]]+Tabel668917263329[[#This Row],[VAT 2015]]</f>
        <v>172.85806414965373</v>
      </c>
      <c r="Q221" s="397"/>
      <c r="R221" s="1762">
        <f t="shared" ref="R221:W221" si="57">SUM(F221:F228)/8</f>
        <v>0</v>
      </c>
      <c r="S221" s="1765">
        <f t="shared" si="57"/>
        <v>107.5882748126665</v>
      </c>
      <c r="T221" s="1768">
        <f t="shared" si="57"/>
        <v>0</v>
      </c>
      <c r="U221" s="1774">
        <f t="shared" si="57"/>
        <v>107.5882748126665</v>
      </c>
      <c r="V221" s="1777">
        <f t="shared" si="57"/>
        <v>67.471524953692807</v>
      </c>
      <c r="W221" s="1810">
        <f t="shared" si="57"/>
        <v>0</v>
      </c>
      <c r="X221" s="1812">
        <f>SUM(M221:M228)/8</f>
        <v>0</v>
      </c>
      <c r="Y221" s="1814">
        <f t="shared" ref="Y221:Z221" si="58">SUM(O221:O228)/8</f>
        <v>0</v>
      </c>
      <c r="Z221" s="1793">
        <f t="shared" si="58"/>
        <v>175.0597997663593</v>
      </c>
      <c r="AA221" s="397"/>
      <c r="AB221" s="398"/>
      <c r="AC221" s="398"/>
      <c r="AD221" s="398"/>
      <c r="AE221" s="591" t="s">
        <v>429</v>
      </c>
      <c r="AF221" s="398"/>
      <c r="AG221" s="398"/>
      <c r="AH221" s="398"/>
      <c r="AI221" s="397"/>
    </row>
    <row r="222" spans="1:35" ht="15.75" hidden="1" x14ac:dyDescent="0.25">
      <c r="A222" s="1757"/>
      <c r="B222" s="1213"/>
      <c r="C222" s="1293" t="s">
        <v>144</v>
      </c>
      <c r="D222" s="1880"/>
      <c r="E222" s="617">
        <f>'[1]exchange rates'!$M$56</f>
        <v>1180.2052799999999</v>
      </c>
      <c r="F222" s="549">
        <v>0</v>
      </c>
      <c r="G222" s="550">
        <f>143016/E222</f>
        <v>121.17891897585818</v>
      </c>
      <c r="H222" s="551">
        <v>0</v>
      </c>
      <c r="I222" s="566">
        <f>Tabel668917263329[[#This Row],[Fix.ch. 2015]]+Tabel668917263329[[#This Row],[Var. ch. 2015]]+Tabel668917263329[[#This Row],[Oth. ch. DW 2015]]</f>
        <v>121.17891897585818</v>
      </c>
      <c r="J222" s="567">
        <f>98162/E222</f>
        <v>83.173666194748776</v>
      </c>
      <c r="K222" s="568">
        <v>0</v>
      </c>
      <c r="L222" s="568"/>
      <c r="M222" s="569">
        <v>0</v>
      </c>
      <c r="N222" s="1270">
        <f>Tabel668917263329[[#This Row],[Sew. 2015]]+Tabel668917263329[[#This Row],[WW 2015]]+Tabel668917263329[[#This Row],[Other ch. 2015]]</f>
        <v>83.173666194748776</v>
      </c>
      <c r="O222" s="1271">
        <v>0</v>
      </c>
      <c r="P222" s="571">
        <f>Tabel668917263329[[#This Row],[Total. ch. DW 2015]]+Tabel668917263329[[#This Row],[Sew. 2015]]+Tabel668917263329[[#This Row],[WW 2015]]+Tabel668917263329[[#This Row],[Other ch. 2015]]+Tabel668917263329[[#This Row],[VAT 2015]]</f>
        <v>204.35258517060697</v>
      </c>
      <c r="Q222" s="397"/>
      <c r="R222" s="1886"/>
      <c r="S222" s="1888"/>
      <c r="T222" s="1890"/>
      <c r="U222" s="1892"/>
      <c r="V222" s="1894"/>
      <c r="W222" s="1911"/>
      <c r="X222" s="1913"/>
      <c r="Y222" s="1915"/>
      <c r="Z222" s="1832"/>
      <c r="AA222" s="397"/>
      <c r="AB222" s="398"/>
      <c r="AC222" s="398"/>
      <c r="AD222" s="398"/>
      <c r="AE222" s="591" t="s">
        <v>429</v>
      </c>
      <c r="AF222" s="398"/>
      <c r="AG222" s="398"/>
      <c r="AH222" s="398"/>
      <c r="AI222" s="397"/>
    </row>
    <row r="223" spans="1:35" ht="15.75" hidden="1" x14ac:dyDescent="0.25">
      <c r="A223" s="1757"/>
      <c r="B223" s="1213"/>
      <c r="C223" s="1293" t="s">
        <v>145</v>
      </c>
      <c r="D223" s="1880"/>
      <c r="E223" s="617">
        <f>'[1]exchange rates'!$M$56</f>
        <v>1180.2052799999999</v>
      </c>
      <c r="F223" s="549">
        <v>0</v>
      </c>
      <c r="G223" s="550">
        <f>115792/E223</f>
        <v>98.111745441437108</v>
      </c>
      <c r="H223" s="551">
        <v>0</v>
      </c>
      <c r="I223" s="566">
        <f>Tabel668917263329[[#This Row],[Fix.ch. 2015]]+Tabel668917263329[[#This Row],[Var. ch. 2015]]+Tabel668917263329[[#This Row],[Oth. ch. DW 2015]]</f>
        <v>98.111745441437108</v>
      </c>
      <c r="J223" s="567">
        <f>77178/E223</f>
        <v>65.393708457227035</v>
      </c>
      <c r="K223" s="568">
        <v>0</v>
      </c>
      <c r="L223" s="568"/>
      <c r="M223" s="569">
        <v>0</v>
      </c>
      <c r="N223" s="1270">
        <f>Tabel668917263329[[#This Row],[Sew. 2015]]+Tabel668917263329[[#This Row],[WW 2015]]+Tabel668917263329[[#This Row],[Other ch. 2015]]</f>
        <v>65.393708457227035</v>
      </c>
      <c r="O223" s="1271">
        <v>0</v>
      </c>
      <c r="P223" s="571">
        <f>Tabel668917263329[[#This Row],[Total. ch. DW 2015]]+Tabel668917263329[[#This Row],[Sew. 2015]]+Tabel668917263329[[#This Row],[WW 2015]]+Tabel668917263329[[#This Row],[Other ch. 2015]]+Tabel668917263329[[#This Row],[VAT 2015]]</f>
        <v>163.50545389866414</v>
      </c>
      <c r="Q223" s="397"/>
      <c r="R223" s="1886"/>
      <c r="S223" s="1888"/>
      <c r="T223" s="1890"/>
      <c r="U223" s="1892"/>
      <c r="V223" s="1894"/>
      <c r="W223" s="1911"/>
      <c r="X223" s="1913"/>
      <c r="Y223" s="1915"/>
      <c r="Z223" s="1832"/>
      <c r="AA223" s="397"/>
      <c r="AB223" s="398"/>
      <c r="AC223" s="398"/>
      <c r="AD223" s="398"/>
      <c r="AE223" s="591" t="s">
        <v>429</v>
      </c>
      <c r="AF223" s="398"/>
      <c r="AG223" s="398"/>
      <c r="AH223" s="398"/>
      <c r="AI223" s="397"/>
    </row>
    <row r="224" spans="1:35" ht="15.75" hidden="1" x14ac:dyDescent="0.25">
      <c r="A224" s="1757"/>
      <c r="B224" s="1213"/>
      <c r="C224" s="1293" t="s">
        <v>146</v>
      </c>
      <c r="D224" s="1880"/>
      <c r="E224" s="617">
        <f>'[1]exchange rates'!$M$56</f>
        <v>1180.2052799999999</v>
      </c>
      <c r="F224" s="549">
        <v>0</v>
      </c>
      <c r="G224" s="550">
        <f>132740/E224</f>
        <v>112.47195911545151</v>
      </c>
      <c r="H224" s="551">
        <v>0</v>
      </c>
      <c r="I224" s="566">
        <f>Tabel668917263329[[#This Row],[Fix.ch. 2015]]+Tabel668917263329[[#This Row],[Var. ch. 2015]]+Tabel668917263329[[#This Row],[Oth. ch. DW 2015]]</f>
        <v>112.47195911545151</v>
      </c>
      <c r="J224" s="567">
        <f>83382/E224</f>
        <v>70.65042108606734</v>
      </c>
      <c r="K224" s="568">
        <v>0</v>
      </c>
      <c r="L224" s="568"/>
      <c r="M224" s="569">
        <v>0</v>
      </c>
      <c r="N224" s="1270">
        <f>Tabel668917263329[[#This Row],[Sew. 2015]]+Tabel668917263329[[#This Row],[WW 2015]]+Tabel668917263329[[#This Row],[Other ch. 2015]]</f>
        <v>70.65042108606734</v>
      </c>
      <c r="O224" s="1271">
        <v>0</v>
      </c>
      <c r="P224" s="571">
        <f>Tabel668917263329[[#This Row],[Total. ch. DW 2015]]+Tabel668917263329[[#This Row],[Sew. 2015]]+Tabel668917263329[[#This Row],[WW 2015]]+Tabel668917263329[[#This Row],[Other ch. 2015]]+Tabel668917263329[[#This Row],[VAT 2015]]</f>
        <v>183.12238020151887</v>
      </c>
      <c r="Q224" s="397"/>
      <c r="R224" s="1886"/>
      <c r="S224" s="1888"/>
      <c r="T224" s="1890"/>
      <c r="U224" s="1892"/>
      <c r="V224" s="1894"/>
      <c r="W224" s="1911"/>
      <c r="X224" s="1913"/>
      <c r="Y224" s="1915"/>
      <c r="Z224" s="1832"/>
      <c r="AA224" s="397"/>
      <c r="AB224" s="398"/>
      <c r="AC224" s="398"/>
      <c r="AD224" s="398"/>
      <c r="AE224" s="591" t="s">
        <v>429</v>
      </c>
      <c r="AF224" s="398"/>
      <c r="AG224" s="398"/>
      <c r="AH224" s="398"/>
      <c r="AI224" s="397"/>
    </row>
    <row r="225" spans="1:35" ht="15.75" hidden="1" x14ac:dyDescent="0.25">
      <c r="A225" s="1757"/>
      <c r="B225" s="1213"/>
      <c r="C225" s="1293" t="s">
        <v>147</v>
      </c>
      <c r="D225" s="1880"/>
      <c r="E225" s="617">
        <f>'[1]exchange rates'!$M$56</f>
        <v>1180.2052799999999</v>
      </c>
      <c r="F225" s="549">
        <v>0</v>
      </c>
      <c r="G225" s="550">
        <f>106270/E225</f>
        <v>90.043657489822451</v>
      </c>
      <c r="H225" s="551">
        <v>0</v>
      </c>
      <c r="I225" s="566">
        <f>Tabel668917263329[[#This Row],[Fix.ch. 2015]]+Tabel668917263329[[#This Row],[Var. ch. 2015]]+Tabel668917263329[[#This Row],[Oth. ch. DW 2015]]</f>
        <v>90.043657489822451</v>
      </c>
      <c r="J225" s="567">
        <f>70268/E225</f>
        <v>59.538794810340121</v>
      </c>
      <c r="K225" s="568">
        <v>0</v>
      </c>
      <c r="L225" s="568"/>
      <c r="M225" s="569">
        <v>0</v>
      </c>
      <c r="N225" s="1270">
        <f>Tabel668917263329[[#This Row],[Sew. 2015]]+Tabel668917263329[[#This Row],[WW 2015]]+Tabel668917263329[[#This Row],[Other ch. 2015]]</f>
        <v>59.538794810340121</v>
      </c>
      <c r="O225" s="1271">
        <v>0</v>
      </c>
      <c r="P225" s="571">
        <f>Tabel668917263329[[#This Row],[Total. ch. DW 2015]]+Tabel668917263329[[#This Row],[Sew. 2015]]+Tabel668917263329[[#This Row],[WW 2015]]+Tabel668917263329[[#This Row],[Other ch. 2015]]+Tabel668917263329[[#This Row],[VAT 2015]]</f>
        <v>149.58245230016257</v>
      </c>
      <c r="Q225" s="397"/>
      <c r="R225" s="1886"/>
      <c r="S225" s="1888"/>
      <c r="T225" s="1890"/>
      <c r="U225" s="1892"/>
      <c r="V225" s="1894"/>
      <c r="W225" s="1911"/>
      <c r="X225" s="1913"/>
      <c r="Y225" s="1915"/>
      <c r="Z225" s="1832"/>
      <c r="AA225" s="397"/>
      <c r="AB225" s="398"/>
      <c r="AC225" s="398"/>
      <c r="AD225" s="398"/>
      <c r="AE225" s="591" t="s">
        <v>429</v>
      </c>
      <c r="AF225" s="398"/>
      <c r="AG225" s="398"/>
      <c r="AH225" s="398"/>
      <c r="AI225" s="397"/>
    </row>
    <row r="226" spans="1:35" ht="15.75" hidden="1" x14ac:dyDescent="0.25">
      <c r="A226" s="1757"/>
      <c r="B226" s="1213"/>
      <c r="C226" s="1293" t="s">
        <v>148</v>
      </c>
      <c r="D226" s="1880"/>
      <c r="E226" s="617">
        <f>'[1]exchange rates'!$M$56</f>
        <v>1180.2052799999999</v>
      </c>
      <c r="F226" s="549">
        <v>0</v>
      </c>
      <c r="G226" s="550">
        <f>101878/E226</f>
        <v>86.322270986620239</v>
      </c>
      <c r="H226" s="551">
        <v>0</v>
      </c>
      <c r="I226" s="566">
        <f>Tabel668917263329[[#This Row],[Fix.ch. 2015]]+Tabel668917263329[[#This Row],[Var. ch. 2015]]+Tabel668917263329[[#This Row],[Oth. ch. DW 2015]]</f>
        <v>86.322270986620239</v>
      </c>
      <c r="J226" s="567">
        <f>76982/E226</f>
        <v>65.227635653350077</v>
      </c>
      <c r="K226" s="568">
        <v>0</v>
      </c>
      <c r="L226" s="568"/>
      <c r="M226" s="569">
        <v>0</v>
      </c>
      <c r="N226" s="1270">
        <f>Tabel668917263329[[#This Row],[Sew. 2015]]+Tabel668917263329[[#This Row],[WW 2015]]+Tabel668917263329[[#This Row],[Other ch. 2015]]</f>
        <v>65.227635653350077</v>
      </c>
      <c r="O226" s="1271">
        <v>0</v>
      </c>
      <c r="P226" s="571">
        <f>Tabel668917263329[[#This Row],[Total. ch. DW 2015]]+Tabel668917263329[[#This Row],[Sew. 2015]]+Tabel668917263329[[#This Row],[WW 2015]]+Tabel668917263329[[#This Row],[Other ch. 2015]]+Tabel668917263329[[#This Row],[VAT 2015]]</f>
        <v>151.54990663997032</v>
      </c>
      <c r="Q226" s="397"/>
      <c r="R226" s="1886"/>
      <c r="S226" s="1888"/>
      <c r="T226" s="1890"/>
      <c r="U226" s="1892"/>
      <c r="V226" s="1894"/>
      <c r="W226" s="1911"/>
      <c r="X226" s="1913"/>
      <c r="Y226" s="1915"/>
      <c r="Z226" s="1832"/>
      <c r="AA226" s="397"/>
      <c r="AB226" s="398"/>
      <c r="AC226" s="398"/>
      <c r="AD226" s="398"/>
      <c r="AE226" s="591" t="s">
        <v>429</v>
      </c>
      <c r="AF226" s="398"/>
      <c r="AG226" s="398"/>
      <c r="AH226" s="398"/>
      <c r="AI226" s="397"/>
    </row>
    <row r="227" spans="1:35" ht="15.75" hidden="1" x14ac:dyDescent="0.25">
      <c r="A227" s="1757"/>
      <c r="B227" s="1213"/>
      <c r="C227" s="1293" t="s">
        <v>149</v>
      </c>
      <c r="D227" s="1880"/>
      <c r="E227" s="617">
        <f>'[1]exchange rates'!$M$56</f>
        <v>1180.2052799999999</v>
      </c>
      <c r="F227" s="549">
        <v>0</v>
      </c>
      <c r="G227" s="550">
        <f>174392/E227</f>
        <v>147.76412455975458</v>
      </c>
      <c r="H227" s="551">
        <v>0</v>
      </c>
      <c r="I227" s="566">
        <f>Tabel668917263329[[#This Row],[Fix.ch. 2015]]+Tabel668917263329[[#This Row],[Var. ch. 2015]]+Tabel668917263329[[#This Row],[Oth. ch. DW 2015]]</f>
        <v>147.76412455975458</v>
      </c>
      <c r="J227" s="567">
        <f>80010/E227</f>
        <v>67.793291011204431</v>
      </c>
      <c r="K227" s="568">
        <v>0</v>
      </c>
      <c r="L227" s="568"/>
      <c r="M227" s="569">
        <v>0</v>
      </c>
      <c r="N227" s="1270">
        <f>Tabel668917263329[[#This Row],[Sew. 2015]]+Tabel668917263329[[#This Row],[WW 2015]]+Tabel668917263329[[#This Row],[Other ch. 2015]]</f>
        <v>67.793291011204431</v>
      </c>
      <c r="O227" s="1271">
        <v>0</v>
      </c>
      <c r="P227" s="571">
        <f>Tabel668917263329[[#This Row],[Total. ch. DW 2015]]+Tabel668917263329[[#This Row],[Sew. 2015]]+Tabel668917263329[[#This Row],[WW 2015]]+Tabel668917263329[[#This Row],[Other ch. 2015]]+Tabel668917263329[[#This Row],[VAT 2015]]</f>
        <v>215.55741557095899</v>
      </c>
      <c r="Q227" s="397"/>
      <c r="R227" s="1886"/>
      <c r="S227" s="1888"/>
      <c r="T227" s="1890"/>
      <c r="U227" s="1892"/>
      <c r="V227" s="1894"/>
      <c r="W227" s="1911"/>
      <c r="X227" s="1913"/>
      <c r="Y227" s="1915"/>
      <c r="Z227" s="1832"/>
      <c r="AA227" s="397"/>
      <c r="AB227" s="398"/>
      <c r="AC227" s="398"/>
      <c r="AD227" s="398"/>
      <c r="AE227" s="591" t="s">
        <v>429</v>
      </c>
      <c r="AF227" s="398"/>
      <c r="AG227" s="398"/>
      <c r="AH227" s="398"/>
      <c r="AI227" s="397"/>
    </row>
    <row r="228" spans="1:35" ht="16.5" hidden="1" thickBot="1" x14ac:dyDescent="0.3">
      <c r="A228" s="1758"/>
      <c r="B228" s="1213"/>
      <c r="C228" s="652" t="s">
        <v>150</v>
      </c>
      <c r="D228" s="1761"/>
      <c r="E228" s="617">
        <f>'[1]exchange rates'!$M$56</f>
        <v>1180.2052799999999</v>
      </c>
      <c r="F228" s="549">
        <v>0</v>
      </c>
      <c r="G228" s="550">
        <f>126872/E228</f>
        <v>107.49994272182887</v>
      </c>
      <c r="H228" s="551">
        <v>0</v>
      </c>
      <c r="I228" s="566">
        <f>Tabel668917263329[[#This Row],[Fix.ch. 2015]]+Tabel668917263329[[#This Row],[Var. ch. 2015]]+Tabel668917263329[[#This Row],[Oth. ch. DW 2015]]</f>
        <v>107.49994272182887</v>
      </c>
      <c r="J228" s="567">
        <f>61902/E228</f>
        <v>52.450197477510017</v>
      </c>
      <c r="K228" s="568">
        <v>0</v>
      </c>
      <c r="L228" s="568"/>
      <c r="M228" s="569">
        <v>0</v>
      </c>
      <c r="N228" s="1270">
        <f>Tabel668917263329[[#This Row],[Sew. 2015]]+Tabel668917263329[[#This Row],[WW 2015]]+Tabel668917263329[[#This Row],[Other ch. 2015]]</f>
        <v>52.450197477510017</v>
      </c>
      <c r="O228" s="1271">
        <v>0</v>
      </c>
      <c r="P228" s="571">
        <f>Tabel668917263329[[#This Row],[Total. ch. DW 2015]]+Tabel668917263329[[#This Row],[Sew. 2015]]+Tabel668917263329[[#This Row],[WW 2015]]+Tabel668917263329[[#This Row],[Other ch. 2015]]+Tabel668917263329[[#This Row],[VAT 2015]]</f>
        <v>159.95014019933888</v>
      </c>
      <c r="Q228" s="397"/>
      <c r="R228" s="1764"/>
      <c r="S228" s="1767"/>
      <c r="T228" s="1770"/>
      <c r="U228" s="1776"/>
      <c r="V228" s="1779"/>
      <c r="W228" s="1811"/>
      <c r="X228" s="1813"/>
      <c r="Y228" s="1815"/>
      <c r="Z228" s="1794"/>
      <c r="AA228" s="397"/>
      <c r="AB228" s="398"/>
      <c r="AC228" s="398"/>
      <c r="AD228" s="398"/>
      <c r="AE228" s="591" t="s">
        <v>429</v>
      </c>
      <c r="AF228" s="398"/>
      <c r="AG228" s="398"/>
      <c r="AH228" s="398"/>
      <c r="AI228" s="397"/>
    </row>
    <row r="229" spans="1:35" ht="15.75" hidden="1" x14ac:dyDescent="0.25">
      <c r="A229" s="1878" t="s">
        <v>26</v>
      </c>
      <c r="B229" s="1213"/>
      <c r="C229" s="693" t="s">
        <v>151</v>
      </c>
      <c r="D229" s="1759">
        <v>35200</v>
      </c>
      <c r="E229" s="617">
        <f>'[1]exchange rates'!$M$57</f>
        <v>0.92093999999999998</v>
      </c>
      <c r="F229" s="549">
        <f>83.28/E229</f>
        <v>90.429343931200734</v>
      </c>
      <c r="G229" s="550">
        <f>279/E229</f>
        <v>302.95133233435405</v>
      </c>
      <c r="H229" s="551">
        <v>0</v>
      </c>
      <c r="I229" s="566">
        <f>Tabel668917263329[[#This Row],[Fix.ch. 2015]]+Tabel668917263329[[#This Row],[Var. ch. 2015]]+Tabel668917263329[[#This Row],[Oth. ch. DW 2015]]</f>
        <v>393.38067626555477</v>
      </c>
      <c r="J229" s="567">
        <f>34.86/E229</f>
        <v>37.852628835754771</v>
      </c>
      <c r="K229" s="568">
        <f>169.02/E229</f>
        <v>183.52987165287644</v>
      </c>
      <c r="L229" s="568"/>
      <c r="M229" s="569">
        <v>0</v>
      </c>
      <c r="N229" s="1270">
        <f>Tabel668917263329[[#This Row],[Sew. 2015]]+Tabel668917263329[[#This Row],[WW 2015]]+Tabel668917263329[[#This Row],[Other ch. 2015]]</f>
        <v>221.38250048863119</v>
      </c>
      <c r="O229" s="1271">
        <f>56.62/E229</f>
        <v>61.480661063695784</v>
      </c>
      <c r="P229" s="571">
        <f>Tabel668917263329[[#This Row],[Total. ch. DW 2015]]+Tabel668917263329[[#This Row],[Sew. 2015]]+Tabel668917263329[[#This Row],[WW 2015]]+Tabel668917263329[[#This Row],[Other ch. 2015]]+Tabel668917263329[[#This Row],[VAT 2015]]</f>
        <v>676.24383781788185</v>
      </c>
      <c r="Q229" s="397"/>
      <c r="R229" s="1762">
        <f t="shared" ref="R229:W229" si="59">SUM(F229:F233)/5</f>
        <v>64.004169652746114</v>
      </c>
      <c r="S229" s="1765">
        <f t="shared" si="59"/>
        <v>157.49777401350795</v>
      </c>
      <c r="T229" s="1768">
        <f t="shared" si="59"/>
        <v>0</v>
      </c>
      <c r="U229" s="1774">
        <f t="shared" si="59"/>
        <v>221.50194366625405</v>
      </c>
      <c r="V229" s="1777">
        <f t="shared" si="59"/>
        <v>44.958412057245859</v>
      </c>
      <c r="W229" s="1810">
        <f t="shared" si="59"/>
        <v>148.61554498664412</v>
      </c>
      <c r="X229" s="1812">
        <f>SUM(M229:M233)/5</f>
        <v>0</v>
      </c>
      <c r="Y229" s="1814">
        <f t="shared" ref="Y229:Z229" si="60">SUM(O229:O233)/5</f>
        <v>41.509761765152987</v>
      </c>
      <c r="Z229" s="1793">
        <f t="shared" si="60"/>
        <v>456.58566247529706</v>
      </c>
      <c r="AA229" s="397"/>
      <c r="AB229" s="398"/>
      <c r="AC229" s="398"/>
      <c r="AD229" s="398"/>
      <c r="AE229" s="591" t="s">
        <v>429</v>
      </c>
      <c r="AF229" s="591" t="s">
        <v>429</v>
      </c>
      <c r="AG229" s="398"/>
      <c r="AH229" s="398"/>
      <c r="AI229" s="397"/>
    </row>
    <row r="230" spans="1:35" ht="15.75" hidden="1" x14ac:dyDescent="0.25">
      <c r="A230" s="1757"/>
      <c r="B230" s="1213"/>
      <c r="C230" s="1293" t="s">
        <v>152</v>
      </c>
      <c r="D230" s="1880"/>
      <c r="E230" s="617">
        <f>'[1]exchange rates'!$M$57</f>
        <v>0.92093999999999998</v>
      </c>
      <c r="F230" s="549">
        <f>32.93/E230</f>
        <v>35.756943992008168</v>
      </c>
      <c r="G230" s="550">
        <f>115.79/E230</f>
        <v>125.73023215410342</v>
      </c>
      <c r="H230" s="551">
        <v>0</v>
      </c>
      <c r="I230" s="566">
        <f>Tabel668917263329[[#This Row],[Fix.ch. 2015]]+Tabel668917263329[[#This Row],[Var. ch. 2015]]+Tabel668917263329[[#This Row],[Oth. ch. DW 2015]]</f>
        <v>161.48717614611158</v>
      </c>
      <c r="J230" s="567">
        <v>0</v>
      </c>
      <c r="K230" s="568">
        <f>142.15/E230</f>
        <v>154.35316090081875</v>
      </c>
      <c r="L230" s="568"/>
      <c r="M230" s="569">
        <v>0</v>
      </c>
      <c r="N230" s="1270">
        <f>Tabel668917263329[[#This Row],[Sew. 2015]]+Tabel668917263329[[#This Row],[WW 2015]]+Tabel668917263329[[#This Row],[Other ch. 2015]]</f>
        <v>154.35316090081875</v>
      </c>
      <c r="O230" s="1271">
        <f>29.09/E230</f>
        <v>31.587291245900929</v>
      </c>
      <c r="P230" s="571">
        <f>Tabel668917263329[[#This Row],[Total. ch. DW 2015]]+Tabel668917263329[[#This Row],[Sew. 2015]]+Tabel668917263329[[#This Row],[WW 2015]]+Tabel668917263329[[#This Row],[Other ch. 2015]]+Tabel668917263329[[#This Row],[VAT 2015]]</f>
        <v>347.42762829283129</v>
      </c>
      <c r="Q230" s="397"/>
      <c r="R230" s="1886"/>
      <c r="S230" s="1888"/>
      <c r="T230" s="1890"/>
      <c r="U230" s="1892"/>
      <c r="V230" s="1894"/>
      <c r="W230" s="1911"/>
      <c r="X230" s="1913"/>
      <c r="Y230" s="1915"/>
      <c r="Z230" s="1832"/>
      <c r="AA230" s="397"/>
      <c r="AB230" s="398"/>
      <c r="AC230" s="398"/>
      <c r="AD230" s="398"/>
      <c r="AE230" s="591" t="s">
        <v>429</v>
      </c>
      <c r="AF230" s="591" t="s">
        <v>429</v>
      </c>
      <c r="AG230" s="398"/>
      <c r="AH230" s="398"/>
      <c r="AI230" s="397"/>
    </row>
    <row r="231" spans="1:35" ht="15.75" hidden="1" x14ac:dyDescent="0.25">
      <c r="A231" s="1757"/>
      <c r="B231" s="1213"/>
      <c r="C231" s="1293" t="s">
        <v>153</v>
      </c>
      <c r="D231" s="1880"/>
      <c r="E231" s="617">
        <f>'[1]exchange rates'!$M$57</f>
        <v>0.92093999999999998</v>
      </c>
      <c r="F231" s="549">
        <f>61.23/E231</f>
        <v>66.486416053163069</v>
      </c>
      <c r="G231" s="550">
        <f>104.73/E231</f>
        <v>113.72076356765913</v>
      </c>
      <c r="H231" s="551">
        <v>0</v>
      </c>
      <c r="I231" s="566">
        <f>Tabel668917263329[[#This Row],[Fix.ch. 2015]]+Tabel668917263329[[#This Row],[Var. ch. 2015]]+Tabel668917263329[[#This Row],[Oth. ch. DW 2015]]</f>
        <v>180.20717962082222</v>
      </c>
      <c r="J231" s="567">
        <f>28.85/E231</f>
        <v>31.326687949269228</v>
      </c>
      <c r="K231" s="568">
        <f>83.33/E231</f>
        <v>90.483636284665664</v>
      </c>
      <c r="L231" s="568"/>
      <c r="M231" s="569">
        <v>0</v>
      </c>
      <c r="N231" s="1270">
        <f>Tabel668917263329[[#This Row],[Sew. 2015]]+Tabel668917263329[[#This Row],[WW 2015]]+Tabel668917263329[[#This Row],[Other ch. 2015]]</f>
        <v>121.81032423393489</v>
      </c>
      <c r="O231" s="1271">
        <f>27.81/E231</f>
        <v>30.197406997198513</v>
      </c>
      <c r="P231" s="571">
        <f>Tabel668917263329[[#This Row],[Total. ch. DW 2015]]+Tabel668917263329[[#This Row],[Sew. 2015]]+Tabel668917263329[[#This Row],[WW 2015]]+Tabel668917263329[[#This Row],[Other ch. 2015]]+Tabel668917263329[[#This Row],[VAT 2015]]</f>
        <v>332.21491085195566</v>
      </c>
      <c r="Q231" s="397"/>
      <c r="R231" s="1886"/>
      <c r="S231" s="1888"/>
      <c r="T231" s="1890"/>
      <c r="U231" s="1892"/>
      <c r="V231" s="1894"/>
      <c r="W231" s="1911"/>
      <c r="X231" s="1913"/>
      <c r="Y231" s="1915"/>
      <c r="Z231" s="1832"/>
      <c r="AA231" s="397"/>
      <c r="AB231" s="398"/>
      <c r="AC231" s="398"/>
      <c r="AD231" s="398"/>
      <c r="AE231" s="591" t="s">
        <v>429</v>
      </c>
      <c r="AF231" s="591" t="s">
        <v>429</v>
      </c>
      <c r="AG231" s="398"/>
      <c r="AH231" s="398"/>
      <c r="AI231" s="397"/>
    </row>
    <row r="232" spans="1:35" ht="15.75" hidden="1" x14ac:dyDescent="0.25">
      <c r="A232" s="1757"/>
      <c r="B232" s="1213"/>
      <c r="C232" s="1293" t="s">
        <v>214</v>
      </c>
      <c r="D232" s="1880"/>
      <c r="E232" s="617">
        <f>'[1]exchange rates'!$M$57</f>
        <v>0.92093999999999998</v>
      </c>
      <c r="F232" s="549">
        <f>46.36/E232</f>
        <v>50.339870132690514</v>
      </c>
      <c r="G232" s="550">
        <f>113.89/E232</f>
        <v>123.66712272243578</v>
      </c>
      <c r="H232" s="551">
        <v>0</v>
      </c>
      <c r="I232" s="566">
        <f>Tabel668917263329[[#This Row],[Fix.ch. 2015]]+Tabel668917263329[[#This Row],[Var. ch. 2015]]+Tabel668917263329[[#This Row],[Oth. ch. DW 2015]]</f>
        <v>174.0069928551263</v>
      </c>
      <c r="J232" s="567">
        <f>82.73/E232</f>
        <v>89.832128043086414</v>
      </c>
      <c r="K232" s="568">
        <f>156.8/E232</f>
        <v>170.26082046604557</v>
      </c>
      <c r="L232" s="568"/>
      <c r="M232" s="569">
        <v>0</v>
      </c>
      <c r="N232" s="1270">
        <f>Tabel668917263329[[#This Row],[Sew. 2015]]+Tabel668917263329[[#This Row],[WW 2015]]+Tabel668917263329[[#This Row],[Other ch. 2015]]</f>
        <v>260.09294850913199</v>
      </c>
      <c r="O232" s="1271">
        <f>39.98/E232</f>
        <v>43.412165830564419</v>
      </c>
      <c r="P232" s="571">
        <f>Tabel668917263329[[#This Row],[Total. ch. DW 2015]]+Tabel668917263329[[#This Row],[Sew. 2015]]+Tabel668917263329[[#This Row],[WW 2015]]+Tabel668917263329[[#This Row],[Other ch. 2015]]+Tabel668917263329[[#This Row],[VAT 2015]]</f>
        <v>477.51210719482276</v>
      </c>
      <c r="Q232" s="397"/>
      <c r="R232" s="1886"/>
      <c r="S232" s="1888"/>
      <c r="T232" s="1890"/>
      <c r="U232" s="1892"/>
      <c r="V232" s="1894"/>
      <c r="W232" s="1911"/>
      <c r="X232" s="1913"/>
      <c r="Y232" s="1915"/>
      <c r="Z232" s="1832"/>
      <c r="AA232" s="397"/>
      <c r="AB232" s="398"/>
      <c r="AC232" s="398"/>
      <c r="AD232" s="398"/>
      <c r="AE232" s="591" t="s">
        <v>429</v>
      </c>
      <c r="AF232" s="591" t="s">
        <v>429</v>
      </c>
      <c r="AG232" s="398"/>
      <c r="AH232" s="398"/>
      <c r="AI232" s="397"/>
    </row>
    <row r="233" spans="1:35" ht="16.5" hidden="1" thickBot="1" x14ac:dyDescent="0.3">
      <c r="A233" s="1758"/>
      <c r="B233" s="1213"/>
      <c r="C233" s="652" t="s">
        <v>154</v>
      </c>
      <c r="D233" s="1761"/>
      <c r="E233" s="617">
        <f>'[1]exchange rates'!$M$57</f>
        <v>0.92093999999999998</v>
      </c>
      <c r="F233" s="549">
        <f>70.92/E233</f>
        <v>77.008274154668058</v>
      </c>
      <c r="G233" s="550">
        <f>111.82/E233</f>
        <v>121.41941928898733</v>
      </c>
      <c r="H233" s="551">
        <v>0</v>
      </c>
      <c r="I233" s="566">
        <f>Tabel668917263329[[#This Row],[Fix.ch. 2015]]+Tabel668917263329[[#This Row],[Var. ch. 2015]]+Tabel668917263329[[#This Row],[Oth. ch. DW 2015]]</f>
        <v>198.42769344365539</v>
      </c>
      <c r="J233" s="567">
        <f>60.58/E233</f>
        <v>65.780615458118874</v>
      </c>
      <c r="K233" s="568">
        <f>133.03/E233</f>
        <v>144.45023562881406</v>
      </c>
      <c r="L233" s="568"/>
      <c r="M233" s="569">
        <v>0</v>
      </c>
      <c r="N233" s="1270">
        <f>Tabel668917263329[[#This Row],[Sew. 2015]]+Tabel668917263329[[#This Row],[WW 2015]]+Tabel668917263329[[#This Row],[Other ch. 2015]]</f>
        <v>210.23085108693294</v>
      </c>
      <c r="O233" s="1271">
        <f>37.64/E233</f>
        <v>40.871283688405327</v>
      </c>
      <c r="P233" s="571">
        <f>Tabel668917263329[[#This Row],[Total. ch. DW 2015]]+Tabel668917263329[[#This Row],[Sew. 2015]]+Tabel668917263329[[#This Row],[WW 2015]]+Tabel668917263329[[#This Row],[Other ch. 2015]]+Tabel668917263329[[#This Row],[VAT 2015]]</f>
        <v>449.52982821899366</v>
      </c>
      <c r="Q233" s="397"/>
      <c r="R233" s="1764"/>
      <c r="S233" s="1767"/>
      <c r="T233" s="1770"/>
      <c r="U233" s="1776"/>
      <c r="V233" s="1779"/>
      <c r="W233" s="1811"/>
      <c r="X233" s="1813"/>
      <c r="Y233" s="1815"/>
      <c r="Z233" s="1794"/>
      <c r="AA233" s="397"/>
      <c r="AB233" s="398"/>
      <c r="AC233" s="396"/>
      <c r="AD233" s="396"/>
      <c r="AE233" s="591" t="s">
        <v>429</v>
      </c>
      <c r="AF233" s="591" t="s">
        <v>429</v>
      </c>
      <c r="AG233" s="398"/>
      <c r="AH233" s="398"/>
      <c r="AI233" s="397"/>
    </row>
    <row r="234" spans="1:35" ht="15.75" hidden="1" customHeight="1" x14ac:dyDescent="0.25">
      <c r="A234" s="2004" t="s">
        <v>48</v>
      </c>
      <c r="B234" s="1617"/>
      <c r="C234" s="1307" t="s">
        <v>155</v>
      </c>
      <c r="D234" s="2210">
        <v>40900</v>
      </c>
      <c r="E234" s="307">
        <f>'[1]exchange rates'!K58</f>
        <v>6.4383900000000001</v>
      </c>
      <c r="F234" s="319">
        <f>561.6/E234</f>
        <v>87.226775638008888</v>
      </c>
      <c r="G234" s="320">
        <f>486.4/E234</f>
        <v>75.54683701981395</v>
      </c>
      <c r="H234" s="321">
        <f>0</f>
        <v>0</v>
      </c>
      <c r="I234" s="313">
        <f>Tabel668917263329[[#This Row],[Fix.ch. 2015]]+Tabel668917263329[[#This Row],[Var. ch. 2015]]+Tabel668917263329[[#This Row],[Oth. ch. DW 2015]]</f>
        <v>162.77361265782284</v>
      </c>
      <c r="J234" s="322">
        <f>842.4/E234</f>
        <v>130.84016345701332</v>
      </c>
      <c r="K234" s="323">
        <f>428.8/E234</f>
        <v>66.600501056941255</v>
      </c>
      <c r="L234" s="323"/>
      <c r="M234" s="324">
        <f>277.6/E234</f>
        <v>43.116369154400402</v>
      </c>
      <c r="N234" s="1257">
        <f>Tabel668917263329[[#This Row],[Sew. 2015]]+Tabel668917263329[[#This Row],[WW 2015]]+Tabel668917263329[[#This Row],[Other ch. 2015]]</f>
        <v>240.55703366835496</v>
      </c>
      <c r="O234" s="1258">
        <f>649.2/E234</f>
        <v>100.83266158154446</v>
      </c>
      <c r="P234" s="318">
        <f>Tabel668917263329[[#This Row],[Total. ch. DW 2015]]+Tabel668917263329[[#This Row],[Sew. 2015]]+Tabel668917263329[[#This Row],[WW 2015]]+Tabel668917263329[[#This Row],[Other ch. 2015]]+Tabel668917263329[[#This Row],[VAT 2015]]</f>
        <v>504.16330790772224</v>
      </c>
      <c r="Q234" s="397"/>
      <c r="R234" s="2211">
        <f t="shared" ref="R234:W234" si="61">SUM(F234:F238)/5</f>
        <v>96.108499174483057</v>
      </c>
      <c r="S234" s="2212">
        <f t="shared" si="61"/>
        <v>155.9147550862871</v>
      </c>
      <c r="T234" s="2213">
        <f t="shared" si="61"/>
        <v>0</v>
      </c>
      <c r="U234" s="2214">
        <f t="shared" si="61"/>
        <v>252.02325426077013</v>
      </c>
      <c r="V234" s="2215">
        <f t="shared" si="61"/>
        <v>144.16274876172457</v>
      </c>
      <c r="W234" s="2216">
        <f t="shared" si="61"/>
        <v>203.45459035566344</v>
      </c>
      <c r="X234" s="2217">
        <f>SUM(M234:M238)/5</f>
        <v>25.124293495734186</v>
      </c>
      <c r="Y234" s="2218">
        <f t="shared" ref="Y234:Z234" si="62">SUM(O234:O238)/5</f>
        <v>156.19122171847309</v>
      </c>
      <c r="Z234" s="2219">
        <f t="shared" si="62"/>
        <v>780.95610859236547</v>
      </c>
      <c r="AA234" s="397"/>
      <c r="AB234" s="398"/>
      <c r="AC234" s="398"/>
      <c r="AD234" s="396" t="s">
        <v>429</v>
      </c>
      <c r="AE234" s="396"/>
      <c r="AF234" s="396"/>
      <c r="AG234" s="396" t="s">
        <v>429</v>
      </c>
      <c r="AH234" s="398"/>
      <c r="AI234" s="397"/>
    </row>
    <row r="235" spans="1:35" ht="15.75" hidden="1" customHeight="1" x14ac:dyDescent="0.25">
      <c r="A235" s="2005"/>
      <c r="B235" s="1617"/>
      <c r="C235" s="1308" t="s">
        <v>156</v>
      </c>
      <c r="D235" s="2157"/>
      <c r="E235" s="307">
        <f>'[1]exchange rates'!K58</f>
        <v>6.4383900000000001</v>
      </c>
      <c r="F235" s="319">
        <f>974.72/E235</f>
        <v>151.39188523839036</v>
      </c>
      <c r="G235" s="320">
        <f>1008/E235</f>
        <v>156.56087935027236</v>
      </c>
      <c r="H235" s="321">
        <v>0</v>
      </c>
      <c r="I235" s="313">
        <f>Tabel668917263329[[#This Row],[Fix.ch. 2015]]+Tabel668917263329[[#This Row],[Var. ch. 2015]]+Tabel668917263329[[#This Row],[Oth. ch. DW 2015]]</f>
        <v>307.95276458866272</v>
      </c>
      <c r="J235" s="322">
        <f>1462.08/E235</f>
        <v>227.08782785758549</v>
      </c>
      <c r="K235" s="323">
        <f>1286.4/E235</f>
        <v>199.80150317082376</v>
      </c>
      <c r="L235" s="323"/>
      <c r="M235" s="324">
        <v>0</v>
      </c>
      <c r="N235" s="1257">
        <f>Tabel668917263329[[#This Row],[Sew. 2015]]+Tabel668917263329[[#This Row],[WW 2015]]+Tabel668917263329[[#This Row],[Other ch. 2015]]</f>
        <v>426.88933102840929</v>
      </c>
      <c r="O235" s="1258">
        <f>1182.8/E235</f>
        <v>183.71052390426797</v>
      </c>
      <c r="P235" s="318">
        <f>Tabel668917263329[[#This Row],[Total. ch. DW 2015]]+Tabel668917263329[[#This Row],[Sew. 2015]]+Tabel668917263329[[#This Row],[WW 2015]]+Tabel668917263329[[#This Row],[Other ch. 2015]]+Tabel668917263329[[#This Row],[VAT 2015]]</f>
        <v>918.55261952133992</v>
      </c>
      <c r="Q235" s="397"/>
      <c r="R235" s="2158"/>
      <c r="S235" s="2159"/>
      <c r="T235" s="2160"/>
      <c r="U235" s="2141"/>
      <c r="V235" s="2142"/>
      <c r="W235" s="2143"/>
      <c r="X235" s="2144"/>
      <c r="Y235" s="2145"/>
      <c r="Z235" s="2146"/>
      <c r="AA235" s="397"/>
      <c r="AB235" s="398"/>
      <c r="AC235" s="398"/>
      <c r="AD235" s="396" t="s">
        <v>429</v>
      </c>
      <c r="AE235" s="396"/>
      <c r="AF235" s="396"/>
      <c r="AG235" s="396" t="s">
        <v>429</v>
      </c>
      <c r="AH235" s="398"/>
      <c r="AI235" s="397"/>
    </row>
    <row r="236" spans="1:35" ht="15.75" hidden="1" customHeight="1" x14ac:dyDescent="0.25">
      <c r="A236" s="2005"/>
      <c r="B236" s="1617"/>
      <c r="C236" s="1308" t="s">
        <v>157</v>
      </c>
      <c r="D236" s="2157"/>
      <c r="E236" s="307">
        <f>'[1]exchange rates'!K58</f>
        <v>6.4383900000000001</v>
      </c>
      <c r="F236" s="319">
        <f>524/E236</f>
        <v>81.386806328911419</v>
      </c>
      <c r="G236" s="320">
        <f>715.2/E236</f>
        <v>111.08367153900276</v>
      </c>
      <c r="H236" s="321">
        <v>0</v>
      </c>
      <c r="I236" s="313">
        <f>Tabel668917263329[[#This Row],[Fix.ch. 2015]]+Tabel668917263329[[#This Row],[Var. ch. 2015]]+Tabel668917263329[[#This Row],[Oth. ch. DW 2015]]</f>
        <v>192.47047786791418</v>
      </c>
      <c r="J236" s="322">
        <f>786/E236</f>
        <v>122.08020949336714</v>
      </c>
      <c r="K236" s="323">
        <f>760/E236</f>
        <v>118.04193284345931</v>
      </c>
      <c r="L236" s="323"/>
      <c r="M236" s="324">
        <f>531.2/E236</f>
        <v>82.50509832427052</v>
      </c>
      <c r="N236" s="1257">
        <f>Tabel668917263329[[#This Row],[Sew. 2015]]+Tabel668917263329[[#This Row],[WW 2015]]+Tabel668917263329[[#This Row],[Other ch. 2015]]</f>
        <v>322.62724066109695</v>
      </c>
      <c r="O236" s="1258">
        <f>829.1/E236</f>
        <v>128.77442963225278</v>
      </c>
      <c r="P236" s="318">
        <f>Tabel668917263329[[#This Row],[Total. ch. DW 2015]]+Tabel668917263329[[#This Row],[Sew. 2015]]+Tabel668917263329[[#This Row],[WW 2015]]+Tabel668917263329[[#This Row],[Other ch. 2015]]+Tabel668917263329[[#This Row],[VAT 2015]]</f>
        <v>643.87214816126402</v>
      </c>
      <c r="Q236" s="397"/>
      <c r="R236" s="2158"/>
      <c r="S236" s="2159"/>
      <c r="T236" s="2160"/>
      <c r="U236" s="2141"/>
      <c r="V236" s="2142"/>
      <c r="W236" s="2143"/>
      <c r="X236" s="2144"/>
      <c r="Y236" s="2145"/>
      <c r="Z236" s="2146"/>
      <c r="AA236" s="397"/>
      <c r="AB236" s="398"/>
      <c r="AC236" s="398"/>
      <c r="AD236" s="396" t="s">
        <v>429</v>
      </c>
      <c r="AE236" s="396"/>
      <c r="AF236" s="396"/>
      <c r="AG236" s="396" t="s">
        <v>429</v>
      </c>
      <c r="AH236" s="398"/>
      <c r="AI236" s="397"/>
    </row>
    <row r="237" spans="1:35" ht="15.75" hidden="1" customHeight="1" x14ac:dyDescent="0.25">
      <c r="A237" s="2005"/>
      <c r="B237" s="1617"/>
      <c r="C237" s="1308" t="s">
        <v>158</v>
      </c>
      <c r="D237" s="2157"/>
      <c r="E237" s="307">
        <f>'[1]exchange rates'!K58</f>
        <v>6.4383900000000001</v>
      </c>
      <c r="F237" s="319">
        <f>0</f>
        <v>0</v>
      </c>
      <c r="G237" s="320">
        <f>1876.8/E237</f>
        <v>291.50144679026897</v>
      </c>
      <c r="H237" s="321">
        <v>0</v>
      </c>
      <c r="I237" s="313">
        <f>Tabel668917263329[[#This Row],[Fix.ch. 2015]]+Tabel668917263329[[#This Row],[Var. ch. 2015]]+Tabel668917263329[[#This Row],[Oth. ch. DW 2015]]</f>
        <v>291.50144679026897</v>
      </c>
      <c r="J237" s="322">
        <v>0</v>
      </c>
      <c r="K237" s="323">
        <f>2815.2/E237</f>
        <v>437.25217018540349</v>
      </c>
      <c r="L237" s="323"/>
      <c r="M237" s="324">
        <v>0</v>
      </c>
      <c r="N237" s="1257">
        <f>Tabel668917263329[[#This Row],[Sew. 2015]]+Tabel668917263329[[#This Row],[WW 2015]]+Tabel668917263329[[#This Row],[Other ch. 2015]]</f>
        <v>437.25217018540349</v>
      </c>
      <c r="O237" s="1258">
        <f>1173/E237</f>
        <v>182.18840424391811</v>
      </c>
      <c r="P237" s="318">
        <f>Tabel668917263329[[#This Row],[Total. ch. DW 2015]]+Tabel668917263329[[#This Row],[Sew. 2015]]+Tabel668917263329[[#This Row],[WW 2015]]+Tabel668917263329[[#This Row],[Other ch. 2015]]+Tabel668917263329[[#This Row],[VAT 2015]]</f>
        <v>910.94202121959052</v>
      </c>
      <c r="Q237" s="397"/>
      <c r="R237" s="2158"/>
      <c r="S237" s="2159"/>
      <c r="T237" s="2160"/>
      <c r="U237" s="2141"/>
      <c r="V237" s="2142"/>
      <c r="W237" s="2143"/>
      <c r="X237" s="2144"/>
      <c r="Y237" s="2145"/>
      <c r="Z237" s="2146"/>
      <c r="AA237" s="397"/>
      <c r="AB237" s="398"/>
      <c r="AC237" s="398"/>
      <c r="AD237" s="396" t="s">
        <v>429</v>
      </c>
      <c r="AE237" s="396"/>
      <c r="AF237" s="396"/>
      <c r="AG237" s="396" t="s">
        <v>429</v>
      </c>
      <c r="AH237" s="398"/>
      <c r="AI237" s="397"/>
    </row>
    <row r="238" spans="1:35" ht="16.5" hidden="1" customHeight="1" thickBot="1" x14ac:dyDescent="0.3">
      <c r="A238" s="2006"/>
      <c r="B238" s="1617"/>
      <c r="C238" s="835" t="s">
        <v>159</v>
      </c>
      <c r="D238" s="2221"/>
      <c r="E238" s="307">
        <f>'[1]exchange rates'!K58</f>
        <v>6.4383900000000001</v>
      </c>
      <c r="F238" s="319">
        <f>1033.6/E238</f>
        <v>160.53702866710464</v>
      </c>
      <c r="G238" s="320">
        <f>932.8/E238</f>
        <v>144.88094073207742</v>
      </c>
      <c r="H238" s="321">
        <v>0</v>
      </c>
      <c r="I238" s="313">
        <f>Tabel668917263329[[#This Row],[Fix.ch. 2015]]+Tabel668917263329[[#This Row],[Var. ch. 2015]]+Tabel668917263329[[#This Row],[Oth. ch. DW 2015]]</f>
        <v>305.41796939918208</v>
      </c>
      <c r="J238" s="322">
        <f>1550.4/E238</f>
        <v>240.805543000657</v>
      </c>
      <c r="K238" s="323">
        <f>1259.2/E238</f>
        <v>195.57684452168942</v>
      </c>
      <c r="L238" s="323"/>
      <c r="M238" s="324">
        <v>0</v>
      </c>
      <c r="N238" s="1257">
        <f>Tabel668917263329[[#This Row],[Sew. 2015]]+Tabel668917263329[[#This Row],[WW 2015]]+Tabel668917263329[[#This Row],[Other ch. 2015]]</f>
        <v>436.38238752234645</v>
      </c>
      <c r="O238" s="1258">
        <f>1194/E238</f>
        <v>185.45008923038213</v>
      </c>
      <c r="P238" s="318">
        <f>Tabel668917263329[[#This Row],[Total. ch. DW 2015]]+Tabel668917263329[[#This Row],[Sew. 2015]]+Tabel668917263329[[#This Row],[WW 2015]]+Tabel668917263329[[#This Row],[Other ch. 2015]]+Tabel668917263329[[#This Row],[VAT 2015]]</f>
        <v>927.25044615191064</v>
      </c>
      <c r="Q238" s="397"/>
      <c r="R238" s="2223"/>
      <c r="S238" s="2225"/>
      <c r="T238" s="2227"/>
      <c r="U238" s="2234"/>
      <c r="V238" s="2236"/>
      <c r="W238" s="2238"/>
      <c r="X238" s="2240"/>
      <c r="Y238" s="2242"/>
      <c r="Z238" s="2244"/>
      <c r="AA238" s="397"/>
      <c r="AB238" s="398"/>
      <c r="AC238" s="398"/>
      <c r="AD238" s="396" t="s">
        <v>429</v>
      </c>
      <c r="AE238" s="396"/>
      <c r="AF238" s="396"/>
      <c r="AG238" s="396" t="s">
        <v>429</v>
      </c>
      <c r="AH238" s="398"/>
      <c r="AI238" s="397"/>
    </row>
    <row r="239" spans="1:35" ht="15.75" hidden="1" x14ac:dyDescent="0.25">
      <c r="A239" s="1818" t="s">
        <v>28</v>
      </c>
      <c r="B239" s="1213"/>
      <c r="C239" s="543" t="s">
        <v>160</v>
      </c>
      <c r="D239" s="1759">
        <v>59300</v>
      </c>
      <c r="E239" s="617">
        <f>'[1]exchange rates'!$M$59</f>
        <v>1.0015000000000001</v>
      </c>
      <c r="F239" s="549">
        <f>198/E239</f>
        <v>197.70344483275088</v>
      </c>
      <c r="G239" s="550">
        <f>258/E239</f>
        <v>257.61357963055417</v>
      </c>
      <c r="H239" s="551">
        <v>0</v>
      </c>
      <c r="I239" s="566">
        <f>Tabel668917263329[[#This Row],[Fix.ch. 2015]]+Tabel668917263329[[#This Row],[Var. ch. 2015]]+Tabel668917263329[[#This Row],[Oth. ch. DW 2015]]</f>
        <v>455.31702446330507</v>
      </c>
      <c r="J239" s="567">
        <f>331.5/E239</f>
        <v>331.00349475786317</v>
      </c>
      <c r="K239" s="568">
        <v>0</v>
      </c>
      <c r="L239" s="568"/>
      <c r="M239" s="569">
        <v>0</v>
      </c>
      <c r="N239" s="1270">
        <f>Tabel668917263329[[#This Row],[Sew. 2015]]+Tabel668917263329[[#This Row],[WW 2015]]+Tabel668917263329[[#This Row],[Other ch. 2015]]</f>
        <v>331.00349475786317</v>
      </c>
      <c r="O239" s="1271">
        <f>37.92/E239</f>
        <v>37.86320519221168</v>
      </c>
      <c r="P239" s="571">
        <f>Tabel668917263329[[#This Row],[Total. ch. DW 2015]]+Tabel668917263329[[#This Row],[Sew. 2015]]+Tabel668917263329[[#This Row],[WW 2015]]+Tabel668917263329[[#This Row],[Other ch. 2015]]+Tabel668917263329[[#This Row],[VAT 2015]]</f>
        <v>824.18372441337999</v>
      </c>
      <c r="Q239" s="397"/>
      <c r="R239" s="1762">
        <f t="shared" ref="R239:W239" si="63">SUM(F239:F243)/5</f>
        <v>103.21118322516227</v>
      </c>
      <c r="S239" s="1765">
        <f t="shared" si="63"/>
        <v>338.29256115826257</v>
      </c>
      <c r="T239" s="2272">
        <f t="shared" si="63"/>
        <v>0</v>
      </c>
      <c r="U239" s="1774">
        <f t="shared" si="63"/>
        <v>441.50374438342476</v>
      </c>
      <c r="V239" s="1777">
        <f t="shared" si="63"/>
        <v>404.80878681977032</v>
      </c>
      <c r="W239" s="1810">
        <f t="shared" si="63"/>
        <v>0</v>
      </c>
      <c r="X239" s="1812">
        <f>SUM(M239:M243)/5</f>
        <v>0</v>
      </c>
      <c r="Y239" s="1814">
        <f t="shared" ref="Y239:Z239" si="64">SUM(O239:O243)/5</f>
        <v>43.422865701447833</v>
      </c>
      <c r="Z239" s="2260">
        <f t="shared" si="64"/>
        <v>889.73539690464293</v>
      </c>
      <c r="AA239" s="397"/>
      <c r="AB239" s="398"/>
      <c r="AC239" s="591" t="s">
        <v>429</v>
      </c>
      <c r="AD239" s="614"/>
      <c r="AE239" s="614"/>
      <c r="AF239" s="591" t="s">
        <v>429</v>
      </c>
      <c r="AG239" s="398"/>
      <c r="AH239" s="398"/>
      <c r="AI239" s="397"/>
    </row>
    <row r="240" spans="1:35" ht="15.75" hidden="1" x14ac:dyDescent="0.25">
      <c r="A240" s="2294"/>
      <c r="B240" s="1213"/>
      <c r="C240" s="543" t="s">
        <v>603</v>
      </c>
      <c r="D240" s="1880"/>
      <c r="E240" s="617">
        <f>'[1]exchange rates'!$M$59</f>
        <v>1.0015000000000001</v>
      </c>
      <c r="F240" s="549">
        <f>108/E240</f>
        <v>107.83824263604592</v>
      </c>
      <c r="G240" s="550">
        <f>240/E240</f>
        <v>239.64053919121318</v>
      </c>
      <c r="H240" s="551">
        <v>0</v>
      </c>
      <c r="I240" s="566">
        <f>Tabel668917263329[[#This Row],[Fix.ch. 2015]]+Tabel668917263329[[#This Row],[Var. ch. 2015]]+Tabel668917263329[[#This Row],[Oth. ch. DW 2015]]</f>
        <v>347.47878182725913</v>
      </c>
      <c r="J240" s="567">
        <f>462.25/E240</f>
        <v>461.55766350474283</v>
      </c>
      <c r="K240" s="568">
        <v>0</v>
      </c>
      <c r="L240" s="568"/>
      <c r="M240" s="569">
        <v>0</v>
      </c>
      <c r="N240" s="1270">
        <f>Tabel668917263329[[#This Row],[Sew. 2015]]+Tabel668917263329[[#This Row],[WW 2015]]+Tabel668917263329[[#This Row],[Other ch. 2015]]</f>
        <v>461.55766350474283</v>
      </c>
      <c r="O240" s="1271">
        <f>45.68/E240</f>
        <v>45.611582626060908</v>
      </c>
      <c r="P240" s="571">
        <f>Tabel668917263329[[#This Row],[Total. ch. DW 2015]]+Tabel668917263329[[#This Row],[Sew. 2015]]+Tabel668917263329[[#This Row],[WW 2015]]+Tabel668917263329[[#This Row],[Other ch. 2015]]+Tabel668917263329[[#This Row],[VAT 2015]]</f>
        <v>854.64802795806281</v>
      </c>
      <c r="Q240" s="397"/>
      <c r="R240" s="1886"/>
      <c r="S240" s="1888"/>
      <c r="T240" s="2290"/>
      <c r="U240" s="1892"/>
      <c r="V240" s="1894"/>
      <c r="W240" s="1864"/>
      <c r="X240" s="1913"/>
      <c r="Y240" s="1915"/>
      <c r="Z240" s="2291"/>
      <c r="AA240" s="397"/>
      <c r="AB240" s="398"/>
      <c r="AC240" s="591" t="s">
        <v>429</v>
      </c>
      <c r="AD240" s="614"/>
      <c r="AE240" s="614"/>
      <c r="AF240" s="591" t="s">
        <v>429</v>
      </c>
      <c r="AG240" s="398"/>
      <c r="AH240" s="398"/>
      <c r="AI240" s="397"/>
    </row>
    <row r="241" spans="1:35" ht="15.75" hidden="1" x14ac:dyDescent="0.25">
      <c r="A241" s="2294"/>
      <c r="B241" s="1213"/>
      <c r="C241" s="543" t="s">
        <v>162</v>
      </c>
      <c r="D241" s="1880"/>
      <c r="E241" s="617">
        <f>'[1]exchange rates'!$M$59</f>
        <v>1.0015000000000001</v>
      </c>
      <c r="F241" s="549">
        <f>136/E241</f>
        <v>135.79630554168747</v>
      </c>
      <c r="G241" s="550">
        <f>384/E241</f>
        <v>383.42486270594105</v>
      </c>
      <c r="H241" s="551">
        <v>0</v>
      </c>
      <c r="I241" s="566">
        <f>Tabel668917263329[[#This Row],[Fix.ch. 2015]]+Tabel668917263329[[#This Row],[Var. ch. 2015]]+Tabel668917263329[[#This Row],[Oth. ch. DW 2015]]</f>
        <v>519.2211682476285</v>
      </c>
      <c r="J241" s="567">
        <f>240/E241</f>
        <v>239.64053919121318</v>
      </c>
      <c r="K241" s="568">
        <v>0</v>
      </c>
      <c r="L241" s="568"/>
      <c r="M241" s="569">
        <v>0</v>
      </c>
      <c r="N241" s="1270">
        <f>Tabel668917263329[[#This Row],[Sew. 2015]]+Tabel668917263329[[#This Row],[WW 2015]]+Tabel668917263329[[#This Row],[Other ch. 2015]]</f>
        <v>239.64053919121318</v>
      </c>
      <c r="O241" s="1271">
        <f>32.2/E241</f>
        <v>32.151772341487771</v>
      </c>
      <c r="P241" s="571">
        <f>Tabel668917263329[[#This Row],[Total. ch. DW 2015]]+Tabel668917263329[[#This Row],[Sew. 2015]]+Tabel668917263329[[#This Row],[WW 2015]]+Tabel668917263329[[#This Row],[Other ch. 2015]]+Tabel668917263329[[#This Row],[VAT 2015]]</f>
        <v>791.01347978032948</v>
      </c>
      <c r="Q241" s="397"/>
      <c r="R241" s="1886"/>
      <c r="S241" s="1888"/>
      <c r="T241" s="2290"/>
      <c r="U241" s="1892"/>
      <c r="V241" s="1894"/>
      <c r="W241" s="1864"/>
      <c r="X241" s="1913"/>
      <c r="Y241" s="1915"/>
      <c r="Z241" s="2291"/>
      <c r="AA241" s="397"/>
      <c r="AB241" s="398"/>
      <c r="AC241" s="591" t="s">
        <v>429</v>
      </c>
      <c r="AD241" s="614"/>
      <c r="AE241" s="614"/>
      <c r="AF241" s="591" t="s">
        <v>429</v>
      </c>
      <c r="AG241" s="398"/>
      <c r="AH241" s="398"/>
      <c r="AI241" s="397"/>
    </row>
    <row r="242" spans="1:35" ht="15.75" hidden="1" x14ac:dyDescent="0.25">
      <c r="A242" s="2294"/>
      <c r="B242" s="1213"/>
      <c r="C242" s="543" t="s">
        <v>161</v>
      </c>
      <c r="D242" s="1880"/>
      <c r="E242" s="617">
        <f>'[1]exchange rates'!$M$59</f>
        <v>1.0015000000000001</v>
      </c>
      <c r="F242" s="549">
        <f>70/E242</f>
        <v>69.895157264103844</v>
      </c>
      <c r="G242" s="550">
        <f>292/E242</f>
        <v>291.56265601597602</v>
      </c>
      <c r="H242" s="551">
        <v>0</v>
      </c>
      <c r="I242" s="566">
        <f>Tabel668917263329[[#This Row],[Fix.ch. 2015]]+Tabel668917263329[[#This Row],[Var. ch. 2015]]+Tabel668917263329[[#This Row],[Oth. ch. DW 2015]]</f>
        <v>361.45781328007985</v>
      </c>
      <c r="J242" s="567">
        <f>435/E242</f>
        <v>434.34847728407385</v>
      </c>
      <c r="K242" s="568">
        <v>0</v>
      </c>
      <c r="L242" s="568"/>
      <c r="M242" s="569">
        <v>0</v>
      </c>
      <c r="N242" s="1270">
        <f>Tabel668917263329[[#This Row],[Sew. 2015]]+Tabel668917263329[[#This Row],[WW 2015]]+Tabel668917263329[[#This Row],[Other ch. 2015]]</f>
        <v>434.34847728407385</v>
      </c>
      <c r="O242" s="1271">
        <f>43.85/E242</f>
        <v>43.784323514727909</v>
      </c>
      <c r="P242" s="571">
        <f>Tabel668917263329[[#This Row],[Total. ch. DW 2015]]+Tabel668917263329[[#This Row],[Sew. 2015]]+Tabel668917263329[[#This Row],[WW 2015]]+Tabel668917263329[[#This Row],[Other ch. 2015]]+Tabel668917263329[[#This Row],[VAT 2015]]</f>
        <v>839.59061407888157</v>
      </c>
      <c r="Q242" s="397"/>
      <c r="R242" s="1886"/>
      <c r="S242" s="1888"/>
      <c r="T242" s="2290"/>
      <c r="U242" s="1892"/>
      <c r="V242" s="1894"/>
      <c r="W242" s="1864"/>
      <c r="X242" s="1913"/>
      <c r="Y242" s="1915"/>
      <c r="Z242" s="2291"/>
      <c r="AA242" s="397"/>
      <c r="AB242" s="398"/>
      <c r="AC242" s="591" t="s">
        <v>429</v>
      </c>
      <c r="AD242" s="614"/>
      <c r="AE242" s="614"/>
      <c r="AF242" s="591" t="s">
        <v>429</v>
      </c>
      <c r="AG242" s="398"/>
      <c r="AH242" s="398"/>
      <c r="AI242" s="397"/>
    </row>
    <row r="243" spans="1:35" ht="16.5" hidden="1" thickBot="1" x14ac:dyDescent="0.3">
      <c r="A243" s="2295"/>
      <c r="B243" s="1213"/>
      <c r="C243" s="544" t="s">
        <v>163</v>
      </c>
      <c r="D243" s="1761"/>
      <c r="E243" s="617">
        <f>'[1]exchange rates'!$M$59</f>
        <v>1.0015000000000001</v>
      </c>
      <c r="F243" s="549">
        <f>4.83/E243</f>
        <v>4.8227658512231653</v>
      </c>
      <c r="G243" s="550">
        <f>520/E243</f>
        <v>519.2211682476285</v>
      </c>
      <c r="H243" s="551">
        <v>0</v>
      </c>
      <c r="I243" s="566">
        <f>Tabel668917263329[[#This Row],[Fix.ch. 2015]]+Tabel668917263329[[#This Row],[Var. ch. 2015]]+Tabel668917263329[[#This Row],[Oth. ch. DW 2015]]</f>
        <v>524.04393409885165</v>
      </c>
      <c r="J243" s="567">
        <f>558.33/E243</f>
        <v>557.49375936095862</v>
      </c>
      <c r="K243" s="568">
        <v>0</v>
      </c>
      <c r="L243" s="568"/>
      <c r="M243" s="569">
        <v>0</v>
      </c>
      <c r="N243" s="1270">
        <f>Tabel668917263329[[#This Row],[Sew. 2015]]+Tabel668917263329[[#This Row],[WW 2015]]+Tabel668917263329[[#This Row],[Other ch. 2015]]</f>
        <v>557.49375936095862</v>
      </c>
      <c r="O243" s="1271">
        <f>57.79/E243</f>
        <v>57.703444832750868</v>
      </c>
      <c r="P243" s="571">
        <f>Tabel668917263329[[#This Row],[Total. ch. DW 2015]]+Tabel668917263329[[#This Row],[Sew. 2015]]+Tabel668917263329[[#This Row],[WW 2015]]+Tabel668917263329[[#This Row],[Other ch. 2015]]+Tabel668917263329[[#This Row],[VAT 2015]]</f>
        <v>1139.2411382925611</v>
      </c>
      <c r="Q243" s="397"/>
      <c r="R243" s="1764"/>
      <c r="S243" s="1767"/>
      <c r="T243" s="2273"/>
      <c r="U243" s="1776"/>
      <c r="V243" s="1779"/>
      <c r="W243" s="2248"/>
      <c r="X243" s="1813"/>
      <c r="Y243" s="1815"/>
      <c r="Z243" s="2292"/>
      <c r="AA243" s="397"/>
      <c r="AB243" s="398"/>
      <c r="AC243" s="591" t="s">
        <v>429</v>
      </c>
      <c r="AD243" s="614"/>
      <c r="AE243" s="614"/>
      <c r="AF243" s="591" t="s">
        <v>429</v>
      </c>
      <c r="AG243" s="398"/>
      <c r="AH243" s="398"/>
      <c r="AI243" s="397"/>
    </row>
    <row r="244" spans="1:35" ht="19.5" hidden="1" thickBot="1" x14ac:dyDescent="0.3">
      <c r="A244" s="1170" t="s">
        <v>706</v>
      </c>
      <c r="B244" s="1213"/>
      <c r="C244" s="543" t="s">
        <v>708</v>
      </c>
      <c r="D244" s="1172">
        <v>3000</v>
      </c>
      <c r="E244" s="617">
        <f>'[1]exchange rates'!M60</f>
        <v>2171.8366799999999</v>
      </c>
      <c r="F244" s="549"/>
      <c r="G244" s="550"/>
      <c r="H244" s="551"/>
      <c r="I244" s="566">
        <f>Tabel668917263329[[#This Row],[Fix.ch. 2015]]+Tabel668917263329[[#This Row],[Var. ch. 2015]]+Tabel668917263329[[#This Row],[Oth. ch. DW 2015]]</f>
        <v>0</v>
      </c>
      <c r="J244" s="567"/>
      <c r="K244" s="568"/>
      <c r="L244" s="568"/>
      <c r="M244" s="569"/>
      <c r="N244" s="1270">
        <f>Tabel668917263329[[#This Row],[Sew. 2015]]+Tabel668917263329[[#This Row],[WW 2015]]+Tabel668917263329[[#This Row],[Other ch. 2015]]</f>
        <v>0</v>
      </c>
      <c r="O244" s="1271"/>
      <c r="P244" s="571">
        <f>Tabel668917263329[[#This Row],[Total. ch. DW 2015]]+Tabel668917263329[[#This Row],[Sew. 2015]]+Tabel668917263329[[#This Row],[WW 2015]]+Tabel668917263329[[#This Row],[Other ch. 2015]]+Tabel668917263329[[#This Row],[VAT 2015]]</f>
        <v>0</v>
      </c>
      <c r="Q244" s="397"/>
      <c r="R244" s="1296"/>
      <c r="S244" s="1309"/>
      <c r="T244" s="1310"/>
      <c r="U244" s="1299"/>
      <c r="V244" s="1300"/>
      <c r="W244" s="1311"/>
      <c r="X244" s="1302"/>
      <c r="Y244" s="1312"/>
      <c r="Z244" s="1313"/>
      <c r="AA244" s="397"/>
      <c r="AB244" s="398"/>
      <c r="AC244" s="591"/>
      <c r="AD244" s="614"/>
      <c r="AE244" s="614"/>
      <c r="AF244" s="591"/>
      <c r="AG244" s="398"/>
      <c r="AH244" s="398"/>
      <c r="AI244" s="397"/>
    </row>
    <row r="245" spans="1:35" ht="19.5" hidden="1" thickBot="1" x14ac:dyDescent="0.3">
      <c r="A245" s="1170" t="s">
        <v>737</v>
      </c>
      <c r="B245" s="1213"/>
      <c r="C245" s="1295" t="s">
        <v>738</v>
      </c>
      <c r="D245" s="1172">
        <v>16100</v>
      </c>
      <c r="E245" s="617">
        <f>'[1]exchange rates'!M61</f>
        <v>36.151380000000003</v>
      </c>
      <c r="F245" s="549"/>
      <c r="G245" s="550"/>
      <c r="H245" s="551"/>
      <c r="I245" s="566">
        <f>((30*8.5)+(10*10.03)+(10*10.35)+(10*10.68)+(10*11)+(10*11.33)+(10*12.5)+(10*12.82)+(20*13.15)+(40*13.47)+(40*13.8))/E245</f>
        <v>66.274095207430534</v>
      </c>
      <c r="J245" s="567"/>
      <c r="K245" s="568">
        <f>(3.358*200)/E245</f>
        <v>18.577437431157538</v>
      </c>
      <c r="L245" s="568"/>
      <c r="M245" s="569"/>
      <c r="N245" s="1270">
        <f>Tabel668917263329[[#This Row],[Sew. 2015]]+Tabel668917263329[[#This Row],[WW 2015]]+Tabel668917263329[[#This Row],[Other ch. 2015]]</f>
        <v>18.577437431157538</v>
      </c>
      <c r="O245" s="1271"/>
      <c r="P245" s="571">
        <f>Tabel668917263329[[#This Row],[Total. ch. DW 2015]]+Tabel668917263329[[#This Row],[Sew. 2015]]+Tabel668917263329[[#This Row],[WW 2015]]+Tabel668917263329[[#This Row],[Other ch. 2015]]+Tabel668917263329[[#This Row],[VAT 2015]]</f>
        <v>84.851532638588068</v>
      </c>
      <c r="Q245" s="397"/>
      <c r="R245" s="1296"/>
      <c r="S245" s="1309"/>
      <c r="T245" s="1310"/>
      <c r="U245" s="1299">
        <f>Tabel668917263329[[#This Row],[Total. ch. DW 2015]]</f>
        <v>66.274095207430534</v>
      </c>
      <c r="V245" s="1300"/>
      <c r="W245" s="1301">
        <f>Tabel668917263329[[#This Row],[WW 2015]]</f>
        <v>18.577437431157538</v>
      </c>
      <c r="X245" s="1302"/>
      <c r="Y245" s="1312"/>
      <c r="Z245" s="1314">
        <f>SUM(U245:Y245)</f>
        <v>84.851532638588068</v>
      </c>
      <c r="AA245" s="397"/>
      <c r="AB245" s="398"/>
      <c r="AC245" s="591"/>
      <c r="AD245" s="591" t="s">
        <v>429</v>
      </c>
      <c r="AE245" s="614"/>
      <c r="AF245" s="591" t="s">
        <v>429</v>
      </c>
      <c r="AG245" s="398"/>
      <c r="AH245" s="398"/>
      <c r="AI245" s="397"/>
    </row>
    <row r="246" spans="1:35" ht="16.5" hidden="1" thickBot="1" x14ac:dyDescent="0.3">
      <c r="A246" s="267" t="s">
        <v>29</v>
      </c>
      <c r="B246" s="1616"/>
      <c r="C246" s="298" t="s">
        <v>164</v>
      </c>
      <c r="D246" s="1315"/>
      <c r="E246" s="307"/>
      <c r="F246" s="319"/>
      <c r="G246" s="320"/>
      <c r="H246" s="321"/>
      <c r="I246" s="313">
        <f>Tabel668917263329[[#This Row],[Fix.ch. 2015]]+Tabel668917263329[[#This Row],[Var. ch. 2015]]+Tabel668917263329[[#This Row],[Oth. ch. DW 2015]]</f>
        <v>0</v>
      </c>
      <c r="J246" s="322"/>
      <c r="K246" s="323"/>
      <c r="L246" s="323"/>
      <c r="M246" s="324"/>
      <c r="N246" s="1257">
        <f>Tabel668917263329[[#This Row],[Sew. 2015]]+Tabel668917263329[[#This Row],[WW 2015]]+Tabel668917263329[[#This Row],[Other ch. 2015]]</f>
        <v>0</v>
      </c>
      <c r="O246" s="1258"/>
      <c r="P246" s="318">
        <f>Tabel668917263329[[#This Row],[Total. ch. DW 2015]]+Tabel668917263329[[#This Row],[Sew. 2015]]+Tabel668917263329[[#This Row],[WW 2015]]+Tabel668917263329[[#This Row],[Other ch. 2015]]+Tabel668917263329[[#This Row],[VAT 2015]]</f>
        <v>0</v>
      </c>
      <c r="Q246" s="397"/>
      <c r="R246" s="376"/>
      <c r="S246" s="377"/>
      <c r="T246" s="378"/>
      <c r="U246" s="379"/>
      <c r="V246" s="380"/>
      <c r="W246" s="381"/>
      <c r="X246" s="382"/>
      <c r="Y246" s="383"/>
      <c r="Z246" s="384"/>
      <c r="AA246" s="397"/>
      <c r="AB246" s="398"/>
      <c r="AC246" s="398"/>
      <c r="AD246" s="398"/>
      <c r="AE246" s="398"/>
      <c r="AF246" s="398"/>
      <c r="AG246" s="398"/>
      <c r="AH246" s="398"/>
      <c r="AI246" s="397"/>
    </row>
    <row r="247" spans="1:35" ht="15.75" hidden="1" x14ac:dyDescent="0.25">
      <c r="A247" s="1878" t="s">
        <v>505</v>
      </c>
      <c r="B247" s="1213"/>
      <c r="C247" s="693" t="s">
        <v>746</v>
      </c>
      <c r="D247" s="2293">
        <v>2100</v>
      </c>
      <c r="E247" s="617">
        <f>'[1]exchange rates'!$M$63</f>
        <v>3401.52324</v>
      </c>
      <c r="F247" s="549">
        <f>21126/E247</f>
        <v>6.2107469240751092</v>
      </c>
      <c r="G247" s="550">
        <f>457227/E247</f>
        <v>134.41830842819701</v>
      </c>
      <c r="H247" s="551">
        <v>0</v>
      </c>
      <c r="I247" s="566">
        <f>Tabel668917263329[[#This Row],[Fix.ch. 2015]]+Tabel668917263329[[#This Row],[Var. ch. 2015]]+Tabel668917263329[[#This Row],[Oth. ch. DW 2015]]</f>
        <v>140.6290553522721</v>
      </c>
      <c r="J247" s="567">
        <v>0</v>
      </c>
      <c r="K247" s="568">
        <f>100056/E247</f>
        <v>29.415057002521024</v>
      </c>
      <c r="L247" s="568"/>
      <c r="M247" s="569">
        <v>0</v>
      </c>
      <c r="N247" s="1270">
        <f>Tabel668917263329[[#This Row],[Sew. 2015]]+Tabel668917263329[[#This Row],[WW 2015]]+Tabel668917263329[[#This Row],[Other ch. 2015]]</f>
        <v>29.415057002521024</v>
      </c>
      <c r="O247" s="1271">
        <v>0</v>
      </c>
      <c r="P247" s="571">
        <f>Tabel668917263329[[#This Row],[Total. ch. DW 2015]]+Tabel668917263329[[#This Row],[Sew. 2015]]+Tabel668917263329[[#This Row],[WW 2015]]+Tabel668917263329[[#This Row],[Other ch. 2015]]+Tabel668917263329[[#This Row],[VAT 2015]]</f>
        <v>170.04411235479313</v>
      </c>
      <c r="Q247" s="397"/>
      <c r="R247" s="1762">
        <f t="shared" ref="R247:W247" si="65">SUM(F247:F250)/4</f>
        <v>6.1991344795280598</v>
      </c>
      <c r="S247" s="1765">
        <f t="shared" si="65"/>
        <v>137.80833377460624</v>
      </c>
      <c r="T247" s="1768">
        <f t="shared" si="65"/>
        <v>0</v>
      </c>
      <c r="U247" s="1774">
        <f t="shared" si="65"/>
        <v>144.0074682541343</v>
      </c>
      <c r="V247" s="1777">
        <f t="shared" si="65"/>
        <v>0</v>
      </c>
      <c r="W247" s="1810">
        <f t="shared" si="65"/>
        <v>28.761820248507256</v>
      </c>
      <c r="X247" s="1812">
        <f>SUM(M247:M250)/4</f>
        <v>0</v>
      </c>
      <c r="Y247" s="1814">
        <f t="shared" ref="Y247:Z247" si="66">SUM(O247:O250)/4</f>
        <v>0</v>
      </c>
      <c r="Z247" s="1793">
        <f t="shared" si="66"/>
        <v>172.76928850264156</v>
      </c>
      <c r="AA247" s="397"/>
      <c r="AB247" s="398"/>
      <c r="AC247" s="591" t="s">
        <v>429</v>
      </c>
      <c r="AD247" s="398"/>
      <c r="AE247" s="398"/>
      <c r="AF247" s="591" t="s">
        <v>429</v>
      </c>
      <c r="AG247" s="591" t="s">
        <v>429</v>
      </c>
      <c r="AH247" s="398"/>
      <c r="AI247" s="397"/>
    </row>
    <row r="248" spans="1:35" ht="15.75" hidden="1" x14ac:dyDescent="0.25">
      <c r="A248" s="1757"/>
      <c r="B248" s="1213"/>
      <c r="C248" s="639" t="s">
        <v>747</v>
      </c>
      <c r="D248" s="2186"/>
      <c r="E248" s="617">
        <f>'[1]exchange rates'!$M$63</f>
        <v>3401.52324</v>
      </c>
      <c r="F248" s="549">
        <f>19383/E248</f>
        <v>5.6983294343154336</v>
      </c>
      <c r="G248" s="550">
        <f>471727/E248</f>
        <v>138.68110452774681</v>
      </c>
      <c r="H248" s="551">
        <v>0</v>
      </c>
      <c r="I248" s="566">
        <f>Tabel668917263329[[#This Row],[Fix.ch. 2015]]+Tabel668917263329[[#This Row],[Var. ch. 2015]]+Tabel668917263329[[#This Row],[Oth. ch. DW 2015]]</f>
        <v>144.37943396206225</v>
      </c>
      <c r="J248" s="567">
        <v>0</v>
      </c>
      <c r="K248" s="568">
        <f>165441/E248</f>
        <v>48.637327552111621</v>
      </c>
      <c r="L248" s="568"/>
      <c r="M248" s="569">
        <v>0</v>
      </c>
      <c r="N248" s="1270">
        <f>Tabel668917263329[[#This Row],[Sew. 2015]]+Tabel668917263329[[#This Row],[WW 2015]]+Tabel668917263329[[#This Row],[Other ch. 2015]]</f>
        <v>48.637327552111621</v>
      </c>
      <c r="O248" s="1271">
        <v>0</v>
      </c>
      <c r="P248" s="571">
        <f>Tabel668917263329[[#This Row],[Total. ch. DW 2015]]+Tabel668917263329[[#This Row],[Sew. 2015]]+Tabel668917263329[[#This Row],[WW 2015]]+Tabel668917263329[[#This Row],[Other ch. 2015]]+Tabel668917263329[[#This Row],[VAT 2015]]</f>
        <v>193.01676151417388</v>
      </c>
      <c r="Q248" s="397"/>
      <c r="R248" s="1763"/>
      <c r="S248" s="1766"/>
      <c r="T248" s="1769"/>
      <c r="U248" s="1775"/>
      <c r="V248" s="1778"/>
      <c r="W248" s="1781"/>
      <c r="X248" s="1785"/>
      <c r="Y248" s="1788"/>
      <c r="Z248" s="1791"/>
      <c r="AA248" s="397"/>
      <c r="AB248" s="398"/>
      <c r="AC248" s="591" t="s">
        <v>429</v>
      </c>
      <c r="AD248" s="398"/>
      <c r="AE248" s="398"/>
      <c r="AF248" s="591" t="s">
        <v>429</v>
      </c>
      <c r="AG248" s="591" t="s">
        <v>429</v>
      </c>
      <c r="AH248" s="398"/>
      <c r="AI248" s="397"/>
    </row>
    <row r="249" spans="1:35" ht="15.75" hidden="1" x14ac:dyDescent="0.25">
      <c r="A249" s="1757"/>
      <c r="B249" s="1213"/>
      <c r="C249" s="639" t="s">
        <v>748</v>
      </c>
      <c r="D249" s="2186"/>
      <c r="E249" s="617">
        <f>'[1]exchange rates'!$M$63</f>
        <v>3401.52324</v>
      </c>
      <c r="F249" s="549">
        <f>23132/E249</f>
        <v>6.8004827155024818</v>
      </c>
      <c r="G249" s="550">
        <f>465967/E249</f>
        <v>136.9877455254429</v>
      </c>
      <c r="H249" s="551">
        <v>0</v>
      </c>
      <c r="I249" s="566">
        <f>Tabel668917263329[[#This Row],[Fix.ch. 2015]]+Tabel668917263329[[#This Row],[Var. ch. 2015]]+Tabel668917263329[[#This Row],[Oth. ch. DW 2015]]</f>
        <v>143.78822824094539</v>
      </c>
      <c r="J249" s="567">
        <v>0</v>
      </c>
      <c r="K249" s="568">
        <f>58373/E249</f>
        <v>17.160841153035896</v>
      </c>
      <c r="L249" s="568"/>
      <c r="M249" s="569">
        <v>0</v>
      </c>
      <c r="N249" s="1270">
        <f>Tabel668917263329[[#This Row],[Sew. 2015]]+Tabel668917263329[[#This Row],[WW 2015]]+Tabel668917263329[[#This Row],[Other ch. 2015]]</f>
        <v>17.160841153035896</v>
      </c>
      <c r="O249" s="1271">
        <v>0</v>
      </c>
      <c r="P249" s="571">
        <f>Tabel668917263329[[#This Row],[Total. ch. DW 2015]]+Tabel668917263329[[#This Row],[Sew. 2015]]+Tabel668917263329[[#This Row],[WW 2015]]+Tabel668917263329[[#This Row],[Other ch. 2015]]+Tabel668917263329[[#This Row],[VAT 2015]]</f>
        <v>160.94906939398129</v>
      </c>
      <c r="Q249" s="397"/>
      <c r="R249" s="1763"/>
      <c r="S249" s="1766"/>
      <c r="T249" s="1769"/>
      <c r="U249" s="1775"/>
      <c r="V249" s="1778"/>
      <c r="W249" s="1781"/>
      <c r="X249" s="1785"/>
      <c r="Y249" s="1788"/>
      <c r="Z249" s="1791"/>
      <c r="AA249" s="397"/>
      <c r="AB249" s="398"/>
      <c r="AC249" s="591" t="s">
        <v>429</v>
      </c>
      <c r="AD249" s="398"/>
      <c r="AE249" s="398"/>
      <c r="AF249" s="591" t="s">
        <v>429</v>
      </c>
      <c r="AG249" s="591" t="s">
        <v>429</v>
      </c>
      <c r="AH249" s="398"/>
      <c r="AI249" s="397"/>
    </row>
    <row r="250" spans="1:35" ht="16.5" hidden="1" thickBot="1" x14ac:dyDescent="0.3">
      <c r="A250" s="1758"/>
      <c r="B250" s="1213"/>
      <c r="C250" s="652" t="s">
        <v>749</v>
      </c>
      <c r="D250" s="2187"/>
      <c r="E250" s="617">
        <f>'[1]exchange rates'!$M$63</f>
        <v>3401.52324</v>
      </c>
      <c r="F250" s="549">
        <f>20705/E250</f>
        <v>6.0869788442192148</v>
      </c>
      <c r="G250" s="550">
        <f>480112/E250</f>
        <v>141.14617661703821</v>
      </c>
      <c r="H250" s="551">
        <v>0</v>
      </c>
      <c r="I250" s="566">
        <f>Tabel668917263329[[#This Row],[Fix.ch. 2015]]+Tabel668917263329[[#This Row],[Var. ch. 2015]]+Tabel668917263329[[#This Row],[Oth. ch. DW 2015]]</f>
        <v>147.23315546125741</v>
      </c>
      <c r="J250" s="567">
        <v>0</v>
      </c>
      <c r="K250" s="568">
        <f>67466/E250</f>
        <v>19.834055286360471</v>
      </c>
      <c r="L250" s="568"/>
      <c r="M250" s="569">
        <v>0</v>
      </c>
      <c r="N250" s="1270">
        <f>Tabel668917263329[[#This Row],[Sew. 2015]]+Tabel668917263329[[#This Row],[WW 2015]]+Tabel668917263329[[#This Row],[Other ch. 2015]]</f>
        <v>19.834055286360471</v>
      </c>
      <c r="O250" s="1271">
        <v>0</v>
      </c>
      <c r="P250" s="571">
        <f>Tabel668917263329[[#This Row],[Total. ch. DW 2015]]+Tabel668917263329[[#This Row],[Sew. 2015]]+Tabel668917263329[[#This Row],[WW 2015]]+Tabel668917263329[[#This Row],[Other ch. 2015]]+Tabel668917263329[[#This Row],[VAT 2015]]</f>
        <v>167.06721074761788</v>
      </c>
      <c r="Q250" s="397"/>
      <c r="R250" s="1764"/>
      <c r="S250" s="1767"/>
      <c r="T250" s="1770"/>
      <c r="U250" s="1776"/>
      <c r="V250" s="1779"/>
      <c r="W250" s="1811"/>
      <c r="X250" s="1813"/>
      <c r="Y250" s="1815"/>
      <c r="Z250" s="1794"/>
      <c r="AA250" s="397"/>
      <c r="AB250" s="398"/>
      <c r="AC250" s="591" t="s">
        <v>429</v>
      </c>
      <c r="AD250" s="398"/>
      <c r="AE250" s="398"/>
      <c r="AF250" s="591" t="s">
        <v>429</v>
      </c>
      <c r="AG250" s="591" t="s">
        <v>429</v>
      </c>
      <c r="AH250" s="398"/>
      <c r="AI250" s="397"/>
    </row>
    <row r="251" spans="1:35" ht="15.75" hidden="1" customHeight="1" x14ac:dyDescent="0.25">
      <c r="A251" s="1818" t="s">
        <v>456</v>
      </c>
      <c r="B251" s="1213"/>
      <c r="C251" s="543" t="s">
        <v>165</v>
      </c>
      <c r="D251" s="1759">
        <v>41200</v>
      </c>
      <c r="E251" s="617">
        <f>'[1]exchange rates'!$M$64</f>
        <v>0.67854999999999999</v>
      </c>
      <c r="F251" s="549">
        <f>29.52/E251</f>
        <v>43.504531722054381</v>
      </c>
      <c r="G251" s="550">
        <f>296.78/E251</f>
        <v>437.37381180458328</v>
      </c>
      <c r="H251" s="551">
        <v>0</v>
      </c>
      <c r="I251" s="566">
        <f>Tabel668917263329[[#This Row],[Fix.ch. 2015]]+Tabel668917263329[[#This Row],[Var. ch. 2015]]+Tabel668917263329[[#This Row],[Oth. ch. DW 2015]]</f>
        <v>480.87834352663765</v>
      </c>
      <c r="J251" s="567">
        <v>0</v>
      </c>
      <c r="K251" s="568">
        <f>255.91/E251</f>
        <v>377.14243607692873</v>
      </c>
      <c r="L251" s="568"/>
      <c r="M251" s="569">
        <v>0</v>
      </c>
      <c r="N251" s="1270">
        <f>Tabel668917263329[[#This Row],[Sew. 2015]]+Tabel668917263329[[#This Row],[WW 2015]]+Tabel668917263329[[#This Row],[Other ch. 2015]]</f>
        <v>377.14243607692873</v>
      </c>
      <c r="O251" s="1271">
        <v>0</v>
      </c>
      <c r="P251" s="571">
        <f>Tabel668917263329[[#This Row],[Total. ch. DW 2015]]+Tabel668917263329[[#This Row],[Sew. 2015]]+Tabel668917263329[[#This Row],[WW 2015]]+Tabel668917263329[[#This Row],[Other ch. 2015]]+Tabel668917263329[[#This Row],[VAT 2015]]</f>
        <v>858.02077960356633</v>
      </c>
      <c r="Q251" s="397"/>
      <c r="R251" s="1762">
        <f t="shared" ref="R251:W251" si="67">SUM(F251:F255)/5</f>
        <v>41.957114435192693</v>
      </c>
      <c r="S251" s="1765">
        <f t="shared" si="67"/>
        <v>416.81232038906489</v>
      </c>
      <c r="T251" s="1768">
        <f t="shared" si="67"/>
        <v>0</v>
      </c>
      <c r="U251" s="1774">
        <f t="shared" si="67"/>
        <v>458.76943482425759</v>
      </c>
      <c r="V251" s="1777">
        <f t="shared" si="67"/>
        <v>0</v>
      </c>
      <c r="W251" s="1810">
        <f t="shared" si="67"/>
        <v>469.02365337852768</v>
      </c>
      <c r="X251" s="1812">
        <f>SUM(M251:M255)/5</f>
        <v>0</v>
      </c>
      <c r="Y251" s="1814">
        <f t="shared" ref="Y251:Z251" si="68">SUM(O251:O255)/5</f>
        <v>0</v>
      </c>
      <c r="Z251" s="1793">
        <f t="shared" si="68"/>
        <v>927.79308820278527</v>
      </c>
      <c r="AA251" s="397"/>
      <c r="AB251" s="398"/>
      <c r="AC251" s="398"/>
      <c r="AD251" s="398"/>
      <c r="AE251" s="398"/>
      <c r="AF251" s="398"/>
      <c r="AG251" s="398"/>
      <c r="AH251" s="398"/>
      <c r="AI251" s="2191"/>
    </row>
    <row r="252" spans="1:35" ht="15.75" hidden="1" customHeight="1" x14ac:dyDescent="0.25">
      <c r="A252" s="2294"/>
      <c r="B252" s="1213"/>
      <c r="C252" s="543" t="s">
        <v>166</v>
      </c>
      <c r="D252" s="1760"/>
      <c r="E252" s="617">
        <f>'[1]exchange rates'!$M$64</f>
        <v>0.67854999999999999</v>
      </c>
      <c r="F252" s="549">
        <f>34.4/E252</f>
        <v>50.696337779087763</v>
      </c>
      <c r="G252" s="550">
        <f>261.58/E252</f>
        <v>385.49848942598186</v>
      </c>
      <c r="H252" s="551">
        <v>0</v>
      </c>
      <c r="I252" s="566">
        <f>Tabel668917263329[[#This Row],[Fix.ch. 2015]]+Tabel668917263329[[#This Row],[Var. ch. 2015]]+Tabel668917263329[[#This Row],[Oth. ch. DW 2015]]</f>
        <v>436.1948272050696</v>
      </c>
      <c r="J252" s="567">
        <v>0</v>
      </c>
      <c r="K252" s="568">
        <f>415.16/E252</f>
        <v>611.83405791761845</v>
      </c>
      <c r="L252" s="568"/>
      <c r="M252" s="569">
        <v>0</v>
      </c>
      <c r="N252" s="1270">
        <f>Tabel668917263329[[#This Row],[Sew. 2015]]+Tabel668917263329[[#This Row],[WW 2015]]+Tabel668917263329[[#This Row],[Other ch. 2015]]</f>
        <v>611.83405791761845</v>
      </c>
      <c r="O252" s="1271">
        <v>0</v>
      </c>
      <c r="P252" s="571">
        <f>Tabel668917263329[[#This Row],[Total. ch. DW 2015]]+Tabel668917263329[[#This Row],[Sew. 2015]]+Tabel668917263329[[#This Row],[WW 2015]]+Tabel668917263329[[#This Row],[Other ch. 2015]]+Tabel668917263329[[#This Row],[VAT 2015]]</f>
        <v>1048.0288851226881</v>
      </c>
      <c r="Q252" s="397"/>
      <c r="R252" s="1763"/>
      <c r="S252" s="1766"/>
      <c r="T252" s="1769"/>
      <c r="U252" s="1775"/>
      <c r="V252" s="1778"/>
      <c r="W252" s="1781"/>
      <c r="X252" s="1785"/>
      <c r="Y252" s="1788"/>
      <c r="Z252" s="1791"/>
      <c r="AA252" s="397"/>
      <c r="AB252" s="398"/>
      <c r="AC252" s="398"/>
      <c r="AD252" s="398"/>
      <c r="AE252" s="398"/>
      <c r="AF252" s="398"/>
      <c r="AG252" s="398"/>
      <c r="AH252" s="398"/>
      <c r="AI252" s="2191"/>
    </row>
    <row r="253" spans="1:35" ht="15.75" hidden="1" customHeight="1" x14ac:dyDescent="0.25">
      <c r="A253" s="2294"/>
      <c r="B253" s="1213"/>
      <c r="C253" s="543" t="s">
        <v>167</v>
      </c>
      <c r="D253" s="1760"/>
      <c r="E253" s="617">
        <f>'[1]exchange rates'!$M$64</f>
        <v>0.67854999999999999</v>
      </c>
      <c r="F253" s="549">
        <f>21.25/E253</f>
        <v>31.31677842458183</v>
      </c>
      <c r="G253" s="550">
        <f>252.58/E253</f>
        <v>372.23491268145312</v>
      </c>
      <c r="H253" s="551">
        <v>0</v>
      </c>
      <c r="I253" s="566">
        <f>Tabel668917263329[[#This Row],[Fix.ch. 2015]]+Tabel668917263329[[#This Row],[Var. ch. 2015]]+Tabel668917263329[[#This Row],[Oth. ch. DW 2015]]</f>
        <v>403.55169110603498</v>
      </c>
      <c r="J253" s="567">
        <v>0</v>
      </c>
      <c r="K253" s="568">
        <f>227.01/E253</f>
        <v>334.55161741949746</v>
      </c>
      <c r="L253" s="568"/>
      <c r="M253" s="569">
        <v>0</v>
      </c>
      <c r="N253" s="1270">
        <f>Tabel668917263329[[#This Row],[Sew. 2015]]+Tabel668917263329[[#This Row],[WW 2015]]+Tabel668917263329[[#This Row],[Other ch. 2015]]</f>
        <v>334.55161741949746</v>
      </c>
      <c r="O253" s="1271">
        <v>0</v>
      </c>
      <c r="P253" s="571">
        <f>Tabel668917263329[[#This Row],[Total. ch. DW 2015]]+Tabel668917263329[[#This Row],[Sew. 2015]]+Tabel668917263329[[#This Row],[WW 2015]]+Tabel668917263329[[#This Row],[Other ch. 2015]]+Tabel668917263329[[#This Row],[VAT 2015]]</f>
        <v>738.10330852553238</v>
      </c>
      <c r="Q253" s="397"/>
      <c r="R253" s="1763"/>
      <c r="S253" s="1766"/>
      <c r="T253" s="1769"/>
      <c r="U253" s="1775"/>
      <c r="V253" s="1778"/>
      <c r="W253" s="1781"/>
      <c r="X253" s="1785"/>
      <c r="Y253" s="1788"/>
      <c r="Z253" s="1791"/>
      <c r="AA253" s="397"/>
      <c r="AB253" s="398"/>
      <c r="AC253" s="398"/>
      <c r="AD253" s="398"/>
      <c r="AE253" s="398"/>
      <c r="AF253" s="398"/>
      <c r="AG253" s="398"/>
      <c r="AH253" s="398"/>
      <c r="AI253" s="2191"/>
    </row>
    <row r="254" spans="1:35" ht="15.75" hidden="1" customHeight="1" x14ac:dyDescent="0.25">
      <c r="A254" s="2294"/>
      <c r="B254" s="1213"/>
      <c r="C254" s="543" t="s">
        <v>168</v>
      </c>
      <c r="D254" s="1760"/>
      <c r="E254" s="617">
        <f>'[1]exchange rates'!$M$64</f>
        <v>0.67854999999999999</v>
      </c>
      <c r="F254" s="549">
        <f>34.79/E254</f>
        <v>51.271092771350673</v>
      </c>
      <c r="G254" s="550">
        <f>350/E254</f>
        <v>515.8057622872301</v>
      </c>
      <c r="H254" s="551">
        <v>0</v>
      </c>
      <c r="I254" s="566">
        <f>Tabel668917263329[[#This Row],[Fix.ch. 2015]]+Tabel668917263329[[#This Row],[Var. ch. 2015]]+Tabel668917263329[[#This Row],[Oth. ch. DW 2015]]</f>
        <v>567.0768550585808</v>
      </c>
      <c r="J254" s="567">
        <v>0</v>
      </c>
      <c r="K254" s="568">
        <f>334.64/E254</f>
        <v>493.16925797656768</v>
      </c>
      <c r="L254" s="568"/>
      <c r="M254" s="569">
        <v>0</v>
      </c>
      <c r="N254" s="1270">
        <f>Tabel668917263329[[#This Row],[Sew. 2015]]+Tabel668917263329[[#This Row],[WW 2015]]+Tabel668917263329[[#This Row],[Other ch. 2015]]</f>
        <v>493.16925797656768</v>
      </c>
      <c r="O254" s="1271">
        <v>0</v>
      </c>
      <c r="P254" s="571">
        <f>Tabel668917263329[[#This Row],[Total. ch. DW 2015]]+Tabel668917263329[[#This Row],[Sew. 2015]]+Tabel668917263329[[#This Row],[WW 2015]]+Tabel668917263329[[#This Row],[Other ch. 2015]]+Tabel668917263329[[#This Row],[VAT 2015]]</f>
        <v>1060.2461130351485</v>
      </c>
      <c r="Q254" s="397"/>
      <c r="R254" s="1763"/>
      <c r="S254" s="1766"/>
      <c r="T254" s="1769"/>
      <c r="U254" s="1775"/>
      <c r="V254" s="1778"/>
      <c r="W254" s="1781"/>
      <c r="X254" s="1785"/>
      <c r="Y254" s="1788"/>
      <c r="Z254" s="1791"/>
      <c r="AA254" s="397"/>
      <c r="AB254" s="398"/>
      <c r="AC254" s="398"/>
      <c r="AD254" s="398"/>
      <c r="AE254" s="398"/>
      <c r="AF254" s="398"/>
      <c r="AG254" s="398"/>
      <c r="AH254" s="398"/>
      <c r="AI254" s="2191"/>
    </row>
    <row r="255" spans="1:35" ht="16.5" hidden="1" customHeight="1" thickBot="1" x14ac:dyDescent="0.3">
      <c r="A255" s="2295"/>
      <c r="B255" s="1213"/>
      <c r="C255" s="543" t="s">
        <v>169</v>
      </c>
      <c r="D255" s="1761"/>
      <c r="E255" s="617">
        <f>'[1]exchange rates'!$M$64</f>
        <v>0.67854999999999999</v>
      </c>
      <c r="F255" s="549">
        <f>22.39/E255</f>
        <v>32.996831478888808</v>
      </c>
      <c r="G255" s="550">
        <f>253.2/E255</f>
        <v>373.14862574607616</v>
      </c>
      <c r="H255" s="551">
        <v>0</v>
      </c>
      <c r="I255" s="566">
        <f>Tabel668917263329[[#This Row],[Fix.ch. 2015]]+Tabel668917263329[[#This Row],[Var. ch. 2015]]+Tabel668917263329[[#This Row],[Oth. ch. DW 2015]]</f>
        <v>406.14545722496496</v>
      </c>
      <c r="J255" s="567">
        <v>0</v>
      </c>
      <c r="K255" s="568">
        <f>358.56/E255</f>
        <v>528.42089750202638</v>
      </c>
      <c r="L255" s="568"/>
      <c r="M255" s="569">
        <v>0</v>
      </c>
      <c r="N255" s="1270">
        <f>Tabel668917263329[[#This Row],[Sew. 2015]]+Tabel668917263329[[#This Row],[WW 2015]]+Tabel668917263329[[#This Row],[Other ch. 2015]]</f>
        <v>528.42089750202638</v>
      </c>
      <c r="O255" s="1271">
        <v>0</v>
      </c>
      <c r="P255" s="571">
        <f>Tabel668917263329[[#This Row],[Total. ch. DW 2015]]+Tabel668917263329[[#This Row],[Sew. 2015]]+Tabel668917263329[[#This Row],[WW 2015]]+Tabel668917263329[[#This Row],[Other ch. 2015]]+Tabel668917263329[[#This Row],[VAT 2015]]</f>
        <v>934.56635472699134</v>
      </c>
      <c r="Q255" s="397"/>
      <c r="R255" s="1764"/>
      <c r="S255" s="1767"/>
      <c r="T255" s="1770"/>
      <c r="U255" s="1776"/>
      <c r="V255" s="1779"/>
      <c r="W255" s="1811"/>
      <c r="X255" s="1813"/>
      <c r="Y255" s="1815"/>
      <c r="Z255" s="1794"/>
      <c r="AA255" s="397"/>
      <c r="AB255" s="398"/>
      <c r="AC255" s="398"/>
      <c r="AD255" s="398"/>
      <c r="AE255" s="398"/>
      <c r="AF255" s="398"/>
      <c r="AG255" s="398"/>
      <c r="AH255" s="398"/>
      <c r="AI255" s="2191"/>
    </row>
    <row r="256" spans="1:35" ht="15.75" hidden="1" x14ac:dyDescent="0.25">
      <c r="A256" s="2192" t="s">
        <v>31</v>
      </c>
      <c r="B256" s="1213"/>
      <c r="C256" s="693" t="s">
        <v>170</v>
      </c>
      <c r="D256" s="1759">
        <v>56300</v>
      </c>
      <c r="E256" s="715">
        <v>1</v>
      </c>
      <c r="F256" s="549">
        <v>178.85</v>
      </c>
      <c r="G256" s="550">
        <v>269.10000000000002</v>
      </c>
      <c r="H256" s="551">
        <v>0</v>
      </c>
      <c r="I256" s="566">
        <f>Tabel668917263329[[#This Row],[Fix.ch. 2015]]+Tabel668917263329[[#This Row],[Var. ch. 2015]]+Tabel668917263329[[#This Row],[Oth. ch. DW 2015]]</f>
        <v>447.95000000000005</v>
      </c>
      <c r="J256" s="567">
        <v>0</v>
      </c>
      <c r="K256" s="568">
        <v>427.87</v>
      </c>
      <c r="L256" s="568"/>
      <c r="M256" s="569">
        <v>0</v>
      </c>
      <c r="N256" s="1270">
        <f>Tabel668917263329[[#This Row],[Sew. 2015]]+Tabel668917263329[[#This Row],[WW 2015]]+Tabel668917263329[[#This Row],[Other ch. 2015]]</f>
        <v>427.87</v>
      </c>
      <c r="O256" s="1271">
        <v>0</v>
      </c>
      <c r="P256" s="571">
        <f>Tabel668917263329[[#This Row],[Total. ch. DW 2015]]+Tabel668917263329[[#This Row],[Sew. 2015]]+Tabel668917263329[[#This Row],[WW 2015]]+Tabel668917263329[[#This Row],[Other ch. 2015]]+Tabel668917263329[[#This Row],[VAT 2015]]</f>
        <v>875.82</v>
      </c>
      <c r="Q256" s="397"/>
      <c r="R256" s="1762">
        <f t="shared" ref="R256:W256" si="69">SUM(F256:F262)/7</f>
        <v>58.721428571428568</v>
      </c>
      <c r="S256" s="1765">
        <f t="shared" si="69"/>
        <v>206.48857142857148</v>
      </c>
      <c r="T256" s="1768">
        <f t="shared" si="69"/>
        <v>10.799999999999999</v>
      </c>
      <c r="U256" s="1774">
        <f t="shared" si="69"/>
        <v>276.01</v>
      </c>
      <c r="V256" s="1777">
        <f t="shared" si="69"/>
        <v>0</v>
      </c>
      <c r="W256" s="1810">
        <f t="shared" si="69"/>
        <v>295.38285714285718</v>
      </c>
      <c r="X256" s="1812">
        <f>SUM(M256:M262)/7</f>
        <v>34.799999999999997</v>
      </c>
      <c r="Y256" s="1814">
        <f t="shared" ref="Y256:Z256" si="70">SUM(O256:O262)/7</f>
        <v>3.1742857142857139</v>
      </c>
      <c r="Z256" s="1793">
        <f t="shared" si="70"/>
        <v>609.36714285714277</v>
      </c>
      <c r="AA256" s="397"/>
      <c r="AB256" s="591"/>
      <c r="AC256" s="591" t="s">
        <v>429</v>
      </c>
      <c r="AD256" s="591"/>
      <c r="AE256" s="591"/>
      <c r="AF256" s="591" t="s">
        <v>429</v>
      </c>
      <c r="AG256" s="591" t="s">
        <v>429</v>
      </c>
      <c r="AH256" s="591"/>
      <c r="AI256" s="397"/>
    </row>
    <row r="257" spans="1:35" ht="15.75" hidden="1" x14ac:dyDescent="0.25">
      <c r="A257" s="2148"/>
      <c r="B257" s="1213"/>
      <c r="C257" s="639" t="s">
        <v>171</v>
      </c>
      <c r="D257" s="1760"/>
      <c r="E257" s="715">
        <v>1</v>
      </c>
      <c r="F257" s="549">
        <v>46.32</v>
      </c>
      <c r="G257" s="550">
        <v>236.58</v>
      </c>
      <c r="H257" s="551">
        <v>75.599999999999994</v>
      </c>
      <c r="I257" s="566">
        <f>Tabel668917263329[[#This Row],[Fix.ch. 2015]]+Tabel668917263329[[#This Row],[Var. ch. 2015]]+Tabel668917263329[[#This Row],[Oth. ch. DW 2015]]</f>
        <v>358.5</v>
      </c>
      <c r="J257" s="567">
        <v>0</v>
      </c>
      <c r="K257" s="568">
        <v>385.86</v>
      </c>
      <c r="L257" s="568"/>
      <c r="M257" s="569">
        <v>243.6</v>
      </c>
      <c r="N257" s="1270">
        <f>Tabel668917263329[[#This Row],[Sew. 2015]]+Tabel668917263329[[#This Row],[WW 2015]]+Tabel668917263329[[#This Row],[Other ch. 2015]]</f>
        <v>629.46</v>
      </c>
      <c r="O257" s="1271">
        <v>0</v>
      </c>
      <c r="P257" s="571">
        <f>Tabel668917263329[[#This Row],[Total. ch. DW 2015]]+Tabel668917263329[[#This Row],[Sew. 2015]]+Tabel668917263329[[#This Row],[WW 2015]]+Tabel668917263329[[#This Row],[Other ch. 2015]]+Tabel668917263329[[#This Row],[VAT 2015]]</f>
        <v>987.96</v>
      </c>
      <c r="Q257" s="397"/>
      <c r="R257" s="1763"/>
      <c r="S257" s="1766"/>
      <c r="T257" s="1769"/>
      <c r="U257" s="1775"/>
      <c r="V257" s="1778"/>
      <c r="W257" s="1781"/>
      <c r="X257" s="1785"/>
      <c r="Y257" s="1788"/>
      <c r="Z257" s="1791"/>
      <c r="AA257" s="397"/>
      <c r="AB257" s="591"/>
      <c r="AC257" s="591" t="s">
        <v>429</v>
      </c>
      <c r="AD257" s="591"/>
      <c r="AE257" s="591"/>
      <c r="AF257" s="591" t="s">
        <v>429</v>
      </c>
      <c r="AG257" s="591" t="s">
        <v>429</v>
      </c>
      <c r="AH257" s="591"/>
      <c r="AI257" s="397"/>
    </row>
    <row r="258" spans="1:35" ht="15.75" hidden="1" x14ac:dyDescent="0.25">
      <c r="A258" s="2148"/>
      <c r="B258" s="1213"/>
      <c r="C258" s="639" t="s">
        <v>172</v>
      </c>
      <c r="D258" s="1760"/>
      <c r="E258" s="715">
        <v>1</v>
      </c>
      <c r="F258" s="549">
        <v>0</v>
      </c>
      <c r="G258" s="550">
        <v>330.11</v>
      </c>
      <c r="H258" s="551">
        <v>0</v>
      </c>
      <c r="I258" s="566">
        <f>Tabel668917263329[[#This Row],[Fix.ch. 2015]]+Tabel668917263329[[#This Row],[Var. ch. 2015]]+Tabel668917263329[[#This Row],[Oth. ch. DW 2015]]</f>
        <v>330.11</v>
      </c>
      <c r="J258" s="567">
        <v>0</v>
      </c>
      <c r="K258" s="568">
        <v>300.02999999999997</v>
      </c>
      <c r="L258" s="568"/>
      <c r="M258" s="569">
        <v>0</v>
      </c>
      <c r="N258" s="1270">
        <f>Tabel668917263329[[#This Row],[Sew. 2015]]+Tabel668917263329[[#This Row],[WW 2015]]+Tabel668917263329[[#This Row],[Other ch. 2015]]</f>
        <v>300.02999999999997</v>
      </c>
      <c r="O258" s="1271">
        <v>0</v>
      </c>
      <c r="P258" s="571">
        <f>Tabel668917263329[[#This Row],[Total. ch. DW 2015]]+Tabel668917263329[[#This Row],[Sew. 2015]]+Tabel668917263329[[#This Row],[WW 2015]]+Tabel668917263329[[#This Row],[Other ch. 2015]]+Tabel668917263329[[#This Row],[VAT 2015]]</f>
        <v>630.14</v>
      </c>
      <c r="Q258" s="397"/>
      <c r="R258" s="1763"/>
      <c r="S258" s="1766"/>
      <c r="T258" s="1769"/>
      <c r="U258" s="1775"/>
      <c r="V258" s="1778"/>
      <c r="W258" s="1781"/>
      <c r="X258" s="1785"/>
      <c r="Y258" s="1788"/>
      <c r="Z258" s="1791"/>
      <c r="AA258" s="397"/>
      <c r="AB258" s="591"/>
      <c r="AC258" s="591" t="s">
        <v>429</v>
      </c>
      <c r="AD258" s="591"/>
      <c r="AE258" s="591"/>
      <c r="AF258" s="591"/>
      <c r="AG258" s="591" t="s">
        <v>429</v>
      </c>
      <c r="AH258" s="591"/>
      <c r="AI258" s="397"/>
    </row>
    <row r="259" spans="1:35" ht="15.75" hidden="1" x14ac:dyDescent="0.25">
      <c r="A259" s="2148"/>
      <c r="B259" s="1213"/>
      <c r="C259" s="639" t="s">
        <v>173</v>
      </c>
      <c r="D259" s="1760"/>
      <c r="E259" s="715">
        <v>1</v>
      </c>
      <c r="F259" s="549">
        <v>0</v>
      </c>
      <c r="G259" s="550">
        <v>201.31</v>
      </c>
      <c r="H259" s="551">
        <v>0</v>
      </c>
      <c r="I259" s="566">
        <f>Tabel668917263329[[#This Row],[Fix.ch. 2015]]+Tabel668917263329[[#This Row],[Var. ch. 2015]]+Tabel668917263329[[#This Row],[Oth. ch. DW 2015]]</f>
        <v>201.31</v>
      </c>
      <c r="J259" s="567">
        <v>0</v>
      </c>
      <c r="K259" s="568">
        <v>201.31</v>
      </c>
      <c r="L259" s="568"/>
      <c r="M259" s="569">
        <v>0</v>
      </c>
      <c r="N259" s="1270">
        <f>Tabel668917263329[[#This Row],[Sew. 2015]]+Tabel668917263329[[#This Row],[WW 2015]]+Tabel668917263329[[#This Row],[Other ch. 2015]]</f>
        <v>201.31</v>
      </c>
      <c r="O259" s="1271">
        <v>0</v>
      </c>
      <c r="P259" s="571">
        <f>Tabel668917263329[[#This Row],[Total. ch. DW 2015]]+Tabel668917263329[[#This Row],[Sew. 2015]]+Tabel668917263329[[#This Row],[WW 2015]]+Tabel668917263329[[#This Row],[Other ch. 2015]]+Tabel668917263329[[#This Row],[VAT 2015]]</f>
        <v>402.62</v>
      </c>
      <c r="Q259" s="397"/>
      <c r="R259" s="1763"/>
      <c r="S259" s="1766"/>
      <c r="T259" s="1769"/>
      <c r="U259" s="1775"/>
      <c r="V259" s="1778"/>
      <c r="W259" s="1781"/>
      <c r="X259" s="1785"/>
      <c r="Y259" s="1788"/>
      <c r="Z259" s="1791"/>
      <c r="AA259" s="397"/>
      <c r="AB259" s="591"/>
      <c r="AC259" s="591" t="s">
        <v>429</v>
      </c>
      <c r="AD259" s="591"/>
      <c r="AE259" s="591"/>
      <c r="AF259" s="591"/>
      <c r="AG259" s="591" t="s">
        <v>429</v>
      </c>
      <c r="AH259" s="591"/>
      <c r="AI259" s="397"/>
    </row>
    <row r="260" spans="1:35" ht="15.75" hidden="1" x14ac:dyDescent="0.25">
      <c r="A260" s="2148"/>
      <c r="B260" s="1213"/>
      <c r="C260" s="639" t="s">
        <v>174</v>
      </c>
      <c r="D260" s="1760"/>
      <c r="E260" s="715">
        <v>1</v>
      </c>
      <c r="F260" s="549">
        <v>105.48</v>
      </c>
      <c r="G260" s="550">
        <v>137.37</v>
      </c>
      <c r="H260" s="551">
        <v>0</v>
      </c>
      <c r="I260" s="566">
        <f>Tabel668917263329[[#This Row],[Fix.ch. 2015]]+Tabel668917263329[[#This Row],[Var. ch. 2015]]+Tabel668917263329[[#This Row],[Oth. ch. DW 2015]]</f>
        <v>242.85000000000002</v>
      </c>
      <c r="J260" s="567">
        <v>0</v>
      </c>
      <c r="K260" s="568">
        <v>323.68</v>
      </c>
      <c r="L260" s="568"/>
      <c r="M260" s="569">
        <v>0</v>
      </c>
      <c r="N260" s="1270">
        <f>Tabel668917263329[[#This Row],[Sew. 2015]]+Tabel668917263329[[#This Row],[WW 2015]]+Tabel668917263329[[#This Row],[Other ch. 2015]]</f>
        <v>323.68</v>
      </c>
      <c r="O260" s="1271">
        <v>0</v>
      </c>
      <c r="P260" s="571">
        <f>Tabel668917263329[[#This Row],[Total. ch. DW 2015]]+Tabel668917263329[[#This Row],[Sew. 2015]]+Tabel668917263329[[#This Row],[WW 2015]]+Tabel668917263329[[#This Row],[Other ch. 2015]]+Tabel668917263329[[#This Row],[VAT 2015]]</f>
        <v>566.53</v>
      </c>
      <c r="Q260" s="397"/>
      <c r="R260" s="1763"/>
      <c r="S260" s="1766"/>
      <c r="T260" s="1769"/>
      <c r="U260" s="1775"/>
      <c r="V260" s="1778"/>
      <c r="W260" s="1781"/>
      <c r="X260" s="1785"/>
      <c r="Y260" s="1788"/>
      <c r="Z260" s="1791"/>
      <c r="AA260" s="397"/>
      <c r="AB260" s="591"/>
      <c r="AC260" s="591"/>
      <c r="AD260" s="591"/>
      <c r="AE260" s="591" t="s">
        <v>429</v>
      </c>
      <c r="AF260" s="591" t="s">
        <v>429</v>
      </c>
      <c r="AG260" s="591" t="s">
        <v>429</v>
      </c>
      <c r="AH260" s="591"/>
      <c r="AI260" s="397"/>
    </row>
    <row r="261" spans="1:35" ht="15.75" hidden="1" x14ac:dyDescent="0.25">
      <c r="A261" s="2148"/>
      <c r="B261" s="1213"/>
      <c r="C261" s="639" t="s">
        <v>175</v>
      </c>
      <c r="D261" s="1760"/>
      <c r="E261" s="715">
        <v>1</v>
      </c>
      <c r="F261" s="549">
        <v>38.4</v>
      </c>
      <c r="G261" s="550">
        <v>26.24</v>
      </c>
      <c r="H261" s="551">
        <v>0</v>
      </c>
      <c r="I261" s="566">
        <f>Tabel668917263329[[#This Row],[Fix.ch. 2015]]+Tabel668917263329[[#This Row],[Var. ch. 2015]]+Tabel668917263329[[#This Row],[Oth. ch. DW 2015]]</f>
        <v>64.64</v>
      </c>
      <c r="J261" s="567">
        <v>0</v>
      </c>
      <c r="K261" s="568">
        <v>136.88</v>
      </c>
      <c r="L261" s="568"/>
      <c r="M261" s="569">
        <v>0</v>
      </c>
      <c r="N261" s="1270">
        <f>Tabel668917263329[[#This Row],[Sew. 2015]]+Tabel668917263329[[#This Row],[WW 2015]]+Tabel668917263329[[#This Row],[Other ch. 2015]]</f>
        <v>136.88</v>
      </c>
      <c r="O261" s="1271">
        <v>0</v>
      </c>
      <c r="P261" s="571">
        <f>Tabel668917263329[[#This Row],[Total. ch. DW 2015]]+Tabel668917263329[[#This Row],[Sew. 2015]]+Tabel668917263329[[#This Row],[WW 2015]]+Tabel668917263329[[#This Row],[Other ch. 2015]]+Tabel668917263329[[#This Row],[VAT 2015]]</f>
        <v>201.51999999999998</v>
      </c>
      <c r="Q261" s="397"/>
      <c r="R261" s="1763"/>
      <c r="S261" s="1766"/>
      <c r="T261" s="1769"/>
      <c r="U261" s="1775"/>
      <c r="V261" s="1778"/>
      <c r="W261" s="1781"/>
      <c r="X261" s="1785"/>
      <c r="Y261" s="1788"/>
      <c r="Z261" s="1791"/>
      <c r="AA261" s="397"/>
      <c r="AB261" s="591"/>
      <c r="AC261" s="591"/>
      <c r="AD261" s="591"/>
      <c r="AE261" s="591" t="s">
        <v>429</v>
      </c>
      <c r="AF261" s="591" t="s">
        <v>429</v>
      </c>
      <c r="AG261" s="591" t="s">
        <v>429</v>
      </c>
      <c r="AH261" s="591"/>
      <c r="AI261" s="397"/>
    </row>
    <row r="262" spans="1:35" ht="16.5" hidden="1" thickBot="1" x14ac:dyDescent="0.3">
      <c r="A262" s="2148"/>
      <c r="B262" s="1213"/>
      <c r="C262" s="1053" t="s">
        <v>212</v>
      </c>
      <c r="D262" s="1761"/>
      <c r="E262" s="715">
        <v>1</v>
      </c>
      <c r="F262" s="716">
        <v>42</v>
      </c>
      <c r="G262" s="717">
        <v>244.71</v>
      </c>
      <c r="H262" s="718">
        <v>0</v>
      </c>
      <c r="I262" s="1316">
        <f>Tabel668917263329[[#This Row],[Fix.ch. 2015]]+Tabel668917263329[[#This Row],[Var. ch. 2015]]+Tabel668917263329[[#This Row],[Oth. ch. DW 2015]]</f>
        <v>286.71000000000004</v>
      </c>
      <c r="J262" s="1317">
        <v>0</v>
      </c>
      <c r="K262" s="720">
        <v>292.05</v>
      </c>
      <c r="L262" s="720"/>
      <c r="M262" s="721">
        <v>0</v>
      </c>
      <c r="N262" s="1318">
        <f>Tabel668917263329[[#This Row],[Sew. 2015]]+Tabel668917263329[[#This Row],[WW 2015]]+Tabel668917263329[[#This Row],[Other ch. 2015]]</f>
        <v>292.05</v>
      </c>
      <c r="O262" s="1319">
        <v>22.22</v>
      </c>
      <c r="P262" s="1320">
        <f>Tabel668917263329[[#This Row],[Total. ch. DW 2015]]+Tabel668917263329[[#This Row],[Sew. 2015]]+Tabel668917263329[[#This Row],[WW 2015]]+Tabel668917263329[[#This Row],[Other ch. 2015]]+Tabel668917263329[[#This Row],[VAT 2015]]</f>
        <v>600.98</v>
      </c>
      <c r="Q262" s="397"/>
      <c r="R262" s="1764"/>
      <c r="S262" s="1767"/>
      <c r="T262" s="1770"/>
      <c r="U262" s="1776"/>
      <c r="V262" s="1779"/>
      <c r="W262" s="1811"/>
      <c r="X262" s="1813"/>
      <c r="Y262" s="1815"/>
      <c r="Z262" s="1794"/>
      <c r="AA262" s="397"/>
      <c r="AB262" s="591"/>
      <c r="AC262" s="591" t="s">
        <v>429</v>
      </c>
      <c r="AD262" s="591"/>
      <c r="AE262" s="591"/>
      <c r="AF262" s="591" t="s">
        <v>429</v>
      </c>
      <c r="AG262" s="591" t="s">
        <v>429</v>
      </c>
      <c r="AH262" s="591"/>
      <c r="AI262" s="397"/>
    </row>
    <row r="263" spans="1:35" ht="16.5" hidden="1" thickBot="1" x14ac:dyDescent="0.3">
      <c r="A263" s="1818" t="s">
        <v>718</v>
      </c>
      <c r="B263" s="1213"/>
      <c r="C263" s="543" t="s">
        <v>761</v>
      </c>
      <c r="D263" s="1759">
        <v>4300</v>
      </c>
      <c r="E263" s="1321">
        <f>'[1]exchange rates'!$M$66</f>
        <v>11.06053</v>
      </c>
      <c r="F263" s="1322">
        <f>10/E263</f>
        <v>0.90411580638540834</v>
      </c>
      <c r="G263" s="1323">
        <f>908.98/E263</f>
        <v>82.182318568820847</v>
      </c>
      <c r="H263" s="1324">
        <v>0</v>
      </c>
      <c r="I263" s="1325">
        <f>F263+G263+H263</f>
        <v>83.086434375206252</v>
      </c>
      <c r="J263" s="1326">
        <v>0</v>
      </c>
      <c r="K263" s="1327">
        <f>272.69/E263</f>
        <v>24.654333924323698</v>
      </c>
      <c r="L263" s="1327"/>
      <c r="M263" s="1328">
        <f>22.7/E263</f>
        <v>2.0523428804948769</v>
      </c>
      <c r="N263" s="1318">
        <f>J263+K263+M263</f>
        <v>26.706676804818574</v>
      </c>
      <c r="O263" s="1329">
        <v>0</v>
      </c>
      <c r="P263" s="1330">
        <f>I263+J263+K263+M263+O263</f>
        <v>109.79311118002482</v>
      </c>
      <c r="Q263" s="397"/>
      <c r="R263" s="1762">
        <f t="shared" ref="R263:W263" si="71">SUM(F263:F267)/5</f>
        <v>0.54246948383124505</v>
      </c>
      <c r="S263" s="1765">
        <f t="shared" si="71"/>
        <v>82.153025216693962</v>
      </c>
      <c r="T263" s="2272">
        <f t="shared" si="71"/>
        <v>0</v>
      </c>
      <c r="U263" s="1774">
        <f t="shared" si="71"/>
        <v>82.695494700525188</v>
      </c>
      <c r="V263" s="1777">
        <f t="shared" si="71"/>
        <v>0</v>
      </c>
      <c r="W263" s="1810">
        <f t="shared" si="71"/>
        <v>25.252858588150836</v>
      </c>
      <c r="X263" s="1812">
        <f>SUM(M263:M267)/5</f>
        <v>1.4541798629902907</v>
      </c>
      <c r="Y263" s="1814">
        <f t="shared" ref="Y263:Z263" si="72">SUM(O263:O267)/5</f>
        <v>0</v>
      </c>
      <c r="Z263" s="2260">
        <f t="shared" si="72"/>
        <v>109.40253315166633</v>
      </c>
      <c r="AA263" s="397"/>
      <c r="AB263" s="591" t="s">
        <v>429</v>
      </c>
      <c r="AC263" s="591"/>
      <c r="AD263" s="614"/>
      <c r="AE263" s="591" t="s">
        <v>429</v>
      </c>
      <c r="AF263" s="591" t="s">
        <v>429</v>
      </c>
      <c r="AG263" s="591" t="s">
        <v>429</v>
      </c>
      <c r="AH263" s="398"/>
      <c r="AI263" s="397"/>
    </row>
    <row r="264" spans="1:35" ht="16.5" hidden="1" thickBot="1" x14ac:dyDescent="0.3">
      <c r="A264" s="2294"/>
      <c r="B264" s="1213"/>
      <c r="C264" s="543" t="s">
        <v>746</v>
      </c>
      <c r="D264" s="1880"/>
      <c r="E264" s="1331">
        <f>'[1]exchange rates'!$M$66</f>
        <v>11.06053</v>
      </c>
      <c r="F264" s="1322">
        <f>5/E264</f>
        <v>0.45205790319270417</v>
      </c>
      <c r="G264" s="1323">
        <f>894.54/E264</f>
        <v>80.876775344400315</v>
      </c>
      <c r="H264" s="1324">
        <v>0</v>
      </c>
      <c r="I264" s="1325">
        <f t="shared" ref="I264:I267" si="73">F264+G264+H264</f>
        <v>81.328833247593025</v>
      </c>
      <c r="J264" s="1326">
        <v>0</v>
      </c>
      <c r="K264" s="1327">
        <f>178.91/E264</f>
        <v>16.175535892041339</v>
      </c>
      <c r="L264" s="1327"/>
      <c r="M264" s="1328">
        <f>22.3/E264</f>
        <v>2.0161782482394606</v>
      </c>
      <c r="N264" s="1318">
        <f t="shared" ref="N264:N267" si="74">J264+K264+M264</f>
        <v>18.191714140280798</v>
      </c>
      <c r="O264" s="1329">
        <v>0</v>
      </c>
      <c r="P264" s="1330">
        <f t="shared" ref="P264:P267" si="75">I264+J264+K264+M264+O264</f>
        <v>99.520547387873819</v>
      </c>
      <c r="Q264" s="397"/>
      <c r="R264" s="1886"/>
      <c r="S264" s="1888"/>
      <c r="T264" s="2290"/>
      <c r="U264" s="1892"/>
      <c r="V264" s="1894"/>
      <c r="W264" s="1864"/>
      <c r="X264" s="1913"/>
      <c r="Y264" s="1915"/>
      <c r="Z264" s="2291"/>
      <c r="AA264" s="397"/>
      <c r="AB264" s="591" t="s">
        <v>429</v>
      </c>
      <c r="AC264" s="591"/>
      <c r="AD264" s="614"/>
      <c r="AE264" s="591" t="s">
        <v>429</v>
      </c>
      <c r="AF264" s="591" t="s">
        <v>429</v>
      </c>
      <c r="AG264" s="591" t="s">
        <v>429</v>
      </c>
      <c r="AH264" s="398"/>
      <c r="AI264" s="397"/>
    </row>
    <row r="265" spans="1:35" ht="16.5" hidden="1" thickBot="1" x14ac:dyDescent="0.3">
      <c r="A265" s="2294"/>
      <c r="B265" s="1213"/>
      <c r="C265" s="543" t="s">
        <v>762</v>
      </c>
      <c r="D265" s="1880"/>
      <c r="E265" s="1331">
        <f>'[1]exchange rates'!$M$66</f>
        <v>11.06053</v>
      </c>
      <c r="F265" s="1322">
        <f>5/E265</f>
        <v>0.45205790319270417</v>
      </c>
      <c r="G265" s="1323">
        <f>669/E265</f>
        <v>60.485347447183813</v>
      </c>
      <c r="H265" s="1324">
        <v>0</v>
      </c>
      <c r="I265" s="1325">
        <f t="shared" si="73"/>
        <v>60.937405350376515</v>
      </c>
      <c r="J265" s="1326">
        <v>0</v>
      </c>
      <c r="K265" s="1327">
        <f>267/E265</f>
        <v>24.139892030490401</v>
      </c>
      <c r="L265" s="1327"/>
      <c r="M265" s="1328">
        <f>16.72/E265</f>
        <v>1.5116816282764025</v>
      </c>
      <c r="N265" s="1318">
        <f t="shared" si="74"/>
        <v>25.651573658766804</v>
      </c>
      <c r="O265" s="1329">
        <v>0</v>
      </c>
      <c r="P265" s="1330">
        <f t="shared" si="75"/>
        <v>86.58897900914333</v>
      </c>
      <c r="Q265" s="397"/>
      <c r="R265" s="1886"/>
      <c r="S265" s="1888"/>
      <c r="T265" s="2290"/>
      <c r="U265" s="1892"/>
      <c r="V265" s="1894"/>
      <c r="W265" s="1864"/>
      <c r="X265" s="1913"/>
      <c r="Y265" s="1915"/>
      <c r="Z265" s="2291"/>
      <c r="AA265" s="397"/>
      <c r="AB265" s="591" t="s">
        <v>429</v>
      </c>
      <c r="AC265" s="591"/>
      <c r="AD265" s="614"/>
      <c r="AE265" s="591" t="s">
        <v>429</v>
      </c>
      <c r="AF265" s="591" t="s">
        <v>429</v>
      </c>
      <c r="AG265" s="591" t="s">
        <v>429</v>
      </c>
      <c r="AH265" s="398"/>
      <c r="AI265" s="397"/>
    </row>
    <row r="266" spans="1:35" ht="16.5" hidden="1" thickBot="1" x14ac:dyDescent="0.3">
      <c r="A266" s="2294"/>
      <c r="B266" s="1213"/>
      <c r="C266" s="543" t="s">
        <v>763</v>
      </c>
      <c r="D266" s="1880"/>
      <c r="E266" s="1331">
        <f>'[1]exchange rates'!$M$66</f>
        <v>11.06053</v>
      </c>
      <c r="F266" s="1322">
        <f>5/E266</f>
        <v>0.45205790319270417</v>
      </c>
      <c r="G266" s="1323">
        <f>751.38/E266</f>
        <v>67.933453460186811</v>
      </c>
      <c r="H266" s="1324">
        <v>0</v>
      </c>
      <c r="I266" s="1325">
        <f t="shared" si="73"/>
        <v>68.385511363379521</v>
      </c>
      <c r="J266" s="1326">
        <v>0</v>
      </c>
      <c r="K266" s="1327">
        <f>150.2/E266</f>
        <v>13.579819411908831</v>
      </c>
      <c r="L266" s="1327"/>
      <c r="M266" s="1328">
        <f>18.7/E266</f>
        <v>1.6906965579407134</v>
      </c>
      <c r="N266" s="1318">
        <f t="shared" si="74"/>
        <v>15.270515969849544</v>
      </c>
      <c r="O266" s="1329">
        <v>0</v>
      </c>
      <c r="P266" s="1330">
        <f t="shared" si="75"/>
        <v>83.656027333229062</v>
      </c>
      <c r="Q266" s="397"/>
      <c r="R266" s="1886"/>
      <c r="S266" s="1888"/>
      <c r="T266" s="2290"/>
      <c r="U266" s="1892"/>
      <c r="V266" s="1894"/>
      <c r="W266" s="1864"/>
      <c r="X266" s="1913"/>
      <c r="Y266" s="1915"/>
      <c r="Z266" s="2291"/>
      <c r="AA266" s="397"/>
      <c r="AB266" s="591" t="s">
        <v>429</v>
      </c>
      <c r="AC266" s="591"/>
      <c r="AD266" s="614"/>
      <c r="AE266" s="591" t="s">
        <v>429</v>
      </c>
      <c r="AF266" s="591" t="s">
        <v>429</v>
      </c>
      <c r="AG266" s="591" t="s">
        <v>429</v>
      </c>
      <c r="AH266" s="398"/>
      <c r="AI266" s="397"/>
    </row>
    <row r="267" spans="1:35" ht="16.5" hidden="1" thickBot="1" x14ac:dyDescent="0.3">
      <c r="A267" s="2295"/>
      <c r="B267" s="1213"/>
      <c r="C267" s="544" t="s">
        <v>764</v>
      </c>
      <c r="D267" s="1761"/>
      <c r="E267" s="1332">
        <f>'[1]exchange rates'!$M$66</f>
        <v>11.06053</v>
      </c>
      <c r="F267" s="1333">
        <f>5/E267</f>
        <v>0.45205790319270417</v>
      </c>
      <c r="G267" s="1334">
        <f>1319.38/E267</f>
        <v>119.28723126287801</v>
      </c>
      <c r="H267" s="1335">
        <v>0</v>
      </c>
      <c r="I267" s="1325">
        <f t="shared" si="73"/>
        <v>119.73928916607072</v>
      </c>
      <c r="J267" s="1336">
        <v>0</v>
      </c>
      <c r="K267" s="1327">
        <f>527.75/E267</f>
        <v>47.714711681989925</v>
      </c>
      <c r="L267" s="1327"/>
      <c r="M267" s="1328">
        <v>0</v>
      </c>
      <c r="N267" s="1318">
        <f t="shared" si="74"/>
        <v>47.714711681989925</v>
      </c>
      <c r="O267" s="1337">
        <v>0</v>
      </c>
      <c r="P267" s="1330">
        <f t="shared" si="75"/>
        <v>167.45400084806064</v>
      </c>
      <c r="Q267" s="397"/>
      <c r="R267" s="1764"/>
      <c r="S267" s="1767"/>
      <c r="T267" s="2273"/>
      <c r="U267" s="1776"/>
      <c r="V267" s="1779"/>
      <c r="W267" s="2248"/>
      <c r="X267" s="1813"/>
      <c r="Y267" s="1815"/>
      <c r="Z267" s="2292"/>
      <c r="AA267" s="397"/>
      <c r="AB267" s="398"/>
      <c r="AC267" s="591"/>
      <c r="AD267" s="614"/>
      <c r="AE267" s="591" t="s">
        <v>429</v>
      </c>
      <c r="AF267" s="591" t="s">
        <v>429</v>
      </c>
      <c r="AG267" s="398"/>
      <c r="AH267" s="398"/>
      <c r="AI267" s="397"/>
    </row>
    <row r="269" spans="1:35" x14ac:dyDescent="0.25">
      <c r="A269" s="29"/>
      <c r="B269" s="29"/>
    </row>
    <row r="270" spans="1:35" hidden="1" x14ac:dyDescent="0.25">
      <c r="A270" s="29"/>
      <c r="B270" s="29"/>
    </row>
    <row r="271" spans="1:35" hidden="1" x14ac:dyDescent="0.25">
      <c r="A271" s="29"/>
      <c r="B271" s="29"/>
    </row>
    <row r="272" spans="1:35" ht="18.75" hidden="1" x14ac:dyDescent="0.25">
      <c r="M272" s="1755" t="s">
        <v>248</v>
      </c>
      <c r="N272" s="1755"/>
      <c r="O272" s="1755"/>
      <c r="P272" s="1755"/>
      <c r="Q272" s="1755"/>
      <c r="R272" s="1755"/>
      <c r="S272" s="1755"/>
    </row>
    <row r="273" spans="1:20" ht="48" hidden="1" thickBot="1" x14ac:dyDescent="0.3">
      <c r="A273" s="1338" t="s">
        <v>1355</v>
      </c>
      <c r="B273" s="1339"/>
      <c r="C273" s="1339" t="s">
        <v>1356</v>
      </c>
      <c r="D273" s="1340" t="s">
        <v>1357</v>
      </c>
      <c r="E273" s="1341" t="s">
        <v>1358</v>
      </c>
      <c r="F273" s="1341" t="s">
        <v>1359</v>
      </c>
      <c r="G273" s="1341" t="s">
        <v>1360</v>
      </c>
      <c r="H273" s="1341" t="s">
        <v>1361</v>
      </c>
      <c r="I273" s="1341" t="s">
        <v>1362</v>
      </c>
      <c r="J273" s="1341" t="s">
        <v>1363</v>
      </c>
      <c r="K273" s="1341" t="s">
        <v>1364</v>
      </c>
      <c r="L273" s="1342" t="s">
        <v>1203</v>
      </c>
      <c r="M273" s="112" t="s">
        <v>249</v>
      </c>
      <c r="N273" s="112" t="s">
        <v>250</v>
      </c>
      <c r="O273" s="112" t="s">
        <v>251</v>
      </c>
      <c r="P273" s="112" t="s">
        <v>252</v>
      </c>
      <c r="Q273" s="112" t="s">
        <v>438</v>
      </c>
      <c r="R273" s="112" t="s">
        <v>253</v>
      </c>
      <c r="S273" s="1343" t="s">
        <v>254</v>
      </c>
    </row>
    <row r="274" spans="1:20" ht="14.45" hidden="1" customHeight="1" x14ac:dyDescent="0.25">
      <c r="A274" s="1344" t="s">
        <v>34</v>
      </c>
      <c r="B274" s="1424"/>
      <c r="C274" s="1345" t="s">
        <v>178</v>
      </c>
      <c r="D274" s="1346">
        <v>65400</v>
      </c>
      <c r="E274" s="1347">
        <v>114.01091873798683</v>
      </c>
      <c r="F274" s="1347">
        <v>317.91506186554022</v>
      </c>
      <c r="G274" s="1347">
        <v>0</v>
      </c>
      <c r="H274" s="1348">
        <v>431.92598060352702</v>
      </c>
      <c r="I274" s="1347">
        <v>440.69605127567985</v>
      </c>
      <c r="J274" s="1347">
        <v>0</v>
      </c>
      <c r="K274" s="1348">
        <v>872.62203187920682</v>
      </c>
      <c r="L274" s="1349">
        <f>H274+I274+J274</f>
        <v>872.62203187920682</v>
      </c>
      <c r="M274" s="1350"/>
      <c r="N274" s="398"/>
      <c r="O274" s="398"/>
      <c r="P274" s="591" t="s">
        <v>429</v>
      </c>
      <c r="Q274" s="591" t="s">
        <v>429</v>
      </c>
      <c r="R274" s="591" t="s">
        <v>429</v>
      </c>
      <c r="S274" s="398"/>
      <c r="T274" s="397"/>
    </row>
    <row r="275" spans="1:20" ht="14.45" hidden="1" customHeight="1" x14ac:dyDescent="0.25">
      <c r="A275" s="1351"/>
      <c r="B275" s="1424"/>
      <c r="C275" s="1352" t="s">
        <v>179</v>
      </c>
      <c r="D275" s="1353"/>
      <c r="E275" s="1347">
        <v>157.86127209875099</v>
      </c>
      <c r="F275" s="1347">
        <v>230.21435514401188</v>
      </c>
      <c r="G275" s="1347">
        <v>0</v>
      </c>
      <c r="H275" s="1348">
        <v>388.07562724276283</v>
      </c>
      <c r="I275" s="1347">
        <v>526.20424032917003</v>
      </c>
      <c r="J275" s="1347">
        <v>0</v>
      </c>
      <c r="K275" s="1348">
        <v>914.27986757193287</v>
      </c>
      <c r="L275" s="1349">
        <f t="shared" ref="L275:L338" si="76">H275+I275+J275</f>
        <v>914.27986757193287</v>
      </c>
      <c r="M275" s="1350"/>
      <c r="N275" s="398"/>
      <c r="O275" s="398"/>
      <c r="P275" s="591" t="s">
        <v>429</v>
      </c>
      <c r="Q275" s="591" t="s">
        <v>429</v>
      </c>
      <c r="R275" s="591" t="s">
        <v>429</v>
      </c>
      <c r="S275" s="398"/>
      <c r="T275" s="397"/>
    </row>
    <row r="276" spans="1:20" ht="14.45" hidden="1" customHeight="1" x14ac:dyDescent="0.25">
      <c r="A276" s="1351"/>
      <c r="B276" s="1424"/>
      <c r="C276" s="1352" t="s">
        <v>180</v>
      </c>
      <c r="D276" s="1353"/>
      <c r="E276" s="1347">
        <v>83.315671385451921</v>
      </c>
      <c r="F276" s="1347">
        <v>325.95429331501362</v>
      </c>
      <c r="G276" s="1347">
        <v>0</v>
      </c>
      <c r="H276" s="1348">
        <v>409.26996470046555</v>
      </c>
      <c r="I276" s="1347">
        <v>432.65681982620646</v>
      </c>
      <c r="J276" s="1347">
        <v>0</v>
      </c>
      <c r="K276" s="1348">
        <v>841.92678452667201</v>
      </c>
      <c r="L276" s="1349">
        <f t="shared" si="76"/>
        <v>841.92678452667201</v>
      </c>
      <c r="M276" s="1350"/>
      <c r="N276" s="396"/>
      <c r="O276" s="396"/>
      <c r="P276" s="591" t="s">
        <v>429</v>
      </c>
      <c r="Q276" s="591" t="s">
        <v>429</v>
      </c>
      <c r="R276" s="591" t="s">
        <v>429</v>
      </c>
      <c r="S276" s="398"/>
      <c r="T276" s="397"/>
    </row>
    <row r="277" spans="1:20" ht="14.45" hidden="1" customHeight="1" x14ac:dyDescent="0.25">
      <c r="A277" s="1351"/>
      <c r="B277" s="1424"/>
      <c r="C277" s="1352" t="s">
        <v>544</v>
      </c>
      <c r="D277" s="1353"/>
      <c r="E277" s="1347">
        <v>75.276439935978487</v>
      </c>
      <c r="F277" s="1347">
        <v>385.88310957472464</v>
      </c>
      <c r="G277" s="1347">
        <v>0</v>
      </c>
      <c r="H277" s="1348">
        <v>461.15954951070313</v>
      </c>
      <c r="I277" s="1347">
        <v>369.07380745309837</v>
      </c>
      <c r="J277" s="1347">
        <v>0</v>
      </c>
      <c r="K277" s="1348">
        <v>830.2333569638015</v>
      </c>
      <c r="L277" s="1349">
        <f t="shared" si="76"/>
        <v>830.2333569638015</v>
      </c>
      <c r="M277" s="1354"/>
      <c r="N277" s="396"/>
      <c r="O277" s="396"/>
      <c r="P277" s="591" t="s">
        <v>429</v>
      </c>
      <c r="Q277" s="591" t="s">
        <v>429</v>
      </c>
      <c r="R277" s="591" t="s">
        <v>429</v>
      </c>
      <c r="S277" s="396"/>
      <c r="T277" s="399"/>
    </row>
    <row r="278" spans="1:20" ht="14.45" hidden="1" customHeight="1" thickBot="1" x14ac:dyDescent="0.3">
      <c r="A278" s="1351"/>
      <c r="B278" s="1424"/>
      <c r="C278" s="1355" t="s">
        <v>779</v>
      </c>
      <c r="D278" s="1356"/>
      <c r="E278" s="1347">
        <v>162.2463074348274</v>
      </c>
      <c r="F278" s="1347">
        <v>486.73892230448223</v>
      </c>
      <c r="G278" s="1347">
        <v>0</v>
      </c>
      <c r="H278" s="1348">
        <v>648.9852297393096</v>
      </c>
      <c r="I278" s="1347">
        <v>460.42871028802375</v>
      </c>
      <c r="J278" s="1347">
        <v>0</v>
      </c>
      <c r="K278" s="1348">
        <v>1109.4139400273334</v>
      </c>
      <c r="L278" s="1349">
        <f t="shared" si="76"/>
        <v>1109.4139400273334</v>
      </c>
      <c r="M278" s="1354"/>
      <c r="N278" s="396"/>
      <c r="O278" s="396"/>
      <c r="P278" s="591" t="s">
        <v>429</v>
      </c>
      <c r="Q278" s="591" t="s">
        <v>429</v>
      </c>
      <c r="R278" s="591" t="s">
        <v>429</v>
      </c>
      <c r="S278" s="396"/>
      <c r="T278" s="399"/>
    </row>
    <row r="279" spans="1:20" ht="14.45" hidden="1" customHeight="1" x14ac:dyDescent="0.25">
      <c r="A279" s="1357" t="s">
        <v>6</v>
      </c>
      <c r="B279" s="1622"/>
      <c r="C279" s="1358" t="s">
        <v>67</v>
      </c>
      <c r="D279" s="1455">
        <v>44100</v>
      </c>
      <c r="E279" s="1347">
        <v>57.75620561600104</v>
      </c>
      <c r="F279" s="1347">
        <v>276.8910026711838</v>
      </c>
      <c r="G279" s="1347">
        <v>0</v>
      </c>
      <c r="H279" s="1348">
        <v>334.64720828718487</v>
      </c>
      <c r="I279" s="1347">
        <v>630.03018654852644</v>
      </c>
      <c r="J279" s="1347">
        <v>57.875648793623903</v>
      </c>
      <c r="K279" s="1348">
        <v>1022.5530436293352</v>
      </c>
      <c r="L279" s="1349">
        <f t="shared" si="76"/>
        <v>1022.5530436293352</v>
      </c>
      <c r="M279" s="1350"/>
      <c r="N279" s="398"/>
      <c r="O279" s="398"/>
      <c r="P279" s="591" t="s">
        <v>429</v>
      </c>
      <c r="Q279" s="591" t="s">
        <v>429</v>
      </c>
      <c r="R279" s="614"/>
      <c r="S279" s="614"/>
      <c r="T279" s="397"/>
    </row>
    <row r="280" spans="1:20" ht="14.45" hidden="1" customHeight="1" x14ac:dyDescent="0.25">
      <c r="A280" s="1456"/>
      <c r="B280" s="1622"/>
      <c r="C280" s="1358" t="s">
        <v>71</v>
      </c>
      <c r="D280" s="1361"/>
      <c r="E280" s="1347">
        <v>73.663865181227877</v>
      </c>
      <c r="F280" s="1347">
        <v>195.30045388407498</v>
      </c>
      <c r="G280" s="1347">
        <v>0</v>
      </c>
      <c r="H280" s="1348">
        <v>268.96431906530285</v>
      </c>
      <c r="I280" s="1347">
        <v>498.01289986318329</v>
      </c>
      <c r="J280" s="1347">
        <v>46.01819879688145</v>
      </c>
      <c r="K280" s="1348">
        <v>812.99541772536759</v>
      </c>
      <c r="L280" s="1349">
        <f t="shared" si="76"/>
        <v>812.99541772536759</v>
      </c>
      <c r="M280" s="1350"/>
      <c r="N280" s="398"/>
      <c r="O280" s="398"/>
      <c r="P280" s="591" t="s">
        <v>429</v>
      </c>
      <c r="Q280" s="591" t="s">
        <v>429</v>
      </c>
      <c r="R280" s="614"/>
      <c r="S280" s="614"/>
      <c r="T280" s="397"/>
    </row>
    <row r="281" spans="1:20" ht="14.45" hidden="1" customHeight="1" x14ac:dyDescent="0.25">
      <c r="A281" s="1456"/>
      <c r="B281" s="1622"/>
      <c r="C281" s="1358" t="s">
        <v>68</v>
      </c>
      <c r="D281" s="1361"/>
      <c r="E281" s="1347">
        <v>25.84316024931049</v>
      </c>
      <c r="F281" s="1347">
        <v>406.19367168328012</v>
      </c>
      <c r="G281" s="1347">
        <v>0</v>
      </c>
      <c r="H281" s="1348">
        <v>432.03683193259059</v>
      </c>
      <c r="I281" s="1347">
        <v>315.16711186396509</v>
      </c>
      <c r="J281" s="1347">
        <v>44.834625491345797</v>
      </c>
      <c r="K281" s="1348">
        <v>792.03856928790151</v>
      </c>
      <c r="L281" s="1349">
        <f t="shared" si="76"/>
        <v>792.03856928790151</v>
      </c>
      <c r="M281" s="1350"/>
      <c r="N281" s="398"/>
      <c r="O281" s="398"/>
      <c r="P281" s="591" t="s">
        <v>429</v>
      </c>
      <c r="Q281" s="591" t="s">
        <v>429</v>
      </c>
      <c r="R281" s="614"/>
      <c r="S281" s="614"/>
      <c r="T281" s="397"/>
    </row>
    <row r="282" spans="1:20" ht="14.45" hidden="1" customHeight="1" x14ac:dyDescent="0.25">
      <c r="A282" s="1456"/>
      <c r="B282" s="1622"/>
      <c r="C282" s="1358" t="s">
        <v>72</v>
      </c>
      <c r="D282" s="1361"/>
      <c r="E282" s="1347">
        <v>114.1008100419137</v>
      </c>
      <c r="F282" s="1347">
        <v>529.64362499185609</v>
      </c>
      <c r="G282" s="1347">
        <v>0</v>
      </c>
      <c r="H282" s="1348">
        <v>643.74443503376983</v>
      </c>
      <c r="I282" s="1347">
        <v>381.67524485851413</v>
      </c>
      <c r="J282" s="1347">
        <v>61.361217886072922</v>
      </c>
      <c r="K282" s="1348">
        <v>1086.7808977783568</v>
      </c>
      <c r="L282" s="1349">
        <f t="shared" si="76"/>
        <v>1086.7808977783568</v>
      </c>
      <c r="M282" s="1350"/>
      <c r="N282" s="398"/>
      <c r="O282" s="398"/>
      <c r="P282" s="591" t="s">
        <v>429</v>
      </c>
      <c r="Q282" s="591" t="s">
        <v>429</v>
      </c>
      <c r="R282" s="591" t="s">
        <v>429</v>
      </c>
      <c r="S282" s="614"/>
      <c r="T282" s="397"/>
    </row>
    <row r="283" spans="1:20" ht="14.45" hidden="1" customHeight="1" x14ac:dyDescent="0.25">
      <c r="A283" s="1456"/>
      <c r="B283" s="1622"/>
      <c r="C283" s="1358" t="s">
        <v>69</v>
      </c>
      <c r="D283" s="1361"/>
      <c r="E283" s="1347">
        <v>57.75620561600104</v>
      </c>
      <c r="F283" s="1347">
        <v>291.82139987404173</v>
      </c>
      <c r="G283" s="1347">
        <v>0</v>
      </c>
      <c r="H283" s="1348">
        <v>349.57760549004274</v>
      </c>
      <c r="I283" s="1347">
        <v>630.03018654852644</v>
      </c>
      <c r="J283" s="1347">
        <v>58.77690186114188</v>
      </c>
      <c r="K283" s="1348">
        <v>1038.384693899711</v>
      </c>
      <c r="L283" s="1349">
        <f t="shared" si="76"/>
        <v>1038.384693899711</v>
      </c>
      <c r="M283" s="1350"/>
      <c r="N283" s="398"/>
      <c r="O283" s="398"/>
      <c r="P283" s="591" t="s">
        <v>429</v>
      </c>
      <c r="Q283" s="591" t="s">
        <v>429</v>
      </c>
      <c r="R283" s="614"/>
      <c r="S283" s="614"/>
      <c r="T283" s="397"/>
    </row>
    <row r="284" spans="1:20" ht="14.45" hidden="1" customHeight="1" x14ac:dyDescent="0.25">
      <c r="A284" s="1456"/>
      <c r="B284" s="1622"/>
      <c r="C284" s="1358" t="s">
        <v>70</v>
      </c>
      <c r="D284" s="1361"/>
      <c r="E284" s="1347">
        <v>57.75620561600104</v>
      </c>
      <c r="F284" s="1347">
        <v>214.45479618650509</v>
      </c>
      <c r="G284" s="1347">
        <v>0</v>
      </c>
      <c r="H284" s="1348">
        <v>272.21100180250613</v>
      </c>
      <c r="I284" s="1347">
        <v>630.03018654852644</v>
      </c>
      <c r="J284" s="1347">
        <v>54.129476404543183</v>
      </c>
      <c r="K284" s="1348">
        <v>956.37066475557583</v>
      </c>
      <c r="L284" s="1349">
        <f t="shared" si="76"/>
        <v>956.37066475557583</v>
      </c>
      <c r="M284" s="1350"/>
      <c r="N284" s="398"/>
      <c r="O284" s="398"/>
      <c r="P284" s="591" t="s">
        <v>429</v>
      </c>
      <c r="Q284" s="591" t="s">
        <v>429</v>
      </c>
      <c r="R284" s="614"/>
      <c r="S284" s="614"/>
      <c r="T284" s="397"/>
    </row>
    <row r="285" spans="1:20" ht="15" hidden="1" customHeight="1" thickBot="1" x14ac:dyDescent="0.3">
      <c r="A285" s="1457"/>
      <c r="B285" s="1622"/>
      <c r="C285" s="1363" t="s">
        <v>629</v>
      </c>
      <c r="D285" s="1364"/>
      <c r="E285" s="1347">
        <v>113.74248050904511</v>
      </c>
      <c r="F285" s="1347">
        <v>526.31007448910896</v>
      </c>
      <c r="G285" s="1347">
        <v>0</v>
      </c>
      <c r="H285" s="1348">
        <v>640.05255499815405</v>
      </c>
      <c r="I285" s="1347">
        <v>381.67524485851413</v>
      </c>
      <c r="J285" s="1347">
        <v>61.144048472213179</v>
      </c>
      <c r="K285" s="1348">
        <v>1082.8718483288815</v>
      </c>
      <c r="L285" s="1349">
        <f t="shared" si="76"/>
        <v>1082.8718483288815</v>
      </c>
      <c r="M285" s="1350"/>
      <c r="N285" s="398"/>
      <c r="O285" s="398"/>
      <c r="P285" s="591" t="s">
        <v>429</v>
      </c>
      <c r="Q285" s="591" t="s">
        <v>429</v>
      </c>
      <c r="R285" s="591" t="s">
        <v>429</v>
      </c>
      <c r="S285" s="614"/>
      <c r="T285" s="397"/>
    </row>
    <row r="286" spans="1:20" ht="14.45" hidden="1" customHeight="1" x14ac:dyDescent="0.25">
      <c r="A286" s="1357" t="s">
        <v>49</v>
      </c>
      <c r="B286" s="1622"/>
      <c r="C286" s="1458" t="s">
        <v>459</v>
      </c>
      <c r="D286" s="1459">
        <v>15800</v>
      </c>
      <c r="E286" s="1347" t="s">
        <v>5</v>
      </c>
      <c r="F286" s="1347" t="s">
        <v>5</v>
      </c>
      <c r="G286" s="1347" t="s">
        <v>5</v>
      </c>
      <c r="H286" s="1348" t="s">
        <v>5</v>
      </c>
      <c r="I286" s="1347" t="s">
        <v>5</v>
      </c>
      <c r="J286" s="1347" t="s">
        <v>5</v>
      </c>
      <c r="K286" s="1348">
        <v>135.32414677620517</v>
      </c>
      <c r="L286" s="1349">
        <f>K286</f>
        <v>135.32414677620517</v>
      </c>
      <c r="M286" s="1367" t="s">
        <v>429</v>
      </c>
      <c r="N286" s="614"/>
      <c r="O286" s="614"/>
      <c r="P286" s="614"/>
      <c r="Q286" s="614"/>
      <c r="R286" s="614"/>
      <c r="S286" s="614"/>
      <c r="T286" s="397"/>
    </row>
    <row r="287" spans="1:20" ht="14.45" hidden="1" customHeight="1" x14ac:dyDescent="0.25">
      <c r="A287" s="1456"/>
      <c r="B287" s="1622"/>
      <c r="C287" s="1368" t="s">
        <v>462</v>
      </c>
      <c r="D287" s="1369"/>
      <c r="E287" s="1347" t="s">
        <v>5</v>
      </c>
      <c r="F287" s="1347" t="s">
        <v>5</v>
      </c>
      <c r="G287" s="1347" t="s">
        <v>5</v>
      </c>
      <c r="H287" s="1348" t="s">
        <v>5</v>
      </c>
      <c r="I287" s="1347" t="s">
        <v>5</v>
      </c>
      <c r="J287" s="1347" t="s">
        <v>5</v>
      </c>
      <c r="K287" s="1348">
        <v>110.07710446721167</v>
      </c>
      <c r="L287" s="1349">
        <f>K287</f>
        <v>110.07710446721167</v>
      </c>
      <c r="M287" s="1367" t="s">
        <v>429</v>
      </c>
      <c r="N287" s="614"/>
      <c r="O287" s="614"/>
      <c r="P287" s="614"/>
      <c r="Q287" s="614"/>
      <c r="R287" s="614"/>
      <c r="S287" s="614"/>
      <c r="T287" s="397"/>
    </row>
    <row r="288" spans="1:20" ht="15" hidden="1" customHeight="1" thickBot="1" x14ac:dyDescent="0.3">
      <c r="A288" s="1457"/>
      <c r="B288" s="1622"/>
      <c r="C288" s="1370" t="s">
        <v>1346</v>
      </c>
      <c r="D288" s="1356"/>
      <c r="E288" s="1347" t="s">
        <v>5</v>
      </c>
      <c r="F288" s="1347" t="s">
        <v>5</v>
      </c>
      <c r="G288" s="1347" t="s">
        <v>5</v>
      </c>
      <c r="H288" s="1348" t="s">
        <v>5</v>
      </c>
      <c r="I288" s="1347" t="s">
        <v>5</v>
      </c>
      <c r="J288" s="1347" t="s">
        <v>5</v>
      </c>
      <c r="K288" s="1348">
        <v>212.5800962417253</v>
      </c>
      <c r="L288" s="1349">
        <f>K288</f>
        <v>212.5800962417253</v>
      </c>
      <c r="M288" s="1367" t="s">
        <v>429</v>
      </c>
      <c r="N288" s="614"/>
      <c r="O288" s="614"/>
      <c r="P288" s="614"/>
      <c r="Q288" s="614"/>
      <c r="R288" s="614"/>
      <c r="S288" s="614"/>
      <c r="T288" s="397"/>
    </row>
    <row r="289" spans="1:20" ht="14.45" hidden="1" customHeight="1" x14ac:dyDescent="0.25">
      <c r="A289" s="1371" t="s">
        <v>343</v>
      </c>
      <c r="B289" s="1424"/>
      <c r="C289" s="1460" t="s">
        <v>548</v>
      </c>
      <c r="D289" s="1459">
        <v>45900</v>
      </c>
      <c r="E289" s="1347">
        <v>136.39208407967715</v>
      </c>
      <c r="F289" s="1347">
        <v>254.6273316500133</v>
      </c>
      <c r="G289" s="1347">
        <v>0</v>
      </c>
      <c r="H289" s="1348">
        <v>391.01941572969042</v>
      </c>
      <c r="I289" s="1347">
        <v>336.52013150038488</v>
      </c>
      <c r="J289" s="1347">
        <v>0</v>
      </c>
      <c r="K289" s="1348">
        <v>727.5395472300753</v>
      </c>
      <c r="L289" s="1349">
        <f t="shared" si="76"/>
        <v>727.5395472300753</v>
      </c>
      <c r="M289" s="1367"/>
      <c r="N289" s="591" t="s">
        <v>429</v>
      </c>
      <c r="O289" s="591"/>
      <c r="P289" s="591"/>
      <c r="Q289" s="591" t="s">
        <v>429</v>
      </c>
      <c r="R289" s="591" t="s">
        <v>429</v>
      </c>
      <c r="S289" s="614"/>
      <c r="T289" s="397"/>
    </row>
    <row r="290" spans="1:20" ht="14.45" hidden="1" customHeight="1" x14ac:dyDescent="0.25">
      <c r="A290" s="1351"/>
      <c r="B290" s="1424"/>
      <c r="C290" s="1373" t="s">
        <v>549</v>
      </c>
      <c r="D290" s="1369"/>
      <c r="E290" s="1347">
        <v>93.661652674968167</v>
      </c>
      <c r="F290" s="1347">
        <v>208.61658429908425</v>
      </c>
      <c r="G290" s="1347">
        <v>0</v>
      </c>
      <c r="H290" s="1348">
        <v>302.27823697405245</v>
      </c>
      <c r="I290" s="1347">
        <v>328.03159462200836</v>
      </c>
      <c r="J290" s="1347">
        <v>0</v>
      </c>
      <c r="K290" s="1348">
        <v>630.3098315960608</v>
      </c>
      <c r="L290" s="1349">
        <f t="shared" si="76"/>
        <v>630.3098315960608</v>
      </c>
      <c r="M290" s="1367"/>
      <c r="N290" s="591"/>
      <c r="O290" s="591" t="s">
        <v>429</v>
      </c>
      <c r="P290" s="591"/>
      <c r="Q290" s="591" t="s">
        <v>429</v>
      </c>
      <c r="R290" s="591" t="s">
        <v>429</v>
      </c>
      <c r="S290" s="614"/>
      <c r="T290" s="397"/>
    </row>
    <row r="291" spans="1:20" ht="14.45" hidden="1" customHeight="1" x14ac:dyDescent="0.25">
      <c r="A291" s="1351"/>
      <c r="B291" s="1424"/>
      <c r="C291" s="1373" t="s">
        <v>722</v>
      </c>
      <c r="D291" s="1369"/>
      <c r="E291" s="1347">
        <v>75.965211386149292</v>
      </c>
      <c r="F291" s="1347">
        <v>208.61658429908425</v>
      </c>
      <c r="G291" s="1347">
        <v>0</v>
      </c>
      <c r="H291" s="1348">
        <v>284.58179568523354</v>
      </c>
      <c r="I291" s="1347">
        <v>205.45136715799472</v>
      </c>
      <c r="J291" s="1347">
        <v>0</v>
      </c>
      <c r="K291" s="1348">
        <v>490.0331628432283</v>
      </c>
      <c r="L291" s="1349">
        <f t="shared" si="76"/>
        <v>490.0331628432283</v>
      </c>
      <c r="M291" s="1367"/>
      <c r="N291" s="591"/>
      <c r="O291" s="591"/>
      <c r="P291" s="591" t="s">
        <v>429</v>
      </c>
      <c r="Q291" s="591" t="s">
        <v>429</v>
      </c>
      <c r="R291" s="591" t="s">
        <v>429</v>
      </c>
      <c r="S291" s="614"/>
      <c r="T291" s="397"/>
    </row>
    <row r="292" spans="1:20" ht="14.45" hidden="1" customHeight="1" x14ac:dyDescent="0.25">
      <c r="A292" s="1351"/>
      <c r="B292" s="1424"/>
      <c r="C292" s="1373" t="s">
        <v>723</v>
      </c>
      <c r="D292" s="1369"/>
      <c r="E292" s="1347">
        <v>408.60075821337881</v>
      </c>
      <c r="F292" s="1347">
        <v>0</v>
      </c>
      <c r="G292" s="1347">
        <v>0</v>
      </c>
      <c r="H292" s="1348">
        <v>408.60075821337881</v>
      </c>
      <c r="I292" s="1347">
        <v>225.88140506866364</v>
      </c>
      <c r="J292" s="1347">
        <v>0</v>
      </c>
      <c r="K292" s="1348">
        <v>634.48216328204239</v>
      </c>
      <c r="L292" s="1349">
        <f t="shared" si="76"/>
        <v>634.48216328204239</v>
      </c>
      <c r="M292" s="1367" t="s">
        <v>429</v>
      </c>
      <c r="N292" s="591"/>
      <c r="O292" s="591"/>
      <c r="P292" s="591"/>
      <c r="Q292" s="591" t="s">
        <v>429</v>
      </c>
      <c r="R292" s="591" t="s">
        <v>429</v>
      </c>
      <c r="S292" s="614"/>
      <c r="T292" s="397"/>
    </row>
    <row r="293" spans="1:20" ht="15" hidden="1" customHeight="1" thickBot="1" x14ac:dyDescent="0.3">
      <c r="A293" s="1374"/>
      <c r="B293" s="1424"/>
      <c r="C293" s="1375" t="s">
        <v>552</v>
      </c>
      <c r="D293" s="1356"/>
      <c r="E293" s="1347">
        <v>136.91002870276452</v>
      </c>
      <c r="F293" s="1347">
        <v>135.81659005402452</v>
      </c>
      <c r="G293" s="1347">
        <v>0</v>
      </c>
      <c r="H293" s="1348">
        <v>272.72661875678904</v>
      </c>
      <c r="I293" s="1347">
        <v>284.64653876311945</v>
      </c>
      <c r="J293" s="1347">
        <v>0</v>
      </c>
      <c r="K293" s="1348">
        <v>557.37315751990855</v>
      </c>
      <c r="L293" s="1349">
        <f t="shared" si="76"/>
        <v>557.37315751990855</v>
      </c>
      <c r="M293" s="1367"/>
      <c r="N293" s="591"/>
      <c r="O293" s="591" t="s">
        <v>429</v>
      </c>
      <c r="P293" s="591"/>
      <c r="Q293" s="591" t="s">
        <v>429</v>
      </c>
      <c r="R293" s="591" t="s">
        <v>429</v>
      </c>
      <c r="S293" s="614"/>
      <c r="T293" s="397"/>
    </row>
    <row r="294" spans="1:20" ht="14.45" hidden="1" customHeight="1" x14ac:dyDescent="0.25">
      <c r="A294" s="1357" t="s">
        <v>489</v>
      </c>
      <c r="B294" s="1622"/>
      <c r="C294" s="1358" t="s">
        <v>728</v>
      </c>
      <c r="D294" s="1459">
        <v>23800</v>
      </c>
      <c r="E294" s="1347">
        <v>15.456467891895299</v>
      </c>
      <c r="F294" s="1347">
        <v>399.89215632775705</v>
      </c>
      <c r="G294" s="1347">
        <v>0</v>
      </c>
      <c r="H294" s="1348">
        <v>415.34862421965232</v>
      </c>
      <c r="I294" s="1347">
        <v>91.080647602095667</v>
      </c>
      <c r="J294" s="1347">
        <v>0</v>
      </c>
      <c r="K294" s="1348">
        <v>506.42927182174799</v>
      </c>
      <c r="L294" s="1349">
        <f t="shared" si="76"/>
        <v>506.42927182174799</v>
      </c>
      <c r="M294" s="1354"/>
      <c r="N294" s="396"/>
      <c r="O294" s="396"/>
      <c r="P294" s="396"/>
      <c r="Q294" s="396"/>
      <c r="R294" s="396"/>
      <c r="S294" s="398"/>
      <c r="T294" s="397"/>
    </row>
    <row r="295" spans="1:20" ht="14.45" hidden="1" customHeight="1" x14ac:dyDescent="0.25">
      <c r="A295" s="1456"/>
      <c r="B295" s="1622"/>
      <c r="C295" s="1358" t="s">
        <v>492</v>
      </c>
      <c r="D295" s="1369"/>
      <c r="E295" s="1347">
        <v>17.885341417764561</v>
      </c>
      <c r="F295" s="1347">
        <v>190.04704729426021</v>
      </c>
      <c r="G295" s="1347">
        <v>0</v>
      </c>
      <c r="H295" s="1348">
        <v>207.93238871202476</v>
      </c>
      <c r="I295" s="1347">
        <v>139.88314403965407</v>
      </c>
      <c r="J295" s="1347">
        <v>0</v>
      </c>
      <c r="K295" s="1348">
        <v>347.8155327516788</v>
      </c>
      <c r="L295" s="1349">
        <f t="shared" si="76"/>
        <v>347.8155327516788</v>
      </c>
      <c r="M295" s="1354"/>
      <c r="N295" s="396"/>
      <c r="O295" s="396"/>
      <c r="P295" s="396"/>
      <c r="Q295" s="396"/>
      <c r="R295" s="396"/>
      <c r="S295" s="398"/>
      <c r="T295" s="397"/>
    </row>
    <row r="296" spans="1:20" ht="14.45" hidden="1" customHeight="1" x14ac:dyDescent="0.25">
      <c r="A296" s="1456"/>
      <c r="B296" s="1622"/>
      <c r="C296" s="1358" t="s">
        <v>729</v>
      </c>
      <c r="D296" s="1369"/>
      <c r="E296" s="1347">
        <v>17.885341417764561</v>
      </c>
      <c r="F296" s="1347">
        <v>190.04704729426021</v>
      </c>
      <c r="G296" s="1347">
        <v>0</v>
      </c>
      <c r="H296" s="1348">
        <v>207.93238871202476</v>
      </c>
      <c r="I296" s="1347">
        <v>139.88314403965407</v>
      </c>
      <c r="J296" s="1347">
        <v>0</v>
      </c>
      <c r="K296" s="1348">
        <v>347.8155327516788</v>
      </c>
      <c r="L296" s="1349">
        <f t="shared" si="76"/>
        <v>347.8155327516788</v>
      </c>
      <c r="M296" s="1354"/>
      <c r="N296" s="396"/>
      <c r="O296" s="396"/>
      <c r="P296" s="396"/>
      <c r="Q296" s="396"/>
      <c r="R296" s="396"/>
      <c r="S296" s="398"/>
      <c r="T296" s="397"/>
    </row>
    <row r="297" spans="1:20" ht="14.45" hidden="1" customHeight="1" x14ac:dyDescent="0.25">
      <c r="A297" s="1456"/>
      <c r="B297" s="1622"/>
      <c r="C297" s="1358" t="s">
        <v>493</v>
      </c>
      <c r="D297" s="1369"/>
      <c r="E297" s="1347">
        <v>10.80827622831805</v>
      </c>
      <c r="F297" s="1347">
        <v>115.19076853665082</v>
      </c>
      <c r="G297" s="1347">
        <v>0</v>
      </c>
      <c r="H297" s="1348">
        <v>125.99904476496887</v>
      </c>
      <c r="I297" s="1347">
        <v>146.31607253260486</v>
      </c>
      <c r="J297" s="1347">
        <v>0</v>
      </c>
      <c r="K297" s="1348">
        <v>272.31511729757375</v>
      </c>
      <c r="L297" s="1349">
        <f t="shared" si="76"/>
        <v>272.31511729757375</v>
      </c>
      <c r="M297" s="1354"/>
      <c r="N297" s="396"/>
      <c r="O297" s="396"/>
      <c r="P297" s="396"/>
      <c r="Q297" s="396"/>
      <c r="R297" s="396"/>
      <c r="S297" s="398"/>
      <c r="T297" s="397"/>
    </row>
    <row r="298" spans="1:20" ht="14.45" hidden="1" customHeight="1" x14ac:dyDescent="0.25">
      <c r="A298" s="1456"/>
      <c r="B298" s="1622"/>
      <c r="C298" s="1358" t="s">
        <v>730</v>
      </c>
      <c r="D298" s="1369"/>
      <c r="E298" s="1347">
        <v>18.17506228998753</v>
      </c>
      <c r="F298" s="1347">
        <v>120.2116593805149</v>
      </c>
      <c r="G298" s="1347">
        <v>0</v>
      </c>
      <c r="H298" s="1348">
        <v>138.38672167050242</v>
      </c>
      <c r="I298" s="1347">
        <v>196.81470184346861</v>
      </c>
      <c r="J298" s="1347">
        <v>0</v>
      </c>
      <c r="K298" s="1348">
        <v>335.20142351397101</v>
      </c>
      <c r="L298" s="1349">
        <f t="shared" si="76"/>
        <v>335.20142351397101</v>
      </c>
      <c r="M298" s="1354"/>
      <c r="N298" s="396"/>
      <c r="O298" s="396"/>
      <c r="P298" s="396"/>
      <c r="Q298" s="396"/>
      <c r="R298" s="396"/>
      <c r="S298" s="398"/>
      <c r="T298" s="397"/>
    </row>
    <row r="299" spans="1:20" ht="15" hidden="1" customHeight="1" thickBot="1" x14ac:dyDescent="0.3">
      <c r="A299" s="1457"/>
      <c r="B299" s="1622"/>
      <c r="C299" s="1358" t="s">
        <v>731</v>
      </c>
      <c r="D299" s="1356"/>
      <c r="E299" s="1347">
        <v>10.266807607901336</v>
      </c>
      <c r="F299" s="1347">
        <v>94.520731356743156</v>
      </c>
      <c r="G299" s="1347">
        <v>0</v>
      </c>
      <c r="H299" s="1348">
        <v>104.7875389646445</v>
      </c>
      <c r="I299" s="1347">
        <v>127.27466044995059</v>
      </c>
      <c r="J299" s="1347">
        <v>0</v>
      </c>
      <c r="K299" s="1348">
        <v>232.06219941459509</v>
      </c>
      <c r="L299" s="1349">
        <f t="shared" si="76"/>
        <v>232.06219941459509</v>
      </c>
      <c r="M299" s="1354"/>
      <c r="N299" s="396"/>
      <c r="O299" s="396"/>
      <c r="P299" s="396"/>
      <c r="Q299" s="396"/>
      <c r="R299" s="396"/>
      <c r="S299" s="398"/>
      <c r="T299" s="397"/>
    </row>
    <row r="300" spans="1:20" ht="16.5" hidden="1" thickBot="1" x14ac:dyDescent="0.3">
      <c r="A300" s="1376" t="s">
        <v>585</v>
      </c>
      <c r="B300" s="1623"/>
      <c r="C300" s="1377" t="s">
        <v>84</v>
      </c>
      <c r="D300" s="1461">
        <v>57000</v>
      </c>
      <c r="E300" s="1347">
        <v>0</v>
      </c>
      <c r="F300" s="1347">
        <v>114.49633598349713</v>
      </c>
      <c r="G300" s="1347">
        <v>0</v>
      </c>
      <c r="H300" s="1348">
        <v>114.49633598349713</v>
      </c>
      <c r="I300" s="1347">
        <v>55.815484810214492</v>
      </c>
      <c r="J300" s="1347">
        <v>0</v>
      </c>
      <c r="K300" s="1348">
        <v>170.31182079371163</v>
      </c>
      <c r="L300" s="1349">
        <f t="shared" si="76"/>
        <v>170.31182079371163</v>
      </c>
      <c r="M300" s="1350"/>
      <c r="N300" s="396"/>
      <c r="O300" s="398"/>
      <c r="P300" s="398"/>
      <c r="Q300" s="398"/>
      <c r="R300" s="398"/>
      <c r="S300" s="398"/>
      <c r="T300" s="397"/>
    </row>
    <row r="301" spans="1:20" ht="15.75" hidden="1" x14ac:dyDescent="0.25">
      <c r="A301" s="1357" t="s">
        <v>9</v>
      </c>
      <c r="B301" s="1622"/>
      <c r="C301" s="1358" t="s">
        <v>82</v>
      </c>
      <c r="D301" s="1459">
        <v>47500</v>
      </c>
      <c r="E301" s="1347">
        <v>23.588728700587662</v>
      </c>
      <c r="F301" s="1347">
        <v>28.911313638156159</v>
      </c>
      <c r="G301" s="1347">
        <v>0</v>
      </c>
      <c r="H301" s="1348">
        <v>52.500042338743825</v>
      </c>
      <c r="I301" s="1347">
        <v>31.451638267450218</v>
      </c>
      <c r="J301" s="1347">
        <v>2.6310505089117009</v>
      </c>
      <c r="K301" s="1348">
        <v>86.582731115105744</v>
      </c>
      <c r="L301" s="1349">
        <f t="shared" si="76"/>
        <v>86.582731115105744</v>
      </c>
      <c r="M301" s="1350"/>
      <c r="N301" s="398"/>
      <c r="O301" s="398"/>
      <c r="P301" s="591" t="s">
        <v>429</v>
      </c>
      <c r="Q301" s="591" t="s">
        <v>429</v>
      </c>
      <c r="R301" s="591" t="s">
        <v>429</v>
      </c>
      <c r="S301" s="398"/>
      <c r="T301" s="397"/>
    </row>
    <row r="302" spans="1:20" ht="16.5" hidden="1" thickBot="1" x14ac:dyDescent="0.3">
      <c r="A302" s="1457"/>
      <c r="B302" s="1622"/>
      <c r="C302" s="1358" t="s">
        <v>83</v>
      </c>
      <c r="D302" s="1356"/>
      <c r="E302" s="1347">
        <v>28.548410119685581</v>
      </c>
      <c r="F302" s="1347">
        <v>47.177457401175324</v>
      </c>
      <c r="G302" s="1347">
        <v>2.3588728700587662</v>
      </c>
      <c r="H302" s="1348">
        <v>78.084740390919663</v>
      </c>
      <c r="I302" s="1347">
        <v>54.435527770586916</v>
      </c>
      <c r="J302" s="1347">
        <v>3.3266155859803113</v>
      </c>
      <c r="K302" s="1348">
        <v>135.84688374748688</v>
      </c>
      <c r="L302" s="1349">
        <f t="shared" si="76"/>
        <v>135.84688374748688</v>
      </c>
      <c r="M302" s="1350"/>
      <c r="N302" s="398"/>
      <c r="O302" s="398"/>
      <c r="P302" s="591" t="s">
        <v>429</v>
      </c>
      <c r="Q302" s="591" t="s">
        <v>429</v>
      </c>
      <c r="R302" s="591" t="s">
        <v>429</v>
      </c>
      <c r="S302" s="398"/>
      <c r="T302" s="397"/>
    </row>
    <row r="303" spans="1:20" ht="15.75" hidden="1" x14ac:dyDescent="0.25">
      <c r="A303" s="1371" t="s">
        <v>10</v>
      </c>
      <c r="B303" s="1424"/>
      <c r="C303" s="1379" t="s">
        <v>85</v>
      </c>
      <c r="D303" s="1459">
        <v>31000</v>
      </c>
      <c r="E303" s="1347">
        <v>71.665906573718161</v>
      </c>
      <c r="F303" s="1347">
        <v>247.57313180011727</v>
      </c>
      <c r="G303" s="1347">
        <v>0</v>
      </c>
      <c r="H303" s="1348">
        <v>319.23903837383546</v>
      </c>
      <c r="I303" s="1347">
        <v>325.75412078962796</v>
      </c>
      <c r="J303" s="1347">
        <v>15.961951918691771</v>
      </c>
      <c r="K303" s="1348">
        <v>660.95511108215521</v>
      </c>
      <c r="L303" s="1349">
        <f t="shared" si="76"/>
        <v>660.9551110821551</v>
      </c>
      <c r="M303" s="1350"/>
      <c r="N303" s="398"/>
      <c r="O303" s="398"/>
      <c r="P303" s="591" t="s">
        <v>429</v>
      </c>
      <c r="Q303" s="591" t="s">
        <v>429</v>
      </c>
      <c r="R303" s="591" t="s">
        <v>429</v>
      </c>
      <c r="S303" s="398"/>
      <c r="T303" s="397"/>
    </row>
    <row r="304" spans="1:20" ht="15.75" hidden="1" x14ac:dyDescent="0.25">
      <c r="A304" s="1351"/>
      <c r="B304" s="1424"/>
      <c r="C304" s="1380" t="s">
        <v>1347</v>
      </c>
      <c r="D304" s="1369"/>
      <c r="E304" s="1347">
        <v>45.605576910547917</v>
      </c>
      <c r="F304" s="1347">
        <v>238.8863552457272</v>
      </c>
      <c r="G304" s="1347">
        <v>0</v>
      </c>
      <c r="H304" s="1348">
        <v>284.49193215627514</v>
      </c>
      <c r="I304" s="1347">
        <v>363.88906986340044</v>
      </c>
      <c r="J304" s="1347">
        <v>14.224596607813755</v>
      </c>
      <c r="K304" s="1348">
        <v>662.60559862748937</v>
      </c>
      <c r="L304" s="1349">
        <f t="shared" si="76"/>
        <v>662.60559862748937</v>
      </c>
      <c r="M304" s="1350"/>
      <c r="N304" s="398"/>
      <c r="O304" s="398"/>
      <c r="P304" s="591" t="s">
        <v>429</v>
      </c>
      <c r="Q304" s="591" t="s">
        <v>429</v>
      </c>
      <c r="R304" s="591" t="s">
        <v>429</v>
      </c>
      <c r="S304" s="398"/>
      <c r="T304" s="397"/>
    </row>
    <row r="305" spans="1:20" ht="15.75" hidden="1" x14ac:dyDescent="0.25">
      <c r="A305" s="1351"/>
      <c r="B305" s="1424"/>
      <c r="C305" s="1380" t="s">
        <v>1348</v>
      </c>
      <c r="D305" s="1369"/>
      <c r="E305" s="1347">
        <v>71.665906573718161</v>
      </c>
      <c r="F305" s="1347">
        <v>238.8863552457272</v>
      </c>
      <c r="G305" s="1347">
        <v>0</v>
      </c>
      <c r="H305" s="1348">
        <v>310.55226181944533</v>
      </c>
      <c r="I305" s="1347">
        <v>339.92442504397684</v>
      </c>
      <c r="J305" s="1347">
        <v>15.527613090972268</v>
      </c>
      <c r="K305" s="1348">
        <v>666.00429995439447</v>
      </c>
      <c r="L305" s="1349">
        <f t="shared" si="76"/>
        <v>666.00429995439447</v>
      </c>
      <c r="M305" s="1350"/>
      <c r="N305" s="398"/>
      <c r="O305" s="398"/>
      <c r="P305" s="591" t="s">
        <v>429</v>
      </c>
      <c r="Q305" s="591" t="s">
        <v>429</v>
      </c>
      <c r="R305" s="591" t="s">
        <v>429</v>
      </c>
      <c r="S305" s="398"/>
      <c r="T305" s="397"/>
    </row>
    <row r="306" spans="1:20" ht="16.5" hidden="1" thickBot="1" x14ac:dyDescent="0.3">
      <c r="A306" s="1374"/>
      <c r="B306" s="1424"/>
      <c r="C306" s="1381" t="s">
        <v>86</v>
      </c>
      <c r="D306" s="1356"/>
      <c r="E306" s="1347">
        <v>52.12065932634048</v>
      </c>
      <c r="F306" s="1347">
        <v>226.50769865572133</v>
      </c>
      <c r="G306" s="1347">
        <v>0</v>
      </c>
      <c r="H306" s="1348">
        <v>278.6283579820618</v>
      </c>
      <c r="I306" s="1347">
        <v>272.54761439398879</v>
      </c>
      <c r="J306" s="1347">
        <v>13.93141789910309</v>
      </c>
      <c r="K306" s="1348">
        <v>565.10739027515365</v>
      </c>
      <c r="L306" s="1349">
        <f t="shared" si="76"/>
        <v>565.10739027515365</v>
      </c>
      <c r="M306" s="1350"/>
      <c r="N306" s="398"/>
      <c r="O306" s="398"/>
      <c r="P306" s="591" t="s">
        <v>429</v>
      </c>
      <c r="Q306" s="591" t="s">
        <v>429</v>
      </c>
      <c r="R306" s="591" t="s">
        <v>429</v>
      </c>
      <c r="S306" s="398"/>
      <c r="T306" s="397"/>
    </row>
    <row r="307" spans="1:20" ht="15.75" hidden="1" x14ac:dyDescent="0.25">
      <c r="A307" s="1357" t="s">
        <v>11</v>
      </c>
      <c r="B307" s="1622"/>
      <c r="C307" s="1382" t="s">
        <v>87</v>
      </c>
      <c r="D307" s="1459">
        <v>45800</v>
      </c>
      <c r="E307" s="1347">
        <v>141.87043032265103</v>
      </c>
      <c r="F307" s="1347">
        <v>127.9837037575934</v>
      </c>
      <c r="G307" s="1347">
        <v>190.02582663417118</v>
      </c>
      <c r="H307" s="1348">
        <v>459.87996071441557</v>
      </c>
      <c r="I307" s="1347">
        <v>676.87606853151942</v>
      </c>
      <c r="J307" s="1347">
        <v>284.18900731148375</v>
      </c>
      <c r="K307" s="1348">
        <v>1420.9450365574187</v>
      </c>
      <c r="L307" s="1349">
        <f t="shared" si="76"/>
        <v>1420.9450365574187</v>
      </c>
      <c r="M307" s="1354"/>
      <c r="N307" s="591" t="s">
        <v>429</v>
      </c>
      <c r="O307" s="591"/>
      <c r="P307" s="591"/>
      <c r="Q307" s="591" t="s">
        <v>429</v>
      </c>
      <c r="R307" s="591" t="s">
        <v>429</v>
      </c>
      <c r="S307" s="396"/>
      <c r="T307" s="397"/>
    </row>
    <row r="308" spans="1:20" ht="15.75" hidden="1" x14ac:dyDescent="0.25">
      <c r="A308" s="1456"/>
      <c r="B308" s="1622"/>
      <c r="C308" s="1382" t="s">
        <v>213</v>
      </c>
      <c r="D308" s="1369"/>
      <c r="E308" s="1347">
        <v>80.026190389582041</v>
      </c>
      <c r="F308" s="1347">
        <v>311.6656360263359</v>
      </c>
      <c r="G308" s="1347">
        <v>190.02582663417118</v>
      </c>
      <c r="H308" s="1348">
        <v>581.7176530500891</v>
      </c>
      <c r="I308" s="1347">
        <v>796.53704848859627</v>
      </c>
      <c r="J308" s="1347">
        <v>344.56367538467134</v>
      </c>
      <c r="K308" s="1348">
        <v>1722.8183769233569</v>
      </c>
      <c r="L308" s="1349">
        <f t="shared" si="76"/>
        <v>1722.8183769233567</v>
      </c>
      <c r="M308" s="1354"/>
      <c r="N308" s="591" t="s">
        <v>429</v>
      </c>
      <c r="O308" s="591"/>
      <c r="P308" s="591"/>
      <c r="Q308" s="591" t="s">
        <v>429</v>
      </c>
      <c r="R308" s="591" t="s">
        <v>429</v>
      </c>
      <c r="S308" s="396"/>
      <c r="T308" s="397"/>
    </row>
    <row r="309" spans="1:20" ht="15.75" hidden="1" x14ac:dyDescent="0.25">
      <c r="A309" s="1456"/>
      <c r="B309" s="1622"/>
      <c r="C309" s="1382" t="s">
        <v>88</v>
      </c>
      <c r="D309" s="1369"/>
      <c r="E309" s="1347">
        <v>55.872831108362739</v>
      </c>
      <c r="F309" s="1347">
        <v>252.3007529737005</v>
      </c>
      <c r="G309" s="1347">
        <v>190.02582663417118</v>
      </c>
      <c r="H309" s="1348">
        <v>498.19941071623441</v>
      </c>
      <c r="I309" s="1347">
        <v>430.4536029973446</v>
      </c>
      <c r="J309" s="1347">
        <v>232.16325342839474</v>
      </c>
      <c r="K309" s="1348">
        <v>1160.8162671419736</v>
      </c>
      <c r="L309" s="1349">
        <f t="shared" si="76"/>
        <v>1160.8162671419736</v>
      </c>
      <c r="M309" s="1354"/>
      <c r="N309" s="591" t="s">
        <v>429</v>
      </c>
      <c r="O309" s="591"/>
      <c r="P309" s="591"/>
      <c r="Q309" s="591" t="s">
        <v>429</v>
      </c>
      <c r="R309" s="591" t="s">
        <v>429</v>
      </c>
      <c r="S309" s="396"/>
      <c r="T309" s="397"/>
    </row>
    <row r="310" spans="1:20" ht="15.75" hidden="1" x14ac:dyDescent="0.25">
      <c r="A310" s="1456"/>
      <c r="B310" s="1622"/>
      <c r="C310" s="1382" t="s">
        <v>89</v>
      </c>
      <c r="D310" s="1369"/>
      <c r="E310" s="1347">
        <v>96.32243279618784</v>
      </c>
      <c r="F310" s="1347">
        <v>141.25350114582955</v>
      </c>
      <c r="G310" s="1347">
        <v>190.02582663417118</v>
      </c>
      <c r="H310" s="1348">
        <v>427.60176057618855</v>
      </c>
      <c r="I310" s="1347">
        <v>765.49270670401222</v>
      </c>
      <c r="J310" s="1347">
        <v>298.27361682005022</v>
      </c>
      <c r="K310" s="1348">
        <v>1491.3680841002508</v>
      </c>
      <c r="L310" s="1349">
        <f t="shared" si="76"/>
        <v>1491.3680841002508</v>
      </c>
      <c r="M310" s="1354"/>
      <c r="N310" s="591" t="s">
        <v>429</v>
      </c>
      <c r="O310" s="591"/>
      <c r="P310" s="591"/>
      <c r="Q310" s="591" t="s">
        <v>429</v>
      </c>
      <c r="R310" s="591" t="s">
        <v>429</v>
      </c>
      <c r="S310" s="396"/>
      <c r="T310" s="397"/>
    </row>
    <row r="311" spans="1:20" ht="16.5" hidden="1" thickBot="1" x14ac:dyDescent="0.3">
      <c r="A311" s="1457"/>
      <c r="B311" s="1622"/>
      <c r="C311" s="1383" t="s">
        <v>90</v>
      </c>
      <c r="D311" s="1356"/>
      <c r="E311" s="1347">
        <v>69.841038885453429</v>
      </c>
      <c r="F311" s="1347">
        <v>254.62878760321561</v>
      </c>
      <c r="G311" s="1347">
        <v>190.02582663417118</v>
      </c>
      <c r="H311" s="1348">
        <v>514.49565312284017</v>
      </c>
      <c r="I311" s="1347">
        <v>921.14510203339273</v>
      </c>
      <c r="J311" s="1347">
        <v>358.91018878905822</v>
      </c>
      <c r="K311" s="1348">
        <v>1794.5509439452912</v>
      </c>
      <c r="L311" s="1349">
        <f t="shared" si="76"/>
        <v>1794.5509439452912</v>
      </c>
      <c r="M311" s="1354"/>
      <c r="N311" s="591" t="s">
        <v>429</v>
      </c>
      <c r="O311" s="591"/>
      <c r="P311" s="591"/>
      <c r="Q311" s="591" t="s">
        <v>429</v>
      </c>
      <c r="R311" s="591" t="s">
        <v>429</v>
      </c>
      <c r="S311" s="396"/>
      <c r="T311" s="397"/>
    </row>
    <row r="312" spans="1:20" ht="15.75" hidden="1" x14ac:dyDescent="0.25">
      <c r="A312" s="1357" t="s">
        <v>12</v>
      </c>
      <c r="B312" s="1622"/>
      <c r="C312" s="1462" t="s">
        <v>91</v>
      </c>
      <c r="D312" s="1459">
        <v>41200</v>
      </c>
      <c r="E312" s="1347">
        <v>41.902838404239155</v>
      </c>
      <c r="F312" s="1347">
        <v>234.54296696853217</v>
      </c>
      <c r="G312" s="1347">
        <v>0</v>
      </c>
      <c r="H312" s="1348">
        <v>276.4458053727713</v>
      </c>
      <c r="I312" s="1347">
        <v>353.86670141377294</v>
      </c>
      <c r="J312" s="1347">
        <v>151.28021369470324</v>
      </c>
      <c r="K312" s="1348">
        <v>781.5927204812474</v>
      </c>
      <c r="L312" s="1349">
        <f t="shared" si="76"/>
        <v>781.5927204812474</v>
      </c>
      <c r="M312" s="1385"/>
      <c r="N312" s="662" t="s">
        <v>429</v>
      </c>
      <c r="O312" s="662"/>
      <c r="P312" s="662"/>
      <c r="Q312" s="662" t="s">
        <v>429</v>
      </c>
      <c r="R312" s="662" t="s">
        <v>429</v>
      </c>
      <c r="S312" s="400"/>
      <c r="T312" s="397"/>
    </row>
    <row r="313" spans="1:20" ht="15.75" hidden="1" x14ac:dyDescent="0.25">
      <c r="A313" s="1456"/>
      <c r="B313" s="1622"/>
      <c r="C313" s="1382" t="s">
        <v>92</v>
      </c>
      <c r="D313" s="1369"/>
      <c r="E313" s="1347">
        <v>41.902838404239155</v>
      </c>
      <c r="F313" s="1347">
        <v>234.54296696853217</v>
      </c>
      <c r="G313" s="1347">
        <v>0</v>
      </c>
      <c r="H313" s="1348">
        <v>276.4458053727713</v>
      </c>
      <c r="I313" s="1347">
        <v>353.86670141377294</v>
      </c>
      <c r="J313" s="1347">
        <v>151.28021369470324</v>
      </c>
      <c r="K313" s="1348">
        <v>781.5927204812474</v>
      </c>
      <c r="L313" s="1349">
        <f t="shared" si="76"/>
        <v>781.5927204812474</v>
      </c>
      <c r="M313" s="1385"/>
      <c r="N313" s="662" t="s">
        <v>429</v>
      </c>
      <c r="O313" s="662"/>
      <c r="P313" s="662"/>
      <c r="Q313" s="662" t="s">
        <v>429</v>
      </c>
      <c r="R313" s="662" t="s">
        <v>429</v>
      </c>
      <c r="S313" s="400"/>
      <c r="T313" s="397"/>
    </row>
    <row r="314" spans="1:20" ht="15.75" hidden="1" x14ac:dyDescent="0.25">
      <c r="A314" s="1456"/>
      <c r="B314" s="1622"/>
      <c r="C314" s="1382" t="s">
        <v>93</v>
      </c>
      <c r="D314" s="1369"/>
      <c r="E314" s="1347">
        <v>45.540426086389992</v>
      </c>
      <c r="F314" s="1347">
        <v>267.11837904749495</v>
      </c>
      <c r="G314" s="1347">
        <v>0</v>
      </c>
      <c r="H314" s="1348">
        <v>312.65880513388493</v>
      </c>
      <c r="I314" s="1347">
        <v>410.38504137077331</v>
      </c>
      <c r="J314" s="1347">
        <v>173.52922014463485</v>
      </c>
      <c r="K314" s="1348">
        <v>896.57306664929297</v>
      </c>
      <c r="L314" s="1349">
        <f t="shared" si="76"/>
        <v>896.57306664929297</v>
      </c>
      <c r="M314" s="1385"/>
      <c r="N314" s="662" t="s">
        <v>429</v>
      </c>
      <c r="O314" s="662"/>
      <c r="P314" s="662"/>
      <c r="Q314" s="662" t="s">
        <v>429</v>
      </c>
      <c r="R314" s="662" t="s">
        <v>429</v>
      </c>
      <c r="S314" s="400"/>
      <c r="T314" s="397"/>
    </row>
    <row r="315" spans="1:20" ht="15.75" hidden="1" x14ac:dyDescent="0.25">
      <c r="A315" s="1456"/>
      <c r="B315" s="1622"/>
      <c r="C315" s="1382" t="s">
        <v>94</v>
      </c>
      <c r="D315" s="1369"/>
      <c r="E315" s="1347">
        <v>83.523356570460621</v>
      </c>
      <c r="F315" s="1347">
        <v>236.71466110712967</v>
      </c>
      <c r="G315" s="1347">
        <v>0</v>
      </c>
      <c r="H315" s="1348">
        <v>320.23801767759028</v>
      </c>
      <c r="I315" s="1347">
        <v>430.99441874606384</v>
      </c>
      <c r="J315" s="1347">
        <v>180.29404738636609</v>
      </c>
      <c r="K315" s="1348">
        <v>931.52648381002018</v>
      </c>
      <c r="L315" s="1349">
        <f t="shared" si="76"/>
        <v>931.52648381002018</v>
      </c>
      <c r="M315" s="1385"/>
      <c r="N315" s="662" t="s">
        <v>429</v>
      </c>
      <c r="O315" s="662"/>
      <c r="P315" s="662"/>
      <c r="Q315" s="662" t="s">
        <v>429</v>
      </c>
      <c r="R315" s="662" t="s">
        <v>429</v>
      </c>
      <c r="S315" s="400"/>
      <c r="T315" s="397"/>
    </row>
    <row r="316" spans="1:20" ht="15.75" hidden="1" x14ac:dyDescent="0.25">
      <c r="A316" s="1456"/>
      <c r="B316" s="1622"/>
      <c r="C316" s="1382" t="s">
        <v>95</v>
      </c>
      <c r="D316" s="1369"/>
      <c r="E316" s="1347">
        <v>117.27148348426608</v>
      </c>
      <c r="F316" s="1347">
        <v>275.80515560188502</v>
      </c>
      <c r="G316" s="1347">
        <v>0</v>
      </c>
      <c r="H316" s="1348">
        <v>393.07663908615109</v>
      </c>
      <c r="I316" s="1347">
        <v>408.27849805633377</v>
      </c>
      <c r="J316" s="1347">
        <v>192.32523291419636</v>
      </c>
      <c r="K316" s="1348">
        <v>993.68037005668123</v>
      </c>
      <c r="L316" s="1349">
        <f t="shared" si="76"/>
        <v>993.68037005668123</v>
      </c>
      <c r="M316" s="1385"/>
      <c r="N316" s="662" t="s">
        <v>429</v>
      </c>
      <c r="O316" s="662"/>
      <c r="P316" s="662"/>
      <c r="Q316" s="662" t="s">
        <v>429</v>
      </c>
      <c r="R316" s="662" t="s">
        <v>429</v>
      </c>
      <c r="S316" s="400"/>
      <c r="T316" s="397"/>
    </row>
    <row r="317" spans="1:20" ht="16.5" hidden="1" thickBot="1" x14ac:dyDescent="0.3">
      <c r="A317" s="1457"/>
      <c r="B317" s="1622"/>
      <c r="C317" s="1383" t="s">
        <v>195</v>
      </c>
      <c r="D317" s="1356"/>
      <c r="E317" s="1347">
        <v>41.902838404239155</v>
      </c>
      <c r="F317" s="1347">
        <v>234.54296696853217</v>
      </c>
      <c r="G317" s="1347">
        <v>0</v>
      </c>
      <c r="H317" s="1348">
        <v>276.4458053727713</v>
      </c>
      <c r="I317" s="1347">
        <v>353.86670141377294</v>
      </c>
      <c r="J317" s="1347">
        <v>151.28021369470324</v>
      </c>
      <c r="K317" s="1348">
        <v>781.5927204812474</v>
      </c>
      <c r="L317" s="1349">
        <f t="shared" si="76"/>
        <v>781.5927204812474</v>
      </c>
      <c r="M317" s="1385"/>
      <c r="N317" s="662" t="s">
        <v>429</v>
      </c>
      <c r="O317" s="662"/>
      <c r="P317" s="662"/>
      <c r="Q317" s="662" t="s">
        <v>429</v>
      </c>
      <c r="R317" s="662" t="s">
        <v>429</v>
      </c>
      <c r="S317" s="400"/>
      <c r="T317" s="397"/>
    </row>
    <row r="318" spans="1:20" ht="15.75" hidden="1" x14ac:dyDescent="0.25">
      <c r="A318" s="1357" t="s">
        <v>13</v>
      </c>
      <c r="B318" s="1622"/>
      <c r="C318" s="1462" t="s">
        <v>97</v>
      </c>
      <c r="D318" s="1459">
        <v>41400</v>
      </c>
      <c r="E318" s="1347">
        <v>59.623862575194906</v>
      </c>
      <c r="F318" s="1347">
        <v>232.37127282993464</v>
      </c>
      <c r="G318" s="1347">
        <v>86.867765543900802</v>
      </c>
      <c r="H318" s="1348">
        <v>378.86290094903035</v>
      </c>
      <c r="I318" s="1347">
        <v>289.92116750276898</v>
      </c>
      <c r="J318" s="1347">
        <v>49.677503420418269</v>
      </c>
      <c r="K318" s="1348">
        <v>718.46157187221752</v>
      </c>
      <c r="L318" s="1349">
        <f t="shared" si="76"/>
        <v>718.46157187221763</v>
      </c>
      <c r="M318" s="1350"/>
      <c r="N318" s="591" t="s">
        <v>429</v>
      </c>
      <c r="O318" s="396"/>
      <c r="P318" s="591" t="s">
        <v>429</v>
      </c>
      <c r="Q318" s="591" t="s">
        <v>429</v>
      </c>
      <c r="R318" s="396"/>
      <c r="S318" s="398"/>
      <c r="T318" t="s">
        <v>1349</v>
      </c>
    </row>
    <row r="319" spans="1:20" ht="15.75" hidden="1" x14ac:dyDescent="0.25">
      <c r="A319" s="1456"/>
      <c r="B319" s="1622"/>
      <c r="C319" s="1382" t="s">
        <v>98</v>
      </c>
      <c r="D319" s="1369"/>
      <c r="E319" s="1347">
        <v>0</v>
      </c>
      <c r="F319" s="1347">
        <v>321.41073251243296</v>
      </c>
      <c r="G319" s="1347">
        <v>104.24131865268096</v>
      </c>
      <c r="H319" s="1348">
        <v>425.6520511651139</v>
      </c>
      <c r="I319" s="1347">
        <v>451.69066388689816</v>
      </c>
      <c r="J319" s="1347">
        <v>68.549525484830724</v>
      </c>
      <c r="K319" s="1348">
        <v>945.89224053684279</v>
      </c>
      <c r="L319" s="1349">
        <f t="shared" si="76"/>
        <v>945.89224053684279</v>
      </c>
      <c r="M319" s="1350"/>
      <c r="N319" s="591" t="s">
        <v>429</v>
      </c>
      <c r="O319" s="396"/>
      <c r="P319" s="396"/>
      <c r="Q319" s="591" t="s">
        <v>429</v>
      </c>
      <c r="R319" s="396"/>
      <c r="S319" s="398"/>
      <c r="T319" t="s">
        <v>1349</v>
      </c>
    </row>
    <row r="320" spans="1:20" ht="15.75" hidden="1" x14ac:dyDescent="0.25">
      <c r="A320" s="1456"/>
      <c r="B320" s="1622"/>
      <c r="C320" s="1382" t="s">
        <v>99</v>
      </c>
      <c r="D320" s="1369"/>
      <c r="E320" s="1347">
        <v>19.990444545790172</v>
      </c>
      <c r="F320" s="1347">
        <v>243.22974352292226</v>
      </c>
      <c r="G320" s="1347">
        <v>97.726236236888397</v>
      </c>
      <c r="H320" s="1348">
        <v>360.94642430560083</v>
      </c>
      <c r="I320" s="1347">
        <v>373.878862900949</v>
      </c>
      <c r="J320" s="1347">
        <v>57.321866788281547</v>
      </c>
      <c r="K320" s="1348">
        <v>792.14715399483146</v>
      </c>
      <c r="L320" s="1349">
        <f t="shared" si="76"/>
        <v>792.14715399483134</v>
      </c>
      <c r="M320" s="1350"/>
      <c r="N320" s="591" t="s">
        <v>429</v>
      </c>
      <c r="O320" s="591" t="s">
        <v>429</v>
      </c>
      <c r="P320" s="396"/>
      <c r="Q320" s="591" t="s">
        <v>429</v>
      </c>
      <c r="R320" s="396"/>
      <c r="S320" s="398"/>
      <c r="T320" t="s">
        <v>1349</v>
      </c>
    </row>
    <row r="321" spans="1:20" ht="15.75" hidden="1" x14ac:dyDescent="0.25">
      <c r="A321" s="1456"/>
      <c r="B321" s="1622"/>
      <c r="C321" s="1382" t="s">
        <v>100</v>
      </c>
      <c r="D321" s="1369"/>
      <c r="E321" s="1347">
        <v>66.193237344452413</v>
      </c>
      <c r="F321" s="1347">
        <v>256.25990835450733</v>
      </c>
      <c r="G321" s="1347">
        <v>76.009294850913193</v>
      </c>
      <c r="H321" s="1348">
        <v>398.46244054987295</v>
      </c>
      <c r="I321" s="1347">
        <v>246.79132191022217</v>
      </c>
      <c r="J321" s="1347">
        <v>46.647990097074732</v>
      </c>
      <c r="K321" s="1348">
        <v>691.90175255716986</v>
      </c>
      <c r="L321" s="1349">
        <f t="shared" si="76"/>
        <v>691.90175255716986</v>
      </c>
      <c r="M321" s="1350"/>
      <c r="N321" s="591" t="s">
        <v>429</v>
      </c>
      <c r="O321" s="396"/>
      <c r="P321" s="396"/>
      <c r="Q321" s="591" t="s">
        <v>429</v>
      </c>
      <c r="R321" s="396"/>
      <c r="S321" s="398"/>
      <c r="T321" t="s">
        <v>1349</v>
      </c>
    </row>
    <row r="322" spans="1:20" ht="15.75" hidden="1" x14ac:dyDescent="0.25">
      <c r="A322" s="1456"/>
      <c r="B322" s="1622"/>
      <c r="C322" s="1382" t="s">
        <v>101</v>
      </c>
      <c r="D322" s="1369"/>
      <c r="E322" s="1347">
        <v>22.824505396659934</v>
      </c>
      <c r="F322" s="1347">
        <v>214.99771972115448</v>
      </c>
      <c r="G322" s="1347">
        <v>106.41301279127848</v>
      </c>
      <c r="H322" s="1348">
        <v>344.23523790909292</v>
      </c>
      <c r="I322" s="1347">
        <v>338.78428562121314</v>
      </c>
      <c r="J322" s="1347">
        <v>52.64186591960388</v>
      </c>
      <c r="K322" s="1348">
        <v>735.66138944990996</v>
      </c>
      <c r="L322" s="1349">
        <f t="shared" si="76"/>
        <v>735.66138944990996</v>
      </c>
      <c r="M322" s="1350"/>
      <c r="N322" s="591" t="s">
        <v>429</v>
      </c>
      <c r="O322" s="396"/>
      <c r="P322" s="396"/>
      <c r="Q322" s="591" t="s">
        <v>429</v>
      </c>
      <c r="R322" s="396"/>
      <c r="S322" s="398"/>
      <c r="T322" t="s">
        <v>1349</v>
      </c>
    </row>
    <row r="323" spans="1:20" ht="15.75" hidden="1" x14ac:dyDescent="0.25">
      <c r="A323" s="1456"/>
      <c r="B323" s="1622"/>
      <c r="C323" s="1382" t="s">
        <v>630</v>
      </c>
      <c r="D323" s="1369"/>
      <c r="E323" s="1347">
        <v>30.794622885312833</v>
      </c>
      <c r="F323" s="1347">
        <v>217.16941385975198</v>
      </c>
      <c r="G323" s="1347">
        <v>86.867765543900802</v>
      </c>
      <c r="H323" s="1348">
        <v>334.8318022889656</v>
      </c>
      <c r="I323" s="1347">
        <v>295.35040284926271</v>
      </c>
      <c r="J323" s="1347">
        <v>47.864138814689341</v>
      </c>
      <c r="K323" s="1348">
        <v>678.0463439529176</v>
      </c>
      <c r="L323" s="1349">
        <f t="shared" si="76"/>
        <v>678.0463439529176</v>
      </c>
      <c r="M323" s="1350"/>
      <c r="N323" s="591" t="s">
        <v>429</v>
      </c>
      <c r="O323" s="396"/>
      <c r="P323" s="396"/>
      <c r="Q323" s="591" t="s">
        <v>429</v>
      </c>
      <c r="R323" s="396"/>
      <c r="S323" s="398"/>
      <c r="T323" t="s">
        <v>1349</v>
      </c>
    </row>
    <row r="324" spans="1:20" ht="15.75" hidden="1" x14ac:dyDescent="0.25">
      <c r="A324" s="1456"/>
      <c r="B324" s="1622"/>
      <c r="C324" s="1382" t="s">
        <v>631</v>
      </c>
      <c r="D324" s="1369"/>
      <c r="E324" s="1347">
        <v>11.890025408821421</v>
      </c>
      <c r="F324" s="1347">
        <v>201.96755488956936</v>
      </c>
      <c r="G324" s="1347">
        <v>95.554542098290881</v>
      </c>
      <c r="H324" s="1348">
        <v>309.41212239668164</v>
      </c>
      <c r="I324" s="1347">
        <v>317.0673442352379</v>
      </c>
      <c r="J324" s="1347">
        <v>48.711099528742373</v>
      </c>
      <c r="K324" s="1348">
        <v>675.19056616066189</v>
      </c>
      <c r="L324" s="1349">
        <f t="shared" si="76"/>
        <v>675.19056616066189</v>
      </c>
      <c r="M324" s="1350"/>
      <c r="N324" s="591" t="s">
        <v>429</v>
      </c>
      <c r="O324" s="396"/>
      <c r="P324" s="396"/>
      <c r="Q324" s="591"/>
      <c r="R324" s="396"/>
      <c r="S324" s="398"/>
      <c r="T324" t="s">
        <v>1349</v>
      </c>
    </row>
    <row r="325" spans="1:20" ht="15.75" hidden="1" x14ac:dyDescent="0.25">
      <c r="A325" s="1456"/>
      <c r="B325" s="1622"/>
      <c r="C325" s="1382" t="s">
        <v>632</v>
      </c>
      <c r="D325" s="1369"/>
      <c r="E325" s="1347">
        <v>45.76845397094273</v>
      </c>
      <c r="F325" s="1347">
        <v>321.41073251243296</v>
      </c>
      <c r="G325" s="1347">
        <v>99.897930375485913</v>
      </c>
      <c r="H325" s="1348">
        <v>467.07711685886159</v>
      </c>
      <c r="I325" s="1347">
        <v>281.5818620105544</v>
      </c>
      <c r="J325" s="1347">
        <v>53.684279106130688</v>
      </c>
      <c r="K325" s="1348">
        <v>802.34325797554675</v>
      </c>
      <c r="L325" s="1349">
        <f t="shared" si="76"/>
        <v>802.34325797554663</v>
      </c>
      <c r="M325" s="1350"/>
      <c r="N325" s="591" t="s">
        <v>429</v>
      </c>
      <c r="O325" s="396"/>
      <c r="P325" s="396"/>
      <c r="Q325" s="591" t="s">
        <v>429</v>
      </c>
      <c r="R325" s="396"/>
      <c r="S325" s="398"/>
      <c r="T325" t="s">
        <v>1349</v>
      </c>
    </row>
    <row r="326" spans="1:20" ht="15.75" hidden="1" x14ac:dyDescent="0.25">
      <c r="A326" s="1456"/>
      <c r="B326" s="1622"/>
      <c r="C326" s="1382" t="s">
        <v>633</v>
      </c>
      <c r="D326" s="1369"/>
      <c r="E326" s="1347">
        <v>32.977175494603344</v>
      </c>
      <c r="F326" s="1347">
        <v>327.92581492822552</v>
      </c>
      <c r="G326" s="1347">
        <v>112.92809520707104</v>
      </c>
      <c r="H326" s="1348">
        <v>473.83108562989992</v>
      </c>
      <c r="I326" s="1347">
        <v>501.6613460160271</v>
      </c>
      <c r="J326" s="1347">
        <v>76.269898147544893</v>
      </c>
      <c r="K326" s="1348">
        <v>1051.762329793472</v>
      </c>
      <c r="L326" s="1349">
        <f t="shared" si="76"/>
        <v>1051.762329793472</v>
      </c>
      <c r="M326" s="1350"/>
      <c r="N326" s="591" t="s">
        <v>429</v>
      </c>
      <c r="O326" s="396"/>
      <c r="P326" s="396"/>
      <c r="Q326" s="591" t="s">
        <v>429</v>
      </c>
      <c r="R326" s="396"/>
      <c r="S326" s="398"/>
      <c r="T326" t="s">
        <v>1349</v>
      </c>
    </row>
    <row r="327" spans="1:20" ht="15.75" hidden="1" x14ac:dyDescent="0.25">
      <c r="A327" s="1456"/>
      <c r="B327" s="1622"/>
      <c r="C327" s="1382" t="s">
        <v>634</v>
      </c>
      <c r="D327" s="1369"/>
      <c r="E327" s="1347">
        <v>20.631094316676439</v>
      </c>
      <c r="F327" s="1347">
        <v>308.38056768084783</v>
      </c>
      <c r="G327" s="1347">
        <v>73.837600712315677</v>
      </c>
      <c r="H327" s="1348">
        <v>402.84926270983993</v>
      </c>
      <c r="I327" s="1347">
        <v>305.12302647295155</v>
      </c>
      <c r="J327" s="1347">
        <v>52.652724390296868</v>
      </c>
      <c r="K327" s="1348">
        <v>760.62501357308838</v>
      </c>
      <c r="L327" s="1349">
        <f t="shared" si="76"/>
        <v>760.62501357308827</v>
      </c>
      <c r="M327" s="1350"/>
      <c r="N327" s="591" t="s">
        <v>429</v>
      </c>
      <c r="O327" s="396"/>
      <c r="P327" s="396"/>
      <c r="Q327" s="396"/>
      <c r="R327" s="396"/>
      <c r="S327" s="398"/>
      <c r="T327" t="s">
        <v>1349</v>
      </c>
    </row>
    <row r="328" spans="1:20" ht="16.5" hidden="1" thickBot="1" x14ac:dyDescent="0.3">
      <c r="A328" s="1457"/>
      <c r="B328" s="1622"/>
      <c r="C328" s="1382" t="s">
        <v>635</v>
      </c>
      <c r="D328" s="1356"/>
      <c r="E328" s="1347">
        <v>6.667101005494386</v>
      </c>
      <c r="F328" s="1347">
        <v>286.66362629487264</v>
      </c>
      <c r="G328" s="1347">
        <v>82.524377266705756</v>
      </c>
      <c r="H328" s="1348">
        <v>375.85510456707277</v>
      </c>
      <c r="I328" s="1347">
        <v>488.41401177058225</v>
      </c>
      <c r="J328" s="1347">
        <v>69.407344669576744</v>
      </c>
      <c r="K328" s="1348">
        <v>933.67646100723186</v>
      </c>
      <c r="L328" s="1349">
        <f t="shared" si="76"/>
        <v>933.67646100723186</v>
      </c>
      <c r="M328" s="1350"/>
      <c r="N328" s="591" t="s">
        <v>429</v>
      </c>
      <c r="O328" s="396"/>
      <c r="P328" s="396"/>
      <c r="Q328" s="396"/>
      <c r="R328" s="396"/>
      <c r="S328" s="398"/>
      <c r="T328" t="s">
        <v>1349</v>
      </c>
    </row>
    <row r="329" spans="1:20" ht="15.75" hidden="1" x14ac:dyDescent="0.25">
      <c r="A329" s="1371" t="s">
        <v>35</v>
      </c>
      <c r="B329" s="1622"/>
      <c r="C329" s="1386" t="s">
        <v>712</v>
      </c>
      <c r="D329" s="1459">
        <v>25600</v>
      </c>
      <c r="E329" s="1347">
        <v>86.324842009251412</v>
      </c>
      <c r="F329" s="1347">
        <v>81.351662431863105</v>
      </c>
      <c r="G329" s="1347">
        <v>65.074814863074693</v>
      </c>
      <c r="H329" s="1348">
        <v>232.7513193041892</v>
      </c>
      <c r="I329" s="1347">
        <v>87.595283080330972</v>
      </c>
      <c r="J329" s="1347">
        <v>65.541729102873148</v>
      </c>
      <c r="K329" s="1348">
        <v>385.88833148739332</v>
      </c>
      <c r="L329" s="1349">
        <f t="shared" si="76"/>
        <v>385.88833148739332</v>
      </c>
      <c r="M329" s="1350"/>
      <c r="N329" s="398"/>
      <c r="O329" s="591" t="s">
        <v>429</v>
      </c>
      <c r="P329" s="591" t="s">
        <v>429</v>
      </c>
      <c r="Q329" s="591" t="s">
        <v>429</v>
      </c>
      <c r="R329" s="591" t="s">
        <v>429</v>
      </c>
      <c r="S329" s="398"/>
      <c r="T329" s="397"/>
    </row>
    <row r="330" spans="1:20" ht="15.75" hidden="1" x14ac:dyDescent="0.25">
      <c r="A330" s="1351"/>
      <c r="B330" s="1622"/>
      <c r="C330" s="1387" t="s">
        <v>713</v>
      </c>
      <c r="D330" s="1369"/>
      <c r="E330" s="1347">
        <v>55.378200534236761</v>
      </c>
      <c r="F330" s="1347">
        <v>184.5940017807892</v>
      </c>
      <c r="G330" s="1347">
        <v>0</v>
      </c>
      <c r="H330" s="1348">
        <v>239.97220231502595</v>
      </c>
      <c r="I330" s="1347">
        <v>114.55686581101918</v>
      </c>
      <c r="J330" s="1347">
        <v>63.087714726257957</v>
      </c>
      <c r="K330" s="1348">
        <v>417.61678285230306</v>
      </c>
      <c r="L330" s="1349">
        <f t="shared" si="76"/>
        <v>417.61678285230306</v>
      </c>
      <c r="M330" s="1350"/>
      <c r="N330" s="398"/>
      <c r="O330" s="591" t="s">
        <v>429</v>
      </c>
      <c r="P330" s="591" t="s">
        <v>429</v>
      </c>
      <c r="Q330" s="591" t="s">
        <v>429</v>
      </c>
      <c r="R330" s="591" t="s">
        <v>429</v>
      </c>
      <c r="S330" s="398"/>
      <c r="T330" s="397"/>
    </row>
    <row r="331" spans="1:20" ht="15.75" hidden="1" x14ac:dyDescent="0.25">
      <c r="A331" s="1351"/>
      <c r="B331" s="1622"/>
      <c r="C331" s="1387" t="s">
        <v>714</v>
      </c>
      <c r="D331" s="1369"/>
      <c r="E331" s="1347">
        <v>52.989336981779488</v>
      </c>
      <c r="F331" s="1347">
        <v>108.58470692987599</v>
      </c>
      <c r="G331" s="1347">
        <v>86.867765543900802</v>
      </c>
      <c r="H331" s="1348">
        <v>248.44180945555627</v>
      </c>
      <c r="I331" s="1347">
        <v>128.12995417725367</v>
      </c>
      <c r="J331" s="1347">
        <v>75.748691554281507</v>
      </c>
      <c r="K331" s="1348">
        <v>452.32045518709145</v>
      </c>
      <c r="L331" s="1349">
        <f t="shared" si="76"/>
        <v>452.32045518709145</v>
      </c>
      <c r="M331" s="1350"/>
      <c r="N331" s="398"/>
      <c r="O331" s="591" t="s">
        <v>429</v>
      </c>
      <c r="P331" s="591" t="s">
        <v>429</v>
      </c>
      <c r="Q331" s="591" t="s">
        <v>429</v>
      </c>
      <c r="R331" s="591" t="s">
        <v>429</v>
      </c>
      <c r="S331" s="398"/>
      <c r="T331" s="397"/>
    </row>
    <row r="332" spans="1:20" ht="15.75" hidden="1" x14ac:dyDescent="0.25">
      <c r="A332" s="1351"/>
      <c r="B332" s="1622"/>
      <c r="C332" s="1387" t="s">
        <v>715</v>
      </c>
      <c r="D332" s="1369"/>
      <c r="E332" s="1347">
        <v>13.03016483158512</v>
      </c>
      <c r="F332" s="1347">
        <v>475.514148587313</v>
      </c>
      <c r="G332" s="1347">
        <v>0</v>
      </c>
      <c r="H332" s="1348">
        <v>488.54431341889813</v>
      </c>
      <c r="I332" s="1347">
        <v>356.63561144048475</v>
      </c>
      <c r="J332" s="1347">
        <v>146.83909918127131</v>
      </c>
      <c r="K332" s="1348">
        <v>992.01902404065424</v>
      </c>
      <c r="L332" s="1349">
        <f t="shared" si="76"/>
        <v>992.01902404065424</v>
      </c>
      <c r="M332" s="1350"/>
      <c r="N332" s="398"/>
      <c r="O332" s="591" t="s">
        <v>429</v>
      </c>
      <c r="P332" s="591" t="s">
        <v>429</v>
      </c>
      <c r="Q332" s="591" t="s">
        <v>429</v>
      </c>
      <c r="R332" s="591" t="s">
        <v>429</v>
      </c>
      <c r="S332" s="398"/>
      <c r="T332" s="397"/>
    </row>
    <row r="333" spans="1:20" ht="16.5" hidden="1" thickBot="1" x14ac:dyDescent="0.3">
      <c r="A333" s="1374"/>
      <c r="B333" s="1622"/>
      <c r="C333" s="1388" t="s">
        <v>716</v>
      </c>
      <c r="D333" s="1356"/>
      <c r="E333" s="1347">
        <v>26.06032966317024</v>
      </c>
      <c r="F333" s="1347">
        <v>143.98332138901557</v>
      </c>
      <c r="G333" s="1347">
        <v>0</v>
      </c>
      <c r="H333" s="1348">
        <v>170.04365105218582</v>
      </c>
      <c r="I333" s="1347">
        <v>130.3885160813951</v>
      </c>
      <c r="J333" s="1347">
        <v>53.184789454253263</v>
      </c>
      <c r="K333" s="1348">
        <v>353.61695658783412</v>
      </c>
      <c r="L333" s="1349">
        <f t="shared" si="76"/>
        <v>353.61695658783424</v>
      </c>
      <c r="M333" s="1350"/>
      <c r="N333" s="398"/>
      <c r="O333" s="591" t="s">
        <v>429</v>
      </c>
      <c r="P333" s="591" t="s">
        <v>429</v>
      </c>
      <c r="Q333" s="591" t="s">
        <v>429</v>
      </c>
      <c r="R333" s="591" t="s">
        <v>429</v>
      </c>
      <c r="S333" s="398"/>
      <c r="T333" s="397"/>
    </row>
    <row r="334" spans="1:20" ht="15.75" hidden="1" x14ac:dyDescent="0.25">
      <c r="A334" s="1357" t="s">
        <v>45</v>
      </c>
      <c r="B334" s="1622"/>
      <c r="C334" s="1462" t="s">
        <v>102</v>
      </c>
      <c r="D334" s="1459">
        <v>26000</v>
      </c>
      <c r="E334" s="1347">
        <v>5.8529268955314864</v>
      </c>
      <c r="F334" s="1347">
        <v>118.71112903407392</v>
      </c>
      <c r="G334" s="1347">
        <v>0</v>
      </c>
      <c r="H334" s="1348">
        <v>124.5640559296054</v>
      </c>
      <c r="I334" s="1347">
        <v>206.73226374651981</v>
      </c>
      <c r="J334" s="1347">
        <v>91.030227716383834</v>
      </c>
      <c r="K334" s="1348">
        <v>422.32654739250904</v>
      </c>
      <c r="L334" s="1349">
        <f t="shared" si="76"/>
        <v>422.32654739250904</v>
      </c>
      <c r="M334" s="1350"/>
      <c r="N334" s="398"/>
      <c r="O334" s="398"/>
      <c r="P334" s="398"/>
      <c r="Q334" s="591" t="s">
        <v>429</v>
      </c>
      <c r="R334" s="398"/>
      <c r="S334" s="398"/>
      <c r="T334" s="397"/>
    </row>
    <row r="335" spans="1:20" ht="15.75" hidden="1" x14ac:dyDescent="0.25">
      <c r="A335" s="1456"/>
      <c r="B335" s="1622"/>
      <c r="C335" s="1382" t="s">
        <v>103</v>
      </c>
      <c r="D335" s="1369"/>
      <c r="E335" s="1347">
        <v>4.2382076519995646</v>
      </c>
      <c r="F335" s="1347">
        <v>168.63315255478366</v>
      </c>
      <c r="G335" s="1347">
        <v>0</v>
      </c>
      <c r="H335" s="1348">
        <v>172.87136020678324</v>
      </c>
      <c r="I335" s="1347">
        <v>141.24489758187016</v>
      </c>
      <c r="J335" s="1347">
        <v>84.812353614425078</v>
      </c>
      <c r="K335" s="1348">
        <v>398.92861140307849</v>
      </c>
      <c r="L335" s="1349">
        <f t="shared" si="76"/>
        <v>398.92861140307849</v>
      </c>
      <c r="M335" s="1350"/>
      <c r="N335" s="398"/>
      <c r="O335" s="398"/>
      <c r="P335" s="398"/>
      <c r="Q335" s="591" t="s">
        <v>429</v>
      </c>
      <c r="R335" s="398"/>
      <c r="S335" s="398"/>
      <c r="T335" s="397"/>
    </row>
    <row r="336" spans="1:20" ht="15.75" hidden="1" x14ac:dyDescent="0.25">
      <c r="A336" s="1456"/>
      <c r="B336" s="1622"/>
      <c r="C336" s="1382" t="s">
        <v>104</v>
      </c>
      <c r="D336" s="1369"/>
      <c r="E336" s="1347">
        <v>0</v>
      </c>
      <c r="F336" s="1347">
        <v>171.53895861350634</v>
      </c>
      <c r="G336" s="1347">
        <v>0</v>
      </c>
      <c r="H336" s="1348">
        <v>171.53895861350634</v>
      </c>
      <c r="I336" s="1347">
        <v>131.93874381797508</v>
      </c>
      <c r="J336" s="1347">
        <v>81.937533639266974</v>
      </c>
      <c r="K336" s="1348">
        <v>385.41523607074839</v>
      </c>
      <c r="L336" s="1349">
        <f t="shared" si="76"/>
        <v>385.41523607074839</v>
      </c>
      <c r="M336" s="1350"/>
      <c r="N336" s="398"/>
      <c r="O336" s="398"/>
      <c r="P336" s="398"/>
      <c r="Q336" s="398"/>
      <c r="R336" s="398"/>
      <c r="S336" s="398"/>
      <c r="T336" s="397"/>
    </row>
    <row r="337" spans="1:20" ht="15.75" hidden="1" x14ac:dyDescent="0.25">
      <c r="A337" s="1456"/>
      <c r="B337" s="1622"/>
      <c r="C337" s="1382" t="s">
        <v>105</v>
      </c>
      <c r="D337" s="1369"/>
      <c r="E337" s="1347">
        <v>0</v>
      </c>
      <c r="F337" s="1347">
        <v>234.11707582125948</v>
      </c>
      <c r="G337" s="1347">
        <v>0</v>
      </c>
      <c r="H337" s="1348">
        <v>234.11707582125948</v>
      </c>
      <c r="I337" s="1347">
        <v>170.76774942256574</v>
      </c>
      <c r="J337" s="1347">
        <v>109.3189028158328</v>
      </c>
      <c r="K337" s="1348">
        <v>514.20372805965803</v>
      </c>
      <c r="L337" s="1349">
        <f t="shared" si="76"/>
        <v>514.20372805965803</v>
      </c>
      <c r="M337" s="1350"/>
      <c r="N337" s="398"/>
      <c r="O337" s="398"/>
      <c r="P337" s="398"/>
      <c r="Q337" s="398"/>
      <c r="R337" s="398"/>
      <c r="S337" s="398"/>
      <c r="T337" s="397"/>
    </row>
    <row r="338" spans="1:20" ht="16.5" hidden="1" thickBot="1" x14ac:dyDescent="0.3">
      <c r="A338" s="1457"/>
      <c r="B338" s="1622"/>
      <c r="C338" s="1383" t="s">
        <v>613</v>
      </c>
      <c r="D338" s="1356"/>
      <c r="E338" s="1347">
        <v>0</v>
      </c>
      <c r="F338" s="1347">
        <v>149.97264445255973</v>
      </c>
      <c r="G338" s="1347">
        <v>0</v>
      </c>
      <c r="H338" s="1348">
        <v>149.97264445255973</v>
      </c>
      <c r="I338" s="1347">
        <v>95.437137378901653</v>
      </c>
      <c r="J338" s="1347">
        <v>66.262018253764111</v>
      </c>
      <c r="K338" s="1348">
        <v>311.67180008522547</v>
      </c>
      <c r="L338" s="1349">
        <f t="shared" si="76"/>
        <v>311.67180008522547</v>
      </c>
      <c r="M338" s="1350"/>
      <c r="N338" s="398"/>
      <c r="O338" s="398"/>
      <c r="P338" s="398"/>
      <c r="Q338" s="398"/>
      <c r="R338" s="398"/>
      <c r="S338" s="398"/>
      <c r="T338" s="397"/>
    </row>
    <row r="339" spans="1:20" ht="15.75" hidden="1" x14ac:dyDescent="0.25">
      <c r="A339" s="1357" t="s">
        <v>18</v>
      </c>
      <c r="B339" s="1622"/>
      <c r="C339" s="1462" t="s">
        <v>112</v>
      </c>
      <c r="D339" s="1459">
        <v>38200</v>
      </c>
      <c r="E339" s="1347">
        <v>62.341061463798042</v>
      </c>
      <c r="F339" s="1347">
        <v>96.154853201762108</v>
      </c>
      <c r="G339" s="1347">
        <v>0</v>
      </c>
      <c r="H339" s="1348">
        <v>158.49591466556015</v>
      </c>
      <c r="I339" s="1347">
        <v>120.49280359722886</v>
      </c>
      <c r="J339" s="1347">
        <v>22.243290730283142</v>
      </c>
      <c r="K339" s="1348">
        <v>301.23200899307216</v>
      </c>
      <c r="L339" s="1349">
        <f t="shared" ref="L339:L402" si="77">H339+I339+J339</f>
        <v>301.23200899307216</v>
      </c>
      <c r="M339" s="1354"/>
      <c r="N339" s="591" t="s">
        <v>429</v>
      </c>
      <c r="O339" s="398"/>
      <c r="P339" s="591" t="s">
        <v>429</v>
      </c>
      <c r="Q339" s="398"/>
      <c r="R339" s="398"/>
      <c r="S339" s="398"/>
      <c r="T339" s="397"/>
    </row>
    <row r="340" spans="1:20" ht="15.75" hidden="1" x14ac:dyDescent="0.25">
      <c r="A340" s="1456"/>
      <c r="B340" s="1622"/>
      <c r="C340" s="1382" t="s">
        <v>113</v>
      </c>
      <c r="D340" s="1369"/>
      <c r="E340" s="1347">
        <v>84.783843590765343</v>
      </c>
      <c r="F340" s="1347">
        <v>74.47678809541739</v>
      </c>
      <c r="G340" s="1347">
        <v>0</v>
      </c>
      <c r="H340" s="1348">
        <v>159.26063168618273</v>
      </c>
      <c r="I340" s="1347">
        <v>95.423384747253536</v>
      </c>
      <c r="J340" s="1347">
        <v>20.314873895669656</v>
      </c>
      <c r="K340" s="1348">
        <v>274.99889032910596</v>
      </c>
      <c r="L340" s="1349">
        <f t="shared" si="77"/>
        <v>274.99889032910596</v>
      </c>
      <c r="M340" s="1354"/>
      <c r="N340" s="591" t="s">
        <v>429</v>
      </c>
      <c r="O340" s="398"/>
      <c r="P340" s="591" t="s">
        <v>429</v>
      </c>
      <c r="Q340" s="398"/>
      <c r="R340" s="398"/>
      <c r="S340" s="398"/>
      <c r="T340" s="397"/>
    </row>
    <row r="341" spans="1:20" ht="15.75" hidden="1" x14ac:dyDescent="0.25">
      <c r="A341" s="1456"/>
      <c r="B341" s="1622"/>
      <c r="C341" s="1382" t="s">
        <v>114</v>
      </c>
      <c r="D341" s="1369"/>
      <c r="E341" s="1347">
        <v>80.794015657082269</v>
      </c>
      <c r="F341" s="1347">
        <v>85.781300574186105</v>
      </c>
      <c r="G341" s="1347">
        <v>0</v>
      </c>
      <c r="H341" s="1348">
        <v>166.57531623126837</v>
      </c>
      <c r="I341" s="1347">
        <v>151.11473298824646</v>
      </c>
      <c r="J341" s="1347">
        <v>25.385280228058562</v>
      </c>
      <c r="K341" s="1348">
        <v>343.07532944757338</v>
      </c>
      <c r="L341" s="1349">
        <f t="shared" si="77"/>
        <v>343.07532944757338</v>
      </c>
      <c r="M341" s="1354"/>
      <c r="N341" s="591" t="s">
        <v>429</v>
      </c>
      <c r="O341" s="398"/>
      <c r="P341" s="591" t="s">
        <v>429</v>
      </c>
      <c r="Q341" s="398"/>
      <c r="R341" s="398"/>
      <c r="S341" s="398"/>
      <c r="T341" s="397"/>
    </row>
    <row r="342" spans="1:20" ht="15.75" hidden="1" x14ac:dyDescent="0.25">
      <c r="A342" s="1456"/>
      <c r="B342" s="1622"/>
      <c r="C342" s="1382" t="s">
        <v>115</v>
      </c>
      <c r="D342" s="1369"/>
      <c r="E342" s="1347">
        <v>84.783843590765343</v>
      </c>
      <c r="F342" s="1347">
        <v>109.72026817628456</v>
      </c>
      <c r="G342" s="1347">
        <v>0</v>
      </c>
      <c r="H342" s="1348">
        <v>194.50411176704989</v>
      </c>
      <c r="I342" s="1347">
        <v>179.74174841242251</v>
      </c>
      <c r="J342" s="1347">
        <v>29.923709502623062</v>
      </c>
      <c r="K342" s="1348">
        <v>404.16956968209547</v>
      </c>
      <c r="L342" s="1349">
        <f t="shared" si="77"/>
        <v>404.16956968209547</v>
      </c>
      <c r="M342" s="1354"/>
      <c r="N342" s="591" t="s">
        <v>429</v>
      </c>
      <c r="O342" s="398"/>
      <c r="P342" s="591" t="s">
        <v>429</v>
      </c>
      <c r="Q342" s="398"/>
      <c r="R342" s="398"/>
      <c r="S342" s="398"/>
      <c r="T342" s="397"/>
    </row>
    <row r="343" spans="1:20" ht="15.75" hidden="1" x14ac:dyDescent="0.25">
      <c r="A343" s="1456"/>
      <c r="B343" s="1622"/>
      <c r="C343" s="1382" t="s">
        <v>116</v>
      </c>
      <c r="D343" s="1369"/>
      <c r="E343" s="1347">
        <v>131.66432181154147</v>
      </c>
      <c r="F343" s="1347">
        <v>139.64397767890762</v>
      </c>
      <c r="G343" s="1347">
        <v>0</v>
      </c>
      <c r="H343" s="1348">
        <v>271.30829949044909</v>
      </c>
      <c r="I343" s="1347">
        <v>106.62815152768017</v>
      </c>
      <c r="J343" s="1347">
        <v>30.123200899307214</v>
      </c>
      <c r="K343" s="1348">
        <v>408.0596519174365</v>
      </c>
      <c r="L343" s="1349">
        <f t="shared" si="77"/>
        <v>408.0596519174365</v>
      </c>
      <c r="M343" s="1354"/>
      <c r="N343" s="591" t="s">
        <v>429</v>
      </c>
      <c r="O343" s="398"/>
      <c r="P343" s="591" t="s">
        <v>429</v>
      </c>
      <c r="Q343" s="398"/>
      <c r="R343" s="398"/>
      <c r="S343" s="398"/>
      <c r="T343" s="397"/>
    </row>
    <row r="344" spans="1:20" ht="15.75" hidden="1" x14ac:dyDescent="0.25">
      <c r="A344" s="1456"/>
      <c r="B344" s="1622"/>
      <c r="C344" s="1382" t="s">
        <v>117</v>
      </c>
      <c r="D344" s="1369"/>
      <c r="E344" s="1347">
        <v>124.68212292759608</v>
      </c>
      <c r="F344" s="1347">
        <v>201.58605634933735</v>
      </c>
      <c r="G344" s="1347">
        <v>0</v>
      </c>
      <c r="H344" s="1348">
        <v>326.26817927693344</v>
      </c>
      <c r="I344" s="1347">
        <v>138.54677499714478</v>
      </c>
      <c r="J344" s="1347">
        <v>37.105399783252594</v>
      </c>
      <c r="K344" s="1348">
        <v>501.92035405733083</v>
      </c>
      <c r="L344" s="1349">
        <f t="shared" si="77"/>
        <v>501.92035405733083</v>
      </c>
      <c r="M344" s="1354"/>
      <c r="N344" s="591" t="s">
        <v>429</v>
      </c>
      <c r="O344" s="398"/>
      <c r="P344" s="591" t="s">
        <v>429</v>
      </c>
      <c r="Q344" s="398"/>
      <c r="R344" s="398"/>
      <c r="S344" s="398"/>
      <c r="T344" s="397"/>
    </row>
    <row r="345" spans="1:20" ht="15.75" hidden="1" x14ac:dyDescent="0.25">
      <c r="A345" s="1456"/>
      <c r="B345" s="1622"/>
      <c r="C345" s="1382" t="s">
        <v>118</v>
      </c>
      <c r="D345" s="1369"/>
      <c r="E345" s="1347">
        <v>116.70246706022994</v>
      </c>
      <c r="F345" s="1347">
        <v>96.088356069534058</v>
      </c>
      <c r="G345" s="1347">
        <v>0</v>
      </c>
      <c r="H345" s="1348">
        <v>212.79082312976399</v>
      </c>
      <c r="I345" s="1347">
        <v>150.94849015767633</v>
      </c>
      <c r="J345" s="1347">
        <v>29.059246783658395</v>
      </c>
      <c r="K345" s="1348">
        <v>392.79856007109873</v>
      </c>
      <c r="L345" s="1349">
        <f t="shared" si="77"/>
        <v>392.79856007109873</v>
      </c>
      <c r="M345" s="1354"/>
      <c r="N345" s="591" t="s">
        <v>429</v>
      </c>
      <c r="O345" s="398"/>
      <c r="P345" s="591" t="s">
        <v>429</v>
      </c>
      <c r="Q345" s="398"/>
      <c r="R345" s="398"/>
      <c r="S345" s="398"/>
      <c r="T345" s="397"/>
    </row>
    <row r="346" spans="1:20" ht="16.5" hidden="1" thickBot="1" x14ac:dyDescent="0.3">
      <c r="A346" s="1457"/>
      <c r="B346" s="1622"/>
      <c r="C346" s="1383" t="s">
        <v>119</v>
      </c>
      <c r="D346" s="1356"/>
      <c r="E346" s="1347">
        <v>78.799101690240732</v>
      </c>
      <c r="F346" s="1347">
        <v>113.64359897773959</v>
      </c>
      <c r="G346" s="1347">
        <v>0</v>
      </c>
      <c r="H346" s="1348">
        <v>192.44270066798032</v>
      </c>
      <c r="I346" s="1347">
        <v>145.29623391829196</v>
      </c>
      <c r="J346" s="1347">
        <v>26.964587118474782</v>
      </c>
      <c r="K346" s="1348">
        <v>364.70352170474712</v>
      </c>
      <c r="L346" s="1349">
        <f t="shared" si="77"/>
        <v>364.70352170474712</v>
      </c>
      <c r="M346" s="1354"/>
      <c r="N346" s="591" t="s">
        <v>429</v>
      </c>
      <c r="O346" s="398"/>
      <c r="P346" s="591" t="s">
        <v>429</v>
      </c>
      <c r="Q346" s="398"/>
      <c r="R346" s="398"/>
      <c r="S346" s="398"/>
      <c r="T346" s="397"/>
    </row>
    <row r="347" spans="1:20" ht="16.5" hidden="1" thickBot="1" x14ac:dyDescent="0.3">
      <c r="A347" s="1389" t="s">
        <v>742</v>
      </c>
      <c r="B347" s="1622"/>
      <c r="C347" s="1390" t="s">
        <v>743</v>
      </c>
      <c r="D347" s="1391">
        <v>3300</v>
      </c>
      <c r="E347" s="1347">
        <v>5.8330000421920332</v>
      </c>
      <c r="F347" s="1347">
        <v>44.749609723688842</v>
      </c>
      <c r="G347" s="1347">
        <v>0</v>
      </c>
      <c r="H347" s="1348">
        <v>50.582609765880875</v>
      </c>
      <c r="I347" s="1347">
        <v>33.56220729276663</v>
      </c>
      <c r="J347" s="1347">
        <v>0</v>
      </c>
      <c r="K347" s="1348">
        <v>84.144817058647504</v>
      </c>
      <c r="L347" s="1349">
        <f t="shared" si="77"/>
        <v>84.144817058647504</v>
      </c>
      <c r="M347" s="1354"/>
      <c r="N347" s="591" t="s">
        <v>429</v>
      </c>
      <c r="O347" s="398"/>
      <c r="P347" s="591" t="s">
        <v>429</v>
      </c>
      <c r="Q347" s="591" t="s">
        <v>429</v>
      </c>
      <c r="R347" s="398"/>
      <c r="S347" s="614" t="s">
        <v>745</v>
      </c>
      <c r="T347" s="397"/>
    </row>
    <row r="348" spans="1:20" ht="16.5" hidden="1" thickBot="1" x14ac:dyDescent="0.3">
      <c r="A348" s="1392" t="s">
        <v>586</v>
      </c>
      <c r="B348" s="1624"/>
      <c r="C348" s="1463" t="s">
        <v>587</v>
      </c>
      <c r="D348" s="1464">
        <v>88700</v>
      </c>
      <c r="E348" s="1347">
        <v>0</v>
      </c>
      <c r="F348" s="1347">
        <v>1403.2182520011579</v>
      </c>
      <c r="G348" s="1347">
        <v>0</v>
      </c>
      <c r="H348" s="1348">
        <v>1403.2182520011579</v>
      </c>
      <c r="I348" s="1347">
        <v>0</v>
      </c>
      <c r="J348" s="1347">
        <v>0</v>
      </c>
      <c r="K348" s="1348">
        <v>1403.2182520011579</v>
      </c>
      <c r="L348" s="1349">
        <f t="shared" si="77"/>
        <v>1403.2182520011579</v>
      </c>
      <c r="M348" s="1350"/>
      <c r="N348" s="396"/>
      <c r="O348" s="398"/>
      <c r="P348" s="591" t="s">
        <v>429</v>
      </c>
      <c r="Q348" s="398"/>
      <c r="R348" s="398"/>
      <c r="S348" s="398"/>
      <c r="T348" s="397"/>
    </row>
    <row r="349" spans="1:20" s="1402" customFormat="1" ht="16.5" hidden="1" thickBot="1" x14ac:dyDescent="0.3">
      <c r="A349" s="1395" t="s">
        <v>774</v>
      </c>
      <c r="B349" s="1624"/>
      <c r="C349" s="1390" t="s">
        <v>775</v>
      </c>
      <c r="D349" s="1465">
        <v>34700</v>
      </c>
      <c r="E349" s="1347">
        <v>64.064977088626833</v>
      </c>
      <c r="F349" s="1347">
        <v>713.77071253284691</v>
      </c>
      <c r="G349" s="1347">
        <v>0</v>
      </c>
      <c r="H349" s="1348">
        <v>777.83568962147376</v>
      </c>
      <c r="I349" s="1347">
        <v>0</v>
      </c>
      <c r="J349" s="1347">
        <v>0</v>
      </c>
      <c r="K349" s="1348">
        <v>777.83568962147376</v>
      </c>
      <c r="L349" s="1349">
        <f t="shared" si="77"/>
        <v>777.83568962147376</v>
      </c>
      <c r="M349" s="1398"/>
      <c r="N349" s="1399"/>
      <c r="O349" s="1399"/>
      <c r="P349" s="1400" t="s">
        <v>429</v>
      </c>
      <c r="Q349" s="1400" t="s">
        <v>429</v>
      </c>
      <c r="R349" s="1399"/>
      <c r="S349" s="1399"/>
      <c r="T349" s="1401"/>
    </row>
    <row r="350" spans="1:20" ht="16.5" hidden="1" thickBot="1" x14ac:dyDescent="0.3">
      <c r="A350" s="1395" t="s">
        <v>37</v>
      </c>
      <c r="B350" s="1624"/>
      <c r="C350" s="1430" t="s">
        <v>37</v>
      </c>
      <c r="D350" s="1466">
        <v>19500</v>
      </c>
      <c r="E350" s="1347">
        <v>18.410098329450939</v>
      </c>
      <c r="F350" s="1347">
        <v>20.418472692663769</v>
      </c>
      <c r="G350" s="1347">
        <v>0</v>
      </c>
      <c r="H350" s="1348">
        <v>38.828571022114708</v>
      </c>
      <c r="I350" s="1347">
        <v>46.234869897787689</v>
      </c>
      <c r="J350" s="1347">
        <v>0</v>
      </c>
      <c r="K350" s="1348">
        <v>85.063440919902405</v>
      </c>
      <c r="L350" s="1349">
        <f t="shared" si="77"/>
        <v>85.063440919902405</v>
      </c>
      <c r="M350" s="1350"/>
      <c r="N350" s="398"/>
      <c r="O350" s="398"/>
      <c r="P350" s="591" t="s">
        <v>429</v>
      </c>
      <c r="Q350" s="398"/>
      <c r="R350" s="398"/>
      <c r="S350" s="398"/>
      <c r="T350" s="397"/>
    </row>
    <row r="351" spans="1:20" ht="15.75" hidden="1" x14ac:dyDescent="0.25">
      <c r="A351" s="1371" t="s">
        <v>38</v>
      </c>
      <c r="B351" s="1424"/>
      <c r="C351" s="1467" t="s">
        <v>620</v>
      </c>
      <c r="D351" s="1468">
        <v>18500</v>
      </c>
      <c r="E351" s="1347">
        <v>0.12736471406911157</v>
      </c>
      <c r="F351" s="1347">
        <v>0.97260327107321554</v>
      </c>
      <c r="G351" s="1347">
        <v>0</v>
      </c>
      <c r="H351" s="1348">
        <v>1.0999679851423272</v>
      </c>
      <c r="I351" s="1347">
        <v>0.34735831109757698</v>
      </c>
      <c r="J351" s="1347">
        <v>6.7155940145531542E-2</v>
      </c>
      <c r="K351" s="1348">
        <v>1.5144822363854356</v>
      </c>
      <c r="L351" s="1349">
        <f t="shared" si="77"/>
        <v>1.5144822363854356</v>
      </c>
      <c r="M351" s="1367" t="s">
        <v>429</v>
      </c>
      <c r="N351" s="614"/>
      <c r="O351" s="614"/>
      <c r="P351" s="591" t="s">
        <v>429</v>
      </c>
      <c r="Q351" s="591" t="s">
        <v>429</v>
      </c>
      <c r="R351" s="398"/>
      <c r="S351" s="398"/>
      <c r="T351" s="397"/>
    </row>
    <row r="352" spans="1:20" ht="15.75" hidden="1" x14ac:dyDescent="0.25">
      <c r="A352" s="1469"/>
      <c r="B352" s="1424"/>
      <c r="C352" s="1408" t="s">
        <v>621</v>
      </c>
      <c r="D352" s="1369"/>
      <c r="E352" s="1347">
        <v>0</v>
      </c>
      <c r="F352" s="1347">
        <v>0.99576049181305393</v>
      </c>
      <c r="G352" s="1347">
        <v>0</v>
      </c>
      <c r="H352" s="1348">
        <v>0.99576049181305393</v>
      </c>
      <c r="I352" s="1347">
        <v>4.6314441479676935E-2</v>
      </c>
      <c r="J352" s="1347">
        <v>6.7155940145531542E-2</v>
      </c>
      <c r="K352" s="1348">
        <v>1.1092308734382623</v>
      </c>
      <c r="L352" s="1349">
        <f t="shared" si="77"/>
        <v>1.1092308734382623</v>
      </c>
      <c r="M352" s="1367" t="s">
        <v>429</v>
      </c>
      <c r="N352" s="614"/>
      <c r="O352" s="614"/>
      <c r="P352" s="591" t="s">
        <v>429</v>
      </c>
      <c r="Q352" s="591"/>
      <c r="R352" s="398"/>
      <c r="S352" s="398"/>
      <c r="T352" s="397"/>
    </row>
    <row r="353" spans="1:20" ht="15.75" hidden="1" x14ac:dyDescent="0.25">
      <c r="A353" s="1469"/>
      <c r="B353" s="1424"/>
      <c r="C353" s="1408" t="s">
        <v>622</v>
      </c>
      <c r="D353" s="1369"/>
      <c r="E353" s="1347">
        <v>0.37051553183741548</v>
      </c>
      <c r="F353" s="1347">
        <v>2.1188856976952195</v>
      </c>
      <c r="G353" s="1347">
        <v>0</v>
      </c>
      <c r="H353" s="1348">
        <v>2.4894012295326351</v>
      </c>
      <c r="I353" s="1347">
        <v>0.27788664887806158</v>
      </c>
      <c r="J353" s="1347">
        <v>6.7155940145531542E-2</v>
      </c>
      <c r="K353" s="1348">
        <v>2.8344438185562284</v>
      </c>
      <c r="L353" s="1349">
        <f t="shared" si="77"/>
        <v>2.8344438185562284</v>
      </c>
      <c r="M353" s="1367" t="s">
        <v>429</v>
      </c>
      <c r="N353" s="614"/>
      <c r="O353" s="614"/>
      <c r="P353" s="591" t="s">
        <v>429</v>
      </c>
      <c r="Q353" s="591" t="s">
        <v>429</v>
      </c>
      <c r="R353" s="396"/>
      <c r="S353" s="398"/>
      <c r="T353" s="397"/>
    </row>
    <row r="354" spans="1:20" ht="15.75" hidden="1" x14ac:dyDescent="0.25">
      <c r="A354" s="1469"/>
      <c r="B354" s="1424"/>
      <c r="C354" s="1408" t="s">
        <v>623</v>
      </c>
      <c r="D354" s="1369"/>
      <c r="E354" s="1347">
        <v>0.21999359702846541</v>
      </c>
      <c r="F354" s="1347">
        <v>1.0304963229228117</v>
      </c>
      <c r="G354" s="1347">
        <v>0</v>
      </c>
      <c r="H354" s="1348">
        <v>1.2504899199512771</v>
      </c>
      <c r="I354" s="1347">
        <v>0.26630803850814233</v>
      </c>
      <c r="J354" s="1347">
        <v>6.7155940145531542E-2</v>
      </c>
      <c r="K354" s="1348">
        <v>1.5839538986049508</v>
      </c>
      <c r="L354" s="1349">
        <f t="shared" si="77"/>
        <v>1.5839538986049508</v>
      </c>
      <c r="M354" s="1367" t="s">
        <v>429</v>
      </c>
      <c r="N354" s="614"/>
      <c r="O354" s="614"/>
      <c r="P354" s="591" t="s">
        <v>429</v>
      </c>
      <c r="Q354" s="591" t="s">
        <v>429</v>
      </c>
      <c r="R354" s="396"/>
      <c r="S354" s="398"/>
      <c r="T354" s="397"/>
    </row>
    <row r="355" spans="1:20" ht="16.5" hidden="1" thickBot="1" x14ac:dyDescent="0.3">
      <c r="A355" s="1470"/>
      <c r="B355" s="1424"/>
      <c r="C355" s="1408" t="s">
        <v>624</v>
      </c>
      <c r="D355" s="1356"/>
      <c r="E355" s="1347">
        <v>0.27788664887806158</v>
      </c>
      <c r="F355" s="1347">
        <v>1.2620685303211963</v>
      </c>
      <c r="G355" s="1347">
        <v>0</v>
      </c>
      <c r="H355" s="1348">
        <v>1.5399551791992578</v>
      </c>
      <c r="I355" s="1347">
        <v>0.39367275257725387</v>
      </c>
      <c r="J355" s="1347">
        <v>6.7155940145531542E-2</v>
      </c>
      <c r="K355" s="1348">
        <v>2.0007838719220432</v>
      </c>
      <c r="L355" s="1349">
        <f t="shared" si="77"/>
        <v>2.0007838719220432</v>
      </c>
      <c r="M355" s="1367" t="s">
        <v>429</v>
      </c>
      <c r="N355" s="614"/>
      <c r="O355" s="614"/>
      <c r="P355" s="591" t="s">
        <v>429</v>
      </c>
      <c r="Q355" s="591" t="s">
        <v>429</v>
      </c>
      <c r="R355" s="396"/>
      <c r="S355" s="398"/>
      <c r="T355" s="397"/>
    </row>
    <row r="356" spans="1:20" ht="15.75" hidden="1" x14ac:dyDescent="0.25">
      <c r="A356" s="1371" t="s">
        <v>20</v>
      </c>
      <c r="B356" s="1424"/>
      <c r="C356" s="1471" t="s">
        <v>182</v>
      </c>
      <c r="D356" s="1468">
        <v>49300</v>
      </c>
      <c r="E356" s="1347">
        <v>45.76845397094273</v>
      </c>
      <c r="F356" s="1347">
        <v>269.29007318609246</v>
      </c>
      <c r="G356" s="1347">
        <v>0</v>
      </c>
      <c r="H356" s="1348">
        <v>315.0585271570352</v>
      </c>
      <c r="I356" s="1347">
        <v>413.273394575108</v>
      </c>
      <c r="J356" s="1347">
        <v>23.24798575368645</v>
      </c>
      <c r="K356" s="1348">
        <v>751.57990748582961</v>
      </c>
      <c r="L356" s="1349">
        <f t="shared" si="77"/>
        <v>751.57990748582961</v>
      </c>
      <c r="M356" s="1367" t="s">
        <v>429</v>
      </c>
      <c r="N356" s="591" t="s">
        <v>429</v>
      </c>
      <c r="O356" s="396"/>
      <c r="P356" s="396"/>
      <c r="Q356" s="591" t="s">
        <v>429</v>
      </c>
      <c r="R356" s="396"/>
      <c r="S356" s="712" t="s">
        <v>1350</v>
      </c>
      <c r="T356" s="397"/>
    </row>
    <row r="357" spans="1:20" ht="15.75" hidden="1" x14ac:dyDescent="0.25">
      <c r="A357" s="1469"/>
      <c r="B357" s="1424"/>
      <c r="C357" s="1411" t="s">
        <v>183</v>
      </c>
      <c r="D357" s="1369"/>
      <c r="E357" s="1347">
        <v>64.890220861293898</v>
      </c>
      <c r="F357" s="1347">
        <v>198.49284426781333</v>
      </c>
      <c r="G357" s="1347">
        <v>9.1754077355745203</v>
      </c>
      <c r="H357" s="1348">
        <v>272.55847286468173</v>
      </c>
      <c r="I357" s="1347">
        <v>659.7606793059266</v>
      </c>
      <c r="J357" s="1347">
        <v>20.142463135491997</v>
      </c>
      <c r="K357" s="1348">
        <v>952.46161530610038</v>
      </c>
      <c r="L357" s="1349">
        <f t="shared" si="77"/>
        <v>952.46161530610027</v>
      </c>
      <c r="M357" s="1367" t="s">
        <v>429</v>
      </c>
      <c r="N357" s="591" t="s">
        <v>429</v>
      </c>
      <c r="O357" s="396"/>
      <c r="P357" s="396"/>
      <c r="Q357" s="591" t="s">
        <v>429</v>
      </c>
      <c r="R357" s="396"/>
      <c r="S357" s="712" t="s">
        <v>1350</v>
      </c>
      <c r="T357" s="397"/>
    </row>
    <row r="358" spans="1:20" ht="15.75" hidden="1" x14ac:dyDescent="0.25">
      <c r="A358" s="1469"/>
      <c r="B358" s="1424"/>
      <c r="C358" s="1411" t="s">
        <v>184</v>
      </c>
      <c r="D358" s="1369"/>
      <c r="E358" s="1347">
        <v>66.432123699698138</v>
      </c>
      <c r="F358" s="1347">
        <v>230.19957869133711</v>
      </c>
      <c r="G358" s="1347">
        <v>20.30534019588681</v>
      </c>
      <c r="H358" s="1348">
        <v>316.93704258692202</v>
      </c>
      <c r="I358" s="1347">
        <v>493.62607770321631</v>
      </c>
      <c r="J358" s="1347">
        <v>22.140421743001717</v>
      </c>
      <c r="K358" s="1348">
        <v>832.70354203314002</v>
      </c>
      <c r="L358" s="1349">
        <f t="shared" si="77"/>
        <v>832.70354203314014</v>
      </c>
      <c r="M358" s="1412"/>
      <c r="N358" s="591" t="s">
        <v>429</v>
      </c>
      <c r="O358" s="396"/>
      <c r="P358" s="396"/>
      <c r="Q358" s="591" t="s">
        <v>429</v>
      </c>
      <c r="R358" s="396"/>
      <c r="S358" s="712" t="s">
        <v>1350</v>
      </c>
      <c r="T358" s="397"/>
    </row>
    <row r="359" spans="1:20" ht="15.75" hidden="1" x14ac:dyDescent="0.25">
      <c r="A359" s="1469"/>
      <c r="B359" s="1424"/>
      <c r="C359" s="1411" t="s">
        <v>185</v>
      </c>
      <c r="D359" s="1369"/>
      <c r="E359" s="1347">
        <v>48.863118118444199</v>
      </c>
      <c r="F359" s="1347">
        <v>147.67520142463135</v>
      </c>
      <c r="G359" s="1347">
        <v>0</v>
      </c>
      <c r="H359" s="1348">
        <v>196.53831954307554</v>
      </c>
      <c r="I359" s="1347">
        <v>502.31285425760632</v>
      </c>
      <c r="J359" s="1347">
        <v>16.135687449779574</v>
      </c>
      <c r="K359" s="1348">
        <v>714.9868612504614</v>
      </c>
      <c r="L359" s="1349">
        <f t="shared" si="77"/>
        <v>714.9868612504614</v>
      </c>
      <c r="M359" s="1412"/>
      <c r="N359" s="591" t="s">
        <v>429</v>
      </c>
      <c r="O359" s="396"/>
      <c r="P359" s="396"/>
      <c r="Q359" s="591" t="s">
        <v>429</v>
      </c>
      <c r="R359" s="396"/>
      <c r="S359" s="712" t="s">
        <v>1350</v>
      </c>
      <c r="T359" s="397"/>
    </row>
    <row r="360" spans="1:20" ht="16.5" hidden="1" thickBot="1" x14ac:dyDescent="0.3">
      <c r="A360" s="1469"/>
      <c r="B360" s="1424"/>
      <c r="C360" s="1355" t="s">
        <v>186</v>
      </c>
      <c r="D360" s="1356"/>
      <c r="E360" s="1347">
        <v>76.487067561404658</v>
      </c>
      <c r="F360" s="1347">
        <v>100.22368449627554</v>
      </c>
      <c r="G360" s="1347">
        <v>0</v>
      </c>
      <c r="H360" s="1348">
        <v>176.7107520576802</v>
      </c>
      <c r="I360" s="1347">
        <v>375.26874714965146</v>
      </c>
      <c r="J360" s="1347">
        <v>14.941255673550938</v>
      </c>
      <c r="K360" s="1348">
        <v>566.92075488088255</v>
      </c>
      <c r="L360" s="1349">
        <f t="shared" si="77"/>
        <v>566.92075488088255</v>
      </c>
      <c r="M360" s="1412"/>
      <c r="N360" s="591" t="s">
        <v>429</v>
      </c>
      <c r="O360" s="396"/>
      <c r="P360" s="396"/>
      <c r="Q360" s="591" t="s">
        <v>429</v>
      </c>
      <c r="R360" s="396"/>
      <c r="S360" s="712" t="s">
        <v>1350</v>
      </c>
      <c r="T360" s="397"/>
    </row>
    <row r="361" spans="1:20" ht="15.75" hidden="1" x14ac:dyDescent="0.25">
      <c r="A361" s="1357" t="s">
        <v>21</v>
      </c>
      <c r="B361" s="1622"/>
      <c r="C361" s="1472" t="s">
        <v>125</v>
      </c>
      <c r="D361" s="1468">
        <v>68400</v>
      </c>
      <c r="E361" s="1347">
        <v>277.53010620407883</v>
      </c>
      <c r="F361" s="1347">
        <v>0</v>
      </c>
      <c r="G361" s="1347">
        <v>0</v>
      </c>
      <c r="H361" s="1348">
        <v>277.53010620407883</v>
      </c>
      <c r="I361" s="1347">
        <v>360.93585995959501</v>
      </c>
      <c r="J361" s="1347">
        <v>159.58827579201605</v>
      </c>
      <c r="K361" s="1348">
        <v>798.0542419556898</v>
      </c>
      <c r="L361" s="1349">
        <f t="shared" si="77"/>
        <v>798.0542419556898</v>
      </c>
      <c r="M361" s="1367" t="s">
        <v>429</v>
      </c>
      <c r="N361" s="591" t="s">
        <v>429</v>
      </c>
      <c r="O361" s="591"/>
      <c r="P361" s="591"/>
      <c r="Q361" s="591" t="s">
        <v>429</v>
      </c>
      <c r="R361" s="591" t="s">
        <v>429</v>
      </c>
      <c r="S361" s="614"/>
      <c r="T361" s="397"/>
    </row>
    <row r="362" spans="1:20" ht="15.75" hidden="1" x14ac:dyDescent="0.25">
      <c r="A362" s="1456"/>
      <c r="B362" s="1622"/>
      <c r="C362" s="1382" t="s">
        <v>126</v>
      </c>
      <c r="D362" s="1369"/>
      <c r="E362" s="1347">
        <v>35.438980621423653</v>
      </c>
      <c r="F362" s="1347">
        <v>225.04881324560114</v>
      </c>
      <c r="G362" s="1347">
        <v>0</v>
      </c>
      <c r="H362" s="1348">
        <v>260.48779386702478</v>
      </c>
      <c r="I362" s="1347">
        <v>337.68608286401138</v>
      </c>
      <c r="J362" s="1347">
        <v>149.54346918275905</v>
      </c>
      <c r="K362" s="1348">
        <v>747.71734591379527</v>
      </c>
      <c r="L362" s="1349">
        <f t="shared" si="77"/>
        <v>747.71734591379527</v>
      </c>
      <c r="M362" s="1367" t="s">
        <v>429</v>
      </c>
      <c r="N362" s="591" t="s">
        <v>429</v>
      </c>
      <c r="O362" s="591"/>
      <c r="P362" s="591"/>
      <c r="Q362" s="591" t="s">
        <v>429</v>
      </c>
      <c r="R362" s="591" t="s">
        <v>429</v>
      </c>
      <c r="S362" s="614"/>
      <c r="T362" s="397"/>
    </row>
    <row r="363" spans="1:20" ht="16.5" hidden="1" thickBot="1" x14ac:dyDescent="0.3">
      <c r="A363" s="1457"/>
      <c r="B363" s="1622"/>
      <c r="C363" s="1382" t="s">
        <v>127</v>
      </c>
      <c r="D363" s="1356"/>
      <c r="E363" s="1347">
        <v>33.858898682888842</v>
      </c>
      <c r="F363" s="1347">
        <v>186.44966874710786</v>
      </c>
      <c r="G363" s="1347">
        <v>20.8345089895376</v>
      </c>
      <c r="H363" s="1348">
        <v>241.14307641953431</v>
      </c>
      <c r="I363" s="1347">
        <v>302.15681184609997</v>
      </c>
      <c r="J363" s="1347">
        <v>135.83061521618907</v>
      </c>
      <c r="K363" s="1348">
        <v>679.13050348182333</v>
      </c>
      <c r="L363" s="1349">
        <f t="shared" si="77"/>
        <v>679.13050348182333</v>
      </c>
      <c r="M363" s="1367" t="s">
        <v>429</v>
      </c>
      <c r="N363" s="591" t="s">
        <v>429</v>
      </c>
      <c r="O363" s="591"/>
      <c r="P363" s="591"/>
      <c r="Q363" s="591" t="s">
        <v>429</v>
      </c>
      <c r="R363" s="591" t="s">
        <v>429</v>
      </c>
      <c r="S363" s="614"/>
      <c r="T363" s="397"/>
    </row>
    <row r="364" spans="1:20" ht="15.75" hidden="1" x14ac:dyDescent="0.25">
      <c r="A364" s="1357" t="s">
        <v>22</v>
      </c>
      <c r="B364" s="1622"/>
      <c r="C364" s="1472" t="s">
        <v>128</v>
      </c>
      <c r="D364" s="1468">
        <v>26400</v>
      </c>
      <c r="E364" s="1347">
        <v>0</v>
      </c>
      <c r="F364" s="1347">
        <v>278.84685943031235</v>
      </c>
      <c r="G364" s="1347">
        <v>0</v>
      </c>
      <c r="H364" s="1348">
        <v>278.84685943031235</v>
      </c>
      <c r="I364" s="1347">
        <v>277.83471112022045</v>
      </c>
      <c r="J364" s="1347">
        <v>0</v>
      </c>
      <c r="K364" s="1348">
        <v>556.6815705505328</v>
      </c>
      <c r="L364" s="1349">
        <f t="shared" si="77"/>
        <v>556.6815705505328</v>
      </c>
      <c r="M364" s="1350"/>
      <c r="N364" s="591" t="s">
        <v>429</v>
      </c>
      <c r="O364" s="398"/>
      <c r="P364" s="398"/>
      <c r="Q364" s="398"/>
      <c r="R364" s="398"/>
      <c r="S364" s="398"/>
      <c r="T364" s="397"/>
    </row>
    <row r="365" spans="1:20" ht="15.75" hidden="1" x14ac:dyDescent="0.25">
      <c r="A365" s="1456"/>
      <c r="B365" s="1622"/>
      <c r="C365" s="1382" t="s">
        <v>129</v>
      </c>
      <c r="D365" s="1369"/>
      <c r="E365" s="1347">
        <v>0</v>
      </c>
      <c r="F365" s="1347">
        <v>217.10581251470779</v>
      </c>
      <c r="G365" s="1347">
        <v>0</v>
      </c>
      <c r="H365" s="1348">
        <v>217.10581251470779</v>
      </c>
      <c r="I365" s="1347">
        <v>253.54315167801539</v>
      </c>
      <c r="J365" s="1347">
        <v>0</v>
      </c>
      <c r="K365" s="1348">
        <v>470.64896419272316</v>
      </c>
      <c r="L365" s="1349">
        <f t="shared" si="77"/>
        <v>470.64896419272316</v>
      </c>
      <c r="M365" s="1350"/>
      <c r="N365" s="591" t="s">
        <v>429</v>
      </c>
      <c r="O365" s="398"/>
      <c r="P365" s="398"/>
      <c r="Q365" s="398"/>
      <c r="R365" s="398"/>
      <c r="S365" s="398"/>
      <c r="T365" s="397"/>
    </row>
    <row r="366" spans="1:20" ht="15.75" hidden="1" x14ac:dyDescent="0.25">
      <c r="A366" s="1456"/>
      <c r="B366" s="1622"/>
      <c r="C366" s="1382" t="s">
        <v>130</v>
      </c>
      <c r="D366" s="1369"/>
      <c r="E366" s="1347">
        <v>21.680216802168019</v>
      </c>
      <c r="F366" s="1347">
        <v>326.92390415967651</v>
      </c>
      <c r="G366" s="1347">
        <v>0</v>
      </c>
      <c r="H366" s="1348">
        <v>348.6041209618445</v>
      </c>
      <c r="I366" s="1347">
        <v>348.6041209618445</v>
      </c>
      <c r="J366" s="1347">
        <v>0</v>
      </c>
      <c r="K366" s="1348">
        <v>697.20824192368912</v>
      </c>
      <c r="L366" s="1349">
        <f t="shared" si="77"/>
        <v>697.208241923689</v>
      </c>
      <c r="M366" s="1367" t="s">
        <v>429</v>
      </c>
      <c r="N366" s="591" t="s">
        <v>429</v>
      </c>
      <c r="O366" s="398"/>
      <c r="P366" s="398"/>
      <c r="Q366" s="398"/>
      <c r="R366" s="398"/>
      <c r="S366" s="398"/>
      <c r="T366" s="397"/>
    </row>
    <row r="367" spans="1:20" ht="15.75" hidden="1" x14ac:dyDescent="0.25">
      <c r="A367" s="1456"/>
      <c r="B367" s="1622"/>
      <c r="C367" s="1382" t="s">
        <v>131</v>
      </c>
      <c r="D367" s="1369"/>
      <c r="E367" s="1347">
        <v>0</v>
      </c>
      <c r="F367" s="1347">
        <v>173.0773610257111</v>
      </c>
      <c r="G367" s="1347">
        <v>0</v>
      </c>
      <c r="H367" s="1348">
        <v>173.0773610257111</v>
      </c>
      <c r="I367" s="1347">
        <v>170.5469902504814</v>
      </c>
      <c r="J367" s="1347">
        <v>0</v>
      </c>
      <c r="K367" s="1348">
        <v>343.6243512761925</v>
      </c>
      <c r="L367" s="1349">
        <f t="shared" si="77"/>
        <v>343.6243512761925</v>
      </c>
      <c r="M367" s="1367"/>
      <c r="N367" s="591" t="s">
        <v>429</v>
      </c>
      <c r="O367" s="398"/>
      <c r="P367" s="398"/>
      <c r="Q367" s="398"/>
      <c r="R367" s="398"/>
      <c r="S367" s="398"/>
      <c r="T367" s="397"/>
    </row>
    <row r="368" spans="1:20" ht="16.5" hidden="1" thickBot="1" x14ac:dyDescent="0.3">
      <c r="A368" s="1457"/>
      <c r="B368" s="1622"/>
      <c r="C368" s="1382" t="s">
        <v>132</v>
      </c>
      <c r="D368" s="1356"/>
      <c r="E368" s="1347">
        <v>0</v>
      </c>
      <c r="F368" s="1347">
        <v>159.41335883947076</v>
      </c>
      <c r="G368" s="1347">
        <v>14.028375577873426</v>
      </c>
      <c r="H368" s="1348">
        <v>173.44173441734418</v>
      </c>
      <c r="I368" s="1347">
        <v>341.33689609538487</v>
      </c>
      <c r="J368" s="1347">
        <v>0</v>
      </c>
      <c r="K368" s="1348">
        <v>514.77863051272914</v>
      </c>
      <c r="L368" s="1349">
        <f t="shared" si="77"/>
        <v>514.77863051272902</v>
      </c>
      <c r="M368" s="1367" t="s">
        <v>429</v>
      </c>
      <c r="N368" s="591" t="s">
        <v>429</v>
      </c>
      <c r="O368" s="398"/>
      <c r="P368" s="398"/>
      <c r="Q368" s="398"/>
      <c r="R368" s="398"/>
      <c r="S368" s="398"/>
      <c r="T368" s="397"/>
    </row>
    <row r="369" spans="1:20" ht="15.75" hidden="1" x14ac:dyDescent="0.25">
      <c r="A369" s="1371" t="s">
        <v>23</v>
      </c>
      <c r="B369" s="1424"/>
      <c r="C369" s="1473" t="s">
        <v>133</v>
      </c>
      <c r="D369" s="1468">
        <v>27800</v>
      </c>
      <c r="E369" s="1347">
        <v>55.899407127500162</v>
      </c>
      <c r="F369" s="1347">
        <v>134.22155623601972</v>
      </c>
      <c r="G369" s="1347">
        <v>24.14923882120442</v>
      </c>
      <c r="H369" s="1348">
        <v>214.2702021847243</v>
      </c>
      <c r="I369" s="1347">
        <v>71.01439833213891</v>
      </c>
      <c r="J369" s="1347">
        <v>11.792299172584533</v>
      </c>
      <c r="K369" s="1348">
        <v>297.07689968944777</v>
      </c>
      <c r="L369" s="1349">
        <f t="shared" si="77"/>
        <v>297.07689968944771</v>
      </c>
      <c r="M369" s="1350"/>
      <c r="N369" s="398"/>
      <c r="O369" s="398"/>
      <c r="P369" s="591" t="s">
        <v>429</v>
      </c>
      <c r="Q369" s="591" t="s">
        <v>429</v>
      </c>
      <c r="R369" s="398"/>
      <c r="S369" s="398"/>
      <c r="T369" s="397"/>
    </row>
    <row r="370" spans="1:20" ht="15.75" hidden="1" x14ac:dyDescent="0.25">
      <c r="A370" s="1351"/>
      <c r="B370" s="1424"/>
      <c r="C370" s="1380" t="s">
        <v>134</v>
      </c>
      <c r="D370" s="1369"/>
      <c r="E370" s="1347">
        <v>53.032770864551445</v>
      </c>
      <c r="F370" s="1347">
        <v>199.22036180424348</v>
      </c>
      <c r="G370" s="1347">
        <v>0</v>
      </c>
      <c r="H370" s="1348">
        <v>252.25313266879493</v>
      </c>
      <c r="I370" s="1347">
        <v>247.16050991378376</v>
      </c>
      <c r="J370" s="1347">
        <v>16.472300041262187</v>
      </c>
      <c r="K370" s="1348">
        <v>515.88594262384083</v>
      </c>
      <c r="L370" s="1349">
        <f t="shared" si="77"/>
        <v>515.88594262384083</v>
      </c>
      <c r="M370" s="1350"/>
      <c r="N370" s="398"/>
      <c r="O370" s="398"/>
      <c r="P370" s="591" t="s">
        <v>429</v>
      </c>
      <c r="Q370" s="591" t="s">
        <v>429</v>
      </c>
      <c r="R370" s="398"/>
      <c r="S370" s="398"/>
      <c r="T370" s="397"/>
    </row>
    <row r="371" spans="1:20" ht="15.75" hidden="1" x14ac:dyDescent="0.25">
      <c r="A371" s="1351"/>
      <c r="B371" s="1424"/>
      <c r="C371" s="1380" t="s">
        <v>135</v>
      </c>
      <c r="D371" s="1369"/>
      <c r="E371" s="1347">
        <v>44.639173018872022</v>
      </c>
      <c r="F371" s="1347">
        <v>206.57154646339612</v>
      </c>
      <c r="G371" s="1347">
        <v>0</v>
      </c>
      <c r="H371" s="1348">
        <v>251.21071948226813</v>
      </c>
      <c r="I371" s="1347">
        <v>104.97969465980412</v>
      </c>
      <c r="J371" s="1347">
        <v>21.369470323799597</v>
      </c>
      <c r="K371" s="1348">
        <v>377.55988446587185</v>
      </c>
      <c r="L371" s="1349">
        <f t="shared" si="77"/>
        <v>377.55988446587185</v>
      </c>
      <c r="M371" s="1350"/>
      <c r="N371" s="398"/>
      <c r="O371" s="398"/>
      <c r="P371" s="591" t="s">
        <v>429</v>
      </c>
      <c r="Q371" s="591" t="s">
        <v>429</v>
      </c>
      <c r="R371" s="398"/>
      <c r="S371" s="398"/>
      <c r="T371" s="397"/>
    </row>
    <row r="372" spans="1:20" ht="15.75" hidden="1" x14ac:dyDescent="0.25">
      <c r="A372" s="1351"/>
      <c r="B372" s="1424"/>
      <c r="C372" s="1380" t="s">
        <v>136</v>
      </c>
      <c r="D372" s="1369"/>
      <c r="E372" s="1347">
        <v>40.328360153755945</v>
      </c>
      <c r="F372" s="1347">
        <v>226.44254783156339</v>
      </c>
      <c r="G372" s="1347">
        <v>0</v>
      </c>
      <c r="H372" s="1348">
        <v>266.77090798531935</v>
      </c>
      <c r="I372" s="1347">
        <v>238.82120442156926</v>
      </c>
      <c r="J372" s="1347">
        <v>16.624318630964016</v>
      </c>
      <c r="K372" s="1348">
        <v>522.21643103785266</v>
      </c>
      <c r="L372" s="1349">
        <f t="shared" si="77"/>
        <v>522.21643103785266</v>
      </c>
      <c r="M372" s="1350"/>
      <c r="N372" s="398"/>
      <c r="O372" s="398"/>
      <c r="P372" s="591" t="s">
        <v>429</v>
      </c>
      <c r="Q372" s="591" t="s">
        <v>429</v>
      </c>
      <c r="R372" s="398"/>
      <c r="S372" s="398"/>
      <c r="T372" s="397"/>
    </row>
    <row r="373" spans="1:20" ht="15.75" hidden="1" x14ac:dyDescent="0.25">
      <c r="A373" s="1351"/>
      <c r="B373" s="1424"/>
      <c r="C373" s="1380" t="s">
        <v>137</v>
      </c>
      <c r="D373" s="1369"/>
      <c r="E373" s="1347">
        <v>61.111473060134216</v>
      </c>
      <c r="F373" s="1347">
        <v>167.00327925814929</v>
      </c>
      <c r="G373" s="1347">
        <v>0</v>
      </c>
      <c r="H373" s="1348">
        <v>228.11475231828351</v>
      </c>
      <c r="I373" s="1347">
        <v>156.8397506895129</v>
      </c>
      <c r="J373" s="1347">
        <v>23.095967163984625</v>
      </c>
      <c r="K373" s="1348">
        <v>408.05047017178094</v>
      </c>
      <c r="L373" s="1349">
        <f t="shared" si="77"/>
        <v>408.05047017178106</v>
      </c>
      <c r="M373" s="1350"/>
      <c r="N373" s="398"/>
      <c r="O373" s="398"/>
      <c r="P373" s="591" t="s">
        <v>429</v>
      </c>
      <c r="Q373" s="591" t="s">
        <v>429</v>
      </c>
      <c r="R373" s="398"/>
      <c r="S373" s="398"/>
      <c r="T373" s="397"/>
    </row>
    <row r="374" spans="1:20" ht="15.75" hidden="1" x14ac:dyDescent="0.25">
      <c r="A374" s="1351"/>
      <c r="B374" s="1424"/>
      <c r="C374" s="1380" t="s">
        <v>138</v>
      </c>
      <c r="D374" s="1369"/>
      <c r="E374" s="1347">
        <v>50.752492019024046</v>
      </c>
      <c r="F374" s="1347">
        <v>176.29813017134668</v>
      </c>
      <c r="G374" s="1347">
        <v>0</v>
      </c>
      <c r="H374" s="1348">
        <v>227.05062219037075</v>
      </c>
      <c r="I374" s="1347">
        <v>174.31103003452998</v>
      </c>
      <c r="J374" s="1347">
        <v>24.084087997046495</v>
      </c>
      <c r="K374" s="1348">
        <v>425.44574022194723</v>
      </c>
      <c r="L374" s="1349">
        <f t="shared" si="77"/>
        <v>425.44574022194718</v>
      </c>
      <c r="M374" s="1350"/>
      <c r="N374" s="398"/>
      <c r="O374" s="398"/>
      <c r="P374" s="591" t="s">
        <v>429</v>
      </c>
      <c r="Q374" s="591" t="s">
        <v>429</v>
      </c>
      <c r="R374" s="398"/>
      <c r="S374" s="398"/>
      <c r="T374" s="397"/>
    </row>
    <row r="375" spans="1:20" ht="16.5" hidden="1" thickBot="1" x14ac:dyDescent="0.3">
      <c r="A375" s="1374"/>
      <c r="B375" s="1424"/>
      <c r="C375" s="1381" t="s">
        <v>139</v>
      </c>
      <c r="D375" s="1356"/>
      <c r="E375" s="1347">
        <v>35.561491519534393</v>
      </c>
      <c r="F375" s="1347">
        <v>135.11195083284471</v>
      </c>
      <c r="G375" s="1347">
        <v>0</v>
      </c>
      <c r="H375" s="1348">
        <v>170.67344235237911</v>
      </c>
      <c r="I375" s="1347">
        <v>181.62963928160357</v>
      </c>
      <c r="J375" s="1347">
        <v>21.141442439246855</v>
      </c>
      <c r="K375" s="1348">
        <v>373.4445240732295</v>
      </c>
      <c r="L375" s="1349">
        <f t="shared" si="77"/>
        <v>373.44452407322956</v>
      </c>
      <c r="M375" s="1350"/>
      <c r="N375" s="398"/>
      <c r="O375" s="398"/>
      <c r="P375" s="591" t="s">
        <v>429</v>
      </c>
      <c r="Q375" s="591" t="s">
        <v>429</v>
      </c>
      <c r="R375" s="398"/>
      <c r="S375" s="398"/>
      <c r="T375" s="397"/>
    </row>
    <row r="376" spans="1:20" ht="15.75" hidden="1" x14ac:dyDescent="0.25">
      <c r="A376" s="1415" t="s">
        <v>40</v>
      </c>
      <c r="B376" s="1622"/>
      <c r="C376" s="1387" t="s">
        <v>188</v>
      </c>
      <c r="D376" s="1468">
        <v>20600</v>
      </c>
      <c r="E376" s="1347">
        <v>0</v>
      </c>
      <c r="F376" s="1347">
        <v>153.29524904489875</v>
      </c>
      <c r="G376" s="1347">
        <v>0</v>
      </c>
      <c r="H376" s="1348">
        <v>153.29524904489875</v>
      </c>
      <c r="I376" s="1347">
        <v>111.6181032108169</v>
      </c>
      <c r="J376" s="1347">
        <v>63.579204541371752</v>
      </c>
      <c r="K376" s="1348">
        <v>328.49255679708745</v>
      </c>
      <c r="L376" s="1349">
        <f t="shared" si="77"/>
        <v>328.49255679708745</v>
      </c>
      <c r="M376" s="1367" t="s">
        <v>429</v>
      </c>
      <c r="N376" s="591" t="s">
        <v>429</v>
      </c>
      <c r="O376" s="614"/>
      <c r="P376" s="614"/>
      <c r="Q376" s="614"/>
      <c r="R376" s="591" t="s">
        <v>429</v>
      </c>
      <c r="S376" s="614"/>
      <c r="T376" s="397"/>
    </row>
    <row r="377" spans="1:20" ht="15.75" hidden="1" x14ac:dyDescent="0.25">
      <c r="A377" s="1416"/>
      <c r="B377" s="1622"/>
      <c r="C377" s="1387" t="s">
        <v>190</v>
      </c>
      <c r="D377" s="1369"/>
      <c r="E377" s="1347">
        <v>0</v>
      </c>
      <c r="F377" s="1347">
        <v>168.62477394938861</v>
      </c>
      <c r="G377" s="1347">
        <v>0</v>
      </c>
      <c r="H377" s="1348">
        <v>168.62477394938861</v>
      </c>
      <c r="I377" s="1347">
        <v>116.40857974346999</v>
      </c>
      <c r="J377" s="1347">
        <v>68.408004886286065</v>
      </c>
      <c r="K377" s="1348">
        <v>353.44135857914466</v>
      </c>
      <c r="L377" s="1349">
        <f t="shared" si="77"/>
        <v>353.44135857914466</v>
      </c>
      <c r="M377" s="1367" t="s">
        <v>429</v>
      </c>
      <c r="N377" s="591" t="s">
        <v>429</v>
      </c>
      <c r="O377" s="614"/>
      <c r="P377" s="614"/>
      <c r="Q377" s="614"/>
      <c r="R377" s="591" t="s">
        <v>429</v>
      </c>
      <c r="S377" s="614"/>
      <c r="T377" s="397"/>
    </row>
    <row r="378" spans="1:20" ht="15.75" hidden="1" x14ac:dyDescent="0.25">
      <c r="A378" s="1416"/>
      <c r="B378" s="1622"/>
      <c r="C378" s="1368" t="s">
        <v>219</v>
      </c>
      <c r="D378" s="1369"/>
      <c r="E378" s="1347">
        <v>0</v>
      </c>
      <c r="F378" s="1347">
        <v>133.17524760775578</v>
      </c>
      <c r="G378" s="1347">
        <v>0</v>
      </c>
      <c r="H378" s="1348">
        <v>133.17524760775578</v>
      </c>
      <c r="I378" s="1347">
        <v>88.144768200816785</v>
      </c>
      <c r="J378" s="1347">
        <v>53.116803794057411</v>
      </c>
      <c r="K378" s="1348">
        <v>274.43681960263001</v>
      </c>
      <c r="L378" s="1349">
        <f t="shared" si="77"/>
        <v>274.43681960263001</v>
      </c>
      <c r="M378" s="1367" t="s">
        <v>429</v>
      </c>
      <c r="N378" s="591" t="s">
        <v>429</v>
      </c>
      <c r="O378" s="614"/>
      <c r="P378" s="614"/>
      <c r="Q378" s="614"/>
      <c r="R378" s="591" t="s">
        <v>429</v>
      </c>
      <c r="S378" s="614"/>
      <c r="T378" s="397"/>
    </row>
    <row r="379" spans="1:20" ht="15.75" hidden="1" x14ac:dyDescent="0.25">
      <c r="A379" s="1416"/>
      <c r="B379" s="1622"/>
      <c r="C379" s="1368" t="s">
        <v>513</v>
      </c>
      <c r="D379" s="1369"/>
      <c r="E379" s="1347">
        <v>0</v>
      </c>
      <c r="F379" s="1347">
        <v>176.76858405489887</v>
      </c>
      <c r="G379" s="1347">
        <v>0</v>
      </c>
      <c r="H379" s="1348">
        <v>176.76858405489887</v>
      </c>
      <c r="I379" s="1347">
        <v>159.04382088408244</v>
      </c>
      <c r="J379" s="1347">
        <v>80.594977185355518</v>
      </c>
      <c r="K379" s="1348">
        <v>416.40738212433683</v>
      </c>
      <c r="L379" s="1349">
        <f t="shared" si="77"/>
        <v>416.40738212433683</v>
      </c>
      <c r="M379" s="1367" t="s">
        <v>429</v>
      </c>
      <c r="N379" s="591" t="s">
        <v>429</v>
      </c>
      <c r="O379" s="614"/>
      <c r="P379" s="614"/>
      <c r="Q379" s="614"/>
      <c r="R379" s="591" t="s">
        <v>429</v>
      </c>
      <c r="S379" s="614"/>
      <c r="T379" s="397"/>
    </row>
    <row r="380" spans="1:20" ht="15.75" hidden="1" x14ac:dyDescent="0.25">
      <c r="A380" s="1416"/>
      <c r="B380" s="1622"/>
      <c r="C380" s="1368" t="s">
        <v>516</v>
      </c>
      <c r="D380" s="1369"/>
      <c r="E380" s="1347">
        <v>0</v>
      </c>
      <c r="F380" s="1347">
        <v>210.78096743673578</v>
      </c>
      <c r="G380" s="1347">
        <v>0</v>
      </c>
      <c r="H380" s="1348">
        <v>210.78096743673578</v>
      </c>
      <c r="I380" s="1347">
        <v>120.24096096959245</v>
      </c>
      <c r="J380" s="1347">
        <v>79.445262817518781</v>
      </c>
      <c r="K380" s="1348">
        <v>410.46719122384701</v>
      </c>
      <c r="L380" s="1349">
        <f t="shared" si="77"/>
        <v>410.46719122384701</v>
      </c>
      <c r="M380" s="1367" t="s">
        <v>429</v>
      </c>
      <c r="N380" s="591" t="s">
        <v>429</v>
      </c>
      <c r="O380" s="614"/>
      <c r="P380" s="614"/>
      <c r="Q380" s="614"/>
      <c r="R380" s="591" t="s">
        <v>429</v>
      </c>
      <c r="S380" s="614"/>
      <c r="T380" s="397"/>
    </row>
    <row r="381" spans="1:20" ht="15.75" hidden="1" x14ac:dyDescent="0.25">
      <c r="A381" s="1416"/>
      <c r="B381" s="1622"/>
      <c r="C381" s="1368" t="s">
        <v>1353</v>
      </c>
      <c r="D381" s="1369"/>
      <c r="E381" s="1347">
        <v>0</v>
      </c>
      <c r="F381" s="1347">
        <v>148.98382016551096</v>
      </c>
      <c r="G381" s="1347">
        <v>0</v>
      </c>
      <c r="H381" s="1348">
        <v>148.98382016551096</v>
      </c>
      <c r="I381" s="1347">
        <v>59.401909004898265</v>
      </c>
      <c r="J381" s="1347">
        <v>50.012575000898217</v>
      </c>
      <c r="K381" s="1348">
        <v>258.39830417130747</v>
      </c>
      <c r="L381" s="1349">
        <f t="shared" si="77"/>
        <v>258.39830417130747</v>
      </c>
      <c r="M381" s="1367" t="s">
        <v>429</v>
      </c>
      <c r="N381" s="591" t="s">
        <v>429</v>
      </c>
      <c r="O381" s="614"/>
      <c r="P381" s="614"/>
      <c r="Q381" s="614"/>
      <c r="R381" s="591" t="s">
        <v>429</v>
      </c>
      <c r="S381" s="614"/>
      <c r="T381" s="397"/>
    </row>
    <row r="382" spans="1:20" ht="15.75" hidden="1" x14ac:dyDescent="0.25">
      <c r="A382" s="1416"/>
      <c r="B382" s="1622"/>
      <c r="C382" s="1368" t="s">
        <v>520</v>
      </c>
      <c r="D382" s="1369"/>
      <c r="E382" s="1347">
        <v>0</v>
      </c>
      <c r="F382" s="1347">
        <v>152.81620139163343</v>
      </c>
      <c r="G382" s="1347">
        <v>0</v>
      </c>
      <c r="H382" s="1348">
        <v>152.81620139163343</v>
      </c>
      <c r="I382" s="1347">
        <v>147.06762955244974</v>
      </c>
      <c r="J382" s="1347">
        <v>71.972119426579965</v>
      </c>
      <c r="K382" s="1348">
        <v>371.85595037066315</v>
      </c>
      <c r="L382" s="1349">
        <f t="shared" si="77"/>
        <v>371.85595037066315</v>
      </c>
      <c r="M382" s="1367" t="s">
        <v>429</v>
      </c>
      <c r="N382" s="591" t="s">
        <v>429</v>
      </c>
      <c r="O382" s="614"/>
      <c r="P382" s="614"/>
      <c r="Q382" s="614"/>
      <c r="R382" s="591" t="s">
        <v>429</v>
      </c>
      <c r="S382" s="614"/>
      <c r="T382" s="397"/>
    </row>
    <row r="383" spans="1:20" ht="15.75" hidden="1" x14ac:dyDescent="0.25">
      <c r="A383" s="1416"/>
      <c r="B383" s="1622"/>
      <c r="C383" s="1368" t="s">
        <v>597</v>
      </c>
      <c r="D383" s="1369"/>
      <c r="E383" s="1347">
        <v>0</v>
      </c>
      <c r="F383" s="1347">
        <v>168.14572629612331</v>
      </c>
      <c r="G383" s="1347">
        <v>0</v>
      </c>
      <c r="H383" s="1348">
        <v>168.14572629612331</v>
      </c>
      <c r="I383" s="1347">
        <v>121.19905627612307</v>
      </c>
      <c r="J383" s="1347">
        <v>69.442747817339139</v>
      </c>
      <c r="K383" s="1348">
        <v>358.78753038958553</v>
      </c>
      <c r="L383" s="1349">
        <f t="shared" si="77"/>
        <v>358.78753038958553</v>
      </c>
      <c r="M383" s="1367" t="s">
        <v>429</v>
      </c>
      <c r="N383" s="591" t="s">
        <v>429</v>
      </c>
      <c r="O383" s="614"/>
      <c r="P383" s="614"/>
      <c r="Q383" s="614"/>
      <c r="R383" s="591" t="s">
        <v>429</v>
      </c>
      <c r="S383" s="614"/>
      <c r="T383" s="397"/>
    </row>
    <row r="384" spans="1:20" ht="15.75" hidden="1" x14ac:dyDescent="0.25">
      <c r="A384" s="1416"/>
      <c r="B384" s="1622"/>
      <c r="C384" s="1368" t="s">
        <v>765</v>
      </c>
      <c r="D384" s="1369"/>
      <c r="E384" s="1347">
        <v>0</v>
      </c>
      <c r="F384" s="1347">
        <v>148.02572485898034</v>
      </c>
      <c r="G384" s="1347">
        <v>0</v>
      </c>
      <c r="H384" s="1348">
        <v>148.02572485898034</v>
      </c>
      <c r="I384" s="1347">
        <v>123.11524688918431</v>
      </c>
      <c r="J384" s="1347">
        <v>65.073833219559518</v>
      </c>
      <c r="K384" s="1348">
        <v>336.21480496772415</v>
      </c>
      <c r="L384" s="1349">
        <f t="shared" si="77"/>
        <v>336.21480496772415</v>
      </c>
      <c r="M384" s="1367" t="s">
        <v>429</v>
      </c>
      <c r="N384" s="591" t="s">
        <v>429</v>
      </c>
      <c r="O384" s="614"/>
      <c r="P384" s="614"/>
      <c r="Q384" s="614"/>
      <c r="R384" s="591" t="s">
        <v>429</v>
      </c>
      <c r="S384" s="614"/>
      <c r="T384" s="397"/>
    </row>
    <row r="385" spans="1:20" ht="15.75" hidden="1" x14ac:dyDescent="0.25">
      <c r="A385" s="1416"/>
      <c r="B385" s="1622"/>
      <c r="C385" s="1368" t="s">
        <v>860</v>
      </c>
      <c r="D385" s="1369"/>
      <c r="E385" s="1347">
        <v>0</v>
      </c>
      <c r="F385" s="1347">
        <v>219.88287284877663</v>
      </c>
      <c r="G385" s="1347">
        <v>0</v>
      </c>
      <c r="H385" s="1348">
        <v>219.88287284877663</v>
      </c>
      <c r="I385" s="1347">
        <v>48.862860633061473</v>
      </c>
      <c r="J385" s="1347">
        <v>64.498976035641135</v>
      </c>
      <c r="K385" s="1348">
        <v>333.24470951747924</v>
      </c>
      <c r="L385" s="1349">
        <f t="shared" si="77"/>
        <v>333.24470951747924</v>
      </c>
      <c r="M385" s="1367" t="s">
        <v>429</v>
      </c>
      <c r="N385" s="591" t="s">
        <v>429</v>
      </c>
      <c r="O385" s="614"/>
      <c r="P385" s="614"/>
      <c r="Q385" s="614"/>
      <c r="R385" s="591" t="s">
        <v>429</v>
      </c>
      <c r="S385" s="614"/>
      <c r="T385" s="397"/>
    </row>
    <row r="386" spans="1:20" ht="15.75" hidden="1" x14ac:dyDescent="0.25">
      <c r="A386" s="1416"/>
      <c r="B386" s="1622"/>
      <c r="C386" s="1368" t="s">
        <v>766</v>
      </c>
      <c r="D386" s="1369"/>
      <c r="E386" s="1347">
        <v>0</v>
      </c>
      <c r="F386" s="1347">
        <v>144.6723912861232</v>
      </c>
      <c r="G386" s="1347">
        <v>0</v>
      </c>
      <c r="H386" s="1348">
        <v>144.6723912861232</v>
      </c>
      <c r="I386" s="1347">
        <v>109.70191259775567</v>
      </c>
      <c r="J386" s="1347">
        <v>61.049832932130926</v>
      </c>
      <c r="K386" s="1348">
        <v>315.42413681600976</v>
      </c>
      <c r="L386" s="1349">
        <f t="shared" si="77"/>
        <v>315.42413681600976</v>
      </c>
      <c r="M386" s="1367"/>
      <c r="N386" s="591" t="s">
        <v>429</v>
      </c>
      <c r="O386" s="614"/>
      <c r="P386" s="614"/>
      <c r="Q386" s="614"/>
      <c r="R386" s="591" t="s">
        <v>429</v>
      </c>
      <c r="S386" s="614"/>
      <c r="T386" s="397"/>
    </row>
    <row r="387" spans="1:20" ht="15.75" hidden="1" x14ac:dyDescent="0.25">
      <c r="A387" s="1416"/>
      <c r="B387" s="1622"/>
      <c r="C387" s="1368" t="s">
        <v>767</v>
      </c>
      <c r="D387" s="1369"/>
      <c r="E387" s="1347">
        <v>0</v>
      </c>
      <c r="F387" s="1347">
        <v>129.34286638163331</v>
      </c>
      <c r="G387" s="1347">
        <v>0</v>
      </c>
      <c r="H387" s="1348">
        <v>129.34286638163331</v>
      </c>
      <c r="I387" s="1347">
        <v>121.67810392938837</v>
      </c>
      <c r="J387" s="1347">
        <v>60.245032874645212</v>
      </c>
      <c r="K387" s="1348">
        <v>311.26600318566693</v>
      </c>
      <c r="L387" s="1349">
        <f t="shared" si="77"/>
        <v>311.26600318566693</v>
      </c>
      <c r="M387" s="1367" t="s">
        <v>429</v>
      </c>
      <c r="N387" s="591" t="s">
        <v>429</v>
      </c>
      <c r="O387" s="614"/>
      <c r="P387" s="614"/>
      <c r="Q387" s="614"/>
      <c r="R387" s="591" t="s">
        <v>429</v>
      </c>
      <c r="S387" s="614"/>
      <c r="T387" s="397"/>
    </row>
    <row r="388" spans="1:20" ht="15.75" hidden="1" x14ac:dyDescent="0.25">
      <c r="A388" s="1416"/>
      <c r="B388" s="1622"/>
      <c r="C388" s="1368" t="s">
        <v>768</v>
      </c>
      <c r="D388" s="1369"/>
      <c r="E388" s="1347">
        <v>0</v>
      </c>
      <c r="F388" s="1347">
        <v>146.10953424591912</v>
      </c>
      <c r="G388" s="1347">
        <v>0</v>
      </c>
      <c r="H388" s="1348">
        <v>146.10953424591912</v>
      </c>
      <c r="I388" s="1347">
        <v>70.420005030000354</v>
      </c>
      <c r="J388" s="1347">
        <v>51.967089426220674</v>
      </c>
      <c r="K388" s="1348">
        <v>268.49662870214019</v>
      </c>
      <c r="L388" s="1349">
        <f t="shared" si="77"/>
        <v>268.49662870214019</v>
      </c>
      <c r="M388" s="1367" t="s">
        <v>429</v>
      </c>
      <c r="N388" s="591" t="s">
        <v>429</v>
      </c>
      <c r="O388" s="614"/>
      <c r="P388" s="614"/>
      <c r="Q388" s="614"/>
      <c r="R388" s="591" t="s">
        <v>429</v>
      </c>
      <c r="S388" s="614"/>
      <c r="T388" s="397"/>
    </row>
    <row r="389" spans="1:20" ht="15.75" hidden="1" x14ac:dyDescent="0.25">
      <c r="A389" s="1416"/>
      <c r="B389" s="1622"/>
      <c r="C389" s="1368" t="s">
        <v>769</v>
      </c>
      <c r="D389" s="1369"/>
      <c r="E389" s="1347">
        <v>0</v>
      </c>
      <c r="F389" s="1347">
        <v>145.1514389393885</v>
      </c>
      <c r="G389" s="1347">
        <v>0</v>
      </c>
      <c r="H389" s="1348">
        <v>145.1514389393885</v>
      </c>
      <c r="I389" s="1347">
        <v>92.935244733469858</v>
      </c>
      <c r="J389" s="1347">
        <v>57.14080408148601</v>
      </c>
      <c r="K389" s="1348">
        <v>295.22748775434434</v>
      </c>
      <c r="L389" s="1349">
        <f t="shared" si="77"/>
        <v>295.22748775434434</v>
      </c>
      <c r="M389" s="1367" t="s">
        <v>429</v>
      </c>
      <c r="N389" s="591" t="s">
        <v>429</v>
      </c>
      <c r="O389" s="614"/>
      <c r="P389" s="614"/>
      <c r="Q389" s="614"/>
      <c r="R389" s="591" t="s">
        <v>429</v>
      </c>
      <c r="S389" s="614"/>
      <c r="T389" s="397"/>
    </row>
    <row r="390" spans="1:20" ht="15.75" hidden="1" x14ac:dyDescent="0.25">
      <c r="A390" s="1416"/>
      <c r="B390" s="1622"/>
      <c r="C390" s="1368" t="s">
        <v>770</v>
      </c>
      <c r="D390" s="1369"/>
      <c r="E390" s="1347">
        <v>0</v>
      </c>
      <c r="F390" s="1347">
        <v>142.75620067306195</v>
      </c>
      <c r="G390" s="1347">
        <v>0</v>
      </c>
      <c r="H390" s="1348">
        <v>142.75620067306195</v>
      </c>
      <c r="I390" s="1347">
        <v>66.108576150612578</v>
      </c>
      <c r="J390" s="1347">
        <v>50.127546437681886</v>
      </c>
      <c r="K390" s="1348">
        <v>258.99232326135643</v>
      </c>
      <c r="L390" s="1349">
        <f t="shared" si="77"/>
        <v>258.99232326135643</v>
      </c>
      <c r="M390" s="1367" t="s">
        <v>429</v>
      </c>
      <c r="N390" s="591" t="s">
        <v>429</v>
      </c>
      <c r="O390" s="614"/>
      <c r="P390" s="614"/>
      <c r="Q390" s="614"/>
      <c r="R390" s="591" t="s">
        <v>429</v>
      </c>
      <c r="S390" s="614"/>
      <c r="T390" s="397"/>
    </row>
    <row r="391" spans="1:20" ht="15.75" hidden="1" x14ac:dyDescent="0.25">
      <c r="A391" s="1416"/>
      <c r="B391" s="1622"/>
      <c r="C391" s="1368" t="s">
        <v>771</v>
      </c>
      <c r="D391" s="1369"/>
      <c r="E391" s="1347">
        <v>0</v>
      </c>
      <c r="F391" s="1347">
        <v>146.58858189918442</v>
      </c>
      <c r="G391" s="1347">
        <v>0</v>
      </c>
      <c r="H391" s="1348">
        <v>146.58858189918442</v>
      </c>
      <c r="I391" s="1347">
        <v>98.683816572653569</v>
      </c>
      <c r="J391" s="1347">
        <v>58.865375633241115</v>
      </c>
      <c r="K391" s="1348">
        <v>304.13777410507907</v>
      </c>
      <c r="L391" s="1349">
        <f t="shared" si="77"/>
        <v>304.13777410507907</v>
      </c>
      <c r="M391" s="1367" t="s">
        <v>429</v>
      </c>
      <c r="N391" s="591" t="s">
        <v>429</v>
      </c>
      <c r="O391" s="614"/>
      <c r="P391" s="614"/>
      <c r="Q391" s="614"/>
      <c r="R391" s="591" t="s">
        <v>429</v>
      </c>
      <c r="S391" s="614"/>
      <c r="T391" s="397"/>
    </row>
    <row r="392" spans="1:20" ht="16.5" hidden="1" thickBot="1" x14ac:dyDescent="0.3">
      <c r="A392" s="1416"/>
      <c r="B392" s="1622"/>
      <c r="C392" s="1368" t="s">
        <v>772</v>
      </c>
      <c r="D392" s="1369"/>
      <c r="E392" s="1347">
        <v>0</v>
      </c>
      <c r="F392" s="1347">
        <v>184.4333465071438</v>
      </c>
      <c r="G392" s="1347">
        <v>0</v>
      </c>
      <c r="H392" s="1348">
        <v>184.4333465071438</v>
      </c>
      <c r="I392" s="1347">
        <v>82.875244014898385</v>
      </c>
      <c r="J392" s="1347">
        <v>64.15406172529012</v>
      </c>
      <c r="K392" s="1348">
        <v>331.46265224733236</v>
      </c>
      <c r="L392" s="1349">
        <f t="shared" si="77"/>
        <v>331.46265224733236</v>
      </c>
      <c r="M392" s="1367" t="s">
        <v>429</v>
      </c>
      <c r="N392" s="591" t="s">
        <v>429</v>
      </c>
      <c r="O392" s="614"/>
      <c r="P392" s="614"/>
      <c r="Q392" s="614"/>
      <c r="R392" s="591" t="s">
        <v>429</v>
      </c>
      <c r="S392" s="614"/>
      <c r="T392" s="397"/>
    </row>
    <row r="393" spans="1:20" ht="16.5" hidden="1" thickBot="1" x14ac:dyDescent="0.3">
      <c r="A393" s="1417" t="s">
        <v>693</v>
      </c>
      <c r="B393" s="1424"/>
      <c r="C393" s="1431" t="s">
        <v>694</v>
      </c>
      <c r="D393" s="1474">
        <v>23700</v>
      </c>
      <c r="E393" s="1347">
        <v>0</v>
      </c>
      <c r="F393" s="1347">
        <v>69.373075082106553</v>
      </c>
      <c r="G393" s="1347">
        <v>6.2194660519898051</v>
      </c>
      <c r="H393" s="1348">
        <v>75.592541134096365</v>
      </c>
      <c r="I393" s="1347">
        <v>70.441617707778803</v>
      </c>
      <c r="J393" s="1347">
        <v>0</v>
      </c>
      <c r="K393" s="1348">
        <v>146.03415884187515</v>
      </c>
      <c r="L393" s="1349">
        <f t="shared" si="77"/>
        <v>146.03415884187518</v>
      </c>
      <c r="M393" s="1354"/>
      <c r="N393" s="396"/>
      <c r="O393" s="398"/>
      <c r="P393" s="398"/>
      <c r="Q393" s="398"/>
      <c r="R393" s="396"/>
      <c r="S393" s="398"/>
      <c r="T393" s="397"/>
    </row>
    <row r="394" spans="1:20" ht="15.75" hidden="1" x14ac:dyDescent="0.25">
      <c r="A394" s="1371" t="s">
        <v>25</v>
      </c>
      <c r="B394" s="1424"/>
      <c r="C394" s="1473" t="s">
        <v>143</v>
      </c>
      <c r="D394" s="1468">
        <v>36700</v>
      </c>
      <c r="E394" s="1347">
        <v>0</v>
      </c>
      <c r="F394" s="1347">
        <v>97.313579210559041</v>
      </c>
      <c r="G394" s="1347">
        <v>0</v>
      </c>
      <c r="H394" s="1348">
        <v>97.313579210559041</v>
      </c>
      <c r="I394" s="1347">
        <v>75.544484939094673</v>
      </c>
      <c r="J394" s="1347">
        <v>0</v>
      </c>
      <c r="K394" s="1348">
        <v>172.85806414965373</v>
      </c>
      <c r="L394" s="1349">
        <f t="shared" si="77"/>
        <v>172.85806414965373</v>
      </c>
      <c r="M394" s="1350"/>
      <c r="N394" s="398"/>
      <c r="O394" s="398"/>
      <c r="P394" s="591" t="s">
        <v>429</v>
      </c>
      <c r="Q394" s="398"/>
      <c r="R394" s="398"/>
      <c r="S394" s="398"/>
      <c r="T394" s="397"/>
    </row>
    <row r="395" spans="1:20" ht="15.75" hidden="1" x14ac:dyDescent="0.25">
      <c r="A395" s="1351"/>
      <c r="B395" s="1424"/>
      <c r="C395" s="1380" t="s">
        <v>144</v>
      </c>
      <c r="D395" s="1369"/>
      <c r="E395" s="1347">
        <v>0</v>
      </c>
      <c r="F395" s="1347">
        <v>121.17891897585818</v>
      </c>
      <c r="G395" s="1347">
        <v>0</v>
      </c>
      <c r="H395" s="1348">
        <v>121.17891897585818</v>
      </c>
      <c r="I395" s="1347">
        <v>83.173666194748776</v>
      </c>
      <c r="J395" s="1347">
        <v>0</v>
      </c>
      <c r="K395" s="1348">
        <v>204.35258517060697</v>
      </c>
      <c r="L395" s="1349">
        <f t="shared" si="77"/>
        <v>204.35258517060697</v>
      </c>
      <c r="M395" s="1350"/>
      <c r="N395" s="398"/>
      <c r="O395" s="398"/>
      <c r="P395" s="591" t="s">
        <v>429</v>
      </c>
      <c r="Q395" s="398"/>
      <c r="R395" s="398"/>
      <c r="S395" s="398"/>
      <c r="T395" s="397"/>
    </row>
    <row r="396" spans="1:20" ht="15.75" hidden="1" x14ac:dyDescent="0.25">
      <c r="A396" s="1351"/>
      <c r="B396" s="1424"/>
      <c r="C396" s="1380" t="s">
        <v>145</v>
      </c>
      <c r="D396" s="1369"/>
      <c r="E396" s="1347">
        <v>0</v>
      </c>
      <c r="F396" s="1347">
        <v>98.111745441437108</v>
      </c>
      <c r="G396" s="1347">
        <v>0</v>
      </c>
      <c r="H396" s="1348">
        <v>98.111745441437108</v>
      </c>
      <c r="I396" s="1347">
        <v>65.393708457227035</v>
      </c>
      <c r="J396" s="1347">
        <v>0</v>
      </c>
      <c r="K396" s="1348">
        <v>163.50545389866414</v>
      </c>
      <c r="L396" s="1349">
        <f t="shared" si="77"/>
        <v>163.50545389866414</v>
      </c>
      <c r="M396" s="1350"/>
      <c r="N396" s="398"/>
      <c r="O396" s="398"/>
      <c r="P396" s="591" t="s">
        <v>429</v>
      </c>
      <c r="Q396" s="398"/>
      <c r="R396" s="398"/>
      <c r="S396" s="398"/>
      <c r="T396" s="397"/>
    </row>
    <row r="397" spans="1:20" ht="15.75" hidden="1" x14ac:dyDescent="0.25">
      <c r="A397" s="1351"/>
      <c r="B397" s="1424"/>
      <c r="C397" s="1380" t="s">
        <v>146</v>
      </c>
      <c r="D397" s="1369"/>
      <c r="E397" s="1347">
        <v>0</v>
      </c>
      <c r="F397" s="1347">
        <v>112.47195911545151</v>
      </c>
      <c r="G397" s="1347">
        <v>0</v>
      </c>
      <c r="H397" s="1348">
        <v>112.47195911545151</v>
      </c>
      <c r="I397" s="1347">
        <v>70.65042108606734</v>
      </c>
      <c r="J397" s="1347">
        <v>0</v>
      </c>
      <c r="K397" s="1348">
        <v>183.12238020151887</v>
      </c>
      <c r="L397" s="1349">
        <f t="shared" si="77"/>
        <v>183.12238020151887</v>
      </c>
      <c r="M397" s="1350"/>
      <c r="N397" s="398"/>
      <c r="O397" s="398"/>
      <c r="P397" s="591" t="s">
        <v>429</v>
      </c>
      <c r="Q397" s="398"/>
      <c r="R397" s="398"/>
      <c r="S397" s="398"/>
      <c r="T397" s="397"/>
    </row>
    <row r="398" spans="1:20" ht="15.75" hidden="1" x14ac:dyDescent="0.25">
      <c r="A398" s="1351"/>
      <c r="B398" s="1424"/>
      <c r="C398" s="1380" t="s">
        <v>147</v>
      </c>
      <c r="D398" s="1369"/>
      <c r="E398" s="1347">
        <v>0</v>
      </c>
      <c r="F398" s="1347">
        <v>90.043657489822451</v>
      </c>
      <c r="G398" s="1347">
        <v>0</v>
      </c>
      <c r="H398" s="1348">
        <v>90.043657489822451</v>
      </c>
      <c r="I398" s="1347">
        <v>59.538794810340121</v>
      </c>
      <c r="J398" s="1347">
        <v>0</v>
      </c>
      <c r="K398" s="1348">
        <v>149.58245230016257</v>
      </c>
      <c r="L398" s="1349">
        <f t="shared" si="77"/>
        <v>149.58245230016257</v>
      </c>
      <c r="M398" s="1350"/>
      <c r="N398" s="398"/>
      <c r="O398" s="398"/>
      <c r="P398" s="591" t="s">
        <v>429</v>
      </c>
      <c r="Q398" s="398"/>
      <c r="R398" s="398"/>
      <c r="S398" s="398"/>
      <c r="T398" s="397"/>
    </row>
    <row r="399" spans="1:20" ht="15.75" hidden="1" x14ac:dyDescent="0.25">
      <c r="A399" s="1351"/>
      <c r="B399" s="1424"/>
      <c r="C399" s="1380" t="s">
        <v>148</v>
      </c>
      <c r="D399" s="1369"/>
      <c r="E399" s="1347">
        <v>0</v>
      </c>
      <c r="F399" s="1347">
        <v>86.322270986620239</v>
      </c>
      <c r="G399" s="1347">
        <v>0</v>
      </c>
      <c r="H399" s="1348">
        <v>86.322270986620239</v>
      </c>
      <c r="I399" s="1347">
        <v>65.227635653350077</v>
      </c>
      <c r="J399" s="1347">
        <v>0</v>
      </c>
      <c r="K399" s="1348">
        <v>151.54990663997032</v>
      </c>
      <c r="L399" s="1349">
        <f t="shared" si="77"/>
        <v>151.54990663997032</v>
      </c>
      <c r="M399" s="1350"/>
      <c r="N399" s="398"/>
      <c r="O399" s="398"/>
      <c r="P399" s="591" t="s">
        <v>429</v>
      </c>
      <c r="Q399" s="398"/>
      <c r="R399" s="398"/>
      <c r="S399" s="398"/>
      <c r="T399" s="397"/>
    </row>
    <row r="400" spans="1:20" ht="15.75" hidden="1" x14ac:dyDescent="0.25">
      <c r="A400" s="1351"/>
      <c r="B400" s="1424"/>
      <c r="C400" s="1380" t="s">
        <v>149</v>
      </c>
      <c r="D400" s="1369"/>
      <c r="E400" s="1347">
        <v>0</v>
      </c>
      <c r="F400" s="1347">
        <v>147.76412455975458</v>
      </c>
      <c r="G400" s="1347">
        <v>0</v>
      </c>
      <c r="H400" s="1348">
        <v>147.76412455975458</v>
      </c>
      <c r="I400" s="1347">
        <v>67.793291011204431</v>
      </c>
      <c r="J400" s="1347">
        <v>0</v>
      </c>
      <c r="K400" s="1348">
        <v>215.55741557095899</v>
      </c>
      <c r="L400" s="1349">
        <f t="shared" si="77"/>
        <v>215.55741557095899</v>
      </c>
      <c r="M400" s="1350"/>
      <c r="N400" s="398"/>
      <c r="O400" s="398"/>
      <c r="P400" s="591" t="s">
        <v>429</v>
      </c>
      <c r="Q400" s="398"/>
      <c r="R400" s="398"/>
      <c r="S400" s="398"/>
      <c r="T400" s="397"/>
    </row>
    <row r="401" spans="1:20" ht="16.5" hidden="1" thickBot="1" x14ac:dyDescent="0.3">
      <c r="A401" s="1374"/>
      <c r="B401" s="1424"/>
      <c r="C401" s="1381" t="s">
        <v>150</v>
      </c>
      <c r="D401" s="1356"/>
      <c r="E401" s="1347">
        <v>0</v>
      </c>
      <c r="F401" s="1347">
        <v>107.49994272182887</v>
      </c>
      <c r="G401" s="1347">
        <v>0</v>
      </c>
      <c r="H401" s="1348">
        <v>107.49994272182887</v>
      </c>
      <c r="I401" s="1347">
        <v>52.450197477510017</v>
      </c>
      <c r="J401" s="1347">
        <v>0</v>
      </c>
      <c r="K401" s="1348">
        <v>159.95014019933888</v>
      </c>
      <c r="L401" s="1349">
        <f t="shared" si="77"/>
        <v>159.95014019933888</v>
      </c>
      <c r="M401" s="1350"/>
      <c r="N401" s="398"/>
      <c r="O401" s="398"/>
      <c r="P401" s="591" t="s">
        <v>429</v>
      </c>
      <c r="Q401" s="398"/>
      <c r="R401" s="398"/>
      <c r="S401" s="398"/>
      <c r="T401" s="397"/>
    </row>
    <row r="402" spans="1:20" ht="15.75" hidden="1" x14ac:dyDescent="0.25">
      <c r="A402" s="1371" t="s">
        <v>26</v>
      </c>
      <c r="B402" s="1424"/>
      <c r="C402" s="1473" t="s">
        <v>151</v>
      </c>
      <c r="D402" s="1468">
        <v>35200</v>
      </c>
      <c r="E402" s="1347">
        <v>90.429343931200734</v>
      </c>
      <c r="F402" s="1347">
        <v>302.95133233435405</v>
      </c>
      <c r="G402" s="1347">
        <v>0</v>
      </c>
      <c r="H402" s="1348">
        <v>393.38067626555477</v>
      </c>
      <c r="I402" s="1347">
        <v>221.38250048863119</v>
      </c>
      <c r="J402" s="1347">
        <v>61.480661063695784</v>
      </c>
      <c r="K402" s="1348">
        <v>676.24383781788185</v>
      </c>
      <c r="L402" s="1349">
        <f t="shared" si="77"/>
        <v>676.24383781788174</v>
      </c>
      <c r="M402" s="1350"/>
      <c r="N402" s="398"/>
      <c r="O402" s="398"/>
      <c r="P402" s="591" t="s">
        <v>429</v>
      </c>
      <c r="Q402" s="591" t="s">
        <v>429</v>
      </c>
      <c r="R402" s="398"/>
      <c r="S402" s="398"/>
      <c r="T402" s="397"/>
    </row>
    <row r="403" spans="1:20" ht="15.75" hidden="1" x14ac:dyDescent="0.25">
      <c r="A403" s="1351"/>
      <c r="B403" s="1424"/>
      <c r="C403" s="1380" t="s">
        <v>152</v>
      </c>
      <c r="D403" s="1369"/>
      <c r="E403" s="1347">
        <v>35.756943992008168</v>
      </c>
      <c r="F403" s="1347">
        <v>125.73023215410342</v>
      </c>
      <c r="G403" s="1347">
        <v>0</v>
      </c>
      <c r="H403" s="1348">
        <v>161.48717614611158</v>
      </c>
      <c r="I403" s="1347">
        <v>154.35316090081875</v>
      </c>
      <c r="J403" s="1347">
        <v>31.587291245900929</v>
      </c>
      <c r="K403" s="1348">
        <v>347.42762829283129</v>
      </c>
      <c r="L403" s="1349">
        <f t="shared" ref="L403:L433" si="78">H403+I403+J403</f>
        <v>347.42762829283129</v>
      </c>
      <c r="M403" s="1350"/>
      <c r="N403" s="398"/>
      <c r="O403" s="398"/>
      <c r="P403" s="591" t="s">
        <v>429</v>
      </c>
      <c r="Q403" s="591" t="s">
        <v>429</v>
      </c>
      <c r="R403" s="398"/>
      <c r="S403" s="398"/>
      <c r="T403" s="397"/>
    </row>
    <row r="404" spans="1:20" ht="15.75" hidden="1" x14ac:dyDescent="0.25">
      <c r="A404" s="1351"/>
      <c r="B404" s="1424"/>
      <c r="C404" s="1380" t="s">
        <v>153</v>
      </c>
      <c r="D404" s="1369"/>
      <c r="E404" s="1347">
        <v>66.486416053163069</v>
      </c>
      <c r="F404" s="1347">
        <v>113.72076356765913</v>
      </c>
      <c r="G404" s="1347">
        <v>0</v>
      </c>
      <c r="H404" s="1348">
        <v>180.20717962082222</v>
      </c>
      <c r="I404" s="1347">
        <v>121.81032423393489</v>
      </c>
      <c r="J404" s="1347">
        <v>30.197406997198513</v>
      </c>
      <c r="K404" s="1348">
        <v>332.21491085195566</v>
      </c>
      <c r="L404" s="1349">
        <f t="shared" si="78"/>
        <v>332.21491085195566</v>
      </c>
      <c r="M404" s="1350"/>
      <c r="N404" s="398"/>
      <c r="O404" s="398"/>
      <c r="P404" s="591" t="s">
        <v>429</v>
      </c>
      <c r="Q404" s="591" t="s">
        <v>429</v>
      </c>
      <c r="R404" s="398"/>
      <c r="S404" s="398"/>
      <c r="T404" s="397"/>
    </row>
    <row r="405" spans="1:20" ht="15.75" hidden="1" x14ac:dyDescent="0.25">
      <c r="A405" s="1351"/>
      <c r="B405" s="1424"/>
      <c r="C405" s="1380" t="s">
        <v>214</v>
      </c>
      <c r="D405" s="1369"/>
      <c r="E405" s="1347">
        <v>50.339870132690514</v>
      </c>
      <c r="F405" s="1347">
        <v>123.66712272243578</v>
      </c>
      <c r="G405" s="1347">
        <v>0</v>
      </c>
      <c r="H405" s="1348">
        <v>174.0069928551263</v>
      </c>
      <c r="I405" s="1347">
        <v>260.09294850913199</v>
      </c>
      <c r="J405" s="1347">
        <v>43.412165830564419</v>
      </c>
      <c r="K405" s="1348">
        <v>477.51210719482276</v>
      </c>
      <c r="L405" s="1349">
        <f t="shared" si="78"/>
        <v>477.51210719482265</v>
      </c>
      <c r="M405" s="1350"/>
      <c r="N405" s="398"/>
      <c r="O405" s="398"/>
      <c r="P405" s="591" t="s">
        <v>429</v>
      </c>
      <c r="Q405" s="591" t="s">
        <v>429</v>
      </c>
      <c r="R405" s="398"/>
      <c r="S405" s="398"/>
      <c r="T405" s="397"/>
    </row>
    <row r="406" spans="1:20" ht="16.5" hidden="1" thickBot="1" x14ac:dyDescent="0.3">
      <c r="A406" s="1374"/>
      <c r="B406" s="1424"/>
      <c r="C406" s="1381" t="s">
        <v>154</v>
      </c>
      <c r="D406" s="1356"/>
      <c r="E406" s="1347">
        <v>77.008274154668058</v>
      </c>
      <c r="F406" s="1347">
        <v>121.41941928898733</v>
      </c>
      <c r="G406" s="1347">
        <v>0</v>
      </c>
      <c r="H406" s="1348">
        <v>198.42769344365539</v>
      </c>
      <c r="I406" s="1347">
        <v>210.23085108693294</v>
      </c>
      <c r="J406" s="1347">
        <v>40.871283688405327</v>
      </c>
      <c r="K406" s="1348">
        <v>449.52982821899366</v>
      </c>
      <c r="L406" s="1349">
        <f t="shared" si="78"/>
        <v>449.52982821899366</v>
      </c>
      <c r="M406" s="1350"/>
      <c r="N406" s="396"/>
      <c r="O406" s="396"/>
      <c r="P406" s="591" t="s">
        <v>429</v>
      </c>
      <c r="Q406" s="591" t="s">
        <v>429</v>
      </c>
      <c r="R406" s="398"/>
      <c r="S406" s="398"/>
      <c r="T406" s="397"/>
    </row>
    <row r="407" spans="1:20" ht="15.75" hidden="1" x14ac:dyDescent="0.25">
      <c r="A407" s="1357" t="s">
        <v>28</v>
      </c>
      <c r="B407" s="1622"/>
      <c r="C407" s="1382" t="s">
        <v>160</v>
      </c>
      <c r="D407" s="1468">
        <v>59300</v>
      </c>
      <c r="E407" s="1347">
        <v>197.70344483275088</v>
      </c>
      <c r="F407" s="1347">
        <v>257.61357963055417</v>
      </c>
      <c r="G407" s="1347">
        <v>0</v>
      </c>
      <c r="H407" s="1348">
        <v>455.31702446330507</v>
      </c>
      <c r="I407" s="1347">
        <v>331.00349475786317</v>
      </c>
      <c r="J407" s="1347">
        <v>37.86320519221168</v>
      </c>
      <c r="K407" s="1348">
        <v>824.18372441337999</v>
      </c>
      <c r="L407" s="1349">
        <f t="shared" si="78"/>
        <v>824.18372441337999</v>
      </c>
      <c r="M407" s="1350"/>
      <c r="N407" s="591" t="s">
        <v>429</v>
      </c>
      <c r="O407" s="614"/>
      <c r="P407" s="614"/>
      <c r="Q407" s="591" t="s">
        <v>429</v>
      </c>
      <c r="R407" s="398"/>
      <c r="S407" s="398"/>
      <c r="T407" s="397"/>
    </row>
    <row r="408" spans="1:20" ht="15.75" hidden="1" x14ac:dyDescent="0.25">
      <c r="A408" s="1456"/>
      <c r="B408" s="1622"/>
      <c r="C408" s="1382" t="s">
        <v>603</v>
      </c>
      <c r="D408" s="1369"/>
      <c r="E408" s="1347">
        <v>107.83824263604592</v>
      </c>
      <c r="F408" s="1347">
        <v>239.64053919121318</v>
      </c>
      <c r="G408" s="1347">
        <v>0</v>
      </c>
      <c r="H408" s="1348">
        <v>347.47878182725913</v>
      </c>
      <c r="I408" s="1347">
        <v>461.55766350474283</v>
      </c>
      <c r="J408" s="1347">
        <v>45.611582626060908</v>
      </c>
      <c r="K408" s="1348">
        <v>854.64802795806281</v>
      </c>
      <c r="L408" s="1349">
        <f t="shared" si="78"/>
        <v>854.64802795806281</v>
      </c>
      <c r="M408" s="1350"/>
      <c r="N408" s="591" t="s">
        <v>429</v>
      </c>
      <c r="O408" s="614"/>
      <c r="P408" s="614"/>
      <c r="Q408" s="591" t="s">
        <v>429</v>
      </c>
      <c r="R408" s="398"/>
      <c r="S408" s="398"/>
      <c r="T408" s="397"/>
    </row>
    <row r="409" spans="1:20" ht="15.75" hidden="1" x14ac:dyDescent="0.25">
      <c r="A409" s="1456"/>
      <c r="B409" s="1622"/>
      <c r="C409" s="1382" t="s">
        <v>162</v>
      </c>
      <c r="D409" s="1369"/>
      <c r="E409" s="1347">
        <v>135.79630554168747</v>
      </c>
      <c r="F409" s="1347">
        <v>383.42486270594105</v>
      </c>
      <c r="G409" s="1347">
        <v>0</v>
      </c>
      <c r="H409" s="1348">
        <v>519.2211682476285</v>
      </c>
      <c r="I409" s="1347">
        <v>239.64053919121318</v>
      </c>
      <c r="J409" s="1347">
        <v>32.151772341487771</v>
      </c>
      <c r="K409" s="1348">
        <v>791.01347978032948</v>
      </c>
      <c r="L409" s="1349">
        <f t="shared" si="78"/>
        <v>791.01347978032948</v>
      </c>
      <c r="M409" s="1350"/>
      <c r="N409" s="591" t="s">
        <v>429</v>
      </c>
      <c r="O409" s="614"/>
      <c r="P409" s="614"/>
      <c r="Q409" s="591" t="s">
        <v>429</v>
      </c>
      <c r="R409" s="398"/>
      <c r="S409" s="398"/>
      <c r="T409" s="397"/>
    </row>
    <row r="410" spans="1:20" ht="15.75" hidden="1" x14ac:dyDescent="0.25">
      <c r="A410" s="1456"/>
      <c r="B410" s="1622"/>
      <c r="C410" s="1382" t="s">
        <v>161</v>
      </c>
      <c r="D410" s="1369"/>
      <c r="E410" s="1347">
        <v>69.895157264103844</v>
      </c>
      <c r="F410" s="1347">
        <v>291.56265601597602</v>
      </c>
      <c r="G410" s="1347">
        <v>0</v>
      </c>
      <c r="H410" s="1348">
        <v>361.45781328007985</v>
      </c>
      <c r="I410" s="1347">
        <v>434.34847728407385</v>
      </c>
      <c r="J410" s="1347">
        <v>43.784323514727909</v>
      </c>
      <c r="K410" s="1348">
        <v>839.59061407888157</v>
      </c>
      <c r="L410" s="1349">
        <f t="shared" si="78"/>
        <v>839.59061407888157</v>
      </c>
      <c r="M410" s="1350"/>
      <c r="N410" s="591" t="s">
        <v>429</v>
      </c>
      <c r="O410" s="614"/>
      <c r="P410" s="614"/>
      <c r="Q410" s="591" t="s">
        <v>429</v>
      </c>
      <c r="R410" s="398"/>
      <c r="S410" s="398"/>
      <c r="T410" s="397"/>
    </row>
    <row r="411" spans="1:20" ht="16.5" hidden="1" thickBot="1" x14ac:dyDescent="0.3">
      <c r="A411" s="1457"/>
      <c r="B411" s="1622"/>
      <c r="C411" s="1383" t="s">
        <v>163</v>
      </c>
      <c r="D411" s="1356"/>
      <c r="E411" s="1347">
        <v>4.8227658512231653</v>
      </c>
      <c r="F411" s="1347">
        <v>519.2211682476285</v>
      </c>
      <c r="G411" s="1347">
        <v>0</v>
      </c>
      <c r="H411" s="1348">
        <v>524.04393409885165</v>
      </c>
      <c r="I411" s="1347">
        <v>557.49375936095862</v>
      </c>
      <c r="J411" s="1347">
        <v>57.703444832750868</v>
      </c>
      <c r="K411" s="1348">
        <v>1139.2411382925611</v>
      </c>
      <c r="L411" s="1349">
        <f t="shared" si="78"/>
        <v>1139.2411382925611</v>
      </c>
      <c r="M411" s="1350"/>
      <c r="N411" s="591" t="s">
        <v>429</v>
      </c>
      <c r="O411" s="614"/>
      <c r="P411" s="614"/>
      <c r="Q411" s="591" t="s">
        <v>429</v>
      </c>
      <c r="R411" s="398"/>
      <c r="S411" s="398"/>
      <c r="T411" s="397"/>
    </row>
    <row r="412" spans="1:20" ht="16.5" hidden="1" thickBot="1" x14ac:dyDescent="0.3">
      <c r="A412" s="1420" t="s">
        <v>737</v>
      </c>
      <c r="B412" s="1622"/>
      <c r="C412" s="1431" t="s">
        <v>738</v>
      </c>
      <c r="D412" s="1421">
        <v>16100</v>
      </c>
      <c r="E412" s="1347" t="s">
        <v>5</v>
      </c>
      <c r="F412" s="1347" t="s">
        <v>5</v>
      </c>
      <c r="G412" s="1347" t="s">
        <v>5</v>
      </c>
      <c r="H412" s="1348">
        <v>66.274095207430534</v>
      </c>
      <c r="I412" s="1347">
        <v>18.577437431157538</v>
      </c>
      <c r="J412" s="1347">
        <v>0</v>
      </c>
      <c r="K412" s="1348">
        <v>84.851532638588068</v>
      </c>
      <c r="L412" s="1349">
        <f t="shared" si="78"/>
        <v>84.851532638588068</v>
      </c>
      <c r="M412" s="1350"/>
      <c r="N412" s="591"/>
      <c r="O412" s="591" t="s">
        <v>429</v>
      </c>
      <c r="P412" s="614"/>
      <c r="Q412" s="591" t="s">
        <v>429</v>
      </c>
      <c r="R412" s="398"/>
      <c r="S412" s="398"/>
      <c r="T412" s="397"/>
    </row>
    <row r="413" spans="1:20" ht="15.75" hidden="1" x14ac:dyDescent="0.25">
      <c r="A413" s="1422" t="s">
        <v>505</v>
      </c>
      <c r="B413" s="1424"/>
      <c r="C413" s="1473" t="s">
        <v>746</v>
      </c>
      <c r="D413" s="1468">
        <v>2100</v>
      </c>
      <c r="E413" s="1347">
        <v>6.2107469240751092</v>
      </c>
      <c r="F413" s="1347">
        <v>134.41830842819701</v>
      </c>
      <c r="G413" s="1347">
        <v>0</v>
      </c>
      <c r="H413" s="1348">
        <v>140.6290553522721</v>
      </c>
      <c r="I413" s="1347">
        <v>29.415057002521024</v>
      </c>
      <c r="J413" s="1347">
        <v>0</v>
      </c>
      <c r="K413" s="1348">
        <v>170.04411235479313</v>
      </c>
      <c r="L413" s="1349">
        <f t="shared" si="78"/>
        <v>170.04411235479313</v>
      </c>
      <c r="M413" s="1350"/>
      <c r="N413" s="591" t="s">
        <v>429</v>
      </c>
      <c r="O413" s="398"/>
      <c r="P413" s="398"/>
      <c r="Q413" s="591" t="s">
        <v>429</v>
      </c>
      <c r="R413" s="591" t="s">
        <v>429</v>
      </c>
      <c r="S413" s="398"/>
      <c r="T413" s="397"/>
    </row>
    <row r="414" spans="1:20" ht="15.75" hidden="1" x14ac:dyDescent="0.25">
      <c r="A414" s="1469"/>
      <c r="B414" s="1424"/>
      <c r="C414" s="1380" t="s">
        <v>747</v>
      </c>
      <c r="D414" s="1369"/>
      <c r="E414" s="1347">
        <v>5.6983294343154336</v>
      </c>
      <c r="F414" s="1347">
        <v>138.68110452774681</v>
      </c>
      <c r="G414" s="1347">
        <v>0</v>
      </c>
      <c r="H414" s="1348">
        <v>144.37943396206225</v>
      </c>
      <c r="I414" s="1347">
        <v>48.637327552111621</v>
      </c>
      <c r="J414" s="1347">
        <v>0</v>
      </c>
      <c r="K414" s="1348">
        <v>193.01676151417388</v>
      </c>
      <c r="L414" s="1349">
        <f t="shared" si="78"/>
        <v>193.01676151417388</v>
      </c>
      <c r="M414" s="1350"/>
      <c r="N414" s="591" t="s">
        <v>429</v>
      </c>
      <c r="O414" s="398"/>
      <c r="P414" s="398"/>
      <c r="Q414" s="591" t="s">
        <v>429</v>
      </c>
      <c r="R414" s="591" t="s">
        <v>429</v>
      </c>
      <c r="S414" s="398"/>
      <c r="T414" s="397"/>
    </row>
    <row r="415" spans="1:20" ht="15.75" hidden="1" x14ac:dyDescent="0.25">
      <c r="A415" s="1469"/>
      <c r="B415" s="1424"/>
      <c r="C415" s="1380" t="s">
        <v>748</v>
      </c>
      <c r="D415" s="1369"/>
      <c r="E415" s="1347">
        <v>6.8004827155024818</v>
      </c>
      <c r="F415" s="1347">
        <v>136.9877455254429</v>
      </c>
      <c r="G415" s="1347">
        <v>0</v>
      </c>
      <c r="H415" s="1348">
        <v>143.78822824094539</v>
      </c>
      <c r="I415" s="1347">
        <v>17.160841153035896</v>
      </c>
      <c r="J415" s="1347">
        <v>0</v>
      </c>
      <c r="K415" s="1348">
        <v>160.94906939398129</v>
      </c>
      <c r="L415" s="1349">
        <f t="shared" si="78"/>
        <v>160.94906939398129</v>
      </c>
      <c r="M415" s="1350"/>
      <c r="N415" s="591" t="s">
        <v>429</v>
      </c>
      <c r="O415" s="398"/>
      <c r="P415" s="398"/>
      <c r="Q415" s="591" t="s">
        <v>429</v>
      </c>
      <c r="R415" s="591" t="s">
        <v>429</v>
      </c>
      <c r="S415" s="398"/>
      <c r="T415" s="397"/>
    </row>
    <row r="416" spans="1:20" ht="16.5" hidden="1" thickBot="1" x14ac:dyDescent="0.3">
      <c r="A416" s="1470"/>
      <c r="B416" s="1424"/>
      <c r="C416" s="1381" t="s">
        <v>749</v>
      </c>
      <c r="D416" s="1356"/>
      <c r="E416" s="1347">
        <v>6.0869788442192148</v>
      </c>
      <c r="F416" s="1347">
        <v>141.14617661703821</v>
      </c>
      <c r="G416" s="1347">
        <v>0</v>
      </c>
      <c r="H416" s="1348">
        <v>147.23315546125741</v>
      </c>
      <c r="I416" s="1347">
        <v>19.834055286360471</v>
      </c>
      <c r="J416" s="1347">
        <v>0</v>
      </c>
      <c r="K416" s="1348">
        <v>167.06721074761788</v>
      </c>
      <c r="L416" s="1349">
        <f t="shared" si="78"/>
        <v>167.06721074761788</v>
      </c>
      <c r="M416" s="1350"/>
      <c r="N416" s="591" t="s">
        <v>429</v>
      </c>
      <c r="O416" s="398"/>
      <c r="P416" s="398"/>
      <c r="Q416" s="591" t="s">
        <v>429</v>
      </c>
      <c r="R416" s="591" t="s">
        <v>429</v>
      </c>
      <c r="S416" s="398"/>
      <c r="T416" s="397"/>
    </row>
    <row r="417" spans="1:20" ht="15.75" hidden="1" x14ac:dyDescent="0.25">
      <c r="A417" s="1357" t="s">
        <v>456</v>
      </c>
      <c r="B417" s="1622"/>
      <c r="C417" s="1382" t="s">
        <v>165</v>
      </c>
      <c r="D417" s="1468">
        <v>41200</v>
      </c>
      <c r="E417" s="1347">
        <v>43.504531722054381</v>
      </c>
      <c r="F417" s="1347">
        <v>437.37381180458328</v>
      </c>
      <c r="G417" s="1347">
        <v>0</v>
      </c>
      <c r="H417" s="1348">
        <v>480.87834352663765</v>
      </c>
      <c r="I417" s="1347">
        <v>377.14243607692873</v>
      </c>
      <c r="J417" s="1347">
        <v>0</v>
      </c>
      <c r="K417" s="1348">
        <v>858.02077960356633</v>
      </c>
      <c r="L417" s="1349">
        <f t="shared" si="78"/>
        <v>858.02077960356633</v>
      </c>
      <c r="M417" s="1350"/>
      <c r="N417" s="398"/>
      <c r="O417" s="398"/>
      <c r="P417" s="398"/>
      <c r="Q417" s="398"/>
      <c r="R417" s="398"/>
      <c r="S417" s="398"/>
      <c r="T417" s="2191"/>
    </row>
    <row r="418" spans="1:20" ht="15.75" hidden="1" x14ac:dyDescent="0.25">
      <c r="A418" s="1456"/>
      <c r="B418" s="1622"/>
      <c r="C418" s="1382" t="s">
        <v>166</v>
      </c>
      <c r="D418" s="1369"/>
      <c r="E418" s="1347">
        <v>50.696337779087763</v>
      </c>
      <c r="F418" s="1347">
        <v>385.49848942598186</v>
      </c>
      <c r="G418" s="1347">
        <v>0</v>
      </c>
      <c r="H418" s="1348">
        <v>436.1948272050696</v>
      </c>
      <c r="I418" s="1347">
        <v>611.83405791761845</v>
      </c>
      <c r="J418" s="1347">
        <v>0</v>
      </c>
      <c r="K418" s="1348">
        <v>1048.0288851226881</v>
      </c>
      <c r="L418" s="1349">
        <f t="shared" si="78"/>
        <v>1048.0288851226881</v>
      </c>
      <c r="M418" s="1350"/>
      <c r="N418" s="398"/>
      <c r="O418" s="398"/>
      <c r="P418" s="398"/>
      <c r="Q418" s="398"/>
      <c r="R418" s="398"/>
      <c r="S418" s="398"/>
      <c r="T418" s="2191"/>
    </row>
    <row r="419" spans="1:20" ht="15.75" hidden="1" x14ac:dyDescent="0.25">
      <c r="A419" s="1456"/>
      <c r="B419" s="1622"/>
      <c r="C419" s="1382" t="s">
        <v>167</v>
      </c>
      <c r="D419" s="1369"/>
      <c r="E419" s="1347">
        <v>31.31677842458183</v>
      </c>
      <c r="F419" s="1347">
        <v>372.23491268145312</v>
      </c>
      <c r="G419" s="1347">
        <v>0</v>
      </c>
      <c r="H419" s="1348">
        <v>403.55169110603498</v>
      </c>
      <c r="I419" s="1347">
        <v>334.55161741949746</v>
      </c>
      <c r="J419" s="1347">
        <v>0</v>
      </c>
      <c r="K419" s="1348">
        <v>738.10330852553238</v>
      </c>
      <c r="L419" s="1349">
        <f t="shared" si="78"/>
        <v>738.10330852553238</v>
      </c>
      <c r="M419" s="1350"/>
      <c r="N419" s="398"/>
      <c r="O419" s="398"/>
      <c r="P419" s="398"/>
      <c r="Q419" s="398"/>
      <c r="R419" s="398"/>
      <c r="S419" s="398"/>
      <c r="T419" s="2191"/>
    </row>
    <row r="420" spans="1:20" ht="15.75" hidden="1" x14ac:dyDescent="0.25">
      <c r="A420" s="1456"/>
      <c r="B420" s="1622"/>
      <c r="C420" s="1382" t="s">
        <v>168</v>
      </c>
      <c r="D420" s="1369"/>
      <c r="E420" s="1347">
        <v>51.271092771350673</v>
      </c>
      <c r="F420" s="1347">
        <v>515.8057622872301</v>
      </c>
      <c r="G420" s="1347">
        <v>0</v>
      </c>
      <c r="H420" s="1348">
        <v>567.0768550585808</v>
      </c>
      <c r="I420" s="1347">
        <v>493.16925797656768</v>
      </c>
      <c r="J420" s="1347">
        <v>0</v>
      </c>
      <c r="K420" s="1348">
        <v>1060.2461130351485</v>
      </c>
      <c r="L420" s="1349">
        <f t="shared" si="78"/>
        <v>1060.2461130351485</v>
      </c>
      <c r="M420" s="1350"/>
      <c r="N420" s="398"/>
      <c r="O420" s="398"/>
      <c r="P420" s="398"/>
      <c r="Q420" s="398"/>
      <c r="R420" s="398"/>
      <c r="S420" s="398"/>
      <c r="T420" s="2191"/>
    </row>
    <row r="421" spans="1:20" ht="16.5" hidden="1" thickBot="1" x14ac:dyDescent="0.3">
      <c r="A421" s="1457"/>
      <c r="B421" s="1622"/>
      <c r="C421" s="1382" t="s">
        <v>169</v>
      </c>
      <c r="D421" s="1356"/>
      <c r="E421" s="1347">
        <v>32.996831478888808</v>
      </c>
      <c r="F421" s="1347">
        <v>373.14862574607616</v>
      </c>
      <c r="G421" s="1347">
        <v>0</v>
      </c>
      <c r="H421" s="1348">
        <v>406.14545722496496</v>
      </c>
      <c r="I421" s="1347">
        <v>528.42089750202638</v>
      </c>
      <c r="J421" s="1347">
        <v>0</v>
      </c>
      <c r="K421" s="1348">
        <v>934.56635472699134</v>
      </c>
      <c r="L421" s="1349">
        <f t="shared" si="78"/>
        <v>934.56635472699134</v>
      </c>
      <c r="M421" s="1350"/>
      <c r="N421" s="398"/>
      <c r="O421" s="398"/>
      <c r="P421" s="398"/>
      <c r="Q421" s="398"/>
      <c r="R421" s="398"/>
      <c r="S421" s="398"/>
      <c r="T421" s="2191"/>
    </row>
    <row r="422" spans="1:20" ht="15.75" hidden="1" x14ac:dyDescent="0.25">
      <c r="A422" s="1423" t="s">
        <v>31</v>
      </c>
      <c r="B422" s="1424"/>
      <c r="C422" s="1473" t="s">
        <v>170</v>
      </c>
      <c r="D422" s="1468">
        <v>56300</v>
      </c>
      <c r="E422" s="1347">
        <v>178.85</v>
      </c>
      <c r="F422" s="1347">
        <v>269.10000000000002</v>
      </c>
      <c r="G422" s="1347">
        <v>0</v>
      </c>
      <c r="H422" s="1348">
        <v>447.95000000000005</v>
      </c>
      <c r="I422" s="1347">
        <v>427.87</v>
      </c>
      <c r="J422" s="1347">
        <v>0</v>
      </c>
      <c r="K422" s="1348">
        <v>875.82</v>
      </c>
      <c r="L422" s="1349">
        <f t="shared" si="78"/>
        <v>875.82</v>
      </c>
      <c r="M422" s="1367"/>
      <c r="N422" s="591" t="s">
        <v>429</v>
      </c>
      <c r="O422" s="591"/>
      <c r="P422" s="591"/>
      <c r="Q422" s="591" t="s">
        <v>429</v>
      </c>
      <c r="R422" s="591" t="s">
        <v>429</v>
      </c>
      <c r="S422" s="591"/>
      <c r="T422" s="397"/>
    </row>
    <row r="423" spans="1:20" ht="15.75" hidden="1" x14ac:dyDescent="0.25">
      <c r="A423" s="1424"/>
      <c r="B423" s="1424"/>
      <c r="C423" s="1380" t="s">
        <v>171</v>
      </c>
      <c r="D423" s="1369"/>
      <c r="E423" s="1347">
        <v>46.32</v>
      </c>
      <c r="F423" s="1347">
        <v>236.58</v>
      </c>
      <c r="G423" s="1347">
        <v>75.599999999999994</v>
      </c>
      <c r="H423" s="1348">
        <v>358.5</v>
      </c>
      <c r="I423" s="1347">
        <v>629.46</v>
      </c>
      <c r="J423" s="1347">
        <v>0</v>
      </c>
      <c r="K423" s="1348">
        <v>987.96</v>
      </c>
      <c r="L423" s="1349">
        <f t="shared" si="78"/>
        <v>987.96</v>
      </c>
      <c r="M423" s="1367"/>
      <c r="N423" s="591" t="s">
        <v>429</v>
      </c>
      <c r="O423" s="591"/>
      <c r="P423" s="591"/>
      <c r="Q423" s="591" t="s">
        <v>429</v>
      </c>
      <c r="R423" s="591" t="s">
        <v>429</v>
      </c>
      <c r="S423" s="591"/>
      <c r="T423" s="397"/>
    </row>
    <row r="424" spans="1:20" ht="15.75" hidden="1" x14ac:dyDescent="0.25">
      <c r="A424" s="1424"/>
      <c r="B424" s="1424"/>
      <c r="C424" s="1380" t="s">
        <v>172</v>
      </c>
      <c r="D424" s="1369"/>
      <c r="E424" s="1347">
        <v>0</v>
      </c>
      <c r="F424" s="1347">
        <v>330.11</v>
      </c>
      <c r="G424" s="1347">
        <v>0</v>
      </c>
      <c r="H424" s="1348">
        <v>330.11</v>
      </c>
      <c r="I424" s="1347">
        <v>300.02999999999997</v>
      </c>
      <c r="J424" s="1347">
        <v>0</v>
      </c>
      <c r="K424" s="1348">
        <v>630.14</v>
      </c>
      <c r="L424" s="1349">
        <f t="shared" si="78"/>
        <v>630.14</v>
      </c>
      <c r="M424" s="1367"/>
      <c r="N424" s="591" t="s">
        <v>429</v>
      </c>
      <c r="O424" s="591"/>
      <c r="P424" s="591"/>
      <c r="Q424" s="591"/>
      <c r="R424" s="591" t="s">
        <v>429</v>
      </c>
      <c r="S424" s="591"/>
      <c r="T424" s="397"/>
    </row>
    <row r="425" spans="1:20" ht="15.75" hidden="1" x14ac:dyDescent="0.25">
      <c r="A425" s="1424"/>
      <c r="B425" s="1424"/>
      <c r="C425" s="1380" t="s">
        <v>173</v>
      </c>
      <c r="D425" s="1369"/>
      <c r="E425" s="1347">
        <v>0</v>
      </c>
      <c r="F425" s="1347">
        <v>201.31</v>
      </c>
      <c r="G425" s="1347">
        <v>0</v>
      </c>
      <c r="H425" s="1348">
        <v>201.31</v>
      </c>
      <c r="I425" s="1347">
        <v>201.31</v>
      </c>
      <c r="J425" s="1347">
        <v>0</v>
      </c>
      <c r="K425" s="1348">
        <v>402.62</v>
      </c>
      <c r="L425" s="1349">
        <f t="shared" si="78"/>
        <v>402.62</v>
      </c>
      <c r="M425" s="1367"/>
      <c r="N425" s="591" t="s">
        <v>429</v>
      </c>
      <c r="O425" s="591"/>
      <c r="P425" s="591"/>
      <c r="Q425" s="591"/>
      <c r="R425" s="591" t="s">
        <v>429</v>
      </c>
      <c r="S425" s="591"/>
      <c r="T425" s="397"/>
    </row>
    <row r="426" spans="1:20" ht="15.75" hidden="1" x14ac:dyDescent="0.25">
      <c r="A426" s="1424"/>
      <c r="B426" s="1424"/>
      <c r="C426" s="1380" t="s">
        <v>174</v>
      </c>
      <c r="D426" s="1369"/>
      <c r="E426" s="1347">
        <v>105.48</v>
      </c>
      <c r="F426" s="1347">
        <v>137.37</v>
      </c>
      <c r="G426" s="1347">
        <v>0</v>
      </c>
      <c r="H426" s="1348">
        <v>242.85000000000002</v>
      </c>
      <c r="I426" s="1347">
        <v>323.68</v>
      </c>
      <c r="J426" s="1347">
        <v>0</v>
      </c>
      <c r="K426" s="1348">
        <v>566.53</v>
      </c>
      <c r="L426" s="1349">
        <f t="shared" si="78"/>
        <v>566.53</v>
      </c>
      <c r="M426" s="1367"/>
      <c r="N426" s="591"/>
      <c r="O426" s="591"/>
      <c r="P426" s="591" t="s">
        <v>429</v>
      </c>
      <c r="Q426" s="591" t="s">
        <v>429</v>
      </c>
      <c r="R426" s="591" t="s">
        <v>429</v>
      </c>
      <c r="S426" s="591"/>
      <c r="T426" s="397"/>
    </row>
    <row r="427" spans="1:20" ht="15.75" hidden="1" x14ac:dyDescent="0.25">
      <c r="A427" s="1424"/>
      <c r="B427" s="1424"/>
      <c r="C427" s="1380" t="s">
        <v>175</v>
      </c>
      <c r="D427" s="1369"/>
      <c r="E427" s="1347">
        <v>38.4</v>
      </c>
      <c r="F427" s="1347">
        <v>26.24</v>
      </c>
      <c r="G427" s="1347">
        <v>0</v>
      </c>
      <c r="H427" s="1348">
        <v>64.64</v>
      </c>
      <c r="I427" s="1347">
        <v>136.88</v>
      </c>
      <c r="J427" s="1347">
        <v>0</v>
      </c>
      <c r="K427" s="1348">
        <v>201.51999999999998</v>
      </c>
      <c r="L427" s="1349">
        <f t="shared" si="78"/>
        <v>201.51999999999998</v>
      </c>
      <c r="M427" s="1367"/>
      <c r="N427" s="591"/>
      <c r="O427" s="591"/>
      <c r="P427" s="591" t="s">
        <v>429</v>
      </c>
      <c r="Q427" s="591" t="s">
        <v>429</v>
      </c>
      <c r="R427" s="591" t="s">
        <v>429</v>
      </c>
      <c r="S427" s="591"/>
      <c r="T427" s="397"/>
    </row>
    <row r="428" spans="1:20" ht="16.5" hidden="1" thickBot="1" x14ac:dyDescent="0.3">
      <c r="A428" s="1425"/>
      <c r="B428" s="1424"/>
      <c r="C428" s="1426" t="s">
        <v>212</v>
      </c>
      <c r="D428" s="1356"/>
      <c r="E428" s="1347">
        <v>42</v>
      </c>
      <c r="F428" s="1347">
        <v>244.71</v>
      </c>
      <c r="G428" s="1347">
        <v>0</v>
      </c>
      <c r="H428" s="1348">
        <v>286.71000000000004</v>
      </c>
      <c r="I428" s="1347">
        <v>292.05</v>
      </c>
      <c r="J428" s="1347">
        <v>22.22</v>
      </c>
      <c r="K428" s="1348">
        <v>600.98</v>
      </c>
      <c r="L428" s="1349">
        <f t="shared" si="78"/>
        <v>600.98</v>
      </c>
      <c r="M428" s="1367"/>
      <c r="N428" s="591" t="s">
        <v>429</v>
      </c>
      <c r="O428" s="591"/>
      <c r="P428" s="591"/>
      <c r="Q428" s="591" t="s">
        <v>429</v>
      </c>
      <c r="R428" s="591" t="s">
        <v>429</v>
      </c>
      <c r="S428" s="591"/>
      <c r="T428" s="397"/>
    </row>
    <row r="429" spans="1:20" ht="15.75" hidden="1" x14ac:dyDescent="0.25">
      <c r="A429" s="1357" t="s">
        <v>718</v>
      </c>
      <c r="B429" s="1622"/>
      <c r="C429" s="1382" t="s">
        <v>761</v>
      </c>
      <c r="D429" s="1468">
        <v>4300</v>
      </c>
      <c r="E429" s="1347">
        <v>0.90411580638540834</v>
      </c>
      <c r="F429" s="1347">
        <v>82.182318568820847</v>
      </c>
      <c r="G429" s="1347">
        <v>0</v>
      </c>
      <c r="H429" s="1348">
        <v>83.086434375206252</v>
      </c>
      <c r="I429" s="1347">
        <v>26.706676804818574</v>
      </c>
      <c r="J429" s="1347">
        <v>0</v>
      </c>
      <c r="K429" s="1348">
        <v>109.79311118002482</v>
      </c>
      <c r="L429" s="1349">
        <f t="shared" si="78"/>
        <v>109.79311118002482</v>
      </c>
      <c r="M429" s="1367" t="s">
        <v>429</v>
      </c>
      <c r="N429" s="591"/>
      <c r="O429" s="614"/>
      <c r="P429" s="591" t="s">
        <v>429</v>
      </c>
      <c r="Q429" s="591" t="s">
        <v>429</v>
      </c>
      <c r="R429" s="591" t="s">
        <v>429</v>
      </c>
      <c r="S429" s="398"/>
      <c r="T429" s="397"/>
    </row>
    <row r="430" spans="1:20" ht="15.75" hidden="1" x14ac:dyDescent="0.25">
      <c r="A430" s="1456"/>
      <c r="B430" s="1622"/>
      <c r="C430" s="1382" t="s">
        <v>746</v>
      </c>
      <c r="D430" s="1369"/>
      <c r="E430" s="1347">
        <v>0.45205790319270417</v>
      </c>
      <c r="F430" s="1347">
        <v>80.876775344400315</v>
      </c>
      <c r="G430" s="1347">
        <v>0</v>
      </c>
      <c r="H430" s="1348">
        <v>81.328833247593025</v>
      </c>
      <c r="I430" s="1347">
        <v>18.191714140280798</v>
      </c>
      <c r="J430" s="1347">
        <v>0</v>
      </c>
      <c r="K430" s="1348">
        <v>99.520547387873819</v>
      </c>
      <c r="L430" s="1349">
        <f t="shared" si="78"/>
        <v>99.520547387873819</v>
      </c>
      <c r="M430" s="1367" t="s">
        <v>429</v>
      </c>
      <c r="N430" s="591"/>
      <c r="O430" s="614"/>
      <c r="P430" s="591" t="s">
        <v>429</v>
      </c>
      <c r="Q430" s="591" t="s">
        <v>429</v>
      </c>
      <c r="R430" s="591" t="s">
        <v>429</v>
      </c>
      <c r="S430" s="398"/>
      <c r="T430" s="397"/>
    </row>
    <row r="431" spans="1:20" ht="15.75" hidden="1" x14ac:dyDescent="0.25">
      <c r="A431" s="1456"/>
      <c r="B431" s="1622"/>
      <c r="C431" s="1382" t="s">
        <v>762</v>
      </c>
      <c r="D431" s="1369"/>
      <c r="E431" s="1347">
        <v>0.45205790319270417</v>
      </c>
      <c r="F431" s="1347">
        <v>60.485347447183813</v>
      </c>
      <c r="G431" s="1347">
        <v>0</v>
      </c>
      <c r="H431" s="1348">
        <v>60.937405350376515</v>
      </c>
      <c r="I431" s="1347">
        <v>25.651573658766804</v>
      </c>
      <c r="J431" s="1347">
        <v>0</v>
      </c>
      <c r="K431" s="1348">
        <v>86.58897900914333</v>
      </c>
      <c r="L431" s="1349">
        <f t="shared" si="78"/>
        <v>86.588979009143316</v>
      </c>
      <c r="M431" s="1367" t="s">
        <v>429</v>
      </c>
      <c r="N431" s="591"/>
      <c r="O431" s="614"/>
      <c r="P431" s="591" t="s">
        <v>429</v>
      </c>
      <c r="Q431" s="591" t="s">
        <v>429</v>
      </c>
      <c r="R431" s="591" t="s">
        <v>429</v>
      </c>
      <c r="S431" s="398"/>
      <c r="T431" s="397"/>
    </row>
    <row r="432" spans="1:20" ht="15.75" hidden="1" x14ac:dyDescent="0.25">
      <c r="A432" s="1456"/>
      <c r="B432" s="1622"/>
      <c r="C432" s="1382" t="s">
        <v>763</v>
      </c>
      <c r="D432" s="1369"/>
      <c r="E432" s="1347">
        <v>0.45205790319270417</v>
      </c>
      <c r="F432" s="1347">
        <v>67.933453460186811</v>
      </c>
      <c r="G432" s="1347">
        <v>0</v>
      </c>
      <c r="H432" s="1348">
        <v>68.385511363379521</v>
      </c>
      <c r="I432" s="1347">
        <v>15.270515969849544</v>
      </c>
      <c r="J432" s="1347">
        <v>0</v>
      </c>
      <c r="K432" s="1348">
        <v>83.656027333229062</v>
      </c>
      <c r="L432" s="1349">
        <f t="shared" si="78"/>
        <v>83.656027333229062</v>
      </c>
      <c r="M432" s="1367" t="s">
        <v>429</v>
      </c>
      <c r="N432" s="591"/>
      <c r="O432" s="614"/>
      <c r="P432" s="591" t="s">
        <v>429</v>
      </c>
      <c r="Q432" s="591" t="s">
        <v>429</v>
      </c>
      <c r="R432" s="591" t="s">
        <v>429</v>
      </c>
      <c r="S432" s="398"/>
      <c r="T432" s="397"/>
    </row>
    <row r="433" spans="1:20" ht="16.5" hidden="1" thickBot="1" x14ac:dyDescent="0.3">
      <c r="A433" s="1457"/>
      <c r="B433" s="1622"/>
      <c r="C433" s="1383" t="s">
        <v>764</v>
      </c>
      <c r="D433" s="1356"/>
      <c r="E433" s="1347">
        <v>0.45205790319270417</v>
      </c>
      <c r="F433" s="1347">
        <v>119.28723126287801</v>
      </c>
      <c r="G433" s="1347">
        <v>0</v>
      </c>
      <c r="H433" s="1348">
        <v>119.73928916607072</v>
      </c>
      <c r="I433" s="1347">
        <v>47.714711681989925</v>
      </c>
      <c r="J433" s="1347">
        <v>0</v>
      </c>
      <c r="K433" s="1348">
        <v>167.45400084806064</v>
      </c>
      <c r="L433" s="1349">
        <f t="shared" si="78"/>
        <v>167.45400084806064</v>
      </c>
      <c r="M433" s="1350"/>
      <c r="N433" s="591"/>
      <c r="O433" s="614"/>
      <c r="P433" s="591" t="s">
        <v>429</v>
      </c>
      <c r="Q433" s="591" t="s">
        <v>429</v>
      </c>
      <c r="R433" s="398"/>
      <c r="S433" s="398"/>
      <c r="T433" s="397"/>
    </row>
    <row r="436" spans="1:20" ht="48" thickBot="1" x14ac:dyDescent="0.3">
      <c r="A436" s="1339"/>
      <c r="B436" s="1341" t="s">
        <v>1022</v>
      </c>
      <c r="C436" s="1341" t="s">
        <v>1358</v>
      </c>
      <c r="D436" s="1341" t="s">
        <v>1359</v>
      </c>
      <c r="E436" s="1341" t="s">
        <v>1360</v>
      </c>
      <c r="F436" s="1341" t="s">
        <v>1361</v>
      </c>
      <c r="G436" s="1341" t="s">
        <v>1362</v>
      </c>
      <c r="H436" s="1341" t="s">
        <v>1363</v>
      </c>
      <c r="I436" s="1341" t="s">
        <v>1365</v>
      </c>
      <c r="J436" s="1427" t="s">
        <v>1203</v>
      </c>
    </row>
    <row r="437" spans="1:20" ht="15.75" x14ac:dyDescent="0.25">
      <c r="A437" s="1475" t="s">
        <v>82</v>
      </c>
      <c r="B437" s="1647" t="s">
        <v>1048</v>
      </c>
      <c r="C437" s="1476">
        <v>23.588728700587662</v>
      </c>
      <c r="D437" s="1347">
        <v>28.911313638156159</v>
      </c>
      <c r="E437" s="1347">
        <v>0</v>
      </c>
      <c r="F437" s="1348"/>
      <c r="G437" s="1347">
        <v>31.451638267450218</v>
      </c>
      <c r="H437" s="1347">
        <v>2.6310505089117009</v>
      </c>
      <c r="I437" s="1348"/>
      <c r="J437" s="1096">
        <f>C437+D437+E437+G437+H437</f>
        <v>86.582731115105744</v>
      </c>
    </row>
    <row r="438" spans="1:20" ht="15.75" x14ac:dyDescent="0.25">
      <c r="A438" s="1477" t="s">
        <v>761</v>
      </c>
      <c r="B438" s="1648" t="s">
        <v>1153</v>
      </c>
      <c r="C438" s="1476">
        <v>0.90411580638540834</v>
      </c>
      <c r="D438" s="1347">
        <v>82.182318568820847</v>
      </c>
      <c r="E438" s="1347">
        <v>0</v>
      </c>
      <c r="F438" s="1348"/>
      <c r="G438" s="1347">
        <v>26.706676804818574</v>
      </c>
      <c r="H438" s="1347">
        <v>0</v>
      </c>
      <c r="I438" s="1348"/>
      <c r="J438" s="1096">
        <f>C438+D438+E438+G438+H438</f>
        <v>109.79311118002482</v>
      </c>
    </row>
    <row r="439" spans="1:20" ht="15.75" x14ac:dyDescent="0.25">
      <c r="A439" s="1477" t="s">
        <v>746</v>
      </c>
      <c r="B439" s="1648" t="s">
        <v>1147</v>
      </c>
      <c r="C439" s="1476">
        <v>6.2107469240751092</v>
      </c>
      <c r="D439" s="1347">
        <v>134.41830842819701</v>
      </c>
      <c r="E439" s="1347">
        <v>0</v>
      </c>
      <c r="F439" s="1348"/>
      <c r="G439" s="1347">
        <v>29.415057002521024</v>
      </c>
      <c r="H439" s="1347">
        <v>0</v>
      </c>
      <c r="I439" s="1348"/>
      <c r="J439" s="1096">
        <f>C439+D439+E439+G439+H439</f>
        <v>170.04411235479313</v>
      </c>
    </row>
    <row r="440" spans="1:20" ht="15.75" x14ac:dyDescent="0.25">
      <c r="A440" s="1478" t="s">
        <v>84</v>
      </c>
      <c r="B440" s="1647" t="s">
        <v>1046</v>
      </c>
      <c r="C440" s="1476">
        <v>0</v>
      </c>
      <c r="D440" s="1347">
        <v>114.49633598349713</v>
      </c>
      <c r="E440" s="1347">
        <v>0</v>
      </c>
      <c r="F440" s="1348"/>
      <c r="G440" s="1347">
        <v>55.815484810214492</v>
      </c>
      <c r="H440" s="1347">
        <v>0</v>
      </c>
      <c r="I440" s="1348"/>
      <c r="J440" s="1096">
        <f>C440+D440+E440+G440+H440</f>
        <v>170.31182079371163</v>
      </c>
    </row>
    <row r="441" spans="1:20" ht="15.75" x14ac:dyDescent="0.25">
      <c r="A441" s="1477" t="s">
        <v>143</v>
      </c>
      <c r="B441" s="1648" t="s">
        <v>1131</v>
      </c>
      <c r="C441" s="1476">
        <v>0</v>
      </c>
      <c r="D441" s="1347">
        <v>97.313579210559041</v>
      </c>
      <c r="E441" s="1347">
        <v>0</v>
      </c>
      <c r="F441" s="1348"/>
      <c r="G441" s="1347">
        <v>75.544484939094673</v>
      </c>
      <c r="H441" s="1347">
        <v>0</v>
      </c>
      <c r="I441" s="1348"/>
      <c r="J441" s="1096">
        <f>C441+D441+E441+G441+H441</f>
        <v>172.85806414965373</v>
      </c>
    </row>
    <row r="442" spans="1:20" ht="15.75" x14ac:dyDescent="0.25">
      <c r="A442" s="1479" t="s">
        <v>1346</v>
      </c>
      <c r="B442" s="1649" t="s">
        <v>1034</v>
      </c>
      <c r="C442" s="1476" t="s">
        <v>5</v>
      </c>
      <c r="D442" s="1347" t="s">
        <v>5</v>
      </c>
      <c r="E442" s="1347" t="s">
        <v>5</v>
      </c>
      <c r="F442" s="1348"/>
      <c r="G442" s="1347" t="s">
        <v>5</v>
      </c>
      <c r="H442" s="1347" t="s">
        <v>5</v>
      </c>
      <c r="I442" s="1348">
        <v>212.5800962417253</v>
      </c>
      <c r="J442" s="1096">
        <f>I442</f>
        <v>212.5800962417253</v>
      </c>
    </row>
    <row r="443" spans="1:20" ht="15.75" x14ac:dyDescent="0.25">
      <c r="A443" s="1477" t="s">
        <v>133</v>
      </c>
      <c r="B443" s="1648" t="s">
        <v>1116</v>
      </c>
      <c r="C443" s="1476">
        <v>55.899407127500162</v>
      </c>
      <c r="D443" s="1347">
        <v>134.22155623601972</v>
      </c>
      <c r="E443" s="1347">
        <v>24.14923882120442</v>
      </c>
      <c r="F443" s="1348"/>
      <c r="G443" s="1347">
        <v>71.01439833213891</v>
      </c>
      <c r="H443" s="1347">
        <v>11.792299172584533</v>
      </c>
      <c r="I443" s="1348"/>
      <c r="J443" s="1096">
        <f t="shared" ref="J443:J459" si="79">C443+D443+E443+G443+H443</f>
        <v>297.07689968944771</v>
      </c>
    </row>
    <row r="444" spans="1:20" ht="15.75" x14ac:dyDescent="0.25">
      <c r="A444" s="1477" t="s">
        <v>153</v>
      </c>
      <c r="B444" s="1648" t="s">
        <v>1133</v>
      </c>
      <c r="C444" s="1476">
        <v>66.486416053163069</v>
      </c>
      <c r="D444" s="1347">
        <v>113.72076356765913</v>
      </c>
      <c r="E444" s="1347">
        <v>0</v>
      </c>
      <c r="F444" s="1348"/>
      <c r="G444" s="1347">
        <v>121.81032423393489</v>
      </c>
      <c r="H444" s="1347">
        <v>30.197406997198513</v>
      </c>
      <c r="I444" s="1348"/>
      <c r="J444" s="1096">
        <f t="shared" si="79"/>
        <v>332.21491085195566</v>
      </c>
    </row>
    <row r="445" spans="1:20" ht="15.75" x14ac:dyDescent="0.25">
      <c r="A445" s="1479" t="s">
        <v>860</v>
      </c>
      <c r="B445" s="1649" t="s">
        <v>1118</v>
      </c>
      <c r="C445" s="1476">
        <v>0</v>
      </c>
      <c r="D445" s="1347">
        <v>219.88287284877663</v>
      </c>
      <c r="E445" s="1347">
        <v>0</v>
      </c>
      <c r="F445" s="1348"/>
      <c r="G445" s="1347">
        <v>48.862860633061473</v>
      </c>
      <c r="H445" s="1347">
        <v>64.498976035641135</v>
      </c>
      <c r="I445" s="1348"/>
      <c r="J445" s="1096">
        <f t="shared" si="79"/>
        <v>333.24470951747924</v>
      </c>
    </row>
    <row r="446" spans="1:20" ht="15.75" x14ac:dyDescent="0.25">
      <c r="A446" s="1477" t="s">
        <v>118</v>
      </c>
      <c r="B446" s="1648" t="s">
        <v>1076</v>
      </c>
      <c r="C446" s="1476">
        <v>116.70246706022994</v>
      </c>
      <c r="D446" s="1347">
        <v>96.088356069534058</v>
      </c>
      <c r="E446" s="1347">
        <v>0</v>
      </c>
      <c r="F446" s="1348"/>
      <c r="G446" s="1347">
        <v>150.94849015767633</v>
      </c>
      <c r="H446" s="1347">
        <v>29.059246783658395</v>
      </c>
      <c r="I446" s="1348"/>
      <c r="J446" s="1096">
        <f t="shared" si="79"/>
        <v>392.79856007109873</v>
      </c>
    </row>
    <row r="447" spans="1:20" ht="15.75" x14ac:dyDescent="0.25">
      <c r="A447" s="1477" t="s">
        <v>102</v>
      </c>
      <c r="B447" s="1648" t="s">
        <v>1066</v>
      </c>
      <c r="C447" s="1476">
        <v>5.8529268955314864</v>
      </c>
      <c r="D447" s="1347">
        <v>118.71112903407392</v>
      </c>
      <c r="E447" s="1347">
        <v>0</v>
      </c>
      <c r="F447" s="1348"/>
      <c r="G447" s="1347">
        <v>206.73226374651981</v>
      </c>
      <c r="H447" s="1347">
        <v>91.030227716383834</v>
      </c>
      <c r="I447" s="1348"/>
      <c r="J447" s="1096">
        <f t="shared" si="79"/>
        <v>422.32654739250904</v>
      </c>
    </row>
    <row r="448" spans="1:20" ht="15.75" x14ac:dyDescent="0.25">
      <c r="A448" s="1477" t="s">
        <v>101</v>
      </c>
      <c r="B448" s="1648" t="s">
        <v>1058</v>
      </c>
      <c r="C448" s="1476">
        <v>22.824505396659934</v>
      </c>
      <c r="D448" s="1347">
        <v>214.99771972115448</v>
      </c>
      <c r="E448" s="1347">
        <v>106.41301279127848</v>
      </c>
      <c r="F448" s="1348"/>
      <c r="G448" s="1347">
        <v>338.78428562121314</v>
      </c>
      <c r="H448" s="1347">
        <v>52.64186591960388</v>
      </c>
      <c r="I448" s="1348"/>
      <c r="J448" s="1096">
        <f t="shared" si="79"/>
        <v>735.66138944990996</v>
      </c>
    </row>
    <row r="449" spans="1:10" ht="15.75" x14ac:dyDescent="0.25">
      <c r="A449" s="1477" t="s">
        <v>167</v>
      </c>
      <c r="B449" s="1648" t="s">
        <v>1149</v>
      </c>
      <c r="C449" s="1476">
        <v>31.31677842458183</v>
      </c>
      <c r="D449" s="1347">
        <v>372.23491268145312</v>
      </c>
      <c r="E449" s="1347">
        <v>0</v>
      </c>
      <c r="F449" s="1348"/>
      <c r="G449" s="1347">
        <v>334.55161741949746</v>
      </c>
      <c r="H449" s="1347">
        <v>0</v>
      </c>
      <c r="I449" s="1348"/>
      <c r="J449" s="1096">
        <f t="shared" si="79"/>
        <v>738.10330852553238</v>
      </c>
    </row>
    <row r="450" spans="1:10" ht="15.75" x14ac:dyDescent="0.25">
      <c r="A450" s="1477" t="s">
        <v>126</v>
      </c>
      <c r="B450" s="1648" t="s">
        <v>1112</v>
      </c>
      <c r="C450" s="1476">
        <v>35.438980621423653</v>
      </c>
      <c r="D450" s="1347">
        <v>225.04881324560114</v>
      </c>
      <c r="E450" s="1347">
        <v>0</v>
      </c>
      <c r="F450" s="1348"/>
      <c r="G450" s="1347">
        <v>337.68608286401138</v>
      </c>
      <c r="H450" s="1347">
        <v>149.54346918275905</v>
      </c>
      <c r="I450" s="1348"/>
      <c r="J450" s="1096">
        <f t="shared" si="79"/>
        <v>747.71734591379527</v>
      </c>
    </row>
    <row r="451" spans="1:10" ht="15.75" x14ac:dyDescent="0.25">
      <c r="A451" s="1479" t="s">
        <v>182</v>
      </c>
      <c r="B451" s="1649" t="s">
        <v>1106</v>
      </c>
      <c r="C451" s="1476">
        <v>45.76845397094273</v>
      </c>
      <c r="D451" s="1347">
        <v>269.29007318609246</v>
      </c>
      <c r="E451" s="1347">
        <v>0</v>
      </c>
      <c r="F451" s="1348"/>
      <c r="G451" s="1347">
        <v>413.273394575108</v>
      </c>
      <c r="H451" s="1347">
        <v>23.24798575368645</v>
      </c>
      <c r="I451" s="1348"/>
      <c r="J451" s="1096">
        <f t="shared" si="79"/>
        <v>751.57990748582961</v>
      </c>
    </row>
    <row r="452" spans="1:10" ht="15.75" x14ac:dyDescent="0.25">
      <c r="A452" s="1477" t="s">
        <v>92</v>
      </c>
      <c r="B452" s="1648" t="s">
        <v>1056</v>
      </c>
      <c r="C452" s="1476">
        <v>41.902838404239155</v>
      </c>
      <c r="D452" s="1347">
        <v>234.54296696853217</v>
      </c>
      <c r="E452" s="1347">
        <v>0</v>
      </c>
      <c r="F452" s="1348"/>
      <c r="G452" s="1347">
        <v>353.86670141377294</v>
      </c>
      <c r="H452" s="1347">
        <v>151.28021369470324</v>
      </c>
      <c r="I452" s="1348"/>
      <c r="J452" s="1096">
        <f t="shared" si="79"/>
        <v>781.5927204812474</v>
      </c>
    </row>
    <row r="453" spans="1:10" ht="15.75" x14ac:dyDescent="0.25">
      <c r="A453" s="1478" t="s">
        <v>68</v>
      </c>
      <c r="B453" s="1647" t="s">
        <v>1032</v>
      </c>
      <c r="C453" s="1476">
        <v>25.84316024931049</v>
      </c>
      <c r="D453" s="1347">
        <v>406.19367168328012</v>
      </c>
      <c r="E453" s="1347">
        <v>0</v>
      </c>
      <c r="F453" s="1348"/>
      <c r="G453" s="1347">
        <v>315.16711186396509</v>
      </c>
      <c r="H453" s="1347">
        <v>44.834625491345797</v>
      </c>
      <c r="I453" s="1348"/>
      <c r="J453" s="1096">
        <f t="shared" si="79"/>
        <v>792.03856928790151</v>
      </c>
    </row>
    <row r="454" spans="1:10" ht="15.75" x14ac:dyDescent="0.25">
      <c r="A454" s="1479" t="s">
        <v>544</v>
      </c>
      <c r="B454" s="1649" t="s">
        <v>1040</v>
      </c>
      <c r="C454" s="1476">
        <v>75.276439935978487</v>
      </c>
      <c r="D454" s="1347">
        <v>385.88310957472464</v>
      </c>
      <c r="E454" s="1347">
        <v>0</v>
      </c>
      <c r="F454" s="1348"/>
      <c r="G454" s="1347">
        <v>369.07380745309837</v>
      </c>
      <c r="H454" s="1347">
        <v>0</v>
      </c>
      <c r="I454" s="1348"/>
      <c r="J454" s="1096">
        <f t="shared" si="79"/>
        <v>830.2333569638015</v>
      </c>
    </row>
    <row r="455" spans="1:10" ht="15.75" x14ac:dyDescent="0.25">
      <c r="A455" s="1477" t="s">
        <v>171</v>
      </c>
      <c r="B455" s="1648" t="s">
        <v>1151</v>
      </c>
      <c r="C455" s="1476">
        <v>46.32</v>
      </c>
      <c r="D455" s="1347">
        <v>236.58</v>
      </c>
      <c r="E455" s="1347">
        <v>75.599999999999994</v>
      </c>
      <c r="F455" s="1348"/>
      <c r="G455" s="1347">
        <v>629.46</v>
      </c>
      <c r="H455" s="1347">
        <v>0</v>
      </c>
      <c r="I455" s="1348"/>
      <c r="J455" s="1096">
        <f t="shared" si="79"/>
        <v>987.96</v>
      </c>
    </row>
    <row r="456" spans="1:10" ht="15.75" x14ac:dyDescent="0.25">
      <c r="A456" s="1479" t="s">
        <v>715</v>
      </c>
      <c r="B456" s="1649" t="s">
        <v>1064</v>
      </c>
      <c r="C456" s="1476">
        <v>13.03016483158512</v>
      </c>
      <c r="D456" s="1347">
        <v>475.514148587313</v>
      </c>
      <c r="E456" s="1347">
        <v>0</v>
      </c>
      <c r="F456" s="1348"/>
      <c r="G456" s="1347">
        <v>356.63561144048475</v>
      </c>
      <c r="H456" s="1347">
        <v>146.83909918127131</v>
      </c>
      <c r="I456" s="1348"/>
      <c r="J456" s="1096">
        <f t="shared" si="79"/>
        <v>992.01902404065424</v>
      </c>
    </row>
    <row r="457" spans="1:10" ht="15.75" x14ac:dyDescent="0.25">
      <c r="A457" s="1477" t="s">
        <v>166</v>
      </c>
      <c r="B457" s="1648" t="s">
        <v>1149</v>
      </c>
      <c r="C457" s="1476">
        <v>50.696337779087763</v>
      </c>
      <c r="D457" s="1347">
        <v>385.49848942598186</v>
      </c>
      <c r="E457" s="1347">
        <v>0</v>
      </c>
      <c r="F457" s="1348"/>
      <c r="G457" s="1347">
        <v>611.83405791761845</v>
      </c>
      <c r="H457" s="1347">
        <v>0</v>
      </c>
      <c r="I457" s="1348"/>
      <c r="J457" s="1096">
        <f t="shared" si="79"/>
        <v>1048.0288851226881</v>
      </c>
    </row>
    <row r="458" spans="1:10" ht="15.75" x14ac:dyDescent="0.25">
      <c r="A458" s="1477" t="s">
        <v>163</v>
      </c>
      <c r="B458" s="1648" t="s">
        <v>1137</v>
      </c>
      <c r="C458" s="1476">
        <v>4.8227658512231653</v>
      </c>
      <c r="D458" s="1347">
        <v>519.2211682476285</v>
      </c>
      <c r="E458" s="1347">
        <v>0</v>
      </c>
      <c r="F458" s="1348"/>
      <c r="G458" s="1347">
        <v>557.49375936095862</v>
      </c>
      <c r="H458" s="1347">
        <v>57.703444832750868</v>
      </c>
      <c r="I458" s="1348"/>
      <c r="J458" s="1096">
        <f t="shared" si="79"/>
        <v>1139.2411382925611</v>
      </c>
    </row>
    <row r="459" spans="1:10" ht="16.5" thickBot="1" x14ac:dyDescent="0.3">
      <c r="A459" s="1480" t="s">
        <v>88</v>
      </c>
      <c r="B459" s="1648" t="s">
        <v>1054</v>
      </c>
      <c r="C459" s="1476">
        <v>55.872831108362739</v>
      </c>
      <c r="D459" s="1347">
        <v>252.3007529737005</v>
      </c>
      <c r="E459" s="1347">
        <v>190.02582663417118</v>
      </c>
      <c r="F459" s="1348"/>
      <c r="G459" s="1347">
        <v>430.4536029973446</v>
      </c>
      <c r="H459" s="1347">
        <v>232.16325342839474</v>
      </c>
      <c r="I459" s="1348"/>
      <c r="J459" s="1096">
        <f t="shared" si="79"/>
        <v>1160.8162671419736</v>
      </c>
    </row>
  </sheetData>
  <mergeCells count="427">
    <mergeCell ref="A26:A33"/>
    <mergeCell ref="D26:D33"/>
    <mergeCell ref="R26:R33"/>
    <mergeCell ref="S26:S33"/>
    <mergeCell ref="T26:T33"/>
    <mergeCell ref="U26:U33"/>
    <mergeCell ref="V26:V33"/>
    <mergeCell ref="R4:Z4"/>
    <mergeCell ref="AB4:AH4"/>
    <mergeCell ref="A8:A11"/>
    <mergeCell ref="D8:D11"/>
    <mergeCell ref="R8:R11"/>
    <mergeCell ref="S8:S11"/>
    <mergeCell ref="T8:T11"/>
    <mergeCell ref="U8:U11"/>
    <mergeCell ref="V8:V11"/>
    <mergeCell ref="W8:W11"/>
    <mergeCell ref="X8:X11"/>
    <mergeCell ref="Y8:Y11"/>
    <mergeCell ref="Z8:Z11"/>
    <mergeCell ref="W12:W20"/>
    <mergeCell ref="X12:X20"/>
    <mergeCell ref="Y12:Y20"/>
    <mergeCell ref="Z12:Z20"/>
    <mergeCell ref="A21:A25"/>
    <mergeCell ref="D21:D25"/>
    <mergeCell ref="R21:R25"/>
    <mergeCell ref="S21:S25"/>
    <mergeCell ref="T21:T25"/>
    <mergeCell ref="U21:U25"/>
    <mergeCell ref="A12:A20"/>
    <mergeCell ref="D12:D20"/>
    <mergeCell ref="R12:R20"/>
    <mergeCell ref="S12:S20"/>
    <mergeCell ref="T12:T20"/>
    <mergeCell ref="U12:U20"/>
    <mergeCell ref="V12:V20"/>
    <mergeCell ref="W26:W33"/>
    <mergeCell ref="X26:X33"/>
    <mergeCell ref="Y26:Y33"/>
    <mergeCell ref="Z26:Z33"/>
    <mergeCell ref="V21:V25"/>
    <mergeCell ref="W21:W25"/>
    <mergeCell ref="X21:X25"/>
    <mergeCell ref="Y21:Y25"/>
    <mergeCell ref="Z21:Z25"/>
    <mergeCell ref="A37:A41"/>
    <mergeCell ref="D37:D41"/>
    <mergeCell ref="R37:R41"/>
    <mergeCell ref="S37:S41"/>
    <mergeCell ref="T37:T41"/>
    <mergeCell ref="A34:A36"/>
    <mergeCell ref="D34:D36"/>
    <mergeCell ref="R34:R36"/>
    <mergeCell ref="S34:S36"/>
    <mergeCell ref="T34:T36"/>
    <mergeCell ref="U37:U41"/>
    <mergeCell ref="V37:V41"/>
    <mergeCell ref="W37:W41"/>
    <mergeCell ref="X37:X41"/>
    <mergeCell ref="Y37:Y41"/>
    <mergeCell ref="Z37:Z41"/>
    <mergeCell ref="V34:V36"/>
    <mergeCell ref="W34:W36"/>
    <mergeCell ref="X34:X36"/>
    <mergeCell ref="Y34:Y36"/>
    <mergeCell ref="Z34:Z36"/>
    <mergeCell ref="U34:U36"/>
    <mergeCell ref="A48:A52"/>
    <mergeCell ref="D48:D52"/>
    <mergeCell ref="R48:R52"/>
    <mergeCell ref="S48:S52"/>
    <mergeCell ref="T48:T52"/>
    <mergeCell ref="A42:A46"/>
    <mergeCell ref="D42:D46"/>
    <mergeCell ref="R42:R46"/>
    <mergeCell ref="S42:S46"/>
    <mergeCell ref="T42:T46"/>
    <mergeCell ref="U48:U52"/>
    <mergeCell ref="V48:V52"/>
    <mergeCell ref="W48:W52"/>
    <mergeCell ref="X48:X52"/>
    <mergeCell ref="Y48:Y52"/>
    <mergeCell ref="Z48:Z52"/>
    <mergeCell ref="V42:V46"/>
    <mergeCell ref="W42:W46"/>
    <mergeCell ref="X42:X46"/>
    <mergeCell ref="Y42:Y46"/>
    <mergeCell ref="Z42:Z46"/>
    <mergeCell ref="U42:U46"/>
    <mergeCell ref="A59:A63"/>
    <mergeCell ref="D59:D63"/>
    <mergeCell ref="R59:R63"/>
    <mergeCell ref="S59:S63"/>
    <mergeCell ref="T59:T63"/>
    <mergeCell ref="A53:A58"/>
    <mergeCell ref="D53:D58"/>
    <mergeCell ref="R53:R58"/>
    <mergeCell ref="S53:S58"/>
    <mergeCell ref="T53:T58"/>
    <mergeCell ref="U59:U63"/>
    <mergeCell ref="V59:V63"/>
    <mergeCell ref="W59:W63"/>
    <mergeCell ref="X59:X63"/>
    <mergeCell ref="Y59:Y63"/>
    <mergeCell ref="Z59:Z63"/>
    <mergeCell ref="V53:V58"/>
    <mergeCell ref="W53:W58"/>
    <mergeCell ref="X53:X58"/>
    <mergeCell ref="Y53:Y58"/>
    <mergeCell ref="Z53:Z58"/>
    <mergeCell ref="U53:U58"/>
    <mergeCell ref="A67:A70"/>
    <mergeCell ref="D67:D70"/>
    <mergeCell ref="R67:R70"/>
    <mergeCell ref="S67:S70"/>
    <mergeCell ref="T67:T70"/>
    <mergeCell ref="A65:A66"/>
    <mergeCell ref="D65:D66"/>
    <mergeCell ref="R65:R66"/>
    <mergeCell ref="S65:S66"/>
    <mergeCell ref="T65:T66"/>
    <mergeCell ref="U67:U70"/>
    <mergeCell ref="V67:V70"/>
    <mergeCell ref="W67:W70"/>
    <mergeCell ref="X67:X70"/>
    <mergeCell ref="Y67:Y70"/>
    <mergeCell ref="Z67:Z70"/>
    <mergeCell ref="V65:V66"/>
    <mergeCell ref="W65:W66"/>
    <mergeCell ref="X65:X66"/>
    <mergeCell ref="Y65:Y66"/>
    <mergeCell ref="Z65:Z66"/>
    <mergeCell ref="U65:U66"/>
    <mergeCell ref="A76:A81"/>
    <mergeCell ref="D76:D81"/>
    <mergeCell ref="R76:R81"/>
    <mergeCell ref="S76:S81"/>
    <mergeCell ref="T76:T81"/>
    <mergeCell ref="A71:A75"/>
    <mergeCell ref="D71:D75"/>
    <mergeCell ref="R71:R75"/>
    <mergeCell ref="S71:S75"/>
    <mergeCell ref="T71:T75"/>
    <mergeCell ref="U76:U81"/>
    <mergeCell ref="V76:V81"/>
    <mergeCell ref="W76:W81"/>
    <mergeCell ref="X76:X81"/>
    <mergeCell ref="Y76:Y81"/>
    <mergeCell ref="Z76:Z81"/>
    <mergeCell ref="V71:V75"/>
    <mergeCell ref="W71:W75"/>
    <mergeCell ref="X71:X75"/>
    <mergeCell ref="Y71:Y75"/>
    <mergeCell ref="Z71:Z75"/>
    <mergeCell ref="U71:U75"/>
    <mergeCell ref="A95:A99"/>
    <mergeCell ref="D95:D99"/>
    <mergeCell ref="R95:R99"/>
    <mergeCell ref="S95:S99"/>
    <mergeCell ref="T95:T99"/>
    <mergeCell ref="A82:A92"/>
    <mergeCell ref="D82:D92"/>
    <mergeCell ref="R82:R92"/>
    <mergeCell ref="S82:S92"/>
    <mergeCell ref="T82:T92"/>
    <mergeCell ref="U95:U99"/>
    <mergeCell ref="V95:V99"/>
    <mergeCell ref="W95:W99"/>
    <mergeCell ref="X95:X99"/>
    <mergeCell ref="Y95:Y99"/>
    <mergeCell ref="Z95:Z99"/>
    <mergeCell ref="V82:V92"/>
    <mergeCell ref="W82:W92"/>
    <mergeCell ref="X82:X92"/>
    <mergeCell ref="Y82:Y92"/>
    <mergeCell ref="Z82:Z92"/>
    <mergeCell ref="U82:U92"/>
    <mergeCell ref="A106:A110"/>
    <mergeCell ref="D106:D110"/>
    <mergeCell ref="R106:R110"/>
    <mergeCell ref="S106:S110"/>
    <mergeCell ref="T106:T110"/>
    <mergeCell ref="A100:A104"/>
    <mergeCell ref="D100:D104"/>
    <mergeCell ref="R100:R104"/>
    <mergeCell ref="S100:S104"/>
    <mergeCell ref="T100:T104"/>
    <mergeCell ref="U106:U110"/>
    <mergeCell ref="V106:V110"/>
    <mergeCell ref="W106:W110"/>
    <mergeCell ref="X106:X110"/>
    <mergeCell ref="Y106:Y110"/>
    <mergeCell ref="Z106:Z110"/>
    <mergeCell ref="V100:V104"/>
    <mergeCell ref="W100:W104"/>
    <mergeCell ref="X100:X104"/>
    <mergeCell ref="Y100:Y104"/>
    <mergeCell ref="Z100:Z104"/>
    <mergeCell ref="U100:U104"/>
    <mergeCell ref="A117:A124"/>
    <mergeCell ref="D117:D124"/>
    <mergeCell ref="R117:R124"/>
    <mergeCell ref="S117:S124"/>
    <mergeCell ref="T117:T124"/>
    <mergeCell ref="A112:A116"/>
    <mergeCell ref="D112:D116"/>
    <mergeCell ref="R112:R116"/>
    <mergeCell ref="S112:S116"/>
    <mergeCell ref="T112:T116"/>
    <mergeCell ref="U117:U124"/>
    <mergeCell ref="V117:V124"/>
    <mergeCell ref="W117:W124"/>
    <mergeCell ref="X117:X124"/>
    <mergeCell ref="Y117:Y124"/>
    <mergeCell ref="Z117:Z124"/>
    <mergeCell ref="V112:V116"/>
    <mergeCell ref="W112:W116"/>
    <mergeCell ref="X112:X116"/>
    <mergeCell ref="Y112:Y116"/>
    <mergeCell ref="Z112:Z116"/>
    <mergeCell ref="U112:U116"/>
    <mergeCell ref="A136:A140"/>
    <mergeCell ref="D136:D140"/>
    <mergeCell ref="R136:R140"/>
    <mergeCell ref="S136:S140"/>
    <mergeCell ref="T136:T140"/>
    <mergeCell ref="A126:A130"/>
    <mergeCell ref="D126:D130"/>
    <mergeCell ref="R126:R130"/>
    <mergeCell ref="S126:S130"/>
    <mergeCell ref="T126:T130"/>
    <mergeCell ref="U136:U140"/>
    <mergeCell ref="V136:V140"/>
    <mergeCell ref="W136:W140"/>
    <mergeCell ref="X136:X140"/>
    <mergeCell ref="Y136:Y140"/>
    <mergeCell ref="Z136:Z140"/>
    <mergeCell ref="V126:V130"/>
    <mergeCell ref="W126:W130"/>
    <mergeCell ref="X126:X130"/>
    <mergeCell ref="Y126:Y130"/>
    <mergeCell ref="Z126:Z130"/>
    <mergeCell ref="U126:U130"/>
    <mergeCell ref="A147:A152"/>
    <mergeCell ref="D147:D152"/>
    <mergeCell ref="R147:R152"/>
    <mergeCell ref="S147:S152"/>
    <mergeCell ref="T147:T152"/>
    <mergeCell ref="A141:A145"/>
    <mergeCell ref="D141:D145"/>
    <mergeCell ref="R141:R145"/>
    <mergeCell ref="S141:S145"/>
    <mergeCell ref="T141:T145"/>
    <mergeCell ref="U147:U152"/>
    <mergeCell ref="V147:V152"/>
    <mergeCell ref="W147:W152"/>
    <mergeCell ref="X147:X152"/>
    <mergeCell ref="Y147:Y152"/>
    <mergeCell ref="Z147:Z152"/>
    <mergeCell ref="V141:V145"/>
    <mergeCell ref="W141:W145"/>
    <mergeCell ref="X141:X145"/>
    <mergeCell ref="Y141:Y145"/>
    <mergeCell ref="Z141:Z145"/>
    <mergeCell ref="U141:U145"/>
    <mergeCell ref="A159:A161"/>
    <mergeCell ref="D159:D161"/>
    <mergeCell ref="R159:R161"/>
    <mergeCell ref="S159:S161"/>
    <mergeCell ref="T159:T161"/>
    <mergeCell ref="A153:A157"/>
    <mergeCell ref="D153:D157"/>
    <mergeCell ref="R153:R157"/>
    <mergeCell ref="S153:S157"/>
    <mergeCell ref="T153:T157"/>
    <mergeCell ref="U159:U161"/>
    <mergeCell ref="V159:V161"/>
    <mergeCell ref="W159:W161"/>
    <mergeCell ref="X159:X161"/>
    <mergeCell ref="Y159:Y161"/>
    <mergeCell ref="Z159:Z161"/>
    <mergeCell ref="V153:V157"/>
    <mergeCell ref="W153:W157"/>
    <mergeCell ref="X153:X157"/>
    <mergeCell ref="Y153:Y157"/>
    <mergeCell ref="Z153:Z157"/>
    <mergeCell ref="U153:U157"/>
    <mergeCell ref="A167:A173"/>
    <mergeCell ref="D167:D173"/>
    <mergeCell ref="R167:R173"/>
    <mergeCell ref="S167:S173"/>
    <mergeCell ref="T167:T173"/>
    <mergeCell ref="A162:A166"/>
    <mergeCell ref="D162:D166"/>
    <mergeCell ref="R162:R166"/>
    <mergeCell ref="S162:S166"/>
    <mergeCell ref="T162:T166"/>
    <mergeCell ref="U167:U173"/>
    <mergeCell ref="V167:V173"/>
    <mergeCell ref="W167:W173"/>
    <mergeCell ref="X167:X173"/>
    <mergeCell ref="Y167:Y173"/>
    <mergeCell ref="Z167:Z173"/>
    <mergeCell ref="V162:V166"/>
    <mergeCell ref="W162:W166"/>
    <mergeCell ref="X162:X166"/>
    <mergeCell ref="Y162:Y166"/>
    <mergeCell ref="Z162:Z166"/>
    <mergeCell ref="U162:U166"/>
    <mergeCell ref="Y174:Y202"/>
    <mergeCell ref="Z174:Z202"/>
    <mergeCell ref="A204:A211"/>
    <mergeCell ref="D204:D211"/>
    <mergeCell ref="A174:A202"/>
    <mergeCell ref="D174:D202"/>
    <mergeCell ref="R174:R202"/>
    <mergeCell ref="S174:S202"/>
    <mergeCell ref="T174:T202"/>
    <mergeCell ref="U174:U202"/>
    <mergeCell ref="A212:A214"/>
    <mergeCell ref="D212:D214"/>
    <mergeCell ref="A216:A218"/>
    <mergeCell ref="D216:D218"/>
    <mergeCell ref="R216:R218"/>
    <mergeCell ref="S216:S218"/>
    <mergeCell ref="V174:V202"/>
    <mergeCell ref="W174:W202"/>
    <mergeCell ref="X174:X202"/>
    <mergeCell ref="Z216:Z218"/>
    <mergeCell ref="A221:A228"/>
    <mergeCell ref="D221:D228"/>
    <mergeCell ref="R221:R228"/>
    <mergeCell ref="S221:S228"/>
    <mergeCell ref="T221:T228"/>
    <mergeCell ref="U221:U228"/>
    <mergeCell ref="V221:V228"/>
    <mergeCell ref="W221:W228"/>
    <mergeCell ref="X221:X228"/>
    <mergeCell ref="T216:T218"/>
    <mergeCell ref="U216:U218"/>
    <mergeCell ref="V216:V218"/>
    <mergeCell ref="W216:W218"/>
    <mergeCell ref="X216:X218"/>
    <mergeCell ref="Y216:Y218"/>
    <mergeCell ref="Y221:Y228"/>
    <mergeCell ref="Z221:Z228"/>
    <mergeCell ref="Y229:Y233"/>
    <mergeCell ref="Z229:Z233"/>
    <mergeCell ref="A234:A238"/>
    <mergeCell ref="D234:D238"/>
    <mergeCell ref="R234:R238"/>
    <mergeCell ref="S234:S238"/>
    <mergeCell ref="T234:T238"/>
    <mergeCell ref="U234:U238"/>
    <mergeCell ref="V234:V238"/>
    <mergeCell ref="A229:A233"/>
    <mergeCell ref="D229:D233"/>
    <mergeCell ref="R229:R233"/>
    <mergeCell ref="S229:S233"/>
    <mergeCell ref="T229:T233"/>
    <mergeCell ref="U229:U233"/>
    <mergeCell ref="V229:V233"/>
    <mergeCell ref="W229:W233"/>
    <mergeCell ref="X229:X233"/>
    <mergeCell ref="W234:W238"/>
    <mergeCell ref="X234:X238"/>
    <mergeCell ref="AI251:AI255"/>
    <mergeCell ref="A251:A255"/>
    <mergeCell ref="D251:D255"/>
    <mergeCell ref="R251:R255"/>
    <mergeCell ref="S251:S255"/>
    <mergeCell ref="T251:T255"/>
    <mergeCell ref="U251:U255"/>
    <mergeCell ref="Y234:Y238"/>
    <mergeCell ref="Z234:Z238"/>
    <mergeCell ref="A239:A243"/>
    <mergeCell ref="D239:D243"/>
    <mergeCell ref="R239:R243"/>
    <mergeCell ref="S239:S243"/>
    <mergeCell ref="T239:T243"/>
    <mergeCell ref="U239:U243"/>
    <mergeCell ref="Y239:Y243"/>
    <mergeCell ref="Z239:Z243"/>
    <mergeCell ref="Z247:Z250"/>
    <mergeCell ref="V239:V243"/>
    <mergeCell ref="W239:W243"/>
    <mergeCell ref="X239:X243"/>
    <mergeCell ref="Y247:Y250"/>
    <mergeCell ref="A247:A250"/>
    <mergeCell ref="D247:D250"/>
    <mergeCell ref="A263:A267"/>
    <mergeCell ref="D263:D267"/>
    <mergeCell ref="R263:R267"/>
    <mergeCell ref="S263:S267"/>
    <mergeCell ref="T263:T267"/>
    <mergeCell ref="A256:A262"/>
    <mergeCell ref="D256:D262"/>
    <mergeCell ref="R256:R262"/>
    <mergeCell ref="S256:S262"/>
    <mergeCell ref="T256:T262"/>
    <mergeCell ref="R247:R250"/>
    <mergeCell ref="S247:S250"/>
    <mergeCell ref="T247:T250"/>
    <mergeCell ref="U247:U250"/>
    <mergeCell ref="V247:V250"/>
    <mergeCell ref="W247:W250"/>
    <mergeCell ref="X247:X250"/>
    <mergeCell ref="V251:V255"/>
    <mergeCell ref="W251:W255"/>
    <mergeCell ref="X251:X255"/>
    <mergeCell ref="Y251:Y255"/>
    <mergeCell ref="M272:S272"/>
    <mergeCell ref="T417:T421"/>
    <mergeCell ref="U263:U267"/>
    <mergeCell ref="V263:V267"/>
    <mergeCell ref="W263:W267"/>
    <mergeCell ref="X263:X267"/>
    <mergeCell ref="Y263:Y267"/>
    <mergeCell ref="Z263:Z267"/>
    <mergeCell ref="V256:V262"/>
    <mergeCell ref="W256:W262"/>
    <mergeCell ref="X256:X262"/>
    <mergeCell ref="Y256:Y262"/>
    <mergeCell ref="Z256:Z262"/>
    <mergeCell ref="U256:U262"/>
    <mergeCell ref="Z251:Z255"/>
  </mergeCells>
  <pageMargins left="0.7" right="0.7" top="0.75" bottom="0.75" header="0.3" footer="0.3"/>
  <pageSetup paperSize="9" orientation="portrait" r:id="rId1"/>
  <drawing r:id="rId2"/>
  <legacyDrawing r:id="rId3"/>
  <tableParts count="1">
    <tablePart r:id="rId4"/>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AP696"/>
  <sheetViews>
    <sheetView view="pageBreakPreview" zoomScale="80" zoomScaleNormal="90" zoomScaleSheetLayoutView="80" workbookViewId="0">
      <selection activeCell="B1" sqref="B1:B1048576"/>
    </sheetView>
  </sheetViews>
  <sheetFormatPr defaultRowHeight="15" x14ac:dyDescent="0.25"/>
  <cols>
    <col min="1" max="1" width="35.5703125" customWidth="1"/>
    <col min="2" max="2" width="11.7109375" customWidth="1"/>
    <col min="3" max="3" width="11.28515625" customWidth="1"/>
    <col min="4" max="4" width="11.28515625" bestFit="1" customWidth="1"/>
    <col min="5" max="6" width="25" customWidth="1"/>
    <col min="7" max="7" width="16.28515625" customWidth="1"/>
    <col min="8" max="8" width="19.140625" bestFit="1" customWidth="1"/>
    <col min="9" max="10" width="22.28515625" customWidth="1"/>
    <col min="11" max="11" width="19.7109375" customWidth="1"/>
    <col min="12" max="13" width="15.42578125" customWidth="1"/>
    <col min="14" max="15" width="15.7109375" customWidth="1"/>
    <col min="16" max="17" width="19.85546875" customWidth="1"/>
    <col min="18" max="18" width="17.28515625" customWidth="1"/>
    <col min="19" max="19" width="32.42578125" bestFit="1" customWidth="1"/>
    <col min="20" max="20" width="3.85546875" customWidth="1"/>
    <col min="21" max="21" width="20.140625" bestFit="1" customWidth="1"/>
    <col min="22" max="22" width="16.42578125" customWidth="1"/>
    <col min="23" max="23" width="22" bestFit="1" customWidth="1"/>
    <col min="24" max="24" width="22" customWidth="1"/>
    <col min="25" max="25" width="23.28515625" bestFit="1" customWidth="1"/>
    <col min="26" max="26" width="14.140625" customWidth="1"/>
    <col min="27" max="27" width="18.140625" bestFit="1" customWidth="1"/>
    <col min="28" max="29" width="19.85546875" customWidth="1"/>
    <col min="30" max="31" width="14.42578125" customWidth="1"/>
    <col min="32" max="32" width="15.28515625" customWidth="1"/>
    <col min="33" max="33" width="25.42578125" customWidth="1"/>
    <col min="34" max="34" width="3.7109375" customWidth="1"/>
    <col min="35" max="35" width="13.5703125" customWidth="1"/>
    <col min="37" max="37" width="11.140625" customWidth="1"/>
    <col min="38" max="38" width="10.7109375" customWidth="1"/>
    <col min="42" max="43" width="75.28515625" customWidth="1"/>
  </cols>
  <sheetData>
    <row r="1" spans="1:42" ht="19.5" thickBot="1" x14ac:dyDescent="0.35">
      <c r="A1" s="26" t="s">
        <v>1209</v>
      </c>
      <c r="B1" s="86"/>
      <c r="C1" s="24"/>
      <c r="D1" s="24"/>
    </row>
    <row r="2" spans="1:42" ht="16.5" hidden="1" thickBot="1" x14ac:dyDescent="0.3">
      <c r="A2" s="27" t="s">
        <v>1215</v>
      </c>
      <c r="B2" s="87"/>
      <c r="C2" s="25"/>
      <c r="D2" s="25"/>
    </row>
    <row r="3" spans="1:42" ht="19.5" hidden="1" thickBot="1" x14ac:dyDescent="0.35">
      <c r="AI3" s="395" t="s">
        <v>826</v>
      </c>
      <c r="AJ3" s="395"/>
      <c r="AK3" s="395"/>
      <c r="AL3" s="395"/>
      <c r="AM3" s="395"/>
      <c r="AN3" s="395"/>
      <c r="AO3" s="394"/>
      <c r="AP3" s="394"/>
    </row>
    <row r="4" spans="1:42" ht="24" hidden="1" thickBot="1" x14ac:dyDescent="0.4">
      <c r="U4" s="1754" t="s">
        <v>679</v>
      </c>
      <c r="V4" s="1754"/>
      <c r="W4" s="1754"/>
      <c r="X4" s="1754"/>
      <c r="Y4" s="1754"/>
      <c r="Z4" s="1754"/>
      <c r="AA4" s="1754"/>
      <c r="AB4" s="1754"/>
      <c r="AC4" s="1754"/>
      <c r="AD4" s="1754"/>
      <c r="AE4" s="1754"/>
      <c r="AF4" s="1754"/>
      <c r="AG4" s="1754"/>
      <c r="AI4" s="1755" t="s">
        <v>248</v>
      </c>
      <c r="AJ4" s="1755"/>
      <c r="AK4" s="1755"/>
      <c r="AL4" s="1755"/>
      <c r="AM4" s="1755"/>
      <c r="AN4" s="1755"/>
      <c r="AO4" s="1755"/>
    </row>
    <row r="5" spans="1:42" ht="64.5" hidden="1" customHeight="1" x14ac:dyDescent="0.35">
      <c r="E5" s="89" t="s">
        <v>215</v>
      </c>
      <c r="F5" s="90" t="s">
        <v>827</v>
      </c>
      <c r="G5" s="111" t="s">
        <v>196</v>
      </c>
      <c r="H5" s="82" t="s">
        <v>197</v>
      </c>
      <c r="I5" s="552" t="s">
        <v>198</v>
      </c>
      <c r="J5" s="556" t="s">
        <v>833</v>
      </c>
      <c r="K5" s="555" t="s">
        <v>200</v>
      </c>
      <c r="L5" s="553" t="s">
        <v>834</v>
      </c>
      <c r="M5" s="556" t="s">
        <v>835</v>
      </c>
      <c r="N5" s="554" t="s">
        <v>201</v>
      </c>
      <c r="O5" s="556" t="s">
        <v>836</v>
      </c>
      <c r="P5" s="84" t="s">
        <v>199</v>
      </c>
      <c r="Q5" s="556" t="s">
        <v>840</v>
      </c>
      <c r="R5" s="564" t="s">
        <v>841</v>
      </c>
      <c r="S5" s="85" t="s">
        <v>203</v>
      </c>
      <c r="U5" s="110" t="s">
        <v>240</v>
      </c>
      <c r="V5" s="109" t="s">
        <v>241</v>
      </c>
      <c r="W5" s="108" t="s">
        <v>242</v>
      </c>
      <c r="X5" s="572" t="s">
        <v>843</v>
      </c>
      <c r="Y5" s="107" t="s">
        <v>243</v>
      </c>
      <c r="Z5" s="106" t="s">
        <v>244</v>
      </c>
      <c r="AA5" s="572" t="s">
        <v>845</v>
      </c>
      <c r="AB5" s="105" t="s">
        <v>245</v>
      </c>
      <c r="AC5" s="572" t="s">
        <v>847</v>
      </c>
      <c r="AD5" s="104" t="s">
        <v>246</v>
      </c>
      <c r="AE5" s="572" t="s">
        <v>850</v>
      </c>
      <c r="AF5" s="103" t="s">
        <v>852</v>
      </c>
      <c r="AG5" s="102" t="s">
        <v>642</v>
      </c>
      <c r="AI5" s="112" t="s">
        <v>249</v>
      </c>
      <c r="AJ5" s="112" t="s">
        <v>250</v>
      </c>
      <c r="AK5" s="112" t="s">
        <v>251</v>
      </c>
      <c r="AL5" s="112" t="s">
        <v>252</v>
      </c>
      <c r="AM5" s="112" t="s">
        <v>438</v>
      </c>
      <c r="AN5" s="112" t="s">
        <v>253</v>
      </c>
      <c r="AO5" s="112" t="s">
        <v>254</v>
      </c>
    </row>
    <row r="6" spans="1:42" ht="16.5" hidden="1" thickBot="1" x14ac:dyDescent="0.3">
      <c r="A6" s="42" t="s">
        <v>3</v>
      </c>
      <c r="B6" s="250" t="s">
        <v>58</v>
      </c>
      <c r="C6" s="799" t="s">
        <v>1190</v>
      </c>
      <c r="D6" s="799" t="s">
        <v>1022</v>
      </c>
      <c r="E6" s="91" t="s">
        <v>809</v>
      </c>
      <c r="F6" s="92" t="s">
        <v>810</v>
      </c>
      <c r="G6" s="7" t="s">
        <v>811</v>
      </c>
      <c r="H6" s="3" t="s">
        <v>812</v>
      </c>
      <c r="I6" s="33" t="s">
        <v>813</v>
      </c>
      <c r="J6" s="557" t="s">
        <v>832</v>
      </c>
      <c r="K6" s="68" t="s">
        <v>814</v>
      </c>
      <c r="L6" s="34" t="s">
        <v>815</v>
      </c>
      <c r="M6" s="557" t="s">
        <v>838</v>
      </c>
      <c r="N6" s="69" t="s">
        <v>816</v>
      </c>
      <c r="O6" s="557" t="s">
        <v>837</v>
      </c>
      <c r="P6" s="66" t="s">
        <v>817</v>
      </c>
      <c r="Q6" s="557" t="s">
        <v>839</v>
      </c>
      <c r="R6" s="67" t="s">
        <v>842</v>
      </c>
      <c r="S6" s="70" t="s">
        <v>818</v>
      </c>
      <c r="U6" s="93" t="s">
        <v>819</v>
      </c>
      <c r="V6" s="94" t="s">
        <v>820</v>
      </c>
      <c r="W6" s="95" t="s">
        <v>821</v>
      </c>
      <c r="X6" s="573" t="s">
        <v>844</v>
      </c>
      <c r="Y6" s="96" t="s">
        <v>822</v>
      </c>
      <c r="Z6" s="97" t="s">
        <v>823</v>
      </c>
      <c r="AA6" s="573" t="s">
        <v>846</v>
      </c>
      <c r="AB6" s="98" t="s">
        <v>849</v>
      </c>
      <c r="AC6" s="573" t="s">
        <v>848</v>
      </c>
      <c r="AD6" s="99" t="s">
        <v>824</v>
      </c>
      <c r="AE6" s="573" t="s">
        <v>851</v>
      </c>
      <c r="AF6" s="100" t="s">
        <v>853</v>
      </c>
      <c r="AG6" s="101" t="s">
        <v>825</v>
      </c>
      <c r="AI6" s="113"/>
      <c r="AJ6" s="113"/>
      <c r="AK6" s="113"/>
      <c r="AL6" s="113"/>
      <c r="AM6" s="113"/>
      <c r="AN6" s="113"/>
      <c r="AO6" s="113"/>
    </row>
    <row r="7" spans="1:42" ht="18.600000000000001" hidden="1" customHeight="1" x14ac:dyDescent="0.3">
      <c r="A7" s="1756" t="s">
        <v>33</v>
      </c>
      <c r="B7" s="752" t="s">
        <v>217</v>
      </c>
      <c r="C7" s="747" t="s">
        <v>429</v>
      </c>
      <c r="D7" s="815" t="s">
        <v>1024</v>
      </c>
      <c r="E7" s="1759">
        <v>20700</v>
      </c>
      <c r="F7" s="647">
        <f>'exchange rates'!$O$3</f>
        <v>18.600290000000001</v>
      </c>
      <c r="G7" s="625" t="s">
        <v>5</v>
      </c>
      <c r="H7" s="593" t="s">
        <v>5</v>
      </c>
      <c r="I7" s="594" t="s">
        <v>5</v>
      </c>
      <c r="J7" s="595" t="s">
        <v>5</v>
      </c>
      <c r="K7" s="566" t="s">
        <v>5</v>
      </c>
      <c r="L7" s="596" t="s">
        <v>5</v>
      </c>
      <c r="M7" s="595" t="s">
        <v>5</v>
      </c>
      <c r="N7" s="626" t="s">
        <v>5</v>
      </c>
      <c r="O7" s="595" t="s">
        <v>5</v>
      </c>
      <c r="P7" s="597" t="s">
        <v>5</v>
      </c>
      <c r="Q7" s="595" t="s">
        <v>5</v>
      </c>
      <c r="R7" s="570" t="s">
        <v>5</v>
      </c>
      <c r="S7" s="571">
        <f>741.75/F7</f>
        <v>39.878410497900838</v>
      </c>
      <c r="T7" s="397"/>
      <c r="U7" s="1762" t="str">
        <f>Tabel66892127[[#This Row],[Fix.ch. 2017]]</f>
        <v>n/a</v>
      </c>
      <c r="V7" s="1765" t="s">
        <v>5</v>
      </c>
      <c r="W7" s="1768" t="s">
        <v>5</v>
      </c>
      <c r="X7" s="1771" t="s">
        <v>5</v>
      </c>
      <c r="Y7" s="1774" t="s">
        <v>5</v>
      </c>
      <c r="Z7" s="1777" t="s">
        <v>5</v>
      </c>
      <c r="AA7" s="1771" t="s">
        <v>5</v>
      </c>
      <c r="AB7" s="1810" t="s">
        <v>5</v>
      </c>
      <c r="AC7" s="1771" t="s">
        <v>5</v>
      </c>
      <c r="AD7" s="1812" t="s">
        <v>5</v>
      </c>
      <c r="AE7" s="1771" t="s">
        <v>5</v>
      </c>
      <c r="AF7" s="1814" t="s">
        <v>5</v>
      </c>
      <c r="AG7" s="1793">
        <f>MEDIAN(S7:S13)</f>
        <v>39.878410497900838</v>
      </c>
      <c r="AH7" s="397"/>
      <c r="AI7" s="591" t="s">
        <v>429</v>
      </c>
      <c r="AJ7" s="591"/>
      <c r="AK7" s="591"/>
      <c r="AL7" s="591"/>
      <c r="AM7" s="591" t="s">
        <v>429</v>
      </c>
      <c r="AN7" s="591" t="s">
        <v>429</v>
      </c>
      <c r="AO7" s="396"/>
      <c r="AP7" s="397"/>
    </row>
    <row r="8" spans="1:42" ht="16.5" hidden="1" thickBot="1" x14ac:dyDescent="0.3">
      <c r="A8" s="1757"/>
      <c r="B8" s="747" t="s">
        <v>942</v>
      </c>
      <c r="C8" s="747"/>
      <c r="D8" s="815" t="s">
        <v>1024</v>
      </c>
      <c r="E8" s="1760"/>
      <c r="F8" s="647">
        <f>'exchange rates'!$O$3</f>
        <v>18.600290000000001</v>
      </c>
      <c r="G8" s="625" t="s">
        <v>5</v>
      </c>
      <c r="H8" s="593" t="s">
        <v>5</v>
      </c>
      <c r="I8" s="594" t="s">
        <v>5</v>
      </c>
      <c r="J8" s="595" t="s">
        <v>5</v>
      </c>
      <c r="K8" s="566" t="s">
        <v>5</v>
      </c>
      <c r="L8" s="596" t="s">
        <v>5</v>
      </c>
      <c r="M8" s="595" t="s">
        <v>5</v>
      </c>
      <c r="N8" s="626" t="s">
        <v>5</v>
      </c>
      <c r="O8" s="595" t="s">
        <v>5</v>
      </c>
      <c r="P8" s="597" t="s">
        <v>5</v>
      </c>
      <c r="Q8" s="595" t="s">
        <v>5</v>
      </c>
      <c r="R8" s="570" t="s">
        <v>5</v>
      </c>
      <c r="S8" s="571">
        <f>986.14/F8</f>
        <v>53.017452953690501</v>
      </c>
      <c r="T8" s="397"/>
      <c r="U8" s="1763"/>
      <c r="V8" s="1766"/>
      <c r="W8" s="1769"/>
      <c r="X8" s="1772"/>
      <c r="Y8" s="1775"/>
      <c r="Z8" s="1778"/>
      <c r="AA8" s="1772"/>
      <c r="AB8" s="1781"/>
      <c r="AC8" s="1772"/>
      <c r="AD8" s="1785"/>
      <c r="AE8" s="1772"/>
      <c r="AF8" s="1788"/>
      <c r="AG8" s="1791"/>
      <c r="AH8" s="397"/>
      <c r="AI8" s="396"/>
      <c r="AJ8" s="396"/>
      <c r="AK8" s="396"/>
      <c r="AL8" s="396"/>
      <c r="AM8" s="396"/>
      <c r="AN8" s="396"/>
      <c r="AO8" s="396"/>
      <c r="AP8" s="397"/>
    </row>
    <row r="9" spans="1:42" ht="16.5" hidden="1" thickBot="1" x14ac:dyDescent="0.3">
      <c r="A9" s="1757"/>
      <c r="B9" s="747" t="s">
        <v>943</v>
      </c>
      <c r="C9" s="747"/>
      <c r="D9" s="815" t="s">
        <v>1024</v>
      </c>
      <c r="E9" s="1760"/>
      <c r="F9" s="647">
        <f>'exchange rates'!$O$3</f>
        <v>18.600290000000001</v>
      </c>
      <c r="G9" s="625" t="s">
        <v>5</v>
      </c>
      <c r="H9" s="593" t="s">
        <v>5</v>
      </c>
      <c r="I9" s="594" t="s">
        <v>5</v>
      </c>
      <c r="J9" s="595" t="s">
        <v>5</v>
      </c>
      <c r="K9" s="566" t="s">
        <v>5</v>
      </c>
      <c r="L9" s="596" t="s">
        <v>5</v>
      </c>
      <c r="M9" s="595" t="s">
        <v>5</v>
      </c>
      <c r="N9" s="626" t="s">
        <v>5</v>
      </c>
      <c r="O9" s="595" t="s">
        <v>5</v>
      </c>
      <c r="P9" s="597" t="s">
        <v>5</v>
      </c>
      <c r="Q9" s="595" t="s">
        <v>5</v>
      </c>
      <c r="R9" s="570" t="s">
        <v>5</v>
      </c>
      <c r="S9" s="571">
        <f>970.68/F9</f>
        <v>52.186283117091179</v>
      </c>
      <c r="T9" s="397"/>
      <c r="U9" s="1763"/>
      <c r="V9" s="1766"/>
      <c r="W9" s="1769"/>
      <c r="X9" s="1772"/>
      <c r="Y9" s="1775"/>
      <c r="Z9" s="1778"/>
      <c r="AA9" s="1772"/>
      <c r="AB9" s="1781"/>
      <c r="AC9" s="1772"/>
      <c r="AD9" s="1785"/>
      <c r="AE9" s="1772"/>
      <c r="AF9" s="1788"/>
      <c r="AG9" s="1791"/>
      <c r="AH9" s="397"/>
      <c r="AI9" s="396"/>
      <c r="AJ9" s="396"/>
      <c r="AK9" s="396"/>
      <c r="AL9" s="396"/>
      <c r="AM9" s="396"/>
      <c r="AN9" s="396"/>
      <c r="AO9" s="396"/>
      <c r="AP9" s="397"/>
    </row>
    <row r="10" spans="1:42" ht="16.5" hidden="1" thickBot="1" x14ac:dyDescent="0.3">
      <c r="A10" s="1757"/>
      <c r="B10" s="747" t="s">
        <v>944</v>
      </c>
      <c r="C10" s="747"/>
      <c r="D10" s="815" t="s">
        <v>1024</v>
      </c>
      <c r="E10" s="1760"/>
      <c r="F10" s="647">
        <f>'exchange rates'!$O$3</f>
        <v>18.600290000000001</v>
      </c>
      <c r="G10" s="625" t="s">
        <v>5</v>
      </c>
      <c r="H10" s="593" t="s">
        <v>5</v>
      </c>
      <c r="I10" s="594" t="s">
        <v>5</v>
      </c>
      <c r="J10" s="595" t="s">
        <v>5</v>
      </c>
      <c r="K10" s="566" t="s">
        <v>5</v>
      </c>
      <c r="L10" s="596" t="s">
        <v>5</v>
      </c>
      <c r="M10" s="595" t="s">
        <v>5</v>
      </c>
      <c r="N10" s="626" t="s">
        <v>5</v>
      </c>
      <c r="O10" s="595" t="s">
        <v>5</v>
      </c>
      <c r="P10" s="597" t="s">
        <v>5</v>
      </c>
      <c r="Q10" s="595" t="s">
        <v>5</v>
      </c>
      <c r="R10" s="570" t="s">
        <v>5</v>
      </c>
      <c r="S10" s="571">
        <f>391.5/F10</f>
        <v>21.048058928113484</v>
      </c>
      <c r="T10" s="397"/>
      <c r="U10" s="1763"/>
      <c r="V10" s="1766"/>
      <c r="W10" s="1769"/>
      <c r="X10" s="1772"/>
      <c r="Y10" s="1775"/>
      <c r="Z10" s="1778"/>
      <c r="AA10" s="1772"/>
      <c r="AB10" s="1781"/>
      <c r="AC10" s="1772"/>
      <c r="AD10" s="1785"/>
      <c r="AE10" s="1772"/>
      <c r="AF10" s="1788"/>
      <c r="AG10" s="1791"/>
      <c r="AH10" s="397"/>
      <c r="AI10" s="396"/>
      <c r="AJ10" s="396"/>
      <c r="AK10" s="396"/>
      <c r="AL10" s="396"/>
      <c r="AM10" s="396"/>
      <c r="AN10" s="396"/>
      <c r="AO10" s="396"/>
      <c r="AP10" s="397"/>
    </row>
    <row r="11" spans="1:42" ht="16.5" hidden="1" thickBot="1" x14ac:dyDescent="0.3">
      <c r="A11" s="1757"/>
      <c r="B11" s="747" t="s">
        <v>945</v>
      </c>
      <c r="C11" s="747"/>
      <c r="D11" s="815" t="s">
        <v>1024</v>
      </c>
      <c r="E11" s="1760"/>
      <c r="F11" s="647">
        <f>'exchange rates'!$O$3</f>
        <v>18.600290000000001</v>
      </c>
      <c r="G11" s="625" t="s">
        <v>5</v>
      </c>
      <c r="H11" s="593" t="s">
        <v>5</v>
      </c>
      <c r="I11" s="594" t="s">
        <v>5</v>
      </c>
      <c r="J11" s="595" t="s">
        <v>5</v>
      </c>
      <c r="K11" s="566" t="s">
        <v>5</v>
      </c>
      <c r="L11" s="596" t="s">
        <v>5</v>
      </c>
      <c r="M11" s="595" t="s">
        <v>5</v>
      </c>
      <c r="N11" s="626" t="s">
        <v>5</v>
      </c>
      <c r="O11" s="595" t="s">
        <v>5</v>
      </c>
      <c r="P11" s="597" t="s">
        <v>5</v>
      </c>
      <c r="Q11" s="595" t="s">
        <v>5</v>
      </c>
      <c r="R11" s="570" t="s">
        <v>5</v>
      </c>
      <c r="S11" s="571">
        <f>577.63/F11</f>
        <v>31.054892154907261</v>
      </c>
      <c r="T11" s="397"/>
      <c r="U11" s="1763"/>
      <c r="V11" s="1766"/>
      <c r="W11" s="1769"/>
      <c r="X11" s="1772"/>
      <c r="Y11" s="1775"/>
      <c r="Z11" s="1778"/>
      <c r="AA11" s="1772"/>
      <c r="AB11" s="1781"/>
      <c r="AC11" s="1772"/>
      <c r="AD11" s="1785"/>
      <c r="AE11" s="1772"/>
      <c r="AF11" s="1788"/>
      <c r="AG11" s="1791"/>
      <c r="AH11" s="397"/>
      <c r="AI11" s="396"/>
      <c r="AJ11" s="396"/>
      <c r="AK11" s="396"/>
      <c r="AL11" s="396"/>
      <c r="AM11" s="396"/>
      <c r="AN11" s="396"/>
      <c r="AO11" s="396"/>
      <c r="AP11" s="397"/>
    </row>
    <row r="12" spans="1:42" ht="16.5" hidden="1" thickBot="1" x14ac:dyDescent="0.3">
      <c r="A12" s="1757"/>
      <c r="B12" s="747" t="s">
        <v>946</v>
      </c>
      <c r="C12" s="747"/>
      <c r="D12" s="815" t="s">
        <v>1024</v>
      </c>
      <c r="E12" s="1760"/>
      <c r="F12" s="647">
        <f>'exchange rates'!$O$3</f>
        <v>18.600290000000001</v>
      </c>
      <c r="G12" s="625" t="s">
        <v>5</v>
      </c>
      <c r="H12" s="593" t="s">
        <v>5</v>
      </c>
      <c r="I12" s="594" t="s">
        <v>5</v>
      </c>
      <c r="J12" s="595" t="s">
        <v>5</v>
      </c>
      <c r="K12" s="566" t="s">
        <v>5</v>
      </c>
      <c r="L12" s="596" t="s">
        <v>5</v>
      </c>
      <c r="M12" s="595" t="s">
        <v>5</v>
      </c>
      <c r="N12" s="626" t="s">
        <v>5</v>
      </c>
      <c r="O12" s="595" t="s">
        <v>5</v>
      </c>
      <c r="P12" s="597" t="s">
        <v>5</v>
      </c>
      <c r="Q12" s="595" t="s">
        <v>5</v>
      </c>
      <c r="R12" s="570" t="s">
        <v>5</v>
      </c>
      <c r="S12" s="571">
        <f>309.74/F12</f>
        <v>16.652428537404525</v>
      </c>
      <c r="T12" s="397"/>
      <c r="U12" s="1763"/>
      <c r="V12" s="1766"/>
      <c r="W12" s="1769"/>
      <c r="X12" s="1772"/>
      <c r="Y12" s="1775"/>
      <c r="Z12" s="1778"/>
      <c r="AA12" s="1772"/>
      <c r="AB12" s="1781"/>
      <c r="AC12" s="1772"/>
      <c r="AD12" s="1785"/>
      <c r="AE12" s="1772"/>
      <c r="AF12" s="1788"/>
      <c r="AG12" s="1791"/>
      <c r="AH12" s="397"/>
      <c r="AI12" s="396"/>
      <c r="AJ12" s="396"/>
      <c r="AK12" s="396"/>
      <c r="AL12" s="396"/>
      <c r="AM12" s="396"/>
      <c r="AN12" s="396"/>
      <c r="AO12" s="396"/>
      <c r="AP12" s="397"/>
    </row>
    <row r="13" spans="1:42" ht="16.5" hidden="1" thickBot="1" x14ac:dyDescent="0.3">
      <c r="A13" s="1758"/>
      <c r="B13" s="658" t="s">
        <v>947</v>
      </c>
      <c r="C13" s="747"/>
      <c r="D13" s="815" t="s">
        <v>1024</v>
      </c>
      <c r="E13" s="1761"/>
      <c r="F13" s="647">
        <f>'exchange rates'!$O$3</f>
        <v>18.600290000000001</v>
      </c>
      <c r="G13" s="625" t="s">
        <v>5</v>
      </c>
      <c r="H13" s="593" t="s">
        <v>5</v>
      </c>
      <c r="I13" s="594" t="s">
        <v>5</v>
      </c>
      <c r="J13" s="595" t="s">
        <v>5</v>
      </c>
      <c r="K13" s="566" t="s">
        <v>5</v>
      </c>
      <c r="L13" s="596" t="s">
        <v>5</v>
      </c>
      <c r="M13" s="595" t="s">
        <v>5</v>
      </c>
      <c r="N13" s="626" t="s">
        <v>5</v>
      </c>
      <c r="O13" s="595" t="s">
        <v>5</v>
      </c>
      <c r="P13" s="597" t="s">
        <v>5</v>
      </c>
      <c r="Q13" s="595" t="s">
        <v>5</v>
      </c>
      <c r="R13" s="570" t="s">
        <v>5</v>
      </c>
      <c r="S13" s="571">
        <f>970.93/F13</f>
        <v>52.199723767747699</v>
      </c>
      <c r="T13" s="397"/>
      <c r="U13" s="1764"/>
      <c r="V13" s="1767"/>
      <c r="W13" s="1770"/>
      <c r="X13" s="1773"/>
      <c r="Y13" s="1776"/>
      <c r="Z13" s="1779"/>
      <c r="AA13" s="1773"/>
      <c r="AB13" s="1811"/>
      <c r="AC13" s="1773"/>
      <c r="AD13" s="1813"/>
      <c r="AE13" s="1773"/>
      <c r="AF13" s="1815"/>
      <c r="AG13" s="1794"/>
      <c r="AH13" s="397"/>
      <c r="AI13" s="396"/>
      <c r="AJ13" s="396"/>
      <c r="AK13" s="396"/>
      <c r="AL13" s="396"/>
      <c r="AM13" s="396"/>
      <c r="AN13" s="396"/>
      <c r="AO13" s="396"/>
      <c r="AP13" s="397"/>
    </row>
    <row r="14" spans="1:42" ht="15.6" hidden="1" customHeight="1" thickBot="1" x14ac:dyDescent="0.3">
      <c r="A14" s="1033" t="s">
        <v>524</v>
      </c>
      <c r="B14" s="646" t="s">
        <v>526</v>
      </c>
      <c r="C14" s="1054" t="s">
        <v>429</v>
      </c>
      <c r="D14" s="816" t="s">
        <v>1026</v>
      </c>
      <c r="E14" s="981">
        <v>9100</v>
      </c>
      <c r="F14" s="647">
        <f>'exchange rates'!O4</f>
        <v>483.08548000000002</v>
      </c>
      <c r="G14" s="625">
        <f>(127.5*100)/F14</f>
        <v>26.392844595536175</v>
      </c>
      <c r="H14" s="593">
        <f>0</f>
        <v>0</v>
      </c>
      <c r="I14" s="594">
        <f>0</f>
        <v>0</v>
      </c>
      <c r="J14" s="595">
        <f>(25.5*100)/F14</f>
        <v>5.2785689191072356</v>
      </c>
      <c r="K14" s="566">
        <f>Tabel66892127[[#This Row],[Fix.ch. 2017]]+Tabel66892127[[#This Row],[Var. ch. 2017]]+Tabel66892127[[#This Row],[Oth. ch. DW 2017]]+Tabel66892127[[#This Row],[VAT DW 2017]]</f>
        <v>31.671413514643412</v>
      </c>
      <c r="L14" s="596">
        <f>(22.5*100)/F14</f>
        <v>4.6575608109769719</v>
      </c>
      <c r="M14" s="595">
        <f>(4.5*100)/F14</f>
        <v>0.93151216219539446</v>
      </c>
      <c r="N14" s="626">
        <v>0</v>
      </c>
      <c r="O14" s="595">
        <v>0</v>
      </c>
      <c r="P14" s="597">
        <v>0</v>
      </c>
      <c r="Q14" s="595">
        <v>0</v>
      </c>
      <c r="R14" s="570">
        <f>Tabel66892127[[#This Row],[VAT DW 2017]]+Tabel66892127[[#This Row],[VAT Sew. 2017]]+Tabel66892127[[#This Row],[VAT WW 2017]]+Tabel66892127[[#This Row],[VAT Other ch. 2017]]</f>
        <v>6.2100810813026301</v>
      </c>
      <c r="S14" s="571">
        <f>Tabel66892127[[#This Row],[Total. ch. DW 2017]]+Tabel66892127[[#This Row],[Sew. 2017]]+Tabel66892127[[#This Row],[VAT Sew. 2017]]+Tabel66892127[[#This Row],[WW 2017]]+Tabel66892127[[#This Row],[VAT WW 2017]]+Tabel66892127[[#This Row],[Other ch. 2017]]+Tabel66892127[[#This Row],[VAT Other ch. 2017]]</f>
        <v>37.260486487815783</v>
      </c>
      <c r="T14" s="397"/>
      <c r="U14" s="983">
        <f t="shared" ref="U14:AG14" si="0">MEDIAN(G14:G14)</f>
        <v>26.392844595536175</v>
      </c>
      <c r="V14" s="984">
        <f t="shared" si="0"/>
        <v>0</v>
      </c>
      <c r="W14" s="985">
        <f t="shared" si="0"/>
        <v>0</v>
      </c>
      <c r="X14" s="972">
        <f t="shared" si="0"/>
        <v>5.2785689191072356</v>
      </c>
      <c r="Y14" s="971">
        <f t="shared" si="0"/>
        <v>31.671413514643412</v>
      </c>
      <c r="Z14" s="974">
        <f t="shared" si="0"/>
        <v>4.6575608109769719</v>
      </c>
      <c r="AA14" s="972">
        <f t="shared" si="0"/>
        <v>0.93151216219539446</v>
      </c>
      <c r="AB14" s="979">
        <f t="shared" si="0"/>
        <v>0</v>
      </c>
      <c r="AC14" s="972">
        <f t="shared" si="0"/>
        <v>0</v>
      </c>
      <c r="AD14" s="975">
        <f t="shared" si="0"/>
        <v>0</v>
      </c>
      <c r="AE14" s="972">
        <f t="shared" si="0"/>
        <v>0</v>
      </c>
      <c r="AF14" s="990">
        <f t="shared" si="0"/>
        <v>6.2100810813026301</v>
      </c>
      <c r="AG14" s="989">
        <f t="shared" si="0"/>
        <v>37.260486487815783</v>
      </c>
      <c r="AH14" s="397"/>
      <c r="AI14" s="398"/>
      <c r="AJ14" s="591" t="s">
        <v>429</v>
      </c>
      <c r="AK14" s="398"/>
      <c r="AL14" s="398"/>
      <c r="AM14" s="398"/>
      <c r="AN14" s="591" t="s">
        <v>429</v>
      </c>
      <c r="AO14" s="398"/>
      <c r="AP14" s="397"/>
    </row>
    <row r="15" spans="1:42" ht="18" hidden="1" customHeight="1" x14ac:dyDescent="0.3">
      <c r="A15" s="1795" t="s">
        <v>34</v>
      </c>
      <c r="B15" s="664" t="s">
        <v>176</v>
      </c>
      <c r="C15" s="653"/>
      <c r="D15" s="653" t="s">
        <v>1028</v>
      </c>
      <c r="E15" s="1798">
        <v>49900</v>
      </c>
      <c r="F15" s="616">
        <f>'exchange rates'!$O$5</f>
        <v>1.2820499999999999</v>
      </c>
      <c r="G15" s="625">
        <f>192.28/F15</f>
        <v>149.97854997854998</v>
      </c>
      <c r="H15" s="593">
        <f>351.76/F15</f>
        <v>274.37307437307436</v>
      </c>
      <c r="I15" s="594">
        <v>0</v>
      </c>
      <c r="J15" s="595">
        <v>0</v>
      </c>
      <c r="K15" s="566">
        <f>Tabel66892127[[#This Row],[Fix.ch. 2017]]+Tabel66892127[[#This Row],[Var. ch. 2017]]+Tabel66892127[[#This Row],[Oth. ch. DW 2017]]+Tabel66892127[[#This Row],[VAT DW 2017]]</f>
        <v>424.35162435162431</v>
      </c>
      <c r="L15" s="596">
        <f>522/F15</f>
        <v>407.1604071604072</v>
      </c>
      <c r="M15" s="595">
        <v>0</v>
      </c>
      <c r="N15" s="626">
        <v>0</v>
      </c>
      <c r="O15" s="595">
        <v>0</v>
      </c>
      <c r="P15" s="597">
        <v>0</v>
      </c>
      <c r="Q15" s="595">
        <v>0</v>
      </c>
      <c r="R15" s="570">
        <f>Tabel66892127[[#This Row],[VAT DW 2017]]+Tabel66892127[[#This Row],[VAT Sew. 2017]]+Tabel66892127[[#This Row],[VAT WW 2017]]+Tabel66892127[[#This Row],[VAT Other ch. 2017]]</f>
        <v>0</v>
      </c>
      <c r="S15" s="571">
        <f>Tabel66892127[[#This Row],[Total. ch. DW 2017]]+Tabel66892127[[#This Row],[Sew. 2017]]+Tabel66892127[[#This Row],[VAT Sew. 2017]]+Tabel66892127[[#This Row],[WW 2017]]+Tabel66892127[[#This Row],[VAT WW 2017]]+Tabel66892127[[#This Row],[Other ch. 2017]]+Tabel66892127[[#This Row],[VAT Other ch. 2017]]</f>
        <v>831.51203151203151</v>
      </c>
      <c r="T15" s="397"/>
      <c r="U15" s="1800">
        <f>MEDIAN(G15:G23)</f>
        <v>129.72192972192974</v>
      </c>
      <c r="V15" s="1802">
        <f>MEDIAN(H15:H23)</f>
        <v>168.08236808236811</v>
      </c>
      <c r="W15" s="1804">
        <f>MEDIAN(I15:I23)</f>
        <v>0</v>
      </c>
      <c r="X15" s="1771">
        <f>MEDIAN(J15:J23)</f>
        <v>0</v>
      </c>
      <c r="Y15" s="1806">
        <f>SUM(U15:X23)</f>
        <v>297.80429780429785</v>
      </c>
      <c r="Z15" s="1808">
        <f t="shared" ref="Z15:AF15" si="1">MEDIAN(L15:L23)</f>
        <v>455.52045552045553</v>
      </c>
      <c r="AA15" s="1771">
        <f t="shared" si="1"/>
        <v>0</v>
      </c>
      <c r="AB15" s="1780">
        <f t="shared" si="1"/>
        <v>0</v>
      </c>
      <c r="AC15" s="1771">
        <f t="shared" si="1"/>
        <v>0</v>
      </c>
      <c r="AD15" s="1784">
        <f t="shared" si="1"/>
        <v>0</v>
      </c>
      <c r="AE15" s="1771">
        <f t="shared" si="1"/>
        <v>0</v>
      </c>
      <c r="AF15" s="1787">
        <f t="shared" si="1"/>
        <v>0</v>
      </c>
      <c r="AG15" s="1790">
        <f>Y15+Z15+AA15+AB15+AC15+AD15+AE15</f>
        <v>753.32475332475337</v>
      </c>
      <c r="AH15" s="397"/>
      <c r="AI15" s="398"/>
      <c r="AJ15" s="591" t="s">
        <v>429</v>
      </c>
      <c r="AK15" s="398"/>
      <c r="AL15" s="396"/>
      <c r="AM15" s="591" t="s">
        <v>429</v>
      </c>
      <c r="AN15" s="396"/>
      <c r="AO15" s="398"/>
      <c r="AP15" s="397"/>
    </row>
    <row r="16" spans="1:42" ht="15.6" hidden="1" customHeight="1" x14ac:dyDescent="0.3">
      <c r="A16" s="1796"/>
      <c r="B16" s="261" t="s">
        <v>177</v>
      </c>
      <c r="C16" s="261"/>
      <c r="D16" s="261" t="s">
        <v>1028</v>
      </c>
      <c r="E16" s="1760"/>
      <c r="F16" s="616">
        <f>'exchange rates'!$O$5</f>
        <v>1.2820499999999999</v>
      </c>
      <c r="G16" s="310"/>
      <c r="H16" s="311"/>
      <c r="I16" s="312"/>
      <c r="J16" s="558"/>
      <c r="K16" s="313">
        <f>Tabel66892127[[#This Row],[Fix.ch. 2017]]+Tabel66892127[[#This Row],[Var. ch. 2017]]+Tabel66892127[[#This Row],[Oth. ch. DW 2017]]+Tabel66892127[[#This Row],[VAT DW 2017]]</f>
        <v>0</v>
      </c>
      <c r="L16" s="314"/>
      <c r="M16" s="558"/>
      <c r="N16" s="315"/>
      <c r="O16" s="558"/>
      <c r="P16" s="316"/>
      <c r="Q16" s="558"/>
      <c r="R16" s="317">
        <f>Tabel66892127[[#This Row],[VAT DW 2017]]+Tabel66892127[[#This Row],[VAT Sew. 2017]]+Tabel66892127[[#This Row],[VAT WW 2017]]+Tabel66892127[[#This Row],[VAT Other ch. 2017]]</f>
        <v>0</v>
      </c>
      <c r="S16" s="318">
        <f>Tabel66892127[[#This Row],[Total. ch. DW 2017]]+Tabel66892127[[#This Row],[Sew. 2017]]+Tabel66892127[[#This Row],[VAT Sew. 2017]]+Tabel66892127[[#This Row],[WW 2017]]+Tabel66892127[[#This Row],[VAT WW 2017]]+Tabel66892127[[#This Row],[Other ch. 2017]]+Tabel66892127[[#This Row],[VAT Other ch. 2017]]</f>
        <v>0</v>
      </c>
      <c r="T16" s="397"/>
      <c r="U16" s="1763"/>
      <c r="V16" s="1766"/>
      <c r="W16" s="1769"/>
      <c r="X16" s="1783"/>
      <c r="Y16" s="1775"/>
      <c r="Z16" s="1778"/>
      <c r="AA16" s="1783"/>
      <c r="AB16" s="1781"/>
      <c r="AC16" s="1783"/>
      <c r="AD16" s="1785"/>
      <c r="AE16" s="1783"/>
      <c r="AF16" s="1788"/>
      <c r="AG16" s="1791"/>
      <c r="AH16" s="397"/>
      <c r="AI16" s="398"/>
      <c r="AJ16" s="398"/>
      <c r="AK16" s="398"/>
      <c r="AL16" s="396"/>
      <c r="AM16" s="396"/>
      <c r="AN16" s="396"/>
      <c r="AO16" s="398"/>
      <c r="AP16" s="397"/>
    </row>
    <row r="17" spans="1:42" ht="15.6" hidden="1" customHeight="1" x14ac:dyDescent="0.3">
      <c r="A17" s="1796"/>
      <c r="B17" s="631" t="s">
        <v>178</v>
      </c>
      <c r="C17" s="631"/>
      <c r="D17" s="631" t="s">
        <v>1028</v>
      </c>
      <c r="E17" s="1760"/>
      <c r="F17" s="616">
        <f>'exchange rates'!$O$5</f>
        <v>1.2820499999999999</v>
      </c>
      <c r="G17" s="625">
        <f>166.31/F17</f>
        <v>129.72192972192974</v>
      </c>
      <c r="H17" s="593">
        <f>215.49/F17</f>
        <v>168.08236808236811</v>
      </c>
      <c r="I17" s="594">
        <v>0</v>
      </c>
      <c r="J17" s="595">
        <v>0</v>
      </c>
      <c r="K17" s="566">
        <f>Tabel66892127[[#This Row],[Fix.ch. 2017]]+Tabel66892127[[#This Row],[Var. ch. 2017]]+Tabel66892127[[#This Row],[Oth. ch. DW 2017]]+Tabel66892127[[#This Row],[VAT DW 2017]]</f>
        <v>297.80429780429785</v>
      </c>
      <c r="L17" s="596">
        <f>622.16/F17</f>
        <v>485.28528528528528</v>
      </c>
      <c r="M17" s="595">
        <v>0</v>
      </c>
      <c r="N17" s="626">
        <v>0</v>
      </c>
      <c r="O17" s="595">
        <v>0</v>
      </c>
      <c r="P17" s="597">
        <v>0</v>
      </c>
      <c r="Q17" s="595">
        <v>0</v>
      </c>
      <c r="R17" s="570">
        <f>Tabel66892127[[#This Row],[VAT DW 2017]]+Tabel66892127[[#This Row],[VAT Sew. 2017]]+Tabel66892127[[#This Row],[VAT WW 2017]]+Tabel66892127[[#This Row],[VAT Other ch. 2017]]</f>
        <v>0</v>
      </c>
      <c r="S17" s="571">
        <f>Tabel66892127[[#This Row],[Total. ch. DW 2017]]+Tabel66892127[[#This Row],[Sew. 2017]]+Tabel66892127[[#This Row],[VAT Sew. 2017]]+Tabel66892127[[#This Row],[WW 2017]]+Tabel66892127[[#This Row],[VAT WW 2017]]+Tabel66892127[[#This Row],[Other ch. 2017]]+Tabel66892127[[#This Row],[VAT Other ch. 2017]]</f>
        <v>783.08958308958313</v>
      </c>
      <c r="T17" s="397"/>
      <c r="U17" s="1763"/>
      <c r="V17" s="1766"/>
      <c r="W17" s="1769"/>
      <c r="X17" s="1783"/>
      <c r="Y17" s="1775"/>
      <c r="Z17" s="1778"/>
      <c r="AA17" s="1783"/>
      <c r="AB17" s="1781"/>
      <c r="AC17" s="1783"/>
      <c r="AD17" s="1785"/>
      <c r="AE17" s="1783"/>
      <c r="AF17" s="1788"/>
      <c r="AG17" s="1791"/>
      <c r="AH17" s="397"/>
      <c r="AI17" s="398"/>
      <c r="AJ17" s="591" t="s">
        <v>429</v>
      </c>
      <c r="AK17" s="398"/>
      <c r="AL17" s="396"/>
      <c r="AM17" s="591" t="s">
        <v>429</v>
      </c>
      <c r="AN17" s="396"/>
      <c r="AO17" s="398"/>
      <c r="AP17" s="397"/>
    </row>
    <row r="18" spans="1:42" ht="15.6" hidden="1" customHeight="1" x14ac:dyDescent="0.3">
      <c r="A18" s="1796"/>
      <c r="B18" s="631" t="s">
        <v>179</v>
      </c>
      <c r="C18" s="631"/>
      <c r="D18" s="631" t="s">
        <v>1028</v>
      </c>
      <c r="E18" s="1760"/>
      <c r="F18" s="616">
        <f>'exchange rates'!$O$5</f>
        <v>1.2820499999999999</v>
      </c>
      <c r="G18" s="625">
        <f>236.32/F18</f>
        <v>184.32978432978433</v>
      </c>
      <c r="H18" s="593">
        <f>171.3/F18</f>
        <v>133.61413361413364</v>
      </c>
      <c r="I18" s="594">
        <v>0</v>
      </c>
      <c r="J18" s="595">
        <v>0</v>
      </c>
      <c r="K18" s="566">
        <f>Tabel66892127[[#This Row],[Fix.ch. 2017]]+Tabel66892127[[#This Row],[Var. ch. 2017]]+Tabel66892127[[#This Row],[Oth. ch. DW 2017]]+Tabel66892127[[#This Row],[VAT DW 2017]]</f>
        <v>317.943917943918</v>
      </c>
      <c r="L18" s="596">
        <f>758/F18</f>
        <v>591.24059124059124</v>
      </c>
      <c r="M18" s="595">
        <v>0</v>
      </c>
      <c r="N18" s="626">
        <v>0</v>
      </c>
      <c r="O18" s="595">
        <v>0</v>
      </c>
      <c r="P18" s="597">
        <v>0</v>
      </c>
      <c r="Q18" s="595">
        <v>0</v>
      </c>
      <c r="R18" s="570">
        <f>Tabel66892127[[#This Row],[VAT DW 2017]]+Tabel66892127[[#This Row],[VAT Sew. 2017]]+Tabel66892127[[#This Row],[VAT WW 2017]]+Tabel66892127[[#This Row],[VAT Other ch. 2017]]</f>
        <v>0</v>
      </c>
      <c r="S18" s="571">
        <f>Tabel66892127[[#This Row],[Total. ch. DW 2017]]+Tabel66892127[[#This Row],[Sew. 2017]]+Tabel66892127[[#This Row],[VAT Sew. 2017]]+Tabel66892127[[#This Row],[WW 2017]]+Tabel66892127[[#This Row],[VAT WW 2017]]+Tabel66892127[[#This Row],[Other ch. 2017]]+Tabel66892127[[#This Row],[VAT Other ch. 2017]]</f>
        <v>909.18450918450924</v>
      </c>
      <c r="T18" s="397"/>
      <c r="U18" s="1763"/>
      <c r="V18" s="1766"/>
      <c r="W18" s="1769"/>
      <c r="X18" s="1783"/>
      <c r="Y18" s="1775"/>
      <c r="Z18" s="1778"/>
      <c r="AA18" s="1783"/>
      <c r="AB18" s="1781"/>
      <c r="AC18" s="1783"/>
      <c r="AD18" s="1785"/>
      <c r="AE18" s="1783"/>
      <c r="AF18" s="1788"/>
      <c r="AG18" s="1791"/>
      <c r="AH18" s="397"/>
      <c r="AI18" s="398"/>
      <c r="AJ18" s="591" t="s">
        <v>429</v>
      </c>
      <c r="AK18" s="398"/>
      <c r="AL18" s="396"/>
      <c r="AM18" s="591" t="s">
        <v>429</v>
      </c>
      <c r="AN18" s="396"/>
      <c r="AO18" s="398"/>
      <c r="AP18" s="397"/>
    </row>
    <row r="19" spans="1:42" ht="15.6" hidden="1" customHeight="1" x14ac:dyDescent="0.3">
      <c r="A19" s="1796"/>
      <c r="B19" s="631" t="s">
        <v>180</v>
      </c>
      <c r="C19" s="631"/>
      <c r="D19" s="631" t="s">
        <v>1028</v>
      </c>
      <c r="E19" s="1760"/>
      <c r="F19" s="616">
        <f>'exchange rates'!$O$5</f>
        <v>1.2820499999999999</v>
      </c>
      <c r="G19" s="625">
        <f>90/F19</f>
        <v>70.200070200070201</v>
      </c>
      <c r="H19" s="593">
        <f>200/F19</f>
        <v>156.00015600015601</v>
      </c>
      <c r="I19" s="594">
        <v>0</v>
      </c>
      <c r="J19" s="595">
        <v>0</v>
      </c>
      <c r="K19" s="566">
        <f>Tabel66892127[[#This Row],[Fix.ch. 2017]]+Tabel66892127[[#This Row],[Var. ch. 2017]]+Tabel66892127[[#This Row],[Oth. ch. DW 2017]]+Tabel66892127[[#This Row],[VAT DW 2017]]</f>
        <v>226.20022620022621</v>
      </c>
      <c r="L19" s="596">
        <f>584/F19</f>
        <v>455.52045552045553</v>
      </c>
      <c r="M19" s="595">
        <v>0</v>
      </c>
      <c r="N19" s="626">
        <v>0</v>
      </c>
      <c r="O19" s="595">
        <v>0</v>
      </c>
      <c r="P19" s="597">
        <v>0</v>
      </c>
      <c r="Q19" s="595">
        <v>0</v>
      </c>
      <c r="R19" s="570">
        <f>Tabel66892127[[#This Row],[VAT DW 2017]]+Tabel66892127[[#This Row],[VAT Sew. 2017]]+Tabel66892127[[#This Row],[VAT WW 2017]]+Tabel66892127[[#This Row],[VAT Other ch. 2017]]</f>
        <v>0</v>
      </c>
      <c r="S19" s="571">
        <f>Tabel66892127[[#This Row],[Total. ch. DW 2017]]+Tabel66892127[[#This Row],[Sew. 2017]]+Tabel66892127[[#This Row],[VAT Sew. 2017]]+Tabel66892127[[#This Row],[WW 2017]]+Tabel66892127[[#This Row],[VAT WW 2017]]+Tabel66892127[[#This Row],[Other ch. 2017]]+Tabel66892127[[#This Row],[VAT Other ch. 2017]]</f>
        <v>681.7206817206818</v>
      </c>
      <c r="T19" s="397"/>
      <c r="U19" s="1763"/>
      <c r="V19" s="1766"/>
      <c r="W19" s="1769"/>
      <c r="X19" s="1783"/>
      <c r="Y19" s="1775"/>
      <c r="Z19" s="1778"/>
      <c r="AA19" s="1783"/>
      <c r="AB19" s="1781"/>
      <c r="AC19" s="1783"/>
      <c r="AD19" s="1785"/>
      <c r="AE19" s="1783"/>
      <c r="AF19" s="1788"/>
      <c r="AG19" s="1791"/>
      <c r="AH19" s="397"/>
      <c r="AI19" s="398"/>
      <c r="AJ19" s="591" t="s">
        <v>429</v>
      </c>
      <c r="AK19" s="396"/>
      <c r="AL19" s="396"/>
      <c r="AM19" s="591" t="s">
        <v>429</v>
      </c>
      <c r="AN19" s="396"/>
      <c r="AO19" s="398"/>
      <c r="AP19" s="397"/>
    </row>
    <row r="20" spans="1:42" ht="15.6" hidden="1" customHeight="1" x14ac:dyDescent="0.3">
      <c r="A20" s="1796"/>
      <c r="B20" s="631" t="s">
        <v>544</v>
      </c>
      <c r="C20" s="631" t="s">
        <v>429</v>
      </c>
      <c r="D20" s="631" t="s">
        <v>1028</v>
      </c>
      <c r="E20" s="1760"/>
      <c r="F20" s="616">
        <f>'exchange rates'!$O$5</f>
        <v>1.2820499999999999</v>
      </c>
      <c r="G20" s="625">
        <f>101.48/F20</f>
        <v>79.154479154479162</v>
      </c>
      <c r="H20" s="593">
        <f>261/F20</f>
        <v>203.5802035802036</v>
      </c>
      <c r="I20" s="594">
        <v>0</v>
      </c>
      <c r="J20" s="595">
        <v>0</v>
      </c>
      <c r="K20" s="566">
        <f>Tabel66892127[[#This Row],[Fix.ch. 2017]]+Tabel66892127[[#This Row],[Var. ch. 2017]]+Tabel66892127[[#This Row],[Oth. ch. DW 2017]]+Tabel66892127[[#This Row],[VAT DW 2017]]</f>
        <v>282.73468273468279</v>
      </c>
      <c r="L20" s="596">
        <f>529/F20</f>
        <v>412.62041262041265</v>
      </c>
      <c r="M20" s="595">
        <v>0</v>
      </c>
      <c r="N20" s="626">
        <v>0</v>
      </c>
      <c r="O20" s="595">
        <v>0</v>
      </c>
      <c r="P20" s="597">
        <v>0</v>
      </c>
      <c r="Q20" s="595">
        <v>0</v>
      </c>
      <c r="R20" s="570">
        <f>Tabel66892127[[#This Row],[VAT DW 2017]]+Tabel66892127[[#This Row],[VAT Sew. 2017]]+Tabel66892127[[#This Row],[VAT WW 2017]]+Tabel66892127[[#This Row],[VAT Other ch. 2017]]</f>
        <v>0</v>
      </c>
      <c r="S20" s="571">
        <f>Tabel66892127[[#This Row],[Total. ch. DW 2017]]+Tabel66892127[[#This Row],[Sew. 2017]]+Tabel66892127[[#This Row],[VAT Sew. 2017]]+Tabel66892127[[#This Row],[WW 2017]]+Tabel66892127[[#This Row],[VAT WW 2017]]+Tabel66892127[[#This Row],[Other ch. 2017]]+Tabel66892127[[#This Row],[VAT Other ch. 2017]]</f>
        <v>695.3550953550955</v>
      </c>
      <c r="T20" s="397"/>
      <c r="U20" s="1763"/>
      <c r="V20" s="1766"/>
      <c r="W20" s="1769"/>
      <c r="X20" s="1783"/>
      <c r="Y20" s="1775"/>
      <c r="Z20" s="1778"/>
      <c r="AA20" s="1783"/>
      <c r="AB20" s="1781"/>
      <c r="AC20" s="1783"/>
      <c r="AD20" s="1785"/>
      <c r="AE20" s="1783"/>
      <c r="AF20" s="1788"/>
      <c r="AG20" s="1791"/>
      <c r="AH20" s="397"/>
      <c r="AI20" s="396"/>
      <c r="AJ20" s="591" t="s">
        <v>429</v>
      </c>
      <c r="AK20" s="396"/>
      <c r="AL20" s="396"/>
      <c r="AM20" s="591" t="s">
        <v>429</v>
      </c>
      <c r="AN20" s="396"/>
      <c r="AO20" s="396"/>
      <c r="AP20" s="399"/>
    </row>
    <row r="21" spans="1:42" ht="15.6" hidden="1" customHeight="1" x14ac:dyDescent="0.3">
      <c r="A21" s="1796"/>
      <c r="B21" s="261" t="s">
        <v>545</v>
      </c>
      <c r="C21" s="261"/>
      <c r="D21" s="261" t="s">
        <v>1028</v>
      </c>
      <c r="E21" s="1760"/>
      <c r="F21" s="616">
        <f>'exchange rates'!$O$5</f>
        <v>1.2820499999999999</v>
      </c>
      <c r="G21" s="310"/>
      <c r="H21" s="311"/>
      <c r="I21" s="312"/>
      <c r="J21" s="558"/>
      <c r="K21" s="313">
        <f>Tabel66892127[[#This Row],[Fix.ch. 2017]]+Tabel66892127[[#This Row],[Var. ch. 2017]]+Tabel66892127[[#This Row],[Oth. ch. DW 2017]]+Tabel66892127[[#This Row],[VAT DW 2017]]</f>
        <v>0</v>
      </c>
      <c r="L21" s="314"/>
      <c r="M21" s="558"/>
      <c r="N21" s="315"/>
      <c r="O21" s="558"/>
      <c r="P21" s="316"/>
      <c r="Q21" s="558"/>
      <c r="R21" s="317">
        <f>Tabel66892127[[#This Row],[VAT DW 2017]]+Tabel66892127[[#This Row],[VAT Sew. 2017]]+Tabel66892127[[#This Row],[VAT WW 2017]]+Tabel66892127[[#This Row],[VAT Other ch. 2017]]</f>
        <v>0</v>
      </c>
      <c r="S21" s="318">
        <f>Tabel66892127[[#This Row],[Total. ch. DW 2017]]+Tabel66892127[[#This Row],[Sew. 2017]]+Tabel66892127[[#This Row],[VAT Sew. 2017]]+Tabel66892127[[#This Row],[WW 2017]]+Tabel66892127[[#This Row],[VAT WW 2017]]+Tabel66892127[[#This Row],[Other ch. 2017]]+Tabel66892127[[#This Row],[VAT Other ch. 2017]]</f>
        <v>0</v>
      </c>
      <c r="T21" s="397"/>
      <c r="U21" s="1763"/>
      <c r="V21" s="1766"/>
      <c r="W21" s="1769"/>
      <c r="X21" s="1783"/>
      <c r="Y21" s="1775"/>
      <c r="Z21" s="1778"/>
      <c r="AA21" s="1783"/>
      <c r="AB21" s="1781"/>
      <c r="AC21" s="1783"/>
      <c r="AD21" s="1785"/>
      <c r="AE21" s="1783"/>
      <c r="AF21" s="1788"/>
      <c r="AG21" s="1791"/>
      <c r="AH21" s="397"/>
      <c r="AI21" s="396"/>
      <c r="AJ21" s="396"/>
      <c r="AK21" s="396"/>
      <c r="AL21" s="396"/>
      <c r="AM21" s="396"/>
      <c r="AN21" s="396"/>
      <c r="AO21" s="396"/>
      <c r="AP21" s="399"/>
    </row>
    <row r="22" spans="1:42" ht="15.6" hidden="1" customHeight="1" x14ac:dyDescent="0.3">
      <c r="A22" s="1796"/>
      <c r="B22" s="261" t="s">
        <v>779</v>
      </c>
      <c r="C22" s="261"/>
      <c r="D22" s="261" t="s">
        <v>1028</v>
      </c>
      <c r="E22" s="1760"/>
      <c r="F22" s="616">
        <f>'exchange rates'!$O$5</f>
        <v>1.2820499999999999</v>
      </c>
      <c r="G22" s="310"/>
      <c r="H22" s="311"/>
      <c r="I22" s="312"/>
      <c r="J22" s="558"/>
      <c r="K22" s="313">
        <f>Tabel66892127[[#This Row],[Fix.ch. 2017]]+Tabel66892127[[#This Row],[Var. ch. 2017]]+Tabel66892127[[#This Row],[Oth. ch. DW 2017]]+Tabel66892127[[#This Row],[VAT DW 2017]]</f>
        <v>0</v>
      </c>
      <c r="L22" s="314"/>
      <c r="M22" s="558"/>
      <c r="N22" s="315"/>
      <c r="O22" s="558"/>
      <c r="P22" s="316"/>
      <c r="Q22" s="558"/>
      <c r="R22" s="317">
        <f>Tabel66892127[[#This Row],[VAT DW 2017]]+Tabel66892127[[#This Row],[VAT Sew. 2017]]+Tabel66892127[[#This Row],[VAT WW 2017]]+Tabel66892127[[#This Row],[VAT Other ch. 2017]]</f>
        <v>0</v>
      </c>
      <c r="S22" s="318">
        <f>Tabel66892127[[#This Row],[Total. ch. DW 2017]]+Tabel66892127[[#This Row],[Sew. 2017]]+Tabel66892127[[#This Row],[VAT Sew. 2017]]+Tabel66892127[[#This Row],[WW 2017]]+Tabel66892127[[#This Row],[VAT WW 2017]]+Tabel66892127[[#This Row],[Other ch. 2017]]+Tabel66892127[[#This Row],[VAT Other ch. 2017]]</f>
        <v>0</v>
      </c>
      <c r="T22" s="397"/>
      <c r="U22" s="1763"/>
      <c r="V22" s="1766"/>
      <c r="W22" s="1769"/>
      <c r="X22" s="1783"/>
      <c r="Y22" s="1775"/>
      <c r="Z22" s="1778"/>
      <c r="AA22" s="1783"/>
      <c r="AB22" s="1781"/>
      <c r="AC22" s="1783"/>
      <c r="AD22" s="1785"/>
      <c r="AE22" s="1783"/>
      <c r="AF22" s="1788"/>
      <c r="AG22" s="1791"/>
      <c r="AH22" s="397"/>
      <c r="AI22" s="396"/>
      <c r="AJ22" s="396"/>
      <c r="AK22" s="396"/>
      <c r="AL22" s="396"/>
      <c r="AM22" s="396"/>
      <c r="AN22" s="396"/>
      <c r="AO22" s="396"/>
      <c r="AP22" s="399"/>
    </row>
    <row r="23" spans="1:42" ht="16.149999999999999" hidden="1" customHeight="1" thickBot="1" x14ac:dyDescent="0.3">
      <c r="A23" s="1797"/>
      <c r="B23" s="262" t="s">
        <v>546</v>
      </c>
      <c r="C23" s="261"/>
      <c r="D23" s="261" t="s">
        <v>1028</v>
      </c>
      <c r="E23" s="1799"/>
      <c r="F23" s="616">
        <f>'exchange rates'!$O$5</f>
        <v>1.2820499999999999</v>
      </c>
      <c r="G23" s="310"/>
      <c r="H23" s="311"/>
      <c r="I23" s="312"/>
      <c r="J23" s="558"/>
      <c r="K23" s="313">
        <f>Tabel66892127[[#This Row],[Fix.ch. 2017]]+Tabel66892127[[#This Row],[Var. ch. 2017]]+Tabel66892127[[#This Row],[Oth. ch. DW 2017]]+Tabel66892127[[#This Row],[VAT DW 2017]]</f>
        <v>0</v>
      </c>
      <c r="L23" s="314"/>
      <c r="M23" s="558"/>
      <c r="N23" s="315"/>
      <c r="O23" s="558"/>
      <c r="P23" s="316"/>
      <c r="Q23" s="558"/>
      <c r="R23" s="317">
        <f>Tabel66892127[[#This Row],[VAT DW 2017]]+Tabel66892127[[#This Row],[VAT Sew. 2017]]+Tabel66892127[[#This Row],[VAT WW 2017]]+Tabel66892127[[#This Row],[VAT Other ch. 2017]]</f>
        <v>0</v>
      </c>
      <c r="S23" s="318">
        <f>Tabel66892127[[#This Row],[Total. ch. DW 2017]]+Tabel66892127[[#This Row],[Sew. 2017]]+Tabel66892127[[#This Row],[VAT Sew. 2017]]+Tabel66892127[[#This Row],[WW 2017]]+Tabel66892127[[#This Row],[VAT WW 2017]]+Tabel66892127[[#This Row],[Other ch. 2017]]+Tabel66892127[[#This Row],[VAT Other ch. 2017]]</f>
        <v>0</v>
      </c>
      <c r="T23" s="397"/>
      <c r="U23" s="1801"/>
      <c r="V23" s="1803"/>
      <c r="W23" s="1805"/>
      <c r="X23" s="1773"/>
      <c r="Y23" s="1807"/>
      <c r="Z23" s="1809"/>
      <c r="AA23" s="1773"/>
      <c r="AB23" s="1782"/>
      <c r="AC23" s="1773"/>
      <c r="AD23" s="1786"/>
      <c r="AE23" s="1773"/>
      <c r="AF23" s="1789"/>
      <c r="AG23" s="1792"/>
      <c r="AH23" s="397"/>
      <c r="AI23" s="396"/>
      <c r="AJ23" s="396"/>
      <c r="AK23" s="396"/>
      <c r="AL23" s="396"/>
      <c r="AM23" s="396"/>
      <c r="AN23" s="396"/>
      <c r="AO23" s="396"/>
      <c r="AP23" s="399"/>
    </row>
    <row r="24" spans="1:42" ht="15.75" hidden="1" customHeight="1" x14ac:dyDescent="0.3">
      <c r="A24" s="1795" t="s">
        <v>4</v>
      </c>
      <c r="B24" s="724" t="s">
        <v>932</v>
      </c>
      <c r="C24" s="724"/>
      <c r="D24" s="806" t="s">
        <v>1030</v>
      </c>
      <c r="E24" s="1760">
        <v>49200</v>
      </c>
      <c r="F24" s="616">
        <f>'exchange rates'!O6</f>
        <v>0.83301000000000003</v>
      </c>
      <c r="G24" s="625">
        <f>37/F24</f>
        <v>44.417233886748058</v>
      </c>
      <c r="H24" s="593">
        <f>149/F24</f>
        <v>178.86940132771514</v>
      </c>
      <c r="I24" s="594">
        <v>0</v>
      </c>
      <c r="J24" s="595">
        <f>18.53/F24</f>
        <v>22.244630916795717</v>
      </c>
      <c r="K24" s="566">
        <f>Tabel66892127[[#This Row],[Fix.ch. 2017]]+Tabel66892127[[#This Row],[Var. ch. 2017]]+Tabel66892127[[#This Row],[Oth. ch. DW 2017]]+Tabel66892127[[#This Row],[VAT DW 2017]]</f>
        <v>245.53126613125892</v>
      </c>
      <c r="L24" s="596">
        <v>0</v>
      </c>
      <c r="M24" s="595">
        <v>0</v>
      </c>
      <c r="N24" s="626">
        <f>193/F24</f>
        <v>231.68989567952366</v>
      </c>
      <c r="O24" s="595">
        <f>19.32/F24</f>
        <v>23.192998883566823</v>
      </c>
      <c r="P24" s="597">
        <v>0</v>
      </c>
      <c r="Q24" s="595">
        <v>0</v>
      </c>
      <c r="R24" s="570">
        <f>Tabel66892127[[#This Row],[VAT DW 2017]]+Tabel66892127[[#This Row],[VAT Sew. 2017]]+Tabel66892127[[#This Row],[VAT WW 2017]]+Tabel66892127[[#This Row],[VAT Other ch. 2017]]</f>
        <v>45.437629800362544</v>
      </c>
      <c r="S24" s="571">
        <f>Tabel66892127[[#This Row],[Total. ch. DW 2017]]+Tabel66892127[[#This Row],[Sew. 2017]]+Tabel66892127[[#This Row],[VAT Sew. 2017]]+Tabel66892127[[#This Row],[WW 2017]]+Tabel66892127[[#This Row],[VAT WW 2017]]+Tabel66892127[[#This Row],[Other ch. 2017]]+Tabel66892127[[#This Row],[VAT Other ch. 2017]]</f>
        <v>500.41416069434939</v>
      </c>
      <c r="T24" s="397"/>
      <c r="U24" s="1824">
        <f>Tabel66892127[[#This Row],[Fix.ch. 2017]]</f>
        <v>44.417233886748058</v>
      </c>
      <c r="V24" s="1825">
        <f>Tabel66892127[[#This Row],[Var. ch. 2017]]</f>
        <v>178.86940132771514</v>
      </c>
      <c r="W24" s="1826">
        <f>Tabel66892127[[#This Row],[Oth. ch. DW 2017]]</f>
        <v>0</v>
      </c>
      <c r="X24" s="1771">
        <f>Tabel66892127[[#This Row],[VAT DW 2017]]</f>
        <v>22.244630916795717</v>
      </c>
      <c r="Y24" s="1827">
        <f>Tabel66892127[[#This Row],[Total. ch. DW 2017]]</f>
        <v>245.53126613125892</v>
      </c>
      <c r="Z24" s="1828">
        <f>Tabel66892127[[#This Row],[Sew. 2017]]</f>
        <v>0</v>
      </c>
      <c r="AA24" s="1771">
        <f>Tabel66892127[[#This Row],[VAT Sew. 2017]]</f>
        <v>0</v>
      </c>
      <c r="AB24" s="1829">
        <f>Tabel66892127[[#This Row],[WW 2017]]</f>
        <v>231.68989567952366</v>
      </c>
      <c r="AC24" s="1771">
        <f>Tabel66892127[[#This Row],[VAT WW 2017]]</f>
        <v>23.192998883566823</v>
      </c>
      <c r="AD24" s="1830">
        <f>Tabel66892127[[#This Row],[Other ch. 2017]]</f>
        <v>0</v>
      </c>
      <c r="AE24" s="1771">
        <f>Tabel66892127[[#This Row],[VAT Other ch. 2017]]</f>
        <v>0</v>
      </c>
      <c r="AF24" s="1816">
        <f>Tabel66892127[[#This Row],[Total VAT 2017]]</f>
        <v>45.437629800362544</v>
      </c>
      <c r="AG24" s="1817">
        <f>Tabel66892127[[#This Row],[total charge 2017]]</f>
        <v>500.41416069434939</v>
      </c>
      <c r="AH24" s="397"/>
      <c r="AI24" s="398"/>
      <c r="AJ24" s="591" t="s">
        <v>429</v>
      </c>
      <c r="AK24" s="614"/>
      <c r="AL24" s="614"/>
      <c r="AM24" s="591" t="s">
        <v>429</v>
      </c>
      <c r="AN24" s="591" t="s">
        <v>429</v>
      </c>
      <c r="AO24" s="398"/>
      <c r="AP24" s="397"/>
    </row>
    <row r="25" spans="1:42" ht="15.75" hidden="1" customHeight="1" x14ac:dyDescent="0.3">
      <c r="A25" s="1796"/>
      <c r="B25" s="452" t="s">
        <v>60</v>
      </c>
      <c r="C25" s="452"/>
      <c r="D25" s="452" t="s">
        <v>1030</v>
      </c>
      <c r="E25" s="1760"/>
      <c r="F25" s="306">
        <f>'exchange rates'!K6</f>
        <v>0.72762000000000004</v>
      </c>
      <c r="G25" s="310">
        <f>17.52/F25</f>
        <v>24.078502515049063</v>
      </c>
      <c r="H25" s="311">
        <f>262/F25</f>
        <v>360.07806272504877</v>
      </c>
      <c r="I25" s="312">
        <v>0</v>
      </c>
      <c r="J25" s="558"/>
      <c r="K25" s="313">
        <f>Tabel66892127[[#This Row],[Fix.ch. 2017]]+Tabel66892127[[#This Row],[Var. ch. 2017]]+Tabel66892127[[#This Row],[Oth. ch. DW 2017]]+Tabel66892127[[#This Row],[VAT DW 2017]]</f>
        <v>384.15656524009785</v>
      </c>
      <c r="L25" s="314">
        <v>0</v>
      </c>
      <c r="M25" s="558"/>
      <c r="N25" s="315">
        <f>382.6/F25</f>
        <v>525.82391907863996</v>
      </c>
      <c r="O25" s="558"/>
      <c r="P25" s="316">
        <v>0</v>
      </c>
      <c r="Q25" s="558"/>
      <c r="R25" s="317">
        <f>Tabel66892127[[#This Row],[VAT DW 2017]]+Tabel66892127[[#This Row],[VAT Sew. 2017]]+Tabel66892127[[#This Row],[VAT WW 2017]]+Tabel66892127[[#This Row],[VAT Other ch. 2017]]</f>
        <v>0</v>
      </c>
      <c r="S25" s="318">
        <f>Tabel66892127[[#This Row],[Total. ch. DW 2017]]+Tabel66892127[[#This Row],[Sew. 2017]]+Tabel66892127[[#This Row],[VAT Sew. 2017]]+Tabel66892127[[#This Row],[WW 2017]]+Tabel66892127[[#This Row],[VAT WW 2017]]+Tabel66892127[[#This Row],[Other ch. 2017]]+Tabel66892127[[#This Row],[VAT Other ch. 2017]]</f>
        <v>909.98048431873781</v>
      </c>
      <c r="T25" s="397"/>
      <c r="U25" s="1763"/>
      <c r="V25" s="1766"/>
      <c r="W25" s="1769"/>
      <c r="X25" s="1772"/>
      <c r="Y25" s="1775"/>
      <c r="Z25" s="1778"/>
      <c r="AA25" s="1772"/>
      <c r="AB25" s="1781"/>
      <c r="AC25" s="1772"/>
      <c r="AD25" s="1785"/>
      <c r="AE25" s="1772"/>
      <c r="AF25" s="1788"/>
      <c r="AG25" s="1791"/>
      <c r="AH25" s="397"/>
      <c r="AI25" s="398"/>
      <c r="AJ25" s="396" t="s">
        <v>429</v>
      </c>
      <c r="AK25" s="398"/>
      <c r="AL25" s="398"/>
      <c r="AM25" s="396" t="s">
        <v>429</v>
      </c>
      <c r="AN25" s="396"/>
      <c r="AO25" s="398"/>
      <c r="AP25" s="397"/>
    </row>
    <row r="26" spans="1:42" ht="15.75" hidden="1" customHeight="1" x14ac:dyDescent="0.3">
      <c r="A26" s="1796"/>
      <c r="B26" s="452" t="s">
        <v>61</v>
      </c>
      <c r="C26" s="452"/>
      <c r="D26" s="452" t="s">
        <v>1030</v>
      </c>
      <c r="E26" s="1760"/>
      <c r="F26" s="306">
        <f>'exchange rates'!K6</f>
        <v>0.72762000000000004</v>
      </c>
      <c r="G26" s="310">
        <f>62.59/F26</f>
        <v>86.020175366262606</v>
      </c>
      <c r="H26" s="311">
        <f>165.58/F26</f>
        <v>227.5638382672274</v>
      </c>
      <c r="I26" s="312">
        <v>0</v>
      </c>
      <c r="J26" s="558"/>
      <c r="K26" s="313">
        <f>Tabel66892127[[#This Row],[Fix.ch. 2017]]+Tabel66892127[[#This Row],[Var. ch. 2017]]+Tabel66892127[[#This Row],[Oth. ch. DW 2017]]+Tabel66892127[[#This Row],[VAT DW 2017]]</f>
        <v>313.58401363349003</v>
      </c>
      <c r="L26" s="314">
        <f>0</f>
        <v>0</v>
      </c>
      <c r="M26" s="558"/>
      <c r="N26" s="315">
        <f>192.04/F26</f>
        <v>263.92897391495558</v>
      </c>
      <c r="O26" s="558"/>
      <c r="P26" s="316">
        <v>0</v>
      </c>
      <c r="Q26" s="558"/>
      <c r="R26" s="317">
        <f>Tabel66892127[[#This Row],[VAT DW 2017]]+Tabel66892127[[#This Row],[VAT Sew. 2017]]+Tabel66892127[[#This Row],[VAT WW 2017]]+Tabel66892127[[#This Row],[VAT Other ch. 2017]]</f>
        <v>0</v>
      </c>
      <c r="S26" s="318">
        <f>Tabel66892127[[#This Row],[Total. ch. DW 2017]]+Tabel66892127[[#This Row],[Sew. 2017]]+Tabel66892127[[#This Row],[VAT Sew. 2017]]+Tabel66892127[[#This Row],[WW 2017]]+Tabel66892127[[#This Row],[VAT WW 2017]]+Tabel66892127[[#This Row],[Other ch. 2017]]+Tabel66892127[[#This Row],[VAT Other ch. 2017]]</f>
        <v>577.51298754844561</v>
      </c>
      <c r="T26" s="397"/>
      <c r="U26" s="1763"/>
      <c r="V26" s="1766"/>
      <c r="W26" s="1769"/>
      <c r="X26" s="1772"/>
      <c r="Y26" s="1775"/>
      <c r="Z26" s="1778"/>
      <c r="AA26" s="1772"/>
      <c r="AB26" s="1781"/>
      <c r="AC26" s="1772"/>
      <c r="AD26" s="1785"/>
      <c r="AE26" s="1772"/>
      <c r="AF26" s="1788"/>
      <c r="AG26" s="1791"/>
      <c r="AH26" s="397"/>
      <c r="AI26" s="398"/>
      <c r="AJ26" s="396" t="s">
        <v>429</v>
      </c>
      <c r="AK26" s="398"/>
      <c r="AL26" s="398"/>
      <c r="AM26" s="396" t="s">
        <v>429</v>
      </c>
      <c r="AN26" s="396"/>
      <c r="AO26" s="398"/>
      <c r="AP26" s="397"/>
    </row>
    <row r="27" spans="1:42" ht="16.5" hidden="1" customHeight="1" x14ac:dyDescent="0.3">
      <c r="A27" s="1796"/>
      <c r="B27" s="452" t="s">
        <v>62</v>
      </c>
      <c r="C27" s="452"/>
      <c r="D27" s="452" t="s">
        <v>1030</v>
      </c>
      <c r="E27" s="1760"/>
      <c r="F27" s="306">
        <f>'exchange rates'!K6</f>
        <v>0.72762000000000004</v>
      </c>
      <c r="G27" s="310">
        <f>23.4/F27</f>
        <v>32.159643770099777</v>
      </c>
      <c r="H27" s="311">
        <f>293.62/F27</f>
        <v>403.53481212720925</v>
      </c>
      <c r="I27" s="312">
        <v>0</v>
      </c>
      <c r="J27" s="558"/>
      <c r="K27" s="313">
        <f>Tabel66892127[[#This Row],[Fix.ch. 2017]]+Tabel66892127[[#This Row],[Var. ch. 2017]]+Tabel66892127[[#This Row],[Oth. ch. DW 2017]]+Tabel66892127[[#This Row],[VAT DW 2017]]</f>
        <v>435.69445589730901</v>
      </c>
      <c r="L27" s="314">
        <v>0</v>
      </c>
      <c r="M27" s="558"/>
      <c r="N27" s="315">
        <f>496/F27</f>
        <v>681.67450042604651</v>
      </c>
      <c r="O27" s="558"/>
      <c r="P27" s="316">
        <v>0</v>
      </c>
      <c r="Q27" s="558"/>
      <c r="R27" s="317">
        <f>Tabel66892127[[#This Row],[VAT DW 2017]]+Tabel66892127[[#This Row],[VAT Sew. 2017]]+Tabel66892127[[#This Row],[VAT WW 2017]]+Tabel66892127[[#This Row],[VAT Other ch. 2017]]</f>
        <v>0</v>
      </c>
      <c r="S27" s="318">
        <f>Tabel66892127[[#This Row],[Total. ch. DW 2017]]+Tabel66892127[[#This Row],[Sew. 2017]]+Tabel66892127[[#This Row],[VAT Sew. 2017]]+Tabel66892127[[#This Row],[WW 2017]]+Tabel66892127[[#This Row],[VAT WW 2017]]+Tabel66892127[[#This Row],[Other ch. 2017]]+Tabel66892127[[#This Row],[VAT Other ch. 2017]]</f>
        <v>1117.3689563233556</v>
      </c>
      <c r="T27" s="397"/>
      <c r="U27" s="1763"/>
      <c r="V27" s="1766"/>
      <c r="W27" s="1769"/>
      <c r="X27" s="1772"/>
      <c r="Y27" s="1775"/>
      <c r="Z27" s="1778"/>
      <c r="AA27" s="1772"/>
      <c r="AB27" s="1781"/>
      <c r="AC27" s="1772"/>
      <c r="AD27" s="1785"/>
      <c r="AE27" s="1772"/>
      <c r="AF27" s="1788"/>
      <c r="AG27" s="1791"/>
      <c r="AH27" s="397"/>
      <c r="AI27" s="398"/>
      <c r="AJ27" s="396" t="s">
        <v>429</v>
      </c>
      <c r="AK27" s="398"/>
      <c r="AL27" s="398"/>
      <c r="AM27" s="396" t="s">
        <v>429</v>
      </c>
      <c r="AN27" s="396"/>
      <c r="AO27" s="398"/>
      <c r="AP27" s="397"/>
    </row>
    <row r="28" spans="1:42" ht="16.5" hidden="1" customHeight="1" thickBot="1" x14ac:dyDescent="0.3">
      <c r="A28" s="1797"/>
      <c r="B28" s="453" t="s">
        <v>63</v>
      </c>
      <c r="C28" s="801" t="s">
        <v>429</v>
      </c>
      <c r="D28" s="801" t="s">
        <v>1030</v>
      </c>
      <c r="E28" s="1799"/>
      <c r="F28" s="306">
        <f>'exchange rates'!K6</f>
        <v>0.72762000000000004</v>
      </c>
      <c r="G28" s="310">
        <f>21.72/F28</f>
        <v>29.850746268656714</v>
      </c>
      <c r="H28" s="311">
        <f>311.4/F28</f>
        <v>427.97064401748162</v>
      </c>
      <c r="I28" s="312">
        <v>0</v>
      </c>
      <c r="J28" s="558"/>
      <c r="K28" s="313">
        <f>Tabel66892127[[#This Row],[Fix.ch. 2017]]+Tabel66892127[[#This Row],[Var. ch. 2017]]+Tabel66892127[[#This Row],[Oth. ch. DW 2017]]+Tabel66892127[[#This Row],[VAT DW 2017]]</f>
        <v>457.82139028613835</v>
      </c>
      <c r="L28" s="314">
        <v>0</v>
      </c>
      <c r="M28" s="558"/>
      <c r="N28" s="315">
        <f>354.6/F28</f>
        <v>487.34229405458893</v>
      </c>
      <c r="O28" s="558"/>
      <c r="P28" s="316">
        <v>0</v>
      </c>
      <c r="Q28" s="558"/>
      <c r="R28" s="317">
        <f>Tabel66892127[[#This Row],[VAT DW 2017]]+Tabel66892127[[#This Row],[VAT Sew. 2017]]+Tabel66892127[[#This Row],[VAT WW 2017]]+Tabel66892127[[#This Row],[VAT Other ch. 2017]]</f>
        <v>0</v>
      </c>
      <c r="S28" s="318">
        <f>Tabel66892127[[#This Row],[Total. ch. DW 2017]]+Tabel66892127[[#This Row],[Sew. 2017]]+Tabel66892127[[#This Row],[VAT Sew. 2017]]+Tabel66892127[[#This Row],[WW 2017]]+Tabel66892127[[#This Row],[VAT WW 2017]]+Tabel66892127[[#This Row],[Other ch. 2017]]+Tabel66892127[[#This Row],[VAT Other ch. 2017]]</f>
        <v>945.16368434072729</v>
      </c>
      <c r="T28" s="397"/>
      <c r="U28" s="1801"/>
      <c r="V28" s="1803"/>
      <c r="W28" s="1805"/>
      <c r="X28" s="1773"/>
      <c r="Y28" s="1807"/>
      <c r="Z28" s="1809"/>
      <c r="AA28" s="1773"/>
      <c r="AB28" s="1782"/>
      <c r="AC28" s="1773"/>
      <c r="AD28" s="1786"/>
      <c r="AE28" s="1773"/>
      <c r="AF28" s="1789"/>
      <c r="AG28" s="1792"/>
      <c r="AH28" s="397"/>
      <c r="AI28" s="398"/>
      <c r="AJ28" s="396" t="s">
        <v>429</v>
      </c>
      <c r="AK28" s="398"/>
      <c r="AL28" s="398"/>
      <c r="AM28" s="396" t="s">
        <v>429</v>
      </c>
      <c r="AN28" s="396"/>
      <c r="AO28" s="398"/>
      <c r="AP28" s="397"/>
    </row>
    <row r="29" spans="1:42" ht="15.75" hidden="1" customHeight="1" x14ac:dyDescent="0.3">
      <c r="A29" s="1818" t="s">
        <v>6</v>
      </c>
      <c r="B29" s="735" t="s">
        <v>67</v>
      </c>
      <c r="C29" s="802"/>
      <c r="D29" s="802" t="s">
        <v>1032</v>
      </c>
      <c r="E29" s="1821">
        <v>46300</v>
      </c>
      <c r="F29" s="616">
        <f>'exchange rates'!$O$7</f>
        <v>0.83301000000000003</v>
      </c>
      <c r="G29" s="625">
        <f>20/F29</f>
        <v>24.009315614458409</v>
      </c>
      <c r="H29" s="593">
        <f>172.54/F29</f>
        <v>207.12836580593267</v>
      </c>
      <c r="I29" s="594">
        <v>0</v>
      </c>
      <c r="J29" s="595">
        <f>11.55/F29</f>
        <v>13.865379767349731</v>
      </c>
      <c r="K29" s="566">
        <f>Tabel66892127[[#This Row],[Fix.ch. 2017]]+Tabel66892127[[#This Row],[Var. ch. 2017]]+Tabel66892127[[#This Row],[Oth. ch. DW 2017]]+Tabel66892127[[#This Row],[VAT DW 2017]]</f>
        <v>245.00306118774083</v>
      </c>
      <c r="L29" s="596">
        <f>144.64/F29</f>
        <v>173.63537052376319</v>
      </c>
      <c r="M29" s="595">
        <f>8.68/F29</f>
        <v>10.420042976674949</v>
      </c>
      <c r="N29" s="626">
        <f>102.74/F29</f>
        <v>123.33585431147284</v>
      </c>
      <c r="O29" s="595">
        <f>6.16/F29</f>
        <v>7.3948692092531898</v>
      </c>
      <c r="P29" s="597">
        <v>0</v>
      </c>
      <c r="Q29" s="595">
        <v>0</v>
      </c>
      <c r="R29" s="570">
        <f>Tabel66892127[[#This Row],[VAT DW 2017]]+Tabel66892127[[#This Row],[VAT Sew. 2017]]+Tabel66892127[[#This Row],[VAT WW 2017]]+Tabel66892127[[#This Row],[VAT Other ch. 2017]]</f>
        <v>31.68029195327787</v>
      </c>
      <c r="S29" s="571">
        <f>Tabel66892127[[#This Row],[Total. ch. DW 2017]]+Tabel66892127[[#This Row],[Sew. 2017]]+Tabel66892127[[#This Row],[VAT Sew. 2017]]+Tabel66892127[[#This Row],[WW 2017]]+Tabel66892127[[#This Row],[VAT WW 2017]]+Tabel66892127[[#This Row],[Other ch. 2017]]+Tabel66892127[[#This Row],[VAT Other ch. 2017]]</f>
        <v>559.78919820890508</v>
      </c>
      <c r="T29" s="397"/>
      <c r="U29" s="1824">
        <f>MEDIAN(G29:G36)</f>
        <v>30.011644518073012</v>
      </c>
      <c r="V29" s="1825">
        <f>MEDIAN(H29:H36)</f>
        <v>225.23138977923432</v>
      </c>
      <c r="W29" s="1826">
        <f>MEDIAN(I29:I36)</f>
        <v>0</v>
      </c>
      <c r="X29" s="1771">
        <f>MEDIAN(J29:J36)</f>
        <v>13.865379767349731</v>
      </c>
      <c r="Y29" s="1827">
        <f>SUM(U29:X36)</f>
        <v>269.10841406465704</v>
      </c>
      <c r="Z29" s="1828">
        <f t="shared" ref="Z29:AF29" si="2">MEDIAN(L29:L36)</f>
        <v>149.06783832126865</v>
      </c>
      <c r="AA29" s="1771">
        <f t="shared" si="2"/>
        <v>8.9494723952893711</v>
      </c>
      <c r="AB29" s="1829">
        <f t="shared" si="2"/>
        <v>123.33585431147284</v>
      </c>
      <c r="AC29" s="1771">
        <f t="shared" si="2"/>
        <v>7.3948692092531898</v>
      </c>
      <c r="AD29" s="1830">
        <f t="shared" si="2"/>
        <v>0</v>
      </c>
      <c r="AE29" s="1771">
        <f t="shared" si="2"/>
        <v>0</v>
      </c>
      <c r="AF29" s="1816">
        <f t="shared" si="2"/>
        <v>29.639500126048905</v>
      </c>
      <c r="AG29" s="1817">
        <f>Y29+Z29+AA29+AB29+AC29+AD29+AE29</f>
        <v>557.8564483019411</v>
      </c>
      <c r="AH29" s="397"/>
      <c r="AI29" s="398"/>
      <c r="AJ29" s="398"/>
      <c r="AK29" s="398"/>
      <c r="AL29" s="591" t="s">
        <v>429</v>
      </c>
      <c r="AM29" s="591" t="s">
        <v>429</v>
      </c>
      <c r="AN29" s="614"/>
      <c r="AO29" s="398"/>
      <c r="AP29" s="397"/>
    </row>
    <row r="30" spans="1:42" ht="15.75" hidden="1" customHeight="1" x14ac:dyDescent="0.3">
      <c r="A30" s="1819"/>
      <c r="B30" s="685" t="s">
        <v>71</v>
      </c>
      <c r="C30" s="802"/>
      <c r="D30" s="802" t="s">
        <v>1032</v>
      </c>
      <c r="E30" s="1822"/>
      <c r="F30" s="616">
        <f>'exchange rates'!$O$7</f>
        <v>0.83301000000000003</v>
      </c>
      <c r="G30" s="625">
        <f>26/F30</f>
        <v>31.212110298795931</v>
      </c>
      <c r="H30" s="593">
        <f>142.43/F30</f>
        <v>170.98234114836558</v>
      </c>
      <c r="I30" s="594">
        <v>0</v>
      </c>
      <c r="J30" s="595">
        <f>10.11/F30</f>
        <v>12.136709043108725</v>
      </c>
      <c r="K30" s="566">
        <f>Tabel66892127[[#This Row],[Fix.ch. 2017]]+Tabel66892127[[#This Row],[Var. ch. 2017]]+Tabel66892127[[#This Row],[Oth. ch. DW 2017]]+Tabel66892127[[#This Row],[VAT DW 2017]]</f>
        <v>214.33116049027024</v>
      </c>
      <c r="L30" s="596">
        <f>107.75/F30</f>
        <v>129.35018787289468</v>
      </c>
      <c r="M30" s="595">
        <f>6.47/F30</f>
        <v>7.767013601277295</v>
      </c>
      <c r="N30" s="626">
        <f>100.42/F30</f>
        <v>120.55077370019568</v>
      </c>
      <c r="O30" s="595">
        <f>6.03/F30</f>
        <v>7.2388086577592103</v>
      </c>
      <c r="P30" s="597">
        <v>0</v>
      </c>
      <c r="Q30" s="595">
        <v>0</v>
      </c>
      <c r="R30" s="570">
        <f>Tabel66892127[[#This Row],[VAT DW 2017]]+Tabel66892127[[#This Row],[VAT Sew. 2017]]+Tabel66892127[[#This Row],[VAT WW 2017]]+Tabel66892127[[#This Row],[VAT Other ch. 2017]]</f>
        <v>27.142531302145233</v>
      </c>
      <c r="S30" s="571">
        <f>Tabel66892127[[#This Row],[Total. ch. DW 2017]]+Tabel66892127[[#This Row],[Sew. 2017]]+Tabel66892127[[#This Row],[VAT Sew. 2017]]+Tabel66892127[[#This Row],[WW 2017]]+Tabel66892127[[#This Row],[VAT WW 2017]]+Tabel66892127[[#This Row],[Other ch. 2017]]+Tabel66892127[[#This Row],[VAT Other ch. 2017]]</f>
        <v>479.23794432239714</v>
      </c>
      <c r="T30" s="397"/>
      <c r="U30" s="1763"/>
      <c r="V30" s="1766"/>
      <c r="W30" s="1769"/>
      <c r="X30" s="1772"/>
      <c r="Y30" s="1775"/>
      <c r="Z30" s="1778"/>
      <c r="AA30" s="1772"/>
      <c r="AB30" s="1781"/>
      <c r="AC30" s="1772"/>
      <c r="AD30" s="1785"/>
      <c r="AE30" s="1772"/>
      <c r="AF30" s="1788"/>
      <c r="AG30" s="1791"/>
      <c r="AH30" s="397"/>
      <c r="AI30" s="398"/>
      <c r="AJ30" s="398"/>
      <c r="AK30" s="398"/>
      <c r="AL30" s="591" t="s">
        <v>429</v>
      </c>
      <c r="AM30" s="591" t="s">
        <v>429</v>
      </c>
      <c r="AN30" s="614"/>
      <c r="AO30" s="398"/>
      <c r="AP30" s="397"/>
    </row>
    <row r="31" spans="1:42" ht="15.75" hidden="1" customHeight="1" x14ac:dyDescent="0.3">
      <c r="A31" s="1819"/>
      <c r="B31" s="685" t="s">
        <v>68</v>
      </c>
      <c r="C31" s="802" t="s">
        <v>429</v>
      </c>
      <c r="D31" s="802" t="s">
        <v>1032</v>
      </c>
      <c r="E31" s="1822"/>
      <c r="F31" s="616">
        <f>'exchange rates'!$O$7</f>
        <v>0.83301000000000003</v>
      </c>
      <c r="G31" s="625">
        <f>24/F31</f>
        <v>28.81117873735009</v>
      </c>
      <c r="H31" s="593">
        <f>202.7/F31</f>
        <v>243.33441375253597</v>
      </c>
      <c r="I31" s="594">
        <v>0</v>
      </c>
      <c r="J31" s="595">
        <f>13.6/F31</f>
        <v>16.326334617831719</v>
      </c>
      <c r="K31" s="566">
        <f>Tabel66892127[[#This Row],[Fix.ch. 2017]]+Tabel66892127[[#This Row],[Var. ch. 2017]]+Tabel66892127[[#This Row],[Oth. ch. DW 2017]]+Tabel66892127[[#This Row],[VAT DW 2017]]</f>
        <v>288.47192710771776</v>
      </c>
      <c r="L31" s="596">
        <f>101.6/F31</f>
        <v>121.96732332144872</v>
      </c>
      <c r="M31" s="595">
        <f>6.1/F31</f>
        <v>7.3228412624098143</v>
      </c>
      <c r="N31" s="626">
        <f>54.85/F31</f>
        <v>65.845548072652193</v>
      </c>
      <c r="O31" s="595">
        <f>3.29/F31</f>
        <v>3.9495324185784084</v>
      </c>
      <c r="P31" s="597">
        <v>0</v>
      </c>
      <c r="Q31" s="595">
        <v>0</v>
      </c>
      <c r="R31" s="570">
        <f>Tabel66892127[[#This Row],[VAT DW 2017]]+Tabel66892127[[#This Row],[VAT Sew. 2017]]+Tabel66892127[[#This Row],[VAT WW 2017]]+Tabel66892127[[#This Row],[VAT Other ch. 2017]]</f>
        <v>27.59870829881994</v>
      </c>
      <c r="S31" s="571">
        <f>Tabel66892127[[#This Row],[Total. ch. DW 2017]]+Tabel66892127[[#This Row],[Sew. 2017]]+Tabel66892127[[#This Row],[VAT Sew. 2017]]+Tabel66892127[[#This Row],[WW 2017]]+Tabel66892127[[#This Row],[VAT WW 2017]]+Tabel66892127[[#This Row],[Other ch. 2017]]+Tabel66892127[[#This Row],[VAT Other ch. 2017]]</f>
        <v>487.55717218280694</v>
      </c>
      <c r="T31" s="397"/>
      <c r="U31" s="1763"/>
      <c r="V31" s="1766"/>
      <c r="W31" s="1769"/>
      <c r="X31" s="1772"/>
      <c r="Y31" s="1775"/>
      <c r="Z31" s="1778"/>
      <c r="AA31" s="1772"/>
      <c r="AB31" s="1781"/>
      <c r="AC31" s="1772"/>
      <c r="AD31" s="1785"/>
      <c r="AE31" s="1772"/>
      <c r="AF31" s="1788"/>
      <c r="AG31" s="1791"/>
      <c r="AH31" s="397"/>
      <c r="AI31" s="398"/>
      <c r="AJ31" s="398"/>
      <c r="AK31" s="398"/>
      <c r="AL31" s="591" t="s">
        <v>429</v>
      </c>
      <c r="AM31" s="591" t="s">
        <v>429</v>
      </c>
      <c r="AN31" s="614"/>
      <c r="AO31" s="398"/>
      <c r="AP31" s="397"/>
    </row>
    <row r="32" spans="1:42" ht="15.75" hidden="1" customHeight="1" x14ac:dyDescent="0.3">
      <c r="A32" s="1819"/>
      <c r="B32" s="685" t="s">
        <v>72</v>
      </c>
      <c r="C32" s="802"/>
      <c r="D32" s="802" t="s">
        <v>1032</v>
      </c>
      <c r="E32" s="1822"/>
      <c r="F32" s="616">
        <f>'exchange rates'!$O$7</f>
        <v>0.83301000000000003</v>
      </c>
      <c r="G32" s="625">
        <f>56.17/F32</f>
        <v>67.430162903206437</v>
      </c>
      <c r="H32" s="593">
        <f>238.73/F32</f>
        <v>286.5871958319828</v>
      </c>
      <c r="I32" s="594">
        <f>2.59/F32</f>
        <v>3.1092063720723639</v>
      </c>
      <c r="J32" s="595">
        <v>0</v>
      </c>
      <c r="K32" s="566">
        <f>Tabel66892127[[#This Row],[Fix.ch. 2017]]+Tabel66892127[[#This Row],[Var. ch. 2017]]+Tabel66892127[[#This Row],[Oth. ch. DW 2017]]+Tabel66892127[[#This Row],[VAT DW 2017]]</f>
        <v>357.12656510726163</v>
      </c>
      <c r="L32" s="596">
        <v>0</v>
      </c>
      <c r="M32" s="595">
        <v>0</v>
      </c>
      <c r="N32" s="626">
        <f>224/F32</f>
        <v>268.90433488193418</v>
      </c>
      <c r="O32" s="595">
        <f>13.44/F32</f>
        <v>16.134260092916051</v>
      </c>
      <c r="P32" s="597">
        <v>0</v>
      </c>
      <c r="Q32" s="595">
        <v>0</v>
      </c>
      <c r="R32" s="570">
        <f>Tabel66892127[[#This Row],[VAT DW 2017]]+Tabel66892127[[#This Row],[VAT Sew. 2017]]+Tabel66892127[[#This Row],[VAT WW 2017]]+Tabel66892127[[#This Row],[VAT Other ch. 2017]]</f>
        <v>16.134260092916051</v>
      </c>
      <c r="S32" s="571">
        <f>Tabel66892127[[#This Row],[Total. ch. DW 2017]]+Tabel66892127[[#This Row],[Sew. 2017]]+Tabel66892127[[#This Row],[VAT Sew. 2017]]+Tabel66892127[[#This Row],[WW 2017]]+Tabel66892127[[#This Row],[VAT WW 2017]]+Tabel66892127[[#This Row],[Other ch. 2017]]+Tabel66892127[[#This Row],[VAT Other ch. 2017]]</f>
        <v>642.16516008211192</v>
      </c>
      <c r="T32" s="397"/>
      <c r="U32" s="1763"/>
      <c r="V32" s="1766"/>
      <c r="W32" s="1769"/>
      <c r="X32" s="1772"/>
      <c r="Y32" s="1775"/>
      <c r="Z32" s="1778"/>
      <c r="AA32" s="1772"/>
      <c r="AB32" s="1781"/>
      <c r="AC32" s="1772"/>
      <c r="AD32" s="1785"/>
      <c r="AE32" s="1772"/>
      <c r="AF32" s="1788"/>
      <c r="AG32" s="1791"/>
      <c r="AH32" s="397"/>
      <c r="AI32" s="398"/>
      <c r="AJ32" s="398"/>
      <c r="AK32" s="398"/>
      <c r="AL32" s="591" t="s">
        <v>429</v>
      </c>
      <c r="AM32" s="591" t="s">
        <v>429</v>
      </c>
      <c r="AN32" s="591" t="s">
        <v>429</v>
      </c>
      <c r="AO32" s="398"/>
      <c r="AP32" s="397"/>
    </row>
    <row r="33" spans="1:42" ht="15.75" hidden="1" customHeight="1" x14ac:dyDescent="0.3">
      <c r="A33" s="1819"/>
      <c r="B33" s="685" t="s">
        <v>69</v>
      </c>
      <c r="C33" s="802"/>
      <c r="D33" s="802" t="s">
        <v>1032</v>
      </c>
      <c r="E33" s="1822"/>
      <c r="F33" s="616">
        <f>'exchange rates'!$O$7</f>
        <v>0.83301000000000003</v>
      </c>
      <c r="G33" s="625">
        <f>20/F33</f>
        <v>24.009315614458409</v>
      </c>
      <c r="H33" s="593">
        <f>172.54/F33</f>
        <v>207.12836580593267</v>
      </c>
      <c r="I33" s="594">
        <v>0</v>
      </c>
      <c r="J33" s="595">
        <f>11.55/F33</f>
        <v>13.865379767349731</v>
      </c>
      <c r="K33" s="566">
        <f>Tabel66892127[[#This Row],[Fix.ch. 2017]]+Tabel66892127[[#This Row],[Var. ch. 2017]]+Tabel66892127[[#This Row],[Oth. ch. DW 2017]]+Tabel66892127[[#This Row],[VAT DW 2017]]</f>
        <v>245.00306118774083</v>
      </c>
      <c r="L33" s="596">
        <f>144.64/F33</f>
        <v>173.63537052376319</v>
      </c>
      <c r="M33" s="595">
        <f>8.68/F33</f>
        <v>10.420042976674949</v>
      </c>
      <c r="N33" s="626">
        <f>102.74/F33</f>
        <v>123.33585431147284</v>
      </c>
      <c r="O33" s="595">
        <f>6.16/F33</f>
        <v>7.3948692092531898</v>
      </c>
      <c r="P33" s="597">
        <v>0</v>
      </c>
      <c r="Q33" s="595">
        <v>0</v>
      </c>
      <c r="R33" s="570">
        <f>Tabel66892127[[#This Row],[VAT DW 2017]]+Tabel66892127[[#This Row],[VAT Sew. 2017]]+Tabel66892127[[#This Row],[VAT WW 2017]]+Tabel66892127[[#This Row],[VAT Other ch. 2017]]</f>
        <v>31.68029195327787</v>
      </c>
      <c r="S33" s="571">
        <f>Tabel66892127[[#This Row],[Total. ch. DW 2017]]+Tabel66892127[[#This Row],[Sew. 2017]]+Tabel66892127[[#This Row],[VAT Sew. 2017]]+Tabel66892127[[#This Row],[WW 2017]]+Tabel66892127[[#This Row],[VAT WW 2017]]+Tabel66892127[[#This Row],[Other ch. 2017]]+Tabel66892127[[#This Row],[VAT Other ch. 2017]]</f>
        <v>559.78919820890508</v>
      </c>
      <c r="T33" s="397"/>
      <c r="U33" s="1763"/>
      <c r="V33" s="1766"/>
      <c r="W33" s="1769"/>
      <c r="X33" s="1772"/>
      <c r="Y33" s="1775"/>
      <c r="Z33" s="1778"/>
      <c r="AA33" s="1772"/>
      <c r="AB33" s="1781"/>
      <c r="AC33" s="1772"/>
      <c r="AD33" s="1785"/>
      <c r="AE33" s="1772"/>
      <c r="AF33" s="1788"/>
      <c r="AG33" s="1791"/>
      <c r="AH33" s="397"/>
      <c r="AI33" s="398"/>
      <c r="AJ33" s="398"/>
      <c r="AK33" s="398"/>
      <c r="AL33" s="591" t="s">
        <v>429</v>
      </c>
      <c r="AM33" s="591" t="s">
        <v>429</v>
      </c>
      <c r="AN33" s="614"/>
      <c r="AO33" s="398"/>
      <c r="AP33" s="397"/>
    </row>
    <row r="34" spans="1:42" ht="15.75" hidden="1" customHeight="1" x14ac:dyDescent="0.3">
      <c r="A34" s="1819"/>
      <c r="B34" s="685" t="s">
        <v>70</v>
      </c>
      <c r="C34" s="802"/>
      <c r="D34" s="802" t="s">
        <v>1032</v>
      </c>
      <c r="E34" s="1822"/>
      <c r="F34" s="616">
        <f>'exchange rates'!$O$7</f>
        <v>0.83301000000000003</v>
      </c>
      <c r="G34" s="625">
        <f>20/F34</f>
        <v>24.009315614458409</v>
      </c>
      <c r="H34" s="593">
        <f>172.54/F34</f>
        <v>207.12836580593267</v>
      </c>
      <c r="I34" s="594">
        <v>0</v>
      </c>
      <c r="J34" s="595">
        <f>11.55/F34</f>
        <v>13.865379767349731</v>
      </c>
      <c r="K34" s="566">
        <f>Tabel66892127[[#This Row],[Fix.ch. 2017]]+Tabel66892127[[#This Row],[Var. ch. 2017]]+Tabel66892127[[#This Row],[Oth. ch. DW 2017]]+Tabel66892127[[#This Row],[VAT DW 2017]]</f>
        <v>245.00306118774083</v>
      </c>
      <c r="L34" s="596">
        <f>144.64/F34</f>
        <v>173.63537052376319</v>
      </c>
      <c r="M34" s="595">
        <f>8.68/F34</f>
        <v>10.420042976674949</v>
      </c>
      <c r="N34" s="626">
        <f>102.74/F34</f>
        <v>123.33585431147284</v>
      </c>
      <c r="O34" s="595">
        <f>6.16/F34</f>
        <v>7.3948692092531898</v>
      </c>
      <c r="P34" s="597">
        <v>0</v>
      </c>
      <c r="Q34" s="595">
        <v>0</v>
      </c>
      <c r="R34" s="570">
        <f>Tabel66892127[[#This Row],[VAT DW 2017]]+Tabel66892127[[#This Row],[VAT Sew. 2017]]+Tabel66892127[[#This Row],[VAT WW 2017]]+Tabel66892127[[#This Row],[VAT Other ch. 2017]]</f>
        <v>31.68029195327787</v>
      </c>
      <c r="S34" s="571">
        <f>Tabel66892127[[#This Row],[Total. ch. DW 2017]]+Tabel66892127[[#This Row],[Sew. 2017]]+Tabel66892127[[#This Row],[VAT Sew. 2017]]+Tabel66892127[[#This Row],[WW 2017]]+Tabel66892127[[#This Row],[VAT WW 2017]]+Tabel66892127[[#This Row],[Other ch. 2017]]+Tabel66892127[[#This Row],[VAT Other ch. 2017]]</f>
        <v>559.78919820890508</v>
      </c>
      <c r="T34" s="397"/>
      <c r="U34" s="1763"/>
      <c r="V34" s="1766"/>
      <c r="W34" s="1769"/>
      <c r="X34" s="1772"/>
      <c r="Y34" s="1775"/>
      <c r="Z34" s="1778"/>
      <c r="AA34" s="1772"/>
      <c r="AB34" s="1781"/>
      <c r="AC34" s="1772"/>
      <c r="AD34" s="1785"/>
      <c r="AE34" s="1772"/>
      <c r="AF34" s="1788"/>
      <c r="AG34" s="1791"/>
      <c r="AH34" s="397"/>
      <c r="AI34" s="398"/>
      <c r="AJ34" s="398"/>
      <c r="AK34" s="398"/>
      <c r="AL34" s="591" t="s">
        <v>429</v>
      </c>
      <c r="AM34" s="591" t="s">
        <v>429</v>
      </c>
      <c r="AN34" s="614"/>
      <c r="AO34" s="398"/>
      <c r="AP34" s="397"/>
    </row>
    <row r="35" spans="1:42" ht="16.5" hidden="1" customHeight="1" x14ac:dyDescent="0.3">
      <c r="A35" s="1819"/>
      <c r="B35" s="735" t="s">
        <v>216</v>
      </c>
      <c r="C35" s="802"/>
      <c r="D35" s="802" t="s">
        <v>1032</v>
      </c>
      <c r="E35" s="1822"/>
      <c r="F35" s="616">
        <f>'exchange rates'!$O$7</f>
        <v>0.83301000000000003</v>
      </c>
      <c r="G35" s="625">
        <f>26/F35</f>
        <v>31.212110298795931</v>
      </c>
      <c r="H35" s="593">
        <f>207.92/F35</f>
        <v>249.60084512790959</v>
      </c>
      <c r="I35" s="594">
        <v>0</v>
      </c>
      <c r="J35" s="595">
        <f>14.03/F35</f>
        <v>16.842534903542575</v>
      </c>
      <c r="K35" s="566">
        <f>Tabel66892127[[#This Row],[Fix.ch. 2017]]+Tabel66892127[[#This Row],[Var. ch. 2017]]+Tabel66892127[[#This Row],[Oth. ch. DW 2017]]+Tabel66892127[[#This Row],[VAT DW 2017]]</f>
        <v>297.65549033024809</v>
      </c>
      <c r="L35" s="596">
        <f>140.6/F35</f>
        <v>168.7854887696426</v>
      </c>
      <c r="M35" s="595">
        <f>8.44/F35</f>
        <v>10.131931189301447</v>
      </c>
      <c r="N35" s="626">
        <f>100.42/F35</f>
        <v>120.55077370019568</v>
      </c>
      <c r="O35" s="595">
        <f>6.03/F35</f>
        <v>7.2388086577592103</v>
      </c>
      <c r="P35" s="597">
        <v>0</v>
      </c>
      <c r="Q35" s="595">
        <v>0</v>
      </c>
      <c r="R35" s="570">
        <f>Tabel66892127[[#This Row],[VAT DW 2017]]+Tabel66892127[[#This Row],[VAT Sew. 2017]]+Tabel66892127[[#This Row],[VAT WW 2017]]+Tabel66892127[[#This Row],[VAT Other ch. 2017]]</f>
        <v>34.213274750603233</v>
      </c>
      <c r="S35" s="571">
        <f>Tabel66892127[[#This Row],[Total. ch. DW 2017]]+Tabel66892127[[#This Row],[Sew. 2017]]+Tabel66892127[[#This Row],[VAT Sew. 2017]]+Tabel66892127[[#This Row],[WW 2017]]+Tabel66892127[[#This Row],[VAT WW 2017]]+Tabel66892127[[#This Row],[Other ch. 2017]]+Tabel66892127[[#This Row],[VAT Other ch. 2017]]</f>
        <v>604.36249264714706</v>
      </c>
      <c r="T35" s="397"/>
      <c r="U35" s="1763"/>
      <c r="V35" s="1766"/>
      <c r="W35" s="1769"/>
      <c r="X35" s="1772"/>
      <c r="Y35" s="1775"/>
      <c r="Z35" s="1778"/>
      <c r="AA35" s="1772"/>
      <c r="AB35" s="1781"/>
      <c r="AC35" s="1772"/>
      <c r="AD35" s="1785"/>
      <c r="AE35" s="1772"/>
      <c r="AF35" s="1788"/>
      <c r="AG35" s="1791"/>
      <c r="AH35" s="397"/>
      <c r="AI35" s="398"/>
      <c r="AJ35" s="398"/>
      <c r="AK35" s="398"/>
      <c r="AL35" s="591" t="s">
        <v>429</v>
      </c>
      <c r="AM35" s="591" t="s">
        <v>429</v>
      </c>
      <c r="AN35" s="614"/>
      <c r="AO35" s="398"/>
      <c r="AP35" s="397"/>
    </row>
    <row r="36" spans="1:42" ht="17.25" hidden="1" customHeight="1" thickBot="1" x14ac:dyDescent="0.3">
      <c r="A36" s="1820"/>
      <c r="B36" s="736" t="s">
        <v>629</v>
      </c>
      <c r="C36" s="802"/>
      <c r="D36" s="807" t="s">
        <v>1032</v>
      </c>
      <c r="E36" s="1823"/>
      <c r="F36" s="616">
        <f>'exchange rates'!$O$7</f>
        <v>0.83301000000000003</v>
      </c>
      <c r="G36" s="625">
        <f>52.4/F36</f>
        <v>62.904406909881033</v>
      </c>
      <c r="H36" s="593">
        <f>222.7/F36</f>
        <v>267.34372936699435</v>
      </c>
      <c r="I36" s="594">
        <f>2.59/F36</f>
        <v>3.1092063720723639</v>
      </c>
      <c r="J36" s="595">
        <f>0</f>
        <v>0</v>
      </c>
      <c r="K36" s="566">
        <f>Tabel66892127[[#This Row],[Fix.ch. 2017]]+Tabel66892127[[#This Row],[Var. ch. 2017]]+Tabel66892127[[#This Row],[Oth. ch. DW 2017]]+Tabel66892127[[#This Row],[VAT DW 2017]]</f>
        <v>333.35734264894774</v>
      </c>
      <c r="L36" s="596">
        <f>0/F36</f>
        <v>0</v>
      </c>
      <c r="M36" s="595">
        <v>0</v>
      </c>
      <c r="N36" s="626">
        <f>224/F36</f>
        <v>268.90433488193418</v>
      </c>
      <c r="O36" s="595">
        <f>13.44/F36</f>
        <v>16.134260092916051</v>
      </c>
      <c r="P36" s="597">
        <v>0</v>
      </c>
      <c r="Q36" s="595">
        <v>0</v>
      </c>
      <c r="R36" s="570">
        <f>Tabel66892127[[#This Row],[VAT DW 2017]]+Tabel66892127[[#This Row],[VAT Sew. 2017]]+Tabel66892127[[#This Row],[VAT WW 2017]]+Tabel66892127[[#This Row],[VAT Other ch. 2017]]</f>
        <v>16.134260092916051</v>
      </c>
      <c r="S36" s="571">
        <f>Tabel66892127[[#This Row],[Total. ch. DW 2017]]+Tabel66892127[[#This Row],[Sew. 2017]]+Tabel66892127[[#This Row],[VAT Sew. 2017]]+Tabel66892127[[#This Row],[WW 2017]]+Tabel66892127[[#This Row],[VAT WW 2017]]+Tabel66892127[[#This Row],[Other ch. 2017]]+Tabel66892127[[#This Row],[VAT Other ch. 2017]]</f>
        <v>618.39593762379798</v>
      </c>
      <c r="T36" s="397"/>
      <c r="U36" s="1764"/>
      <c r="V36" s="1767"/>
      <c r="W36" s="1770"/>
      <c r="X36" s="1773"/>
      <c r="Y36" s="1776"/>
      <c r="Z36" s="1779"/>
      <c r="AA36" s="1773"/>
      <c r="AB36" s="1811"/>
      <c r="AC36" s="1773"/>
      <c r="AD36" s="1813"/>
      <c r="AE36" s="1773"/>
      <c r="AF36" s="1815"/>
      <c r="AG36" s="1794"/>
      <c r="AH36" s="397"/>
      <c r="AI36" s="398"/>
      <c r="AJ36" s="398"/>
      <c r="AK36" s="398"/>
      <c r="AL36" s="591" t="s">
        <v>429</v>
      </c>
      <c r="AM36" s="591" t="s">
        <v>429</v>
      </c>
      <c r="AN36" s="591" t="s">
        <v>429</v>
      </c>
      <c r="AO36" s="398"/>
      <c r="AP36" s="397"/>
    </row>
    <row r="37" spans="1:42" ht="18" hidden="1" customHeight="1" x14ac:dyDescent="0.3">
      <c r="A37" s="1878" t="s">
        <v>49</v>
      </c>
      <c r="B37" s="729" t="s">
        <v>935</v>
      </c>
      <c r="C37" s="803"/>
      <c r="D37" s="803" t="s">
        <v>1034</v>
      </c>
      <c r="E37" s="1879">
        <v>15500</v>
      </c>
      <c r="F37" s="616">
        <f>'exchange rates'!$O$8</f>
        <v>3.3117299999999998</v>
      </c>
      <c r="G37" s="625" t="s">
        <v>5</v>
      </c>
      <c r="H37" s="593" t="s">
        <v>5</v>
      </c>
      <c r="I37" s="594" t="s">
        <v>5</v>
      </c>
      <c r="J37" s="595" t="s">
        <v>5</v>
      </c>
      <c r="K37" s="566" t="s">
        <v>5</v>
      </c>
      <c r="L37" s="596" t="s">
        <v>5</v>
      </c>
      <c r="M37" s="595" t="s">
        <v>5</v>
      </c>
      <c r="N37" s="626" t="s">
        <v>5</v>
      </c>
      <c r="O37" s="595" t="s">
        <v>5</v>
      </c>
      <c r="P37" s="597" t="s">
        <v>5</v>
      </c>
      <c r="Q37" s="595" t="s">
        <v>5</v>
      </c>
      <c r="R37" s="570" t="s">
        <v>5</v>
      </c>
      <c r="S37" s="571">
        <f>296/F37</f>
        <v>89.379267029618958</v>
      </c>
      <c r="T37" s="397"/>
      <c r="U37" s="1881" t="s">
        <v>5</v>
      </c>
      <c r="V37" s="1895" t="s">
        <v>5</v>
      </c>
      <c r="W37" s="1898" t="s">
        <v>5</v>
      </c>
      <c r="X37" s="1860" t="s">
        <v>5</v>
      </c>
      <c r="Y37" s="1901" t="s">
        <v>5</v>
      </c>
      <c r="Z37" s="1904" t="s">
        <v>5</v>
      </c>
      <c r="AA37" s="1860" t="s">
        <v>5</v>
      </c>
      <c r="AB37" s="1863" t="s">
        <v>5</v>
      </c>
      <c r="AC37" s="1860" t="s">
        <v>5</v>
      </c>
      <c r="AD37" s="1866" t="s">
        <v>5</v>
      </c>
      <c r="AE37" s="1860" t="s">
        <v>5</v>
      </c>
      <c r="AF37" s="1869" t="s">
        <v>5</v>
      </c>
      <c r="AG37" s="1831">
        <f>Tabel66892127[[#This Row],[total charge 2017]]</f>
        <v>89.379267029618958</v>
      </c>
      <c r="AH37" s="397"/>
      <c r="AI37" s="396"/>
      <c r="AJ37" s="398"/>
      <c r="AK37" s="398"/>
      <c r="AL37" s="591" t="s">
        <v>429</v>
      </c>
      <c r="AM37" s="398"/>
      <c r="AN37" s="398"/>
      <c r="AO37" s="398"/>
      <c r="AP37" s="397"/>
    </row>
    <row r="38" spans="1:42" ht="16.5" hidden="1" thickBot="1" x14ac:dyDescent="0.3">
      <c r="A38" s="1757"/>
      <c r="B38" s="632" t="s">
        <v>462</v>
      </c>
      <c r="C38" s="803"/>
      <c r="D38" s="803" t="s">
        <v>1034</v>
      </c>
      <c r="E38" s="1880"/>
      <c r="F38" s="616">
        <f>'exchange rates'!$O$8</f>
        <v>3.3117299999999998</v>
      </c>
      <c r="G38" s="625" t="s">
        <v>5</v>
      </c>
      <c r="H38" s="593" t="s">
        <v>5</v>
      </c>
      <c r="I38" s="594" t="s">
        <v>5</v>
      </c>
      <c r="J38" s="595" t="s">
        <v>5</v>
      </c>
      <c r="K38" s="566" t="s">
        <v>5</v>
      </c>
      <c r="L38" s="596" t="s">
        <v>5</v>
      </c>
      <c r="M38" s="595" t="s">
        <v>5</v>
      </c>
      <c r="N38" s="626" t="s">
        <v>5</v>
      </c>
      <c r="O38" s="595" t="s">
        <v>5</v>
      </c>
      <c r="P38" s="597" t="s">
        <v>5</v>
      </c>
      <c r="Q38" s="595" t="s">
        <v>5</v>
      </c>
      <c r="R38" s="570" t="s">
        <v>5</v>
      </c>
      <c r="S38" s="571">
        <f>243/F38</f>
        <v>73.375546919585844</v>
      </c>
      <c r="T38" s="397"/>
      <c r="U38" s="1882"/>
      <c r="V38" s="1896"/>
      <c r="W38" s="1899"/>
      <c r="X38" s="1861"/>
      <c r="Y38" s="1902"/>
      <c r="Z38" s="1905"/>
      <c r="AA38" s="1861"/>
      <c r="AB38" s="1864"/>
      <c r="AC38" s="1861"/>
      <c r="AD38" s="1867"/>
      <c r="AE38" s="1861"/>
      <c r="AF38" s="1870"/>
      <c r="AG38" s="1832"/>
      <c r="AH38" s="397"/>
      <c r="AI38" s="396"/>
      <c r="AJ38" s="398"/>
      <c r="AK38" s="398"/>
      <c r="AL38" s="591" t="s">
        <v>429</v>
      </c>
      <c r="AM38" s="398"/>
      <c r="AN38" s="398"/>
      <c r="AO38" s="398"/>
      <c r="AP38" s="397"/>
    </row>
    <row r="39" spans="1:42" ht="16.5" hidden="1" thickBot="1" x14ac:dyDescent="0.3">
      <c r="A39" s="1758"/>
      <c r="B39" s="730" t="s">
        <v>933</v>
      </c>
      <c r="C39" s="803" t="s">
        <v>429</v>
      </c>
      <c r="D39" s="810" t="s">
        <v>1034</v>
      </c>
      <c r="E39" s="1799"/>
      <c r="F39" s="616">
        <f>'exchange rates'!$O$8</f>
        <v>3.3117299999999998</v>
      </c>
      <c r="G39" s="625" t="s">
        <v>5</v>
      </c>
      <c r="H39" s="593" t="s">
        <v>5</v>
      </c>
      <c r="I39" s="594" t="s">
        <v>5</v>
      </c>
      <c r="J39" s="595" t="s">
        <v>5</v>
      </c>
      <c r="K39" s="566" t="s">
        <v>5</v>
      </c>
      <c r="L39" s="596" t="s">
        <v>5</v>
      </c>
      <c r="M39" s="595" t="s">
        <v>5</v>
      </c>
      <c r="N39" s="626" t="s">
        <v>5</v>
      </c>
      <c r="O39" s="595" t="s">
        <v>5</v>
      </c>
      <c r="P39" s="597" t="s">
        <v>5</v>
      </c>
      <c r="Q39" s="595" t="s">
        <v>5</v>
      </c>
      <c r="R39" s="570" t="s">
        <v>5</v>
      </c>
      <c r="S39" s="571">
        <f>437/F39</f>
        <v>131.95520166197124</v>
      </c>
      <c r="T39" s="397"/>
      <c r="U39" s="1883"/>
      <c r="V39" s="1897"/>
      <c r="W39" s="1900"/>
      <c r="X39" s="1862"/>
      <c r="Y39" s="1903"/>
      <c r="Z39" s="1906"/>
      <c r="AA39" s="1862"/>
      <c r="AB39" s="1865"/>
      <c r="AC39" s="1862"/>
      <c r="AD39" s="1868"/>
      <c r="AE39" s="1862"/>
      <c r="AF39" s="1871"/>
      <c r="AG39" s="1792"/>
      <c r="AH39" s="397"/>
      <c r="AI39" s="396"/>
      <c r="AJ39" s="398"/>
      <c r="AK39" s="398"/>
      <c r="AL39" s="591" t="s">
        <v>429</v>
      </c>
      <c r="AM39" s="398"/>
      <c r="AN39" s="398"/>
      <c r="AO39" s="398"/>
      <c r="AP39" s="397"/>
    </row>
    <row r="40" spans="1:42" ht="18.75" hidden="1" customHeight="1" x14ac:dyDescent="0.3">
      <c r="A40" s="1833" t="s">
        <v>487</v>
      </c>
      <c r="B40" s="277" t="s">
        <v>481</v>
      </c>
      <c r="C40" s="804"/>
      <c r="D40" s="804" t="s">
        <v>1034</v>
      </c>
      <c r="E40" s="1836">
        <v>11600</v>
      </c>
      <c r="F40" s="306">
        <v>1.86534</v>
      </c>
      <c r="G40" s="310">
        <f>132.88/F40</f>
        <v>71.236342972326753</v>
      </c>
      <c r="H40" s="311">
        <v>0</v>
      </c>
      <c r="I40" s="312">
        <v>0</v>
      </c>
      <c r="J40" s="558"/>
      <c r="K40" s="313">
        <f>Tabel66892127[[#This Row],[Fix.ch. 2017]]+Tabel66892127[[#This Row],[Var. ch. 2017]]+Tabel66892127[[#This Row],[Oth. ch. DW 2017]]+Tabel66892127[[#This Row],[VAT DW 2017]]</f>
        <v>71.236342972326753</v>
      </c>
      <c r="L40" s="314">
        <f>132.88/F40</f>
        <v>71.236342972326753</v>
      </c>
      <c r="M40" s="558"/>
      <c r="N40" s="315">
        <v>0</v>
      </c>
      <c r="O40" s="558"/>
      <c r="P40" s="316">
        <v>0</v>
      </c>
      <c r="Q40" s="558"/>
      <c r="R40" s="317">
        <f>Tabel66892127[[#This Row],[VAT DW 2017]]+Tabel66892127[[#This Row],[VAT Sew. 2017]]+Tabel66892127[[#This Row],[VAT WW 2017]]+Tabel66892127[[#This Row],[VAT Other ch. 2017]]</f>
        <v>0</v>
      </c>
      <c r="S40" s="318">
        <f>Tabel66892127[[#This Row],[Total. ch. DW 2017]]+Tabel66892127[[#This Row],[Sew. 2017]]+Tabel66892127[[#This Row],[VAT Sew. 2017]]+Tabel66892127[[#This Row],[WW 2017]]+Tabel66892127[[#This Row],[VAT WW 2017]]+Tabel66892127[[#This Row],[Other ch. 2017]]+Tabel66892127[[#This Row],[VAT Other ch. 2017]]</f>
        <v>142.47268594465351</v>
      </c>
      <c r="T40" s="397"/>
      <c r="U40" s="1839">
        <f>SUM(G40:G44)/5</f>
        <v>197.96069349287529</v>
      </c>
      <c r="V40" s="1842">
        <f>SUM(H40:H44)/5</f>
        <v>0</v>
      </c>
      <c r="W40" s="1845">
        <f>SUM(I40:I44)/5</f>
        <v>0</v>
      </c>
      <c r="X40" s="575"/>
      <c r="Y40" s="1848">
        <f>SUM(K40:K44)/5</f>
        <v>197.96069349287529</v>
      </c>
      <c r="Z40" s="1851">
        <f>SUM(L40:L44)/5</f>
        <v>197.96069349287529</v>
      </c>
      <c r="AA40" s="575"/>
      <c r="AB40" s="1854">
        <f>SUM(N40:N44)/5</f>
        <v>0</v>
      </c>
      <c r="AC40" s="575"/>
      <c r="AD40" s="1857">
        <f>SUM(P40:P44)/5</f>
        <v>0</v>
      </c>
      <c r="AE40" s="575"/>
      <c r="AF40" s="1872">
        <f t="shared" ref="AF40:AG40" si="3">SUM(R40:R44)/5</f>
        <v>0</v>
      </c>
      <c r="AG40" s="1875">
        <f t="shared" si="3"/>
        <v>395.92138698575059</v>
      </c>
      <c r="AH40" s="397"/>
      <c r="AI40" s="396"/>
      <c r="AJ40" s="398"/>
      <c r="AK40" s="398"/>
      <c r="AL40" s="398"/>
      <c r="AM40" s="398"/>
      <c r="AN40" s="398"/>
      <c r="AO40" s="398"/>
      <c r="AP40" s="397"/>
    </row>
    <row r="41" spans="1:42" ht="18.75" hidden="1" customHeight="1" x14ac:dyDescent="0.3">
      <c r="A41" s="1834"/>
      <c r="B41" s="277" t="s">
        <v>482</v>
      </c>
      <c r="C41" s="804"/>
      <c r="D41" s="804" t="s">
        <v>1034</v>
      </c>
      <c r="E41" s="1837"/>
      <c r="F41" s="306">
        <v>1.86534</v>
      </c>
      <c r="G41" s="310">
        <f>83.04/F41</f>
        <v>44.517353404741229</v>
      </c>
      <c r="H41" s="311">
        <v>0</v>
      </c>
      <c r="I41" s="312">
        <v>0</v>
      </c>
      <c r="J41" s="558"/>
      <c r="K41" s="313">
        <f>Tabel66892127[[#This Row],[Fix.ch. 2017]]+Tabel66892127[[#This Row],[Var. ch. 2017]]+Tabel66892127[[#This Row],[Oth. ch. DW 2017]]+Tabel66892127[[#This Row],[VAT DW 2017]]</f>
        <v>44.517353404741229</v>
      </c>
      <c r="L41" s="314">
        <f>83.04/F41</f>
        <v>44.517353404741229</v>
      </c>
      <c r="M41" s="558"/>
      <c r="N41" s="315">
        <v>0</v>
      </c>
      <c r="O41" s="558"/>
      <c r="P41" s="316">
        <v>0</v>
      </c>
      <c r="Q41" s="558"/>
      <c r="R41" s="317">
        <f>Tabel66892127[[#This Row],[VAT DW 2017]]+Tabel66892127[[#This Row],[VAT Sew. 2017]]+Tabel66892127[[#This Row],[VAT WW 2017]]+Tabel66892127[[#This Row],[VAT Other ch. 2017]]</f>
        <v>0</v>
      </c>
      <c r="S41" s="318">
        <f>Tabel66892127[[#This Row],[Total. ch. DW 2017]]+Tabel66892127[[#This Row],[Sew. 2017]]+Tabel66892127[[#This Row],[VAT Sew. 2017]]+Tabel66892127[[#This Row],[WW 2017]]+Tabel66892127[[#This Row],[VAT WW 2017]]+Tabel66892127[[#This Row],[Other ch. 2017]]+Tabel66892127[[#This Row],[VAT Other ch. 2017]]</f>
        <v>89.034706809482458</v>
      </c>
      <c r="T41" s="397"/>
      <c r="U41" s="1840"/>
      <c r="V41" s="1843"/>
      <c r="W41" s="1846"/>
      <c r="X41" s="576"/>
      <c r="Y41" s="1849"/>
      <c r="Z41" s="1852"/>
      <c r="AA41" s="576"/>
      <c r="AB41" s="1855"/>
      <c r="AC41" s="576"/>
      <c r="AD41" s="1858"/>
      <c r="AE41" s="576"/>
      <c r="AF41" s="1873"/>
      <c r="AG41" s="1876"/>
      <c r="AH41" s="397"/>
      <c r="AI41" s="396"/>
      <c r="AJ41" s="398"/>
      <c r="AK41" s="398"/>
      <c r="AL41" s="398"/>
      <c r="AM41" s="398"/>
      <c r="AN41" s="398"/>
      <c r="AO41" s="398"/>
      <c r="AP41" s="397"/>
    </row>
    <row r="42" spans="1:42" ht="18.75" hidden="1" customHeight="1" x14ac:dyDescent="0.3">
      <c r="A42" s="1834"/>
      <c r="B42" s="277" t="s">
        <v>483</v>
      </c>
      <c r="C42" s="804"/>
      <c r="D42" s="804" t="s">
        <v>1034</v>
      </c>
      <c r="E42" s="1837"/>
      <c r="F42" s="306">
        <v>1.86534</v>
      </c>
      <c r="G42" s="310">
        <f>371.52/F42</f>
        <v>199.1701244813278</v>
      </c>
      <c r="H42" s="311">
        <v>0</v>
      </c>
      <c r="I42" s="312">
        <v>0</v>
      </c>
      <c r="J42" s="558"/>
      <c r="K42" s="313">
        <f>Tabel66892127[[#This Row],[Fix.ch. 2017]]+Tabel66892127[[#This Row],[Var. ch. 2017]]+Tabel66892127[[#This Row],[Oth. ch. DW 2017]]+Tabel66892127[[#This Row],[VAT DW 2017]]</f>
        <v>199.1701244813278</v>
      </c>
      <c r="L42" s="314">
        <f>371.52/F42</f>
        <v>199.1701244813278</v>
      </c>
      <c r="M42" s="558"/>
      <c r="N42" s="315">
        <v>0</v>
      </c>
      <c r="O42" s="558"/>
      <c r="P42" s="316">
        <v>0</v>
      </c>
      <c r="Q42" s="558"/>
      <c r="R42" s="317">
        <f>Tabel66892127[[#This Row],[VAT DW 2017]]+Tabel66892127[[#This Row],[VAT Sew. 2017]]+Tabel66892127[[#This Row],[VAT WW 2017]]+Tabel66892127[[#This Row],[VAT Other ch. 2017]]</f>
        <v>0</v>
      </c>
      <c r="S42" s="318">
        <f>Tabel66892127[[#This Row],[Total. ch. DW 2017]]+Tabel66892127[[#This Row],[Sew. 2017]]+Tabel66892127[[#This Row],[VAT Sew. 2017]]+Tabel66892127[[#This Row],[WW 2017]]+Tabel66892127[[#This Row],[VAT WW 2017]]+Tabel66892127[[#This Row],[Other ch. 2017]]+Tabel66892127[[#This Row],[VAT Other ch. 2017]]</f>
        <v>398.34024896265561</v>
      </c>
      <c r="T42" s="397"/>
      <c r="U42" s="1840"/>
      <c r="V42" s="1843"/>
      <c r="W42" s="1846"/>
      <c r="X42" s="576"/>
      <c r="Y42" s="1849"/>
      <c r="Z42" s="1852"/>
      <c r="AA42" s="576"/>
      <c r="AB42" s="1855"/>
      <c r="AC42" s="576"/>
      <c r="AD42" s="1858"/>
      <c r="AE42" s="576"/>
      <c r="AF42" s="1873"/>
      <c r="AG42" s="1876"/>
      <c r="AH42" s="397"/>
      <c r="AI42" s="396"/>
      <c r="AJ42" s="398"/>
      <c r="AK42" s="398"/>
      <c r="AL42" s="396" t="s">
        <v>429</v>
      </c>
      <c r="AM42" s="398"/>
      <c r="AN42" s="398"/>
      <c r="AO42" s="398" t="s">
        <v>486</v>
      </c>
      <c r="AP42" s="397"/>
    </row>
    <row r="43" spans="1:42" ht="18.75" hidden="1" customHeight="1" x14ac:dyDescent="0.3">
      <c r="A43" s="1834"/>
      <c r="B43" s="277" t="s">
        <v>484</v>
      </c>
      <c r="C43" s="804"/>
      <c r="D43" s="804" t="s">
        <v>1034</v>
      </c>
      <c r="E43" s="1837"/>
      <c r="F43" s="306">
        <v>1.86534</v>
      </c>
      <c r="G43" s="310">
        <f>420.12/F43</f>
        <v>225.22435588150151</v>
      </c>
      <c r="H43" s="311">
        <v>0</v>
      </c>
      <c r="I43" s="312">
        <v>0</v>
      </c>
      <c r="J43" s="558"/>
      <c r="K43" s="313">
        <f>Tabel66892127[[#This Row],[Fix.ch. 2017]]+Tabel66892127[[#This Row],[Var. ch. 2017]]+Tabel66892127[[#This Row],[Oth. ch. DW 2017]]+Tabel66892127[[#This Row],[VAT DW 2017]]</f>
        <v>225.22435588150151</v>
      </c>
      <c r="L43" s="314">
        <f>420.12/F43</f>
        <v>225.22435588150151</v>
      </c>
      <c r="M43" s="558"/>
      <c r="N43" s="315">
        <v>0</v>
      </c>
      <c r="O43" s="558"/>
      <c r="P43" s="316">
        <v>0</v>
      </c>
      <c r="Q43" s="558"/>
      <c r="R43" s="317">
        <f>Tabel66892127[[#This Row],[VAT DW 2017]]+Tabel66892127[[#This Row],[VAT Sew. 2017]]+Tabel66892127[[#This Row],[VAT WW 2017]]+Tabel66892127[[#This Row],[VAT Other ch. 2017]]</f>
        <v>0</v>
      </c>
      <c r="S43" s="318">
        <f>Tabel66892127[[#This Row],[Total. ch. DW 2017]]+Tabel66892127[[#This Row],[Sew. 2017]]+Tabel66892127[[#This Row],[VAT Sew. 2017]]+Tabel66892127[[#This Row],[WW 2017]]+Tabel66892127[[#This Row],[VAT WW 2017]]+Tabel66892127[[#This Row],[Other ch. 2017]]+Tabel66892127[[#This Row],[VAT Other ch. 2017]]</f>
        <v>450.44871176300302</v>
      </c>
      <c r="T43" s="397"/>
      <c r="U43" s="1840"/>
      <c r="V43" s="1843"/>
      <c r="W43" s="1846"/>
      <c r="X43" s="576"/>
      <c r="Y43" s="1849"/>
      <c r="Z43" s="1852"/>
      <c r="AA43" s="576"/>
      <c r="AB43" s="1855"/>
      <c r="AC43" s="576"/>
      <c r="AD43" s="1858"/>
      <c r="AE43" s="576"/>
      <c r="AF43" s="1873"/>
      <c r="AG43" s="1876"/>
      <c r="AH43" s="397"/>
      <c r="AI43" s="396"/>
      <c r="AJ43" s="398"/>
      <c r="AK43" s="398"/>
      <c r="AL43" s="398"/>
      <c r="AM43" s="398"/>
      <c r="AN43" s="398"/>
      <c r="AO43" s="398"/>
      <c r="AP43" s="397"/>
    </row>
    <row r="44" spans="1:42" ht="19.5" hidden="1" customHeight="1" thickBot="1" x14ac:dyDescent="0.3">
      <c r="A44" s="1835"/>
      <c r="B44" s="277" t="s">
        <v>485</v>
      </c>
      <c r="C44" s="804"/>
      <c r="D44" s="800" t="s">
        <v>1034</v>
      </c>
      <c r="E44" s="1838"/>
      <c r="F44" s="306">
        <v>1.86534</v>
      </c>
      <c r="G44" s="310">
        <f>838.76/F44</f>
        <v>449.65529072447919</v>
      </c>
      <c r="H44" s="311">
        <v>0</v>
      </c>
      <c r="I44" s="312">
        <v>0</v>
      </c>
      <c r="J44" s="558"/>
      <c r="K44" s="313">
        <f>Tabel66892127[[#This Row],[Fix.ch. 2017]]+Tabel66892127[[#This Row],[Var. ch. 2017]]+Tabel66892127[[#This Row],[Oth. ch. DW 2017]]+Tabel66892127[[#This Row],[VAT DW 2017]]</f>
        <v>449.65529072447919</v>
      </c>
      <c r="L44" s="314">
        <f>838.76/F44</f>
        <v>449.65529072447919</v>
      </c>
      <c r="M44" s="558"/>
      <c r="N44" s="315">
        <v>0</v>
      </c>
      <c r="O44" s="558"/>
      <c r="P44" s="316">
        <v>0</v>
      </c>
      <c r="Q44" s="558"/>
      <c r="R44" s="317">
        <f>Tabel66892127[[#This Row],[VAT DW 2017]]+Tabel66892127[[#This Row],[VAT Sew. 2017]]+Tabel66892127[[#This Row],[VAT WW 2017]]+Tabel66892127[[#This Row],[VAT Other ch. 2017]]</f>
        <v>0</v>
      </c>
      <c r="S44" s="318">
        <f>Tabel66892127[[#This Row],[Total. ch. DW 2017]]+Tabel66892127[[#This Row],[Sew. 2017]]+Tabel66892127[[#This Row],[VAT Sew. 2017]]+Tabel66892127[[#This Row],[WW 2017]]+Tabel66892127[[#This Row],[VAT WW 2017]]+Tabel66892127[[#This Row],[Other ch. 2017]]+Tabel66892127[[#This Row],[VAT Other ch. 2017]]</f>
        <v>899.31058144895837</v>
      </c>
      <c r="T44" s="397"/>
      <c r="U44" s="1841"/>
      <c r="V44" s="1844"/>
      <c r="W44" s="1847"/>
      <c r="X44" s="577"/>
      <c r="Y44" s="1850"/>
      <c r="Z44" s="1853"/>
      <c r="AA44" s="577"/>
      <c r="AB44" s="1856"/>
      <c r="AC44" s="577"/>
      <c r="AD44" s="1859"/>
      <c r="AE44" s="577"/>
      <c r="AF44" s="1874"/>
      <c r="AG44" s="1877"/>
      <c r="AH44" s="397"/>
      <c r="AI44" s="396"/>
      <c r="AJ44" s="398"/>
      <c r="AK44" s="398"/>
      <c r="AL44" s="398"/>
      <c r="AM44" s="398"/>
      <c r="AN44" s="398"/>
      <c r="AO44" s="398"/>
      <c r="AP44" s="397"/>
    </row>
    <row r="45" spans="1:42" ht="15.75" hidden="1" customHeight="1" x14ac:dyDescent="0.3">
      <c r="A45" s="1818" t="s">
        <v>7</v>
      </c>
      <c r="B45" s="623" t="s">
        <v>73</v>
      </c>
      <c r="C45" s="802" t="s">
        <v>429</v>
      </c>
      <c r="D45" s="802" t="s">
        <v>1036</v>
      </c>
      <c r="E45" s="1884">
        <v>21600</v>
      </c>
      <c r="F45" s="647">
        <f>'exchange rates'!$O$9</f>
        <v>1.6293800000000001</v>
      </c>
      <c r="G45" s="625">
        <f>(1.17*100)/F45</f>
        <v>71.806453988633706</v>
      </c>
      <c r="H45" s="593">
        <v>0</v>
      </c>
      <c r="I45" s="594">
        <v>0</v>
      </c>
      <c r="J45" s="595">
        <f>(0.23*100)/F45</f>
        <v>14.11579864733825</v>
      </c>
      <c r="K45" s="566">
        <f>Tabel66892127[[#This Row],[Fix.ch. 2017]]+Tabel66892127[[#This Row],[Var. ch. 2017]]+Tabel66892127[[#This Row],[Oth. ch. DW 2017]]+Tabel66892127[[#This Row],[VAT DW 2017]]</f>
        <v>85.922252635971958</v>
      </c>
      <c r="L45" s="596">
        <f>(0.34*100)/F45</f>
        <v>20.866832783021763</v>
      </c>
      <c r="M45" s="595">
        <f>(0.07*100)/F45</f>
        <v>4.2961126317985983</v>
      </c>
      <c r="N45" s="626">
        <f>(0.29*100)/F45</f>
        <v>17.798180903165619</v>
      </c>
      <c r="O45" s="595">
        <f>(0.06*100)/F45</f>
        <v>3.68238225582737</v>
      </c>
      <c r="P45" s="597">
        <v>0</v>
      </c>
      <c r="Q45" s="595">
        <v>0</v>
      </c>
      <c r="R45" s="570">
        <f>Tabel66892127[[#This Row],[VAT DW 2017]]+Tabel66892127[[#This Row],[VAT Sew. 2017]]+Tabel66892127[[#This Row],[VAT WW 2017]]+Tabel66892127[[#This Row],[VAT Other ch. 2017]]</f>
        <v>22.094293534964219</v>
      </c>
      <c r="S45" s="571">
        <f>Tabel66892127[[#This Row],[Total. ch. DW 2017]]+Tabel66892127[[#This Row],[Sew. 2017]]+Tabel66892127[[#This Row],[VAT Sew. 2017]]+Tabel66892127[[#This Row],[WW 2017]]+Tabel66892127[[#This Row],[VAT WW 2017]]+Tabel66892127[[#This Row],[Other ch. 2017]]+Tabel66892127[[#This Row],[VAT Other ch. 2017]]</f>
        <v>132.56576120978531</v>
      </c>
      <c r="T45" s="397"/>
      <c r="U45" s="1885">
        <f>MEDIAN(G45:G49)</f>
        <v>90.832095643741795</v>
      </c>
      <c r="V45" s="1887">
        <f t="shared" ref="V45:X45" si="4">MEDIAN(H45:H49)</f>
        <v>0</v>
      </c>
      <c r="W45" s="1889">
        <f t="shared" si="4"/>
        <v>0</v>
      </c>
      <c r="X45" s="1771">
        <f t="shared" si="4"/>
        <v>18.411911279136849</v>
      </c>
      <c r="Y45" s="1891">
        <f>SUM(U45:X49)</f>
        <v>109.24400692287864</v>
      </c>
      <c r="Z45" s="1893">
        <f t="shared" ref="Z45:AF45" si="5">MEDIAN(L45:L49)</f>
        <v>7.36476451165474</v>
      </c>
      <c r="AA45" s="1771">
        <f t="shared" si="5"/>
        <v>1.2274607519424565</v>
      </c>
      <c r="AB45" s="1910">
        <f t="shared" si="5"/>
        <v>19.025641655108078</v>
      </c>
      <c r="AC45" s="1771">
        <f t="shared" si="5"/>
        <v>3.68238225582737</v>
      </c>
      <c r="AD45" s="1912">
        <f t="shared" si="5"/>
        <v>0</v>
      </c>
      <c r="AE45" s="1771">
        <f t="shared" si="5"/>
        <v>0</v>
      </c>
      <c r="AF45" s="1914">
        <f t="shared" si="5"/>
        <v>26.390406166762816</v>
      </c>
      <c r="AG45" s="1909">
        <f>Y45+Z45+AA45+AB45+AC45+AD45+AE45</f>
        <v>140.54425609741131</v>
      </c>
      <c r="AH45" s="397"/>
      <c r="AI45" s="396"/>
      <c r="AJ45" s="396"/>
      <c r="AK45" s="396"/>
      <c r="AL45" s="396"/>
      <c r="AM45" s="396"/>
      <c r="AN45" s="396"/>
      <c r="AO45" s="398"/>
      <c r="AP45" s="397"/>
    </row>
    <row r="46" spans="1:42" ht="15.75" hidden="1" customHeight="1" x14ac:dyDescent="0.3">
      <c r="A46" s="1819"/>
      <c r="B46" s="685" t="s">
        <v>74</v>
      </c>
      <c r="C46" s="802"/>
      <c r="D46" s="802" t="s">
        <v>1036</v>
      </c>
      <c r="E46" s="1880"/>
      <c r="F46" s="647">
        <f>'exchange rates'!$O$9</f>
        <v>1.6293800000000001</v>
      </c>
      <c r="G46" s="625">
        <f>(1.29*100)/F46</f>
        <v>79.171218500288447</v>
      </c>
      <c r="H46" s="593">
        <v>0</v>
      </c>
      <c r="I46" s="594">
        <v>0</v>
      </c>
      <c r="J46" s="595">
        <f>(0.26*100)/F46</f>
        <v>15.956989775251936</v>
      </c>
      <c r="K46" s="566">
        <f>Tabel66892127[[#This Row],[Fix.ch. 2017]]+Tabel66892127[[#This Row],[Var. ch. 2017]]+Tabel66892127[[#This Row],[Oth. ch. DW 2017]]+Tabel66892127[[#This Row],[VAT DW 2017]]</f>
        <v>95.128208275540388</v>
      </c>
      <c r="L46" s="596">
        <f>(0.29*100)/F46</f>
        <v>17.798180903165619</v>
      </c>
      <c r="M46" s="595">
        <f>(0.06*100)/F46</f>
        <v>3.68238225582737</v>
      </c>
      <c r="N46" s="626">
        <f>(0.56*100)/F46</f>
        <v>34.368901054388786</v>
      </c>
      <c r="O46" s="595">
        <f>(0.11*100)/F46</f>
        <v>6.7510341356835113</v>
      </c>
      <c r="P46" s="597">
        <v>0</v>
      </c>
      <c r="Q46" s="595">
        <v>0</v>
      </c>
      <c r="R46" s="570">
        <f>Tabel66892127[[#This Row],[VAT DW 2017]]+Tabel66892127[[#This Row],[VAT Sew. 2017]]+Tabel66892127[[#This Row],[VAT WW 2017]]+Tabel66892127[[#This Row],[VAT Other ch. 2017]]</f>
        <v>26.390406166762816</v>
      </c>
      <c r="S46" s="571">
        <f>Tabel66892127[[#This Row],[Total. ch. DW 2017]]+Tabel66892127[[#This Row],[Sew. 2017]]+Tabel66892127[[#This Row],[VAT Sew. 2017]]+Tabel66892127[[#This Row],[WW 2017]]+Tabel66892127[[#This Row],[VAT WW 2017]]+Tabel66892127[[#This Row],[Other ch. 2017]]+Tabel66892127[[#This Row],[VAT Other ch. 2017]]</f>
        <v>157.72870662460568</v>
      </c>
      <c r="T46" s="397"/>
      <c r="U46" s="1886"/>
      <c r="V46" s="1888"/>
      <c r="W46" s="1890"/>
      <c r="X46" s="1772"/>
      <c r="Y46" s="1892"/>
      <c r="Z46" s="1894"/>
      <c r="AA46" s="1772"/>
      <c r="AB46" s="1911"/>
      <c r="AC46" s="1772"/>
      <c r="AD46" s="1913"/>
      <c r="AE46" s="1772"/>
      <c r="AF46" s="1915"/>
      <c r="AG46" s="1832"/>
      <c r="AH46" s="397"/>
      <c r="AI46" s="396"/>
      <c r="AJ46" s="396"/>
      <c r="AK46" s="396"/>
      <c r="AL46" s="396"/>
      <c r="AM46" s="396"/>
      <c r="AN46" s="396"/>
      <c r="AO46" s="398"/>
      <c r="AP46" s="397"/>
    </row>
    <row r="47" spans="1:42" ht="15.75" hidden="1" customHeight="1" x14ac:dyDescent="0.3">
      <c r="A47" s="1819"/>
      <c r="B47" s="685" t="s">
        <v>75</v>
      </c>
      <c r="C47" s="802"/>
      <c r="D47" s="802" t="s">
        <v>1036</v>
      </c>
      <c r="E47" s="1880"/>
      <c r="F47" s="647">
        <f>'exchange rates'!$O$9</f>
        <v>1.6293800000000001</v>
      </c>
      <c r="G47" s="625">
        <f>(1.48*100)/F47</f>
        <v>90.832095643741795</v>
      </c>
      <c r="H47" s="593">
        <v>0</v>
      </c>
      <c r="I47" s="594">
        <v>0</v>
      </c>
      <c r="J47" s="595">
        <f>(0.3*100)/F47</f>
        <v>18.411911279136849</v>
      </c>
      <c r="K47" s="566">
        <f>Tabel66892127[[#This Row],[Fix.ch. 2017]]+Tabel66892127[[#This Row],[Var. ch. 2017]]+Tabel66892127[[#This Row],[Oth. ch. DW 2017]]+Tabel66892127[[#This Row],[VAT DW 2017]]</f>
        <v>109.24400692287864</v>
      </c>
      <c r="L47" s="596">
        <f>(0.12*100)/F47</f>
        <v>7.36476451165474</v>
      </c>
      <c r="M47" s="595">
        <f>(0.02*100)/F47</f>
        <v>1.2274607519424565</v>
      </c>
      <c r="N47" s="626">
        <f>(0.31*100)/F47</f>
        <v>19.025641655108078</v>
      </c>
      <c r="O47" s="595">
        <f t="shared" ref="O47" si="6">(0.06*100)/F47</f>
        <v>3.68238225582737</v>
      </c>
      <c r="P47" s="597">
        <v>0</v>
      </c>
      <c r="Q47" s="595">
        <v>0</v>
      </c>
      <c r="R47" s="570">
        <f>Tabel66892127[[#This Row],[VAT DW 2017]]+Tabel66892127[[#This Row],[VAT Sew. 2017]]+Tabel66892127[[#This Row],[VAT WW 2017]]+Tabel66892127[[#This Row],[VAT Other ch. 2017]]</f>
        <v>23.321754286906675</v>
      </c>
      <c r="S47" s="571">
        <f>Tabel66892127[[#This Row],[Total. ch. DW 2017]]+Tabel66892127[[#This Row],[Sew. 2017]]+Tabel66892127[[#This Row],[VAT Sew. 2017]]+Tabel66892127[[#This Row],[WW 2017]]+Tabel66892127[[#This Row],[VAT WW 2017]]+Tabel66892127[[#This Row],[Other ch. 2017]]+Tabel66892127[[#This Row],[VAT Other ch. 2017]]</f>
        <v>140.54425609741131</v>
      </c>
      <c r="T47" s="397"/>
      <c r="U47" s="1886"/>
      <c r="V47" s="1888"/>
      <c r="W47" s="1890"/>
      <c r="X47" s="1772"/>
      <c r="Y47" s="1892"/>
      <c r="Z47" s="1894"/>
      <c r="AA47" s="1772"/>
      <c r="AB47" s="1911"/>
      <c r="AC47" s="1772"/>
      <c r="AD47" s="1913"/>
      <c r="AE47" s="1772"/>
      <c r="AF47" s="1915"/>
      <c r="AG47" s="1832"/>
      <c r="AH47" s="397"/>
      <c r="AI47" s="396"/>
      <c r="AJ47" s="396"/>
      <c r="AK47" s="396"/>
      <c r="AL47" s="396"/>
      <c r="AM47" s="396"/>
      <c r="AN47" s="396"/>
      <c r="AO47" s="398"/>
      <c r="AP47" s="397"/>
    </row>
    <row r="48" spans="1:42" ht="15.75" hidden="1" customHeight="1" x14ac:dyDescent="0.3">
      <c r="A48" s="1819"/>
      <c r="B48" s="685" t="s">
        <v>76</v>
      </c>
      <c r="C48" s="802"/>
      <c r="D48" s="802" t="s">
        <v>1036</v>
      </c>
      <c r="E48" s="1880"/>
      <c r="F48" s="647">
        <f>'exchange rates'!$O$9</f>
        <v>1.6293800000000001</v>
      </c>
      <c r="G48" s="625">
        <f>(2.1*100)/F48</f>
        <v>128.88337895395793</v>
      </c>
      <c r="H48" s="593">
        <v>0</v>
      </c>
      <c r="I48" s="594">
        <v>0</v>
      </c>
      <c r="J48" s="595">
        <f>(0.42*100)/F48</f>
        <v>25.77667579079159</v>
      </c>
      <c r="K48" s="566">
        <f>Tabel66892127[[#This Row],[Fix.ch. 2017]]+Tabel66892127[[#This Row],[Var. ch. 2017]]+Tabel66892127[[#This Row],[Oth. ch. DW 2017]]+Tabel66892127[[#This Row],[VAT DW 2017]]</f>
        <v>154.66005474474952</v>
      </c>
      <c r="L48" s="596">
        <f>(0.08*100)/F48</f>
        <v>4.9098430077698261</v>
      </c>
      <c r="M48" s="595">
        <f>(0.02*100)/F48</f>
        <v>1.2274607519424565</v>
      </c>
      <c r="N48" s="626">
        <f>(0.17*100)/F48</f>
        <v>10.433416391510882</v>
      </c>
      <c r="O48" s="595">
        <f>(0.03*100)/F48</f>
        <v>1.841191127913685</v>
      </c>
      <c r="P48" s="597">
        <v>0</v>
      </c>
      <c r="Q48" s="595">
        <v>0</v>
      </c>
      <c r="R48" s="570">
        <f>Tabel66892127[[#This Row],[VAT DW 2017]]+Tabel66892127[[#This Row],[VAT Sew. 2017]]+Tabel66892127[[#This Row],[VAT WW 2017]]+Tabel66892127[[#This Row],[VAT Other ch. 2017]]</f>
        <v>28.84532767064773</v>
      </c>
      <c r="S48" s="571">
        <f>Tabel66892127[[#This Row],[Total. ch. DW 2017]]+Tabel66892127[[#This Row],[Sew. 2017]]+Tabel66892127[[#This Row],[VAT Sew. 2017]]+Tabel66892127[[#This Row],[WW 2017]]+Tabel66892127[[#This Row],[VAT WW 2017]]+Tabel66892127[[#This Row],[Other ch. 2017]]+Tabel66892127[[#This Row],[VAT Other ch. 2017]]</f>
        <v>173.07196602388638</v>
      </c>
      <c r="T48" s="397"/>
      <c r="U48" s="1886"/>
      <c r="V48" s="1888"/>
      <c r="W48" s="1890"/>
      <c r="X48" s="1772"/>
      <c r="Y48" s="1892"/>
      <c r="Z48" s="1894"/>
      <c r="AA48" s="1772"/>
      <c r="AB48" s="1911"/>
      <c r="AC48" s="1772"/>
      <c r="AD48" s="1913"/>
      <c r="AE48" s="1772"/>
      <c r="AF48" s="1915"/>
      <c r="AG48" s="1832"/>
      <c r="AH48" s="397"/>
      <c r="AI48" s="396"/>
      <c r="AJ48" s="396"/>
      <c r="AK48" s="396"/>
      <c r="AL48" s="396"/>
      <c r="AM48" s="396"/>
      <c r="AN48" s="396"/>
      <c r="AO48" s="398"/>
      <c r="AP48" s="397"/>
    </row>
    <row r="49" spans="1:42" ht="16.5" hidden="1" customHeight="1" thickBot="1" x14ac:dyDescent="0.3">
      <c r="A49" s="1820"/>
      <c r="B49" s="624" t="s">
        <v>77</v>
      </c>
      <c r="C49" s="802"/>
      <c r="D49" s="802" t="s">
        <v>1036</v>
      </c>
      <c r="E49" s="1799"/>
      <c r="F49" s="647">
        <f>'exchange rates'!$O$9</f>
        <v>1.6293800000000001</v>
      </c>
      <c r="G49" s="625">
        <f>(1.81*100)/F49</f>
        <v>111.08519805079233</v>
      </c>
      <c r="H49" s="593">
        <v>0</v>
      </c>
      <c r="I49" s="594">
        <v>0</v>
      </c>
      <c r="J49" s="595">
        <f>(0.36*100)/F49</f>
        <v>22.094293534964219</v>
      </c>
      <c r="K49" s="566">
        <f>Tabel66892127[[#This Row],[Fix.ch. 2017]]+Tabel66892127[[#This Row],[Var. ch. 2017]]+Tabel66892127[[#This Row],[Oth. ch. DW 2017]]+Tabel66892127[[#This Row],[VAT DW 2017]]</f>
        <v>133.17949158575655</v>
      </c>
      <c r="L49" s="596">
        <f>(0.1*100)/F49</f>
        <v>6.1373037597122826</v>
      </c>
      <c r="M49" s="595">
        <f>(0.02*100)/F49</f>
        <v>1.2274607519424565</v>
      </c>
      <c r="N49" s="626">
        <f>(0.36*100)/F49</f>
        <v>22.094293534964219</v>
      </c>
      <c r="O49" s="595">
        <f>(0.07*100)/F49</f>
        <v>4.2961126317985983</v>
      </c>
      <c r="P49" s="597">
        <v>0</v>
      </c>
      <c r="Q49" s="595">
        <v>0</v>
      </c>
      <c r="R49" s="570">
        <f>Tabel66892127[[#This Row],[VAT DW 2017]]+Tabel66892127[[#This Row],[VAT Sew. 2017]]+Tabel66892127[[#This Row],[VAT WW 2017]]+Tabel66892127[[#This Row],[VAT Other ch. 2017]]</f>
        <v>27.617866918705275</v>
      </c>
      <c r="S49" s="571">
        <f>Tabel66892127[[#This Row],[Total. ch. DW 2017]]+Tabel66892127[[#This Row],[Sew. 2017]]+Tabel66892127[[#This Row],[VAT Sew. 2017]]+Tabel66892127[[#This Row],[WW 2017]]+Tabel66892127[[#This Row],[VAT WW 2017]]+Tabel66892127[[#This Row],[Other ch. 2017]]+Tabel66892127[[#This Row],[VAT Other ch. 2017]]</f>
        <v>166.93466226417411</v>
      </c>
      <c r="T49" s="397"/>
      <c r="U49" s="1801"/>
      <c r="V49" s="1803"/>
      <c r="W49" s="1805"/>
      <c r="X49" s="1773"/>
      <c r="Y49" s="1807"/>
      <c r="Z49" s="1809"/>
      <c r="AA49" s="1773"/>
      <c r="AB49" s="1782"/>
      <c r="AC49" s="1773"/>
      <c r="AD49" s="1786"/>
      <c r="AE49" s="1773"/>
      <c r="AF49" s="1789"/>
      <c r="AG49" s="1792"/>
      <c r="AH49" s="397"/>
      <c r="AI49" s="396"/>
      <c r="AJ49" s="396"/>
      <c r="AK49" s="396"/>
      <c r="AL49" s="396"/>
      <c r="AM49" s="396"/>
      <c r="AN49" s="396"/>
      <c r="AO49" s="398"/>
      <c r="AP49" s="397"/>
    </row>
    <row r="50" spans="1:42" ht="16.5" hidden="1" customHeight="1" thickBot="1" x14ac:dyDescent="0.3">
      <c r="A50" s="961" t="s">
        <v>501</v>
      </c>
      <c r="B50" s="265" t="s">
        <v>504</v>
      </c>
      <c r="C50" s="1045"/>
      <c r="D50" s="811" t="s">
        <v>1038</v>
      </c>
      <c r="E50" s="300">
        <v>1500</v>
      </c>
      <c r="F50" s="305">
        <v>506.17869999999999</v>
      </c>
      <c r="G50" s="310">
        <f>12000/F50</f>
        <v>23.707042591875162</v>
      </c>
      <c r="H50" s="311">
        <f>64348/F50</f>
        <v>127.12506472516525</v>
      </c>
      <c r="I50" s="312">
        <v>0</v>
      </c>
      <c r="J50" s="558"/>
      <c r="K50" s="313">
        <f>Tabel66892127[[#This Row],[Fix.ch. 2017]]+Tabel66892127[[#This Row],[Var. ch. 2017]]+Tabel66892127[[#This Row],[Oth. ch. DW 2017]]+Tabel66892127[[#This Row],[VAT DW 2017]]</f>
        <v>150.8321073170404</v>
      </c>
      <c r="L50" s="314">
        <f>12000/F50</f>
        <v>23.707042591875162</v>
      </c>
      <c r="M50" s="558"/>
      <c r="N50" s="315">
        <v>0</v>
      </c>
      <c r="O50" s="558"/>
      <c r="P50" s="316">
        <v>0</v>
      </c>
      <c r="Q50" s="558"/>
      <c r="R50" s="317">
        <f>Tabel66892127[[#This Row],[VAT DW 2017]]+Tabel66892127[[#This Row],[VAT Sew. 2017]]+Tabel66892127[[#This Row],[VAT WW 2017]]+Tabel66892127[[#This Row],[VAT Other ch. 2017]]</f>
        <v>0</v>
      </c>
      <c r="S50" s="318">
        <f>Tabel66892127[[#This Row],[Total. ch. DW 2017]]+Tabel66892127[[#This Row],[Sew. 2017]]+Tabel66892127[[#This Row],[VAT Sew. 2017]]+Tabel66892127[[#This Row],[WW 2017]]+Tabel66892127[[#This Row],[VAT WW 2017]]+Tabel66892127[[#This Row],[Other ch. 2017]]+Tabel66892127[[#This Row],[VAT Other ch. 2017]]</f>
        <v>174.53914990891556</v>
      </c>
      <c r="T50" s="397"/>
      <c r="U50" s="1016">
        <f>Tabel66892127[[#This Row],[Fix.ch. 2017]]</f>
        <v>23.707042591875162</v>
      </c>
      <c r="V50" s="1009">
        <f>Tabel66892127[[#This Row],[Var. ch. 2017]]</f>
        <v>127.12506472516525</v>
      </c>
      <c r="W50" s="1008">
        <v>0</v>
      </c>
      <c r="X50" s="576"/>
      <c r="Y50" s="991">
        <f>Tabel66892127[[#This Row],[Total. ch. DW 2017]]</f>
        <v>150.8321073170404</v>
      </c>
      <c r="Z50" s="1024">
        <f>Tabel66892127[[#This Row],[Sew. 2017]]</f>
        <v>23.707042591875162</v>
      </c>
      <c r="AA50" s="576"/>
      <c r="AB50" s="1023">
        <v>0</v>
      </c>
      <c r="AC50" s="576"/>
      <c r="AD50" s="973">
        <v>0</v>
      </c>
      <c r="AE50" s="576"/>
      <c r="AF50" s="1027">
        <f>Tabel66892127[[#This Row],[Total VAT 2017]]</f>
        <v>0</v>
      </c>
      <c r="AG50" s="1026">
        <f>Tabel66892127[[#This Row],[total charge 2017]]</f>
        <v>174.53914990891556</v>
      </c>
      <c r="AH50" s="397"/>
      <c r="AI50" s="396"/>
      <c r="AJ50" s="396"/>
      <c r="AK50" s="396"/>
      <c r="AL50" s="396" t="s">
        <v>429</v>
      </c>
      <c r="AM50" s="396" t="s">
        <v>429</v>
      </c>
      <c r="AN50" s="396"/>
      <c r="AO50" s="398"/>
      <c r="AP50" s="397"/>
    </row>
    <row r="51" spans="1:42" ht="16.5" hidden="1" customHeight="1" x14ac:dyDescent="0.3">
      <c r="A51" s="1878" t="s">
        <v>343</v>
      </c>
      <c r="B51" s="740" t="s">
        <v>548</v>
      </c>
      <c r="C51" s="806"/>
      <c r="D51" s="806" t="s">
        <v>1040</v>
      </c>
      <c r="E51" s="1798">
        <v>48100</v>
      </c>
      <c r="F51" s="647">
        <f>'exchange rates'!$O$11</f>
        <v>1.25759</v>
      </c>
      <c r="G51" s="625">
        <f>187.08/F51</f>
        <v>148.76072487853753</v>
      </c>
      <c r="H51" s="593">
        <f>173.92/F51</f>
        <v>138.29626507844367</v>
      </c>
      <c r="I51" s="594">
        <v>0</v>
      </c>
      <c r="J51" s="595">
        <v>0</v>
      </c>
      <c r="K51" s="566">
        <f>Tabel66892127[[#This Row],[Fix.ch. 2017]]+Tabel66892127[[#This Row],[Var. ch. 2017]]+Tabel66892127[[#This Row],[Oth. ch. DW 2017]]+Tabel66892127[[#This Row],[VAT DW 2017]]</f>
        <v>287.05698995698117</v>
      </c>
      <c r="L51" s="596">
        <v>0</v>
      </c>
      <c r="M51" s="595">
        <v>0</v>
      </c>
      <c r="N51" s="626">
        <f>436/F51</f>
        <v>346.69486875690808</v>
      </c>
      <c r="O51" s="595">
        <v>0</v>
      </c>
      <c r="P51" s="597">
        <v>0</v>
      </c>
      <c r="Q51" s="595">
        <v>0</v>
      </c>
      <c r="R51" s="570">
        <f>Tabel66892127[[#This Row],[VAT DW 2017]]+Tabel66892127[[#This Row],[VAT Sew. 2017]]+Tabel66892127[[#This Row],[VAT WW 2017]]+Tabel66892127[[#This Row],[VAT Other ch. 2017]]</f>
        <v>0</v>
      </c>
      <c r="S51" s="571">
        <f>Tabel66892127[[#This Row],[Total. ch. DW 2017]]+Tabel66892127[[#This Row],[Sew. 2017]]+Tabel66892127[[#This Row],[VAT Sew. 2017]]+Tabel66892127[[#This Row],[WW 2017]]+Tabel66892127[[#This Row],[VAT WW 2017]]+Tabel66892127[[#This Row],[Other ch. 2017]]+Tabel66892127[[#This Row],[VAT Other ch. 2017]]</f>
        <v>633.75185871388931</v>
      </c>
      <c r="T51" s="397"/>
      <c r="U51" s="1800">
        <f>MEDIAN(G51:G56)</f>
        <v>158.20736488044594</v>
      </c>
      <c r="V51" s="1802">
        <f>MEDIAN(H51:H56)</f>
        <v>139.78323618985519</v>
      </c>
      <c r="W51" s="1804">
        <f>MEDIAN(I51:I56)</f>
        <v>0</v>
      </c>
      <c r="X51" s="1771">
        <f>MEDIAN(J51:J56)</f>
        <v>0</v>
      </c>
      <c r="Y51" s="1806">
        <f>SUM(U51:X56)</f>
        <v>297.99060107030112</v>
      </c>
      <c r="Z51" s="1808">
        <f t="shared" ref="Z51:AF51" si="7">MEDIAN(L51:L56)</f>
        <v>0</v>
      </c>
      <c r="AA51" s="1771">
        <f t="shared" si="7"/>
        <v>0</v>
      </c>
      <c r="AB51" s="1780">
        <f t="shared" si="7"/>
        <v>227.02152529838821</v>
      </c>
      <c r="AC51" s="1771">
        <f t="shared" si="7"/>
        <v>0</v>
      </c>
      <c r="AD51" s="1784">
        <f t="shared" si="7"/>
        <v>0</v>
      </c>
      <c r="AE51" s="1771">
        <f t="shared" si="7"/>
        <v>0</v>
      </c>
      <c r="AF51" s="1787">
        <f t="shared" si="7"/>
        <v>0</v>
      </c>
      <c r="AG51" s="1790">
        <f>Y51+Z51+AA51+AB51+AC51+AD51+AE51</f>
        <v>525.01212636868934</v>
      </c>
      <c r="AH51" s="397"/>
      <c r="AI51" s="396"/>
      <c r="AJ51" s="591" t="s">
        <v>429</v>
      </c>
      <c r="AK51" s="591"/>
      <c r="AL51" s="591"/>
      <c r="AM51" s="591" t="s">
        <v>429</v>
      </c>
      <c r="AN51" s="591" t="s">
        <v>429</v>
      </c>
      <c r="AO51" s="398"/>
      <c r="AP51" s="397"/>
    </row>
    <row r="52" spans="1:42" ht="16.5" hidden="1" customHeight="1" x14ac:dyDescent="0.3">
      <c r="A52" s="1757"/>
      <c r="B52" s="724" t="s">
        <v>940</v>
      </c>
      <c r="C52" s="724" t="s">
        <v>429</v>
      </c>
      <c r="D52" s="724" t="s">
        <v>1040</v>
      </c>
      <c r="E52" s="1760"/>
      <c r="F52" s="647">
        <f>'exchange rates'!$O$11</f>
        <v>1.25759</v>
      </c>
      <c r="G52" s="625">
        <f>109.68/F52</f>
        <v>87.214433957013028</v>
      </c>
      <c r="H52" s="593">
        <f>188.32/F52</f>
        <v>149.74673780802965</v>
      </c>
      <c r="I52" s="594">
        <v>0</v>
      </c>
      <c r="J52" s="595">
        <v>0</v>
      </c>
      <c r="K52" s="566">
        <f>Tabel66892127[[#This Row],[Fix.ch. 2017]]+Tabel66892127[[#This Row],[Var. ch. 2017]]+Tabel66892127[[#This Row],[Oth. ch. DW 2017]]+Tabel66892127[[#This Row],[VAT DW 2017]]</f>
        <v>236.96117176504268</v>
      </c>
      <c r="L52" s="596">
        <v>0</v>
      </c>
      <c r="M52" s="595">
        <v>0</v>
      </c>
      <c r="N52" s="626">
        <f>317/F52</f>
        <v>252.06943439435747</v>
      </c>
      <c r="O52" s="595">
        <v>0</v>
      </c>
      <c r="P52" s="597">
        <v>0</v>
      </c>
      <c r="Q52" s="595">
        <v>0</v>
      </c>
      <c r="R52" s="570">
        <f>Tabel66892127[[#This Row],[VAT DW 2017]]+Tabel66892127[[#This Row],[VAT Sew. 2017]]+Tabel66892127[[#This Row],[VAT WW 2017]]+Tabel66892127[[#This Row],[VAT Other ch. 2017]]</f>
        <v>0</v>
      </c>
      <c r="S52" s="571">
        <f>Tabel66892127[[#This Row],[Total. ch. DW 2017]]+Tabel66892127[[#This Row],[Sew. 2017]]+Tabel66892127[[#This Row],[VAT Sew. 2017]]+Tabel66892127[[#This Row],[WW 2017]]+Tabel66892127[[#This Row],[VAT WW 2017]]+Tabel66892127[[#This Row],[Other ch. 2017]]+Tabel66892127[[#This Row],[VAT Other ch. 2017]]</f>
        <v>489.03060615940012</v>
      </c>
      <c r="T52" s="397"/>
      <c r="U52" s="1763"/>
      <c r="V52" s="1766"/>
      <c r="W52" s="1769"/>
      <c r="X52" s="1772"/>
      <c r="Y52" s="1775"/>
      <c r="Z52" s="1778"/>
      <c r="AA52" s="1772"/>
      <c r="AB52" s="1781"/>
      <c r="AC52" s="1772"/>
      <c r="AD52" s="1785"/>
      <c r="AE52" s="1772"/>
      <c r="AF52" s="1788"/>
      <c r="AG52" s="1791"/>
      <c r="AH52" s="397"/>
      <c r="AI52" s="396"/>
      <c r="AJ52" s="591" t="s">
        <v>429</v>
      </c>
      <c r="AK52" s="591"/>
      <c r="AL52" s="591"/>
      <c r="AM52" s="591" t="s">
        <v>429</v>
      </c>
      <c r="AN52" s="591" t="s">
        <v>429</v>
      </c>
      <c r="AO52" s="398"/>
      <c r="AP52" s="397"/>
    </row>
    <row r="53" spans="1:42" ht="16.5" hidden="1" customHeight="1" x14ac:dyDescent="0.3">
      <c r="A53" s="1757"/>
      <c r="B53" s="724" t="s">
        <v>549</v>
      </c>
      <c r="C53" s="724"/>
      <c r="D53" s="724" t="s">
        <v>1040</v>
      </c>
      <c r="E53" s="1760"/>
      <c r="F53" s="647">
        <f>'exchange rates'!$O$11</f>
        <v>1.25759</v>
      </c>
      <c r="G53" s="625">
        <f>179.34/F53</f>
        <v>142.60609578638508</v>
      </c>
      <c r="H53" s="593">
        <f>177.66/F53</f>
        <v>141.27020730126671</v>
      </c>
      <c r="I53" s="594">
        <v>0</v>
      </c>
      <c r="J53" s="595">
        <v>0</v>
      </c>
      <c r="K53" s="566">
        <f>Tabel66892127[[#This Row],[Fix.ch. 2017]]+Tabel66892127[[#This Row],[Var. ch. 2017]]+Tabel66892127[[#This Row],[Oth. ch. DW 2017]]+Tabel66892127[[#This Row],[VAT DW 2017]]</f>
        <v>283.87630308765176</v>
      </c>
      <c r="L53" s="596">
        <v>0</v>
      </c>
      <c r="M53" s="595">
        <v>0</v>
      </c>
      <c r="N53" s="626">
        <f>254/F53</f>
        <v>201.97361620241892</v>
      </c>
      <c r="O53" s="595">
        <v>0</v>
      </c>
      <c r="P53" s="597">
        <v>0</v>
      </c>
      <c r="Q53" s="595">
        <v>0</v>
      </c>
      <c r="R53" s="570">
        <f>Tabel66892127[[#This Row],[VAT DW 2017]]+Tabel66892127[[#This Row],[VAT Sew. 2017]]+Tabel66892127[[#This Row],[VAT WW 2017]]+Tabel66892127[[#This Row],[VAT Other ch. 2017]]</f>
        <v>0</v>
      </c>
      <c r="S53" s="571">
        <f>Tabel66892127[[#This Row],[Total. ch. DW 2017]]+Tabel66892127[[#This Row],[Sew. 2017]]+Tabel66892127[[#This Row],[VAT Sew. 2017]]+Tabel66892127[[#This Row],[WW 2017]]+Tabel66892127[[#This Row],[VAT WW 2017]]+Tabel66892127[[#This Row],[Other ch. 2017]]+Tabel66892127[[#This Row],[VAT Other ch. 2017]]</f>
        <v>485.84991929007072</v>
      </c>
      <c r="T53" s="397"/>
      <c r="U53" s="1763"/>
      <c r="V53" s="1766"/>
      <c r="W53" s="1769"/>
      <c r="X53" s="1772"/>
      <c r="Y53" s="1775"/>
      <c r="Z53" s="1778"/>
      <c r="AA53" s="1772"/>
      <c r="AB53" s="1781"/>
      <c r="AC53" s="1772"/>
      <c r="AD53" s="1785"/>
      <c r="AE53" s="1772"/>
      <c r="AF53" s="1788"/>
      <c r="AG53" s="1791"/>
      <c r="AH53" s="397"/>
      <c r="AI53" s="396"/>
      <c r="AJ53" s="591" t="s">
        <v>429</v>
      </c>
      <c r="AK53" s="591"/>
      <c r="AL53" s="591"/>
      <c r="AM53" s="591" t="s">
        <v>429</v>
      </c>
      <c r="AN53" s="591" t="s">
        <v>429</v>
      </c>
      <c r="AO53" s="398"/>
      <c r="AP53" s="397"/>
    </row>
    <row r="54" spans="1:42" ht="16.5" hidden="1" customHeight="1" x14ac:dyDescent="0.3">
      <c r="A54" s="1757"/>
      <c r="B54" s="724" t="s">
        <v>722</v>
      </c>
      <c r="C54" s="724"/>
      <c r="D54" s="724" t="s">
        <v>1040</v>
      </c>
      <c r="E54" s="1760"/>
      <c r="F54" s="647">
        <f>'exchange rates'!$O$11</f>
        <v>1.25759</v>
      </c>
      <c r="G54" s="625">
        <f>240/F54</f>
        <v>190.84121215976592</v>
      </c>
      <c r="H54" s="593">
        <f>358/F54</f>
        <v>284.67147480498414</v>
      </c>
      <c r="I54" s="594">
        <v>0</v>
      </c>
      <c r="J54" s="595">
        <v>0</v>
      </c>
      <c r="K54" s="566">
        <f>Tabel66892127[[#This Row],[Fix.ch. 2017]]+Tabel66892127[[#This Row],[Var. ch. 2017]]+Tabel66892127[[#This Row],[Oth. ch. DW 2017]]+Tabel66892127[[#This Row],[VAT DW 2017]]</f>
        <v>475.51268696475006</v>
      </c>
      <c r="L54" s="596">
        <v>0</v>
      </c>
      <c r="M54" s="595">
        <v>0</v>
      </c>
      <c r="N54" s="626">
        <f>247/F54</f>
        <v>196.40741418109241</v>
      </c>
      <c r="O54" s="595">
        <v>0</v>
      </c>
      <c r="P54" s="597">
        <v>0</v>
      </c>
      <c r="Q54" s="595">
        <v>0</v>
      </c>
      <c r="R54" s="570">
        <f>Tabel66892127[[#This Row],[VAT DW 2017]]+Tabel66892127[[#This Row],[VAT Sew. 2017]]+Tabel66892127[[#This Row],[VAT WW 2017]]+Tabel66892127[[#This Row],[VAT Other ch. 2017]]</f>
        <v>0</v>
      </c>
      <c r="S54" s="571">
        <f>Tabel66892127[[#This Row],[Total. ch. DW 2017]]+Tabel66892127[[#This Row],[Sew. 2017]]+Tabel66892127[[#This Row],[VAT Sew. 2017]]+Tabel66892127[[#This Row],[WW 2017]]+Tabel66892127[[#This Row],[VAT WW 2017]]+Tabel66892127[[#This Row],[Other ch. 2017]]+Tabel66892127[[#This Row],[VAT Other ch. 2017]]</f>
        <v>671.92010114584241</v>
      </c>
      <c r="T54" s="397"/>
      <c r="U54" s="1763"/>
      <c r="V54" s="1766"/>
      <c r="W54" s="1769"/>
      <c r="X54" s="1772"/>
      <c r="Y54" s="1775"/>
      <c r="Z54" s="1778"/>
      <c r="AA54" s="1772"/>
      <c r="AB54" s="1781"/>
      <c r="AC54" s="1772"/>
      <c r="AD54" s="1785"/>
      <c r="AE54" s="1772"/>
      <c r="AF54" s="1788"/>
      <c r="AG54" s="1791"/>
      <c r="AH54" s="397"/>
      <c r="AI54" s="396"/>
      <c r="AJ54" s="396"/>
      <c r="AK54" s="396"/>
      <c r="AL54" s="591" t="s">
        <v>429</v>
      </c>
      <c r="AM54" s="591" t="s">
        <v>429</v>
      </c>
      <c r="AN54" s="591" t="s">
        <v>429</v>
      </c>
      <c r="AO54" s="398"/>
      <c r="AP54" s="397"/>
    </row>
    <row r="55" spans="1:42" ht="16.5" hidden="1" customHeight="1" x14ac:dyDescent="0.3">
      <c r="A55" s="1757"/>
      <c r="B55" s="724" t="s">
        <v>723</v>
      </c>
      <c r="C55" s="724"/>
      <c r="D55" s="724" t="s">
        <v>1040</v>
      </c>
      <c r="E55" s="1760"/>
      <c r="F55" s="647">
        <f>'exchange rates'!$O$11</f>
        <v>1.25759</v>
      </c>
      <c r="G55" s="625">
        <f>616/F55</f>
        <v>489.8257778767325</v>
      </c>
      <c r="H55" s="593">
        <f>0</f>
        <v>0</v>
      </c>
      <c r="I55" s="594">
        <v>0</v>
      </c>
      <c r="J55" s="595">
        <v>0</v>
      </c>
      <c r="K55" s="566">
        <f>Tabel66892127[[#This Row],[Fix.ch. 2017]]+Tabel66892127[[#This Row],[Var. ch. 2017]]+Tabel66892127[[#This Row],[Oth. ch. DW 2017]]+Tabel66892127[[#This Row],[VAT DW 2017]]</f>
        <v>489.8257778767325</v>
      </c>
      <c r="L55" s="596">
        <v>0</v>
      </c>
      <c r="M55" s="595">
        <v>0</v>
      </c>
      <c r="N55" s="626">
        <f>384/F55</f>
        <v>305.34593945562546</v>
      </c>
      <c r="O55" s="595">
        <v>0</v>
      </c>
      <c r="P55" s="597">
        <v>0</v>
      </c>
      <c r="Q55" s="595">
        <v>0</v>
      </c>
      <c r="R55" s="570">
        <f>Tabel66892127[[#This Row],[VAT DW 2017]]+Tabel66892127[[#This Row],[VAT Sew. 2017]]+Tabel66892127[[#This Row],[VAT WW 2017]]+Tabel66892127[[#This Row],[VAT Other ch. 2017]]</f>
        <v>0</v>
      </c>
      <c r="S55" s="571">
        <f>Tabel66892127[[#This Row],[Total. ch. DW 2017]]+Tabel66892127[[#This Row],[Sew. 2017]]+Tabel66892127[[#This Row],[VAT Sew. 2017]]+Tabel66892127[[#This Row],[WW 2017]]+Tabel66892127[[#This Row],[VAT WW 2017]]+Tabel66892127[[#This Row],[Other ch. 2017]]+Tabel66892127[[#This Row],[VAT Other ch. 2017]]</f>
        <v>795.17171733235796</v>
      </c>
      <c r="T55" s="397"/>
      <c r="U55" s="1763"/>
      <c r="V55" s="1766"/>
      <c r="W55" s="1769"/>
      <c r="X55" s="1772"/>
      <c r="Y55" s="1775"/>
      <c r="Z55" s="1778"/>
      <c r="AA55" s="1772"/>
      <c r="AB55" s="1781"/>
      <c r="AC55" s="1772"/>
      <c r="AD55" s="1785"/>
      <c r="AE55" s="1772"/>
      <c r="AF55" s="1788"/>
      <c r="AG55" s="1791"/>
      <c r="AH55" s="397"/>
      <c r="AI55" s="591" t="s">
        <v>429</v>
      </c>
      <c r="AJ55" s="591"/>
      <c r="AK55" s="591"/>
      <c r="AL55" s="591"/>
      <c r="AM55" s="591" t="s">
        <v>429</v>
      </c>
      <c r="AN55" s="591" t="s">
        <v>429</v>
      </c>
      <c r="AO55" s="398"/>
      <c r="AP55" s="397"/>
    </row>
    <row r="56" spans="1:42" ht="16.5" hidden="1" customHeight="1" thickBot="1" x14ac:dyDescent="0.3">
      <c r="A56" s="1758"/>
      <c r="B56" s="743" t="s">
        <v>552</v>
      </c>
      <c r="C56" s="807"/>
      <c r="D56" s="807" t="s">
        <v>1040</v>
      </c>
      <c r="E56" s="1799"/>
      <c r="F56" s="647">
        <f>'exchange rates'!$O$11</f>
        <v>1.25759</v>
      </c>
      <c r="G56" s="625">
        <f>210.84/F56</f>
        <v>167.65400488235434</v>
      </c>
      <c r="H56" s="593">
        <f>104.16/F56</f>
        <v>82.825086077338398</v>
      </c>
      <c r="I56" s="594">
        <v>0</v>
      </c>
      <c r="J56" s="595">
        <v>0</v>
      </c>
      <c r="K56" s="566">
        <f>Tabel66892127[[#This Row],[Fix.ch. 2017]]+Tabel66892127[[#This Row],[Var. ch. 2017]]+Tabel66892127[[#This Row],[Oth. ch. DW 2017]]+Tabel66892127[[#This Row],[VAT DW 2017]]</f>
        <v>250.47909095969274</v>
      </c>
      <c r="L56" s="596">
        <v>0</v>
      </c>
      <c r="M56" s="595">
        <v>0</v>
      </c>
      <c r="N56" s="626">
        <f>251/F56</f>
        <v>199.58810105042184</v>
      </c>
      <c r="O56" s="595">
        <v>0</v>
      </c>
      <c r="P56" s="597">
        <v>0</v>
      </c>
      <c r="Q56" s="595">
        <v>0</v>
      </c>
      <c r="R56" s="570">
        <f>Tabel66892127[[#This Row],[VAT DW 2017]]+Tabel66892127[[#This Row],[VAT Sew. 2017]]+Tabel66892127[[#This Row],[VAT WW 2017]]+Tabel66892127[[#This Row],[VAT Other ch. 2017]]</f>
        <v>0</v>
      </c>
      <c r="S56" s="571">
        <f>Tabel66892127[[#This Row],[Total. ch. DW 2017]]+Tabel66892127[[#This Row],[Sew. 2017]]+Tabel66892127[[#This Row],[VAT Sew. 2017]]+Tabel66892127[[#This Row],[WW 2017]]+Tabel66892127[[#This Row],[VAT WW 2017]]+Tabel66892127[[#This Row],[Other ch. 2017]]+Tabel66892127[[#This Row],[VAT Other ch. 2017]]</f>
        <v>450.06719201011458</v>
      </c>
      <c r="T56" s="397"/>
      <c r="U56" s="1801"/>
      <c r="V56" s="1803"/>
      <c r="W56" s="1805"/>
      <c r="X56" s="1773"/>
      <c r="Y56" s="1807"/>
      <c r="Z56" s="1809"/>
      <c r="AA56" s="1773"/>
      <c r="AB56" s="1782"/>
      <c r="AC56" s="1773"/>
      <c r="AD56" s="1786"/>
      <c r="AE56" s="1773"/>
      <c r="AF56" s="1789"/>
      <c r="AG56" s="1792"/>
      <c r="AH56" s="397"/>
      <c r="AI56" s="396"/>
      <c r="AJ56" s="396"/>
      <c r="AK56" s="591" t="s">
        <v>429</v>
      </c>
      <c r="AL56" s="591"/>
      <c r="AM56" s="591" t="s">
        <v>429</v>
      </c>
      <c r="AN56" s="591" t="s">
        <v>429</v>
      </c>
      <c r="AO56" s="398"/>
      <c r="AP56" s="397"/>
    </row>
    <row r="57" spans="1:42" ht="16.5" hidden="1" customHeight="1" x14ac:dyDescent="0.3">
      <c r="A57" s="1833" t="s">
        <v>489</v>
      </c>
      <c r="B57" s="288" t="s">
        <v>728</v>
      </c>
      <c r="C57" s="805"/>
      <c r="D57" s="805" t="s">
        <v>1042</v>
      </c>
      <c r="E57" s="1837">
        <v>23800</v>
      </c>
      <c r="F57" s="306">
        <f>'exchange rates'!$M$12</f>
        <v>711.02919999999995</v>
      </c>
      <c r="G57" s="310">
        <f>10990/F57</f>
        <v>15.456467891895299</v>
      </c>
      <c r="H57" s="311">
        <f>284335/F57</f>
        <v>399.89215632775705</v>
      </c>
      <c r="I57" s="312">
        <v>0</v>
      </c>
      <c r="J57" s="558"/>
      <c r="K57" s="313">
        <f>Tabel66892127[[#This Row],[Fix.ch. 2017]]+Tabel66892127[[#This Row],[Var. ch. 2017]]+Tabel66892127[[#This Row],[Oth. ch. DW 2017]]+Tabel66892127[[#This Row],[VAT DW 2017]]</f>
        <v>415.34862421965232</v>
      </c>
      <c r="L57" s="314">
        <f>64761/F57</f>
        <v>91.080647602095667</v>
      </c>
      <c r="M57" s="558"/>
      <c r="N57" s="315">
        <v>0</v>
      </c>
      <c r="O57" s="558"/>
      <c r="P57" s="316">
        <v>0</v>
      </c>
      <c r="Q57" s="558"/>
      <c r="R57" s="317">
        <f>Tabel66892127[[#This Row],[VAT DW 2017]]+Tabel66892127[[#This Row],[VAT Sew. 2017]]+Tabel66892127[[#This Row],[VAT WW 2017]]+Tabel66892127[[#This Row],[VAT Other ch. 2017]]</f>
        <v>0</v>
      </c>
      <c r="S57" s="318">
        <f>Tabel66892127[[#This Row],[Total. ch. DW 2017]]+Tabel66892127[[#This Row],[Sew. 2017]]+Tabel66892127[[#This Row],[VAT Sew. 2017]]+Tabel66892127[[#This Row],[WW 2017]]+Tabel66892127[[#This Row],[VAT WW 2017]]+Tabel66892127[[#This Row],[Other ch. 2017]]+Tabel66892127[[#This Row],[VAT Other ch. 2017]]</f>
        <v>506.42927182174799</v>
      </c>
      <c r="T57" s="397"/>
      <c r="U57" s="1927">
        <f>MEDIAN(G57:G62)</f>
        <v>16.670904654829929</v>
      </c>
      <c r="V57" s="1928">
        <f>MEDIAN(H57:H62)</f>
        <v>155.12935333738756</v>
      </c>
      <c r="W57" s="1929">
        <f>MEDIAN(I57:I62)</f>
        <v>0</v>
      </c>
      <c r="X57" s="575"/>
      <c r="Y57" s="1930">
        <f>SUM(U57:W62)</f>
        <v>171.8002579922175</v>
      </c>
      <c r="Z57" s="1918">
        <f>MEDIAN(L57:L62)</f>
        <v>139.88314403965407</v>
      </c>
      <c r="AA57" s="575"/>
      <c r="AB57" s="1919">
        <f>MEDIAN(N57:N62)</f>
        <v>0</v>
      </c>
      <c r="AC57" s="575"/>
      <c r="AD57" s="1920">
        <f>MEDIAN(P57:P62)</f>
        <v>0</v>
      </c>
      <c r="AE57" s="575"/>
      <c r="AF57" s="1921">
        <f>MEDIAN(R57:R62)</f>
        <v>0</v>
      </c>
      <c r="AG57" s="1922">
        <f>SUM(Y57:AF62)</f>
        <v>311.68340203187154</v>
      </c>
      <c r="AH57" s="397"/>
      <c r="AI57" s="396"/>
      <c r="AJ57" s="396"/>
      <c r="AK57" s="396"/>
      <c r="AL57" s="396"/>
      <c r="AM57" s="396"/>
      <c r="AN57" s="396"/>
      <c r="AO57" s="398"/>
      <c r="AP57" s="397"/>
    </row>
    <row r="58" spans="1:42" ht="16.5" hidden="1" customHeight="1" x14ac:dyDescent="0.3">
      <c r="A58" s="1834"/>
      <c r="B58" s="525" t="s">
        <v>492</v>
      </c>
      <c r="C58" s="805"/>
      <c r="D58" s="805" t="s">
        <v>1042</v>
      </c>
      <c r="E58" s="1837"/>
      <c r="F58" s="306">
        <f>'exchange rates'!$M$12</f>
        <v>711.02919999999995</v>
      </c>
      <c r="G58" s="310">
        <f>12717/F58</f>
        <v>17.885341417764561</v>
      </c>
      <c r="H58" s="311">
        <f>135129/F58</f>
        <v>190.04704729426021</v>
      </c>
      <c r="I58" s="312">
        <v>0</v>
      </c>
      <c r="J58" s="558"/>
      <c r="K58" s="313">
        <f>Tabel66892127[[#This Row],[Fix.ch. 2017]]+Tabel66892127[[#This Row],[Var. ch. 2017]]+Tabel66892127[[#This Row],[Oth. ch. DW 2017]]+Tabel66892127[[#This Row],[VAT DW 2017]]</f>
        <v>207.93238871202476</v>
      </c>
      <c r="L58" s="314">
        <f>99461/F58</f>
        <v>139.88314403965407</v>
      </c>
      <c r="M58" s="558"/>
      <c r="N58" s="315">
        <v>0</v>
      </c>
      <c r="O58" s="558"/>
      <c r="P58" s="316">
        <v>0</v>
      </c>
      <c r="Q58" s="558"/>
      <c r="R58" s="317">
        <f>Tabel66892127[[#This Row],[VAT DW 2017]]+Tabel66892127[[#This Row],[VAT Sew. 2017]]+Tabel66892127[[#This Row],[VAT WW 2017]]+Tabel66892127[[#This Row],[VAT Other ch. 2017]]</f>
        <v>0</v>
      </c>
      <c r="S58" s="318">
        <f>Tabel66892127[[#This Row],[Total. ch. DW 2017]]+Tabel66892127[[#This Row],[Sew. 2017]]+Tabel66892127[[#This Row],[VAT Sew. 2017]]+Tabel66892127[[#This Row],[WW 2017]]+Tabel66892127[[#This Row],[VAT WW 2017]]+Tabel66892127[[#This Row],[Other ch. 2017]]+Tabel66892127[[#This Row],[VAT Other ch. 2017]]</f>
        <v>347.8155327516788</v>
      </c>
      <c r="T58" s="397"/>
      <c r="U58" s="1840"/>
      <c r="V58" s="1843"/>
      <c r="W58" s="1846"/>
      <c r="X58" s="576"/>
      <c r="Y58" s="1849"/>
      <c r="Z58" s="1852"/>
      <c r="AA58" s="576"/>
      <c r="AB58" s="1855"/>
      <c r="AC58" s="576"/>
      <c r="AD58" s="1858"/>
      <c r="AE58" s="576"/>
      <c r="AF58" s="1873"/>
      <c r="AG58" s="1876"/>
      <c r="AH58" s="397"/>
      <c r="AI58" s="396"/>
      <c r="AJ58" s="396"/>
      <c r="AK58" s="396"/>
      <c r="AL58" s="396"/>
      <c r="AM58" s="396"/>
      <c r="AN58" s="396"/>
      <c r="AO58" s="398"/>
      <c r="AP58" s="397"/>
    </row>
    <row r="59" spans="1:42" ht="16.5" hidden="1" customHeight="1" x14ac:dyDescent="0.3">
      <c r="A59" s="1834"/>
      <c r="B59" s="525" t="s">
        <v>729</v>
      </c>
      <c r="C59" s="805"/>
      <c r="D59" s="805" t="s">
        <v>1042</v>
      </c>
      <c r="E59" s="1837"/>
      <c r="F59" s="306">
        <f>'exchange rates'!$M$12</f>
        <v>711.02919999999995</v>
      </c>
      <c r="G59" s="310">
        <f>12717/F59</f>
        <v>17.885341417764561</v>
      </c>
      <c r="H59" s="311">
        <f>135129/F59</f>
        <v>190.04704729426021</v>
      </c>
      <c r="I59" s="312">
        <v>0</v>
      </c>
      <c r="J59" s="558"/>
      <c r="K59" s="313">
        <f>Tabel66892127[[#This Row],[Fix.ch. 2017]]+Tabel66892127[[#This Row],[Var. ch. 2017]]+Tabel66892127[[#This Row],[Oth. ch. DW 2017]]+Tabel66892127[[#This Row],[VAT DW 2017]]</f>
        <v>207.93238871202476</v>
      </c>
      <c r="L59" s="314">
        <f>99461/F59</f>
        <v>139.88314403965407</v>
      </c>
      <c r="M59" s="558"/>
      <c r="N59" s="315">
        <v>0</v>
      </c>
      <c r="O59" s="558"/>
      <c r="P59" s="316">
        <v>0</v>
      </c>
      <c r="Q59" s="558"/>
      <c r="R59" s="317">
        <f>Tabel66892127[[#This Row],[VAT DW 2017]]+Tabel66892127[[#This Row],[VAT Sew. 2017]]+Tabel66892127[[#This Row],[VAT WW 2017]]+Tabel66892127[[#This Row],[VAT Other ch. 2017]]</f>
        <v>0</v>
      </c>
      <c r="S59" s="318">
        <f>Tabel66892127[[#This Row],[Total. ch. DW 2017]]+Tabel66892127[[#This Row],[Sew. 2017]]+Tabel66892127[[#This Row],[VAT Sew. 2017]]+Tabel66892127[[#This Row],[WW 2017]]+Tabel66892127[[#This Row],[VAT WW 2017]]+Tabel66892127[[#This Row],[Other ch. 2017]]+Tabel66892127[[#This Row],[VAT Other ch. 2017]]</f>
        <v>347.8155327516788</v>
      </c>
      <c r="T59" s="397"/>
      <c r="U59" s="1840"/>
      <c r="V59" s="1843"/>
      <c r="W59" s="1846"/>
      <c r="X59" s="576"/>
      <c r="Y59" s="1849"/>
      <c r="Z59" s="1852"/>
      <c r="AA59" s="576"/>
      <c r="AB59" s="1855"/>
      <c r="AC59" s="576"/>
      <c r="AD59" s="1858"/>
      <c r="AE59" s="576"/>
      <c r="AF59" s="1873"/>
      <c r="AG59" s="1876"/>
      <c r="AH59" s="397"/>
      <c r="AI59" s="396"/>
      <c r="AJ59" s="396"/>
      <c r="AK59" s="396"/>
      <c r="AL59" s="396"/>
      <c r="AM59" s="396"/>
      <c r="AN59" s="396"/>
      <c r="AO59" s="398"/>
      <c r="AP59" s="397"/>
    </row>
    <row r="60" spans="1:42" ht="16.5" hidden="1" customHeight="1" x14ac:dyDescent="0.3">
      <c r="A60" s="1834"/>
      <c r="B60" s="525" t="s">
        <v>493</v>
      </c>
      <c r="C60" s="805"/>
      <c r="D60" s="805" t="s">
        <v>1042</v>
      </c>
      <c r="E60" s="1837"/>
      <c r="F60" s="306">
        <f>'exchange rates'!$M$12</f>
        <v>711.02919999999995</v>
      </c>
      <c r="G60" s="310">
        <f>7685/F60</f>
        <v>10.80827622831805</v>
      </c>
      <c r="H60" s="311">
        <f>81904/F60</f>
        <v>115.19076853665082</v>
      </c>
      <c r="I60" s="312">
        <v>0</v>
      </c>
      <c r="J60" s="558"/>
      <c r="K60" s="313">
        <f>Tabel66892127[[#This Row],[Fix.ch. 2017]]+Tabel66892127[[#This Row],[Var. ch. 2017]]+Tabel66892127[[#This Row],[Oth. ch. DW 2017]]+Tabel66892127[[#This Row],[VAT DW 2017]]</f>
        <v>125.99904476496887</v>
      </c>
      <c r="L60" s="314">
        <f>104035/F60</f>
        <v>146.31607253260486</v>
      </c>
      <c r="M60" s="558"/>
      <c r="N60" s="315">
        <v>0</v>
      </c>
      <c r="O60" s="558"/>
      <c r="P60" s="316">
        <v>0</v>
      </c>
      <c r="Q60" s="558"/>
      <c r="R60" s="317">
        <f>Tabel66892127[[#This Row],[VAT DW 2017]]+Tabel66892127[[#This Row],[VAT Sew. 2017]]+Tabel66892127[[#This Row],[VAT WW 2017]]+Tabel66892127[[#This Row],[VAT Other ch. 2017]]</f>
        <v>0</v>
      </c>
      <c r="S60" s="318">
        <f>Tabel66892127[[#This Row],[Total. ch. DW 2017]]+Tabel66892127[[#This Row],[Sew. 2017]]+Tabel66892127[[#This Row],[VAT Sew. 2017]]+Tabel66892127[[#This Row],[WW 2017]]+Tabel66892127[[#This Row],[VAT WW 2017]]+Tabel66892127[[#This Row],[Other ch. 2017]]+Tabel66892127[[#This Row],[VAT Other ch. 2017]]</f>
        <v>272.31511729757375</v>
      </c>
      <c r="T60" s="397"/>
      <c r="U60" s="1840"/>
      <c r="V60" s="1843"/>
      <c r="W60" s="1846"/>
      <c r="X60" s="576"/>
      <c r="Y60" s="1849"/>
      <c r="Z60" s="1852"/>
      <c r="AA60" s="576"/>
      <c r="AB60" s="1855"/>
      <c r="AC60" s="576"/>
      <c r="AD60" s="1858"/>
      <c r="AE60" s="576"/>
      <c r="AF60" s="1873"/>
      <c r="AG60" s="1876"/>
      <c r="AH60" s="397"/>
      <c r="AI60" s="396"/>
      <c r="AJ60" s="396"/>
      <c r="AK60" s="396"/>
      <c r="AL60" s="396"/>
      <c r="AM60" s="396"/>
      <c r="AN60" s="396"/>
      <c r="AO60" s="398"/>
      <c r="AP60" s="397"/>
    </row>
    <row r="61" spans="1:42" ht="16.5" hidden="1" customHeight="1" x14ac:dyDescent="0.3">
      <c r="A61" s="1834"/>
      <c r="B61" s="288" t="s">
        <v>730</v>
      </c>
      <c r="C61" s="805"/>
      <c r="D61" s="805" t="s">
        <v>1042</v>
      </c>
      <c r="E61" s="1837"/>
      <c r="F61" s="306">
        <f>'exchange rates'!$M$12</f>
        <v>711.02919999999995</v>
      </c>
      <c r="G61" s="310">
        <f>12923/F61</f>
        <v>18.17506228998753</v>
      </c>
      <c r="H61" s="311">
        <f>85474/F61</f>
        <v>120.2116593805149</v>
      </c>
      <c r="I61" s="312">
        <v>0</v>
      </c>
      <c r="J61" s="558"/>
      <c r="K61" s="313">
        <f>Tabel66892127[[#This Row],[Fix.ch. 2017]]+Tabel66892127[[#This Row],[Var. ch. 2017]]+Tabel66892127[[#This Row],[Oth. ch. DW 2017]]+Tabel66892127[[#This Row],[VAT DW 2017]]</f>
        <v>138.38672167050242</v>
      </c>
      <c r="L61" s="314">
        <f>139941/F61</f>
        <v>196.81470184346861</v>
      </c>
      <c r="M61" s="558"/>
      <c r="N61" s="315">
        <v>0</v>
      </c>
      <c r="O61" s="558"/>
      <c r="P61" s="316">
        <v>0</v>
      </c>
      <c r="Q61" s="558"/>
      <c r="R61" s="317">
        <f>Tabel66892127[[#This Row],[VAT DW 2017]]+Tabel66892127[[#This Row],[VAT Sew. 2017]]+Tabel66892127[[#This Row],[VAT WW 2017]]+Tabel66892127[[#This Row],[VAT Other ch. 2017]]</f>
        <v>0</v>
      </c>
      <c r="S61" s="318">
        <f>Tabel66892127[[#This Row],[Total. ch. DW 2017]]+Tabel66892127[[#This Row],[Sew. 2017]]+Tabel66892127[[#This Row],[VAT Sew. 2017]]+Tabel66892127[[#This Row],[WW 2017]]+Tabel66892127[[#This Row],[VAT WW 2017]]+Tabel66892127[[#This Row],[Other ch. 2017]]+Tabel66892127[[#This Row],[VAT Other ch. 2017]]</f>
        <v>335.20142351397101</v>
      </c>
      <c r="T61" s="397"/>
      <c r="U61" s="1840"/>
      <c r="V61" s="1843"/>
      <c r="W61" s="1846"/>
      <c r="X61" s="576"/>
      <c r="Y61" s="1849"/>
      <c r="Z61" s="1852"/>
      <c r="AA61" s="576"/>
      <c r="AB61" s="1855"/>
      <c r="AC61" s="576"/>
      <c r="AD61" s="1858"/>
      <c r="AE61" s="576"/>
      <c r="AF61" s="1873"/>
      <c r="AG61" s="1876"/>
      <c r="AH61" s="397"/>
      <c r="AI61" s="396"/>
      <c r="AJ61" s="396"/>
      <c r="AK61" s="396"/>
      <c r="AL61" s="396"/>
      <c r="AM61" s="396"/>
      <c r="AN61" s="396"/>
      <c r="AO61" s="398"/>
      <c r="AP61" s="397"/>
    </row>
    <row r="62" spans="1:42" ht="16.5" hidden="1" customHeight="1" thickBot="1" x14ac:dyDescent="0.3">
      <c r="A62" s="1835"/>
      <c r="B62" s="288" t="s">
        <v>731</v>
      </c>
      <c r="C62" s="805" t="s">
        <v>429</v>
      </c>
      <c r="D62" s="801" t="s">
        <v>1042</v>
      </c>
      <c r="E62" s="1838"/>
      <c r="F62" s="306">
        <f>'exchange rates'!$M$12</f>
        <v>711.02919999999995</v>
      </c>
      <c r="G62" s="310">
        <f>7300/F62</f>
        <v>10.266807607901336</v>
      </c>
      <c r="H62" s="311">
        <f>67207/F62</f>
        <v>94.520731356743156</v>
      </c>
      <c r="I62" s="312">
        <v>0</v>
      </c>
      <c r="J62" s="558"/>
      <c r="K62" s="313">
        <f>Tabel66892127[[#This Row],[Fix.ch. 2017]]+Tabel66892127[[#This Row],[Var. ch. 2017]]+Tabel66892127[[#This Row],[Oth. ch. DW 2017]]+Tabel66892127[[#This Row],[VAT DW 2017]]</f>
        <v>104.7875389646445</v>
      </c>
      <c r="L62" s="314">
        <f>90496/F62</f>
        <v>127.27466044995059</v>
      </c>
      <c r="M62" s="558"/>
      <c r="N62" s="315">
        <v>0</v>
      </c>
      <c r="O62" s="558"/>
      <c r="P62" s="316">
        <v>0</v>
      </c>
      <c r="Q62" s="558"/>
      <c r="R62" s="317">
        <f>Tabel66892127[[#This Row],[VAT DW 2017]]+Tabel66892127[[#This Row],[VAT Sew. 2017]]+Tabel66892127[[#This Row],[VAT WW 2017]]+Tabel66892127[[#This Row],[VAT Other ch. 2017]]</f>
        <v>0</v>
      </c>
      <c r="S62" s="318">
        <f>Tabel66892127[[#This Row],[Total. ch. DW 2017]]+Tabel66892127[[#This Row],[Sew. 2017]]+Tabel66892127[[#This Row],[VAT Sew. 2017]]+Tabel66892127[[#This Row],[WW 2017]]+Tabel66892127[[#This Row],[VAT WW 2017]]+Tabel66892127[[#This Row],[Other ch. 2017]]+Tabel66892127[[#This Row],[VAT Other ch. 2017]]</f>
        <v>232.06219941459509</v>
      </c>
      <c r="T62" s="397"/>
      <c r="U62" s="1841"/>
      <c r="V62" s="1844"/>
      <c r="W62" s="1847"/>
      <c r="X62" s="577"/>
      <c r="Y62" s="1850"/>
      <c r="Z62" s="1853"/>
      <c r="AA62" s="577"/>
      <c r="AB62" s="1856"/>
      <c r="AC62" s="577"/>
      <c r="AD62" s="1859"/>
      <c r="AE62" s="577"/>
      <c r="AF62" s="1874"/>
      <c r="AG62" s="1877"/>
      <c r="AH62" s="397"/>
      <c r="AI62" s="396"/>
      <c r="AJ62" s="396"/>
      <c r="AK62" s="396"/>
      <c r="AL62" s="396"/>
      <c r="AM62" s="396"/>
      <c r="AN62" s="396"/>
      <c r="AO62" s="398"/>
      <c r="AP62" s="397"/>
    </row>
    <row r="63" spans="1:42" ht="18" hidden="1" customHeight="1" x14ac:dyDescent="0.3">
      <c r="A63" s="1818" t="s">
        <v>8</v>
      </c>
      <c r="B63" s="623" t="s">
        <v>78</v>
      </c>
      <c r="C63" s="802" t="s">
        <v>429</v>
      </c>
      <c r="D63" s="802" t="s">
        <v>1044</v>
      </c>
      <c r="E63" s="1879">
        <v>16600</v>
      </c>
      <c r="F63" s="647">
        <f>'exchange rates'!$O$13</f>
        <v>6.50176</v>
      </c>
      <c r="G63" s="686">
        <f>(2.07*100)/F63</f>
        <v>31.837533221773793</v>
      </c>
      <c r="H63" s="593">
        <v>0</v>
      </c>
      <c r="I63" s="594">
        <v>0</v>
      </c>
      <c r="J63" s="595">
        <v>0</v>
      </c>
      <c r="K63" s="566">
        <f>Tabel66892127[[#This Row],[Fix.ch. 2017]]+Tabel66892127[[#This Row],[Var. ch. 2017]]+Tabel66892127[[#This Row],[Oth. ch. DW 2017]]+Tabel66892127[[#This Row],[VAT DW 2017]]</f>
        <v>31.837533221773793</v>
      </c>
      <c r="L63" s="596">
        <v>0</v>
      </c>
      <c r="M63" s="595">
        <v>0</v>
      </c>
      <c r="N63" s="626">
        <f>(1.36*100)/F63</f>
        <v>20.917413131213703</v>
      </c>
      <c r="O63" s="595">
        <v>0</v>
      </c>
      <c r="P63" s="597">
        <f>(1.57*100)/F63</f>
        <v>24.147307805886406</v>
      </c>
      <c r="Q63" s="595">
        <v>0</v>
      </c>
      <c r="R63" s="570">
        <f>Tabel66892127[[#This Row],[VAT DW 2017]]+Tabel66892127[[#This Row],[VAT Sew. 2017]]+Tabel66892127[[#This Row],[VAT WW 2017]]+Tabel66892127[[#This Row],[VAT Other ch. 2017]]</f>
        <v>0</v>
      </c>
      <c r="S63" s="571">
        <f>Tabel66892127[[#This Row],[Total. ch. DW 2017]]+Tabel66892127[[#This Row],[Sew. 2017]]+Tabel66892127[[#This Row],[VAT Sew. 2017]]+Tabel66892127[[#This Row],[WW 2017]]+Tabel66892127[[#This Row],[VAT WW 2017]]+Tabel66892127[[#This Row],[Other ch. 2017]]+Tabel66892127[[#This Row],[VAT Other ch. 2017]]</f>
        <v>76.902254158873902</v>
      </c>
      <c r="T63" s="397"/>
      <c r="U63" s="1924">
        <f>MEDIAN(G63:G67)</f>
        <v>31.837533221773793</v>
      </c>
      <c r="V63" s="1925">
        <f t="shared" ref="V63:AF63" si="8">MEDIAN(H63:H67)</f>
        <v>0</v>
      </c>
      <c r="W63" s="1926">
        <f t="shared" si="8"/>
        <v>0</v>
      </c>
      <c r="X63" s="1908">
        <f t="shared" si="8"/>
        <v>0</v>
      </c>
      <c r="Y63" s="1916">
        <f>SUM(U63:X67)</f>
        <v>31.837533221773793</v>
      </c>
      <c r="Z63" s="1917">
        <f t="shared" si="8"/>
        <v>0</v>
      </c>
      <c r="AA63" s="1908">
        <f t="shared" si="8"/>
        <v>0</v>
      </c>
      <c r="AB63" s="1907">
        <f t="shared" si="8"/>
        <v>13.842405748597303</v>
      </c>
      <c r="AC63" s="1908">
        <f t="shared" si="8"/>
        <v>0</v>
      </c>
      <c r="AD63" s="1931">
        <f t="shared" si="8"/>
        <v>0</v>
      </c>
      <c r="AE63" s="1908">
        <f t="shared" si="8"/>
        <v>0</v>
      </c>
      <c r="AF63" s="1932">
        <f t="shared" si="8"/>
        <v>0</v>
      </c>
      <c r="AG63" s="1831">
        <f>Y63+Z63+AA63+AB63+AC63+AD63+AE63</f>
        <v>45.679938970371097</v>
      </c>
      <c r="AH63" s="397"/>
      <c r="AI63" s="398"/>
      <c r="AJ63" s="398"/>
      <c r="AK63" s="398"/>
      <c r="AL63" s="591" t="s">
        <v>429</v>
      </c>
      <c r="AM63" s="591"/>
      <c r="AN63" s="591" t="s">
        <v>429</v>
      </c>
      <c r="AO63" s="614"/>
      <c r="AP63" s="397"/>
    </row>
    <row r="64" spans="1:42" ht="16.5" hidden="1" thickBot="1" x14ac:dyDescent="0.3">
      <c r="A64" s="1819"/>
      <c r="B64" s="685" t="s">
        <v>79</v>
      </c>
      <c r="C64" s="802"/>
      <c r="D64" s="802" t="s">
        <v>1044</v>
      </c>
      <c r="E64" s="1880"/>
      <c r="F64" s="647">
        <f>'exchange rates'!$O$13</f>
        <v>6.50176</v>
      </c>
      <c r="G64" s="686">
        <f>(1.92*100)/F64</f>
        <v>29.530465597007581</v>
      </c>
      <c r="H64" s="593">
        <v>0</v>
      </c>
      <c r="I64" s="594">
        <v>0</v>
      </c>
      <c r="J64" s="595">
        <v>0</v>
      </c>
      <c r="K64" s="566">
        <f>Tabel66892127[[#This Row],[Fix.ch. 2017]]+Tabel66892127[[#This Row],[Var. ch. 2017]]+Tabel66892127[[#This Row],[Oth. ch. DW 2017]]+Tabel66892127[[#This Row],[VAT DW 2017]]</f>
        <v>29.530465597007581</v>
      </c>
      <c r="L64" s="596">
        <v>0</v>
      </c>
      <c r="M64" s="595">
        <v>0</v>
      </c>
      <c r="N64" s="626">
        <f>(1.7*100)/F64</f>
        <v>26.146766414017129</v>
      </c>
      <c r="O64" s="595">
        <v>0</v>
      </c>
      <c r="P64" s="597">
        <v>0</v>
      </c>
      <c r="Q64" s="595">
        <v>0</v>
      </c>
      <c r="R64" s="570">
        <f>Tabel66892127[[#This Row],[VAT DW 2017]]+Tabel66892127[[#This Row],[VAT Sew. 2017]]+Tabel66892127[[#This Row],[VAT WW 2017]]+Tabel66892127[[#This Row],[VAT Other ch. 2017]]</f>
        <v>0</v>
      </c>
      <c r="S64" s="571">
        <f>Tabel66892127[[#This Row],[Total. ch. DW 2017]]+Tabel66892127[[#This Row],[Sew. 2017]]+Tabel66892127[[#This Row],[VAT Sew. 2017]]+Tabel66892127[[#This Row],[WW 2017]]+Tabel66892127[[#This Row],[VAT WW 2017]]+Tabel66892127[[#This Row],[Other ch. 2017]]+Tabel66892127[[#This Row],[VAT Other ch. 2017]]</f>
        <v>55.677232011024714</v>
      </c>
      <c r="T64" s="397"/>
      <c r="U64" s="1763"/>
      <c r="V64" s="1766"/>
      <c r="W64" s="1769"/>
      <c r="X64" s="1783"/>
      <c r="Y64" s="1775"/>
      <c r="Z64" s="1778"/>
      <c r="AA64" s="1783"/>
      <c r="AB64" s="1781"/>
      <c r="AC64" s="1783"/>
      <c r="AD64" s="1785"/>
      <c r="AE64" s="1783"/>
      <c r="AF64" s="1788"/>
      <c r="AG64" s="1791"/>
      <c r="AH64" s="397"/>
      <c r="AI64" s="398"/>
      <c r="AJ64" s="398"/>
      <c r="AK64" s="398"/>
      <c r="AL64" s="591" t="s">
        <v>429</v>
      </c>
      <c r="AM64" s="591"/>
      <c r="AN64" s="591" t="s">
        <v>429</v>
      </c>
      <c r="AO64" s="614"/>
      <c r="AP64" s="397"/>
    </row>
    <row r="65" spans="1:42" ht="16.5" hidden="1" thickBot="1" x14ac:dyDescent="0.3">
      <c r="A65" s="1819"/>
      <c r="B65" s="685" t="s">
        <v>80</v>
      </c>
      <c r="C65" s="802"/>
      <c r="D65" s="802" t="s">
        <v>1044</v>
      </c>
      <c r="E65" s="1880"/>
      <c r="F65" s="647">
        <f>'exchange rates'!$O$13</f>
        <v>6.50176</v>
      </c>
      <c r="G65" s="686">
        <f>(2.61*100)/F65</f>
        <v>40.142976670932178</v>
      </c>
      <c r="H65" s="593">
        <v>0</v>
      </c>
      <c r="I65" s="594">
        <f>(1.39*100)/F65</f>
        <v>21.378826656166947</v>
      </c>
      <c r="J65" s="595">
        <v>0</v>
      </c>
      <c r="K65" s="566">
        <f>Tabel66892127[[#This Row],[Fix.ch. 2017]]+Tabel66892127[[#This Row],[Var. ch. 2017]]+Tabel66892127[[#This Row],[Oth. ch. DW 2017]]+Tabel66892127[[#This Row],[VAT DW 2017]]</f>
        <v>61.521803327099121</v>
      </c>
      <c r="L65" s="596">
        <v>0</v>
      </c>
      <c r="M65" s="595">
        <v>0</v>
      </c>
      <c r="N65" s="626">
        <f>(0.9*100)/F65</f>
        <v>13.842405748597303</v>
      </c>
      <c r="O65" s="595">
        <v>0</v>
      </c>
      <c r="P65" s="597">
        <v>0</v>
      </c>
      <c r="Q65" s="595">
        <v>0</v>
      </c>
      <c r="R65" s="570">
        <f>Tabel66892127[[#This Row],[VAT DW 2017]]+Tabel66892127[[#This Row],[VAT Sew. 2017]]+Tabel66892127[[#This Row],[VAT WW 2017]]+Tabel66892127[[#This Row],[VAT Other ch. 2017]]</f>
        <v>0</v>
      </c>
      <c r="S65" s="571">
        <f>Tabel66892127[[#This Row],[Total. ch. DW 2017]]+Tabel66892127[[#This Row],[Sew. 2017]]+Tabel66892127[[#This Row],[VAT Sew. 2017]]+Tabel66892127[[#This Row],[WW 2017]]+Tabel66892127[[#This Row],[VAT WW 2017]]+Tabel66892127[[#This Row],[Other ch. 2017]]+Tabel66892127[[#This Row],[VAT Other ch. 2017]]</f>
        <v>75.364209075696422</v>
      </c>
      <c r="T65" s="397"/>
      <c r="U65" s="1763"/>
      <c r="V65" s="1766"/>
      <c r="W65" s="1769"/>
      <c r="X65" s="1783"/>
      <c r="Y65" s="1775"/>
      <c r="Z65" s="1778"/>
      <c r="AA65" s="1783"/>
      <c r="AB65" s="1781"/>
      <c r="AC65" s="1783"/>
      <c r="AD65" s="1785"/>
      <c r="AE65" s="1783"/>
      <c r="AF65" s="1788"/>
      <c r="AG65" s="1791"/>
      <c r="AH65" s="397"/>
      <c r="AI65" s="398"/>
      <c r="AJ65" s="398"/>
      <c r="AK65" s="398"/>
      <c r="AL65" s="591" t="s">
        <v>429</v>
      </c>
      <c r="AM65" s="591"/>
      <c r="AN65" s="591" t="s">
        <v>429</v>
      </c>
      <c r="AO65" s="614"/>
      <c r="AP65" s="397"/>
    </row>
    <row r="66" spans="1:42" ht="16.5" hidden="1" thickBot="1" x14ac:dyDescent="0.3">
      <c r="A66" s="1819"/>
      <c r="B66" s="624" t="s">
        <v>81</v>
      </c>
      <c r="C66" s="802"/>
      <c r="D66" s="802" t="s">
        <v>1044</v>
      </c>
      <c r="E66" s="1880"/>
      <c r="F66" s="647">
        <f>'exchange rates'!$O$13</f>
        <v>6.50176</v>
      </c>
      <c r="G66" s="686">
        <f>(2.67*100)/F66</f>
        <v>41.065803720838666</v>
      </c>
      <c r="H66" s="593">
        <v>0</v>
      </c>
      <c r="I66" s="594">
        <v>0</v>
      </c>
      <c r="J66" s="595">
        <v>0</v>
      </c>
      <c r="K66" s="566">
        <f>Tabel66892127[[#This Row],[Fix.ch. 2017]]+Tabel66892127[[#This Row],[Var. ch. 2017]]+Tabel66892127[[#This Row],[Oth. ch. DW 2017]]+Tabel66892127[[#This Row],[VAT DW 2017]]</f>
        <v>41.065803720838666</v>
      </c>
      <c r="L66" s="596">
        <v>0</v>
      </c>
      <c r="M66" s="595">
        <v>0</v>
      </c>
      <c r="N66" s="626">
        <f>(0.9*100)/F66</f>
        <v>13.842405748597303</v>
      </c>
      <c r="O66" s="595">
        <v>0</v>
      </c>
      <c r="P66" s="597">
        <v>0</v>
      </c>
      <c r="Q66" s="595">
        <v>0</v>
      </c>
      <c r="R66" s="570">
        <f>Tabel66892127[[#This Row],[VAT DW 2017]]+Tabel66892127[[#This Row],[VAT Sew. 2017]]+Tabel66892127[[#This Row],[VAT WW 2017]]+Tabel66892127[[#This Row],[VAT Other ch. 2017]]</f>
        <v>0</v>
      </c>
      <c r="S66" s="571">
        <f>Tabel66892127[[#This Row],[Total. ch. DW 2017]]+Tabel66892127[[#This Row],[Sew. 2017]]+Tabel66892127[[#This Row],[VAT Sew. 2017]]+Tabel66892127[[#This Row],[WW 2017]]+Tabel66892127[[#This Row],[VAT WW 2017]]+Tabel66892127[[#This Row],[Other ch. 2017]]+Tabel66892127[[#This Row],[VAT Other ch. 2017]]</f>
        <v>54.908209469435967</v>
      </c>
      <c r="T66" s="397"/>
      <c r="U66" s="1763"/>
      <c r="V66" s="1766"/>
      <c r="W66" s="1769"/>
      <c r="X66" s="1783"/>
      <c r="Y66" s="1775"/>
      <c r="Z66" s="1778"/>
      <c r="AA66" s="1783"/>
      <c r="AB66" s="1781"/>
      <c r="AC66" s="1783"/>
      <c r="AD66" s="1785"/>
      <c r="AE66" s="1783"/>
      <c r="AF66" s="1788"/>
      <c r="AG66" s="1791"/>
      <c r="AH66" s="397"/>
      <c r="AI66" s="398"/>
      <c r="AJ66" s="398"/>
      <c r="AK66" s="398"/>
      <c r="AL66" s="591" t="s">
        <v>429</v>
      </c>
      <c r="AM66" s="591"/>
      <c r="AN66" s="591" t="s">
        <v>429</v>
      </c>
      <c r="AO66" s="614"/>
      <c r="AP66" s="397"/>
    </row>
    <row r="67" spans="1:42" ht="16.5" hidden="1" thickBot="1" x14ac:dyDescent="0.3">
      <c r="A67" s="1820"/>
      <c r="B67" s="684" t="s">
        <v>468</v>
      </c>
      <c r="C67" s="802"/>
      <c r="D67" s="802" t="s">
        <v>1044</v>
      </c>
      <c r="E67" s="1923"/>
      <c r="F67" s="647">
        <f>'exchange rates'!$O$13</f>
        <v>6.50176</v>
      </c>
      <c r="G67" s="686">
        <f>(1.98*100)/F67</f>
        <v>30.453292646914065</v>
      </c>
      <c r="H67" s="593">
        <v>0</v>
      </c>
      <c r="I67" s="594">
        <v>0</v>
      </c>
      <c r="J67" s="595">
        <v>0</v>
      </c>
      <c r="K67" s="566">
        <f>Tabel66892127[[#This Row],[Fix.ch. 2017]]+Tabel66892127[[#This Row],[Var. ch. 2017]]+Tabel66892127[[#This Row],[Oth. ch. DW 2017]]+Tabel66892127[[#This Row],[VAT DW 2017]]</f>
        <v>30.453292646914065</v>
      </c>
      <c r="L67" s="596">
        <v>0</v>
      </c>
      <c r="M67" s="595">
        <v>0</v>
      </c>
      <c r="N67" s="626">
        <f>(0.9*100)/F67</f>
        <v>13.842405748597303</v>
      </c>
      <c r="O67" s="595">
        <v>0</v>
      </c>
      <c r="P67" s="597">
        <v>0</v>
      </c>
      <c r="Q67" s="595">
        <v>0</v>
      </c>
      <c r="R67" s="570">
        <f>Tabel66892127[[#This Row],[VAT DW 2017]]+Tabel66892127[[#This Row],[VAT Sew. 2017]]+Tabel66892127[[#This Row],[VAT WW 2017]]+Tabel66892127[[#This Row],[VAT Other ch. 2017]]</f>
        <v>0</v>
      </c>
      <c r="S67" s="571">
        <f>Tabel66892127[[#This Row],[Total. ch. DW 2017]]+Tabel66892127[[#This Row],[Sew. 2017]]+Tabel66892127[[#This Row],[VAT Sew. 2017]]+Tabel66892127[[#This Row],[WW 2017]]+Tabel66892127[[#This Row],[VAT WW 2017]]+Tabel66892127[[#This Row],[Other ch. 2017]]+Tabel66892127[[#This Row],[VAT Other ch. 2017]]</f>
        <v>44.295698395511366</v>
      </c>
      <c r="T67" s="397"/>
      <c r="U67" s="1801"/>
      <c r="V67" s="1803"/>
      <c r="W67" s="1805"/>
      <c r="X67" s="1773"/>
      <c r="Y67" s="1807"/>
      <c r="Z67" s="1809"/>
      <c r="AA67" s="1773"/>
      <c r="AB67" s="1782"/>
      <c r="AC67" s="1773"/>
      <c r="AD67" s="1786"/>
      <c r="AE67" s="1773"/>
      <c r="AF67" s="1789"/>
      <c r="AG67" s="1792"/>
      <c r="AH67" s="397"/>
      <c r="AI67" s="398"/>
      <c r="AJ67" s="398"/>
      <c r="AK67" s="398"/>
      <c r="AL67" s="591" t="s">
        <v>429</v>
      </c>
      <c r="AM67" s="591"/>
      <c r="AN67" s="591" t="s">
        <v>429</v>
      </c>
      <c r="AO67" s="614"/>
      <c r="AP67" s="397"/>
    </row>
    <row r="68" spans="1:42" ht="19.5" hidden="1" thickBot="1" x14ac:dyDescent="0.3">
      <c r="A68" s="694" t="s">
        <v>585</v>
      </c>
      <c r="B68" s="685" t="s">
        <v>84</v>
      </c>
      <c r="C68" s="802" t="s">
        <v>429</v>
      </c>
      <c r="D68" s="812" t="s">
        <v>1046</v>
      </c>
      <c r="E68" s="700">
        <v>61000</v>
      </c>
      <c r="F68" s="616">
        <f>'exchange rates'!O14</f>
        <v>7.8123899999999997</v>
      </c>
      <c r="G68" s="625">
        <f>0</f>
        <v>0</v>
      </c>
      <c r="H68" s="593">
        <f>262.08/F68</f>
        <v>33.546712337709714</v>
      </c>
      <c r="I68" s="594">
        <v>0</v>
      </c>
      <c r="J68" s="595">
        <v>0</v>
      </c>
      <c r="K68" s="566">
        <f>Tabel66892127[[#This Row],[Fix.ch. 2017]]+Tabel66892127[[#This Row],[Var. ch. 2017]]+Tabel66892127[[#This Row],[Oth. ch. DW 2017]]+Tabel66892127[[#This Row],[VAT DW 2017]]</f>
        <v>33.546712337709714</v>
      </c>
      <c r="L68" s="596">
        <v>0</v>
      </c>
      <c r="M68" s="595">
        <v>0</v>
      </c>
      <c r="N68" s="626">
        <f>292/F68</f>
        <v>37.376526261489765</v>
      </c>
      <c r="O68" s="595">
        <v>0</v>
      </c>
      <c r="P68" s="597">
        <v>0</v>
      </c>
      <c r="Q68" s="595">
        <v>0</v>
      </c>
      <c r="R68" s="570">
        <f>Tabel66892127[[#This Row],[VAT DW 2017]]+Tabel66892127[[#This Row],[VAT Sew. 2017]]+Tabel66892127[[#This Row],[VAT WW 2017]]+Tabel66892127[[#This Row],[VAT Other ch. 2017]]</f>
        <v>0</v>
      </c>
      <c r="S68" s="571">
        <f>Tabel66892127[[#This Row],[Total. ch. DW 2017]]+Tabel66892127[[#This Row],[Sew. 2017]]+Tabel66892127[[#This Row],[VAT Sew. 2017]]+Tabel66892127[[#This Row],[WW 2017]]+Tabel66892127[[#This Row],[VAT WW 2017]]+Tabel66892127[[#This Row],[Other ch. 2017]]+Tabel66892127[[#This Row],[VAT Other ch. 2017]]</f>
        <v>70.923238599199479</v>
      </c>
      <c r="T68" s="397"/>
      <c r="U68" s="701">
        <f>Tabel66892127[[#This Row],[Fix.ch. 2017]]</f>
        <v>0</v>
      </c>
      <c r="V68" s="702">
        <f>Tabel66892127[[#This Row],[Var. ch. 2017]]</f>
        <v>33.546712337709714</v>
      </c>
      <c r="W68" s="703">
        <f>Tabel66892127[[#This Row],[Oth. ch. DW 2017]]</f>
        <v>0</v>
      </c>
      <c r="X68" s="704">
        <f>Tabel66892127[[#This Row],[Oth. ch. DW 2017]]</f>
        <v>0</v>
      </c>
      <c r="Y68" s="705">
        <f>SUM(U68:W68)</f>
        <v>33.546712337709714</v>
      </c>
      <c r="Z68" s="706">
        <f>Tabel66892127[[#This Row],[Sew. 2017]]</f>
        <v>0</v>
      </c>
      <c r="AA68" s="704">
        <f>Tabel66892127[[#This Row],[Oth. ch. DW 2017]]</f>
        <v>0</v>
      </c>
      <c r="AB68" s="707">
        <f>Tabel66892127[[#This Row],[WW 2017]]</f>
        <v>37.376526261489765</v>
      </c>
      <c r="AC68" s="704">
        <f>Tabel66892127[[#This Row],[Oth. ch. DW 2017]]</f>
        <v>0</v>
      </c>
      <c r="AD68" s="708">
        <f>Tabel66892127[[#This Row],[Other ch. 2017]]</f>
        <v>0</v>
      </c>
      <c r="AE68" s="704">
        <f>Tabel66892127[[#This Row],[Oth. ch. DW 2017]]</f>
        <v>0</v>
      </c>
      <c r="AF68" s="709">
        <f>Tabel66892127[[#This Row],[Total VAT 2017]]</f>
        <v>0</v>
      </c>
      <c r="AG68" s="710">
        <f>SUM(Y68:AF68)</f>
        <v>70.923238599199479</v>
      </c>
      <c r="AH68" s="397"/>
      <c r="AI68" s="398"/>
      <c r="AJ68" s="396"/>
      <c r="AK68" s="398"/>
      <c r="AL68" s="591" t="s">
        <v>429</v>
      </c>
      <c r="AM68" s="398"/>
      <c r="AN68" s="398"/>
      <c r="AO68" s="398"/>
      <c r="AP68" s="397"/>
    </row>
    <row r="69" spans="1:42" ht="18" hidden="1" customHeight="1" x14ac:dyDescent="0.3">
      <c r="A69" s="1818" t="s">
        <v>9</v>
      </c>
      <c r="B69" s="623" t="s">
        <v>82</v>
      </c>
      <c r="C69" s="802" t="s">
        <v>429</v>
      </c>
      <c r="D69" s="802" t="s">
        <v>1048</v>
      </c>
      <c r="E69" s="1948">
        <v>49800</v>
      </c>
      <c r="F69" s="616">
        <f>'exchange rates'!$O$15</f>
        <v>29.661809999999999</v>
      </c>
      <c r="G69" s="625">
        <f>816/F69</f>
        <v>27.510121600805885</v>
      </c>
      <c r="H69" s="593">
        <f>708/F69</f>
        <v>23.869076094816872</v>
      </c>
      <c r="I69" s="594">
        <f>50.1/F69</f>
        <v>1.6890405541671261</v>
      </c>
      <c r="J69" s="595">
        <v>0</v>
      </c>
      <c r="K69" s="566" t="e">
        <f>#REF!+#REF!+#REF!+#REF!</f>
        <v>#REF!</v>
      </c>
      <c r="L69" s="596">
        <v>0</v>
      </c>
      <c r="M69" s="595">
        <v>0</v>
      </c>
      <c r="N69" s="626">
        <f>501/F69</f>
        <v>16.89040554167126</v>
      </c>
      <c r="O69" s="595">
        <v>0</v>
      </c>
      <c r="P69" s="597">
        <v>0</v>
      </c>
      <c r="Q69" s="595">
        <f>76.2/F69</f>
        <v>2.5689598847811381</v>
      </c>
      <c r="R69" s="570" t="e">
        <f>#REF!+#REF!+#REF!+#REF!</f>
        <v>#REF!</v>
      </c>
      <c r="S69" s="571" t="e">
        <f>#REF!+#REF!+#REF!+#REF!+#REF!+#REF!+#REF!</f>
        <v>#REF!</v>
      </c>
      <c r="T69" s="397"/>
      <c r="U69" s="1949">
        <f>MEDIAN(G69:G70)</f>
        <v>20.976467720614487</v>
      </c>
      <c r="V69" s="1952">
        <f>MEDIAN(H69:H70)</f>
        <v>30.428015013244305</v>
      </c>
      <c r="W69" s="1953">
        <f>MEDIAN(I69:I70)</f>
        <v>1.6890405541671261</v>
      </c>
      <c r="X69" s="1938">
        <f>MEDIAN(J69:J70)</f>
        <v>0</v>
      </c>
      <c r="Y69" s="1940">
        <f>SUM(U69:X70)</f>
        <v>53.093523288025921</v>
      </c>
      <c r="Z69" s="1941">
        <f t="shared" ref="Z69:AF69" si="9">MEDIAN(L69:L70)</f>
        <v>0</v>
      </c>
      <c r="AA69" s="1938">
        <f t="shared" si="9"/>
        <v>0</v>
      </c>
      <c r="AB69" s="1942">
        <f t="shared" si="9"/>
        <v>16.89040554167126</v>
      </c>
      <c r="AC69" s="1938">
        <f t="shared" si="9"/>
        <v>0</v>
      </c>
      <c r="AD69" s="1943">
        <f t="shared" si="9"/>
        <v>0</v>
      </c>
      <c r="AE69" s="1938">
        <f t="shared" si="9"/>
        <v>2.5689598847811381</v>
      </c>
      <c r="AF69" s="1951" t="e">
        <f t="shared" si="9"/>
        <v>#REF!</v>
      </c>
      <c r="AG69" s="1933">
        <f>Y69+Z69+AA69+AB69+AC69+AD69+AE69</f>
        <v>72.552888714478314</v>
      </c>
      <c r="AH69" s="397"/>
      <c r="AI69" s="398"/>
      <c r="AJ69" s="398"/>
      <c r="AK69" s="398"/>
      <c r="AL69" s="591" t="s">
        <v>429</v>
      </c>
      <c r="AM69" s="591"/>
      <c r="AN69" s="591" t="s">
        <v>429</v>
      </c>
      <c r="AO69" s="398"/>
      <c r="AP69" s="397"/>
    </row>
    <row r="70" spans="1:42" ht="16.5" hidden="1" thickBot="1" x14ac:dyDescent="0.3">
      <c r="A70" s="1820"/>
      <c r="B70" s="624" t="s">
        <v>83</v>
      </c>
      <c r="C70" s="802"/>
      <c r="D70" s="802" t="s">
        <v>1048</v>
      </c>
      <c r="E70" s="1799"/>
      <c r="F70" s="616">
        <f>'exchange rates'!$O$15</f>
        <v>29.661809999999999</v>
      </c>
      <c r="G70" s="625">
        <f>428.4/F70</f>
        <v>14.442813840423089</v>
      </c>
      <c r="H70" s="593">
        <f>1097.1/F70</f>
        <v>36.986953931671735</v>
      </c>
      <c r="I70" s="594">
        <f>50.1/F70</f>
        <v>1.6890405541671261</v>
      </c>
      <c r="J70" s="595">
        <v>0</v>
      </c>
      <c r="K70" s="566" t="e">
        <f>#REF!+#REF!+#REF!+#REF!</f>
        <v>#REF!</v>
      </c>
      <c r="L70" s="596">
        <v>0</v>
      </c>
      <c r="M70" s="595">
        <v>0</v>
      </c>
      <c r="N70" s="626">
        <f>501/F70</f>
        <v>16.89040554167126</v>
      </c>
      <c r="O70" s="595">
        <v>0</v>
      </c>
      <c r="P70" s="597">
        <v>0</v>
      </c>
      <c r="Q70" s="595">
        <f>76.2/F70</f>
        <v>2.5689598847811381</v>
      </c>
      <c r="R70" s="570" t="e">
        <f>#REF!+#REF!+#REF!+#REF!</f>
        <v>#REF!</v>
      </c>
      <c r="S70" s="571" t="e">
        <f>#REF!+#REF!+#REF!+#REF!+#REF!+#REF!+#REF!</f>
        <v>#REF!</v>
      </c>
      <c r="T70" s="397"/>
      <c r="U70" s="1801"/>
      <c r="V70" s="1803"/>
      <c r="W70" s="1805"/>
      <c r="X70" s="1773"/>
      <c r="Y70" s="1807"/>
      <c r="Z70" s="1809"/>
      <c r="AA70" s="1773"/>
      <c r="AB70" s="1782"/>
      <c r="AC70" s="1773"/>
      <c r="AD70" s="1786"/>
      <c r="AE70" s="1773"/>
      <c r="AF70" s="1789"/>
      <c r="AG70" s="1792"/>
      <c r="AH70" s="397"/>
      <c r="AI70" s="398"/>
      <c r="AJ70" s="398"/>
      <c r="AK70" s="398"/>
      <c r="AL70" s="591" t="s">
        <v>429</v>
      </c>
      <c r="AM70" s="591"/>
      <c r="AN70" s="591" t="s">
        <v>429</v>
      </c>
      <c r="AO70" s="398"/>
      <c r="AP70" s="397"/>
    </row>
    <row r="71" spans="1:42" ht="18" hidden="1" customHeight="1" x14ac:dyDescent="0.3">
      <c r="A71" s="1878" t="s">
        <v>10</v>
      </c>
      <c r="B71" s="638" t="s">
        <v>85</v>
      </c>
      <c r="C71" s="693"/>
      <c r="D71" s="806" t="s">
        <v>1050</v>
      </c>
      <c r="E71" s="1934">
        <v>36600</v>
      </c>
      <c r="F71" s="617">
        <f>'exchange rates'!$O$16</f>
        <v>0.83301000000000003</v>
      </c>
      <c r="G71" s="625">
        <f>66/F71</f>
        <v>79.230741527712752</v>
      </c>
      <c r="H71" s="593">
        <f>94/F71</f>
        <v>112.84378338795452</v>
      </c>
      <c r="I71" s="594">
        <v>0</v>
      </c>
      <c r="J71" s="595">
        <f>8/F71</f>
        <v>9.6037262457833634</v>
      </c>
      <c r="K71" s="566">
        <f>Tabel66892127[[#This Row],[Fix.ch. 2017]]+Tabel66892127[[#This Row],[Var. ch. 2017]]+Tabel66892127[[#This Row],[Oth. ch. DW 2017]]+Tabel66892127[[#This Row],[VAT DW 2017]]</f>
        <v>201.67825116145065</v>
      </c>
      <c r="L71" s="596">
        <f>50/F71</f>
        <v>60.023289036146025</v>
      </c>
      <c r="M71" s="595">
        <v>0</v>
      </c>
      <c r="N71" s="626">
        <f>89.6/F71</f>
        <v>107.56173395277366</v>
      </c>
      <c r="O71" s="595">
        <v>0</v>
      </c>
      <c r="P71" s="597">
        <f>25.6/F71</f>
        <v>30.731923986506764</v>
      </c>
      <c r="Q71" s="595">
        <v>0</v>
      </c>
      <c r="R71" s="570">
        <f>Tabel66892127[[#This Row],[VAT DW 2017]]+Tabel66892127[[#This Row],[VAT Sew. 2017]]+Tabel66892127[[#This Row],[VAT WW 2017]]+Tabel66892127[[#This Row],[VAT Other ch. 2017]]</f>
        <v>9.6037262457833634</v>
      </c>
      <c r="S71" s="571">
        <f>Tabel66892127[[#This Row],[Total. ch. DW 2017]]+Tabel66892127[[#This Row],[Sew. 2017]]+Tabel66892127[[#This Row],[VAT Sew. 2017]]+Tabel66892127[[#This Row],[WW 2017]]+Tabel66892127[[#This Row],[VAT WW 2017]]+Tabel66892127[[#This Row],[Other ch. 2017]]+Tabel66892127[[#This Row],[VAT Other ch. 2017]]</f>
        <v>399.99519813687709</v>
      </c>
      <c r="T71" s="397"/>
      <c r="U71" s="1935">
        <f>MEDIAN(G71:G74)</f>
        <v>68.426549501206466</v>
      </c>
      <c r="V71" s="1936">
        <f>MEDIAN(H71:H74)</f>
        <v>110.44285182650867</v>
      </c>
      <c r="W71" s="1937">
        <f>MEDIAN(I71:I74)</f>
        <v>0</v>
      </c>
      <c r="X71" s="1938">
        <f>MEDIAN(J71:J74)</f>
        <v>8.8234234883134661</v>
      </c>
      <c r="Y71" s="1939">
        <f>SUM(U71:X74)</f>
        <v>187.6928248160286</v>
      </c>
      <c r="Z71" s="1950">
        <f t="shared" ref="Z71:AF71" si="10">MEDIAN(L71:L74)</f>
        <v>63.024453487953323</v>
      </c>
      <c r="AA71" s="1938">
        <f t="shared" si="10"/>
        <v>0</v>
      </c>
      <c r="AB71" s="1946">
        <f t="shared" si="10"/>
        <v>159.99207692584724</v>
      </c>
      <c r="AC71" s="1938">
        <f t="shared" si="10"/>
        <v>0</v>
      </c>
      <c r="AD71" s="1947">
        <f t="shared" si="10"/>
        <v>36.374113155904489</v>
      </c>
      <c r="AE71" s="1938">
        <f t="shared" si="10"/>
        <v>0</v>
      </c>
      <c r="AF71" s="1944">
        <f t="shared" si="10"/>
        <v>8.8234234883134661</v>
      </c>
      <c r="AG71" s="1945">
        <f>Y71+Z71+AA71+AB71+AC71+AD71+AE71</f>
        <v>447.08346838573362</v>
      </c>
      <c r="AH71" s="397"/>
      <c r="AI71" s="398"/>
      <c r="AJ71" s="398"/>
      <c r="AK71" s="398"/>
      <c r="AL71" s="591" t="s">
        <v>429</v>
      </c>
      <c r="AM71" s="591" t="s">
        <v>429</v>
      </c>
      <c r="AN71" s="591" t="s">
        <v>429</v>
      </c>
      <c r="AO71" s="398"/>
      <c r="AP71" s="397"/>
    </row>
    <row r="72" spans="1:42" ht="15.6" hidden="1" customHeight="1" x14ac:dyDescent="0.3">
      <c r="A72" s="1757"/>
      <c r="B72" s="639" t="s">
        <v>878</v>
      </c>
      <c r="C72" s="639" t="s">
        <v>429</v>
      </c>
      <c r="D72" s="724" t="s">
        <v>1050</v>
      </c>
      <c r="E72" s="1760"/>
      <c r="F72" s="617">
        <f>'exchange rates'!$O$16</f>
        <v>0.83301000000000003</v>
      </c>
      <c r="G72" s="625">
        <f>42/F72</f>
        <v>50.419562790362662</v>
      </c>
      <c r="H72" s="593">
        <f>96/F72</f>
        <v>115.24471494940036</v>
      </c>
      <c r="I72" s="594">
        <f>0</f>
        <v>0</v>
      </c>
      <c r="J72" s="595">
        <f>6.9/F72</f>
        <v>8.2832138869881522</v>
      </c>
      <c r="K72" s="566">
        <f>Tabel66892127[[#This Row],[Fix.ch. 2017]]+Tabel66892127[[#This Row],[Var. ch. 2017]]+Tabel66892127[[#This Row],[Oth. ch. DW 2017]]+Tabel66892127[[#This Row],[VAT DW 2017]]</f>
        <v>173.94749162675117</v>
      </c>
      <c r="L72" s="596">
        <f>55/F72</f>
        <v>66.025617939760622</v>
      </c>
      <c r="M72" s="595">
        <v>0</v>
      </c>
      <c r="N72" s="626">
        <f>109.5/F72</f>
        <v>131.4510029891598</v>
      </c>
      <c r="O72" s="595">
        <v>0</v>
      </c>
      <c r="P72" s="597">
        <f>0</f>
        <v>0</v>
      </c>
      <c r="Q72" s="595">
        <v>0</v>
      </c>
      <c r="R72" s="570">
        <f>Tabel66892127[[#This Row],[VAT DW 2017]]+Tabel66892127[[#This Row],[VAT Sew. 2017]]+Tabel66892127[[#This Row],[VAT WW 2017]]+Tabel66892127[[#This Row],[VAT Other ch. 2017]]</f>
        <v>8.2832138869881522</v>
      </c>
      <c r="S72" s="571">
        <f>Tabel66892127[[#This Row],[Total. ch. DW 2017]]+Tabel66892127[[#This Row],[Sew. 2017]]+Tabel66892127[[#This Row],[VAT Sew. 2017]]+Tabel66892127[[#This Row],[WW 2017]]+Tabel66892127[[#This Row],[VAT WW 2017]]+Tabel66892127[[#This Row],[Other ch. 2017]]+Tabel66892127[[#This Row],[VAT Other ch. 2017]]</f>
        <v>371.42411255567163</v>
      </c>
      <c r="T72" s="397"/>
      <c r="U72" s="1763"/>
      <c r="V72" s="1766"/>
      <c r="W72" s="1769"/>
      <c r="X72" s="1772"/>
      <c r="Y72" s="1775"/>
      <c r="Z72" s="1778"/>
      <c r="AA72" s="1772"/>
      <c r="AB72" s="1781"/>
      <c r="AC72" s="1772"/>
      <c r="AD72" s="1785"/>
      <c r="AE72" s="1772"/>
      <c r="AF72" s="1788"/>
      <c r="AG72" s="1791"/>
      <c r="AH72" s="397"/>
      <c r="AI72" s="398"/>
      <c r="AJ72" s="398"/>
      <c r="AK72" s="398"/>
      <c r="AL72" s="591" t="s">
        <v>429</v>
      </c>
      <c r="AM72" s="591" t="s">
        <v>429</v>
      </c>
      <c r="AN72" s="591" t="s">
        <v>429</v>
      </c>
      <c r="AO72" s="398"/>
      <c r="AP72" s="397"/>
    </row>
    <row r="73" spans="1:42" ht="15.6" hidden="1" customHeight="1" x14ac:dyDescent="0.3">
      <c r="A73" s="1757"/>
      <c r="B73" s="639" t="s">
        <v>879</v>
      </c>
      <c r="C73" s="639"/>
      <c r="D73" s="724" t="s">
        <v>1050</v>
      </c>
      <c r="E73" s="1760"/>
      <c r="F73" s="617">
        <f>'exchange rates'!$O$16</f>
        <v>0.83301000000000003</v>
      </c>
      <c r="G73" s="625">
        <f>66/F73</f>
        <v>79.230741527712752</v>
      </c>
      <c r="H73" s="593">
        <f>90/F73</f>
        <v>108.04192026506284</v>
      </c>
      <c r="I73" s="594">
        <v>0</v>
      </c>
      <c r="J73" s="595">
        <f>7.8/F73</f>
        <v>9.36363308963878</v>
      </c>
      <c r="K73" s="566">
        <f>Tabel66892127[[#This Row],[Fix.ch. 2017]]+Tabel66892127[[#This Row],[Var. ch. 2017]]+Tabel66892127[[#This Row],[Oth. ch. DW 2017]]+Tabel66892127[[#This Row],[VAT DW 2017]]</f>
        <v>196.63629488241435</v>
      </c>
      <c r="L73" s="596">
        <f>64/F73</f>
        <v>76.829809966266907</v>
      </c>
      <c r="M73" s="595">
        <v>0</v>
      </c>
      <c r="N73" s="626">
        <f>157.05/F73</f>
        <v>188.53315086253468</v>
      </c>
      <c r="O73" s="595">
        <v>0</v>
      </c>
      <c r="P73" s="597">
        <f>36/F73</f>
        <v>43.216768106025135</v>
      </c>
      <c r="Q73" s="595">
        <v>0</v>
      </c>
      <c r="R73" s="570">
        <f>Tabel66892127[[#This Row],[VAT DW 2017]]+Tabel66892127[[#This Row],[VAT Sew. 2017]]+Tabel66892127[[#This Row],[VAT WW 2017]]+Tabel66892127[[#This Row],[VAT Other ch. 2017]]</f>
        <v>9.36363308963878</v>
      </c>
      <c r="S73" s="571">
        <f>Tabel66892127[[#This Row],[Total. ch. DW 2017]]+Tabel66892127[[#This Row],[Sew. 2017]]+Tabel66892127[[#This Row],[VAT Sew. 2017]]+Tabel66892127[[#This Row],[WW 2017]]+Tabel66892127[[#This Row],[VAT WW 2017]]+Tabel66892127[[#This Row],[Other ch. 2017]]+Tabel66892127[[#This Row],[VAT Other ch. 2017]]</f>
        <v>505.21602381724108</v>
      </c>
      <c r="T73" s="397"/>
      <c r="U73" s="1763"/>
      <c r="V73" s="1766"/>
      <c r="W73" s="1769"/>
      <c r="X73" s="1772"/>
      <c r="Y73" s="1775"/>
      <c r="Z73" s="1778"/>
      <c r="AA73" s="1772"/>
      <c r="AB73" s="1781"/>
      <c r="AC73" s="1772"/>
      <c r="AD73" s="1785"/>
      <c r="AE73" s="1772"/>
      <c r="AF73" s="1788"/>
      <c r="AG73" s="1791">
        <f t="shared" ref="AG73" si="11">Y73+Z73+AA73+AB73+AC73+AD73+AE73</f>
        <v>0</v>
      </c>
      <c r="AH73" s="397"/>
      <c r="AI73" s="398"/>
      <c r="AJ73" s="398"/>
      <c r="AK73" s="398"/>
      <c r="AL73" s="591" t="s">
        <v>429</v>
      </c>
      <c r="AM73" s="591" t="s">
        <v>429</v>
      </c>
      <c r="AN73" s="591" t="s">
        <v>429</v>
      </c>
      <c r="AO73" s="398"/>
      <c r="AP73" s="397"/>
    </row>
    <row r="74" spans="1:42" ht="16.149999999999999" hidden="1" customHeight="1" thickBot="1" x14ac:dyDescent="0.3">
      <c r="A74" s="1758"/>
      <c r="B74" s="640" t="s">
        <v>86</v>
      </c>
      <c r="C74" s="652"/>
      <c r="D74" s="807" t="s">
        <v>1050</v>
      </c>
      <c r="E74" s="1799"/>
      <c r="F74" s="617">
        <f>'exchange rates'!$O$16</f>
        <v>0.83301000000000003</v>
      </c>
      <c r="G74" s="625">
        <f>48/F74</f>
        <v>57.622357474700181</v>
      </c>
      <c r="H74" s="593">
        <f>84.6/F74</f>
        <v>101.55940504915907</v>
      </c>
      <c r="I74" s="594">
        <v>0</v>
      </c>
      <c r="J74" s="595">
        <f>6.63/F74</f>
        <v>7.9590881261929622</v>
      </c>
      <c r="K74" s="566">
        <f>Tabel66892127[[#This Row],[Fix.ch. 2017]]+Tabel66892127[[#This Row],[Var. ch. 2017]]+Tabel66892127[[#This Row],[Oth. ch. DW 2017]]+Tabel66892127[[#This Row],[VAT DW 2017]]</f>
        <v>167.14085065005222</v>
      </c>
      <c r="L74" s="596">
        <f>42.72/F74</f>
        <v>51.283898152483161</v>
      </c>
      <c r="M74" s="595">
        <v>0</v>
      </c>
      <c r="N74" s="626">
        <f>157.5/F74</f>
        <v>189.07336046385998</v>
      </c>
      <c r="O74" s="595">
        <v>0</v>
      </c>
      <c r="P74" s="597">
        <f>35/F74</f>
        <v>42.016302325302213</v>
      </c>
      <c r="Q74" s="595">
        <v>0</v>
      </c>
      <c r="R74" s="570">
        <f>Tabel66892127[[#This Row],[VAT DW 2017]]+Tabel66892127[[#This Row],[VAT Sew. 2017]]+Tabel66892127[[#This Row],[VAT WW 2017]]+Tabel66892127[[#This Row],[VAT Other ch. 2017]]</f>
        <v>7.9590881261929622</v>
      </c>
      <c r="S74" s="571">
        <f>Tabel66892127[[#This Row],[Total. ch. DW 2017]]+Tabel66892127[[#This Row],[Sew. 2017]]+Tabel66892127[[#This Row],[VAT Sew. 2017]]+Tabel66892127[[#This Row],[WW 2017]]+Tabel66892127[[#This Row],[VAT WW 2017]]+Tabel66892127[[#This Row],[Other ch. 2017]]+Tabel66892127[[#This Row],[VAT Other ch. 2017]]</f>
        <v>449.51441159169752</v>
      </c>
      <c r="T74" s="397"/>
      <c r="U74" s="1801"/>
      <c r="V74" s="1803"/>
      <c r="W74" s="1805"/>
      <c r="X74" s="1773"/>
      <c r="Y74" s="1807"/>
      <c r="Z74" s="1809"/>
      <c r="AA74" s="1773"/>
      <c r="AB74" s="1782"/>
      <c r="AC74" s="1773"/>
      <c r="AD74" s="1786"/>
      <c r="AE74" s="1773"/>
      <c r="AF74" s="1789"/>
      <c r="AG74" s="1792"/>
      <c r="AH74" s="397"/>
      <c r="AI74" s="398"/>
      <c r="AJ74" s="398"/>
      <c r="AK74" s="398"/>
      <c r="AL74" s="591" t="s">
        <v>429</v>
      </c>
      <c r="AM74" s="591" t="s">
        <v>429</v>
      </c>
      <c r="AN74" s="591" t="s">
        <v>429</v>
      </c>
      <c r="AO74" s="398"/>
      <c r="AP74" s="397"/>
    </row>
    <row r="75" spans="1:42" ht="16.149999999999999" hidden="1" customHeight="1" x14ac:dyDescent="0.3">
      <c r="A75" s="1878" t="s">
        <v>910</v>
      </c>
      <c r="B75" s="693" t="s">
        <v>911</v>
      </c>
      <c r="C75" s="693" t="s">
        <v>429</v>
      </c>
      <c r="D75" s="806" t="s">
        <v>1052</v>
      </c>
      <c r="E75" s="1759">
        <v>35200</v>
      </c>
      <c r="F75" s="617">
        <f>'exchange rates'!$O$17</f>
        <v>21.275480000000002</v>
      </c>
      <c r="G75" s="625">
        <v>0</v>
      </c>
      <c r="H75" s="593">
        <f>4037/F75</f>
        <v>189.74895043496079</v>
      </c>
      <c r="I75" s="594">
        <v>0</v>
      </c>
      <c r="J75" s="595">
        <f>606/F75</f>
        <v>28.483493674408283</v>
      </c>
      <c r="K75" s="566">
        <f>Tabel66892127[[#This Row],[Fix.ch. 2017]]+Tabel66892127[[#This Row],[Var. ch. 2017]]+Tabel66892127[[#This Row],[Oth. ch. DW 2017]]+Tabel66892127[[#This Row],[VAT DW 2017]]</f>
        <v>218.23244410936908</v>
      </c>
      <c r="L75" s="596">
        <v>0</v>
      </c>
      <c r="M75" s="595">
        <v>0</v>
      </c>
      <c r="N75" s="626">
        <f>3391/F75</f>
        <v>159.38535816818234</v>
      </c>
      <c r="O75" s="595">
        <f>508/F75</f>
        <v>23.877252123101332</v>
      </c>
      <c r="P75" s="597">
        <v>0</v>
      </c>
      <c r="Q75" s="595">
        <v>0</v>
      </c>
      <c r="R75" s="570">
        <f>Tabel66892127[[#This Row],[VAT DW 2017]]+Tabel66892127[[#This Row],[VAT Sew. 2017]]+Tabel66892127[[#This Row],[VAT WW 2017]]+Tabel66892127[[#This Row],[VAT Other ch. 2017]]</f>
        <v>52.360745797509615</v>
      </c>
      <c r="S75" s="571">
        <f>Tabel66892127[[#This Row],[Total. ch. DW 2017]]+Tabel66892127[[#This Row],[Sew. 2017]]+Tabel66892127[[#This Row],[VAT Sew. 2017]]+Tabel66892127[[#This Row],[WW 2017]]+Tabel66892127[[#This Row],[VAT WW 2017]]+Tabel66892127[[#This Row],[Other ch. 2017]]+Tabel66892127[[#This Row],[VAT Other ch. 2017]]</f>
        <v>401.49505440065275</v>
      </c>
      <c r="T75" s="397"/>
      <c r="U75" s="1762">
        <f>MEDIAN(G75:G79)</f>
        <v>0</v>
      </c>
      <c r="V75" s="1765">
        <f>MEDIAN(H75:H79)</f>
        <v>189.74895043496079</v>
      </c>
      <c r="W75" s="1768">
        <f>MEDIAN(I75:I79)</f>
        <v>0</v>
      </c>
      <c r="X75" s="1771">
        <f>MEDIAN(J75:J79)</f>
        <v>28.483493674408283</v>
      </c>
      <c r="Y75" s="1774">
        <f>SUM(U75:X79)</f>
        <v>218.23244410936908</v>
      </c>
      <c r="Z75" s="1777">
        <f t="shared" ref="Z75:AF75" si="12">MEDIAN(L75:L79)</f>
        <v>0</v>
      </c>
      <c r="AA75" s="1771">
        <f t="shared" si="12"/>
        <v>0</v>
      </c>
      <c r="AB75" s="1810">
        <f t="shared" si="12"/>
        <v>159.38535816818234</v>
      </c>
      <c r="AC75" s="1771">
        <f t="shared" si="12"/>
        <v>23.877252123101332</v>
      </c>
      <c r="AD75" s="1812">
        <f t="shared" si="12"/>
        <v>0</v>
      </c>
      <c r="AE75" s="1771">
        <f t="shared" si="12"/>
        <v>0</v>
      </c>
      <c r="AF75" s="1814">
        <f t="shared" si="12"/>
        <v>52.360745797509615</v>
      </c>
      <c r="AG75" s="1793">
        <f>Y75+Z75+AA75+AB75+AC75+AD75+AE75</f>
        <v>401.49505440065275</v>
      </c>
      <c r="AH75" s="397"/>
      <c r="AI75" s="398"/>
      <c r="AJ75" s="591" t="s">
        <v>429</v>
      </c>
      <c r="AK75" s="398"/>
      <c r="AL75" s="591"/>
      <c r="AM75" s="591"/>
      <c r="AN75" s="591" t="s">
        <v>429</v>
      </c>
      <c r="AO75" s="398"/>
      <c r="AP75" s="397"/>
    </row>
    <row r="76" spans="1:42" ht="16.149999999999999" hidden="1" customHeight="1" x14ac:dyDescent="0.3">
      <c r="A76" s="1757"/>
      <c r="B76" s="639" t="s">
        <v>912</v>
      </c>
      <c r="C76" s="639"/>
      <c r="D76" s="724" t="s">
        <v>1052</v>
      </c>
      <c r="E76" s="1760"/>
      <c r="F76" s="617">
        <f>'exchange rates'!$O$17</f>
        <v>21.275480000000002</v>
      </c>
      <c r="G76" s="625">
        <v>0</v>
      </c>
      <c r="H76" s="593">
        <f>3224/F76</f>
        <v>151.53594654503681</v>
      </c>
      <c r="I76" s="594">
        <v>0</v>
      </c>
      <c r="J76" s="595">
        <f>484/F76</f>
        <v>22.749192967679225</v>
      </c>
      <c r="K76" s="566">
        <f>Tabel66892127[[#This Row],[Fix.ch. 2017]]+Tabel66892127[[#This Row],[Var. ch. 2017]]+Tabel66892127[[#This Row],[Oth. ch. DW 2017]]+Tabel66892127[[#This Row],[VAT DW 2017]]</f>
        <v>174.28513951271603</v>
      </c>
      <c r="L76" s="596">
        <v>0</v>
      </c>
      <c r="M76" s="595">
        <v>0</v>
      </c>
      <c r="N76" s="626">
        <f>3362/F76</f>
        <v>158.02228668871393</v>
      </c>
      <c r="O76" s="595">
        <f>504/F76</f>
        <v>23.689242263864315</v>
      </c>
      <c r="P76" s="597">
        <v>0</v>
      </c>
      <c r="Q76" s="595">
        <v>0</v>
      </c>
      <c r="R76" s="570">
        <f>Tabel66892127[[#This Row],[VAT DW 2017]]+Tabel66892127[[#This Row],[VAT Sew. 2017]]+Tabel66892127[[#This Row],[VAT WW 2017]]+Tabel66892127[[#This Row],[VAT Other ch. 2017]]</f>
        <v>46.438435231543536</v>
      </c>
      <c r="S76" s="571">
        <f>Tabel66892127[[#This Row],[Total. ch. DW 2017]]+Tabel66892127[[#This Row],[Sew. 2017]]+Tabel66892127[[#This Row],[VAT Sew. 2017]]+Tabel66892127[[#This Row],[WW 2017]]+Tabel66892127[[#This Row],[VAT WW 2017]]+Tabel66892127[[#This Row],[Other ch. 2017]]+Tabel66892127[[#This Row],[VAT Other ch. 2017]]</f>
        <v>355.99666846529431</v>
      </c>
      <c r="T76" s="397"/>
      <c r="U76" s="1763"/>
      <c r="V76" s="1766"/>
      <c r="W76" s="1769"/>
      <c r="X76" s="1772"/>
      <c r="Y76" s="1775"/>
      <c r="Z76" s="1778"/>
      <c r="AA76" s="1772"/>
      <c r="AB76" s="1781"/>
      <c r="AC76" s="1772"/>
      <c r="AD76" s="1785"/>
      <c r="AE76" s="1772"/>
      <c r="AF76" s="1788"/>
      <c r="AG76" s="1791"/>
      <c r="AH76" s="397"/>
      <c r="AI76" s="398"/>
      <c r="AJ76" s="591" t="s">
        <v>429</v>
      </c>
      <c r="AK76" s="398"/>
      <c r="AL76" s="591"/>
      <c r="AM76" s="591"/>
      <c r="AN76" s="591" t="s">
        <v>429</v>
      </c>
      <c r="AO76" s="398"/>
      <c r="AP76" s="397"/>
    </row>
    <row r="77" spans="1:42" ht="16.149999999999999" hidden="1" customHeight="1" x14ac:dyDescent="0.3">
      <c r="A77" s="1757"/>
      <c r="B77" s="639" t="s">
        <v>913</v>
      </c>
      <c r="C77" s="639"/>
      <c r="D77" s="724" t="s">
        <v>1052</v>
      </c>
      <c r="E77" s="1760"/>
      <c r="F77" s="617">
        <f>'exchange rates'!$O$17</f>
        <v>21.275480000000002</v>
      </c>
      <c r="G77" s="625">
        <v>0</v>
      </c>
      <c r="H77" s="593">
        <f>3245/F77</f>
        <v>152.52299830603116</v>
      </c>
      <c r="I77" s="594">
        <v>0</v>
      </c>
      <c r="J77" s="595">
        <f>487/F77</f>
        <v>22.890200362106988</v>
      </c>
      <c r="K77" s="566">
        <f>Tabel66892127[[#This Row],[Fix.ch. 2017]]+Tabel66892127[[#This Row],[Var. ch. 2017]]+Tabel66892127[[#This Row],[Oth. ch. DW 2017]]+Tabel66892127[[#This Row],[VAT DW 2017]]</f>
        <v>175.41319866813814</v>
      </c>
      <c r="L77" s="596">
        <v>0</v>
      </c>
      <c r="M77" s="595">
        <v>0</v>
      </c>
      <c r="N77" s="626">
        <f>3417/F77</f>
        <v>160.60742225322295</v>
      </c>
      <c r="O77" s="595">
        <f>513/F77</f>
        <v>24.112264447147606</v>
      </c>
      <c r="P77" s="597">
        <v>0</v>
      </c>
      <c r="Q77" s="595">
        <v>0</v>
      </c>
      <c r="R77" s="570">
        <f>Tabel66892127[[#This Row],[VAT DW 2017]]+Tabel66892127[[#This Row],[VAT Sew. 2017]]+Tabel66892127[[#This Row],[VAT WW 2017]]+Tabel66892127[[#This Row],[VAT Other ch. 2017]]</f>
        <v>47.00246480925459</v>
      </c>
      <c r="S77" s="571">
        <f>Tabel66892127[[#This Row],[Total. ch. DW 2017]]+Tabel66892127[[#This Row],[Sew. 2017]]+Tabel66892127[[#This Row],[VAT Sew. 2017]]+Tabel66892127[[#This Row],[WW 2017]]+Tabel66892127[[#This Row],[VAT WW 2017]]+Tabel66892127[[#This Row],[Other ch. 2017]]+Tabel66892127[[#This Row],[VAT Other ch. 2017]]</f>
        <v>360.13288536850871</v>
      </c>
      <c r="T77" s="397"/>
      <c r="U77" s="1763"/>
      <c r="V77" s="1766"/>
      <c r="W77" s="1769"/>
      <c r="X77" s="1772"/>
      <c r="Y77" s="1775"/>
      <c r="Z77" s="1778"/>
      <c r="AA77" s="1772"/>
      <c r="AB77" s="1781"/>
      <c r="AC77" s="1772"/>
      <c r="AD77" s="1785"/>
      <c r="AE77" s="1772"/>
      <c r="AF77" s="1788"/>
      <c r="AG77" s="1791"/>
      <c r="AH77" s="397"/>
      <c r="AI77" s="398"/>
      <c r="AJ77" s="591" t="s">
        <v>429</v>
      </c>
      <c r="AK77" s="398"/>
      <c r="AL77" s="591"/>
      <c r="AM77" s="591"/>
      <c r="AN77" s="591" t="s">
        <v>429</v>
      </c>
      <c r="AO77" s="398"/>
      <c r="AP77" s="397"/>
    </row>
    <row r="78" spans="1:42" ht="16.149999999999999" hidden="1" customHeight="1" x14ac:dyDescent="0.3">
      <c r="A78" s="1757"/>
      <c r="B78" s="639" t="s">
        <v>914</v>
      </c>
      <c r="C78" s="639"/>
      <c r="D78" s="724" t="s">
        <v>1052</v>
      </c>
      <c r="E78" s="1760"/>
      <c r="F78" s="617">
        <f>'exchange rates'!$O$17</f>
        <v>21.275480000000002</v>
      </c>
      <c r="G78" s="625">
        <v>0</v>
      </c>
      <c r="H78" s="593">
        <f>4506/F78</f>
        <v>211.79310643050121</v>
      </c>
      <c r="I78" s="594">
        <v>0</v>
      </c>
      <c r="J78" s="595">
        <f>676/F78</f>
        <v>31.773666211056106</v>
      </c>
      <c r="K78" s="566">
        <f>Tabel66892127[[#This Row],[Fix.ch. 2017]]+Tabel66892127[[#This Row],[Var. ch. 2017]]+Tabel66892127[[#This Row],[Oth. ch. DW 2017]]+Tabel66892127[[#This Row],[VAT DW 2017]]</f>
        <v>243.56677264155732</v>
      </c>
      <c r="L78" s="596">
        <v>0</v>
      </c>
      <c r="M78" s="595">
        <v>0</v>
      </c>
      <c r="N78" s="626">
        <f>2984/F78</f>
        <v>140.2553549908157</v>
      </c>
      <c r="O78" s="595">
        <f>448/F78</f>
        <v>21.057104234546056</v>
      </c>
      <c r="P78" s="597">
        <v>0</v>
      </c>
      <c r="Q78" s="595">
        <v>0</v>
      </c>
      <c r="R78" s="570">
        <f>Tabel66892127[[#This Row],[VAT DW 2017]]+Tabel66892127[[#This Row],[VAT Sew. 2017]]+Tabel66892127[[#This Row],[VAT WW 2017]]+Tabel66892127[[#This Row],[VAT Other ch. 2017]]</f>
        <v>52.830770445602163</v>
      </c>
      <c r="S78" s="571">
        <f>Tabel66892127[[#This Row],[Total. ch. DW 2017]]+Tabel66892127[[#This Row],[Sew. 2017]]+Tabel66892127[[#This Row],[VAT Sew. 2017]]+Tabel66892127[[#This Row],[WW 2017]]+Tabel66892127[[#This Row],[VAT WW 2017]]+Tabel66892127[[#This Row],[Other ch. 2017]]+Tabel66892127[[#This Row],[VAT Other ch. 2017]]</f>
        <v>404.8792318669191</v>
      </c>
      <c r="T78" s="397"/>
      <c r="U78" s="1763"/>
      <c r="V78" s="1766"/>
      <c r="W78" s="1769"/>
      <c r="X78" s="1772"/>
      <c r="Y78" s="1775"/>
      <c r="Z78" s="1778"/>
      <c r="AA78" s="1772"/>
      <c r="AB78" s="1781"/>
      <c r="AC78" s="1772"/>
      <c r="AD78" s="1785"/>
      <c r="AE78" s="1772"/>
      <c r="AF78" s="1788"/>
      <c r="AG78" s="1791"/>
      <c r="AH78" s="397"/>
      <c r="AI78" s="398"/>
      <c r="AJ78" s="591" t="s">
        <v>429</v>
      </c>
      <c r="AK78" s="398"/>
      <c r="AL78" s="591"/>
      <c r="AM78" s="591"/>
      <c r="AN78" s="591" t="s">
        <v>429</v>
      </c>
      <c r="AO78" s="398"/>
      <c r="AP78" s="397"/>
    </row>
    <row r="79" spans="1:42" ht="16.149999999999999" hidden="1" customHeight="1" thickBot="1" x14ac:dyDescent="0.3">
      <c r="A79" s="1758"/>
      <c r="B79" s="652" t="s">
        <v>915</v>
      </c>
      <c r="C79" s="652"/>
      <c r="D79" s="807" t="s">
        <v>1052</v>
      </c>
      <c r="E79" s="1761"/>
      <c r="F79" s="617">
        <f>'exchange rates'!$O$17</f>
        <v>21.275480000000002</v>
      </c>
      <c r="G79" s="625">
        <v>0</v>
      </c>
      <c r="H79" s="593">
        <f>4346/F79</f>
        <v>204.27271206102046</v>
      </c>
      <c r="I79" s="594">
        <v>0</v>
      </c>
      <c r="J79" s="595">
        <f>652/F79</f>
        <v>30.645607055633995</v>
      </c>
      <c r="K79" s="566">
        <f>Tabel66892127[[#This Row],[Fix.ch. 2017]]+Tabel66892127[[#This Row],[Var. ch. 2017]]+Tabel66892127[[#This Row],[Oth. ch. DW 2017]]+Tabel66892127[[#This Row],[VAT DW 2017]]</f>
        <v>234.91831911665446</v>
      </c>
      <c r="L79" s="596">
        <v>0</v>
      </c>
      <c r="M79" s="595">
        <v>0</v>
      </c>
      <c r="N79" s="626">
        <f>4202/F79</f>
        <v>197.50435712848781</v>
      </c>
      <c r="O79" s="595">
        <f>630/F79</f>
        <v>29.611552829830394</v>
      </c>
      <c r="P79" s="597">
        <v>0</v>
      </c>
      <c r="Q79" s="595">
        <v>0</v>
      </c>
      <c r="R79" s="570">
        <f>Tabel66892127[[#This Row],[VAT DW 2017]]+Tabel66892127[[#This Row],[VAT Sew. 2017]]+Tabel66892127[[#This Row],[VAT WW 2017]]+Tabel66892127[[#This Row],[VAT Other ch. 2017]]</f>
        <v>60.25715988546439</v>
      </c>
      <c r="S79" s="571">
        <f>Tabel66892127[[#This Row],[Total. ch. DW 2017]]+Tabel66892127[[#This Row],[Sew. 2017]]+Tabel66892127[[#This Row],[VAT Sew. 2017]]+Tabel66892127[[#This Row],[WW 2017]]+Tabel66892127[[#This Row],[VAT WW 2017]]+Tabel66892127[[#This Row],[Other ch. 2017]]+Tabel66892127[[#This Row],[VAT Other ch. 2017]]</f>
        <v>462.03422907497264</v>
      </c>
      <c r="T79" s="397"/>
      <c r="U79" s="1764"/>
      <c r="V79" s="1767"/>
      <c r="W79" s="1770"/>
      <c r="X79" s="1773"/>
      <c r="Y79" s="1776"/>
      <c r="Z79" s="1779"/>
      <c r="AA79" s="1773"/>
      <c r="AB79" s="1811"/>
      <c r="AC79" s="1773"/>
      <c r="AD79" s="1813"/>
      <c r="AE79" s="1773"/>
      <c r="AF79" s="1815"/>
      <c r="AG79" s="1794"/>
      <c r="AH79" s="397"/>
      <c r="AI79" s="398"/>
      <c r="AJ79" s="591" t="s">
        <v>429</v>
      </c>
      <c r="AK79" s="398"/>
      <c r="AL79" s="591"/>
      <c r="AM79" s="591"/>
      <c r="AN79" s="591" t="s">
        <v>429</v>
      </c>
      <c r="AO79" s="398"/>
      <c r="AP79" s="397"/>
    </row>
    <row r="80" spans="1:42" ht="18" hidden="1" customHeight="1" x14ac:dyDescent="0.3">
      <c r="A80" s="1818" t="s">
        <v>11</v>
      </c>
      <c r="B80" s="663" t="s">
        <v>87</v>
      </c>
      <c r="C80" s="1046"/>
      <c r="D80" s="802" t="s">
        <v>1054</v>
      </c>
      <c r="E80" s="1966">
        <v>49600</v>
      </c>
      <c r="F80" s="661">
        <f>'exchange rates'!$O$18</f>
        <v>6.2037399999999998</v>
      </c>
      <c r="G80" s="625">
        <f>1000/F80</f>
        <v>161.19308675089545</v>
      </c>
      <c r="H80" s="593">
        <f>510.2/F80</f>
        <v>82.240712860306843</v>
      </c>
      <c r="I80" s="594">
        <f>625/F80</f>
        <v>100.74567921930965</v>
      </c>
      <c r="J80" s="595">
        <f>533.8/F80</f>
        <v>86.044869707627981</v>
      </c>
      <c r="K80" s="566">
        <f>Tabel66892127[[#This Row],[Fix.ch. 2017]]+Tabel66892127[[#This Row],[Var. ch. 2017]]+Tabel66892127[[#This Row],[Oth. ch. DW 2017]]+Tabel66892127[[#This Row],[VAT DW 2017]]</f>
        <v>430.22434853813991</v>
      </c>
      <c r="L80" s="596">
        <v>0</v>
      </c>
      <c r="M80" s="595">
        <v>0</v>
      </c>
      <c r="N80" s="626">
        <f>2672.33/F80</f>
        <v>430.7611215170204</v>
      </c>
      <c r="O80" s="595">
        <f>668.08/F80</f>
        <v>107.68987739653822</v>
      </c>
      <c r="P80" s="597">
        <f>76.47/F80</f>
        <v>12.326435343840974</v>
      </c>
      <c r="Q80" s="595">
        <f>19.12/F80</f>
        <v>3.0820118186771208</v>
      </c>
      <c r="R80" s="570">
        <f>Tabel66892127[[#This Row],[VAT DW 2017]]+Tabel66892127[[#This Row],[VAT Sew. 2017]]+Tabel66892127[[#This Row],[VAT WW 2017]]+Tabel66892127[[#This Row],[VAT Other ch. 2017]]</f>
        <v>196.81675892284335</v>
      </c>
      <c r="S80" s="571">
        <f>Tabel66892127[[#This Row],[Total. ch. DW 2017]]+Tabel66892127[[#This Row],[Sew. 2017]]+Tabel66892127[[#This Row],[VAT Sew. 2017]]+Tabel66892127[[#This Row],[WW 2017]]+Tabel66892127[[#This Row],[VAT WW 2017]]+Tabel66892127[[#This Row],[Other ch. 2017]]+Tabel66892127[[#This Row],[VAT Other ch. 2017]]</f>
        <v>984.08379461421657</v>
      </c>
      <c r="T80" s="397"/>
      <c r="U80" s="1968">
        <f>MEDIAN(G80:G84)</f>
        <v>88.720674947692842</v>
      </c>
      <c r="V80" s="1971">
        <f>MEDIAN(H80:H84)</f>
        <v>134.33831849819626</v>
      </c>
      <c r="W80" s="1974">
        <f>MEDIAN(I80:I84)</f>
        <v>100.74567921930965</v>
      </c>
      <c r="X80" s="1771">
        <f>MEDIAN(J80:J84)</f>
        <v>81.49922466125274</v>
      </c>
      <c r="Y80" s="1977">
        <f>SUM(U80:X84)</f>
        <v>405.30389732645148</v>
      </c>
      <c r="Z80" s="1980">
        <f t="shared" ref="Z80:AF80" si="13">MEDIAN(L80:L84)</f>
        <v>0</v>
      </c>
      <c r="AA80" s="1771">
        <f t="shared" si="13"/>
        <v>0</v>
      </c>
      <c r="AB80" s="1954">
        <f t="shared" si="13"/>
        <v>440.34405052436114</v>
      </c>
      <c r="AC80" s="1771">
        <f t="shared" si="13"/>
        <v>110.08681859652404</v>
      </c>
      <c r="AD80" s="1957">
        <f t="shared" si="13"/>
        <v>9.1912298065360574</v>
      </c>
      <c r="AE80" s="1771">
        <f t="shared" si="13"/>
        <v>2.2970014862002599</v>
      </c>
      <c r="AF80" s="1960">
        <f t="shared" si="13"/>
        <v>193.88304474397705</v>
      </c>
      <c r="AG80" s="1963">
        <f>Y80+Z80+AA80+AB80+AC80+AD80+AE80</f>
        <v>967.22299774007308</v>
      </c>
      <c r="AH80" s="397"/>
      <c r="AI80" s="396"/>
      <c r="AJ80" s="591" t="s">
        <v>429</v>
      </c>
      <c r="AK80" s="591"/>
      <c r="AL80" s="591"/>
      <c r="AM80" s="591" t="s">
        <v>429</v>
      </c>
      <c r="AN80" s="591" t="s">
        <v>429</v>
      </c>
      <c r="AO80" s="396"/>
      <c r="AP80" s="397"/>
    </row>
    <row r="81" spans="1:42" ht="16.5" hidden="1" thickBot="1" x14ac:dyDescent="0.3">
      <c r="A81" s="1819"/>
      <c r="B81" s="547" t="s">
        <v>213</v>
      </c>
      <c r="C81" s="1046"/>
      <c r="D81" s="802" t="s">
        <v>1054</v>
      </c>
      <c r="E81" s="1967"/>
      <c r="F81" s="661">
        <f>'exchange rates'!$O$18</f>
        <v>6.2037399999999998</v>
      </c>
      <c r="G81" s="625">
        <f>550.4/F81</f>
        <v>88.720674947692842</v>
      </c>
      <c r="H81" s="593">
        <f>847/F81</f>
        <v>136.53054447800844</v>
      </c>
      <c r="I81" s="594">
        <f>625/F81</f>
        <v>100.74567921930965</v>
      </c>
      <c r="J81" s="595">
        <f>505.6/F81</f>
        <v>81.49922466125274</v>
      </c>
      <c r="K81" s="566">
        <f>Tabel66892127[[#This Row],[Fix.ch. 2017]]+Tabel66892127[[#This Row],[Var. ch. 2017]]+Tabel66892127[[#This Row],[Oth. ch. DW 2017]]+Tabel66892127[[#This Row],[VAT DW 2017]]</f>
        <v>407.49612330626366</v>
      </c>
      <c r="L81" s="596">
        <v>0</v>
      </c>
      <c r="M81" s="595">
        <v>0</v>
      </c>
      <c r="N81" s="626">
        <f>2731.78/F81</f>
        <v>440.34405052436114</v>
      </c>
      <c r="O81" s="595">
        <f>682.95/F81</f>
        <v>110.08681859652404</v>
      </c>
      <c r="P81" s="597">
        <f>57.02/F81</f>
        <v>9.1912298065360574</v>
      </c>
      <c r="Q81" s="595">
        <f>14.25/F81</f>
        <v>2.2970014862002599</v>
      </c>
      <c r="R81" s="570">
        <f>Tabel66892127[[#This Row],[VAT DW 2017]]+Tabel66892127[[#This Row],[VAT Sew. 2017]]+Tabel66892127[[#This Row],[VAT WW 2017]]+Tabel66892127[[#This Row],[VAT Other ch. 2017]]</f>
        <v>193.88304474397705</v>
      </c>
      <c r="S81" s="571">
        <f>Tabel66892127[[#This Row],[Total. ch. DW 2017]]+Tabel66892127[[#This Row],[Sew. 2017]]+Tabel66892127[[#This Row],[VAT Sew. 2017]]+Tabel66892127[[#This Row],[WW 2017]]+Tabel66892127[[#This Row],[VAT WW 2017]]+Tabel66892127[[#This Row],[Other ch. 2017]]+Tabel66892127[[#This Row],[VAT Other ch. 2017]]</f>
        <v>969.41522371988515</v>
      </c>
      <c r="T81" s="397"/>
      <c r="U81" s="1969"/>
      <c r="V81" s="1972"/>
      <c r="W81" s="1975"/>
      <c r="X81" s="1772"/>
      <c r="Y81" s="1978"/>
      <c r="Z81" s="1981"/>
      <c r="AA81" s="1772"/>
      <c r="AB81" s="1955"/>
      <c r="AC81" s="1772"/>
      <c r="AD81" s="1958"/>
      <c r="AE81" s="1772"/>
      <c r="AF81" s="1961"/>
      <c r="AG81" s="1964"/>
      <c r="AH81" s="397"/>
      <c r="AI81" s="396"/>
      <c r="AJ81" s="591" t="s">
        <v>429</v>
      </c>
      <c r="AK81" s="591"/>
      <c r="AL81" s="591"/>
      <c r="AM81" s="591" t="s">
        <v>429</v>
      </c>
      <c r="AN81" s="591" t="s">
        <v>429</v>
      </c>
      <c r="AO81" s="396"/>
      <c r="AP81" s="397"/>
    </row>
    <row r="82" spans="1:42" ht="16.5" hidden="1" thickBot="1" x14ac:dyDescent="0.3">
      <c r="A82" s="1819"/>
      <c r="B82" s="547" t="s">
        <v>88</v>
      </c>
      <c r="C82" s="1046" t="s">
        <v>429</v>
      </c>
      <c r="D82" s="802" t="s">
        <v>1054</v>
      </c>
      <c r="E82" s="1967"/>
      <c r="F82" s="661">
        <f>'exchange rates'!$O$18</f>
        <v>6.2037399999999998</v>
      </c>
      <c r="G82" s="625">
        <f>384/F82</f>
        <v>61.898145312343843</v>
      </c>
      <c r="H82" s="593">
        <f>833.4/F82</f>
        <v>134.33831849819626</v>
      </c>
      <c r="I82" s="594">
        <f>625/F82</f>
        <v>100.74567921930965</v>
      </c>
      <c r="J82" s="595">
        <f>460.6/F82</f>
        <v>74.245535757462434</v>
      </c>
      <c r="K82" s="566">
        <f>Tabel66892127[[#This Row],[Fix.ch. 2017]]+Tabel66892127[[#This Row],[Var. ch. 2017]]+Tabel66892127[[#This Row],[Oth. ch. DW 2017]]+Tabel66892127[[#This Row],[VAT DW 2017]]</f>
        <v>371.22767878731219</v>
      </c>
      <c r="L82" s="596">
        <v>0</v>
      </c>
      <c r="M82" s="595">
        <f>0</f>
        <v>0</v>
      </c>
      <c r="N82" s="626">
        <f>1554.42/F82</f>
        <v>250.56175790732689</v>
      </c>
      <c r="O82" s="595">
        <f>388.6/F82</f>
        <v>62.639633511397967</v>
      </c>
      <c r="P82" s="597">
        <f>69.58/F82</f>
        <v>11.215814976127303</v>
      </c>
      <c r="Q82" s="595">
        <f>17.4/F82</f>
        <v>2.8047597094655803</v>
      </c>
      <c r="R82" s="570">
        <f>Tabel66892127[[#This Row],[VAT DW 2017]]+Tabel66892127[[#This Row],[VAT Sew. 2017]]+Tabel66892127[[#This Row],[VAT WW 2017]]+Tabel66892127[[#This Row],[VAT Other ch. 2017]]</f>
        <v>139.68992897832598</v>
      </c>
      <c r="S82" s="571">
        <f>Tabel66892127[[#This Row],[Total. ch. DW 2017]]+Tabel66892127[[#This Row],[Sew. 2017]]+Tabel66892127[[#This Row],[VAT Sew. 2017]]+Tabel66892127[[#This Row],[WW 2017]]+Tabel66892127[[#This Row],[VAT WW 2017]]+Tabel66892127[[#This Row],[Other ch. 2017]]+Tabel66892127[[#This Row],[VAT Other ch. 2017]]</f>
        <v>698.44964489162987</v>
      </c>
      <c r="T82" s="397"/>
      <c r="U82" s="1969"/>
      <c r="V82" s="1972"/>
      <c r="W82" s="1975"/>
      <c r="X82" s="1772"/>
      <c r="Y82" s="1978"/>
      <c r="Z82" s="1981"/>
      <c r="AA82" s="1772"/>
      <c r="AB82" s="1955"/>
      <c r="AC82" s="1772"/>
      <c r="AD82" s="1958"/>
      <c r="AE82" s="1772"/>
      <c r="AF82" s="1961"/>
      <c r="AG82" s="1964"/>
      <c r="AH82" s="397"/>
      <c r="AI82" s="396"/>
      <c r="AJ82" s="591" t="s">
        <v>429</v>
      </c>
      <c r="AK82" s="591"/>
      <c r="AL82" s="591"/>
      <c r="AM82" s="591" t="s">
        <v>429</v>
      </c>
      <c r="AN82" s="591" t="s">
        <v>429</v>
      </c>
      <c r="AO82" s="396"/>
      <c r="AP82" s="397"/>
    </row>
    <row r="83" spans="1:42" ht="16.5" hidden="1" thickBot="1" x14ac:dyDescent="0.3">
      <c r="A83" s="1819"/>
      <c r="B83" s="547" t="s">
        <v>89</v>
      </c>
      <c r="C83" s="1046"/>
      <c r="D83" s="802" t="s">
        <v>1054</v>
      </c>
      <c r="E83" s="1967"/>
      <c r="F83" s="661">
        <f>'exchange rates'!$O$18</f>
        <v>6.2037399999999998</v>
      </c>
      <c r="G83" s="625">
        <f>662.4/F83</f>
        <v>106.77430066379313</v>
      </c>
      <c r="H83" s="593">
        <f>485.4/F83</f>
        <v>78.243124308884646</v>
      </c>
      <c r="I83" s="594">
        <f>625/F83</f>
        <v>100.74567921930965</v>
      </c>
      <c r="J83" s="595">
        <f>443.2/F83</f>
        <v>71.440776047996849</v>
      </c>
      <c r="K83" s="566">
        <f>Tabel66892127[[#This Row],[Fix.ch. 2017]]+Tabel66892127[[#This Row],[Var. ch. 2017]]+Tabel66892127[[#This Row],[Oth. ch. DW 2017]]+Tabel66892127[[#This Row],[VAT DW 2017]]</f>
        <v>357.20388023998424</v>
      </c>
      <c r="L83" s="596">
        <v>0</v>
      </c>
      <c r="M83" s="595">
        <v>0</v>
      </c>
      <c r="N83" s="626">
        <f>2888/F83</f>
        <v>465.52563453658598</v>
      </c>
      <c r="O83" s="595">
        <f>722/F83</f>
        <v>116.3814086341465</v>
      </c>
      <c r="P83" s="597">
        <f>50.4/F83</f>
        <v>8.1241315722451297</v>
      </c>
      <c r="Q83" s="595">
        <f>12.6/F83</f>
        <v>2.0310328930612824</v>
      </c>
      <c r="R83" s="570">
        <f>Tabel66892127[[#This Row],[VAT DW 2017]]+Tabel66892127[[#This Row],[VAT Sew. 2017]]+Tabel66892127[[#This Row],[VAT WW 2017]]+Tabel66892127[[#This Row],[VAT Other ch. 2017]]</f>
        <v>189.85321757520464</v>
      </c>
      <c r="S83" s="571">
        <f>Tabel66892127[[#This Row],[Total. ch. DW 2017]]+Tabel66892127[[#This Row],[Sew. 2017]]+Tabel66892127[[#This Row],[VAT Sew. 2017]]+Tabel66892127[[#This Row],[WW 2017]]+Tabel66892127[[#This Row],[VAT WW 2017]]+Tabel66892127[[#This Row],[Other ch. 2017]]+Tabel66892127[[#This Row],[VAT Other ch. 2017]]</f>
        <v>949.26608787602311</v>
      </c>
      <c r="T83" s="397"/>
      <c r="U83" s="1969"/>
      <c r="V83" s="1972"/>
      <c r="W83" s="1975"/>
      <c r="X83" s="1772"/>
      <c r="Y83" s="1978"/>
      <c r="Z83" s="1981"/>
      <c r="AA83" s="1772"/>
      <c r="AB83" s="1955"/>
      <c r="AC83" s="1772"/>
      <c r="AD83" s="1958"/>
      <c r="AE83" s="1772"/>
      <c r="AF83" s="1961"/>
      <c r="AG83" s="1964"/>
      <c r="AH83" s="397"/>
      <c r="AI83" s="396"/>
      <c r="AJ83" s="591" t="s">
        <v>429</v>
      </c>
      <c r="AK83" s="591"/>
      <c r="AL83" s="591"/>
      <c r="AM83" s="591" t="s">
        <v>429</v>
      </c>
      <c r="AN83" s="591" t="s">
        <v>429</v>
      </c>
      <c r="AO83" s="396"/>
      <c r="AP83" s="397"/>
    </row>
    <row r="84" spans="1:42" ht="16.5" hidden="1" thickBot="1" x14ac:dyDescent="0.3">
      <c r="A84" s="1820"/>
      <c r="B84" s="613" t="s">
        <v>90</v>
      </c>
      <c r="C84" s="1046"/>
      <c r="D84" s="807" t="s">
        <v>1054</v>
      </c>
      <c r="E84" s="1923"/>
      <c r="F84" s="661">
        <f>'exchange rates'!$O$18</f>
        <v>6.2037399999999998</v>
      </c>
      <c r="G84" s="625">
        <f>480/F84</f>
        <v>77.372681640429803</v>
      </c>
      <c r="H84" s="593">
        <f>950.2/F84</f>
        <v>153.16567103070085</v>
      </c>
      <c r="I84" s="594">
        <f>625/F84</f>
        <v>100.74567921930965</v>
      </c>
      <c r="J84" s="595">
        <f>513.8/F84</f>
        <v>82.821007972610062</v>
      </c>
      <c r="K84" s="566">
        <f>Tabel66892127[[#This Row],[Fix.ch. 2017]]+Tabel66892127[[#This Row],[Var. ch. 2017]]+Tabel66892127[[#This Row],[Oth. ch. DW 2017]]+Tabel66892127[[#This Row],[VAT DW 2017]]</f>
        <v>414.10503986305037</v>
      </c>
      <c r="L84" s="596">
        <v>0</v>
      </c>
      <c r="M84" s="595">
        <v>0</v>
      </c>
      <c r="N84" s="626">
        <f>3676.62/F84</f>
        <v>592.64572661007719</v>
      </c>
      <c r="O84" s="595">
        <f>919.16/F84</f>
        <v>148.16223761795305</v>
      </c>
      <c r="P84" s="597">
        <f>53.78/F84</f>
        <v>8.6689642054631566</v>
      </c>
      <c r="Q84" s="595">
        <f>13.44/F84</f>
        <v>2.1664350859320347</v>
      </c>
      <c r="R84" s="570">
        <f>Tabel66892127[[#This Row],[VAT DW 2017]]+Tabel66892127[[#This Row],[VAT Sew. 2017]]+Tabel66892127[[#This Row],[VAT WW 2017]]+Tabel66892127[[#This Row],[VAT Other ch. 2017]]</f>
        <v>233.14968067649514</v>
      </c>
      <c r="S84" s="571">
        <f>Tabel66892127[[#This Row],[Total. ch. DW 2017]]+Tabel66892127[[#This Row],[Sew. 2017]]+Tabel66892127[[#This Row],[VAT Sew. 2017]]+Tabel66892127[[#This Row],[WW 2017]]+Tabel66892127[[#This Row],[VAT WW 2017]]+Tabel66892127[[#This Row],[Other ch. 2017]]+Tabel66892127[[#This Row],[VAT Other ch. 2017]]</f>
        <v>1165.748403382476</v>
      </c>
      <c r="T84" s="397"/>
      <c r="U84" s="1970"/>
      <c r="V84" s="1973"/>
      <c r="W84" s="1976"/>
      <c r="X84" s="1773"/>
      <c r="Y84" s="1979"/>
      <c r="Z84" s="1982"/>
      <c r="AA84" s="1773"/>
      <c r="AB84" s="1956"/>
      <c r="AC84" s="1773"/>
      <c r="AD84" s="1959"/>
      <c r="AE84" s="1773"/>
      <c r="AF84" s="1962"/>
      <c r="AG84" s="1965"/>
      <c r="AH84" s="397"/>
      <c r="AI84" s="396"/>
      <c r="AJ84" s="591" t="s">
        <v>429</v>
      </c>
      <c r="AK84" s="591"/>
      <c r="AL84" s="591"/>
      <c r="AM84" s="591" t="s">
        <v>429</v>
      </c>
      <c r="AN84" s="591" t="s">
        <v>429</v>
      </c>
      <c r="AO84" s="396"/>
      <c r="AP84" s="397"/>
    </row>
    <row r="85" spans="1:42" ht="18" hidden="1" customHeight="1" x14ac:dyDescent="0.3">
      <c r="A85" s="1818" t="s">
        <v>12</v>
      </c>
      <c r="B85" s="546" t="s">
        <v>91</v>
      </c>
      <c r="C85" s="1046"/>
      <c r="D85" s="802" t="s">
        <v>1056</v>
      </c>
      <c r="E85" s="1966">
        <v>44000</v>
      </c>
      <c r="F85" s="616">
        <f>'exchange rates'!$O$19</f>
        <v>0.83301000000000003</v>
      </c>
      <c r="G85" s="625">
        <f>39.52/F85</f>
        <v>47.44240765416982</v>
      </c>
      <c r="H85" s="593">
        <f>113/F85</f>
        <v>135.65263322169002</v>
      </c>
      <c r="I85" s="594">
        <v>0</v>
      </c>
      <c r="J85" s="595">
        <f>36.6/F85</f>
        <v>43.937047574458887</v>
      </c>
      <c r="K85" s="566">
        <f>Tabel66892127[[#This Row],[Fix.ch. 2017]]+Tabel66892127[[#This Row],[Var. ch. 2017]]+Tabel66892127[[#This Row],[Oth. ch. DW 2017]]+Tabel66892127[[#This Row],[VAT DW 2017]]</f>
        <v>227.03208845031872</v>
      </c>
      <c r="L85" s="596">
        <f>139/F85</f>
        <v>166.86474352048594</v>
      </c>
      <c r="M85" s="595">
        <f>33.36/F85</f>
        <v>40.047538444916626</v>
      </c>
      <c r="N85" s="626">
        <v>0</v>
      </c>
      <c r="O85" s="595">
        <v>0</v>
      </c>
      <c r="P85" s="597">
        <f>39.52/F85</f>
        <v>47.44240765416982</v>
      </c>
      <c r="Q85" s="595">
        <f>9.48/F85</f>
        <v>11.380415601253286</v>
      </c>
      <c r="R85" s="570">
        <f>Tabel66892127[[#This Row],[VAT DW 2017]]+Tabel66892127[[#This Row],[VAT Sew. 2017]]+Tabel66892127[[#This Row],[VAT WW 2017]]+Tabel66892127[[#This Row],[VAT Other ch. 2017]]</f>
        <v>95.365001620628803</v>
      </c>
      <c r="S85" s="571">
        <f>Tabel66892127[[#This Row],[Total. ch. DW 2017]]+Tabel66892127[[#This Row],[Sew. 2017]]+Tabel66892127[[#This Row],[VAT Sew. 2017]]+Tabel66892127[[#This Row],[WW 2017]]+Tabel66892127[[#This Row],[VAT WW 2017]]+Tabel66892127[[#This Row],[Other ch. 2017]]+Tabel66892127[[#This Row],[VAT Other ch. 2017]]</f>
        <v>492.76719367114441</v>
      </c>
      <c r="T85" s="397"/>
      <c r="U85" s="1968">
        <f>MEDIAN(G85:G90)</f>
        <v>48.894971248844556</v>
      </c>
      <c r="V85" s="1971">
        <f>MEDIAN(H85:H90)</f>
        <v>136.85309900241293</v>
      </c>
      <c r="W85" s="1974">
        <f>MEDIAN(I85:I90)</f>
        <v>0</v>
      </c>
      <c r="X85" s="1771">
        <f>MEDIAN(J85:J90)</f>
        <v>45.731743916639658</v>
      </c>
      <c r="Y85" s="1977">
        <f>SUM(U85:X90)</f>
        <v>231.47981416789716</v>
      </c>
      <c r="Z85" s="1980">
        <f t="shared" ref="Z85:AF85" si="14">MEDIAN(L85:L90)</f>
        <v>176.37243250381147</v>
      </c>
      <c r="AA85" s="1771">
        <f t="shared" si="14"/>
        <v>42.328423428290172</v>
      </c>
      <c r="AB85" s="1954">
        <f t="shared" si="14"/>
        <v>0</v>
      </c>
      <c r="AC85" s="1771">
        <f t="shared" si="14"/>
        <v>0</v>
      </c>
      <c r="AD85" s="1957">
        <f t="shared" si="14"/>
        <v>47.44240765416982</v>
      </c>
      <c r="AE85" s="1771">
        <f t="shared" si="14"/>
        <v>11.380415601253286</v>
      </c>
      <c r="AF85" s="1960">
        <f t="shared" si="14"/>
        <v>99.782715693689141</v>
      </c>
      <c r="AG85" s="1963">
        <f>Y85+Z85+AA85+AB85+AC85+AD85+AE85</f>
        <v>509.00349335542188</v>
      </c>
      <c r="AH85" s="397"/>
      <c r="AI85" s="400"/>
      <c r="AJ85" s="662" t="s">
        <v>429</v>
      </c>
      <c r="AK85" s="662"/>
      <c r="AL85" s="662"/>
      <c r="AM85" s="662" t="s">
        <v>429</v>
      </c>
      <c r="AN85" s="662" t="s">
        <v>429</v>
      </c>
      <c r="AO85" s="400"/>
      <c r="AP85" s="397"/>
    </row>
    <row r="86" spans="1:42" ht="16.5" hidden="1" thickBot="1" x14ac:dyDescent="0.3">
      <c r="A86" s="1819"/>
      <c r="B86" s="547" t="s">
        <v>92</v>
      </c>
      <c r="C86" s="1046" t="s">
        <v>429</v>
      </c>
      <c r="D86" s="802" t="s">
        <v>1056</v>
      </c>
      <c r="E86" s="1967"/>
      <c r="F86" s="616">
        <f>'exchange rates'!$O$19</f>
        <v>0.83301000000000003</v>
      </c>
      <c r="G86" s="625">
        <f>39.52/F86</f>
        <v>47.44240765416982</v>
      </c>
      <c r="H86" s="593">
        <f>113/F86</f>
        <v>135.65263322169002</v>
      </c>
      <c r="I86" s="594">
        <v>0</v>
      </c>
      <c r="J86" s="595">
        <f>36.6/F86</f>
        <v>43.937047574458887</v>
      </c>
      <c r="K86" s="566">
        <f>Tabel66892127[[#This Row],[Fix.ch. 2017]]+Tabel66892127[[#This Row],[Var. ch. 2017]]+Tabel66892127[[#This Row],[Oth. ch. DW 2017]]+Tabel66892127[[#This Row],[VAT DW 2017]]</f>
        <v>227.03208845031872</v>
      </c>
      <c r="L86" s="596">
        <f>139/F86</f>
        <v>166.86474352048594</v>
      </c>
      <c r="M86" s="595">
        <f>33.36/F86</f>
        <v>40.047538444916626</v>
      </c>
      <c r="N86" s="626">
        <v>0</v>
      </c>
      <c r="O86" s="595">
        <v>0</v>
      </c>
      <c r="P86" s="597">
        <f>39.52/F86</f>
        <v>47.44240765416982</v>
      </c>
      <c r="Q86" s="595">
        <f>9.48/F86</f>
        <v>11.380415601253286</v>
      </c>
      <c r="R86" s="570">
        <f>Tabel66892127[[#This Row],[VAT DW 2017]]+Tabel66892127[[#This Row],[VAT Sew. 2017]]+Tabel66892127[[#This Row],[VAT WW 2017]]+Tabel66892127[[#This Row],[VAT Other ch. 2017]]</f>
        <v>95.365001620628803</v>
      </c>
      <c r="S86" s="571">
        <f>Tabel66892127[[#This Row],[Total. ch. DW 2017]]+Tabel66892127[[#This Row],[Sew. 2017]]+Tabel66892127[[#This Row],[VAT Sew. 2017]]+Tabel66892127[[#This Row],[WW 2017]]+Tabel66892127[[#This Row],[VAT WW 2017]]+Tabel66892127[[#This Row],[Other ch. 2017]]+Tabel66892127[[#This Row],[VAT Other ch. 2017]]</f>
        <v>492.76719367114441</v>
      </c>
      <c r="T86" s="397"/>
      <c r="U86" s="1969"/>
      <c r="V86" s="1972"/>
      <c r="W86" s="1975"/>
      <c r="X86" s="1772"/>
      <c r="Y86" s="1978"/>
      <c r="Z86" s="1981"/>
      <c r="AA86" s="1772"/>
      <c r="AB86" s="1955"/>
      <c r="AC86" s="1772"/>
      <c r="AD86" s="1958"/>
      <c r="AE86" s="1772"/>
      <c r="AF86" s="1961"/>
      <c r="AG86" s="1964"/>
      <c r="AH86" s="397"/>
      <c r="AI86" s="400"/>
      <c r="AJ86" s="662" t="s">
        <v>429</v>
      </c>
      <c r="AK86" s="662"/>
      <c r="AL86" s="662"/>
      <c r="AM86" s="662" t="s">
        <v>429</v>
      </c>
      <c r="AN86" s="662" t="s">
        <v>429</v>
      </c>
      <c r="AO86" s="400"/>
      <c r="AP86" s="397"/>
    </row>
    <row r="87" spans="1:42" ht="16.5" hidden="1" thickBot="1" x14ac:dyDescent="0.3">
      <c r="A87" s="1819"/>
      <c r="B87" s="547" t="s">
        <v>93</v>
      </c>
      <c r="C87" s="1046"/>
      <c r="D87" s="802" t="s">
        <v>1056</v>
      </c>
      <c r="E87" s="1967"/>
      <c r="F87" s="616">
        <f>'exchange rates'!$O$19</f>
        <v>0.83301000000000003</v>
      </c>
      <c r="G87" s="625">
        <f>41.94/F87</f>
        <v>50.347534843519284</v>
      </c>
      <c r="H87" s="593">
        <f>123/F87</f>
        <v>147.65729102891922</v>
      </c>
      <c r="I87" s="594">
        <v>0</v>
      </c>
      <c r="J87" s="595">
        <f>39.59/F87</f>
        <v>47.526440258820422</v>
      </c>
      <c r="K87" s="566">
        <f>Tabel66892127[[#This Row],[Fix.ch. 2017]]+Tabel66892127[[#This Row],[Var. ch. 2017]]+Tabel66892127[[#This Row],[Oth. ch. DW 2017]]+Tabel66892127[[#This Row],[VAT DW 2017]]</f>
        <v>245.53126613125895</v>
      </c>
      <c r="L87" s="596">
        <f>160/F87</f>
        <v>192.07452491566727</v>
      </c>
      <c r="M87" s="595">
        <f>38.4/F87</f>
        <v>46.097885979760143</v>
      </c>
      <c r="N87" s="626">
        <v>0</v>
      </c>
      <c r="O87" s="595">
        <v>0</v>
      </c>
      <c r="P87" s="597">
        <f>41.94/F87</f>
        <v>50.347534843519284</v>
      </c>
      <c r="Q87" s="595">
        <f>10.07/F87</f>
        <v>12.08869041187981</v>
      </c>
      <c r="R87" s="570">
        <f>Tabel66892127[[#This Row],[VAT DW 2017]]+Tabel66892127[[#This Row],[VAT Sew. 2017]]+Tabel66892127[[#This Row],[VAT WW 2017]]+Tabel66892127[[#This Row],[VAT Other ch. 2017]]</f>
        <v>105.71301665046037</v>
      </c>
      <c r="S87" s="571">
        <f>Tabel66892127[[#This Row],[Total. ch. DW 2017]]+Tabel66892127[[#This Row],[Sew. 2017]]+Tabel66892127[[#This Row],[VAT Sew. 2017]]+Tabel66892127[[#This Row],[WW 2017]]+Tabel66892127[[#This Row],[VAT WW 2017]]+Tabel66892127[[#This Row],[Other ch. 2017]]+Tabel66892127[[#This Row],[VAT Other ch. 2017]]</f>
        <v>546.13990228208547</v>
      </c>
      <c r="T87" s="397"/>
      <c r="U87" s="1969"/>
      <c r="V87" s="1972"/>
      <c r="W87" s="1975"/>
      <c r="X87" s="1772"/>
      <c r="Y87" s="1978"/>
      <c r="Z87" s="1981"/>
      <c r="AA87" s="1772"/>
      <c r="AB87" s="1955"/>
      <c r="AC87" s="1772"/>
      <c r="AD87" s="1958"/>
      <c r="AE87" s="1772"/>
      <c r="AF87" s="1961"/>
      <c r="AG87" s="1964"/>
      <c r="AH87" s="397"/>
      <c r="AI87" s="400"/>
      <c r="AJ87" s="662" t="s">
        <v>429</v>
      </c>
      <c r="AK87" s="662"/>
      <c r="AL87" s="662"/>
      <c r="AM87" s="662" t="s">
        <v>429</v>
      </c>
      <c r="AN87" s="662" t="s">
        <v>429</v>
      </c>
      <c r="AO87" s="400"/>
      <c r="AP87" s="397"/>
    </row>
    <row r="88" spans="1:42" ht="16.5" hidden="1" thickBot="1" x14ac:dyDescent="0.3">
      <c r="A88" s="1819"/>
      <c r="B88" s="547" t="s">
        <v>94</v>
      </c>
      <c r="C88" s="1046"/>
      <c r="D88" s="802" t="s">
        <v>1056</v>
      </c>
      <c r="E88" s="1967"/>
      <c r="F88" s="616">
        <f>'exchange rates'!$O$19</f>
        <v>0.83301000000000003</v>
      </c>
      <c r="G88" s="625">
        <f>80.65/F88</f>
        <v>96.817565215303546</v>
      </c>
      <c r="H88" s="593">
        <f>115/F88</f>
        <v>138.05356478313584</v>
      </c>
      <c r="I88" s="594">
        <v>0</v>
      </c>
      <c r="J88" s="595">
        <f>46.96/F88</f>
        <v>56.373873062748345</v>
      </c>
      <c r="K88" s="566">
        <f>Tabel66892127[[#This Row],[Fix.ch. 2017]]+Tabel66892127[[#This Row],[Var. ch. 2017]]+Tabel66892127[[#This Row],[Oth. ch. DW 2017]]+Tabel66892127[[#This Row],[VAT DW 2017]]</f>
        <v>291.24500306118773</v>
      </c>
      <c r="L88" s="596">
        <f>166/F88</f>
        <v>199.2773196000048</v>
      </c>
      <c r="M88" s="595">
        <f>39.84/F88</f>
        <v>47.826556704001156</v>
      </c>
      <c r="N88" s="626">
        <v>0</v>
      </c>
      <c r="O88" s="595">
        <v>0</v>
      </c>
      <c r="P88" s="597">
        <v>0</v>
      </c>
      <c r="Q88" s="595">
        <v>0</v>
      </c>
      <c r="R88" s="570">
        <f>Tabel66892127[[#This Row],[VAT DW 2017]]+Tabel66892127[[#This Row],[VAT Sew. 2017]]+Tabel66892127[[#This Row],[VAT WW 2017]]+Tabel66892127[[#This Row],[VAT Other ch. 2017]]</f>
        <v>104.20042976674949</v>
      </c>
      <c r="S88" s="571">
        <f>Tabel66892127[[#This Row],[Total. ch. DW 2017]]+Tabel66892127[[#This Row],[Sew. 2017]]+Tabel66892127[[#This Row],[VAT Sew. 2017]]+Tabel66892127[[#This Row],[WW 2017]]+Tabel66892127[[#This Row],[VAT WW 2017]]+Tabel66892127[[#This Row],[Other ch. 2017]]+Tabel66892127[[#This Row],[VAT Other ch. 2017]]</f>
        <v>538.34887936519374</v>
      </c>
      <c r="T88" s="397"/>
      <c r="U88" s="1969"/>
      <c r="V88" s="1972"/>
      <c r="W88" s="1975"/>
      <c r="X88" s="1772"/>
      <c r="Y88" s="1978"/>
      <c r="Z88" s="1981"/>
      <c r="AA88" s="1772"/>
      <c r="AB88" s="1955"/>
      <c r="AC88" s="1772"/>
      <c r="AD88" s="1958"/>
      <c r="AE88" s="1772"/>
      <c r="AF88" s="1961"/>
      <c r="AG88" s="1964"/>
      <c r="AH88" s="397"/>
      <c r="AI88" s="400"/>
      <c r="AJ88" s="662" t="s">
        <v>429</v>
      </c>
      <c r="AK88" s="662"/>
      <c r="AL88" s="662"/>
      <c r="AM88" s="662" t="s">
        <v>429</v>
      </c>
      <c r="AN88" s="662" t="s">
        <v>429</v>
      </c>
      <c r="AO88" s="400"/>
      <c r="AP88" s="397"/>
    </row>
    <row r="89" spans="1:42" ht="16.5" hidden="1" thickBot="1" x14ac:dyDescent="0.3">
      <c r="A89" s="1819"/>
      <c r="B89" s="547" t="s">
        <v>95</v>
      </c>
      <c r="C89" s="1046"/>
      <c r="D89" s="802" t="s">
        <v>1056</v>
      </c>
      <c r="E89" s="1967"/>
      <c r="F89" s="616">
        <f>'exchange rates'!$O$19</f>
        <v>0.83301000000000003</v>
      </c>
      <c r="G89" s="625">
        <f>108.06/F89</f>
        <v>129.72233226491878</v>
      </c>
      <c r="H89" s="593">
        <f>141.13/F89</f>
        <v>169.42173563342575</v>
      </c>
      <c r="I89" s="594">
        <v>0</v>
      </c>
      <c r="J89" s="595">
        <f>59.81/F89</f>
        <v>71.799858345037876</v>
      </c>
      <c r="K89" s="566">
        <f>Tabel66892127[[#This Row],[Fix.ch. 2017]]+Tabel66892127[[#This Row],[Var. ch. 2017]]+Tabel66892127[[#This Row],[Oth. ch. DW 2017]]+Tabel66892127[[#This Row],[VAT DW 2017]]</f>
        <v>370.94392624338241</v>
      </c>
      <c r="L89" s="596">
        <f>154.84/F89</f>
        <v>185.88012148713702</v>
      </c>
      <c r="M89" s="595">
        <f>37.16/F89</f>
        <v>44.609308411663719</v>
      </c>
      <c r="N89" s="626">
        <v>0</v>
      </c>
      <c r="O89" s="595">
        <v>0</v>
      </c>
      <c r="P89" s="597">
        <v>0</v>
      </c>
      <c r="Q89" s="595">
        <v>0</v>
      </c>
      <c r="R89" s="570">
        <f>Tabel66892127[[#This Row],[VAT DW 2017]]+Tabel66892127[[#This Row],[VAT Sew. 2017]]+Tabel66892127[[#This Row],[VAT WW 2017]]+Tabel66892127[[#This Row],[VAT Other ch. 2017]]</f>
        <v>116.40916675670159</v>
      </c>
      <c r="S89" s="571">
        <f>Tabel66892127[[#This Row],[Total. ch. DW 2017]]+Tabel66892127[[#This Row],[Sew. 2017]]+Tabel66892127[[#This Row],[VAT Sew. 2017]]+Tabel66892127[[#This Row],[WW 2017]]+Tabel66892127[[#This Row],[VAT WW 2017]]+Tabel66892127[[#This Row],[Other ch. 2017]]+Tabel66892127[[#This Row],[VAT Other ch. 2017]]</f>
        <v>601.43335614218313</v>
      </c>
      <c r="T89" s="397"/>
      <c r="U89" s="1969"/>
      <c r="V89" s="1972"/>
      <c r="W89" s="1975"/>
      <c r="X89" s="1772"/>
      <c r="Y89" s="1978"/>
      <c r="Z89" s="1981"/>
      <c r="AA89" s="1772"/>
      <c r="AB89" s="1955"/>
      <c r="AC89" s="1772"/>
      <c r="AD89" s="1958"/>
      <c r="AE89" s="1772"/>
      <c r="AF89" s="1961"/>
      <c r="AG89" s="1964"/>
      <c r="AH89" s="397"/>
      <c r="AI89" s="400"/>
      <c r="AJ89" s="662" t="s">
        <v>429</v>
      </c>
      <c r="AK89" s="662"/>
      <c r="AL89" s="662"/>
      <c r="AM89" s="662" t="s">
        <v>429</v>
      </c>
      <c r="AN89" s="662" t="s">
        <v>429</v>
      </c>
      <c r="AO89" s="400"/>
      <c r="AP89" s="397"/>
    </row>
    <row r="90" spans="1:42" ht="16.5" hidden="1" thickBot="1" x14ac:dyDescent="0.3">
      <c r="A90" s="1820"/>
      <c r="B90" s="613" t="s">
        <v>195</v>
      </c>
      <c r="C90" s="1046"/>
      <c r="D90" s="807" t="s">
        <v>1056</v>
      </c>
      <c r="E90" s="1923"/>
      <c r="F90" s="616">
        <f>'exchange rates'!$O$19</f>
        <v>0.83301000000000003</v>
      </c>
      <c r="G90" s="625">
        <f>39.52/F90</f>
        <v>47.44240765416982</v>
      </c>
      <c r="H90" s="593">
        <f>113/F90</f>
        <v>135.65263322169002</v>
      </c>
      <c r="I90" s="594">
        <v>0</v>
      </c>
      <c r="J90" s="595">
        <f>36.6/F90</f>
        <v>43.937047574458887</v>
      </c>
      <c r="K90" s="566">
        <f>Tabel66892127[[#This Row],[Fix.ch. 2017]]+Tabel66892127[[#This Row],[Var. ch. 2017]]+Tabel66892127[[#This Row],[Oth. ch. DW 2017]]+Tabel66892127[[#This Row],[VAT DW 2017]]</f>
        <v>227.03208845031872</v>
      </c>
      <c r="L90" s="596">
        <f>139/F90</f>
        <v>166.86474352048594</v>
      </c>
      <c r="M90" s="595">
        <f>33.36/F90</f>
        <v>40.047538444916626</v>
      </c>
      <c r="N90" s="626">
        <v>0</v>
      </c>
      <c r="O90" s="595">
        <v>0</v>
      </c>
      <c r="P90" s="597">
        <f>39.52/F90</f>
        <v>47.44240765416982</v>
      </c>
      <c r="Q90" s="595">
        <f>9.48/F90</f>
        <v>11.380415601253286</v>
      </c>
      <c r="R90" s="570">
        <f>Tabel66892127[[#This Row],[VAT DW 2017]]+Tabel66892127[[#This Row],[VAT Sew. 2017]]+Tabel66892127[[#This Row],[VAT WW 2017]]+Tabel66892127[[#This Row],[VAT Other ch. 2017]]</f>
        <v>95.365001620628803</v>
      </c>
      <c r="S90" s="571">
        <f>Tabel66892127[[#This Row],[Total. ch. DW 2017]]+Tabel66892127[[#This Row],[Sew. 2017]]+Tabel66892127[[#This Row],[VAT Sew. 2017]]+Tabel66892127[[#This Row],[WW 2017]]+Tabel66892127[[#This Row],[VAT WW 2017]]+Tabel66892127[[#This Row],[Other ch. 2017]]+Tabel66892127[[#This Row],[VAT Other ch. 2017]]</f>
        <v>492.76719367114441</v>
      </c>
      <c r="T90" s="397"/>
      <c r="U90" s="1970"/>
      <c r="V90" s="1973"/>
      <c r="W90" s="1976"/>
      <c r="X90" s="1773"/>
      <c r="Y90" s="1979"/>
      <c r="Z90" s="1982"/>
      <c r="AA90" s="1773"/>
      <c r="AB90" s="1956"/>
      <c r="AC90" s="1773"/>
      <c r="AD90" s="1959"/>
      <c r="AE90" s="1773"/>
      <c r="AF90" s="1962"/>
      <c r="AG90" s="1965"/>
      <c r="AH90" s="397"/>
      <c r="AI90" s="400"/>
      <c r="AJ90" s="662" t="s">
        <v>429</v>
      </c>
      <c r="AK90" s="662"/>
      <c r="AL90" s="662"/>
      <c r="AM90" s="662" t="s">
        <v>429</v>
      </c>
      <c r="AN90" s="662" t="s">
        <v>429</v>
      </c>
      <c r="AO90" s="400"/>
      <c r="AP90" s="397"/>
    </row>
    <row r="91" spans="1:42" ht="15.75" hidden="1" customHeight="1" x14ac:dyDescent="0.3">
      <c r="A91" s="1878" t="s">
        <v>13</v>
      </c>
      <c r="B91" s="546" t="s">
        <v>97</v>
      </c>
      <c r="C91" s="1046"/>
      <c r="D91" s="802" t="s">
        <v>1058</v>
      </c>
      <c r="E91" s="1983">
        <v>43600</v>
      </c>
      <c r="F91" s="616">
        <f>'exchange rates'!$O$20</f>
        <v>0.83301000000000003</v>
      </c>
      <c r="G91" s="625">
        <f>55.32/F91</f>
        <v>66.409766989591958</v>
      </c>
      <c r="H91" s="593">
        <f>(1.08*100)/F91</f>
        <v>129.6503043180754</v>
      </c>
      <c r="I91" s="594">
        <f>(0.39*100)/F91</f>
        <v>46.818165448193895</v>
      </c>
      <c r="J91" s="595">
        <f>11.09/F91</f>
        <v>13.313165508217187</v>
      </c>
      <c r="K91" s="566">
        <f>Tabel66892127[[#This Row],[Fix.ch. 2017]]+Tabel66892127[[#This Row],[Var. ch. 2017]]+Tabel66892127[[#This Row],[Oth. ch. DW 2017]]+Tabel66892127[[#This Row],[VAT DW 2017]]</f>
        <v>256.19140226407842</v>
      </c>
      <c r="L91" s="596">
        <f>(1.1*100)/F91</f>
        <v>132.05123587952127</v>
      </c>
      <c r="M91" s="595">
        <f>13.36/F91</f>
        <v>16.038222830458217</v>
      </c>
      <c r="N91" s="626">
        <f>(0*100)/F91</f>
        <v>0</v>
      </c>
      <c r="O91" s="595">
        <v>0</v>
      </c>
      <c r="P91" s="597">
        <f>(0.24*100)/F91</f>
        <v>28.81117873735009</v>
      </c>
      <c r="Q91" s="595">
        <v>0</v>
      </c>
      <c r="R91" s="570">
        <f>Tabel66892127[[#This Row],[VAT DW 2017]]+Tabel66892127[[#This Row],[VAT Sew. 2017]]+Tabel66892127[[#This Row],[VAT WW 2017]]+Tabel66892127[[#This Row],[VAT Other ch. 2017]]</f>
        <v>29.351388338675406</v>
      </c>
      <c r="S91" s="571">
        <f>Tabel66892127[[#This Row],[Total. ch. DW 2017]]+Tabel66892127[[#This Row],[Sew. 2017]]+Tabel66892127[[#This Row],[VAT Sew. 2017]]+Tabel66892127[[#This Row],[WW 2017]]+Tabel66892127[[#This Row],[VAT WW 2017]]+Tabel66892127[[#This Row],[Other ch. 2017]]+Tabel66892127[[#This Row],[VAT Other ch. 2017]]</f>
        <v>433.09203971140801</v>
      </c>
      <c r="T91" s="397"/>
      <c r="U91" s="1984">
        <f>MEDIAN(G91:G101)</f>
        <v>32.040431687494745</v>
      </c>
      <c r="V91" s="1985">
        <f>MEDIAN(H91:H101)</f>
        <v>136.8530990024129</v>
      </c>
      <c r="W91" s="1986">
        <f>MEDIAN(I91:I101)</f>
        <v>49.219097009639739</v>
      </c>
      <c r="X91" s="1938">
        <f>MEDIAN(J91:J101)</f>
        <v>12.604890697590665</v>
      </c>
      <c r="Y91" s="1987">
        <f>SUM(U91:X101)</f>
        <v>230.71751839713806</v>
      </c>
      <c r="Z91" s="2031">
        <f t="shared" ref="Z91:AF91" si="15">MEDIAN(L91:L101)</f>
        <v>139.25403056385875</v>
      </c>
      <c r="AA91" s="1938">
        <f t="shared" si="15"/>
        <v>16.038222830458217</v>
      </c>
      <c r="AB91" s="2032">
        <f t="shared" si="15"/>
        <v>0</v>
      </c>
      <c r="AC91" s="1938">
        <f t="shared" si="15"/>
        <v>0</v>
      </c>
      <c r="AD91" s="2028">
        <f t="shared" si="15"/>
        <v>31.932389767229687</v>
      </c>
      <c r="AE91" s="1938">
        <f t="shared" si="15"/>
        <v>0</v>
      </c>
      <c r="AF91" s="1988">
        <f t="shared" si="15"/>
        <v>29.795560677542888</v>
      </c>
      <c r="AG91" s="1989">
        <f>Y91+Z91+AA91+AB91+AC91+AD91+AE91</f>
        <v>417.94216155868469</v>
      </c>
      <c r="AH91" s="397"/>
      <c r="AI91" s="614"/>
      <c r="AJ91" s="591"/>
      <c r="AK91" s="591"/>
      <c r="AL91" s="591" t="s">
        <v>429</v>
      </c>
      <c r="AM91" s="591" t="s">
        <v>429</v>
      </c>
      <c r="AN91" s="591"/>
      <c r="AO91" s="614"/>
    </row>
    <row r="92" spans="1:42" ht="15.75" hidden="1" customHeight="1" x14ac:dyDescent="0.3">
      <c r="A92" s="1757"/>
      <c r="B92" s="547" t="s">
        <v>98</v>
      </c>
      <c r="C92" s="1046"/>
      <c r="D92" s="802" t="s">
        <v>1058</v>
      </c>
      <c r="E92" s="1880"/>
      <c r="F92" s="616">
        <f>'exchange rates'!$O$20</f>
        <v>0.83301000000000003</v>
      </c>
      <c r="G92" s="625">
        <f>22.64/F92</f>
        <v>27.178545275566918</v>
      </c>
      <c r="H92" s="593">
        <f>(1.18*100)/F92</f>
        <v>141.65496212530462</v>
      </c>
      <c r="I92" s="594">
        <f>(0.5*100)/F92</f>
        <v>60.023289036146025</v>
      </c>
      <c r="J92" s="595">
        <f>10.5/F92</f>
        <v>12.604890697590665</v>
      </c>
      <c r="K92" s="566">
        <f>Tabel66892127[[#This Row],[Fix.ch. 2017]]+Tabel66892127[[#This Row],[Var. ch. 2017]]+Tabel66892127[[#This Row],[Oth. ch. DW 2017]]+Tabel66892127[[#This Row],[VAT DW 2017]]</f>
        <v>241.46168713460824</v>
      </c>
      <c r="L92" s="596">
        <f>(1.6*100)/F92</f>
        <v>192.07452491566727</v>
      </c>
      <c r="M92" s="595">
        <v>0</v>
      </c>
      <c r="N92" s="626">
        <f>(1.24*100)/F92</f>
        <v>148.85775680964213</v>
      </c>
      <c r="O92" s="595">
        <f>31.38/F92</f>
        <v>37.670616199085245</v>
      </c>
      <c r="P92" s="597">
        <f>(0.3*100)/F92</f>
        <v>36.013973421687616</v>
      </c>
      <c r="Q92" s="595">
        <v>0</v>
      </c>
      <c r="R92" s="570">
        <f>Tabel66892127[[#This Row],[VAT DW 2017]]+Tabel66892127[[#This Row],[VAT Sew. 2017]]+Tabel66892127[[#This Row],[VAT WW 2017]]+Tabel66892127[[#This Row],[VAT Other ch. 2017]]</f>
        <v>50.275506896675907</v>
      </c>
      <c r="S92" s="571">
        <f>Tabel66892127[[#This Row],[Total. ch. DW 2017]]+Tabel66892127[[#This Row],[Sew. 2017]]+Tabel66892127[[#This Row],[VAT Sew. 2017]]+Tabel66892127[[#This Row],[WW 2017]]+Tabel66892127[[#This Row],[VAT WW 2017]]+Tabel66892127[[#This Row],[Other ch. 2017]]+Tabel66892127[[#This Row],[VAT Other ch. 2017]]</f>
        <v>656.07855848069039</v>
      </c>
      <c r="T92" s="397"/>
      <c r="U92" s="1763"/>
      <c r="V92" s="1766"/>
      <c r="W92" s="1769"/>
      <c r="X92" s="1772"/>
      <c r="Y92" s="1775"/>
      <c r="Z92" s="1778"/>
      <c r="AA92" s="1772"/>
      <c r="AB92" s="1781"/>
      <c r="AC92" s="1772"/>
      <c r="AD92" s="1785"/>
      <c r="AE92" s="1772"/>
      <c r="AF92" s="1788"/>
      <c r="AG92" s="1990"/>
      <c r="AH92" s="397"/>
      <c r="AI92" s="614"/>
      <c r="AJ92" s="591" t="s">
        <v>429</v>
      </c>
      <c r="AK92" s="591" t="s">
        <v>429</v>
      </c>
      <c r="AL92" s="591"/>
      <c r="AM92" s="591" t="s">
        <v>429</v>
      </c>
      <c r="AN92" s="591"/>
      <c r="AO92" s="614"/>
    </row>
    <row r="93" spans="1:42" ht="15.75" hidden="1" customHeight="1" x14ac:dyDescent="0.3">
      <c r="A93" s="1757"/>
      <c r="B93" s="547" t="s">
        <v>99</v>
      </c>
      <c r="C93" s="1046"/>
      <c r="D93" s="802" t="s">
        <v>1058</v>
      </c>
      <c r="E93" s="1880"/>
      <c r="F93" s="616">
        <f>'exchange rates'!$O$20</f>
        <v>0.83301000000000003</v>
      </c>
      <c r="G93" s="625">
        <f>37.32/F93</f>
        <v>44.801382936579394</v>
      </c>
      <c r="H93" s="593">
        <f>(1.14*100)/F93</f>
        <v>136.8530990024129</v>
      </c>
      <c r="I93" s="594">
        <f>(0.46*100)/F93</f>
        <v>55.221425913254343</v>
      </c>
      <c r="J93" s="595">
        <f>10.84/F93</f>
        <v>13.013049063036458</v>
      </c>
      <c r="K93" s="566">
        <f>Tabel66892127[[#This Row],[Fix.ch. 2017]]+Tabel66892127[[#This Row],[Var. ch. 2017]]+Tabel66892127[[#This Row],[Oth. ch. DW 2017]]+Tabel66892127[[#This Row],[VAT DW 2017]]</f>
        <v>249.88895691528307</v>
      </c>
      <c r="L93" s="596">
        <f>(1.46*100)/F93</f>
        <v>175.26800398554639</v>
      </c>
      <c r="M93" s="595">
        <f>17.29/F93</f>
        <v>20.756053348699293</v>
      </c>
      <c r="N93" s="626">
        <f>(0*100)/F93</f>
        <v>0</v>
      </c>
      <c r="O93" s="595">
        <v>0</v>
      </c>
      <c r="P93" s="597">
        <f>(0.266*100)/F93</f>
        <v>31.932389767229687</v>
      </c>
      <c r="Q93" s="595">
        <v>0</v>
      </c>
      <c r="R93" s="570">
        <f>Tabel66892127[[#This Row],[VAT DW 2017]]+Tabel66892127[[#This Row],[VAT Sew. 2017]]+Tabel66892127[[#This Row],[VAT WW 2017]]+Tabel66892127[[#This Row],[VAT Other ch. 2017]]</f>
        <v>33.769102411735751</v>
      </c>
      <c r="S93" s="571">
        <f>Tabel66892127[[#This Row],[Total. ch. DW 2017]]+Tabel66892127[[#This Row],[Sew. 2017]]+Tabel66892127[[#This Row],[VAT Sew. 2017]]+Tabel66892127[[#This Row],[WW 2017]]+Tabel66892127[[#This Row],[VAT WW 2017]]+Tabel66892127[[#This Row],[Other ch. 2017]]+Tabel66892127[[#This Row],[VAT Other ch. 2017]]</f>
        <v>477.84540401675844</v>
      </c>
      <c r="T93" s="397"/>
      <c r="U93" s="1763"/>
      <c r="V93" s="1766"/>
      <c r="W93" s="1769"/>
      <c r="X93" s="1772"/>
      <c r="Y93" s="1775"/>
      <c r="Z93" s="1778"/>
      <c r="AA93" s="1772"/>
      <c r="AB93" s="1781"/>
      <c r="AC93" s="1772"/>
      <c r="AD93" s="1785"/>
      <c r="AE93" s="1772"/>
      <c r="AF93" s="1788"/>
      <c r="AG93" s="1990"/>
      <c r="AH93" s="397"/>
      <c r="AI93" s="614"/>
      <c r="AJ93" s="591" t="s">
        <v>429</v>
      </c>
      <c r="AK93" s="591" t="s">
        <v>429</v>
      </c>
      <c r="AL93" s="591"/>
      <c r="AM93" s="591" t="s">
        <v>429</v>
      </c>
      <c r="AN93" s="591"/>
      <c r="AO93" s="614"/>
    </row>
    <row r="94" spans="1:42" ht="15.75" hidden="1" customHeight="1" x14ac:dyDescent="0.3">
      <c r="A94" s="1757"/>
      <c r="B94" s="547" t="s">
        <v>100</v>
      </c>
      <c r="C94" s="1046"/>
      <c r="D94" s="802" t="s">
        <v>1058</v>
      </c>
      <c r="E94" s="1880"/>
      <c r="F94" s="616">
        <f>'exchange rates'!$O$20</f>
        <v>0.83301000000000003</v>
      </c>
      <c r="G94" s="625">
        <f>41.19/F94</f>
        <v>49.447185507977089</v>
      </c>
      <c r="H94" s="593">
        <f>(1.03*100)/F94</f>
        <v>123.6479754144608</v>
      </c>
      <c r="I94" s="594">
        <f>(0.35*100)/F94</f>
        <v>42.016302325302213</v>
      </c>
      <c r="J94" s="595">
        <f>9.83/F94</f>
        <v>11.800578624506308</v>
      </c>
      <c r="K94" s="566">
        <f>Tabel66892127[[#This Row],[Fix.ch. 2017]]+Tabel66892127[[#This Row],[Var. ch. 2017]]+Tabel66892127[[#This Row],[Oth. ch. DW 2017]]+Tabel66892127[[#This Row],[VAT DW 2017]]</f>
        <v>226.91204187224639</v>
      </c>
      <c r="L94" s="596">
        <f>(0.98*100)/F94</f>
        <v>117.64564651084621</v>
      </c>
      <c r="M94" s="595">
        <f>12.2/F94</f>
        <v>14.645682524819629</v>
      </c>
      <c r="N94" s="626">
        <v>0</v>
      </c>
      <c r="O94" s="595">
        <v>0</v>
      </c>
      <c r="P94" s="597">
        <f>(0.24131*100)/F94</f>
        <v>28.968439754624793</v>
      </c>
      <c r="Q94" s="595">
        <v>0</v>
      </c>
      <c r="R94" s="570">
        <f>Tabel66892127[[#This Row],[VAT DW 2017]]+Tabel66892127[[#This Row],[VAT Sew. 2017]]+Tabel66892127[[#This Row],[VAT WW 2017]]+Tabel66892127[[#This Row],[VAT Other ch. 2017]]</f>
        <v>26.446261149325935</v>
      </c>
      <c r="S94" s="571">
        <f>Tabel66892127[[#This Row],[Total. ch. DW 2017]]+Tabel66892127[[#This Row],[Sew. 2017]]+Tabel66892127[[#This Row],[VAT Sew. 2017]]+Tabel66892127[[#This Row],[WW 2017]]+Tabel66892127[[#This Row],[VAT WW 2017]]+Tabel66892127[[#This Row],[Other ch. 2017]]+Tabel66892127[[#This Row],[VAT Other ch. 2017]]</f>
        <v>388.17181066253698</v>
      </c>
      <c r="T94" s="397"/>
      <c r="U94" s="1763"/>
      <c r="V94" s="1766"/>
      <c r="W94" s="1769"/>
      <c r="X94" s="1772"/>
      <c r="Y94" s="1775"/>
      <c r="Z94" s="1778"/>
      <c r="AA94" s="1772"/>
      <c r="AB94" s="1781"/>
      <c r="AC94" s="1772"/>
      <c r="AD94" s="1785"/>
      <c r="AE94" s="1772"/>
      <c r="AF94" s="1788"/>
      <c r="AG94" s="1990"/>
      <c r="AH94" s="397"/>
      <c r="AI94" s="614"/>
      <c r="AJ94" s="591" t="s">
        <v>429</v>
      </c>
      <c r="AK94" s="591"/>
      <c r="AL94" s="591"/>
      <c r="AM94" s="591" t="s">
        <v>429</v>
      </c>
      <c r="AN94" s="591"/>
      <c r="AO94" s="614"/>
    </row>
    <row r="95" spans="1:42" ht="15.75" hidden="1" customHeight="1" x14ac:dyDescent="0.3">
      <c r="A95" s="1757"/>
      <c r="B95" s="547" t="s">
        <v>101</v>
      </c>
      <c r="C95" s="1046" t="s">
        <v>429</v>
      </c>
      <c r="D95" s="802" t="s">
        <v>1058</v>
      </c>
      <c r="E95" s="1880"/>
      <c r="F95" s="616">
        <f>'exchange rates'!$O$20</f>
        <v>0.83301000000000003</v>
      </c>
      <c r="G95" s="625">
        <f>20.61/F95</f>
        <v>24.741599740699389</v>
      </c>
      <c r="H95" s="593">
        <f>(1.02*100)/F95</f>
        <v>122.44750963373788</v>
      </c>
      <c r="I95" s="594">
        <f>(0.48*100)/F95</f>
        <v>57.622357474700181</v>
      </c>
      <c r="J95" s="595">
        <f>9.42/F95</f>
        <v>11.308387654409911</v>
      </c>
      <c r="K95" s="566">
        <f>Tabel66892127[[#This Row],[Fix.ch. 2017]]+Tabel66892127[[#This Row],[Var. ch. 2017]]+Tabel66892127[[#This Row],[Oth. ch. DW 2017]]+Tabel66892127[[#This Row],[VAT DW 2017]]</f>
        <v>216.11985450354734</v>
      </c>
      <c r="L95" s="596">
        <f>(0.31*100)/F95</f>
        <v>37.214439202410531</v>
      </c>
      <c r="M95" s="595">
        <v>0</v>
      </c>
      <c r="N95" s="626">
        <f>(1.04*100)/F95</f>
        <v>124.84844119518372</v>
      </c>
      <c r="O95" s="595">
        <f>16.53/F95</f>
        <v>19.843699355349877</v>
      </c>
      <c r="P95" s="597">
        <f>(0.3*100)/F95</f>
        <v>36.013973421687616</v>
      </c>
      <c r="Q95" s="595">
        <v>0</v>
      </c>
      <c r="R95" s="570">
        <f>Tabel66892127[[#This Row],[VAT DW 2017]]+Tabel66892127[[#This Row],[VAT Sew. 2017]]+Tabel66892127[[#This Row],[VAT WW 2017]]+Tabel66892127[[#This Row],[VAT Other ch. 2017]]</f>
        <v>31.152087009759789</v>
      </c>
      <c r="S95" s="571">
        <f>Tabel66892127[[#This Row],[Total. ch. DW 2017]]+Tabel66892127[[#This Row],[Sew. 2017]]+Tabel66892127[[#This Row],[VAT Sew. 2017]]+Tabel66892127[[#This Row],[WW 2017]]+Tabel66892127[[#This Row],[VAT WW 2017]]+Tabel66892127[[#This Row],[Other ch. 2017]]+Tabel66892127[[#This Row],[VAT Other ch. 2017]]</f>
        <v>434.04040767817912</v>
      </c>
      <c r="T95" s="397"/>
      <c r="U95" s="1763"/>
      <c r="V95" s="1766"/>
      <c r="W95" s="1769"/>
      <c r="X95" s="1772"/>
      <c r="Y95" s="1775"/>
      <c r="Z95" s="1778"/>
      <c r="AA95" s="1772"/>
      <c r="AB95" s="1781"/>
      <c r="AC95" s="1772"/>
      <c r="AD95" s="1785"/>
      <c r="AE95" s="1772"/>
      <c r="AF95" s="1788"/>
      <c r="AG95" s="1990"/>
      <c r="AH95" s="397"/>
      <c r="AI95" s="614"/>
      <c r="AJ95" s="591" t="s">
        <v>429</v>
      </c>
      <c r="AK95" s="591"/>
      <c r="AL95" s="591"/>
      <c r="AM95" s="591" t="s">
        <v>429</v>
      </c>
      <c r="AN95" s="591"/>
      <c r="AO95" s="614"/>
    </row>
    <row r="96" spans="1:42" ht="15.75" hidden="1" customHeight="1" x14ac:dyDescent="0.3">
      <c r="A96" s="1757"/>
      <c r="B96" s="547" t="s">
        <v>630</v>
      </c>
      <c r="C96" s="1046"/>
      <c r="D96" s="802" t="s">
        <v>1058</v>
      </c>
      <c r="E96" s="1880"/>
      <c r="F96" s="616">
        <f>'exchange rates'!$O$20</f>
        <v>0.83301000000000003</v>
      </c>
      <c r="G96" s="625">
        <f>26.69/F96</f>
        <v>32.040431687494745</v>
      </c>
      <c r="H96" s="593">
        <f>(1*100)/F96</f>
        <v>120.04657807229205</v>
      </c>
      <c r="I96" s="594">
        <f>(0.35*100)/F96</f>
        <v>42.016302325302213</v>
      </c>
      <c r="J96" s="595">
        <f>8.89/F96</f>
        <v>10.672140790626763</v>
      </c>
      <c r="K96" s="566">
        <f>Tabel66892127[[#This Row],[Fix.ch. 2017]]+Tabel66892127[[#This Row],[Var. ch. 2017]]+Tabel66892127[[#This Row],[Oth. ch. DW 2017]]+Tabel66892127[[#This Row],[VAT DW 2017]]</f>
        <v>204.77545287571576</v>
      </c>
      <c r="L96" s="596">
        <f>(0.5*100)/F96</f>
        <v>60.023289036146025</v>
      </c>
      <c r="M96" s="595">
        <v>0</v>
      </c>
      <c r="N96" s="626">
        <f>(0.47*100)/F96</f>
        <v>56.421891693977258</v>
      </c>
      <c r="O96" s="595">
        <f>13.18/F96</f>
        <v>15.82213898992809</v>
      </c>
      <c r="P96" s="597">
        <f>(0.35*100)/F96</f>
        <v>42.016302325302213</v>
      </c>
      <c r="Q96" s="595">
        <v>0</v>
      </c>
      <c r="R96" s="570">
        <f>Tabel66892127[[#This Row],[VAT DW 2017]]+Tabel66892127[[#This Row],[VAT Sew. 2017]]+Tabel66892127[[#This Row],[VAT WW 2017]]+Tabel66892127[[#This Row],[VAT Other ch. 2017]]</f>
        <v>26.494279780554855</v>
      </c>
      <c r="S96" s="571">
        <f>Tabel66892127[[#This Row],[Total. ch. DW 2017]]+Tabel66892127[[#This Row],[Sew. 2017]]+Tabel66892127[[#This Row],[VAT Sew. 2017]]+Tabel66892127[[#This Row],[WW 2017]]+Tabel66892127[[#This Row],[VAT WW 2017]]+Tabel66892127[[#This Row],[Other ch. 2017]]+Tabel66892127[[#This Row],[VAT Other ch. 2017]]</f>
        <v>379.05907492106934</v>
      </c>
      <c r="T96" s="397"/>
      <c r="U96" s="1763"/>
      <c r="V96" s="1766"/>
      <c r="W96" s="1769"/>
      <c r="X96" s="1772"/>
      <c r="Y96" s="1775"/>
      <c r="Z96" s="1778"/>
      <c r="AA96" s="1772"/>
      <c r="AB96" s="1781"/>
      <c r="AC96" s="1772"/>
      <c r="AD96" s="1785"/>
      <c r="AE96" s="1772"/>
      <c r="AF96" s="1788"/>
      <c r="AG96" s="1990"/>
      <c r="AH96" s="397"/>
      <c r="AI96" s="614"/>
      <c r="AJ96" s="591" t="s">
        <v>429</v>
      </c>
      <c r="AK96" s="591"/>
      <c r="AL96" s="591"/>
      <c r="AM96" s="591" t="s">
        <v>429</v>
      </c>
      <c r="AN96" s="591"/>
      <c r="AO96" s="614"/>
    </row>
    <row r="97" spans="1:42" ht="15.75" hidden="1" customHeight="1" x14ac:dyDescent="0.3">
      <c r="A97" s="1757"/>
      <c r="B97" s="547" t="s">
        <v>631</v>
      </c>
      <c r="C97" s="1046"/>
      <c r="D97" s="802" t="s">
        <v>1058</v>
      </c>
      <c r="E97" s="1880"/>
      <c r="F97" s="616">
        <f>'exchange rates'!$O$20</f>
        <v>0.83301000000000003</v>
      </c>
      <c r="G97" s="625">
        <f>10.95/F97</f>
        <v>13.145100298915978</v>
      </c>
      <c r="H97" s="593">
        <f>(0.93*100)/F97</f>
        <v>111.64331760723161</v>
      </c>
      <c r="I97" s="594">
        <f>(0.44*100)/F97</f>
        <v>52.820494351808499</v>
      </c>
      <c r="J97" s="595">
        <f>8.13/F97</f>
        <v>9.7597867972773447</v>
      </c>
      <c r="K97" s="566">
        <f>Tabel66892127[[#This Row],[Fix.ch. 2017]]+Tabel66892127[[#This Row],[Var. ch. 2017]]+Tabel66892127[[#This Row],[Oth. ch. DW 2017]]+Tabel66892127[[#This Row],[VAT DW 2017]]</f>
        <v>187.36869905523344</v>
      </c>
      <c r="L97" s="596">
        <f>(1.16*100)/F97</f>
        <v>139.25403056385875</v>
      </c>
      <c r="M97" s="595">
        <f>14.6/F97</f>
        <v>17.526800398554638</v>
      </c>
      <c r="N97" s="626">
        <f>(0*100)/F97</f>
        <v>0</v>
      </c>
      <c r="O97" s="595">
        <v>0</v>
      </c>
      <c r="P97" s="597">
        <f>(0.3*100)/F97</f>
        <v>36.013973421687616</v>
      </c>
      <c r="Q97" s="595">
        <v>0</v>
      </c>
      <c r="R97" s="570">
        <f>Tabel66892127[[#This Row],[VAT DW 2017]]+Tabel66892127[[#This Row],[VAT Sew. 2017]]+Tabel66892127[[#This Row],[VAT WW 2017]]+Tabel66892127[[#This Row],[VAT Other ch. 2017]]</f>
        <v>27.286587195831984</v>
      </c>
      <c r="S97" s="571">
        <f>Tabel66892127[[#This Row],[Total. ch. DW 2017]]+Tabel66892127[[#This Row],[Sew. 2017]]+Tabel66892127[[#This Row],[VAT Sew. 2017]]+Tabel66892127[[#This Row],[WW 2017]]+Tabel66892127[[#This Row],[VAT WW 2017]]+Tabel66892127[[#This Row],[Other ch. 2017]]+Tabel66892127[[#This Row],[VAT Other ch. 2017]]</f>
        <v>380.16350343933448</v>
      </c>
      <c r="T97" s="397"/>
      <c r="U97" s="1763"/>
      <c r="V97" s="1766"/>
      <c r="W97" s="1769"/>
      <c r="X97" s="1772"/>
      <c r="Y97" s="1775"/>
      <c r="Z97" s="1778"/>
      <c r="AA97" s="1772"/>
      <c r="AB97" s="1781"/>
      <c r="AC97" s="1772"/>
      <c r="AD97" s="1785"/>
      <c r="AE97" s="1772"/>
      <c r="AF97" s="1788"/>
      <c r="AG97" s="1990"/>
      <c r="AH97" s="397"/>
      <c r="AI97" s="614"/>
      <c r="AJ97" s="591" t="s">
        <v>429</v>
      </c>
      <c r="AK97" s="591"/>
      <c r="AL97" s="591"/>
      <c r="AM97" s="591"/>
      <c r="AN97" s="591"/>
      <c r="AO97" s="614"/>
    </row>
    <row r="98" spans="1:42" ht="15.75" hidden="1" customHeight="1" x14ac:dyDescent="0.3">
      <c r="A98" s="1757"/>
      <c r="B98" s="547" t="s">
        <v>632</v>
      </c>
      <c r="C98" s="1046"/>
      <c r="D98" s="802" t="s">
        <v>1058</v>
      </c>
      <c r="E98" s="1880"/>
      <c r="F98" s="616">
        <f>'exchange rates'!$O$20</f>
        <v>0.83301000000000003</v>
      </c>
      <c r="G98" s="625">
        <f>40.94/F98</f>
        <v>49.147069062796362</v>
      </c>
      <c r="H98" s="593">
        <f>(1.43*100)/F98</f>
        <v>171.66660664337763</v>
      </c>
      <c r="I98" s="594">
        <f>(0.41*100)/F98</f>
        <v>49.219097009639739</v>
      </c>
      <c r="J98" s="595">
        <f>12.39/F98</f>
        <v>14.873771023156985</v>
      </c>
      <c r="K98" s="566">
        <f>Tabel66892127[[#This Row],[Fix.ch. 2017]]+Tabel66892127[[#This Row],[Var. ch. 2017]]+Tabel66892127[[#This Row],[Oth. ch. DW 2017]]+Tabel66892127[[#This Row],[VAT DW 2017]]</f>
        <v>284.9065437389707</v>
      </c>
      <c r="L98" s="596">
        <f>(0.91*100)/F98</f>
        <v>109.24238604578576</v>
      </c>
      <c r="M98" s="595">
        <f>11.23/F98</f>
        <v>13.481230717518397</v>
      </c>
      <c r="N98" s="626">
        <v>0</v>
      </c>
      <c r="O98" s="595">
        <v>0</v>
      </c>
      <c r="P98" s="597">
        <f>(0.2097*100)/F98</f>
        <v>25.173767421759642</v>
      </c>
      <c r="Q98" s="595">
        <v>0</v>
      </c>
      <c r="R98" s="570">
        <f>Tabel66892127[[#This Row],[VAT DW 2017]]+Tabel66892127[[#This Row],[VAT Sew. 2017]]+Tabel66892127[[#This Row],[VAT WW 2017]]+Tabel66892127[[#This Row],[VAT Other ch. 2017]]</f>
        <v>28.355001740675384</v>
      </c>
      <c r="S98" s="571">
        <f>Tabel66892127[[#This Row],[Total. ch. DW 2017]]+Tabel66892127[[#This Row],[Sew. 2017]]+Tabel66892127[[#This Row],[VAT Sew. 2017]]+Tabel66892127[[#This Row],[WW 2017]]+Tabel66892127[[#This Row],[VAT WW 2017]]+Tabel66892127[[#This Row],[Other ch. 2017]]+Tabel66892127[[#This Row],[VAT Other ch. 2017]]</f>
        <v>432.80392792403444</v>
      </c>
      <c r="T98" s="397"/>
      <c r="U98" s="1763"/>
      <c r="V98" s="1766"/>
      <c r="W98" s="1769"/>
      <c r="X98" s="1772"/>
      <c r="Y98" s="1775"/>
      <c r="Z98" s="1778"/>
      <c r="AA98" s="1772"/>
      <c r="AB98" s="1781"/>
      <c r="AC98" s="1772"/>
      <c r="AD98" s="1785"/>
      <c r="AE98" s="1772"/>
      <c r="AF98" s="1788"/>
      <c r="AG98" s="1990"/>
      <c r="AH98" s="397"/>
      <c r="AI98" s="614"/>
      <c r="AJ98" s="591" t="s">
        <v>429</v>
      </c>
      <c r="AK98" s="591"/>
      <c r="AL98" s="591"/>
      <c r="AM98" s="591" t="s">
        <v>429</v>
      </c>
      <c r="AN98" s="591"/>
      <c r="AO98" s="614"/>
    </row>
    <row r="99" spans="1:42" ht="15.75" hidden="1" customHeight="1" x14ac:dyDescent="0.3">
      <c r="A99" s="1757"/>
      <c r="B99" s="547" t="s">
        <v>633</v>
      </c>
      <c r="C99" s="1046"/>
      <c r="D99" s="802" t="s">
        <v>1058</v>
      </c>
      <c r="E99" s="1880"/>
      <c r="F99" s="616">
        <f>'exchange rates'!$O$20</f>
        <v>0.83301000000000003</v>
      </c>
      <c r="G99" s="625">
        <f>30.37/F99</f>
        <v>36.458145760555098</v>
      </c>
      <c r="H99" s="593">
        <f>(1.51*100)/F99</f>
        <v>181.27033288916098</v>
      </c>
      <c r="I99" s="594">
        <f>(0.52*100)/F99</f>
        <v>62.424220597591862</v>
      </c>
      <c r="J99" s="595">
        <f>12.83/F99</f>
        <v>15.401975966675069</v>
      </c>
      <c r="K99" s="566">
        <f>Tabel66892127[[#This Row],[Fix.ch. 2017]]+Tabel66892127[[#This Row],[Var. ch. 2017]]+Tabel66892127[[#This Row],[Oth. ch. DW 2017]]+Tabel66892127[[#This Row],[VAT DW 2017]]</f>
        <v>295.55467521398299</v>
      </c>
      <c r="L99" s="596">
        <f>(2.01*100)/F99</f>
        <v>241.29362192530698</v>
      </c>
      <c r="M99" s="595">
        <f>23.13/F99</f>
        <v>27.766773508121148</v>
      </c>
      <c r="N99" s="626">
        <f>(0*100)/F99</f>
        <v>0</v>
      </c>
      <c r="O99" s="595">
        <v>0</v>
      </c>
      <c r="P99" s="597">
        <f>(0.3*100)/F99</f>
        <v>36.013973421687616</v>
      </c>
      <c r="Q99" s="595">
        <v>0</v>
      </c>
      <c r="R99" s="570">
        <f>Tabel66892127[[#This Row],[VAT DW 2017]]+Tabel66892127[[#This Row],[VAT Sew. 2017]]+Tabel66892127[[#This Row],[VAT WW 2017]]+Tabel66892127[[#This Row],[VAT Other ch. 2017]]</f>
        <v>43.168749474796215</v>
      </c>
      <c r="S99" s="571">
        <f>Tabel66892127[[#This Row],[Total. ch. DW 2017]]+Tabel66892127[[#This Row],[Sew. 2017]]+Tabel66892127[[#This Row],[VAT Sew. 2017]]+Tabel66892127[[#This Row],[WW 2017]]+Tabel66892127[[#This Row],[VAT WW 2017]]+Tabel66892127[[#This Row],[Other ch. 2017]]+Tabel66892127[[#This Row],[VAT Other ch. 2017]]</f>
        <v>600.62904406909877</v>
      </c>
      <c r="T99" s="397"/>
      <c r="U99" s="1763"/>
      <c r="V99" s="1766"/>
      <c r="W99" s="1769"/>
      <c r="X99" s="1772"/>
      <c r="Y99" s="1775"/>
      <c r="Z99" s="1778"/>
      <c r="AA99" s="1772"/>
      <c r="AB99" s="1781"/>
      <c r="AC99" s="1772"/>
      <c r="AD99" s="1785"/>
      <c r="AE99" s="1772"/>
      <c r="AF99" s="1788"/>
      <c r="AG99" s="1990"/>
      <c r="AH99" s="397"/>
      <c r="AI99" s="614"/>
      <c r="AJ99" s="591" t="s">
        <v>429</v>
      </c>
      <c r="AK99" s="591"/>
      <c r="AL99" s="591"/>
      <c r="AM99" s="591" t="s">
        <v>429</v>
      </c>
      <c r="AN99" s="591"/>
      <c r="AO99" s="614"/>
    </row>
    <row r="100" spans="1:42" ht="15.75" hidden="1" customHeight="1" x14ac:dyDescent="0.3">
      <c r="A100" s="1757"/>
      <c r="B100" s="547" t="s">
        <v>634</v>
      </c>
      <c r="C100" s="1046"/>
      <c r="D100" s="802" t="s">
        <v>1058</v>
      </c>
      <c r="E100" s="1880"/>
      <c r="F100" s="616">
        <f>'exchange rates'!$O$20</f>
        <v>0.83301000000000003</v>
      </c>
      <c r="G100" s="625">
        <f>9.46/F100</f>
        <v>11.356406285638828</v>
      </c>
      <c r="H100" s="593">
        <f>(1.41*100)/F100</f>
        <v>169.26567508193179</v>
      </c>
      <c r="I100" s="594">
        <f>(0.37*100)/F100</f>
        <v>44.417233886748058</v>
      </c>
      <c r="J100" s="595">
        <f>10.3/F100</f>
        <v>12.364797541446082</v>
      </c>
      <c r="K100" s="566">
        <f>Tabel66892127[[#This Row],[Fix.ch. 2017]]+Tabel66892127[[#This Row],[Var. ch. 2017]]+Tabel66892127[[#This Row],[Oth. ch. DW 2017]]+Tabel66892127[[#This Row],[VAT DW 2017]]</f>
        <v>237.40411279576475</v>
      </c>
      <c r="L100" s="596">
        <f>(1.29*100)/F100</f>
        <v>154.86008571325675</v>
      </c>
      <c r="M100" s="595">
        <f>14.52/F100</f>
        <v>17.430763136096804</v>
      </c>
      <c r="N100" s="626">
        <f>(0*100)/F100</f>
        <v>0</v>
      </c>
      <c r="O100" s="595">
        <v>0</v>
      </c>
      <c r="P100" s="597">
        <f>(0.16*100)/F100</f>
        <v>19.207452491566727</v>
      </c>
      <c r="Q100" s="595">
        <v>0</v>
      </c>
      <c r="R100" s="570">
        <f>Tabel66892127[[#This Row],[VAT DW 2017]]+Tabel66892127[[#This Row],[VAT Sew. 2017]]+Tabel66892127[[#This Row],[VAT WW 2017]]+Tabel66892127[[#This Row],[VAT Other ch. 2017]]</f>
        <v>29.795560677542888</v>
      </c>
      <c r="S100" s="571">
        <f>Tabel66892127[[#This Row],[Total. ch. DW 2017]]+Tabel66892127[[#This Row],[Sew. 2017]]+Tabel66892127[[#This Row],[VAT Sew. 2017]]+Tabel66892127[[#This Row],[WW 2017]]+Tabel66892127[[#This Row],[VAT WW 2017]]+Tabel66892127[[#This Row],[Other ch. 2017]]+Tabel66892127[[#This Row],[VAT Other ch. 2017]]</f>
        <v>428.90241413668502</v>
      </c>
      <c r="T100" s="397"/>
      <c r="U100" s="1763"/>
      <c r="V100" s="1766"/>
      <c r="W100" s="1769"/>
      <c r="X100" s="1772"/>
      <c r="Y100" s="1775"/>
      <c r="Z100" s="1778"/>
      <c r="AA100" s="1772"/>
      <c r="AB100" s="1781"/>
      <c r="AC100" s="1772"/>
      <c r="AD100" s="1785"/>
      <c r="AE100" s="1772"/>
      <c r="AF100" s="1788"/>
      <c r="AG100" s="1990"/>
      <c r="AH100" s="397"/>
      <c r="AI100" s="614"/>
      <c r="AJ100" s="591" t="s">
        <v>429</v>
      </c>
      <c r="AK100" s="591"/>
      <c r="AL100" s="591"/>
      <c r="AM100" s="591"/>
      <c r="AN100" s="591"/>
      <c r="AO100" s="614"/>
    </row>
    <row r="101" spans="1:42" ht="16.5" hidden="1" customHeight="1" thickBot="1" x14ac:dyDescent="0.3">
      <c r="A101" s="1758"/>
      <c r="B101" s="547" t="s">
        <v>635</v>
      </c>
      <c r="C101" s="1046"/>
      <c r="D101" s="802" t="s">
        <v>1058</v>
      </c>
      <c r="E101" s="1761"/>
      <c r="F101" s="616">
        <f>'exchange rates'!$O$20</f>
        <v>0.83301000000000003</v>
      </c>
      <c r="G101" s="625">
        <f>12.36/F101</f>
        <v>14.837757049735297</v>
      </c>
      <c r="H101" s="593">
        <f>(1.62*100)/F101</f>
        <v>194.47545647711311</v>
      </c>
      <c r="I101" s="594">
        <f>(0.38*100)/F101</f>
        <v>45.61769966747098</v>
      </c>
      <c r="J101" s="595">
        <f>11.68/F101</f>
        <v>14.021440318843711</v>
      </c>
      <c r="K101" s="566">
        <f>Tabel66892127[[#This Row],[Fix.ch. 2017]]+Tabel66892127[[#This Row],[Var. ch. 2017]]+Tabel66892127[[#This Row],[Oth. ch. DW 2017]]+Tabel66892127[[#This Row],[VAT DW 2017]]</f>
        <v>268.95235351316313</v>
      </c>
      <c r="L101" s="596">
        <f>(2.04*100)/F101</f>
        <v>244.89501926747576</v>
      </c>
      <c r="M101" s="595">
        <f>22.48/F101</f>
        <v>26.986470750651254</v>
      </c>
      <c r="N101" s="626">
        <f>(0*100)/F101</f>
        <v>0</v>
      </c>
      <c r="O101" s="595">
        <v>0</v>
      </c>
      <c r="P101" s="597">
        <f>(0.209*100)/F101</f>
        <v>25.089734817109036</v>
      </c>
      <c r="Q101" s="595">
        <v>0</v>
      </c>
      <c r="R101" s="570">
        <f>Tabel66892127[[#This Row],[VAT DW 2017]]+Tabel66892127[[#This Row],[VAT Sew. 2017]]+Tabel66892127[[#This Row],[VAT WW 2017]]+Tabel66892127[[#This Row],[VAT Other ch. 2017]]</f>
        <v>41.007911069494966</v>
      </c>
      <c r="S101" s="571">
        <f>Tabel66892127[[#This Row],[Total. ch. DW 2017]]+Tabel66892127[[#This Row],[Sew. 2017]]+Tabel66892127[[#This Row],[VAT Sew. 2017]]+Tabel66892127[[#This Row],[WW 2017]]+Tabel66892127[[#This Row],[VAT WW 2017]]+Tabel66892127[[#This Row],[Other ch. 2017]]+Tabel66892127[[#This Row],[VAT Other ch. 2017]]</f>
        <v>565.92357834839925</v>
      </c>
      <c r="T101" s="397"/>
      <c r="U101" s="1764"/>
      <c r="V101" s="1767"/>
      <c r="W101" s="1770"/>
      <c r="X101" s="1773"/>
      <c r="Y101" s="1776"/>
      <c r="Z101" s="1779"/>
      <c r="AA101" s="1773"/>
      <c r="AB101" s="1811"/>
      <c r="AC101" s="1773"/>
      <c r="AD101" s="1813"/>
      <c r="AE101" s="1773"/>
      <c r="AF101" s="1815"/>
      <c r="AG101" s="1991"/>
      <c r="AH101" s="397"/>
      <c r="AI101" s="614"/>
      <c r="AJ101" s="591" t="s">
        <v>429</v>
      </c>
      <c r="AK101" s="591" t="s">
        <v>429</v>
      </c>
      <c r="AL101" s="591"/>
      <c r="AM101" s="591" t="s">
        <v>429</v>
      </c>
      <c r="AN101" s="591"/>
      <c r="AO101" s="614"/>
    </row>
    <row r="102" spans="1:42" ht="19.5" hidden="1" thickBot="1" x14ac:dyDescent="0.3">
      <c r="A102" s="962" t="s">
        <v>521</v>
      </c>
      <c r="B102" s="292" t="s">
        <v>522</v>
      </c>
      <c r="C102" s="1047"/>
      <c r="D102" s="811" t="s">
        <v>1060</v>
      </c>
      <c r="E102" s="301">
        <v>16000</v>
      </c>
      <c r="F102" s="308">
        <v>506.17869999999999</v>
      </c>
      <c r="G102" s="319">
        <f>3396/F102</f>
        <v>6.7090930535006708</v>
      </c>
      <c r="H102" s="320">
        <f>74524/F102</f>
        <v>147.22863684307538</v>
      </c>
      <c r="I102" s="321">
        <v>0</v>
      </c>
      <c r="J102" s="559"/>
      <c r="K102" s="313">
        <f>Tabel66892127[[#This Row],[Fix.ch. 2017]]+Tabel66892127[[#This Row],[Var. ch. 2017]]+Tabel66892127[[#This Row],[Oth. ch. DW 2017]]+Tabel66892127[[#This Row],[VAT DW 2017]]</f>
        <v>153.93772989657606</v>
      </c>
      <c r="L102" s="322">
        <v>0</v>
      </c>
      <c r="M102" s="559"/>
      <c r="N102" s="323">
        <v>0</v>
      </c>
      <c r="O102" s="559"/>
      <c r="P102" s="324">
        <v>0</v>
      </c>
      <c r="Q102" s="559"/>
      <c r="R102" s="317">
        <f>Tabel66892127[[#This Row],[VAT DW 2017]]+Tabel66892127[[#This Row],[VAT Sew. 2017]]+Tabel66892127[[#This Row],[VAT WW 2017]]+Tabel66892127[[#This Row],[VAT Other ch. 2017]]</f>
        <v>0</v>
      </c>
      <c r="S102" s="318">
        <f>Tabel66892127[[#This Row],[Total. ch. DW 2017]]+Tabel66892127[[#This Row],[Sew. 2017]]+Tabel66892127[[#This Row],[VAT Sew. 2017]]+Tabel66892127[[#This Row],[WW 2017]]+Tabel66892127[[#This Row],[VAT WW 2017]]+Tabel66892127[[#This Row],[Other ch. 2017]]+Tabel66892127[[#This Row],[VAT Other ch. 2017]]</f>
        <v>153.93772989657606</v>
      </c>
      <c r="T102" s="397"/>
      <c r="U102" s="340">
        <f>Tabel66892127[[#This Row],[Fix.ch. 2017]]</f>
        <v>6.7090930535006708</v>
      </c>
      <c r="V102" s="341">
        <f>Tabel66892127[[#This Row],[Var. ch. 2017]]</f>
        <v>147.22863684307538</v>
      </c>
      <c r="W102" s="342">
        <v>0</v>
      </c>
      <c r="X102" s="581"/>
      <c r="Y102" s="343">
        <f>Tabel66892127[[#This Row],[Total. ch. DW 2017]]</f>
        <v>153.93772989657606</v>
      </c>
      <c r="Z102" s="344">
        <v>0</v>
      </c>
      <c r="AA102" s="581"/>
      <c r="AB102" s="345">
        <v>0</v>
      </c>
      <c r="AC102" s="581"/>
      <c r="AD102" s="346">
        <v>0</v>
      </c>
      <c r="AE102" s="581"/>
      <c r="AF102" s="347">
        <f>Tabel66892127[[#This Row],[Total VAT 2017]]</f>
        <v>0</v>
      </c>
      <c r="AG102" s="348">
        <f>Tabel66892127[[#This Row],[total charge 2017]]</f>
        <v>153.93772989657606</v>
      </c>
      <c r="AH102" s="397"/>
      <c r="AI102" s="398"/>
      <c r="AJ102" s="398"/>
      <c r="AK102" s="398"/>
      <c r="AL102" s="396" t="s">
        <v>429</v>
      </c>
      <c r="AM102" s="398"/>
      <c r="AN102" s="398"/>
      <c r="AO102" s="398"/>
      <c r="AP102" s="397"/>
    </row>
    <row r="103" spans="1:42" ht="19.5" hidden="1" thickBot="1" x14ac:dyDescent="0.35">
      <c r="A103" s="669" t="s">
        <v>14</v>
      </c>
      <c r="B103" s="544" t="s">
        <v>939</v>
      </c>
      <c r="C103" s="1046" t="s">
        <v>429</v>
      </c>
      <c r="D103" s="812" t="s">
        <v>1062</v>
      </c>
      <c r="E103" s="671">
        <v>50200</v>
      </c>
      <c r="F103" s="616">
        <f>'exchange rates'!O22</f>
        <v>0.83301000000000003</v>
      </c>
      <c r="G103" s="549">
        <f>16.43/F103</f>
        <v>19.723652777277582</v>
      </c>
      <c r="H103" s="550">
        <f>169.4/F103</f>
        <v>203.35890325446272</v>
      </c>
      <c r="I103" s="551">
        <v>0</v>
      </c>
      <c r="J103" s="560">
        <f>13/F103</f>
        <v>15.606055149397966</v>
      </c>
      <c r="K103" s="566">
        <f>Tabel66892127[[#This Row],[Fix.ch. 2017]]+Tabel66892127[[#This Row],[Var. ch. 2017]]+Tabel66892127[[#This Row],[Oth. ch. DW 2017]]+Tabel66892127[[#This Row],[VAT DW 2017]]</f>
        <v>238.68861118113827</v>
      </c>
      <c r="L103" s="567">
        <v>0</v>
      </c>
      <c r="M103" s="560">
        <v>0</v>
      </c>
      <c r="N103" s="568">
        <f>221/F103</f>
        <v>265.30293753976542</v>
      </c>
      <c r="O103" s="560">
        <v>0</v>
      </c>
      <c r="P103" s="569">
        <v>0</v>
      </c>
      <c r="Q103" s="560">
        <v>0</v>
      </c>
      <c r="R103" s="570">
        <f>Tabel66892127[[#This Row],[VAT DW 2017]]+Tabel66892127[[#This Row],[VAT Sew. 2017]]+Tabel66892127[[#This Row],[VAT WW 2017]]+Tabel66892127[[#This Row],[VAT Other ch. 2017]]</f>
        <v>15.606055149397966</v>
      </c>
      <c r="S103" s="571">
        <f>Tabel66892127[[#This Row],[Total. ch. DW 2017]]+Tabel66892127[[#This Row],[Sew. 2017]]+Tabel66892127[[#This Row],[VAT Sew. 2017]]+Tabel66892127[[#This Row],[WW 2017]]+Tabel66892127[[#This Row],[VAT WW 2017]]+Tabel66892127[[#This Row],[Other ch. 2017]]+Tabel66892127[[#This Row],[VAT Other ch. 2017]]</f>
        <v>503.99154872090367</v>
      </c>
      <c r="T103" s="397"/>
      <c r="U103" s="672">
        <f>Tabel66892127[[#This Row],[Fix.ch. 2017]]</f>
        <v>19.723652777277582</v>
      </c>
      <c r="V103" s="673">
        <f>Tabel66892127[[#This Row],[Var. ch. 2017]]</f>
        <v>203.35890325446272</v>
      </c>
      <c r="W103" s="674">
        <f>Tabel66892127[[#This Row],[Oth. ch. DW 2017]]</f>
        <v>0</v>
      </c>
      <c r="X103" s="675">
        <f>Tabel66892127[[#This Row],[VAT DW 2017]]</f>
        <v>15.606055149397966</v>
      </c>
      <c r="Y103" s="676">
        <f>Tabel66892127[[#This Row],[Total. ch. DW 2017]]</f>
        <v>238.68861118113827</v>
      </c>
      <c r="Z103" s="677">
        <f>Tabel66892127[[#This Row],[Sew. 2017]]</f>
        <v>0</v>
      </c>
      <c r="AA103" s="675">
        <f>Tabel66892127[[#This Row],[VAT Sew. 2017]]</f>
        <v>0</v>
      </c>
      <c r="AB103" s="678">
        <f>Tabel66892127[[#This Row],[WW 2017]]</f>
        <v>265.30293753976542</v>
      </c>
      <c r="AC103" s="675">
        <f>Tabel66892127[[#This Row],[VAT WW 2017]]</f>
        <v>0</v>
      </c>
      <c r="AD103" s="679">
        <f>Tabel66892127[[#This Row],[Other ch. 2017]]</f>
        <v>0</v>
      </c>
      <c r="AE103" s="675">
        <f>Tabel66892127[[#This Row],[VAT Other ch. 2017]]</f>
        <v>0</v>
      </c>
      <c r="AF103" s="680">
        <f>Tabel66892127[[#This Row],[Total VAT 2017]]</f>
        <v>15.606055149397966</v>
      </c>
      <c r="AG103" s="681">
        <f>Tabel66892127[[#This Row],[total charge 2017]]</f>
        <v>503.99154872090367</v>
      </c>
      <c r="AH103" s="397"/>
      <c r="AI103" s="398"/>
      <c r="AJ103" s="398"/>
      <c r="AK103" s="591" t="s">
        <v>429</v>
      </c>
      <c r="AL103" s="591"/>
      <c r="AM103" s="591" t="s">
        <v>429</v>
      </c>
      <c r="AN103" s="398"/>
      <c r="AO103" s="398"/>
      <c r="AP103" s="397"/>
    </row>
    <row r="104" spans="1:42" ht="15.6" hidden="1" customHeight="1" x14ac:dyDescent="0.3">
      <c r="A104" s="2004" t="s">
        <v>35</v>
      </c>
      <c r="B104" s="501" t="s">
        <v>712</v>
      </c>
      <c r="C104" s="457"/>
      <c r="D104" s="457" t="s">
        <v>1064</v>
      </c>
      <c r="E104" s="2007">
        <v>25600</v>
      </c>
      <c r="F104" s="306">
        <f>'exchange rates'!$M$23</f>
        <v>0.92093999999999998</v>
      </c>
      <c r="G104" s="319">
        <f>79.5/F104</f>
        <v>86.324842009251412</v>
      </c>
      <c r="H104" s="320">
        <f>74.92/F104</f>
        <v>81.351662431863105</v>
      </c>
      <c r="I104" s="321">
        <f>59.93/F104</f>
        <v>65.074814863074693</v>
      </c>
      <c r="J104" s="559"/>
      <c r="K104" s="313">
        <f>Tabel66892127[[#This Row],[Fix.ch. 2017]]+Tabel66892127[[#This Row],[Var. ch. 2017]]+Tabel66892127[[#This Row],[Oth. ch. DW 2017]]+Tabel66892127[[#This Row],[VAT DW 2017]]</f>
        <v>232.7513193041892</v>
      </c>
      <c r="L104" s="322">
        <f>67.42/F104</f>
        <v>73.207809412122401</v>
      </c>
      <c r="M104" s="559"/>
      <c r="N104" s="323">
        <v>0</v>
      </c>
      <c r="O104" s="559"/>
      <c r="P104" s="324">
        <f>13.25/F104</f>
        <v>14.387473668208569</v>
      </c>
      <c r="Q104" s="559"/>
      <c r="R104" s="317">
        <f>Tabel66892127[[#This Row],[VAT DW 2017]]+Tabel66892127[[#This Row],[VAT Sew. 2017]]+Tabel66892127[[#This Row],[VAT WW 2017]]+Tabel66892127[[#This Row],[VAT Other ch. 2017]]</f>
        <v>0</v>
      </c>
      <c r="S104" s="318">
        <f>Tabel66892127[[#This Row],[Total. ch. DW 2017]]+Tabel66892127[[#This Row],[Sew. 2017]]+Tabel66892127[[#This Row],[VAT Sew. 2017]]+Tabel66892127[[#This Row],[WW 2017]]+Tabel66892127[[#This Row],[VAT WW 2017]]+Tabel66892127[[#This Row],[Other ch. 2017]]+Tabel66892127[[#This Row],[VAT Other ch. 2017]]</f>
        <v>320.34660238452017</v>
      </c>
      <c r="T104" s="397"/>
      <c r="U104" s="2009">
        <f>MEDIAN(G104:G108)</f>
        <v>52.989336981779488</v>
      </c>
      <c r="V104" s="2012">
        <f>MEDIAN(H104:H108)</f>
        <v>143.98332138901557</v>
      </c>
      <c r="W104" s="2014">
        <f>MEDIAN(I104:I108)</f>
        <v>0</v>
      </c>
      <c r="X104" s="575"/>
      <c r="Y104" s="2016">
        <f>SUM(U104:W108)</f>
        <v>196.97265837079505</v>
      </c>
      <c r="Z104" s="2018">
        <f>MEDIAN(L104:L108)</f>
        <v>115.18665711121245</v>
      </c>
      <c r="AA104" s="575"/>
      <c r="AB104" s="2020">
        <f>MEDIAN(N104:N108)</f>
        <v>0</v>
      </c>
      <c r="AC104" s="575"/>
      <c r="AD104" s="2029">
        <f>MEDIAN(P104:P108)</f>
        <v>13.03016483158512</v>
      </c>
      <c r="AE104" s="575"/>
      <c r="AF104" s="1992">
        <f>MEDIAN(R104:R108)</f>
        <v>0</v>
      </c>
      <c r="AG104" s="1994">
        <f>SUM(Y104:AF108)</f>
        <v>325.18948031359264</v>
      </c>
      <c r="AH104" s="397"/>
      <c r="AI104" s="398"/>
      <c r="AJ104" s="398"/>
      <c r="AK104" s="396" t="s">
        <v>429</v>
      </c>
      <c r="AL104" s="396" t="s">
        <v>429</v>
      </c>
      <c r="AM104" s="396" t="s">
        <v>429</v>
      </c>
      <c r="AN104" s="396" t="s">
        <v>429</v>
      </c>
      <c r="AO104" s="398"/>
      <c r="AP104" s="397"/>
    </row>
    <row r="105" spans="1:42" ht="15.6" hidden="1" customHeight="1" x14ac:dyDescent="0.3">
      <c r="A105" s="2005"/>
      <c r="B105" s="457" t="s">
        <v>713</v>
      </c>
      <c r="C105" s="457"/>
      <c r="D105" s="457" t="s">
        <v>1064</v>
      </c>
      <c r="E105" s="1837"/>
      <c r="F105" s="306">
        <f>'exchange rates'!$M$23</f>
        <v>0.92093999999999998</v>
      </c>
      <c r="G105" s="319">
        <f>51/F105</f>
        <v>55.378200534236761</v>
      </c>
      <c r="H105" s="320">
        <f>170/F105</f>
        <v>184.5940017807892</v>
      </c>
      <c r="I105" s="321">
        <f>0/F105</f>
        <v>0</v>
      </c>
      <c r="J105" s="559"/>
      <c r="K105" s="313">
        <f>Tabel66892127[[#This Row],[Fix.ch. 2017]]+Tabel66892127[[#This Row],[Var. ch. 2017]]+Tabel66892127[[#This Row],[Oth. ch. DW 2017]]+Tabel66892127[[#This Row],[VAT DW 2017]]</f>
        <v>239.97220231502595</v>
      </c>
      <c r="L105" s="322">
        <f>93.5/F105</f>
        <v>101.52670097943405</v>
      </c>
      <c r="M105" s="559"/>
      <c r="N105" s="323">
        <v>0</v>
      </c>
      <c r="O105" s="559"/>
      <c r="P105" s="324">
        <f>12/F105</f>
        <v>13.03016483158512</v>
      </c>
      <c r="Q105" s="559"/>
      <c r="R105" s="317">
        <f>Tabel66892127[[#This Row],[VAT DW 2017]]+Tabel66892127[[#This Row],[VAT Sew. 2017]]+Tabel66892127[[#This Row],[VAT WW 2017]]+Tabel66892127[[#This Row],[VAT Other ch. 2017]]</f>
        <v>0</v>
      </c>
      <c r="S105" s="318">
        <f>Tabel66892127[[#This Row],[Total. ch. DW 2017]]+Tabel66892127[[#This Row],[Sew. 2017]]+Tabel66892127[[#This Row],[VAT Sew. 2017]]+Tabel66892127[[#This Row],[WW 2017]]+Tabel66892127[[#This Row],[VAT WW 2017]]+Tabel66892127[[#This Row],[Other ch. 2017]]+Tabel66892127[[#This Row],[VAT Other ch. 2017]]</f>
        <v>354.5290681260451</v>
      </c>
      <c r="T105" s="397"/>
      <c r="U105" s="2010"/>
      <c r="V105" s="1843"/>
      <c r="W105" s="1846"/>
      <c r="X105" s="576"/>
      <c r="Y105" s="1849"/>
      <c r="Z105" s="1852"/>
      <c r="AA105" s="576"/>
      <c r="AB105" s="1855"/>
      <c r="AC105" s="576"/>
      <c r="AD105" s="1858"/>
      <c r="AE105" s="576"/>
      <c r="AF105" s="1873"/>
      <c r="AG105" s="1876"/>
      <c r="AH105" s="397"/>
      <c r="AI105" s="398"/>
      <c r="AJ105" s="398"/>
      <c r="AK105" s="396" t="s">
        <v>429</v>
      </c>
      <c r="AL105" s="396" t="s">
        <v>429</v>
      </c>
      <c r="AM105" s="396" t="s">
        <v>429</v>
      </c>
      <c r="AN105" s="396" t="s">
        <v>429</v>
      </c>
      <c r="AO105" s="398"/>
      <c r="AP105" s="397"/>
    </row>
    <row r="106" spans="1:42" ht="15.6" hidden="1" customHeight="1" x14ac:dyDescent="0.3">
      <c r="A106" s="2005"/>
      <c r="B106" s="457" t="s">
        <v>714</v>
      </c>
      <c r="C106" s="457"/>
      <c r="D106" s="457" t="s">
        <v>1064</v>
      </c>
      <c r="E106" s="1837"/>
      <c r="F106" s="306">
        <f>'exchange rates'!$M$23</f>
        <v>0.92093999999999998</v>
      </c>
      <c r="G106" s="319">
        <f>48.8/F106</f>
        <v>52.989336981779488</v>
      </c>
      <c r="H106" s="320">
        <f>100/F106</f>
        <v>108.58470692987599</v>
      </c>
      <c r="I106" s="321">
        <f>80/F106</f>
        <v>86.867765543900802</v>
      </c>
      <c r="J106" s="559"/>
      <c r="K106" s="313">
        <f>Tabel66892127[[#This Row],[Fix.ch. 2017]]+Tabel66892127[[#This Row],[Var. ch. 2017]]+Tabel66892127[[#This Row],[Oth. ch. DW 2017]]+Tabel66892127[[#This Row],[VAT DW 2017]]</f>
        <v>248.44180945555627</v>
      </c>
      <c r="L106" s="322">
        <f>118/F106</f>
        <v>128.12995417725367</v>
      </c>
      <c r="M106" s="559"/>
      <c r="N106" s="323">
        <v>0</v>
      </c>
      <c r="O106" s="559"/>
      <c r="P106" s="324">
        <f>0/F106</f>
        <v>0</v>
      </c>
      <c r="Q106" s="559"/>
      <c r="R106" s="317">
        <f>Tabel66892127[[#This Row],[VAT DW 2017]]+Tabel66892127[[#This Row],[VAT Sew. 2017]]+Tabel66892127[[#This Row],[VAT WW 2017]]+Tabel66892127[[#This Row],[VAT Other ch. 2017]]</f>
        <v>0</v>
      </c>
      <c r="S106" s="318">
        <f>Tabel66892127[[#This Row],[Total. ch. DW 2017]]+Tabel66892127[[#This Row],[Sew. 2017]]+Tabel66892127[[#This Row],[VAT Sew. 2017]]+Tabel66892127[[#This Row],[WW 2017]]+Tabel66892127[[#This Row],[VAT WW 2017]]+Tabel66892127[[#This Row],[Other ch. 2017]]+Tabel66892127[[#This Row],[VAT Other ch. 2017]]</f>
        <v>376.57176363280996</v>
      </c>
      <c r="T106" s="397"/>
      <c r="U106" s="2010"/>
      <c r="V106" s="1843"/>
      <c r="W106" s="1846"/>
      <c r="X106" s="576"/>
      <c r="Y106" s="1849"/>
      <c r="Z106" s="1852"/>
      <c r="AA106" s="576"/>
      <c r="AB106" s="1855"/>
      <c r="AC106" s="576"/>
      <c r="AD106" s="1858"/>
      <c r="AE106" s="576"/>
      <c r="AF106" s="1873"/>
      <c r="AG106" s="1876"/>
      <c r="AH106" s="397"/>
      <c r="AI106" s="398"/>
      <c r="AJ106" s="398"/>
      <c r="AK106" s="396" t="s">
        <v>429</v>
      </c>
      <c r="AL106" s="396" t="s">
        <v>429</v>
      </c>
      <c r="AM106" s="396" t="s">
        <v>429</v>
      </c>
      <c r="AN106" s="396" t="s">
        <v>429</v>
      </c>
      <c r="AO106" s="398"/>
      <c r="AP106" s="397"/>
    </row>
    <row r="107" spans="1:42" ht="15.6" hidden="1" customHeight="1" x14ac:dyDescent="0.3">
      <c r="A107" s="2005"/>
      <c r="B107" s="457" t="s">
        <v>715</v>
      </c>
      <c r="C107" s="457" t="s">
        <v>429</v>
      </c>
      <c r="D107" s="457" t="s">
        <v>1064</v>
      </c>
      <c r="E107" s="1837"/>
      <c r="F107" s="306">
        <f>'exchange rates'!$M$23</f>
        <v>0.92093999999999998</v>
      </c>
      <c r="G107" s="319">
        <f>12/F107</f>
        <v>13.03016483158512</v>
      </c>
      <c r="H107" s="320">
        <f>437.92/F107</f>
        <v>475.514148587313</v>
      </c>
      <c r="I107" s="321">
        <f>0/F107</f>
        <v>0</v>
      </c>
      <c r="J107" s="559"/>
      <c r="K107" s="313">
        <f>Tabel66892127[[#This Row],[Fix.ch. 2017]]+Tabel66892127[[#This Row],[Var. ch. 2017]]+Tabel66892127[[#This Row],[Oth. ch. DW 2017]]+Tabel66892127[[#This Row],[VAT DW 2017]]</f>
        <v>488.54431341889813</v>
      </c>
      <c r="L107" s="322">
        <f>328.44/F107</f>
        <v>356.63561144048475</v>
      </c>
      <c r="M107" s="559"/>
      <c r="N107" s="323">
        <v>0</v>
      </c>
      <c r="O107" s="559"/>
      <c r="P107" s="324">
        <f>0/F107</f>
        <v>0</v>
      </c>
      <c r="Q107" s="559"/>
      <c r="R107" s="317">
        <f>Tabel66892127[[#This Row],[VAT DW 2017]]+Tabel66892127[[#This Row],[VAT Sew. 2017]]+Tabel66892127[[#This Row],[VAT WW 2017]]+Tabel66892127[[#This Row],[VAT Other ch. 2017]]</f>
        <v>0</v>
      </c>
      <c r="S107" s="318">
        <f>Tabel66892127[[#This Row],[Total. ch. DW 2017]]+Tabel66892127[[#This Row],[Sew. 2017]]+Tabel66892127[[#This Row],[VAT Sew. 2017]]+Tabel66892127[[#This Row],[WW 2017]]+Tabel66892127[[#This Row],[VAT WW 2017]]+Tabel66892127[[#This Row],[Other ch. 2017]]+Tabel66892127[[#This Row],[VAT Other ch. 2017]]</f>
        <v>845.17992485938294</v>
      </c>
      <c r="T107" s="397"/>
      <c r="U107" s="2010"/>
      <c r="V107" s="1843"/>
      <c r="W107" s="1846"/>
      <c r="X107" s="576"/>
      <c r="Y107" s="1849"/>
      <c r="Z107" s="1852"/>
      <c r="AA107" s="576"/>
      <c r="AB107" s="1855"/>
      <c r="AC107" s="576"/>
      <c r="AD107" s="1858"/>
      <c r="AE107" s="576"/>
      <c r="AF107" s="1873"/>
      <c r="AG107" s="1876"/>
      <c r="AH107" s="397"/>
      <c r="AI107" s="398"/>
      <c r="AJ107" s="398"/>
      <c r="AK107" s="396" t="s">
        <v>429</v>
      </c>
      <c r="AL107" s="396" t="s">
        <v>429</v>
      </c>
      <c r="AM107" s="396" t="s">
        <v>429</v>
      </c>
      <c r="AN107" s="396" t="s">
        <v>429</v>
      </c>
      <c r="AO107" s="398"/>
      <c r="AP107" s="397"/>
    </row>
    <row r="108" spans="1:42" ht="16.149999999999999" hidden="1" customHeight="1" thickBot="1" x14ac:dyDescent="0.3">
      <c r="A108" s="2006"/>
      <c r="B108" s="268" t="s">
        <v>716</v>
      </c>
      <c r="C108" s="457"/>
      <c r="D108" s="800" t="s">
        <v>1064</v>
      </c>
      <c r="E108" s="2008"/>
      <c r="F108" s="306">
        <f>'exchange rates'!$M$23</f>
        <v>0.92093999999999998</v>
      </c>
      <c r="G108" s="319">
        <f>24/F108</f>
        <v>26.06032966317024</v>
      </c>
      <c r="H108" s="320">
        <f>132.6/F108</f>
        <v>143.98332138901557</v>
      </c>
      <c r="I108" s="321">
        <f>0/F108</f>
        <v>0</v>
      </c>
      <c r="J108" s="559"/>
      <c r="K108" s="313">
        <f>Tabel66892127[[#This Row],[Fix.ch. 2017]]+Tabel66892127[[#This Row],[Var. ch. 2017]]+Tabel66892127[[#This Row],[Oth. ch. DW 2017]]+Tabel66892127[[#This Row],[VAT DW 2017]]</f>
        <v>170.04365105218582</v>
      </c>
      <c r="L108" s="322">
        <f>106.08/F108</f>
        <v>115.18665711121245</v>
      </c>
      <c r="M108" s="559"/>
      <c r="N108" s="323">
        <v>0</v>
      </c>
      <c r="O108" s="559"/>
      <c r="P108" s="324">
        <f>14/F108</f>
        <v>15.20185897018264</v>
      </c>
      <c r="Q108" s="559"/>
      <c r="R108" s="317">
        <f>Tabel66892127[[#This Row],[VAT DW 2017]]+Tabel66892127[[#This Row],[VAT Sew. 2017]]+Tabel66892127[[#This Row],[VAT WW 2017]]+Tabel66892127[[#This Row],[VAT Other ch. 2017]]</f>
        <v>0</v>
      </c>
      <c r="S108" s="318">
        <f>Tabel66892127[[#This Row],[Total. ch. DW 2017]]+Tabel66892127[[#This Row],[Sew. 2017]]+Tabel66892127[[#This Row],[VAT Sew. 2017]]+Tabel66892127[[#This Row],[WW 2017]]+Tabel66892127[[#This Row],[VAT WW 2017]]+Tabel66892127[[#This Row],[Other ch. 2017]]+Tabel66892127[[#This Row],[VAT Other ch. 2017]]</f>
        <v>300.43216713358089</v>
      </c>
      <c r="T108" s="397"/>
      <c r="U108" s="2011"/>
      <c r="V108" s="2013"/>
      <c r="W108" s="2015"/>
      <c r="X108" s="577"/>
      <c r="Y108" s="2017"/>
      <c r="Z108" s="2019"/>
      <c r="AA108" s="577"/>
      <c r="AB108" s="2021"/>
      <c r="AC108" s="577"/>
      <c r="AD108" s="2030"/>
      <c r="AE108" s="577"/>
      <c r="AF108" s="1993"/>
      <c r="AG108" s="1995"/>
      <c r="AH108" s="397"/>
      <c r="AI108" s="398"/>
      <c r="AJ108" s="398"/>
      <c r="AK108" s="396" t="s">
        <v>429</v>
      </c>
      <c r="AL108" s="396" t="s">
        <v>429</v>
      </c>
      <c r="AM108" s="396" t="s">
        <v>429</v>
      </c>
      <c r="AN108" s="396" t="s">
        <v>429</v>
      </c>
      <c r="AO108" s="398"/>
      <c r="AP108" s="397"/>
    </row>
    <row r="109" spans="1:42" ht="15.75" hidden="1" customHeight="1" x14ac:dyDescent="0.3">
      <c r="A109" s="1818" t="s">
        <v>45</v>
      </c>
      <c r="B109" s="546" t="s">
        <v>102</v>
      </c>
      <c r="C109" s="1046" t="s">
        <v>429</v>
      </c>
      <c r="D109" s="802" t="s">
        <v>1066</v>
      </c>
      <c r="E109" s="1983">
        <v>28900</v>
      </c>
      <c r="F109" s="616">
        <f>'exchange rates'!$O$24</f>
        <v>258.86743000000001</v>
      </c>
      <c r="G109" s="549">
        <f>1700/F109</f>
        <v>6.5670679389832856</v>
      </c>
      <c r="H109" s="550">
        <f>17240/F109</f>
        <v>66.597794863571664</v>
      </c>
      <c r="I109" s="551">
        <v>0</v>
      </c>
      <c r="J109" s="560">
        <f>5113.8/F109</f>
        <v>19.75451295668984</v>
      </c>
      <c r="K109" s="566">
        <f>Tabel66892127[[#This Row],[Fix.ch. 2017]]+Tabel66892127[[#This Row],[Var. ch. 2017]]+Tabel66892127[[#This Row],[Oth. ch. DW 2017]]+Tabel66892127[[#This Row],[VAT DW 2017]]</f>
        <v>92.919375759244787</v>
      </c>
      <c r="L109" s="567">
        <f>457/F109</f>
        <v>1.7653823812443303</v>
      </c>
      <c r="M109" s="560">
        <f>123.39/F109</f>
        <v>0.47665324293596917</v>
      </c>
      <c r="N109" s="568">
        <f>29566/F109</f>
        <v>114.21290040234106</v>
      </c>
      <c r="O109" s="560">
        <f>7982.82/F109</f>
        <v>30.837483108632089</v>
      </c>
      <c r="P109" s="569">
        <v>0</v>
      </c>
      <c r="Q109" s="560">
        <f>0</f>
        <v>0</v>
      </c>
      <c r="R109" s="570">
        <f>Tabel66892127[[#This Row],[VAT DW 2017]]+Tabel66892127[[#This Row],[VAT Sew. 2017]]+Tabel66892127[[#This Row],[VAT WW 2017]]+Tabel66892127[[#This Row],[VAT Other ch. 2017]]</f>
        <v>51.068649308257903</v>
      </c>
      <c r="S109" s="571">
        <f>Tabel66892127[[#This Row],[Total. ch. DW 2017]]+Tabel66892127[[#This Row],[Sew. 2017]]+Tabel66892127[[#This Row],[VAT Sew. 2017]]+Tabel66892127[[#This Row],[WW 2017]]+Tabel66892127[[#This Row],[VAT WW 2017]]+Tabel66892127[[#This Row],[Other ch. 2017]]+Tabel66892127[[#This Row],[VAT Other ch. 2017]]</f>
        <v>240.21179489439825</v>
      </c>
      <c r="T109" s="397"/>
      <c r="U109" s="1824">
        <f>MEDIAN(G109:G113)</f>
        <v>0</v>
      </c>
      <c r="V109" s="1825">
        <f>MEDIAN(H109:H113)</f>
        <v>94.604408132765101</v>
      </c>
      <c r="W109" s="1826">
        <f>MEDIAN(I109:I113)</f>
        <v>0</v>
      </c>
      <c r="X109" s="1938">
        <f>MEDIAN(J109:J113)</f>
        <v>25.983338267004079</v>
      </c>
      <c r="Y109" s="1827">
        <f>SUM(U109:X113)</f>
        <v>120.58774639976917</v>
      </c>
      <c r="Z109" s="1828">
        <f t="shared" ref="Z109:AF109" si="16">MEDIAN(L109:L113)</f>
        <v>1.6494929470269781</v>
      </c>
      <c r="AA109" s="1938">
        <f t="shared" si="16"/>
        <v>0.44536309569728411</v>
      </c>
      <c r="AB109" s="1829">
        <f t="shared" si="16"/>
        <v>75.212242807061514</v>
      </c>
      <c r="AC109" s="1938">
        <f t="shared" si="16"/>
        <v>20.307305557906606</v>
      </c>
      <c r="AD109" s="1830">
        <f t="shared" si="16"/>
        <v>0</v>
      </c>
      <c r="AE109" s="1938">
        <f t="shared" si="16"/>
        <v>0</v>
      </c>
      <c r="AF109" s="1816">
        <f t="shared" si="16"/>
        <v>48.863736932838549</v>
      </c>
      <c r="AG109" s="1817">
        <f>Y109+Z109+AA109+AB109+AC109+AD109+AE109</f>
        <v>218.20215080746155</v>
      </c>
      <c r="AH109" s="397"/>
      <c r="AI109" s="398"/>
      <c r="AJ109" s="398"/>
      <c r="AK109" s="398"/>
      <c r="AL109" s="398"/>
      <c r="AM109" s="591" t="s">
        <v>429</v>
      </c>
      <c r="AN109" s="398"/>
      <c r="AO109" s="398"/>
      <c r="AP109" s="397"/>
    </row>
    <row r="110" spans="1:42" ht="15.75" hidden="1" customHeight="1" x14ac:dyDescent="0.3">
      <c r="A110" s="1819"/>
      <c r="B110" s="547" t="s">
        <v>103</v>
      </c>
      <c r="C110" s="1046"/>
      <c r="D110" s="802" t="s">
        <v>1066</v>
      </c>
      <c r="E110" s="1760"/>
      <c r="F110" s="616">
        <f>'exchange rates'!$O$24</f>
        <v>258.86743000000001</v>
      </c>
      <c r="G110" s="549">
        <f>1231/F110</f>
        <v>4.7553297840520141</v>
      </c>
      <c r="H110" s="550">
        <f>24490/F110</f>
        <v>94.604408132765101</v>
      </c>
      <c r="I110" s="551">
        <v>0</v>
      </c>
      <c r="J110" s="560">
        <f>6944.67/F110</f>
        <v>26.827129237540621</v>
      </c>
      <c r="K110" s="566">
        <f>Tabel66892127[[#This Row],[Fix.ch. 2017]]+Tabel66892127[[#This Row],[Var. ch. 2017]]+Tabel66892127[[#This Row],[Oth. ch. DW 2017]]+Tabel66892127[[#This Row],[VAT DW 2017]]</f>
        <v>126.18686715435773</v>
      </c>
      <c r="L110" s="567">
        <f>427/F110</f>
        <v>1.6494929470269781</v>
      </c>
      <c r="M110" s="560">
        <f>115.29/F110</f>
        <v>0.44536309569728411</v>
      </c>
      <c r="N110" s="568">
        <f>19470/F110</f>
        <v>75.212242807061514</v>
      </c>
      <c r="O110" s="560">
        <f>5256.9/F110</f>
        <v>20.307305557906606</v>
      </c>
      <c r="P110" s="569">
        <f>1231/F110</f>
        <v>4.7553297840520141</v>
      </c>
      <c r="Q110" s="560">
        <f>332.37/F110</f>
        <v>1.2839390416940439</v>
      </c>
      <c r="R110" s="570">
        <f>Tabel66892127[[#This Row],[VAT DW 2017]]+Tabel66892127[[#This Row],[VAT Sew. 2017]]+Tabel66892127[[#This Row],[VAT WW 2017]]+Tabel66892127[[#This Row],[VAT Other ch. 2017]]</f>
        <v>48.863736932838549</v>
      </c>
      <c r="S110" s="571">
        <f>Tabel66892127[[#This Row],[Total. ch. DW 2017]]+Tabel66892127[[#This Row],[Sew. 2017]]+Tabel66892127[[#This Row],[VAT Sew. 2017]]+Tabel66892127[[#This Row],[WW 2017]]+Tabel66892127[[#This Row],[VAT WW 2017]]+Tabel66892127[[#This Row],[Other ch. 2017]]+Tabel66892127[[#This Row],[VAT Other ch. 2017]]</f>
        <v>229.84054038779615</v>
      </c>
      <c r="T110" s="397"/>
      <c r="U110" s="1763"/>
      <c r="V110" s="1766"/>
      <c r="W110" s="1769"/>
      <c r="X110" s="1772"/>
      <c r="Y110" s="1775"/>
      <c r="Z110" s="1778"/>
      <c r="AA110" s="1772"/>
      <c r="AB110" s="1781"/>
      <c r="AC110" s="1772"/>
      <c r="AD110" s="1785"/>
      <c r="AE110" s="1772"/>
      <c r="AF110" s="1788"/>
      <c r="AG110" s="1791"/>
      <c r="AH110" s="397"/>
      <c r="AI110" s="398"/>
      <c r="AJ110" s="398"/>
      <c r="AK110" s="398"/>
      <c r="AL110" s="398"/>
      <c r="AM110" s="591" t="s">
        <v>429</v>
      </c>
      <c r="AN110" s="398"/>
      <c r="AO110" s="398"/>
      <c r="AP110" s="397"/>
    </row>
    <row r="111" spans="1:42" ht="15.75" hidden="1" customHeight="1" x14ac:dyDescent="0.3">
      <c r="A111" s="1819"/>
      <c r="B111" s="547" t="s">
        <v>104</v>
      </c>
      <c r="C111" s="1046"/>
      <c r="D111" s="802" t="s">
        <v>1066</v>
      </c>
      <c r="E111" s="1760"/>
      <c r="F111" s="616">
        <f>'exchange rates'!$O$24</f>
        <v>258.86743000000001</v>
      </c>
      <c r="G111" s="549">
        <v>0</v>
      </c>
      <c r="H111" s="550">
        <f>24912/F111</f>
        <v>96.234586174089173</v>
      </c>
      <c r="I111" s="551">
        <v>0</v>
      </c>
      <c r="J111" s="560">
        <f>6726.24/F111</f>
        <v>25.983338267004079</v>
      </c>
      <c r="K111" s="566">
        <f>Tabel66892127[[#This Row],[Fix.ch. 2017]]+Tabel66892127[[#This Row],[Var. ch. 2017]]+Tabel66892127[[#This Row],[Oth. ch. DW 2017]]+Tabel66892127[[#This Row],[VAT DW 2017]]</f>
        <v>122.21792444109326</v>
      </c>
      <c r="L111" s="567">
        <v>0</v>
      </c>
      <c r="M111" s="560">
        <v>0</v>
      </c>
      <c r="N111" s="568">
        <f>19161/F111</f>
        <v>74.018581634622777</v>
      </c>
      <c r="O111" s="560">
        <f>5173.47/F111</f>
        <v>19.985017041348154</v>
      </c>
      <c r="P111" s="569">
        <v>0</v>
      </c>
      <c r="Q111" s="560">
        <v>0</v>
      </c>
      <c r="R111" s="570">
        <f>Tabel66892127[[#This Row],[VAT DW 2017]]+Tabel66892127[[#This Row],[VAT Sew. 2017]]+Tabel66892127[[#This Row],[VAT WW 2017]]+Tabel66892127[[#This Row],[VAT Other ch. 2017]]</f>
        <v>45.96835530835223</v>
      </c>
      <c r="S111" s="571">
        <f>Tabel66892127[[#This Row],[Total. ch. DW 2017]]+Tabel66892127[[#This Row],[Sew. 2017]]+Tabel66892127[[#This Row],[VAT Sew. 2017]]+Tabel66892127[[#This Row],[WW 2017]]+Tabel66892127[[#This Row],[VAT WW 2017]]+Tabel66892127[[#This Row],[Other ch. 2017]]+Tabel66892127[[#This Row],[VAT Other ch. 2017]]</f>
        <v>216.22152311706418</v>
      </c>
      <c r="T111" s="397"/>
      <c r="U111" s="1763"/>
      <c r="V111" s="1766"/>
      <c r="W111" s="1769"/>
      <c r="X111" s="1772"/>
      <c r="Y111" s="1775"/>
      <c r="Z111" s="1778"/>
      <c r="AA111" s="1772"/>
      <c r="AB111" s="1781"/>
      <c r="AC111" s="1772"/>
      <c r="AD111" s="1785"/>
      <c r="AE111" s="1772"/>
      <c r="AF111" s="1788"/>
      <c r="AG111" s="1791"/>
      <c r="AH111" s="397"/>
      <c r="AI111" s="398"/>
      <c r="AJ111" s="398"/>
      <c r="AK111" s="398"/>
      <c r="AL111" s="398"/>
      <c r="AM111" s="398"/>
      <c r="AN111" s="398"/>
      <c r="AO111" s="398"/>
      <c r="AP111" s="397"/>
    </row>
    <row r="112" spans="1:42" ht="16.5" hidden="1" customHeight="1" x14ac:dyDescent="0.3">
      <c r="A112" s="1819"/>
      <c r="B112" s="543" t="s">
        <v>105</v>
      </c>
      <c r="C112" s="1046"/>
      <c r="D112" s="802" t="s">
        <v>1066</v>
      </c>
      <c r="E112" s="1760"/>
      <c r="F112" s="616">
        <f>'exchange rates'!$O$24</f>
        <v>258.86743000000001</v>
      </c>
      <c r="G112" s="549">
        <v>0</v>
      </c>
      <c r="H112" s="550">
        <f>34000/F112</f>
        <v>131.34135877966571</v>
      </c>
      <c r="I112" s="551">
        <v>0</v>
      </c>
      <c r="J112" s="560">
        <f>9180/F112</f>
        <v>35.462166870509741</v>
      </c>
      <c r="K112" s="566">
        <f>Tabel66892127[[#This Row],[Fix.ch. 2017]]+Tabel66892127[[#This Row],[Var. ch. 2017]]+Tabel66892127[[#This Row],[Oth. ch. DW 2017]]+Tabel66892127[[#This Row],[VAT DW 2017]]</f>
        <v>166.80352565017546</v>
      </c>
      <c r="L112" s="567">
        <f>400/F112</f>
        <v>1.5451924562313613</v>
      </c>
      <c r="M112" s="560">
        <f>108/F112</f>
        <v>0.41720196318246755</v>
      </c>
      <c r="N112" s="568">
        <f>24800/F112</f>
        <v>95.801932286344396</v>
      </c>
      <c r="O112" s="560">
        <f>6696/F112</f>
        <v>25.866521717312988</v>
      </c>
      <c r="P112" s="569">
        <v>0</v>
      </c>
      <c r="Q112" s="560">
        <v>0</v>
      </c>
      <c r="R112" s="570">
        <f>Tabel66892127[[#This Row],[VAT DW 2017]]+Tabel66892127[[#This Row],[VAT Sew. 2017]]+Tabel66892127[[#This Row],[VAT WW 2017]]+Tabel66892127[[#This Row],[VAT Other ch. 2017]]</f>
        <v>61.745890551005203</v>
      </c>
      <c r="S112" s="571">
        <f>Tabel66892127[[#This Row],[Total. ch. DW 2017]]+Tabel66892127[[#This Row],[Sew. 2017]]+Tabel66892127[[#This Row],[VAT Sew. 2017]]+Tabel66892127[[#This Row],[WW 2017]]+Tabel66892127[[#This Row],[VAT WW 2017]]+Tabel66892127[[#This Row],[Other ch. 2017]]+Tabel66892127[[#This Row],[VAT Other ch. 2017]]</f>
        <v>290.43437407324666</v>
      </c>
      <c r="T112" s="397"/>
      <c r="U112" s="1763"/>
      <c r="V112" s="1766"/>
      <c r="W112" s="1769"/>
      <c r="X112" s="1772"/>
      <c r="Y112" s="1775"/>
      <c r="Z112" s="1778"/>
      <c r="AA112" s="1772"/>
      <c r="AB112" s="1781"/>
      <c r="AC112" s="1772"/>
      <c r="AD112" s="1785"/>
      <c r="AE112" s="1772"/>
      <c r="AF112" s="1788"/>
      <c r="AG112" s="1791"/>
      <c r="AH112" s="397"/>
      <c r="AI112" s="398"/>
      <c r="AJ112" s="398"/>
      <c r="AK112" s="398"/>
      <c r="AL112" s="398"/>
      <c r="AM112" s="398"/>
      <c r="AN112" s="398"/>
      <c r="AO112" s="398"/>
      <c r="AP112" s="397"/>
    </row>
    <row r="113" spans="1:42" ht="17.25" hidden="1" customHeight="1" thickBot="1" x14ac:dyDescent="0.3">
      <c r="A113" s="1820"/>
      <c r="B113" s="548" t="s">
        <v>613</v>
      </c>
      <c r="C113" s="1046"/>
      <c r="D113" s="802" t="s">
        <v>1066</v>
      </c>
      <c r="E113" s="1996"/>
      <c r="F113" s="616">
        <f>'exchange rates'!$O$24</f>
        <v>258.86743000000001</v>
      </c>
      <c r="G113" s="549">
        <v>0</v>
      </c>
      <c r="H113" s="550">
        <f>21780/F113</f>
        <v>84.13572924179762</v>
      </c>
      <c r="I113" s="551">
        <v>0</v>
      </c>
      <c r="J113" s="560">
        <f>5880/F113</f>
        <v>22.71432910660101</v>
      </c>
      <c r="K113" s="566">
        <f>Tabel66892127[[#This Row],[Fix.ch. 2017]]+Tabel66892127[[#This Row],[Var. ch. 2017]]+Tabel66892127[[#This Row],[Oth. ch. DW 2017]]+Tabel66892127[[#This Row],[VAT DW 2017]]</f>
        <v>106.85005834839863</v>
      </c>
      <c r="L113" s="567">
        <f>630/F113</f>
        <v>2.4336781185643939</v>
      </c>
      <c r="M113" s="560">
        <f>170.1/F113</f>
        <v>0.65709309201238641</v>
      </c>
      <c r="N113" s="568">
        <f>13230/F113</f>
        <v>51.107240489852273</v>
      </c>
      <c r="O113" s="560">
        <f>3572/F113</f>
        <v>13.798568634146056</v>
      </c>
      <c r="P113" s="569">
        <v>0</v>
      </c>
      <c r="Q113" s="560">
        <v>0</v>
      </c>
      <c r="R113" s="570">
        <f>Tabel66892127[[#This Row],[VAT DW 2017]]+Tabel66892127[[#This Row],[VAT Sew. 2017]]+Tabel66892127[[#This Row],[VAT WW 2017]]+Tabel66892127[[#This Row],[VAT Other ch. 2017]]</f>
        <v>37.169990832759453</v>
      </c>
      <c r="S113" s="571">
        <f>Tabel66892127[[#This Row],[Total. ch. DW 2017]]+Tabel66892127[[#This Row],[Sew. 2017]]+Tabel66892127[[#This Row],[VAT Sew. 2017]]+Tabel66892127[[#This Row],[WW 2017]]+Tabel66892127[[#This Row],[VAT WW 2017]]+Tabel66892127[[#This Row],[Other ch. 2017]]+Tabel66892127[[#This Row],[VAT Other ch. 2017]]</f>
        <v>174.84663868297375</v>
      </c>
      <c r="T113" s="397"/>
      <c r="U113" s="1997"/>
      <c r="V113" s="1998"/>
      <c r="W113" s="1999"/>
      <c r="X113" s="1773"/>
      <c r="Y113" s="2000"/>
      <c r="Z113" s="2026"/>
      <c r="AA113" s="1773"/>
      <c r="AB113" s="2027"/>
      <c r="AC113" s="1773"/>
      <c r="AD113" s="2003"/>
      <c r="AE113" s="1773"/>
      <c r="AF113" s="2001"/>
      <c r="AG113" s="2002"/>
      <c r="AH113" s="397"/>
      <c r="AI113" s="398"/>
      <c r="AJ113" s="398"/>
      <c r="AK113" s="398"/>
      <c r="AL113" s="398"/>
      <c r="AM113" s="398"/>
      <c r="AN113" s="398"/>
      <c r="AO113" s="398"/>
      <c r="AP113" s="397"/>
    </row>
    <row r="114" spans="1:42" ht="17.25" hidden="1" customHeight="1" thickBot="1" x14ac:dyDescent="0.3">
      <c r="A114" s="959" t="s">
        <v>754</v>
      </c>
      <c r="B114" s="455" t="s">
        <v>755</v>
      </c>
      <c r="C114" s="1048"/>
      <c r="D114" s="811" t="s">
        <v>1068</v>
      </c>
      <c r="E114" s="1014">
        <v>46600</v>
      </c>
      <c r="F114" s="306">
        <f>'exchange rates'!M25</f>
        <v>130.32431</v>
      </c>
      <c r="G114" s="319"/>
      <c r="H114" s="320"/>
      <c r="I114" s="321"/>
      <c r="J114" s="559"/>
      <c r="K114" s="313">
        <f>Tabel66892127[[#This Row],[Fix.ch. 2017]]+Tabel66892127[[#This Row],[Var. ch. 2017]]+Tabel66892127[[#This Row],[Oth. ch. DW 2017]]+Tabel66892127[[#This Row],[VAT DW 2017]]</f>
        <v>0</v>
      </c>
      <c r="L114" s="322"/>
      <c r="M114" s="559"/>
      <c r="N114" s="323"/>
      <c r="O114" s="559"/>
      <c r="P114" s="324"/>
      <c r="Q114" s="559"/>
      <c r="R114" s="317">
        <f>Tabel66892127[[#This Row],[VAT DW 2017]]+Tabel66892127[[#This Row],[VAT Sew. 2017]]+Tabel66892127[[#This Row],[VAT WW 2017]]+Tabel66892127[[#This Row],[VAT Other ch. 2017]]</f>
        <v>0</v>
      </c>
      <c r="S114" s="318">
        <f>Tabel66892127[[#This Row],[Total. ch. DW 2017]]+Tabel66892127[[#This Row],[Sew. 2017]]+Tabel66892127[[#This Row],[VAT Sew. 2017]]+Tabel66892127[[#This Row],[WW 2017]]+Tabel66892127[[#This Row],[VAT WW 2017]]+Tabel66892127[[#This Row],[Other ch. 2017]]+Tabel66892127[[#This Row],[VAT Other ch. 2017]]</f>
        <v>0</v>
      </c>
      <c r="T114" s="397"/>
      <c r="U114" s="1016"/>
      <c r="V114" s="1009"/>
      <c r="W114" s="1008"/>
      <c r="X114" s="576"/>
      <c r="Y114" s="991"/>
      <c r="Z114" s="1024"/>
      <c r="AA114" s="576"/>
      <c r="AB114" s="1023"/>
      <c r="AC114" s="576"/>
      <c r="AD114" s="973"/>
      <c r="AE114" s="576"/>
      <c r="AF114" s="1027"/>
      <c r="AG114" s="1026"/>
      <c r="AH114" s="397"/>
      <c r="AI114" s="398"/>
      <c r="AJ114" s="398"/>
      <c r="AK114" s="398"/>
      <c r="AL114" s="398"/>
      <c r="AM114" s="398"/>
      <c r="AN114" s="398"/>
      <c r="AO114" s="398"/>
      <c r="AP114" s="397"/>
    </row>
    <row r="115" spans="1:42" ht="18" hidden="1" customHeight="1" x14ac:dyDescent="0.3">
      <c r="A115" s="1833" t="s">
        <v>466</v>
      </c>
      <c r="B115" s="299" t="s">
        <v>606</v>
      </c>
      <c r="C115" s="1048" t="s">
        <v>429</v>
      </c>
      <c r="D115" s="805" t="s">
        <v>1070</v>
      </c>
      <c r="E115" s="2039">
        <v>12800</v>
      </c>
      <c r="F115" s="307">
        <f>'exchange rates'!K28</f>
        <v>11241.536700000001</v>
      </c>
      <c r="G115" s="319">
        <f>0</f>
        <v>0</v>
      </c>
      <c r="H115" s="320">
        <f>466512/F115</f>
        <v>41.498952718804006</v>
      </c>
      <c r="I115" s="321">
        <v>0</v>
      </c>
      <c r="J115" s="559"/>
      <c r="K115" s="313">
        <f>Tabel66892127[[#This Row],[Fix.ch. 2017]]+Tabel66892127[[#This Row],[Var. ch. 2017]]+Tabel66892127[[#This Row],[Oth. ch. DW 2017]]+Tabel66892127[[#This Row],[VAT DW 2017]]</f>
        <v>41.498952718804006</v>
      </c>
      <c r="L115" s="322">
        <f>71496/F115</f>
        <v>6.3599845739951189</v>
      </c>
      <c r="M115" s="559"/>
      <c r="N115" s="323">
        <v>0</v>
      </c>
      <c r="O115" s="559"/>
      <c r="P115" s="324">
        <v>0</v>
      </c>
      <c r="Q115" s="559"/>
      <c r="R115" s="317">
        <f>Tabel66892127[[#This Row],[VAT DW 2017]]+Tabel66892127[[#This Row],[VAT Sew. 2017]]+Tabel66892127[[#This Row],[VAT WW 2017]]+Tabel66892127[[#This Row],[VAT Other ch. 2017]]</f>
        <v>0</v>
      </c>
      <c r="S115" s="318">
        <f>Tabel66892127[[#This Row],[Total. ch. DW 2017]]+Tabel66892127[[#This Row],[Sew. 2017]]+Tabel66892127[[#This Row],[VAT Sew. 2017]]+Tabel66892127[[#This Row],[WW 2017]]+Tabel66892127[[#This Row],[VAT WW 2017]]+Tabel66892127[[#This Row],[Other ch. 2017]]+Tabel66892127[[#This Row],[VAT Other ch. 2017]]</f>
        <v>47.858937292799126</v>
      </c>
      <c r="T115" s="397"/>
      <c r="U115" s="2041">
        <f>SUM(G115:G119)/5</f>
        <v>0</v>
      </c>
      <c r="V115" s="2043">
        <f>SUM(H115:H119)/5</f>
        <v>37.034153880403203</v>
      </c>
      <c r="W115" s="2045">
        <f>SUM(I115:I119)/5</f>
        <v>0</v>
      </c>
      <c r="X115" s="575"/>
      <c r="Y115" s="2047">
        <f>SUM(K115:K119)/5</f>
        <v>37.034153880403203</v>
      </c>
      <c r="Z115" s="2022">
        <f>SUM(L115:L119)/5</f>
        <v>6.3599845739951189</v>
      </c>
      <c r="AA115" s="575"/>
      <c r="AB115" s="2024">
        <f>SUM(N115:N119)/5</f>
        <v>0</v>
      </c>
      <c r="AC115" s="575"/>
      <c r="AD115" s="2033">
        <f>SUM(P115:P119)/5</f>
        <v>0</v>
      </c>
      <c r="AE115" s="575"/>
      <c r="AF115" s="2035">
        <f t="shared" ref="AF115:AG115" si="17">SUM(R115:R119)/5</f>
        <v>0</v>
      </c>
      <c r="AG115" s="2037">
        <f t="shared" si="17"/>
        <v>43.394138454398316</v>
      </c>
      <c r="AH115" s="397"/>
      <c r="AI115" s="398"/>
      <c r="AJ115" s="398"/>
      <c r="AK115" s="398"/>
      <c r="AL115" s="396" t="s">
        <v>429</v>
      </c>
      <c r="AM115" s="398"/>
      <c r="AN115" s="398"/>
      <c r="AO115" s="398"/>
      <c r="AP115" s="397"/>
    </row>
    <row r="116" spans="1:42" ht="19.5" hidden="1" thickBot="1" x14ac:dyDescent="0.3">
      <c r="A116" s="1834"/>
      <c r="B116" s="298" t="s">
        <v>607</v>
      </c>
      <c r="C116" s="1048"/>
      <c r="D116" s="805" t="s">
        <v>1070</v>
      </c>
      <c r="E116" s="1837"/>
      <c r="F116" s="307">
        <f>'exchange rates'!K28</f>
        <v>11241.536700000001</v>
      </c>
      <c r="G116" s="319">
        <f>0</f>
        <v>0</v>
      </c>
      <c r="H116" s="320">
        <f>408600/F116</f>
        <v>36.347343864473615</v>
      </c>
      <c r="I116" s="321">
        <v>0</v>
      </c>
      <c r="J116" s="559"/>
      <c r="K116" s="313">
        <f>Tabel66892127[[#This Row],[Fix.ch. 2017]]+Tabel66892127[[#This Row],[Var. ch. 2017]]+Tabel66892127[[#This Row],[Oth. ch. DW 2017]]+Tabel66892127[[#This Row],[VAT DW 2017]]</f>
        <v>36.347343864473615</v>
      </c>
      <c r="L116" s="322">
        <f>71496/F116</f>
        <v>6.3599845739951189</v>
      </c>
      <c r="M116" s="559"/>
      <c r="N116" s="323">
        <v>0</v>
      </c>
      <c r="O116" s="559"/>
      <c r="P116" s="324">
        <v>0</v>
      </c>
      <c r="Q116" s="559"/>
      <c r="R116" s="317">
        <f>Tabel66892127[[#This Row],[VAT DW 2017]]+Tabel66892127[[#This Row],[VAT Sew. 2017]]+Tabel66892127[[#This Row],[VAT WW 2017]]+Tabel66892127[[#This Row],[VAT Other ch. 2017]]</f>
        <v>0</v>
      </c>
      <c r="S116" s="318">
        <f>Tabel66892127[[#This Row],[Total. ch. DW 2017]]+Tabel66892127[[#This Row],[Sew. 2017]]+Tabel66892127[[#This Row],[VAT Sew. 2017]]+Tabel66892127[[#This Row],[WW 2017]]+Tabel66892127[[#This Row],[VAT WW 2017]]+Tabel66892127[[#This Row],[Other ch. 2017]]+Tabel66892127[[#This Row],[VAT Other ch. 2017]]</f>
        <v>42.707328438468735</v>
      </c>
      <c r="T116" s="397"/>
      <c r="U116" s="1840"/>
      <c r="V116" s="1843"/>
      <c r="W116" s="1846"/>
      <c r="X116" s="576"/>
      <c r="Y116" s="1849"/>
      <c r="Z116" s="1852"/>
      <c r="AA116" s="576"/>
      <c r="AB116" s="1855"/>
      <c r="AC116" s="576"/>
      <c r="AD116" s="1858"/>
      <c r="AE116" s="576"/>
      <c r="AF116" s="1873"/>
      <c r="AG116" s="1876"/>
      <c r="AH116" s="397"/>
      <c r="AI116" s="398"/>
      <c r="AJ116" s="398"/>
      <c r="AK116" s="398"/>
      <c r="AL116" s="396" t="s">
        <v>429</v>
      </c>
      <c r="AM116" s="398"/>
      <c r="AN116" s="398"/>
      <c r="AO116" s="398"/>
      <c r="AP116" s="397"/>
    </row>
    <row r="117" spans="1:42" ht="19.5" hidden="1" thickBot="1" x14ac:dyDescent="0.3">
      <c r="A117" s="1834"/>
      <c r="B117" s="298" t="s">
        <v>608</v>
      </c>
      <c r="C117" s="1048"/>
      <c r="D117" s="805" t="s">
        <v>1070</v>
      </c>
      <c r="E117" s="1837"/>
      <c r="F117" s="307">
        <f>'exchange rates'!K28</f>
        <v>11241.536700000001</v>
      </c>
      <c r="G117" s="319">
        <f>0</f>
        <v>0</v>
      </c>
      <c r="H117" s="320">
        <f>366780/F117</f>
        <v>32.62721190066479</v>
      </c>
      <c r="I117" s="321">
        <v>0</v>
      </c>
      <c r="J117" s="559"/>
      <c r="K117" s="313">
        <f>Tabel66892127[[#This Row],[Fix.ch. 2017]]+Tabel66892127[[#This Row],[Var. ch. 2017]]+Tabel66892127[[#This Row],[Oth. ch. DW 2017]]+Tabel66892127[[#This Row],[VAT DW 2017]]</f>
        <v>32.62721190066479</v>
      </c>
      <c r="L117" s="322">
        <f t="shared" ref="L117:L119" si="18">71496/F117</f>
        <v>6.3599845739951189</v>
      </c>
      <c r="M117" s="559"/>
      <c r="N117" s="323">
        <v>0</v>
      </c>
      <c r="O117" s="559"/>
      <c r="P117" s="324">
        <v>0</v>
      </c>
      <c r="Q117" s="559"/>
      <c r="R117" s="317">
        <f>Tabel66892127[[#This Row],[VAT DW 2017]]+Tabel66892127[[#This Row],[VAT Sew. 2017]]+Tabel66892127[[#This Row],[VAT WW 2017]]+Tabel66892127[[#This Row],[VAT Other ch. 2017]]</f>
        <v>0</v>
      </c>
      <c r="S117" s="318">
        <f>Tabel66892127[[#This Row],[Total. ch. DW 2017]]+Tabel66892127[[#This Row],[Sew. 2017]]+Tabel66892127[[#This Row],[VAT Sew. 2017]]+Tabel66892127[[#This Row],[WW 2017]]+Tabel66892127[[#This Row],[VAT WW 2017]]+Tabel66892127[[#This Row],[Other ch. 2017]]+Tabel66892127[[#This Row],[VAT Other ch. 2017]]</f>
        <v>38.98719647465991</v>
      </c>
      <c r="T117" s="397"/>
      <c r="U117" s="1840"/>
      <c r="V117" s="1843"/>
      <c r="W117" s="1846"/>
      <c r="X117" s="576"/>
      <c r="Y117" s="1849"/>
      <c r="Z117" s="1852"/>
      <c r="AA117" s="576"/>
      <c r="AB117" s="1855"/>
      <c r="AC117" s="576"/>
      <c r="AD117" s="1858"/>
      <c r="AE117" s="576"/>
      <c r="AF117" s="1873"/>
      <c r="AG117" s="1876"/>
      <c r="AH117" s="397"/>
      <c r="AI117" s="398"/>
      <c r="AJ117" s="398"/>
      <c r="AK117" s="398"/>
      <c r="AL117" s="396" t="s">
        <v>429</v>
      </c>
      <c r="AM117" s="398"/>
      <c r="AN117" s="398"/>
      <c r="AO117" s="398"/>
      <c r="AP117" s="397"/>
    </row>
    <row r="118" spans="1:42" ht="19.5" hidden="1" thickBot="1" x14ac:dyDescent="0.3">
      <c r="A118" s="1834"/>
      <c r="B118" s="298" t="s">
        <v>609</v>
      </c>
      <c r="C118" s="1048"/>
      <c r="D118" s="805" t="s">
        <v>1070</v>
      </c>
      <c r="E118" s="1837"/>
      <c r="F118" s="307">
        <f>'exchange rates'!K28</f>
        <v>11241.536700000001</v>
      </c>
      <c r="G118" s="319">
        <f>0</f>
        <v>0</v>
      </c>
      <c r="H118" s="320">
        <f>418248/F118</f>
        <v>37.205589516956344</v>
      </c>
      <c r="I118" s="321">
        <v>0</v>
      </c>
      <c r="J118" s="559"/>
      <c r="K118" s="313">
        <f>Tabel66892127[[#This Row],[Fix.ch. 2017]]+Tabel66892127[[#This Row],[Var. ch. 2017]]+Tabel66892127[[#This Row],[Oth. ch. DW 2017]]+Tabel66892127[[#This Row],[VAT DW 2017]]</f>
        <v>37.205589516956344</v>
      </c>
      <c r="L118" s="322">
        <f t="shared" si="18"/>
        <v>6.3599845739951189</v>
      </c>
      <c r="M118" s="559"/>
      <c r="N118" s="323">
        <v>0</v>
      </c>
      <c r="O118" s="559"/>
      <c r="P118" s="324">
        <v>0</v>
      </c>
      <c r="Q118" s="559"/>
      <c r="R118" s="317">
        <f>Tabel66892127[[#This Row],[VAT DW 2017]]+Tabel66892127[[#This Row],[VAT Sew. 2017]]+Tabel66892127[[#This Row],[VAT WW 2017]]+Tabel66892127[[#This Row],[VAT Other ch. 2017]]</f>
        <v>0</v>
      </c>
      <c r="S118" s="318">
        <f>Tabel66892127[[#This Row],[Total. ch. DW 2017]]+Tabel66892127[[#This Row],[Sew. 2017]]+Tabel66892127[[#This Row],[VAT Sew. 2017]]+Tabel66892127[[#This Row],[WW 2017]]+Tabel66892127[[#This Row],[VAT WW 2017]]+Tabel66892127[[#This Row],[Other ch. 2017]]+Tabel66892127[[#This Row],[VAT Other ch. 2017]]</f>
        <v>43.565574090951465</v>
      </c>
      <c r="T118" s="397"/>
      <c r="U118" s="1840"/>
      <c r="V118" s="1843"/>
      <c r="W118" s="1846"/>
      <c r="X118" s="576"/>
      <c r="Y118" s="1849"/>
      <c r="Z118" s="1852"/>
      <c r="AA118" s="576"/>
      <c r="AB118" s="1855"/>
      <c r="AC118" s="576"/>
      <c r="AD118" s="1858"/>
      <c r="AE118" s="576"/>
      <c r="AF118" s="1873"/>
      <c r="AG118" s="1876"/>
      <c r="AH118" s="397"/>
      <c r="AI118" s="398"/>
      <c r="AJ118" s="398"/>
      <c r="AK118" s="398"/>
      <c r="AL118" s="396" t="s">
        <v>429</v>
      </c>
      <c r="AM118" s="398"/>
      <c r="AN118" s="398"/>
      <c r="AO118" s="398"/>
      <c r="AP118" s="397"/>
    </row>
    <row r="119" spans="1:42" ht="19.5" hidden="1" thickBot="1" x14ac:dyDescent="0.3">
      <c r="A119" s="1835"/>
      <c r="B119" s="293" t="s">
        <v>610</v>
      </c>
      <c r="C119" s="1048"/>
      <c r="D119" s="805" t="s">
        <v>1070</v>
      </c>
      <c r="E119" s="2040"/>
      <c r="F119" s="307">
        <f>'exchange rates'!K28</f>
        <v>11241.536700000001</v>
      </c>
      <c r="G119" s="319">
        <f>0</f>
        <v>0</v>
      </c>
      <c r="H119" s="320">
        <f>421464/F119</f>
        <v>37.491671401117252</v>
      </c>
      <c r="I119" s="321">
        <v>0</v>
      </c>
      <c r="J119" s="559"/>
      <c r="K119" s="313">
        <f>Tabel66892127[[#This Row],[Fix.ch. 2017]]+Tabel66892127[[#This Row],[Var. ch. 2017]]+Tabel66892127[[#This Row],[Oth. ch. DW 2017]]+Tabel66892127[[#This Row],[VAT DW 2017]]</f>
        <v>37.491671401117252</v>
      </c>
      <c r="L119" s="322">
        <f t="shared" si="18"/>
        <v>6.3599845739951189</v>
      </c>
      <c r="M119" s="559"/>
      <c r="N119" s="323">
        <v>0</v>
      </c>
      <c r="O119" s="559"/>
      <c r="P119" s="324">
        <v>0</v>
      </c>
      <c r="Q119" s="559"/>
      <c r="R119" s="317">
        <f>Tabel66892127[[#This Row],[VAT DW 2017]]+Tabel66892127[[#This Row],[VAT Sew. 2017]]+Tabel66892127[[#This Row],[VAT WW 2017]]+Tabel66892127[[#This Row],[VAT Other ch. 2017]]</f>
        <v>0</v>
      </c>
      <c r="S119" s="318">
        <f>Tabel66892127[[#This Row],[Total. ch. DW 2017]]+Tabel66892127[[#This Row],[Sew. 2017]]+Tabel66892127[[#This Row],[VAT Sew. 2017]]+Tabel66892127[[#This Row],[WW 2017]]+Tabel66892127[[#This Row],[VAT WW 2017]]+Tabel66892127[[#This Row],[Other ch. 2017]]+Tabel66892127[[#This Row],[VAT Other ch. 2017]]</f>
        <v>43.851655975112372</v>
      </c>
      <c r="T119" s="397"/>
      <c r="U119" s="2042"/>
      <c r="V119" s="2044"/>
      <c r="W119" s="2046"/>
      <c r="X119" s="577"/>
      <c r="Y119" s="2048"/>
      <c r="Z119" s="2023"/>
      <c r="AA119" s="577"/>
      <c r="AB119" s="2025"/>
      <c r="AC119" s="577"/>
      <c r="AD119" s="2034"/>
      <c r="AE119" s="577"/>
      <c r="AF119" s="2036"/>
      <c r="AG119" s="2038"/>
      <c r="AH119" s="397"/>
      <c r="AI119" s="398"/>
      <c r="AJ119" s="398"/>
      <c r="AK119" s="398"/>
      <c r="AL119" s="396" t="s">
        <v>429</v>
      </c>
      <c r="AM119" s="398"/>
      <c r="AN119" s="398"/>
      <c r="AO119" s="398"/>
      <c r="AP119" s="397"/>
    </row>
    <row r="120" spans="1:42" ht="19.5" hidden="1" thickBot="1" x14ac:dyDescent="0.35">
      <c r="A120" s="267" t="s">
        <v>16</v>
      </c>
      <c r="B120" s="296" t="s">
        <v>106</v>
      </c>
      <c r="C120" s="1048" t="s">
        <v>429</v>
      </c>
      <c r="D120" s="811" t="s">
        <v>1072</v>
      </c>
      <c r="E120" s="301">
        <v>34900</v>
      </c>
      <c r="F120" s="308">
        <f>'exchange rates'!K29</f>
        <v>3.4691000000000001</v>
      </c>
      <c r="G120" s="319">
        <v>0</v>
      </c>
      <c r="H120" s="320">
        <f>1632.16/F120</f>
        <v>470.48514023810213</v>
      </c>
      <c r="I120" s="321">
        <v>0</v>
      </c>
      <c r="J120" s="559"/>
      <c r="K120" s="313">
        <f>Tabel66892127[[#This Row],[Fix.ch. 2017]]+Tabel66892127[[#This Row],[Var. ch. 2017]]+Tabel66892127[[#This Row],[Oth. ch. DW 2017]]+Tabel66892127[[#This Row],[VAT DW 2017]]</f>
        <v>470.48514023810213</v>
      </c>
      <c r="L120" s="322">
        <v>0</v>
      </c>
      <c r="M120" s="559"/>
      <c r="N120" s="323">
        <v>0</v>
      </c>
      <c r="O120" s="559"/>
      <c r="P120" s="324">
        <v>0</v>
      </c>
      <c r="Q120" s="559"/>
      <c r="R120" s="317">
        <f>Tabel66892127[[#This Row],[VAT DW 2017]]+Tabel66892127[[#This Row],[VAT Sew. 2017]]+Tabel66892127[[#This Row],[VAT WW 2017]]+Tabel66892127[[#This Row],[VAT Other ch. 2017]]</f>
        <v>0</v>
      </c>
      <c r="S120" s="318">
        <f>Tabel66892127[[#This Row],[Total. ch. DW 2017]]+Tabel66892127[[#This Row],[Sew. 2017]]+Tabel66892127[[#This Row],[VAT Sew. 2017]]+Tabel66892127[[#This Row],[WW 2017]]+Tabel66892127[[#This Row],[VAT WW 2017]]+Tabel66892127[[#This Row],[Other ch. 2017]]+Tabel66892127[[#This Row],[VAT Other ch. 2017]]</f>
        <v>470.48514023810213</v>
      </c>
      <c r="T120" s="397"/>
      <c r="U120" s="331">
        <v>0</v>
      </c>
      <c r="V120" s="332">
        <f>Tabel66892127[[#This Row],[Var. ch. 2017]]</f>
        <v>470.48514023810213</v>
      </c>
      <c r="W120" s="333">
        <v>0</v>
      </c>
      <c r="X120" s="574"/>
      <c r="Y120" s="334">
        <f>Tabel66892127[[#This Row],[Total. ch. DW 2017]]</f>
        <v>470.48514023810213</v>
      </c>
      <c r="Z120" s="335">
        <v>0</v>
      </c>
      <c r="AA120" s="574"/>
      <c r="AB120" s="336">
        <v>0</v>
      </c>
      <c r="AC120" s="574"/>
      <c r="AD120" s="337">
        <v>0</v>
      </c>
      <c r="AE120" s="574"/>
      <c r="AF120" s="338">
        <f>Tabel66892127[[#This Row],[Total VAT 2017]]</f>
        <v>0</v>
      </c>
      <c r="AG120" s="339">
        <f>Tabel66892127[[#This Row],[total charge 2017]]</f>
        <v>470.48514023810213</v>
      </c>
      <c r="AH120" s="397"/>
      <c r="AI120" s="398"/>
      <c r="AJ120" s="398"/>
      <c r="AK120" s="398"/>
      <c r="AL120" s="396" t="s">
        <v>429</v>
      </c>
      <c r="AM120" s="398"/>
      <c r="AN120" s="398"/>
      <c r="AO120" s="398" t="s">
        <v>590</v>
      </c>
      <c r="AP120" s="397"/>
    </row>
    <row r="121" spans="1:42" ht="18" hidden="1" customHeight="1" x14ac:dyDescent="0.3">
      <c r="A121" s="1818" t="s">
        <v>17</v>
      </c>
      <c r="B121" s="546" t="s">
        <v>107</v>
      </c>
      <c r="C121" s="1046"/>
      <c r="D121" s="802" t="s">
        <v>1074</v>
      </c>
      <c r="E121" s="1966">
        <v>38000</v>
      </c>
      <c r="F121" s="616">
        <f>'exchange rates'!$O$30</f>
        <v>0.83301000000000003</v>
      </c>
      <c r="G121" s="549">
        <f>25.34/F121</f>
        <v>30.419802883518805</v>
      </c>
      <c r="H121" s="550">
        <f>41.82/F121</f>
        <v>50.203478949832537</v>
      </c>
      <c r="I121" s="551">
        <f>0.4/F121</f>
        <v>0.48018631228916819</v>
      </c>
      <c r="J121" s="560">
        <f>6.76/F121</f>
        <v>8.1151486776869426</v>
      </c>
      <c r="K121" s="566">
        <f>Tabel66892127[[#This Row],[Fix.ch. 2017]]+Tabel66892127[[#This Row],[Var. ch. 2017]]+Tabel66892127[[#This Row],[Oth. ch. DW 2017]]+Tabel66892127[[#This Row],[VAT DW 2017]]</f>
        <v>89.218616823327451</v>
      </c>
      <c r="L121" s="567">
        <f>21.93/F121</f>
        <v>26.326214571253644</v>
      </c>
      <c r="M121" s="560">
        <f>2.19/F121</f>
        <v>2.6290200597831959</v>
      </c>
      <c r="N121" s="568">
        <f>59.09/F121</f>
        <v>70.935522982917377</v>
      </c>
      <c r="O121" s="560">
        <f>5.91/F121</f>
        <v>7.0947527640724601</v>
      </c>
      <c r="P121" s="569">
        <f>0.8/F121</f>
        <v>0.96037262457833639</v>
      </c>
      <c r="Q121" s="560">
        <f>0.08/F121</f>
        <v>9.6037262457833644E-2</v>
      </c>
      <c r="R121" s="570">
        <f>Tabel66892127[[#This Row],[VAT DW 2017]]+Tabel66892127[[#This Row],[VAT Sew. 2017]]+Tabel66892127[[#This Row],[VAT WW 2017]]+Tabel66892127[[#This Row],[VAT Other ch. 2017]]</f>
        <v>17.934958764000434</v>
      </c>
      <c r="S121" s="571">
        <f>Tabel66892127[[#This Row],[Total. ch. DW 2017]]+Tabel66892127[[#This Row],[Sew. 2017]]+Tabel66892127[[#This Row],[VAT Sew. 2017]]+Tabel66892127[[#This Row],[WW 2017]]+Tabel66892127[[#This Row],[VAT WW 2017]]+Tabel66892127[[#This Row],[Other ch. 2017]]+Tabel66892127[[#This Row],[VAT Other ch. 2017]]</f>
        <v>197.26053708839029</v>
      </c>
      <c r="T121" s="397"/>
      <c r="U121" s="1924">
        <f>MEDIAN(G121:G125)</f>
        <v>13.013049063036458</v>
      </c>
      <c r="V121" s="1925">
        <f>MEDIAN(H121:H125)</f>
        <v>50.203478949832537</v>
      </c>
      <c r="W121" s="1926">
        <f>MEDIAN(I121:I125)</f>
        <v>0.48018631228916819</v>
      </c>
      <c r="X121" s="1908">
        <f>MEDIAN(J121:J125)</f>
        <v>6.5065245315182292</v>
      </c>
      <c r="Y121" s="1916">
        <f>SUM(U121:X125)</f>
        <v>70.203238856676393</v>
      </c>
      <c r="Z121" s="1917">
        <f>MEDIAN(L121:L125)</f>
        <v>26.326214571253644</v>
      </c>
      <c r="AA121" s="1908">
        <f>MEDIAN(M121:M125)</f>
        <v>2.6290200597831959</v>
      </c>
      <c r="AB121" s="1907">
        <f t="shared" ref="AB121:AF121" si="19">MEDIAN(N121:N125)</f>
        <v>70.935522982917377</v>
      </c>
      <c r="AC121" s="1908">
        <f t="shared" si="19"/>
        <v>7.0947527640724601</v>
      </c>
      <c r="AD121" s="1931">
        <f t="shared" si="19"/>
        <v>0.96037262457833639</v>
      </c>
      <c r="AE121" s="1908">
        <f t="shared" si="19"/>
        <v>9.6037262457833644E-2</v>
      </c>
      <c r="AF121" s="1932">
        <f t="shared" si="19"/>
        <v>17.370739847060658</v>
      </c>
      <c r="AG121" s="1831">
        <f>Y121+Z121+AA121+AB121+AC121+AD121+AE121</f>
        <v>178.24515912173922</v>
      </c>
      <c r="AH121" s="397"/>
      <c r="AI121" s="398"/>
      <c r="AJ121" s="398"/>
      <c r="AK121" s="398"/>
      <c r="AL121" s="591" t="s">
        <v>429</v>
      </c>
      <c r="AM121" s="591" t="s">
        <v>429</v>
      </c>
      <c r="AN121" s="398"/>
      <c r="AO121" s="398"/>
      <c r="AP121" s="397"/>
    </row>
    <row r="122" spans="1:42" ht="16.5" hidden="1" thickBot="1" x14ac:dyDescent="0.3">
      <c r="A122" s="1819"/>
      <c r="B122" s="547" t="s">
        <v>108</v>
      </c>
      <c r="C122" s="1046"/>
      <c r="D122" s="802" t="s">
        <v>1074</v>
      </c>
      <c r="E122" s="1760"/>
      <c r="F122" s="616">
        <f>'exchange rates'!$O$30</f>
        <v>0.83301000000000003</v>
      </c>
      <c r="G122" s="549">
        <f>0.3/F122</f>
        <v>0.36013973421687612</v>
      </c>
      <c r="H122" s="550">
        <f>14.18/F122</f>
        <v>17.022604770651011</v>
      </c>
      <c r="I122" s="551">
        <f>0.4/F122</f>
        <v>0.48018631228916819</v>
      </c>
      <c r="J122" s="560">
        <f>1.49/F122</f>
        <v>1.7886940132771514</v>
      </c>
      <c r="K122" s="566">
        <f>Tabel66892127[[#This Row],[Fix.ch. 2017]]+Tabel66892127[[#This Row],[Var. ch. 2017]]+Tabel66892127[[#This Row],[Oth. ch. DW 2017]]+Tabel66892127[[#This Row],[VAT DW 2017]]</f>
        <v>19.651624830434205</v>
      </c>
      <c r="L122" s="567">
        <f>13.93/F122</f>
        <v>16.72248832547028</v>
      </c>
      <c r="M122" s="560">
        <f>1.39/F122</f>
        <v>1.6686474352048593</v>
      </c>
      <c r="N122" s="568">
        <f>35.72/F122</f>
        <v>42.88063768742272</v>
      </c>
      <c r="O122" s="560">
        <f>3.57/F122</f>
        <v>4.2856628371808254</v>
      </c>
      <c r="P122" s="569">
        <f>0.8/F122</f>
        <v>0.96037262457833639</v>
      </c>
      <c r="Q122" s="560">
        <f>0.08/F122</f>
        <v>9.6037262457833644E-2</v>
      </c>
      <c r="R122" s="570">
        <f>Tabel66892127[[#This Row],[VAT DW 2017]]+Tabel66892127[[#This Row],[VAT Sew. 2017]]+Tabel66892127[[#This Row],[VAT WW 2017]]+Tabel66892127[[#This Row],[VAT Other ch. 2017]]</f>
        <v>7.8390415481206706</v>
      </c>
      <c r="S122" s="571">
        <f>Tabel66892127[[#This Row],[Total. ch. DW 2017]]+Tabel66892127[[#This Row],[Sew. 2017]]+Tabel66892127[[#This Row],[VAT Sew. 2017]]+Tabel66892127[[#This Row],[WW 2017]]+Tabel66892127[[#This Row],[VAT WW 2017]]+Tabel66892127[[#This Row],[Other ch. 2017]]+Tabel66892127[[#This Row],[VAT Other ch. 2017]]</f>
        <v>86.265471002749052</v>
      </c>
      <c r="T122" s="397"/>
      <c r="U122" s="1886"/>
      <c r="V122" s="1888"/>
      <c r="W122" s="1890"/>
      <c r="X122" s="1772"/>
      <c r="Y122" s="1892"/>
      <c r="Z122" s="1894"/>
      <c r="AA122" s="1772"/>
      <c r="AB122" s="1911"/>
      <c r="AC122" s="1772"/>
      <c r="AD122" s="1913"/>
      <c r="AE122" s="1772"/>
      <c r="AF122" s="1915"/>
      <c r="AG122" s="1832"/>
      <c r="AH122" s="397"/>
      <c r="AI122" s="398"/>
      <c r="AJ122" s="398"/>
      <c r="AK122" s="398"/>
      <c r="AL122" s="591" t="s">
        <v>429</v>
      </c>
      <c r="AM122" s="591" t="s">
        <v>429</v>
      </c>
      <c r="AN122" s="398"/>
      <c r="AO122" s="398"/>
      <c r="AP122" s="397"/>
    </row>
    <row r="123" spans="1:42" ht="16.5" hidden="1" thickBot="1" x14ac:dyDescent="0.3">
      <c r="A123" s="1819"/>
      <c r="B123" s="547" t="s">
        <v>109</v>
      </c>
      <c r="C123" s="1046"/>
      <c r="D123" s="802" t="s">
        <v>1074</v>
      </c>
      <c r="E123" s="1760"/>
      <c r="F123" s="616">
        <f>'exchange rates'!$O$30</f>
        <v>0.83301000000000003</v>
      </c>
      <c r="G123" s="549">
        <f>10.84/F123</f>
        <v>13.013049063036458</v>
      </c>
      <c r="H123" s="550">
        <f>61.56/F123</f>
        <v>73.900673461302986</v>
      </c>
      <c r="I123" s="551">
        <f>0.4/F123</f>
        <v>0.48018631228916819</v>
      </c>
      <c r="J123" s="560">
        <f>7.28/F123</f>
        <v>8.7393908836628604</v>
      </c>
      <c r="K123" s="566">
        <f>Tabel66892127[[#This Row],[Fix.ch. 2017]]+Tabel66892127[[#This Row],[Var. ch. 2017]]+Tabel66892127[[#This Row],[Oth. ch. DW 2017]]+Tabel66892127[[#This Row],[VAT DW 2017]]</f>
        <v>96.133299720291475</v>
      </c>
      <c r="L123" s="567">
        <f>11.62/F123</f>
        <v>13.949412372000335</v>
      </c>
      <c r="M123" s="560">
        <f>1.16/F123</f>
        <v>1.3925403056385877</v>
      </c>
      <c r="N123" s="568">
        <f>31.04/F123</f>
        <v>37.262457833639452</v>
      </c>
      <c r="O123" s="560">
        <f>3.1/F123</f>
        <v>3.7214439202410534</v>
      </c>
      <c r="P123" s="569">
        <f>0.8/F123</f>
        <v>0.96037262457833639</v>
      </c>
      <c r="Q123" s="560">
        <f>0.08/F123</f>
        <v>9.6037262457833644E-2</v>
      </c>
      <c r="R123" s="570">
        <f>Tabel66892127[[#This Row],[VAT DW 2017]]+Tabel66892127[[#This Row],[VAT Sew. 2017]]+Tabel66892127[[#This Row],[VAT WW 2017]]+Tabel66892127[[#This Row],[VAT Other ch. 2017]]</f>
        <v>13.949412372000335</v>
      </c>
      <c r="S123" s="571">
        <f>Tabel66892127[[#This Row],[Total. ch. DW 2017]]+Tabel66892127[[#This Row],[Sew. 2017]]+Tabel66892127[[#This Row],[VAT Sew. 2017]]+Tabel66892127[[#This Row],[WW 2017]]+Tabel66892127[[#This Row],[VAT WW 2017]]+Tabel66892127[[#This Row],[Other ch. 2017]]+Tabel66892127[[#This Row],[VAT Other ch. 2017]]</f>
        <v>153.51556403884706</v>
      </c>
      <c r="T123" s="397"/>
      <c r="U123" s="1886"/>
      <c r="V123" s="1888"/>
      <c r="W123" s="1890"/>
      <c r="X123" s="1772"/>
      <c r="Y123" s="1892"/>
      <c r="Z123" s="1894"/>
      <c r="AA123" s="1772"/>
      <c r="AB123" s="1911"/>
      <c r="AC123" s="1772"/>
      <c r="AD123" s="1913"/>
      <c r="AE123" s="1772"/>
      <c r="AF123" s="1915"/>
      <c r="AG123" s="1832"/>
      <c r="AH123" s="397"/>
      <c r="AI123" s="398"/>
      <c r="AJ123" s="398"/>
      <c r="AK123" s="398"/>
      <c r="AL123" s="591" t="s">
        <v>429</v>
      </c>
      <c r="AM123" s="591" t="s">
        <v>429</v>
      </c>
      <c r="AN123" s="398"/>
      <c r="AO123" s="398"/>
      <c r="AP123" s="397"/>
    </row>
    <row r="124" spans="1:42" ht="16.5" hidden="1" thickBot="1" x14ac:dyDescent="0.3">
      <c r="A124" s="1819"/>
      <c r="B124" s="547" t="s">
        <v>110</v>
      </c>
      <c r="C124" s="1046" t="s">
        <v>429</v>
      </c>
      <c r="D124" s="802" t="s">
        <v>1074</v>
      </c>
      <c r="E124" s="1760"/>
      <c r="F124" s="616">
        <f>'exchange rates'!$O$30</f>
        <v>0.83301000000000003</v>
      </c>
      <c r="G124" s="549">
        <f>18.35/F124</f>
        <v>22.028547076265593</v>
      </c>
      <c r="H124" s="550">
        <f>25.8/F124</f>
        <v>30.97201714265135</v>
      </c>
      <c r="I124" s="551">
        <f>0.4/F124</f>
        <v>0.48018631228916819</v>
      </c>
      <c r="J124" s="560">
        <f>4.45/F124</f>
        <v>5.3420727242169965</v>
      </c>
      <c r="K124" s="566">
        <f>Tabel66892127[[#This Row],[Fix.ch. 2017]]+Tabel66892127[[#This Row],[Var. ch. 2017]]+Tabel66892127[[#This Row],[Oth. ch. DW 2017]]+Tabel66892127[[#This Row],[VAT DW 2017]]</f>
        <v>58.82282325542311</v>
      </c>
      <c r="L124" s="567">
        <f>25.49/F124</f>
        <v>30.599872750627242</v>
      </c>
      <c r="M124" s="560">
        <f>2.55/F124</f>
        <v>3.0611877408434469</v>
      </c>
      <c r="N124" s="568">
        <f>73.9/F124</f>
        <v>88.714421195423824</v>
      </c>
      <c r="O124" s="560">
        <f>7.39/F124</f>
        <v>8.8714421195423814</v>
      </c>
      <c r="P124" s="569">
        <f>0.8/F124</f>
        <v>0.96037262457833639</v>
      </c>
      <c r="Q124" s="560">
        <f>0.08/F124</f>
        <v>9.6037262457833644E-2</v>
      </c>
      <c r="R124" s="570">
        <f>Tabel66892127[[#This Row],[VAT DW 2017]]+Tabel66892127[[#This Row],[VAT Sew. 2017]]+Tabel66892127[[#This Row],[VAT WW 2017]]+Tabel66892127[[#This Row],[VAT Other ch. 2017]]</f>
        <v>17.370739847060658</v>
      </c>
      <c r="S124" s="571">
        <f>Tabel66892127[[#This Row],[Total. ch. DW 2017]]+Tabel66892127[[#This Row],[Sew. 2017]]+Tabel66892127[[#This Row],[VAT Sew. 2017]]+Tabel66892127[[#This Row],[WW 2017]]+Tabel66892127[[#This Row],[VAT WW 2017]]+Tabel66892127[[#This Row],[Other ch. 2017]]+Tabel66892127[[#This Row],[VAT Other ch. 2017]]</f>
        <v>191.12615694889618</v>
      </c>
      <c r="T124" s="397"/>
      <c r="U124" s="1886"/>
      <c r="V124" s="1888"/>
      <c r="W124" s="1890"/>
      <c r="X124" s="1772"/>
      <c r="Y124" s="1892"/>
      <c r="Z124" s="1894"/>
      <c r="AA124" s="1772"/>
      <c r="AB124" s="1911"/>
      <c r="AC124" s="1772"/>
      <c r="AD124" s="1913"/>
      <c r="AE124" s="1772"/>
      <c r="AF124" s="1915"/>
      <c r="AG124" s="1832"/>
      <c r="AH124" s="397"/>
      <c r="AI124" s="398"/>
      <c r="AJ124" s="398"/>
      <c r="AK124" s="398"/>
      <c r="AL124" s="591" t="s">
        <v>429</v>
      </c>
      <c r="AM124" s="591" t="s">
        <v>429</v>
      </c>
      <c r="AN124" s="398"/>
      <c r="AO124" s="398"/>
      <c r="AP124" s="397"/>
    </row>
    <row r="125" spans="1:42" ht="16.5" hidden="1" thickBot="1" x14ac:dyDescent="0.3">
      <c r="A125" s="1820"/>
      <c r="B125" s="613" t="s">
        <v>111</v>
      </c>
      <c r="C125" s="1046"/>
      <c r="D125" s="807" t="s">
        <v>1074</v>
      </c>
      <c r="E125" s="1799"/>
      <c r="F125" s="616">
        <f>'exchange rates'!$O$30</f>
        <v>0.83301000000000003</v>
      </c>
      <c r="G125" s="549">
        <f>8.64/F125</f>
        <v>10.372024345446034</v>
      </c>
      <c r="H125" s="550">
        <f>45.19/F125</f>
        <v>54.249048630868771</v>
      </c>
      <c r="I125" s="551">
        <f>0.4/F125</f>
        <v>0.48018631228916819</v>
      </c>
      <c r="J125" s="560">
        <f>5.42/F125</f>
        <v>6.5065245315182292</v>
      </c>
      <c r="K125" s="566">
        <f>Tabel66892127[[#This Row],[Fix.ch. 2017]]+Tabel66892127[[#This Row],[Var. ch. 2017]]+Tabel66892127[[#This Row],[Oth. ch. DW 2017]]+Tabel66892127[[#This Row],[VAT DW 2017]]</f>
        <v>71.607783820122194</v>
      </c>
      <c r="L125" s="567">
        <f>27.46/F125</f>
        <v>32.964790338651397</v>
      </c>
      <c r="M125" s="560">
        <f>2.75/F125</f>
        <v>3.3012808969880312</v>
      </c>
      <c r="N125" s="568">
        <f>73.22/F125</f>
        <v>87.898104464532238</v>
      </c>
      <c r="O125" s="560">
        <f>7.32/F125</f>
        <v>8.7874095148917775</v>
      </c>
      <c r="P125" s="569">
        <f>0.8/F125</f>
        <v>0.96037262457833639</v>
      </c>
      <c r="Q125" s="560">
        <f>0.08/F125</f>
        <v>9.6037262457833644E-2</v>
      </c>
      <c r="R125" s="570">
        <f>Tabel66892127[[#This Row],[VAT DW 2017]]+Tabel66892127[[#This Row],[VAT Sew. 2017]]+Tabel66892127[[#This Row],[VAT WW 2017]]+Tabel66892127[[#This Row],[VAT Other ch. 2017]]</f>
        <v>18.691252205855871</v>
      </c>
      <c r="S125" s="571">
        <f>Tabel66892127[[#This Row],[Total. ch. DW 2017]]+Tabel66892127[[#This Row],[Sew. 2017]]+Tabel66892127[[#This Row],[VAT Sew. 2017]]+Tabel66892127[[#This Row],[WW 2017]]+Tabel66892127[[#This Row],[VAT WW 2017]]+Tabel66892127[[#This Row],[Other ch. 2017]]+Tabel66892127[[#This Row],[VAT Other ch. 2017]]</f>
        <v>205.61577892222181</v>
      </c>
      <c r="T125" s="397"/>
      <c r="U125" s="1801"/>
      <c r="V125" s="1803"/>
      <c r="W125" s="1805"/>
      <c r="X125" s="1773"/>
      <c r="Y125" s="1807"/>
      <c r="Z125" s="1809"/>
      <c r="AA125" s="1773"/>
      <c r="AB125" s="1782"/>
      <c r="AC125" s="1773"/>
      <c r="AD125" s="1786"/>
      <c r="AE125" s="1773"/>
      <c r="AF125" s="1789"/>
      <c r="AG125" s="1792"/>
      <c r="AH125" s="397"/>
      <c r="AI125" s="398"/>
      <c r="AJ125" s="398"/>
      <c r="AK125" s="398"/>
      <c r="AL125" s="591" t="s">
        <v>429</v>
      </c>
      <c r="AM125" s="591" t="s">
        <v>429</v>
      </c>
      <c r="AN125" s="398"/>
      <c r="AO125" s="398"/>
      <c r="AP125" s="397"/>
    </row>
    <row r="126" spans="1:42" ht="18" hidden="1" customHeight="1" x14ac:dyDescent="0.3">
      <c r="A126" s="1818" t="s">
        <v>18</v>
      </c>
      <c r="B126" s="546" t="s">
        <v>112</v>
      </c>
      <c r="C126" s="1046"/>
      <c r="D126" s="802" t="s">
        <v>1076</v>
      </c>
      <c r="E126" s="1966">
        <v>42700</v>
      </c>
      <c r="F126" s="617">
        <f>'exchange rates'!$O$31</f>
        <v>112.66098</v>
      </c>
      <c r="G126" s="549">
        <f>7500/F126</f>
        <v>66.571407420741423</v>
      </c>
      <c r="H126" s="550">
        <f>240/F126</f>
        <v>2.1302850374637252</v>
      </c>
      <c r="I126" s="551">
        <f>0</f>
        <v>0</v>
      </c>
      <c r="J126" s="560">
        <f>610/F126</f>
        <v>5.414474470220302</v>
      </c>
      <c r="K126" s="566">
        <f>Tabel66892127[[#This Row],[Fix.ch. 2017]]+Tabel66892127[[#This Row],[Var. ch. 2017]]+Tabel66892127[[#This Row],[Oth. ch. DW 2017]]+Tabel66892127[[#This Row],[VAT DW 2017]]</f>
        <v>74.116166928425443</v>
      </c>
      <c r="L126" s="567">
        <f>6720/F126</f>
        <v>59.647981048984306</v>
      </c>
      <c r="M126" s="560">
        <f>530/F126</f>
        <v>4.7043794577323936</v>
      </c>
      <c r="N126" s="568">
        <v>0</v>
      </c>
      <c r="O126" s="560">
        <v>0</v>
      </c>
      <c r="P126" s="569">
        <v>0</v>
      </c>
      <c r="Q126" s="560">
        <v>0</v>
      </c>
      <c r="R126" s="570">
        <f>Tabel66892127[[#This Row],[VAT DW 2017]]+Tabel66892127[[#This Row],[VAT Sew. 2017]]+Tabel66892127[[#This Row],[VAT WW 2017]]+Tabel66892127[[#This Row],[VAT Other ch. 2017]]</f>
        <v>10.118853927952696</v>
      </c>
      <c r="S126" s="571">
        <f>Tabel66892127[[#This Row],[Total. ch. DW 2017]]+Tabel66892127[[#This Row],[Sew. 2017]]+Tabel66892127[[#This Row],[VAT Sew. 2017]]+Tabel66892127[[#This Row],[WW 2017]]+Tabel66892127[[#This Row],[VAT WW 2017]]+Tabel66892127[[#This Row],[Other ch. 2017]]+Tabel66892127[[#This Row],[VAT Other ch. 2017]]</f>
        <v>138.46852743514214</v>
      </c>
      <c r="T126" s="397"/>
      <c r="U126" s="1800">
        <f>MEDIAN(G126:G133)</f>
        <v>90.537114092208327</v>
      </c>
      <c r="V126" s="1802">
        <f>MEDIAN(H126:H133)</f>
        <v>6.1245694827082104</v>
      </c>
      <c r="W126" s="1804">
        <f>MEDIAN(I126:I133)</f>
        <v>0</v>
      </c>
      <c r="X126" s="1771">
        <f>MEDIAN(J126:J133)</f>
        <v>8.1350259868146004</v>
      </c>
      <c r="Y126" s="1806">
        <f>SUM(U126:X133)</f>
        <v>104.79670956173113</v>
      </c>
      <c r="Z126" s="1808">
        <f t="shared" ref="Z126:AF126" si="20">MEDIAN(L126:L133)</f>
        <v>65.861312408253511</v>
      </c>
      <c r="AA126" s="1771">
        <f t="shared" si="20"/>
        <v>5.2458269047544235</v>
      </c>
      <c r="AB126" s="1780">
        <f t="shared" si="20"/>
        <v>0</v>
      </c>
      <c r="AC126" s="1771">
        <f t="shared" si="20"/>
        <v>0</v>
      </c>
      <c r="AD126" s="1784">
        <f t="shared" si="20"/>
        <v>0</v>
      </c>
      <c r="AE126" s="1771">
        <f t="shared" si="20"/>
        <v>0</v>
      </c>
      <c r="AF126" s="1787">
        <f t="shared" si="20"/>
        <v>14.379424002880146</v>
      </c>
      <c r="AG126" s="1790">
        <f>Y126+Z126+AA126+AB126+AC126+AD126+AE126</f>
        <v>175.90384887473908</v>
      </c>
      <c r="AH126" s="397"/>
      <c r="AI126" s="591" t="s">
        <v>429</v>
      </c>
      <c r="AJ126" s="396"/>
      <c r="AK126" s="398"/>
      <c r="AL126" s="591" t="s">
        <v>429</v>
      </c>
      <c r="AM126" s="398"/>
      <c r="AN126" s="398"/>
      <c r="AO126" s="398"/>
      <c r="AP126" s="397"/>
    </row>
    <row r="127" spans="1:42" ht="16.5" hidden="1" thickBot="1" x14ac:dyDescent="0.3">
      <c r="A127" s="1819"/>
      <c r="B127" s="547" t="s">
        <v>113</v>
      </c>
      <c r="C127" s="1046"/>
      <c r="D127" s="802" t="s">
        <v>1076</v>
      </c>
      <c r="E127" s="1967"/>
      <c r="F127" s="617">
        <f>'exchange rates'!$O$31</f>
        <v>112.66098</v>
      </c>
      <c r="G127" s="549">
        <f>10200/F127</f>
        <v>90.537114092208327</v>
      </c>
      <c r="H127" s="550">
        <f>1000/F127</f>
        <v>8.8761876560988551</v>
      </c>
      <c r="I127" s="551">
        <v>0</v>
      </c>
      <c r="J127" s="560">
        <f>893/F127</f>
        <v>7.926435576896278</v>
      </c>
      <c r="K127" s="566">
        <f>Tabel66892127[[#This Row],[Fix.ch. 2017]]+Tabel66892127[[#This Row],[Var. ch. 2017]]+Tabel66892127[[#This Row],[Oth. ch. DW 2017]]+Tabel66892127[[#This Row],[VAT DW 2017]]</f>
        <v>107.33973732520346</v>
      </c>
      <c r="L127" s="567">
        <f>6600/F127</f>
        <v>58.582838530252445</v>
      </c>
      <c r="M127" s="560">
        <f>527/F127</f>
        <v>4.6777508947640971</v>
      </c>
      <c r="N127" s="568">
        <v>0</v>
      </c>
      <c r="O127" s="560">
        <v>0</v>
      </c>
      <c r="P127" s="569">
        <v>0</v>
      </c>
      <c r="Q127" s="560">
        <v>0</v>
      </c>
      <c r="R127" s="570">
        <f>Tabel66892127[[#This Row],[VAT DW 2017]]+Tabel66892127[[#This Row],[VAT Sew. 2017]]+Tabel66892127[[#This Row],[VAT WW 2017]]+Tabel66892127[[#This Row],[VAT Other ch. 2017]]</f>
        <v>12.604186471660375</v>
      </c>
      <c r="S127" s="571">
        <f>Tabel66892127[[#This Row],[Total. ch. DW 2017]]+Tabel66892127[[#This Row],[Sew. 2017]]+Tabel66892127[[#This Row],[VAT Sew. 2017]]+Tabel66892127[[#This Row],[WW 2017]]+Tabel66892127[[#This Row],[VAT WW 2017]]+Tabel66892127[[#This Row],[Other ch. 2017]]+Tabel66892127[[#This Row],[VAT Other ch. 2017]]</f>
        <v>170.60032675022001</v>
      </c>
      <c r="T127" s="397"/>
      <c r="U127" s="1763"/>
      <c r="V127" s="1766"/>
      <c r="W127" s="1769"/>
      <c r="X127" s="1772"/>
      <c r="Y127" s="1775"/>
      <c r="Z127" s="1778"/>
      <c r="AA127" s="1772"/>
      <c r="AB127" s="1781"/>
      <c r="AC127" s="1772"/>
      <c r="AD127" s="1785"/>
      <c r="AE127" s="1772"/>
      <c r="AF127" s="1788"/>
      <c r="AG127" s="1791"/>
      <c r="AH127" s="397"/>
      <c r="AI127" s="591" t="s">
        <v>429</v>
      </c>
      <c r="AJ127" s="396"/>
      <c r="AK127" s="398"/>
      <c r="AL127" s="591" t="s">
        <v>429</v>
      </c>
      <c r="AM127" s="398"/>
      <c r="AN127" s="398"/>
      <c r="AO127" s="398"/>
      <c r="AP127" s="397"/>
    </row>
    <row r="128" spans="1:42" ht="16.5" hidden="1" thickBot="1" x14ac:dyDescent="0.3">
      <c r="A128" s="1819"/>
      <c r="B128" s="547" t="s">
        <v>114</v>
      </c>
      <c r="C128" s="1046"/>
      <c r="D128" s="802" t="s">
        <v>1076</v>
      </c>
      <c r="E128" s="1967"/>
      <c r="F128" s="617">
        <f>'exchange rates'!$O$31</f>
        <v>112.66098</v>
      </c>
      <c r="G128" s="549">
        <f>9720/F128</f>
        <v>86.27654401728087</v>
      </c>
      <c r="H128" s="550">
        <f>500/F128</f>
        <v>4.4380938280494275</v>
      </c>
      <c r="I128" s="551">
        <v>0</v>
      </c>
      <c r="J128" s="560">
        <f>815/F128</f>
        <v>7.2340929397205675</v>
      </c>
      <c r="K128" s="566">
        <f>Tabel66892127[[#This Row],[Fix.ch. 2017]]+Tabel66892127[[#This Row],[Var. ch. 2017]]+Tabel66892127[[#This Row],[Oth. ch. DW 2017]]+Tabel66892127[[#This Row],[VAT DW 2017]]</f>
        <v>97.94873078505087</v>
      </c>
      <c r="L128" s="567">
        <f>8480/F128</f>
        <v>75.270071323718298</v>
      </c>
      <c r="M128" s="560">
        <f>677/F128</f>
        <v>6.0091790431789249</v>
      </c>
      <c r="N128" s="568">
        <v>0</v>
      </c>
      <c r="O128" s="560">
        <v>0</v>
      </c>
      <c r="P128" s="569">
        <v>0</v>
      </c>
      <c r="Q128" s="560">
        <v>0</v>
      </c>
      <c r="R128" s="570">
        <f>Tabel66892127[[#This Row],[VAT DW 2017]]+Tabel66892127[[#This Row],[VAT Sew. 2017]]+Tabel66892127[[#This Row],[VAT WW 2017]]+Tabel66892127[[#This Row],[VAT Other ch. 2017]]</f>
        <v>13.243271982899493</v>
      </c>
      <c r="S128" s="571">
        <f>Tabel66892127[[#This Row],[Total. ch. DW 2017]]+Tabel66892127[[#This Row],[Sew. 2017]]+Tabel66892127[[#This Row],[VAT Sew. 2017]]+Tabel66892127[[#This Row],[WW 2017]]+Tabel66892127[[#This Row],[VAT WW 2017]]+Tabel66892127[[#This Row],[Other ch. 2017]]+Tabel66892127[[#This Row],[VAT Other ch. 2017]]</f>
        <v>179.22798115194811</v>
      </c>
      <c r="T128" s="397"/>
      <c r="U128" s="1763"/>
      <c r="V128" s="1766"/>
      <c r="W128" s="1769"/>
      <c r="X128" s="1772"/>
      <c r="Y128" s="1775"/>
      <c r="Z128" s="1778"/>
      <c r="AA128" s="1772"/>
      <c r="AB128" s="1781"/>
      <c r="AC128" s="1772"/>
      <c r="AD128" s="1785"/>
      <c r="AE128" s="1772"/>
      <c r="AF128" s="1788"/>
      <c r="AG128" s="1791"/>
      <c r="AH128" s="397"/>
      <c r="AI128" s="591" t="s">
        <v>429</v>
      </c>
      <c r="AJ128" s="396"/>
      <c r="AK128" s="398"/>
      <c r="AL128" s="591" t="s">
        <v>429</v>
      </c>
      <c r="AM128" s="398"/>
      <c r="AN128" s="398"/>
      <c r="AO128" s="398"/>
      <c r="AP128" s="397"/>
    </row>
    <row r="129" spans="1:42" ht="16.5" hidden="1" thickBot="1" x14ac:dyDescent="0.3">
      <c r="A129" s="1819"/>
      <c r="B129" s="547" t="s">
        <v>115</v>
      </c>
      <c r="C129" s="1046"/>
      <c r="D129" s="802" t="s">
        <v>1076</v>
      </c>
      <c r="E129" s="1967"/>
      <c r="F129" s="617">
        <f>'exchange rates'!$O$31</f>
        <v>112.66098</v>
      </c>
      <c r="G129" s="549">
        <f>10200/F129</f>
        <v>90.537114092208327</v>
      </c>
      <c r="H129" s="550">
        <f>1632/F129</f>
        <v>14.485938254753332</v>
      </c>
      <c r="I129" s="551">
        <v>0</v>
      </c>
      <c r="J129" s="560">
        <f>940/F129</f>
        <v>8.3436163967329247</v>
      </c>
      <c r="K129" s="566">
        <f>Tabel66892127[[#This Row],[Fix.ch. 2017]]+Tabel66892127[[#This Row],[Var. ch. 2017]]+Tabel66892127[[#This Row],[Oth. ch. DW 2017]]+Tabel66892127[[#This Row],[VAT DW 2017]]</f>
        <v>113.36666874369459</v>
      </c>
      <c r="L129" s="567">
        <f>10368/F129</f>
        <v>92.028313618432932</v>
      </c>
      <c r="M129" s="560">
        <f>824/F129</f>
        <v>7.3139786286254571</v>
      </c>
      <c r="N129" s="568">
        <v>0</v>
      </c>
      <c r="O129" s="560">
        <v>0</v>
      </c>
      <c r="P129" s="569">
        <v>0</v>
      </c>
      <c r="Q129" s="560">
        <v>0</v>
      </c>
      <c r="R129" s="570">
        <f>Tabel66892127[[#This Row],[VAT DW 2017]]+Tabel66892127[[#This Row],[VAT Sew. 2017]]+Tabel66892127[[#This Row],[VAT WW 2017]]+Tabel66892127[[#This Row],[VAT Other ch. 2017]]</f>
        <v>15.657595025358383</v>
      </c>
      <c r="S129" s="571">
        <f>Tabel66892127[[#This Row],[Total. ch. DW 2017]]+Tabel66892127[[#This Row],[Sew. 2017]]+Tabel66892127[[#This Row],[VAT Sew. 2017]]+Tabel66892127[[#This Row],[WW 2017]]+Tabel66892127[[#This Row],[VAT WW 2017]]+Tabel66892127[[#This Row],[Other ch. 2017]]+Tabel66892127[[#This Row],[VAT Other ch. 2017]]</f>
        <v>212.70896099075296</v>
      </c>
      <c r="T129" s="397"/>
      <c r="U129" s="1763"/>
      <c r="V129" s="1766"/>
      <c r="W129" s="1769"/>
      <c r="X129" s="1772"/>
      <c r="Y129" s="1775"/>
      <c r="Z129" s="1778"/>
      <c r="AA129" s="1772"/>
      <c r="AB129" s="1781"/>
      <c r="AC129" s="1772"/>
      <c r="AD129" s="1785"/>
      <c r="AE129" s="1772"/>
      <c r="AF129" s="1788"/>
      <c r="AG129" s="1791"/>
      <c r="AH129" s="397"/>
      <c r="AI129" s="591" t="s">
        <v>429</v>
      </c>
      <c r="AJ129" s="396"/>
      <c r="AK129" s="398"/>
      <c r="AL129" s="591" t="s">
        <v>429</v>
      </c>
      <c r="AM129" s="398"/>
      <c r="AN129" s="398"/>
      <c r="AO129" s="398"/>
      <c r="AP129" s="397"/>
    </row>
    <row r="130" spans="1:42" ht="16.5" hidden="1" thickBot="1" x14ac:dyDescent="0.3">
      <c r="A130" s="1819"/>
      <c r="B130" s="547" t="s">
        <v>116</v>
      </c>
      <c r="C130" s="1046"/>
      <c r="D130" s="802" t="s">
        <v>1076</v>
      </c>
      <c r="E130" s="1967"/>
      <c r="F130" s="617">
        <f>'exchange rates'!$O$31</f>
        <v>112.66098</v>
      </c>
      <c r="G130" s="549">
        <f>15840/F130</f>
        <v>140.59881247260589</v>
      </c>
      <c r="H130" s="550">
        <v>0</v>
      </c>
      <c r="I130" s="551">
        <v>0</v>
      </c>
      <c r="J130" s="560">
        <f>1262/F130</f>
        <v>11.201748821996755</v>
      </c>
      <c r="K130" s="566">
        <f>Tabel66892127[[#This Row],[Fix.ch. 2017]]+Tabel66892127[[#This Row],[Var. ch. 2017]]+Tabel66892127[[#This Row],[Oth. ch. DW 2017]]+Tabel66892127[[#This Row],[VAT DW 2017]]</f>
        <v>151.80056129460263</v>
      </c>
      <c r="L130" s="567">
        <f>7200/F130</f>
        <v>63.908551123911757</v>
      </c>
      <c r="M130" s="560">
        <f>574/F130</f>
        <v>5.0949317146007429</v>
      </c>
      <c r="N130" s="568">
        <v>0</v>
      </c>
      <c r="O130" s="560">
        <v>0</v>
      </c>
      <c r="P130" s="569">
        <v>0</v>
      </c>
      <c r="Q130" s="560">
        <v>0</v>
      </c>
      <c r="R130" s="570">
        <f>Tabel66892127[[#This Row],[VAT DW 2017]]+Tabel66892127[[#This Row],[VAT Sew. 2017]]+Tabel66892127[[#This Row],[VAT WW 2017]]+Tabel66892127[[#This Row],[VAT Other ch. 2017]]</f>
        <v>16.296680536597499</v>
      </c>
      <c r="S130" s="571">
        <f>Tabel66892127[[#This Row],[Total. ch. DW 2017]]+Tabel66892127[[#This Row],[Sew. 2017]]+Tabel66892127[[#This Row],[VAT Sew. 2017]]+Tabel66892127[[#This Row],[WW 2017]]+Tabel66892127[[#This Row],[VAT WW 2017]]+Tabel66892127[[#This Row],[Other ch. 2017]]+Tabel66892127[[#This Row],[VAT Other ch. 2017]]</f>
        <v>220.80404413311513</v>
      </c>
      <c r="T130" s="397"/>
      <c r="U130" s="1763"/>
      <c r="V130" s="1766"/>
      <c r="W130" s="1769"/>
      <c r="X130" s="1772"/>
      <c r="Y130" s="1775"/>
      <c r="Z130" s="1778"/>
      <c r="AA130" s="1772"/>
      <c r="AB130" s="1781"/>
      <c r="AC130" s="1772"/>
      <c r="AD130" s="1785"/>
      <c r="AE130" s="1772"/>
      <c r="AF130" s="1788"/>
      <c r="AG130" s="1791"/>
      <c r="AH130" s="397"/>
      <c r="AI130" s="591" t="s">
        <v>429</v>
      </c>
      <c r="AJ130" s="396"/>
      <c r="AK130" s="398"/>
      <c r="AL130" s="591" t="s">
        <v>429</v>
      </c>
      <c r="AM130" s="398"/>
      <c r="AN130" s="398"/>
      <c r="AO130" s="398"/>
      <c r="AP130" s="397"/>
    </row>
    <row r="131" spans="1:42" ht="16.5" hidden="1" thickBot="1" x14ac:dyDescent="0.3">
      <c r="A131" s="1819"/>
      <c r="B131" s="547" t="s">
        <v>117</v>
      </c>
      <c r="C131" s="1046"/>
      <c r="D131" s="802" t="s">
        <v>1076</v>
      </c>
      <c r="E131" s="1967"/>
      <c r="F131" s="617">
        <f>'exchange rates'!$O$31</f>
        <v>112.66098</v>
      </c>
      <c r="G131" s="549">
        <f>15000/F131</f>
        <v>133.14281484148285</v>
      </c>
      <c r="H131" s="550">
        <f>7968/F131</f>
        <v>70.725463243795687</v>
      </c>
      <c r="I131" s="551">
        <v>0</v>
      </c>
      <c r="J131" s="560">
        <f>1834/F131</f>
        <v>16.2789281612853</v>
      </c>
      <c r="K131" s="566">
        <f>Tabel66892127[[#This Row],[Fix.ch. 2017]]+Tabel66892127[[#This Row],[Var. ch. 2017]]+Tabel66892127[[#This Row],[Oth. ch. DW 2017]]+Tabel66892127[[#This Row],[VAT DW 2017]]</f>
        <v>220.14720624656383</v>
      </c>
      <c r="L131" s="567">
        <f>8436/F131</f>
        <v>74.879519066849952</v>
      </c>
      <c r="M131" s="560">
        <f>674/F131</f>
        <v>5.9825504802106284</v>
      </c>
      <c r="N131" s="568">
        <v>0</v>
      </c>
      <c r="O131" s="560">
        <v>0</v>
      </c>
      <c r="P131" s="569">
        <v>0</v>
      </c>
      <c r="Q131" s="560">
        <v>0</v>
      </c>
      <c r="R131" s="570">
        <f>Tabel66892127[[#This Row],[VAT DW 2017]]+Tabel66892127[[#This Row],[VAT Sew. 2017]]+Tabel66892127[[#This Row],[VAT WW 2017]]+Tabel66892127[[#This Row],[VAT Other ch. 2017]]</f>
        <v>22.261478641495927</v>
      </c>
      <c r="S131" s="571">
        <f>Tabel66892127[[#This Row],[Total. ch. DW 2017]]+Tabel66892127[[#This Row],[Sew. 2017]]+Tabel66892127[[#This Row],[VAT Sew. 2017]]+Tabel66892127[[#This Row],[WW 2017]]+Tabel66892127[[#This Row],[VAT WW 2017]]+Tabel66892127[[#This Row],[Other ch. 2017]]+Tabel66892127[[#This Row],[VAT Other ch. 2017]]</f>
        <v>301.0092757936244</v>
      </c>
      <c r="T131" s="397"/>
      <c r="U131" s="1763"/>
      <c r="V131" s="1766"/>
      <c r="W131" s="1769"/>
      <c r="X131" s="1772"/>
      <c r="Y131" s="1775"/>
      <c r="Z131" s="1778"/>
      <c r="AA131" s="1772"/>
      <c r="AB131" s="1781"/>
      <c r="AC131" s="1772"/>
      <c r="AD131" s="1785"/>
      <c r="AE131" s="1772"/>
      <c r="AF131" s="1788"/>
      <c r="AG131" s="1791"/>
      <c r="AH131" s="397"/>
      <c r="AI131" s="591" t="s">
        <v>429</v>
      </c>
      <c r="AJ131" s="396"/>
      <c r="AK131" s="398"/>
      <c r="AL131" s="591" t="s">
        <v>429</v>
      </c>
      <c r="AM131" s="398"/>
      <c r="AN131" s="398"/>
      <c r="AO131" s="398"/>
      <c r="AP131" s="397"/>
    </row>
    <row r="132" spans="1:42" ht="16.5" hidden="1" thickBot="1" x14ac:dyDescent="0.3">
      <c r="A132" s="1819"/>
      <c r="B132" s="547" t="s">
        <v>118</v>
      </c>
      <c r="C132" s="1046" t="s">
        <v>429</v>
      </c>
      <c r="D132" s="802" t="s">
        <v>1076</v>
      </c>
      <c r="E132" s="1967"/>
      <c r="F132" s="617">
        <f>'exchange rates'!$O$31</f>
        <v>112.66098</v>
      </c>
      <c r="G132" s="549">
        <f>14040/F132</f>
        <v>124.62167469162793</v>
      </c>
      <c r="H132" s="550">
        <f>880/F132</f>
        <v>7.8110451373669925</v>
      </c>
      <c r="I132" s="551">
        <v>0</v>
      </c>
      <c r="J132" s="560">
        <f>1181/F132</f>
        <v>10.482777621852748</v>
      </c>
      <c r="K132" s="566">
        <f>Tabel66892127[[#This Row],[Fix.ch. 2017]]+Tabel66892127[[#This Row],[Var. ch. 2017]]+Tabel66892127[[#This Row],[Oth. ch. DW 2017]]+Tabel66892127[[#This Row],[VAT DW 2017]]</f>
        <v>142.91549745084768</v>
      </c>
      <c r="L132" s="567">
        <f>7160/F132</f>
        <v>63.553503617667808</v>
      </c>
      <c r="M132" s="560">
        <f>567/F132</f>
        <v>5.0327984010080513</v>
      </c>
      <c r="N132" s="568">
        <v>0</v>
      </c>
      <c r="O132" s="560">
        <v>0</v>
      </c>
      <c r="P132" s="569">
        <v>0</v>
      </c>
      <c r="Q132" s="560">
        <v>0</v>
      </c>
      <c r="R132" s="570">
        <f>Tabel66892127[[#This Row],[VAT DW 2017]]+Tabel66892127[[#This Row],[VAT Sew. 2017]]+Tabel66892127[[#This Row],[VAT WW 2017]]+Tabel66892127[[#This Row],[VAT Other ch. 2017]]</f>
        <v>15.515576022860799</v>
      </c>
      <c r="S132" s="571">
        <f>Tabel66892127[[#This Row],[Total. ch. DW 2017]]+Tabel66892127[[#This Row],[Sew. 2017]]+Tabel66892127[[#This Row],[VAT Sew. 2017]]+Tabel66892127[[#This Row],[WW 2017]]+Tabel66892127[[#This Row],[VAT WW 2017]]+Tabel66892127[[#This Row],[Other ch. 2017]]+Tabel66892127[[#This Row],[VAT Other ch. 2017]]</f>
        <v>211.50179946952355</v>
      </c>
      <c r="T132" s="397"/>
      <c r="U132" s="1763"/>
      <c r="V132" s="1766"/>
      <c r="W132" s="1769"/>
      <c r="X132" s="1772"/>
      <c r="Y132" s="1775"/>
      <c r="Z132" s="1778"/>
      <c r="AA132" s="1772"/>
      <c r="AB132" s="1781"/>
      <c r="AC132" s="1772"/>
      <c r="AD132" s="1785"/>
      <c r="AE132" s="1772"/>
      <c r="AF132" s="1788"/>
      <c r="AG132" s="1791"/>
      <c r="AH132" s="397"/>
      <c r="AI132" s="591" t="s">
        <v>429</v>
      </c>
      <c r="AJ132" s="396"/>
      <c r="AK132" s="398"/>
      <c r="AL132" s="591" t="s">
        <v>429</v>
      </c>
      <c r="AM132" s="398"/>
      <c r="AN132" s="398"/>
      <c r="AO132" s="398"/>
      <c r="AP132" s="397"/>
    </row>
    <row r="133" spans="1:42" ht="16.5" hidden="1" thickBot="1" x14ac:dyDescent="0.3">
      <c r="A133" s="1820"/>
      <c r="B133" s="613" t="s">
        <v>119</v>
      </c>
      <c r="C133" s="1046"/>
      <c r="D133" s="802" t="s">
        <v>1076</v>
      </c>
      <c r="E133" s="1799"/>
      <c r="F133" s="617">
        <f>'exchange rates'!$O$31</f>
        <v>112.66098</v>
      </c>
      <c r="G133" s="549">
        <f>9480/F133</f>
        <v>84.146258979817148</v>
      </c>
      <c r="H133" s="550">
        <f>172/F133</f>
        <v>1.5267042768490031</v>
      </c>
      <c r="I133" s="551">
        <v>0</v>
      </c>
      <c r="J133" s="560">
        <f>768/F133</f>
        <v>6.8169121198839209</v>
      </c>
      <c r="K133" s="566">
        <f>Tabel66892127[[#This Row],[Fix.ch. 2017]]+Tabel66892127[[#This Row],[Var. ch. 2017]]+Tabel66892127[[#This Row],[Oth. ch. DW 2017]]+Tabel66892127[[#This Row],[VAT DW 2017]]</f>
        <v>92.489875376550074</v>
      </c>
      <c r="L133" s="567">
        <f>7640/F133</f>
        <v>67.814073692595258</v>
      </c>
      <c r="M133" s="560">
        <f>608/F133</f>
        <v>5.3967220949081041</v>
      </c>
      <c r="N133" s="568">
        <v>0</v>
      </c>
      <c r="O133" s="560">
        <v>0</v>
      </c>
      <c r="P133" s="569">
        <v>0</v>
      </c>
      <c r="Q133" s="560">
        <v>0</v>
      </c>
      <c r="R133" s="570">
        <f>Tabel66892127[[#This Row],[VAT DW 2017]]+Tabel66892127[[#This Row],[VAT Sew. 2017]]+Tabel66892127[[#This Row],[VAT WW 2017]]+Tabel66892127[[#This Row],[VAT Other ch. 2017]]</f>
        <v>12.213634214792025</v>
      </c>
      <c r="S133" s="571">
        <f>Tabel66892127[[#This Row],[Total. ch. DW 2017]]+Tabel66892127[[#This Row],[Sew. 2017]]+Tabel66892127[[#This Row],[VAT Sew. 2017]]+Tabel66892127[[#This Row],[WW 2017]]+Tabel66892127[[#This Row],[VAT WW 2017]]+Tabel66892127[[#This Row],[Other ch. 2017]]+Tabel66892127[[#This Row],[VAT Other ch. 2017]]</f>
        <v>165.70067116405346</v>
      </c>
      <c r="T133" s="397"/>
      <c r="U133" s="1801"/>
      <c r="V133" s="1803"/>
      <c r="W133" s="1805"/>
      <c r="X133" s="1773"/>
      <c r="Y133" s="1807"/>
      <c r="Z133" s="1809"/>
      <c r="AA133" s="1773"/>
      <c r="AB133" s="1782"/>
      <c r="AC133" s="1773"/>
      <c r="AD133" s="1786"/>
      <c r="AE133" s="1773"/>
      <c r="AF133" s="1789"/>
      <c r="AG133" s="1792"/>
      <c r="AH133" s="397"/>
      <c r="AI133" s="591" t="s">
        <v>429</v>
      </c>
      <c r="AJ133" s="396"/>
      <c r="AK133" s="398"/>
      <c r="AL133" s="591" t="s">
        <v>429</v>
      </c>
      <c r="AM133" s="398"/>
      <c r="AN133" s="398"/>
      <c r="AO133" s="398"/>
      <c r="AP133" s="397"/>
    </row>
    <row r="134" spans="1:42" ht="19.5" hidden="1" thickBot="1" x14ac:dyDescent="0.3">
      <c r="A134" s="959" t="s">
        <v>742</v>
      </c>
      <c r="B134" s="260" t="s">
        <v>743</v>
      </c>
      <c r="C134" s="1049"/>
      <c r="D134" s="817" t="s">
        <v>1078</v>
      </c>
      <c r="E134" s="1014">
        <v>3300</v>
      </c>
      <c r="F134" s="307">
        <f>'exchange rates'!M32</f>
        <v>102.86302000000001</v>
      </c>
      <c r="G134" s="319">
        <f>600/F134</f>
        <v>5.8330000421920332</v>
      </c>
      <c r="H134" s="320">
        <f>4603.08/F134</f>
        <v>44.749609723688842</v>
      </c>
      <c r="I134" s="321">
        <f>0</f>
        <v>0</v>
      </c>
      <c r="J134" s="559"/>
      <c r="K134" s="313">
        <f>Tabel66892127[[#This Row],[Fix.ch. 2017]]+Tabel66892127[[#This Row],[Var. ch. 2017]]+Tabel66892127[[#This Row],[Oth. ch. DW 2017]]+Tabel66892127[[#This Row],[VAT DW 2017]]</f>
        <v>50.582609765880875</v>
      </c>
      <c r="L134" s="322">
        <f>0</f>
        <v>0</v>
      </c>
      <c r="M134" s="559"/>
      <c r="N134" s="323">
        <f>3452.31/F134</f>
        <v>33.56220729276663</v>
      </c>
      <c r="O134" s="559"/>
      <c r="P134" s="324">
        <f>0</f>
        <v>0</v>
      </c>
      <c r="Q134" s="559"/>
      <c r="R134" s="317">
        <f>Tabel66892127[[#This Row],[VAT DW 2017]]+Tabel66892127[[#This Row],[VAT Sew. 2017]]+Tabel66892127[[#This Row],[VAT WW 2017]]+Tabel66892127[[#This Row],[VAT Other ch. 2017]]</f>
        <v>0</v>
      </c>
      <c r="S134" s="318">
        <f>Tabel66892127[[#This Row],[Total. ch. DW 2017]]+Tabel66892127[[#This Row],[Sew. 2017]]+Tabel66892127[[#This Row],[VAT Sew. 2017]]+Tabel66892127[[#This Row],[WW 2017]]+Tabel66892127[[#This Row],[VAT WW 2017]]+Tabel66892127[[#This Row],[Other ch. 2017]]+Tabel66892127[[#This Row],[VAT Other ch. 2017]]</f>
        <v>84.144817058647504</v>
      </c>
      <c r="T134" s="397"/>
      <c r="U134" s="1016">
        <f>Tabel66892127[[#This Row],[Fix.ch. 2017]]</f>
        <v>5.8330000421920332</v>
      </c>
      <c r="V134" s="1009">
        <f>Tabel66892127[[#This Row],[Var. ch. 2017]]</f>
        <v>44.749609723688842</v>
      </c>
      <c r="W134" s="1008">
        <f>Tabel66892127[[#This Row],[Oth. ch. DW 2017]]</f>
        <v>0</v>
      </c>
      <c r="X134" s="576"/>
      <c r="Y134" s="991">
        <f>SUM(U134:W134)</f>
        <v>50.582609765880875</v>
      </c>
      <c r="Z134" s="1024">
        <f>Tabel66892127[[#This Row],[Sew. 2017]]</f>
        <v>0</v>
      </c>
      <c r="AA134" s="576"/>
      <c r="AB134" s="1023">
        <f>Tabel66892127[[#This Row],[WW 2017]]</f>
        <v>33.56220729276663</v>
      </c>
      <c r="AC134" s="576"/>
      <c r="AD134" s="973">
        <f>Tabel66892127[[#This Row],[Other ch. 2017]]</f>
        <v>0</v>
      </c>
      <c r="AE134" s="576"/>
      <c r="AF134" s="1027">
        <f>Tabel66892127[[#This Row],[Total VAT 2017]]</f>
        <v>0</v>
      </c>
      <c r="AG134" s="1026">
        <f>SUM(Y134:AF134)</f>
        <v>84.144817058647504</v>
      </c>
      <c r="AH134" s="397"/>
      <c r="AI134" s="396"/>
      <c r="AJ134" s="396" t="s">
        <v>429</v>
      </c>
      <c r="AK134" s="398"/>
      <c r="AL134" s="396" t="s">
        <v>429</v>
      </c>
      <c r="AM134" s="396" t="s">
        <v>429</v>
      </c>
      <c r="AN134" s="398"/>
      <c r="AO134" s="398" t="s">
        <v>745</v>
      </c>
      <c r="AP134" s="397"/>
    </row>
    <row r="135" spans="1:42" ht="18.75" hidden="1" customHeight="1" x14ac:dyDescent="0.3">
      <c r="A135" s="1833" t="s">
        <v>19</v>
      </c>
      <c r="B135" s="291" t="s">
        <v>120</v>
      </c>
      <c r="C135" s="1048"/>
      <c r="D135" s="805" t="s">
        <v>1080</v>
      </c>
      <c r="E135" s="2054">
        <v>18700</v>
      </c>
      <c r="F135" s="307">
        <v>2.6644800000000002</v>
      </c>
      <c r="G135" s="319">
        <f>39/F135</f>
        <v>14.637002341920374</v>
      </c>
      <c r="H135" s="320">
        <f>364/F135</f>
        <v>136.61202185792348</v>
      </c>
      <c r="I135" s="321">
        <v>0</v>
      </c>
      <c r="J135" s="559"/>
      <c r="K135" s="313">
        <f>Tabel66892127[[#This Row],[Fix.ch. 2017]]+Tabel66892127[[#This Row],[Var. ch. 2017]]+Tabel66892127[[#This Row],[Oth. ch. DW 2017]]+Tabel66892127[[#This Row],[VAT DW 2017]]</f>
        <v>151.24902419984386</v>
      </c>
      <c r="L135" s="322">
        <f>398/F135</f>
        <v>149.37248543805919</v>
      </c>
      <c r="M135" s="559"/>
      <c r="N135" s="323">
        <v>0</v>
      </c>
      <c r="O135" s="559"/>
      <c r="P135" s="324">
        <v>0</v>
      </c>
      <c r="Q135" s="559"/>
      <c r="R135" s="317">
        <f>Tabel66892127[[#This Row],[VAT DW 2017]]+Tabel66892127[[#This Row],[VAT Sew. 2017]]+Tabel66892127[[#This Row],[VAT WW 2017]]+Tabel66892127[[#This Row],[VAT Other ch. 2017]]</f>
        <v>0</v>
      </c>
      <c r="S135" s="318">
        <f>Tabel66892127[[#This Row],[Total. ch. DW 2017]]+Tabel66892127[[#This Row],[Sew. 2017]]+Tabel66892127[[#This Row],[VAT Sew. 2017]]+Tabel66892127[[#This Row],[WW 2017]]+Tabel66892127[[#This Row],[VAT WW 2017]]+Tabel66892127[[#This Row],[Other ch. 2017]]+Tabel66892127[[#This Row],[VAT Other ch. 2017]]</f>
        <v>300.62150963790305</v>
      </c>
      <c r="T135" s="397"/>
      <c r="U135" s="2057">
        <f>SUM(G135:G139)/5</f>
        <v>14.29472167177085</v>
      </c>
      <c r="V135" s="2059">
        <f>SUM(H135:H139)/5</f>
        <v>145.16903861166153</v>
      </c>
      <c r="W135" s="2061">
        <f>SUM(I135:I139)/5</f>
        <v>0</v>
      </c>
      <c r="X135" s="575"/>
      <c r="Y135" s="2063">
        <f>SUM(K135:K139)/5</f>
        <v>159.46376028343238</v>
      </c>
      <c r="Z135" s="2065">
        <f>SUM(L135:L139)/5</f>
        <v>181.19858283792709</v>
      </c>
      <c r="AA135" s="575"/>
      <c r="AB135" s="2067">
        <f>SUM(N135:N139)/5</f>
        <v>0</v>
      </c>
      <c r="AC135" s="575"/>
      <c r="AD135" s="2069">
        <f>SUM(P135:P139)/5</f>
        <v>0</v>
      </c>
      <c r="AE135" s="575"/>
      <c r="AF135" s="2071">
        <f t="shared" ref="AF135:AG135" si="21">SUM(R135:R139)/5</f>
        <v>0</v>
      </c>
      <c r="AG135" s="2049">
        <f t="shared" si="21"/>
        <v>340.66234312135947</v>
      </c>
      <c r="AH135" s="397"/>
      <c r="AI135" s="398"/>
      <c r="AJ135" s="398"/>
      <c r="AK135" s="398"/>
      <c r="AL135" s="398"/>
      <c r="AM135" s="396" t="s">
        <v>429</v>
      </c>
      <c r="AN135" s="398"/>
      <c r="AO135" s="398" t="s">
        <v>444</v>
      </c>
      <c r="AP135" s="397"/>
    </row>
    <row r="136" spans="1:42" ht="18.75" hidden="1" customHeight="1" x14ac:dyDescent="0.3">
      <c r="A136" s="1834"/>
      <c r="B136" s="269" t="s">
        <v>121</v>
      </c>
      <c r="C136" s="1048"/>
      <c r="D136" s="805" t="s">
        <v>1080</v>
      </c>
      <c r="E136" s="2055"/>
      <c r="F136" s="307">
        <v>2.6644800000000002</v>
      </c>
      <c r="G136" s="319">
        <f>47.04/F136</f>
        <v>17.65447667087011</v>
      </c>
      <c r="H136" s="320">
        <f>330/F136</f>
        <v>123.85155827778777</v>
      </c>
      <c r="I136" s="321">
        <v>0</v>
      </c>
      <c r="J136" s="559"/>
      <c r="K136" s="313">
        <f>Tabel66892127[[#This Row],[Fix.ch. 2017]]+Tabel66892127[[#This Row],[Var. ch. 2017]]+Tabel66892127[[#This Row],[Oth. ch. DW 2017]]+Tabel66892127[[#This Row],[VAT DW 2017]]</f>
        <v>141.50603494865788</v>
      </c>
      <c r="L136" s="322">
        <f>468/F136</f>
        <v>175.64402810304449</v>
      </c>
      <c r="M136" s="559"/>
      <c r="N136" s="323">
        <v>0</v>
      </c>
      <c r="O136" s="559"/>
      <c r="P136" s="324">
        <v>0</v>
      </c>
      <c r="Q136" s="559"/>
      <c r="R136" s="317">
        <f>Tabel66892127[[#This Row],[VAT DW 2017]]+Tabel66892127[[#This Row],[VAT Sew. 2017]]+Tabel66892127[[#This Row],[VAT WW 2017]]+Tabel66892127[[#This Row],[VAT Other ch. 2017]]</f>
        <v>0</v>
      </c>
      <c r="S136" s="318">
        <f>Tabel66892127[[#This Row],[Total. ch. DW 2017]]+Tabel66892127[[#This Row],[Sew. 2017]]+Tabel66892127[[#This Row],[VAT Sew. 2017]]+Tabel66892127[[#This Row],[WW 2017]]+Tabel66892127[[#This Row],[VAT WW 2017]]+Tabel66892127[[#This Row],[Other ch. 2017]]+Tabel66892127[[#This Row],[VAT Other ch. 2017]]</f>
        <v>317.15006305170238</v>
      </c>
      <c r="T136" s="397"/>
      <c r="U136" s="2058"/>
      <c r="V136" s="2060"/>
      <c r="W136" s="2062"/>
      <c r="X136" s="576"/>
      <c r="Y136" s="2064"/>
      <c r="Z136" s="2066"/>
      <c r="AA136" s="576"/>
      <c r="AB136" s="2068"/>
      <c r="AC136" s="576"/>
      <c r="AD136" s="2070"/>
      <c r="AE136" s="576"/>
      <c r="AF136" s="2072"/>
      <c r="AG136" s="2050"/>
      <c r="AH136" s="397"/>
      <c r="AI136" s="398"/>
      <c r="AJ136" s="398"/>
      <c r="AK136" s="398"/>
      <c r="AL136" s="398"/>
      <c r="AM136" s="396" t="s">
        <v>429</v>
      </c>
      <c r="AN136" s="398"/>
      <c r="AO136" s="398" t="s">
        <v>444</v>
      </c>
      <c r="AP136" s="397"/>
    </row>
    <row r="137" spans="1:42" ht="18.75" hidden="1" customHeight="1" x14ac:dyDescent="0.3">
      <c r="A137" s="1834"/>
      <c r="B137" s="269" t="s">
        <v>122</v>
      </c>
      <c r="C137" s="1048"/>
      <c r="D137" s="805" t="s">
        <v>1080</v>
      </c>
      <c r="E137" s="2055"/>
      <c r="F137" s="307">
        <v>2.6644800000000002</v>
      </c>
      <c r="G137" s="319">
        <f>30.84/F137</f>
        <v>11.574491082687803</v>
      </c>
      <c r="H137" s="320">
        <f>334/F137</f>
        <v>125.35278928721551</v>
      </c>
      <c r="I137" s="321">
        <v>0</v>
      </c>
      <c r="J137" s="559"/>
      <c r="K137" s="313">
        <f>Tabel66892127[[#This Row],[Fix.ch. 2017]]+Tabel66892127[[#This Row],[Var. ch. 2017]]+Tabel66892127[[#This Row],[Oth. ch. DW 2017]]+Tabel66892127[[#This Row],[VAT DW 2017]]</f>
        <v>136.92728036990331</v>
      </c>
      <c r="L137" s="322">
        <f>636/F137</f>
        <v>238.69573049900916</v>
      </c>
      <c r="M137" s="559"/>
      <c r="N137" s="323">
        <v>0</v>
      </c>
      <c r="O137" s="559"/>
      <c r="P137" s="324">
        <v>0</v>
      </c>
      <c r="Q137" s="559"/>
      <c r="R137" s="317">
        <f>Tabel66892127[[#This Row],[VAT DW 2017]]+Tabel66892127[[#This Row],[VAT Sew. 2017]]+Tabel66892127[[#This Row],[VAT WW 2017]]+Tabel66892127[[#This Row],[VAT Other ch. 2017]]</f>
        <v>0</v>
      </c>
      <c r="S137" s="318">
        <f>Tabel66892127[[#This Row],[Total. ch. DW 2017]]+Tabel66892127[[#This Row],[Sew. 2017]]+Tabel66892127[[#This Row],[VAT Sew. 2017]]+Tabel66892127[[#This Row],[WW 2017]]+Tabel66892127[[#This Row],[VAT WW 2017]]+Tabel66892127[[#This Row],[Other ch. 2017]]+Tabel66892127[[#This Row],[VAT Other ch. 2017]]</f>
        <v>375.6230108689125</v>
      </c>
      <c r="T137" s="397"/>
      <c r="U137" s="2058"/>
      <c r="V137" s="2060"/>
      <c r="W137" s="2062"/>
      <c r="X137" s="576"/>
      <c r="Y137" s="2064"/>
      <c r="Z137" s="2066"/>
      <c r="AA137" s="576"/>
      <c r="AB137" s="2068"/>
      <c r="AC137" s="576"/>
      <c r="AD137" s="2070"/>
      <c r="AE137" s="576"/>
      <c r="AF137" s="2072"/>
      <c r="AG137" s="2050"/>
      <c r="AH137" s="397"/>
      <c r="AI137" s="398"/>
      <c r="AJ137" s="398"/>
      <c r="AK137" s="398"/>
      <c r="AL137" s="398"/>
      <c r="AM137" s="396" t="s">
        <v>429</v>
      </c>
      <c r="AN137" s="398"/>
      <c r="AO137" s="398" t="s">
        <v>444</v>
      </c>
      <c r="AP137" s="397"/>
    </row>
    <row r="138" spans="1:42" ht="18.75" hidden="1" customHeight="1" x14ac:dyDescent="0.3">
      <c r="A138" s="1834"/>
      <c r="B138" s="269" t="s">
        <v>123</v>
      </c>
      <c r="C138" s="1048"/>
      <c r="D138" s="805" t="s">
        <v>1080</v>
      </c>
      <c r="E138" s="2055"/>
      <c r="F138" s="307">
        <v>2.6644800000000002</v>
      </c>
      <c r="G138" s="319">
        <f>34.68/F138</f>
        <v>13.015672851738424</v>
      </c>
      <c r="H138" s="320">
        <f>570/F138</f>
        <v>213.92541884345161</v>
      </c>
      <c r="I138" s="321">
        <v>0</v>
      </c>
      <c r="J138" s="559"/>
      <c r="K138" s="313">
        <f>Tabel66892127[[#This Row],[Fix.ch. 2017]]+Tabel66892127[[#This Row],[Var. ch. 2017]]+Tabel66892127[[#This Row],[Oth. ch. DW 2017]]+Tabel66892127[[#This Row],[VAT DW 2017]]</f>
        <v>226.94109169519004</v>
      </c>
      <c r="L138" s="322">
        <f>526/F138</f>
        <v>197.41187773974659</v>
      </c>
      <c r="M138" s="559"/>
      <c r="N138" s="323">
        <v>0</v>
      </c>
      <c r="O138" s="559"/>
      <c r="P138" s="324">
        <v>0</v>
      </c>
      <c r="Q138" s="559"/>
      <c r="R138" s="317">
        <f>Tabel66892127[[#This Row],[VAT DW 2017]]+Tabel66892127[[#This Row],[VAT Sew. 2017]]+Tabel66892127[[#This Row],[VAT WW 2017]]+Tabel66892127[[#This Row],[VAT Other ch. 2017]]</f>
        <v>0</v>
      </c>
      <c r="S138" s="318">
        <f>Tabel66892127[[#This Row],[Total. ch. DW 2017]]+Tabel66892127[[#This Row],[Sew. 2017]]+Tabel66892127[[#This Row],[VAT Sew. 2017]]+Tabel66892127[[#This Row],[WW 2017]]+Tabel66892127[[#This Row],[VAT WW 2017]]+Tabel66892127[[#This Row],[Other ch. 2017]]+Tabel66892127[[#This Row],[VAT Other ch. 2017]]</f>
        <v>424.35296943493665</v>
      </c>
      <c r="T138" s="397"/>
      <c r="U138" s="2058"/>
      <c r="V138" s="2060"/>
      <c r="W138" s="2062"/>
      <c r="X138" s="576"/>
      <c r="Y138" s="2064"/>
      <c r="Z138" s="2066"/>
      <c r="AA138" s="576"/>
      <c r="AB138" s="2068"/>
      <c r="AC138" s="576"/>
      <c r="AD138" s="2070"/>
      <c r="AE138" s="576"/>
      <c r="AF138" s="2072"/>
      <c r="AG138" s="2050"/>
      <c r="AH138" s="397"/>
      <c r="AI138" s="398"/>
      <c r="AJ138" s="398"/>
      <c r="AK138" s="398"/>
      <c r="AL138" s="398"/>
      <c r="AM138" s="396" t="s">
        <v>429</v>
      </c>
      <c r="AN138" s="398"/>
      <c r="AO138" s="398" t="s">
        <v>444</v>
      </c>
      <c r="AP138" s="397"/>
    </row>
    <row r="139" spans="1:42" ht="19.5" hidden="1" customHeight="1" thickBot="1" x14ac:dyDescent="0.3">
      <c r="A139" s="1835"/>
      <c r="B139" s="290" t="s">
        <v>124</v>
      </c>
      <c r="C139" s="1048" t="s">
        <v>429</v>
      </c>
      <c r="D139" s="805" t="s">
        <v>1080</v>
      </c>
      <c r="E139" s="2056"/>
      <c r="F139" s="307">
        <v>2.6644800000000002</v>
      </c>
      <c r="G139" s="319">
        <f>38.88/F139</f>
        <v>14.591965411637542</v>
      </c>
      <c r="H139" s="320">
        <f>336/F139</f>
        <v>126.10340479192938</v>
      </c>
      <c r="I139" s="321">
        <v>0</v>
      </c>
      <c r="J139" s="559"/>
      <c r="K139" s="313">
        <f>Tabel66892127[[#This Row],[Fix.ch. 2017]]+Tabel66892127[[#This Row],[Var. ch. 2017]]+Tabel66892127[[#This Row],[Oth. ch. DW 2017]]+Tabel66892127[[#This Row],[VAT DW 2017]]</f>
        <v>140.69537020356691</v>
      </c>
      <c r="L139" s="322">
        <f>386/F139</f>
        <v>144.86879240977601</v>
      </c>
      <c r="M139" s="559"/>
      <c r="N139" s="323">
        <v>0</v>
      </c>
      <c r="O139" s="559"/>
      <c r="P139" s="324">
        <v>0</v>
      </c>
      <c r="Q139" s="559"/>
      <c r="R139" s="317">
        <f>Tabel66892127[[#This Row],[VAT DW 2017]]+Tabel66892127[[#This Row],[VAT Sew. 2017]]+Tabel66892127[[#This Row],[VAT WW 2017]]+Tabel66892127[[#This Row],[VAT Other ch. 2017]]</f>
        <v>0</v>
      </c>
      <c r="S139" s="318">
        <f>Tabel66892127[[#This Row],[Total. ch. DW 2017]]+Tabel66892127[[#This Row],[Sew. 2017]]+Tabel66892127[[#This Row],[VAT Sew. 2017]]+Tabel66892127[[#This Row],[WW 2017]]+Tabel66892127[[#This Row],[VAT WW 2017]]+Tabel66892127[[#This Row],[Other ch. 2017]]+Tabel66892127[[#This Row],[VAT Other ch. 2017]]</f>
        <v>285.56416261334289</v>
      </c>
      <c r="T139" s="397"/>
      <c r="U139" s="1841"/>
      <c r="V139" s="1844"/>
      <c r="W139" s="1847"/>
      <c r="X139" s="577"/>
      <c r="Y139" s="1850"/>
      <c r="Z139" s="1853"/>
      <c r="AA139" s="577"/>
      <c r="AB139" s="1856"/>
      <c r="AC139" s="577"/>
      <c r="AD139" s="1859"/>
      <c r="AE139" s="577"/>
      <c r="AF139" s="1874"/>
      <c r="AG139" s="2051"/>
      <c r="AH139" s="397"/>
      <c r="AI139" s="398"/>
      <c r="AJ139" s="398"/>
      <c r="AK139" s="398"/>
      <c r="AL139" s="398"/>
      <c r="AM139" s="396" t="s">
        <v>429</v>
      </c>
      <c r="AN139" s="398"/>
      <c r="AO139" s="398" t="s">
        <v>444</v>
      </c>
      <c r="AP139" s="397"/>
    </row>
    <row r="140" spans="1:42" ht="16.5" hidden="1" thickBot="1" x14ac:dyDescent="0.3">
      <c r="A140" s="270" t="s">
        <v>50</v>
      </c>
      <c r="B140" s="297"/>
      <c r="C140" s="1050"/>
      <c r="D140" s="817" t="s">
        <v>1082</v>
      </c>
      <c r="E140" s="303"/>
      <c r="F140" s="309"/>
      <c r="G140" s="325"/>
      <c r="H140" s="326"/>
      <c r="I140" s="327"/>
      <c r="J140" s="561"/>
      <c r="K140" s="313">
        <f>Tabel66892127[[#This Row],[Fix.ch. 2017]]+Tabel66892127[[#This Row],[Var. ch. 2017]]+Tabel66892127[[#This Row],[Oth. ch. DW 2017]]+Tabel66892127[[#This Row],[VAT DW 2017]]</f>
        <v>0</v>
      </c>
      <c r="L140" s="328"/>
      <c r="M140" s="561"/>
      <c r="N140" s="329"/>
      <c r="O140" s="561"/>
      <c r="P140" s="330"/>
      <c r="Q140" s="561"/>
      <c r="R140" s="317">
        <f>Tabel66892127[[#This Row],[VAT DW 2017]]+Tabel66892127[[#This Row],[VAT Sew. 2017]]+Tabel66892127[[#This Row],[VAT WW 2017]]+Tabel66892127[[#This Row],[VAT Other ch. 2017]]</f>
        <v>0</v>
      </c>
      <c r="S140" s="318">
        <f>Tabel66892127[[#This Row],[Total. ch. DW 2017]]+Tabel66892127[[#This Row],[Sew. 2017]]+Tabel66892127[[#This Row],[VAT Sew. 2017]]+Tabel66892127[[#This Row],[WW 2017]]+Tabel66892127[[#This Row],[VAT WW 2017]]+Tabel66892127[[#This Row],[Other ch. 2017]]+Tabel66892127[[#This Row],[VAT Other ch. 2017]]</f>
        <v>0</v>
      </c>
      <c r="T140" s="397"/>
      <c r="U140" s="349"/>
      <c r="V140" s="350"/>
      <c r="W140" s="351"/>
      <c r="X140" s="582"/>
      <c r="Y140" s="352"/>
      <c r="Z140" s="353"/>
      <c r="AA140" s="582"/>
      <c r="AB140" s="354"/>
      <c r="AC140" s="582"/>
      <c r="AD140" s="355"/>
      <c r="AE140" s="582"/>
      <c r="AF140" s="356"/>
      <c r="AG140" s="357"/>
      <c r="AH140" s="397"/>
      <c r="AI140" s="398"/>
      <c r="AJ140" s="398"/>
      <c r="AK140" s="398"/>
      <c r="AL140" s="398"/>
      <c r="AM140" s="398"/>
      <c r="AN140" s="398"/>
      <c r="AO140" s="398"/>
      <c r="AP140" s="397"/>
    </row>
    <row r="141" spans="1:42" ht="19.5" hidden="1" thickBot="1" x14ac:dyDescent="0.35">
      <c r="A141" s="695" t="s">
        <v>586</v>
      </c>
      <c r="B141" s="696" t="s">
        <v>587</v>
      </c>
      <c r="C141" s="760"/>
      <c r="D141" s="812" t="s">
        <v>1084</v>
      </c>
      <c r="E141" s="697">
        <v>114400</v>
      </c>
      <c r="F141" s="616">
        <f>'exchange rates'!O37</f>
        <v>8.0445100000000007</v>
      </c>
      <c r="G141" s="549">
        <f>0</f>
        <v>0</v>
      </c>
      <c r="H141" s="550">
        <f>678.05/F141</f>
        <v>84.287296553798782</v>
      </c>
      <c r="I141" s="551">
        <v>0</v>
      </c>
      <c r="J141" s="560">
        <v>0</v>
      </c>
      <c r="K141" s="566">
        <f>Tabel66892127[[#This Row],[Fix.ch. 2017]]+Tabel66892127[[#This Row],[Var. ch. 2017]]+Tabel66892127[[#This Row],[Oth. ch. DW 2017]]+Tabel66892127[[#This Row],[VAT DW 2017]]</f>
        <v>84.287296553798782</v>
      </c>
      <c r="L141" s="567">
        <v>0</v>
      </c>
      <c r="M141" s="560">
        <v>0</v>
      </c>
      <c r="N141" s="568">
        <v>0</v>
      </c>
      <c r="O141" s="560">
        <v>0</v>
      </c>
      <c r="P141" s="569">
        <v>0</v>
      </c>
      <c r="Q141" s="560">
        <v>0</v>
      </c>
      <c r="R141" s="570">
        <f>Tabel66892127[[#This Row],[VAT DW 2017]]+Tabel66892127[[#This Row],[VAT Sew. 2017]]+Tabel66892127[[#This Row],[VAT WW 2017]]+Tabel66892127[[#This Row],[VAT Other ch. 2017]]</f>
        <v>0</v>
      </c>
      <c r="S141" s="571">
        <f>Tabel66892127[[#This Row],[Total. ch. DW 2017]]+Tabel66892127[[#This Row],[Sew. 2017]]+Tabel66892127[[#This Row],[VAT Sew. 2017]]+Tabel66892127[[#This Row],[WW 2017]]+Tabel66892127[[#This Row],[VAT WW 2017]]+Tabel66892127[[#This Row],[Other ch. 2017]]+Tabel66892127[[#This Row],[VAT Other ch. 2017]]</f>
        <v>84.287296553798782</v>
      </c>
      <c r="T141" s="397"/>
      <c r="U141" s="672">
        <v>0</v>
      </c>
      <c r="V141" s="673">
        <f>Tabel66892127[[#This Row],[Var. ch. 2017]]</f>
        <v>84.287296553798782</v>
      </c>
      <c r="W141" s="674">
        <v>0</v>
      </c>
      <c r="X141" s="675">
        <v>0</v>
      </c>
      <c r="Y141" s="676">
        <f>Tabel66892127[[#This Row],[Total. ch. DW 2017]]</f>
        <v>84.287296553798782</v>
      </c>
      <c r="Z141" s="677">
        <v>0</v>
      </c>
      <c r="AA141" s="675">
        <v>0</v>
      </c>
      <c r="AB141" s="678">
        <v>0</v>
      </c>
      <c r="AC141" s="675">
        <v>0</v>
      </c>
      <c r="AD141" s="679">
        <v>0</v>
      </c>
      <c r="AE141" s="675">
        <v>0</v>
      </c>
      <c r="AF141" s="680">
        <v>0</v>
      </c>
      <c r="AG141" s="681">
        <f>Tabel66892127[[#This Row],[total charge 2017]]</f>
        <v>84.287296553798782</v>
      </c>
      <c r="AH141" s="397"/>
      <c r="AI141" s="398"/>
      <c r="AJ141" s="396"/>
      <c r="AK141" s="398"/>
      <c r="AL141" s="591" t="s">
        <v>429</v>
      </c>
      <c r="AM141" s="398"/>
      <c r="AN141" s="398"/>
      <c r="AO141" s="398"/>
      <c r="AP141" s="397"/>
    </row>
    <row r="142" spans="1:42" ht="19.5" hidden="1" thickBot="1" x14ac:dyDescent="0.35">
      <c r="A142" s="267" t="s">
        <v>36</v>
      </c>
      <c r="B142" s="261" t="s">
        <v>181</v>
      </c>
      <c r="C142" s="261"/>
      <c r="D142" s="808" t="s">
        <v>1086</v>
      </c>
      <c r="E142" s="301">
        <v>900</v>
      </c>
      <c r="F142" s="306">
        <v>163.83132000000001</v>
      </c>
      <c r="G142" s="319">
        <f>363/F142</f>
        <v>2.2156935560306783</v>
      </c>
      <c r="H142" s="320">
        <f>(124*200)/F142</f>
        <v>151.37520713377637</v>
      </c>
      <c r="I142" s="321">
        <v>0</v>
      </c>
      <c r="J142" s="559"/>
      <c r="K142" s="313">
        <f>Tabel66892127[[#This Row],[Fix.ch. 2017]]+Tabel66892127[[#This Row],[Var. ch. 2017]]+Tabel66892127[[#This Row],[Oth. ch. DW 2017]]+Tabel66892127[[#This Row],[VAT DW 2017]]</f>
        <v>153.59090068980706</v>
      </c>
      <c r="L142" s="322">
        <v>0</v>
      </c>
      <c r="M142" s="559"/>
      <c r="N142" s="323">
        <v>0</v>
      </c>
      <c r="O142" s="559"/>
      <c r="P142" s="324">
        <v>0</v>
      </c>
      <c r="Q142" s="559"/>
      <c r="R142" s="317">
        <f>Tabel66892127[[#This Row],[VAT DW 2017]]+Tabel66892127[[#This Row],[VAT Sew. 2017]]+Tabel66892127[[#This Row],[VAT WW 2017]]+Tabel66892127[[#This Row],[VAT Other ch. 2017]]</f>
        <v>0</v>
      </c>
      <c r="S142" s="318">
        <f>Tabel66892127[[#This Row],[Total. ch. DW 2017]]+Tabel66892127[[#This Row],[Sew. 2017]]+Tabel66892127[[#This Row],[VAT Sew. 2017]]+Tabel66892127[[#This Row],[WW 2017]]+Tabel66892127[[#This Row],[VAT WW 2017]]+Tabel66892127[[#This Row],[Other ch. 2017]]+Tabel66892127[[#This Row],[VAT Other ch. 2017]]</f>
        <v>153.59090068980706</v>
      </c>
      <c r="T142" s="397"/>
      <c r="U142" s="331">
        <f>Tabel66892127[[#This Row],[Fix.ch. 2017]]</f>
        <v>2.2156935560306783</v>
      </c>
      <c r="V142" s="332">
        <f>Tabel66892127[[#This Row],[Var. ch. 2017]]</f>
        <v>151.37520713377637</v>
      </c>
      <c r="W142" s="333">
        <v>0</v>
      </c>
      <c r="X142" s="574"/>
      <c r="Y142" s="334">
        <v>0</v>
      </c>
      <c r="Z142" s="335">
        <v>0</v>
      </c>
      <c r="AA142" s="574"/>
      <c r="AB142" s="336">
        <v>0</v>
      </c>
      <c r="AC142" s="574"/>
      <c r="AD142" s="337">
        <v>0</v>
      </c>
      <c r="AE142" s="574"/>
      <c r="AF142" s="338">
        <v>0</v>
      </c>
      <c r="AG142" s="339">
        <f>Tabel66892127[[#This Row],[total charge 2017]]</f>
        <v>153.59090068980706</v>
      </c>
      <c r="AH142" s="397"/>
      <c r="AI142" s="398"/>
      <c r="AJ142" s="398"/>
      <c r="AK142" s="398"/>
      <c r="AL142" s="396" t="s">
        <v>429</v>
      </c>
      <c r="AM142" s="396" t="s">
        <v>429</v>
      </c>
      <c r="AN142" s="398"/>
      <c r="AO142" s="398"/>
      <c r="AP142" s="397"/>
    </row>
    <row r="143" spans="1:42" ht="19.5" hidden="1" thickBot="1" x14ac:dyDescent="0.35">
      <c r="A143" s="669" t="s">
        <v>774</v>
      </c>
      <c r="B143" s="645" t="s">
        <v>775</v>
      </c>
      <c r="C143" s="751"/>
      <c r="D143" s="818" t="s">
        <v>1088</v>
      </c>
      <c r="E143" s="671">
        <v>42500</v>
      </c>
      <c r="F143" s="616">
        <f>'exchange rates'!O39</f>
        <v>0.83301000000000003</v>
      </c>
      <c r="G143" s="549">
        <f>59/F143</f>
        <v>70.827481062652311</v>
      </c>
      <c r="H143" s="550">
        <f>143.39/F143</f>
        <v>172.13478829785956</v>
      </c>
      <c r="I143" s="551">
        <v>0</v>
      </c>
      <c r="J143" s="560">
        <v>0</v>
      </c>
      <c r="K143" s="566">
        <f>Tabel66892127[[#This Row],[Fix.ch. 2017]]+Tabel66892127[[#This Row],[Var. ch. 2017]]+Tabel66892127[[#This Row],[Oth. ch. DW 2017]]+Tabel66892127[[#This Row],[VAT DW 2017]]</f>
        <v>242.96226936051187</v>
      </c>
      <c r="L143" s="567">
        <v>0</v>
      </c>
      <c r="M143" s="560">
        <v>0</v>
      </c>
      <c r="N143" s="568">
        <v>0</v>
      </c>
      <c r="O143" s="560">
        <v>0</v>
      </c>
      <c r="P143" s="569">
        <v>0</v>
      </c>
      <c r="Q143" s="560">
        <v>0</v>
      </c>
      <c r="R143" s="570">
        <f>Tabel66892127[[#This Row],[VAT DW 2017]]+Tabel66892127[[#This Row],[VAT Sew. 2017]]+Tabel66892127[[#This Row],[VAT WW 2017]]+Tabel66892127[[#This Row],[VAT Other ch. 2017]]</f>
        <v>0</v>
      </c>
      <c r="S143" s="571">
        <f>Tabel66892127[[#This Row],[Total. ch. DW 2017]]+Tabel66892127[[#This Row],[Sew. 2017]]+Tabel66892127[[#This Row],[VAT Sew. 2017]]+Tabel66892127[[#This Row],[WW 2017]]+Tabel66892127[[#This Row],[VAT WW 2017]]+Tabel66892127[[#This Row],[Other ch. 2017]]+Tabel66892127[[#This Row],[VAT Other ch. 2017]]</f>
        <v>242.96226936051187</v>
      </c>
      <c r="T143" s="397"/>
      <c r="U143" s="672">
        <f>Tabel66892127[[#This Row],[Fix.ch. 2017]]</f>
        <v>70.827481062652311</v>
      </c>
      <c r="V143" s="673">
        <f>Tabel66892127[[#This Row],[Var. ch. 2017]]</f>
        <v>172.13478829785956</v>
      </c>
      <c r="W143" s="674">
        <f>Tabel66892127[[#This Row],[Oth. ch. DW 2017]]</f>
        <v>0</v>
      </c>
      <c r="X143" s="675">
        <f>Tabel66892127[[#This Row],[VAT DW 2017]]</f>
        <v>0</v>
      </c>
      <c r="Y143" s="676">
        <f>Tabel66892127[[#This Row],[Total. ch. DW 2017]]</f>
        <v>242.96226936051187</v>
      </c>
      <c r="Z143" s="677">
        <f>Tabel66892127[[#This Row],[Sew. 2017]]</f>
        <v>0</v>
      </c>
      <c r="AA143" s="675">
        <f>Tabel66892127[[#This Row],[VAT Sew. 2017]]</f>
        <v>0</v>
      </c>
      <c r="AB143" s="678">
        <f>Tabel66892127[[#This Row],[WW 2017]]</f>
        <v>0</v>
      </c>
      <c r="AC143" s="675">
        <f>Tabel66892127[[#This Row],[VAT WW 2017]]</f>
        <v>0</v>
      </c>
      <c r="AD143" s="679">
        <f>Tabel66892127[[#This Row],[Other ch. 2017]]</f>
        <v>0</v>
      </c>
      <c r="AE143" s="675">
        <f>Tabel66892127[[#This Row],[VAT Other ch. 2017]]</f>
        <v>0</v>
      </c>
      <c r="AF143" s="680">
        <f>Tabel66892127[[#This Row],[Total VAT 2017]]</f>
        <v>0</v>
      </c>
      <c r="AG143" s="681">
        <f>Tabel66892127[[#This Row],[total charge 2017]]</f>
        <v>242.96226936051187</v>
      </c>
      <c r="AH143" s="397"/>
      <c r="AI143" s="398"/>
      <c r="AJ143" s="398"/>
      <c r="AK143" s="398"/>
      <c r="AL143" s="591" t="s">
        <v>429</v>
      </c>
      <c r="AM143" s="591" t="s">
        <v>429</v>
      </c>
      <c r="AN143" s="398"/>
      <c r="AO143" s="398"/>
      <c r="AP143" s="397"/>
    </row>
    <row r="144" spans="1:42" ht="19.5" hidden="1" thickBot="1" x14ac:dyDescent="0.35">
      <c r="A144" s="267" t="s">
        <v>37</v>
      </c>
      <c r="B144" s="526" t="s">
        <v>37</v>
      </c>
      <c r="C144" s="808"/>
      <c r="D144" s="808" t="s">
        <v>1090</v>
      </c>
      <c r="E144" s="301">
        <v>19500</v>
      </c>
      <c r="F144" s="306">
        <f>'exchange rates'!M40</f>
        <v>35.849890000000002</v>
      </c>
      <c r="G144" s="319">
        <f>660/F144</f>
        <v>18.410098329450939</v>
      </c>
      <c r="H144" s="320">
        <f>732/F144</f>
        <v>20.418472692663769</v>
      </c>
      <c r="I144" s="321">
        <v>0</v>
      </c>
      <c r="J144" s="559"/>
      <c r="K144" s="313">
        <f>Tabel66892127[[#This Row],[Fix.ch. 2017]]+Tabel66892127[[#This Row],[Var. ch. 2017]]+Tabel66892127[[#This Row],[Oth. ch. DW 2017]]+Tabel66892127[[#This Row],[VAT DW 2017]]</f>
        <v>38.828571022114708</v>
      </c>
      <c r="L144" s="322">
        <f>7.515/F144</f>
        <v>0.2096240741603391</v>
      </c>
      <c r="M144" s="559"/>
      <c r="N144" s="323">
        <f>1650/F144</f>
        <v>46.025245823627351</v>
      </c>
      <c r="O144" s="559"/>
      <c r="P144" s="324">
        <v>0</v>
      </c>
      <c r="Q144" s="559"/>
      <c r="R144" s="317">
        <f>Tabel66892127[[#This Row],[VAT DW 2017]]+Tabel66892127[[#This Row],[VAT Sew. 2017]]+Tabel66892127[[#This Row],[VAT WW 2017]]+Tabel66892127[[#This Row],[VAT Other ch. 2017]]</f>
        <v>0</v>
      </c>
      <c r="S144" s="318">
        <f>Tabel66892127[[#This Row],[Total. ch. DW 2017]]+Tabel66892127[[#This Row],[Sew. 2017]]+Tabel66892127[[#This Row],[VAT Sew. 2017]]+Tabel66892127[[#This Row],[WW 2017]]+Tabel66892127[[#This Row],[VAT WW 2017]]+Tabel66892127[[#This Row],[Other ch. 2017]]+Tabel66892127[[#This Row],[VAT Other ch. 2017]]</f>
        <v>85.063440919902405</v>
      </c>
      <c r="T144" s="397"/>
      <c r="U144" s="331">
        <f>Tabel66892127[[#This Row],[Fix.ch. 2017]]</f>
        <v>18.410098329450939</v>
      </c>
      <c r="V144" s="332">
        <f>Tabel66892127[[#This Row],[Var. ch. 2017]]</f>
        <v>20.418472692663769</v>
      </c>
      <c r="W144" s="333">
        <v>0</v>
      </c>
      <c r="X144" s="574"/>
      <c r="Y144" s="334">
        <f>Tabel66892127[[#This Row],[Total. ch. DW 2017]]</f>
        <v>38.828571022114708</v>
      </c>
      <c r="Z144" s="335">
        <f>Tabel66892127[[#This Row],[Sew. 2017]]</f>
        <v>0.2096240741603391</v>
      </c>
      <c r="AA144" s="574"/>
      <c r="AB144" s="336">
        <f>Tabel66892127[[#This Row],[WW 2017]]</f>
        <v>46.025245823627351</v>
      </c>
      <c r="AC144" s="574"/>
      <c r="AD144" s="337">
        <v>0</v>
      </c>
      <c r="AE144" s="574"/>
      <c r="AF144" s="338">
        <v>0</v>
      </c>
      <c r="AG144" s="339">
        <f>Tabel66892127[[#This Row],[total charge 2017]]</f>
        <v>85.063440919902405</v>
      </c>
      <c r="AH144" s="397"/>
      <c r="AI144" s="398"/>
      <c r="AJ144" s="398"/>
      <c r="AK144" s="398"/>
      <c r="AL144" s="396" t="s">
        <v>429</v>
      </c>
      <c r="AM144" s="398"/>
      <c r="AN144" s="398"/>
      <c r="AO144" s="398"/>
      <c r="AP144" s="397"/>
    </row>
    <row r="145" spans="1:42" ht="18" hidden="1" customHeight="1" x14ac:dyDescent="0.3">
      <c r="A145" s="1795" t="s">
        <v>38</v>
      </c>
      <c r="B145" s="659" t="s">
        <v>620</v>
      </c>
      <c r="C145" s="752"/>
      <c r="D145" s="816" t="s">
        <v>1092</v>
      </c>
      <c r="E145" s="1983">
        <v>19500</v>
      </c>
      <c r="F145" s="616">
        <f>'exchange rates'!$O$41</f>
        <v>19.670400000000001</v>
      </c>
      <c r="G145" s="549">
        <f>1390/F145</f>
        <v>70.664551813892956</v>
      </c>
      <c r="H145" s="550">
        <v>0</v>
      </c>
      <c r="I145" s="551">
        <v>0</v>
      </c>
      <c r="J145" s="560">
        <v>0</v>
      </c>
      <c r="K145" s="566">
        <f>Tabel66892127[[#This Row],[Fix.ch. 2017]]+Tabel66892127[[#This Row],[Var. ch. 2017]]+Tabel66892127[[#This Row],[Oth. ch. DW 2017]]+Tabel66892127[[#This Row],[VAT DW 2017]]</f>
        <v>70.664551813892956</v>
      </c>
      <c r="L145" s="567">
        <v>0</v>
      </c>
      <c r="M145" s="560">
        <v>0</v>
      </c>
      <c r="N145" s="568">
        <f>460/F145</f>
        <v>23.385391247763135</v>
      </c>
      <c r="O145" s="560">
        <v>0</v>
      </c>
      <c r="P145" s="569">
        <v>0</v>
      </c>
      <c r="Q145" s="560">
        <v>0</v>
      </c>
      <c r="R145" s="570">
        <f>Tabel66892127[[#This Row],[VAT DW 2017]]+Tabel66892127[[#This Row],[VAT Sew. 2017]]+Tabel66892127[[#This Row],[VAT WW 2017]]+Tabel66892127[[#This Row],[VAT Other ch. 2017]]</f>
        <v>0</v>
      </c>
      <c r="S145" s="571">
        <f>Tabel66892127[[#This Row],[Total. ch. DW 2017]]+Tabel66892127[[#This Row],[Sew. 2017]]+Tabel66892127[[#This Row],[VAT Sew. 2017]]+Tabel66892127[[#This Row],[WW 2017]]+Tabel66892127[[#This Row],[VAT WW 2017]]+Tabel66892127[[#This Row],[Other ch. 2017]]+Tabel66892127[[#This Row],[VAT Other ch. 2017]]</f>
        <v>94.049943061656094</v>
      </c>
      <c r="T145" s="430"/>
      <c r="U145" s="1824">
        <f>MEDIAN(G145:G150)</f>
        <v>87.441028143809987</v>
      </c>
      <c r="V145" s="1825">
        <f>MEDIAN(H145:H150)</f>
        <v>0</v>
      </c>
      <c r="W145" s="1826">
        <f>MEDIAN(I145:I150)</f>
        <v>0</v>
      </c>
      <c r="X145" s="1908">
        <f>MEDIAN(J145:J150)</f>
        <v>0</v>
      </c>
      <c r="Y145" s="1827">
        <f>SUM(U145:X150)</f>
        <v>87.441028143809987</v>
      </c>
      <c r="Z145" s="1828">
        <f t="shared" ref="Z145:AF145" si="22">MEDIAN(L145:L150)</f>
        <v>0</v>
      </c>
      <c r="AA145" s="1908">
        <f t="shared" si="22"/>
        <v>0</v>
      </c>
      <c r="AB145" s="1829">
        <f t="shared" si="22"/>
        <v>8.6424272002602898</v>
      </c>
      <c r="AC145" s="1908">
        <f t="shared" si="22"/>
        <v>0</v>
      </c>
      <c r="AD145" s="1830">
        <f t="shared" si="22"/>
        <v>0</v>
      </c>
      <c r="AE145" s="1908">
        <f t="shared" si="22"/>
        <v>0</v>
      </c>
      <c r="AF145" s="1816">
        <f t="shared" si="22"/>
        <v>0</v>
      </c>
      <c r="AG145" s="2052">
        <f>Y145+Z145+AA145+AB145+AC145+AD145+AE145</f>
        <v>96.083455344070273</v>
      </c>
      <c r="AH145" s="397"/>
      <c r="AI145" s="591" t="s">
        <v>429</v>
      </c>
      <c r="AJ145" s="591" t="s">
        <v>429</v>
      </c>
      <c r="AK145" s="591"/>
      <c r="AL145" s="591"/>
      <c r="AM145" s="591" t="s">
        <v>429</v>
      </c>
      <c r="AN145" s="591" t="s">
        <v>429</v>
      </c>
      <c r="AO145" s="398"/>
      <c r="AP145" s="397"/>
    </row>
    <row r="146" spans="1:42" ht="16.5" hidden="1" thickBot="1" x14ac:dyDescent="0.3">
      <c r="A146" s="1796"/>
      <c r="B146" s="657" t="s">
        <v>889</v>
      </c>
      <c r="C146" s="747" t="s">
        <v>429</v>
      </c>
      <c r="D146" s="815" t="s">
        <v>1092</v>
      </c>
      <c r="E146" s="1880"/>
      <c r="F146" s="616">
        <f>'exchange rates'!$O$41</f>
        <v>19.670400000000001</v>
      </c>
      <c r="G146" s="549">
        <f>2080/F146</f>
        <v>105.74263868553766</v>
      </c>
      <c r="H146" s="550">
        <v>0</v>
      </c>
      <c r="I146" s="551">
        <v>0</v>
      </c>
      <c r="J146" s="560">
        <v>0</v>
      </c>
      <c r="K146" s="566">
        <f>Tabel66892127[[#This Row],[Fix.ch. 2017]]+Tabel66892127[[#This Row],[Var. ch. 2017]]+Tabel66892127[[#This Row],[Oth. ch. DW 2017]]+Tabel66892127[[#This Row],[VAT DW 2017]]</f>
        <v>105.74263868553766</v>
      </c>
      <c r="L146" s="567">
        <v>0</v>
      </c>
      <c r="M146" s="560">
        <v>0</v>
      </c>
      <c r="N146" s="568">
        <v>0</v>
      </c>
      <c r="O146" s="560">
        <v>0</v>
      </c>
      <c r="P146" s="569">
        <v>0</v>
      </c>
      <c r="Q146" s="560">
        <v>0</v>
      </c>
      <c r="R146" s="570">
        <f>Tabel66892127[[#This Row],[VAT DW 2017]]+Tabel66892127[[#This Row],[VAT Sew. 2017]]+Tabel66892127[[#This Row],[VAT WW 2017]]+Tabel66892127[[#This Row],[VAT Other ch. 2017]]</f>
        <v>0</v>
      </c>
      <c r="S146" s="571">
        <f>Tabel66892127[[#This Row],[Total. ch. DW 2017]]+Tabel66892127[[#This Row],[Sew. 2017]]+Tabel66892127[[#This Row],[VAT Sew. 2017]]+Tabel66892127[[#This Row],[WW 2017]]+Tabel66892127[[#This Row],[VAT WW 2017]]+Tabel66892127[[#This Row],[Other ch. 2017]]+Tabel66892127[[#This Row],[VAT Other ch. 2017]]</f>
        <v>105.74263868553766</v>
      </c>
      <c r="T146" s="430"/>
      <c r="U146" s="1886"/>
      <c r="V146" s="1888"/>
      <c r="W146" s="1890"/>
      <c r="X146" s="1783"/>
      <c r="Y146" s="1892"/>
      <c r="Z146" s="1894"/>
      <c r="AA146" s="1783"/>
      <c r="AB146" s="1911"/>
      <c r="AC146" s="1783"/>
      <c r="AD146" s="1913"/>
      <c r="AE146" s="1783"/>
      <c r="AF146" s="1915"/>
      <c r="AG146" s="2053"/>
      <c r="AH146" s="397"/>
      <c r="AI146" s="396"/>
      <c r="AJ146" s="398"/>
      <c r="AK146" s="398"/>
      <c r="AL146" s="396"/>
      <c r="AM146" s="591" t="s">
        <v>429</v>
      </c>
      <c r="AN146" s="591" t="s">
        <v>429</v>
      </c>
      <c r="AO146" s="398"/>
      <c r="AP146" s="397"/>
    </row>
    <row r="147" spans="1:42" ht="16.5" hidden="1" thickBot="1" x14ac:dyDescent="0.3">
      <c r="A147" s="1796"/>
      <c r="B147" s="657" t="s">
        <v>621</v>
      </c>
      <c r="C147" s="747"/>
      <c r="D147" s="815" t="s">
        <v>1092</v>
      </c>
      <c r="E147" s="1760"/>
      <c r="F147" s="616">
        <f>'exchange rates'!$O$41</f>
        <v>19.670400000000001</v>
      </c>
      <c r="G147" s="549">
        <f>1130/F147</f>
        <v>57.446721978200749</v>
      </c>
      <c r="H147" s="550">
        <v>0</v>
      </c>
      <c r="I147" s="551">
        <v>0</v>
      </c>
      <c r="J147" s="560">
        <v>0</v>
      </c>
      <c r="K147" s="566">
        <f>Tabel66892127[[#This Row],[Fix.ch. 2017]]+Tabel66892127[[#This Row],[Var. ch. 2017]]+Tabel66892127[[#This Row],[Oth. ch. DW 2017]]+Tabel66892127[[#This Row],[VAT DW 2017]]</f>
        <v>57.446721978200749</v>
      </c>
      <c r="L147" s="567">
        <v>0</v>
      </c>
      <c r="M147" s="560">
        <v>0</v>
      </c>
      <c r="N147" s="568">
        <f>80/F147</f>
        <v>4.0670245648283716</v>
      </c>
      <c r="O147" s="560">
        <v>0</v>
      </c>
      <c r="P147" s="569">
        <v>0</v>
      </c>
      <c r="Q147" s="560">
        <v>0</v>
      </c>
      <c r="R147" s="570">
        <f>Tabel66892127[[#This Row],[VAT DW 2017]]+Tabel66892127[[#This Row],[VAT Sew. 2017]]+Tabel66892127[[#This Row],[VAT WW 2017]]+Tabel66892127[[#This Row],[VAT Other ch. 2017]]</f>
        <v>0</v>
      </c>
      <c r="S147" s="571">
        <f>Tabel66892127[[#This Row],[Total. ch. DW 2017]]+Tabel66892127[[#This Row],[Sew. 2017]]+Tabel66892127[[#This Row],[VAT Sew. 2017]]+Tabel66892127[[#This Row],[WW 2017]]+Tabel66892127[[#This Row],[VAT WW 2017]]+Tabel66892127[[#This Row],[Other ch. 2017]]+Tabel66892127[[#This Row],[VAT Other ch. 2017]]</f>
        <v>61.513746543029121</v>
      </c>
      <c r="T147" s="430"/>
      <c r="U147" s="1886"/>
      <c r="V147" s="1888"/>
      <c r="W147" s="1890"/>
      <c r="X147" s="1783"/>
      <c r="Y147" s="1892"/>
      <c r="Z147" s="1894"/>
      <c r="AA147" s="1783"/>
      <c r="AB147" s="1911"/>
      <c r="AC147" s="1783"/>
      <c r="AD147" s="1913"/>
      <c r="AE147" s="1783"/>
      <c r="AF147" s="1915"/>
      <c r="AG147" s="2053"/>
      <c r="AH147" s="397"/>
      <c r="AI147" s="591" t="s">
        <v>429</v>
      </c>
      <c r="AJ147" s="398"/>
      <c r="AK147" s="398"/>
      <c r="AL147" s="396"/>
      <c r="AM147" s="591" t="s">
        <v>429</v>
      </c>
      <c r="AN147" s="591" t="s">
        <v>429</v>
      </c>
      <c r="AO147" s="398"/>
      <c r="AP147" s="397"/>
    </row>
    <row r="148" spans="1:42" ht="16.5" hidden="1" thickBot="1" x14ac:dyDescent="0.3">
      <c r="A148" s="1796"/>
      <c r="B148" s="657" t="s">
        <v>622</v>
      </c>
      <c r="C148" s="747"/>
      <c r="D148" s="815" t="s">
        <v>1092</v>
      </c>
      <c r="E148" s="1760"/>
      <c r="F148" s="616">
        <f>'exchange rates'!$O$41</f>
        <v>19.670400000000001</v>
      </c>
      <c r="G148" s="549">
        <f>2300/F148</f>
        <v>116.92695623881568</v>
      </c>
      <c r="H148" s="550">
        <v>0</v>
      </c>
      <c r="I148" s="551">
        <v>0</v>
      </c>
      <c r="J148" s="560">
        <v>0</v>
      </c>
      <c r="K148" s="566">
        <f>Tabel66892127[[#This Row],[Fix.ch. 2017]]+Tabel66892127[[#This Row],[Var. ch. 2017]]+Tabel66892127[[#This Row],[Oth. ch. DW 2017]]+Tabel66892127[[#This Row],[VAT DW 2017]]</f>
        <v>116.92695623881568</v>
      </c>
      <c r="L148" s="567">
        <v>0</v>
      </c>
      <c r="M148" s="560">
        <v>0</v>
      </c>
      <c r="N148" s="568">
        <v>0</v>
      </c>
      <c r="O148" s="560">
        <v>0</v>
      </c>
      <c r="P148" s="569">
        <v>0</v>
      </c>
      <c r="Q148" s="560">
        <v>0</v>
      </c>
      <c r="R148" s="570">
        <f>Tabel66892127[[#This Row],[VAT DW 2017]]+Tabel66892127[[#This Row],[VAT Sew. 2017]]+Tabel66892127[[#This Row],[VAT WW 2017]]+Tabel66892127[[#This Row],[VAT Other ch. 2017]]</f>
        <v>0</v>
      </c>
      <c r="S148" s="571">
        <f>Tabel66892127[[#This Row],[Total. ch. DW 2017]]+Tabel66892127[[#This Row],[Sew. 2017]]+Tabel66892127[[#This Row],[VAT Sew. 2017]]+Tabel66892127[[#This Row],[WW 2017]]+Tabel66892127[[#This Row],[VAT WW 2017]]+Tabel66892127[[#This Row],[Other ch. 2017]]+Tabel66892127[[#This Row],[VAT Other ch. 2017]]</f>
        <v>116.92695623881568</v>
      </c>
      <c r="T148" s="430"/>
      <c r="U148" s="1886"/>
      <c r="V148" s="1888"/>
      <c r="W148" s="1890"/>
      <c r="X148" s="1783"/>
      <c r="Y148" s="1892"/>
      <c r="Z148" s="1894"/>
      <c r="AA148" s="1783"/>
      <c r="AB148" s="1911"/>
      <c r="AC148" s="1783"/>
      <c r="AD148" s="1913"/>
      <c r="AE148" s="1783"/>
      <c r="AF148" s="1915"/>
      <c r="AG148" s="2053"/>
      <c r="AH148" s="397"/>
      <c r="AI148" s="396"/>
      <c r="AJ148" s="398"/>
      <c r="AK148" s="398"/>
      <c r="AL148" s="396"/>
      <c r="AM148" s="591" t="s">
        <v>429</v>
      </c>
      <c r="AN148" s="591" t="s">
        <v>429</v>
      </c>
      <c r="AO148" s="398"/>
      <c r="AP148" s="397"/>
    </row>
    <row r="149" spans="1:42" ht="16.5" hidden="1" thickBot="1" x14ac:dyDescent="0.3">
      <c r="A149" s="1796"/>
      <c r="B149" s="657" t="s">
        <v>623</v>
      </c>
      <c r="C149" s="747"/>
      <c r="D149" s="815" t="s">
        <v>1092</v>
      </c>
      <c r="E149" s="1760"/>
      <c r="F149" s="616">
        <f>'exchange rates'!$O$41</f>
        <v>19.670400000000001</v>
      </c>
      <c r="G149" s="549">
        <f>1200/F149</f>
        <v>61.005368472425573</v>
      </c>
      <c r="H149" s="550">
        <v>0</v>
      </c>
      <c r="I149" s="551">
        <v>0</v>
      </c>
      <c r="J149" s="560">
        <v>0</v>
      </c>
      <c r="K149" s="566">
        <f>Tabel66892127[[#This Row],[Fix.ch. 2017]]+Tabel66892127[[#This Row],[Var. ch. 2017]]+Tabel66892127[[#This Row],[Oth. ch. DW 2017]]+Tabel66892127[[#This Row],[VAT DW 2017]]</f>
        <v>61.005368472425573</v>
      </c>
      <c r="L149" s="567">
        <v>0</v>
      </c>
      <c r="M149" s="560">
        <v>0</v>
      </c>
      <c r="N149" s="568">
        <f>260/F149</f>
        <v>13.217829835692207</v>
      </c>
      <c r="O149" s="560">
        <v>0</v>
      </c>
      <c r="P149" s="569">
        <v>0</v>
      </c>
      <c r="Q149" s="560">
        <v>0</v>
      </c>
      <c r="R149" s="570">
        <f>Tabel66892127[[#This Row],[VAT DW 2017]]+Tabel66892127[[#This Row],[VAT Sew. 2017]]+Tabel66892127[[#This Row],[VAT WW 2017]]+Tabel66892127[[#This Row],[VAT Other ch. 2017]]</f>
        <v>0</v>
      </c>
      <c r="S149" s="571">
        <f>Tabel66892127[[#This Row],[Total. ch. DW 2017]]+Tabel66892127[[#This Row],[Sew. 2017]]+Tabel66892127[[#This Row],[VAT Sew. 2017]]+Tabel66892127[[#This Row],[WW 2017]]+Tabel66892127[[#This Row],[VAT WW 2017]]+Tabel66892127[[#This Row],[Other ch. 2017]]+Tabel66892127[[#This Row],[VAT Other ch. 2017]]</f>
        <v>74.223198308117787</v>
      </c>
      <c r="T149" s="430"/>
      <c r="U149" s="1886"/>
      <c r="V149" s="1888"/>
      <c r="W149" s="1890"/>
      <c r="X149" s="1783"/>
      <c r="Y149" s="1892"/>
      <c r="Z149" s="1894"/>
      <c r="AA149" s="1783"/>
      <c r="AB149" s="1911"/>
      <c r="AC149" s="1783"/>
      <c r="AD149" s="1913"/>
      <c r="AE149" s="1783"/>
      <c r="AF149" s="1915"/>
      <c r="AG149" s="2053"/>
      <c r="AH149" s="397"/>
      <c r="AI149" s="396"/>
      <c r="AJ149" s="398"/>
      <c r="AK149" s="398"/>
      <c r="AL149" s="396"/>
      <c r="AM149" s="591" t="s">
        <v>429</v>
      </c>
      <c r="AN149" s="591" t="s">
        <v>429</v>
      </c>
      <c r="AO149" s="398"/>
      <c r="AP149" s="397"/>
    </row>
    <row r="150" spans="1:42" ht="16.5" hidden="1" thickBot="1" x14ac:dyDescent="0.3">
      <c r="A150" s="1797"/>
      <c r="B150" s="657" t="s">
        <v>624</v>
      </c>
      <c r="C150" s="747"/>
      <c r="D150" s="819" t="s">
        <v>1092</v>
      </c>
      <c r="E150" s="1761"/>
      <c r="F150" s="616">
        <f>'exchange rates'!$O$41</f>
        <v>19.670400000000001</v>
      </c>
      <c r="G150" s="549">
        <f>2050/F150</f>
        <v>104.21750447372702</v>
      </c>
      <c r="H150" s="550">
        <v>0</v>
      </c>
      <c r="I150" s="551">
        <v>0</v>
      </c>
      <c r="J150" s="560">
        <v>0</v>
      </c>
      <c r="K150" s="566">
        <f>Tabel66892127[[#This Row],[Fix.ch. 2017]]+Tabel66892127[[#This Row],[Var. ch. 2017]]+Tabel66892127[[#This Row],[Oth. ch. DW 2017]]+Tabel66892127[[#This Row],[VAT DW 2017]]</f>
        <v>104.21750447372702</v>
      </c>
      <c r="L150" s="567">
        <v>0</v>
      </c>
      <c r="M150" s="560">
        <v>0</v>
      </c>
      <c r="N150" s="568">
        <f>340/F150</f>
        <v>17.28485440052058</v>
      </c>
      <c r="O150" s="560">
        <v>0</v>
      </c>
      <c r="P150" s="569">
        <v>0</v>
      </c>
      <c r="Q150" s="560">
        <v>0</v>
      </c>
      <c r="R150" s="570">
        <f>Tabel66892127[[#This Row],[VAT DW 2017]]+Tabel66892127[[#This Row],[VAT Sew. 2017]]+Tabel66892127[[#This Row],[VAT WW 2017]]+Tabel66892127[[#This Row],[VAT Other ch. 2017]]</f>
        <v>0</v>
      </c>
      <c r="S150" s="571">
        <f>Tabel66892127[[#This Row],[Total. ch. DW 2017]]+Tabel66892127[[#This Row],[Sew. 2017]]+Tabel66892127[[#This Row],[VAT Sew. 2017]]+Tabel66892127[[#This Row],[WW 2017]]+Tabel66892127[[#This Row],[VAT WW 2017]]+Tabel66892127[[#This Row],[Other ch. 2017]]+Tabel66892127[[#This Row],[VAT Other ch. 2017]]</f>
        <v>121.50235887424759</v>
      </c>
      <c r="T150" s="430"/>
      <c r="U150" s="1764"/>
      <c r="V150" s="1767"/>
      <c r="W150" s="1770"/>
      <c r="X150" s="1773"/>
      <c r="Y150" s="1776"/>
      <c r="Z150" s="1779"/>
      <c r="AA150" s="1773"/>
      <c r="AB150" s="1811"/>
      <c r="AC150" s="1773"/>
      <c r="AD150" s="1813"/>
      <c r="AE150" s="1773"/>
      <c r="AF150" s="1815"/>
      <c r="AG150" s="1991"/>
      <c r="AH150" s="397"/>
      <c r="AI150" s="396"/>
      <c r="AJ150" s="398"/>
      <c r="AK150" s="398"/>
      <c r="AL150" s="396"/>
      <c r="AM150" s="591" t="s">
        <v>429</v>
      </c>
      <c r="AN150" s="591" t="s">
        <v>429</v>
      </c>
      <c r="AO150" s="398"/>
      <c r="AP150" s="397"/>
    </row>
    <row r="151" spans="1:42" ht="19.5" hidden="1" thickBot="1" x14ac:dyDescent="0.3">
      <c r="A151" s="2082" t="s">
        <v>39</v>
      </c>
      <c r="B151" s="271" t="s">
        <v>494</v>
      </c>
      <c r="C151" s="1051"/>
      <c r="D151" s="820" t="s">
        <v>1094</v>
      </c>
      <c r="E151" s="2085">
        <v>5100</v>
      </c>
      <c r="F151" s="306">
        <v>8.5832200000000007</v>
      </c>
      <c r="G151" s="319">
        <f>84/F151</f>
        <v>9.7865369872844923</v>
      </c>
      <c r="H151" s="320">
        <f>1362.08/F151</f>
        <v>158.69102737667214</v>
      </c>
      <c r="I151" s="321">
        <v>0</v>
      </c>
      <c r="J151" s="559"/>
      <c r="K151" s="313">
        <f>Tabel66892127[[#This Row],[Fix.ch. 2017]]+Tabel66892127[[#This Row],[Var. ch. 2017]]+Tabel66892127[[#This Row],[Oth. ch. DW 2017]]+Tabel66892127[[#This Row],[VAT DW 2017]]</f>
        <v>168.47756436395662</v>
      </c>
      <c r="L151" s="322">
        <f>343.44/F151</f>
        <v>40.012955510868878</v>
      </c>
      <c r="M151" s="559"/>
      <c r="N151" s="323">
        <v>0</v>
      </c>
      <c r="O151" s="559"/>
      <c r="P151" s="324">
        <v>0</v>
      </c>
      <c r="Q151" s="559"/>
      <c r="R151" s="317">
        <f>Tabel66892127[[#This Row],[VAT DW 2017]]+Tabel66892127[[#This Row],[VAT Sew. 2017]]+Tabel66892127[[#This Row],[VAT WW 2017]]+Tabel66892127[[#This Row],[VAT Other ch. 2017]]</f>
        <v>0</v>
      </c>
      <c r="S151" s="318">
        <f>Tabel66892127[[#This Row],[Total. ch. DW 2017]]+Tabel66892127[[#This Row],[Sew. 2017]]+Tabel66892127[[#This Row],[VAT Sew. 2017]]+Tabel66892127[[#This Row],[WW 2017]]+Tabel66892127[[#This Row],[VAT WW 2017]]+Tabel66892127[[#This Row],[Other ch. 2017]]+Tabel66892127[[#This Row],[VAT Other ch. 2017]]</f>
        <v>208.49051987482551</v>
      </c>
      <c r="T151" s="397"/>
      <c r="U151" s="2087">
        <f>SUM(G151:G155)/5</f>
        <v>9.38109474066842</v>
      </c>
      <c r="V151" s="2089">
        <f>SUM(H151:H155)/5</f>
        <v>129.00333441295922</v>
      </c>
      <c r="W151" s="2090">
        <f>SUM(I151:I155)/5</f>
        <v>0</v>
      </c>
      <c r="X151" s="575"/>
      <c r="Y151" s="2091">
        <f>SUM(K151:K155)/5</f>
        <v>138.38442915362765</v>
      </c>
      <c r="Z151" s="2092">
        <f>SUM(L151:L155)/5</f>
        <v>34.621971707587591</v>
      </c>
      <c r="AA151" s="575"/>
      <c r="AB151" s="2073">
        <f>SUM(N151:N155)/5</f>
        <v>0</v>
      </c>
      <c r="AC151" s="575"/>
      <c r="AD151" s="2074">
        <f>SUM(P151:P155)/5</f>
        <v>0</v>
      </c>
      <c r="AE151" s="575"/>
      <c r="AF151" s="2075">
        <f t="shared" ref="AF151:AG151" si="23">SUM(R151:R155)/5</f>
        <v>0</v>
      </c>
      <c r="AG151" s="2076">
        <f t="shared" si="23"/>
        <v>173.00640086121524</v>
      </c>
      <c r="AH151" s="397"/>
      <c r="AI151" s="398"/>
      <c r="AJ151" s="398"/>
      <c r="AK151" s="398"/>
      <c r="AL151" s="396" t="s">
        <v>429</v>
      </c>
      <c r="AM151" s="398"/>
      <c r="AN151" s="398"/>
      <c r="AO151" s="398"/>
      <c r="AP151" s="397"/>
    </row>
    <row r="152" spans="1:42" ht="19.5" hidden="1" thickBot="1" x14ac:dyDescent="0.3">
      <c r="A152" s="2083"/>
      <c r="B152" s="272" t="s">
        <v>495</v>
      </c>
      <c r="C152" s="764" t="s">
        <v>429</v>
      </c>
      <c r="D152" s="821" t="s">
        <v>1094</v>
      </c>
      <c r="E152" s="2086"/>
      <c r="F152" s="306">
        <v>8.5832200000000007</v>
      </c>
      <c r="G152" s="319">
        <f>102.6/F152</f>
        <v>11.953555891611771</v>
      </c>
      <c r="H152" s="320">
        <f>1117.04/F152</f>
        <v>130.1423009080508</v>
      </c>
      <c r="I152" s="321">
        <v>0</v>
      </c>
      <c r="J152" s="559"/>
      <c r="K152" s="313">
        <f>Tabel66892127[[#This Row],[Fix.ch. 2017]]+Tabel66892127[[#This Row],[Var. ch. 2017]]+Tabel66892127[[#This Row],[Oth. ch. DW 2017]]+Tabel66892127[[#This Row],[VAT DW 2017]]</f>
        <v>142.09585679966256</v>
      </c>
      <c r="L152" s="322">
        <f>328.8/F152</f>
        <v>38.307301921656439</v>
      </c>
      <c r="M152" s="559"/>
      <c r="N152" s="323">
        <v>0</v>
      </c>
      <c r="O152" s="559"/>
      <c r="P152" s="324">
        <v>0</v>
      </c>
      <c r="Q152" s="559"/>
      <c r="R152" s="317">
        <f>Tabel66892127[[#This Row],[VAT DW 2017]]+Tabel66892127[[#This Row],[VAT Sew. 2017]]+Tabel66892127[[#This Row],[VAT WW 2017]]+Tabel66892127[[#This Row],[VAT Other ch. 2017]]</f>
        <v>0</v>
      </c>
      <c r="S152" s="318">
        <f>Tabel66892127[[#This Row],[Total. ch. DW 2017]]+Tabel66892127[[#This Row],[Sew. 2017]]+Tabel66892127[[#This Row],[VAT Sew. 2017]]+Tabel66892127[[#This Row],[WW 2017]]+Tabel66892127[[#This Row],[VAT WW 2017]]+Tabel66892127[[#This Row],[Other ch. 2017]]+Tabel66892127[[#This Row],[VAT Other ch. 2017]]</f>
        <v>180.40315872131899</v>
      </c>
      <c r="T152" s="397"/>
      <c r="U152" s="2058"/>
      <c r="V152" s="2060"/>
      <c r="W152" s="2062"/>
      <c r="X152" s="576"/>
      <c r="Y152" s="2064"/>
      <c r="Z152" s="2066"/>
      <c r="AA152" s="576"/>
      <c r="AB152" s="2068"/>
      <c r="AC152" s="576"/>
      <c r="AD152" s="2070"/>
      <c r="AE152" s="576"/>
      <c r="AF152" s="2072"/>
      <c r="AG152" s="2077"/>
      <c r="AH152" s="397"/>
      <c r="AI152" s="398"/>
      <c r="AJ152" s="398"/>
      <c r="AK152" s="398"/>
      <c r="AL152" s="396" t="s">
        <v>429</v>
      </c>
      <c r="AM152" s="398"/>
      <c r="AN152" s="398"/>
      <c r="AO152" s="398"/>
      <c r="AP152" s="397"/>
    </row>
    <row r="153" spans="1:42" ht="19.5" hidden="1" thickBot="1" x14ac:dyDescent="0.3">
      <c r="A153" s="2083"/>
      <c r="B153" s="272" t="s">
        <v>496</v>
      </c>
      <c r="C153" s="764"/>
      <c r="D153" s="821" t="s">
        <v>1094</v>
      </c>
      <c r="E153" s="2086"/>
      <c r="F153" s="306">
        <v>8.5832200000000007</v>
      </c>
      <c r="G153" s="319">
        <f>72/F153</f>
        <v>8.3884602748152783</v>
      </c>
      <c r="H153" s="320">
        <f>1045.2/F153</f>
        <v>121.77248165606846</v>
      </c>
      <c r="I153" s="321">
        <v>0</v>
      </c>
      <c r="J153" s="559"/>
      <c r="K153" s="313">
        <f>Tabel66892127[[#This Row],[Fix.ch. 2017]]+Tabel66892127[[#This Row],[Var. ch. 2017]]+Tabel66892127[[#This Row],[Oth. ch. DW 2017]]+Tabel66892127[[#This Row],[VAT DW 2017]]</f>
        <v>130.16094193088375</v>
      </c>
      <c r="L153" s="322">
        <f>223.4/F153</f>
        <v>26.027528130468518</v>
      </c>
      <c r="M153" s="559"/>
      <c r="N153" s="323">
        <v>0</v>
      </c>
      <c r="O153" s="559"/>
      <c r="P153" s="324">
        <v>0</v>
      </c>
      <c r="Q153" s="559"/>
      <c r="R153" s="317">
        <f>Tabel66892127[[#This Row],[VAT DW 2017]]+Tabel66892127[[#This Row],[VAT Sew. 2017]]+Tabel66892127[[#This Row],[VAT WW 2017]]+Tabel66892127[[#This Row],[VAT Other ch. 2017]]</f>
        <v>0</v>
      </c>
      <c r="S153" s="318">
        <f>Tabel66892127[[#This Row],[Total. ch. DW 2017]]+Tabel66892127[[#This Row],[Sew. 2017]]+Tabel66892127[[#This Row],[VAT Sew. 2017]]+Tabel66892127[[#This Row],[WW 2017]]+Tabel66892127[[#This Row],[VAT WW 2017]]+Tabel66892127[[#This Row],[Other ch. 2017]]+Tabel66892127[[#This Row],[VAT Other ch. 2017]]</f>
        <v>156.18847006135226</v>
      </c>
      <c r="T153" s="397"/>
      <c r="U153" s="2058"/>
      <c r="V153" s="2060"/>
      <c r="W153" s="2062"/>
      <c r="X153" s="576"/>
      <c r="Y153" s="2064"/>
      <c r="Z153" s="2066"/>
      <c r="AA153" s="576"/>
      <c r="AB153" s="2068"/>
      <c r="AC153" s="576"/>
      <c r="AD153" s="2070"/>
      <c r="AE153" s="576"/>
      <c r="AF153" s="2072"/>
      <c r="AG153" s="2077"/>
      <c r="AH153" s="397"/>
      <c r="AI153" s="398"/>
      <c r="AJ153" s="398"/>
      <c r="AK153" s="398"/>
      <c r="AL153" s="396" t="s">
        <v>429</v>
      </c>
      <c r="AM153" s="398"/>
      <c r="AN153" s="398"/>
      <c r="AO153" s="398"/>
      <c r="AP153" s="397"/>
    </row>
    <row r="154" spans="1:42" ht="19.5" hidden="1" thickBot="1" x14ac:dyDescent="0.3">
      <c r="A154" s="2083"/>
      <c r="B154" s="272" t="s">
        <v>497</v>
      </c>
      <c r="C154" s="764"/>
      <c r="D154" s="821" t="s">
        <v>1094</v>
      </c>
      <c r="E154" s="2086"/>
      <c r="F154" s="306">
        <v>8.5832200000000007</v>
      </c>
      <c r="G154" s="319">
        <f>72/F154</f>
        <v>8.3884602748152783</v>
      </c>
      <c r="H154" s="320">
        <f>1074.24/F154</f>
        <v>125.15582730024396</v>
      </c>
      <c r="I154" s="321">
        <v>0</v>
      </c>
      <c r="J154" s="559"/>
      <c r="K154" s="313">
        <f>Tabel66892127[[#This Row],[Fix.ch. 2017]]+Tabel66892127[[#This Row],[Var. ch. 2017]]+Tabel66892127[[#This Row],[Oth. ch. DW 2017]]+Tabel66892127[[#This Row],[VAT DW 2017]]</f>
        <v>133.54428757505923</v>
      </c>
      <c r="L154" s="322">
        <f>233.08/F154</f>
        <v>27.155310011860351</v>
      </c>
      <c r="M154" s="559"/>
      <c r="N154" s="323">
        <v>0</v>
      </c>
      <c r="O154" s="559"/>
      <c r="P154" s="324">
        <v>0</v>
      </c>
      <c r="Q154" s="559"/>
      <c r="R154" s="317">
        <f>Tabel66892127[[#This Row],[VAT DW 2017]]+Tabel66892127[[#This Row],[VAT Sew. 2017]]+Tabel66892127[[#This Row],[VAT WW 2017]]+Tabel66892127[[#This Row],[VAT Other ch. 2017]]</f>
        <v>0</v>
      </c>
      <c r="S154" s="318">
        <f>Tabel66892127[[#This Row],[Total. ch. DW 2017]]+Tabel66892127[[#This Row],[Sew. 2017]]+Tabel66892127[[#This Row],[VAT Sew. 2017]]+Tabel66892127[[#This Row],[WW 2017]]+Tabel66892127[[#This Row],[VAT WW 2017]]+Tabel66892127[[#This Row],[Other ch. 2017]]+Tabel66892127[[#This Row],[VAT Other ch. 2017]]</f>
        <v>160.69959758691959</v>
      </c>
      <c r="T154" s="397"/>
      <c r="U154" s="2058"/>
      <c r="V154" s="2060"/>
      <c r="W154" s="2062"/>
      <c r="X154" s="576"/>
      <c r="Y154" s="2064"/>
      <c r="Z154" s="2066"/>
      <c r="AA154" s="576"/>
      <c r="AB154" s="2068"/>
      <c r="AC154" s="576"/>
      <c r="AD154" s="2070"/>
      <c r="AE154" s="576"/>
      <c r="AF154" s="2072"/>
      <c r="AG154" s="2077"/>
      <c r="AH154" s="397"/>
      <c r="AI154" s="398"/>
      <c r="AJ154" s="398"/>
      <c r="AK154" s="398"/>
      <c r="AL154" s="396" t="s">
        <v>429</v>
      </c>
      <c r="AM154" s="398"/>
      <c r="AN154" s="398"/>
      <c r="AO154" s="398"/>
      <c r="AP154" s="397"/>
    </row>
    <row r="155" spans="1:42" ht="19.5" hidden="1" thickBot="1" x14ac:dyDescent="0.3">
      <c r="A155" s="2084"/>
      <c r="B155" s="273" t="s">
        <v>498</v>
      </c>
      <c r="C155" s="1052"/>
      <c r="D155" s="822" t="s">
        <v>1094</v>
      </c>
      <c r="E155" s="2008"/>
      <c r="F155" s="306">
        <v>8.5832200000000007</v>
      </c>
      <c r="G155" s="319">
        <f>72/F155</f>
        <v>8.3884602748152783</v>
      </c>
      <c r="H155" s="320">
        <f>937.76/F155</f>
        <v>109.25503482376077</v>
      </c>
      <c r="I155" s="321">
        <v>0</v>
      </c>
      <c r="J155" s="559"/>
      <c r="K155" s="313">
        <f>Tabel66892127[[#This Row],[Fix.ch. 2017]]+Tabel66892127[[#This Row],[Var. ch. 2017]]+Tabel66892127[[#This Row],[Oth. ch. DW 2017]]+Tabel66892127[[#This Row],[VAT DW 2017]]</f>
        <v>117.64349509857604</v>
      </c>
      <c r="L155" s="322">
        <f>357.12/F155</f>
        <v>41.606762963083781</v>
      </c>
      <c r="M155" s="559"/>
      <c r="N155" s="323">
        <v>0</v>
      </c>
      <c r="O155" s="559"/>
      <c r="P155" s="324">
        <v>0</v>
      </c>
      <c r="Q155" s="559"/>
      <c r="R155" s="317">
        <f>Tabel66892127[[#This Row],[VAT DW 2017]]+Tabel66892127[[#This Row],[VAT Sew. 2017]]+Tabel66892127[[#This Row],[VAT WW 2017]]+Tabel66892127[[#This Row],[VAT Other ch. 2017]]</f>
        <v>0</v>
      </c>
      <c r="S155" s="318">
        <f>Tabel66892127[[#This Row],[Total. ch. DW 2017]]+Tabel66892127[[#This Row],[Sew. 2017]]+Tabel66892127[[#This Row],[VAT Sew. 2017]]+Tabel66892127[[#This Row],[WW 2017]]+Tabel66892127[[#This Row],[VAT WW 2017]]+Tabel66892127[[#This Row],[Other ch. 2017]]+Tabel66892127[[#This Row],[VAT Other ch. 2017]]</f>
        <v>159.25025806165982</v>
      </c>
      <c r="T155" s="397"/>
      <c r="U155" s="2088"/>
      <c r="V155" s="2013"/>
      <c r="W155" s="2015"/>
      <c r="X155" s="577"/>
      <c r="Y155" s="2017"/>
      <c r="Z155" s="2019"/>
      <c r="AA155" s="577"/>
      <c r="AB155" s="2021"/>
      <c r="AC155" s="577"/>
      <c r="AD155" s="2030"/>
      <c r="AE155" s="577"/>
      <c r="AF155" s="1993"/>
      <c r="AG155" s="1995"/>
      <c r="AH155" s="397"/>
      <c r="AI155" s="398"/>
      <c r="AJ155" s="398"/>
      <c r="AK155" s="398"/>
      <c r="AL155" s="396" t="s">
        <v>429</v>
      </c>
      <c r="AM155" s="398"/>
      <c r="AN155" s="398"/>
      <c r="AO155" s="398"/>
      <c r="AP155" s="397"/>
    </row>
    <row r="156" spans="1:42" ht="19.5" hidden="1" thickBot="1" x14ac:dyDescent="0.3">
      <c r="A156" s="961" t="s">
        <v>734</v>
      </c>
      <c r="B156" s="260" t="s">
        <v>735</v>
      </c>
      <c r="C156" s="1049"/>
      <c r="D156" s="817" t="s">
        <v>1104</v>
      </c>
      <c r="E156" s="1041">
        <v>11300</v>
      </c>
      <c r="F156" s="306">
        <f>'exchange rates'!M43</f>
        <v>15.682219999999999</v>
      </c>
      <c r="G156" s="319"/>
      <c r="H156" s="320"/>
      <c r="I156" s="321"/>
      <c r="J156" s="559"/>
      <c r="K156" s="313">
        <f>Tabel66892127[[#This Row],[Fix.ch. 2017]]+Tabel66892127[[#This Row],[Var. ch. 2017]]+Tabel66892127[[#This Row],[Oth. ch. DW 2017]]+Tabel66892127[[#This Row],[VAT DW 2017]]</f>
        <v>0</v>
      </c>
      <c r="L156" s="322"/>
      <c r="M156" s="559"/>
      <c r="N156" s="323"/>
      <c r="O156" s="559"/>
      <c r="P156" s="324"/>
      <c r="Q156" s="559"/>
      <c r="R156" s="317">
        <f>Tabel66892127[[#This Row],[VAT DW 2017]]+Tabel66892127[[#This Row],[VAT Sew. 2017]]+Tabel66892127[[#This Row],[VAT WW 2017]]+Tabel66892127[[#This Row],[VAT Other ch. 2017]]</f>
        <v>0</v>
      </c>
      <c r="S156" s="318">
        <f>Tabel66892127[[#This Row],[Total. ch. DW 2017]]+Tabel66892127[[#This Row],[Sew. 2017]]+Tabel66892127[[#This Row],[VAT Sew. 2017]]+Tabel66892127[[#This Row],[WW 2017]]+Tabel66892127[[#This Row],[VAT WW 2017]]+Tabel66892127[[#This Row],[Other ch. 2017]]+Tabel66892127[[#This Row],[VAT Other ch. 2017]]</f>
        <v>0</v>
      </c>
      <c r="T156" s="397"/>
      <c r="U156" s="992"/>
      <c r="V156" s="1043"/>
      <c r="W156" s="1042"/>
      <c r="X156" s="576"/>
      <c r="Y156" s="977"/>
      <c r="Z156" s="978"/>
      <c r="AA156" s="576"/>
      <c r="AB156" s="980"/>
      <c r="AC156" s="576"/>
      <c r="AD156" s="976"/>
      <c r="AE156" s="576"/>
      <c r="AF156" s="1028"/>
      <c r="AG156" s="1044"/>
      <c r="AH156" s="397"/>
      <c r="AI156" s="398"/>
      <c r="AJ156" s="398"/>
      <c r="AK156" s="398"/>
      <c r="AL156" s="396"/>
      <c r="AM156" s="398"/>
      <c r="AN156" s="398"/>
      <c r="AO156" s="398"/>
      <c r="AP156" s="397"/>
    </row>
    <row r="157" spans="1:42" ht="15.75" hidden="1" customHeight="1" x14ac:dyDescent="0.3">
      <c r="A157" s="2078" t="s">
        <v>20</v>
      </c>
      <c r="B157" s="631" t="s">
        <v>182</v>
      </c>
      <c r="C157" s="631" t="s">
        <v>429</v>
      </c>
      <c r="D157" s="631" t="s">
        <v>1106</v>
      </c>
      <c r="E157" s="1966">
        <v>53600</v>
      </c>
      <c r="F157" s="616">
        <f>'exchange rates'!$O$44</f>
        <v>0.83301000000000003</v>
      </c>
      <c r="G157" s="549">
        <f>42.15/F157</f>
        <v>50.599632657471098</v>
      </c>
      <c r="H157" s="550">
        <f>118/F157</f>
        <v>141.65496212530462</v>
      </c>
      <c r="I157" s="551">
        <v>0</v>
      </c>
      <c r="J157" s="560">
        <f>9.61/F157</f>
        <v>11.536476152747264</v>
      </c>
      <c r="K157" s="566">
        <f>Tabel66892127[[#This Row],[Fix.ch. 2017]]+Tabel66892127[[#This Row],[Var. ch. 2017]]+Tabel66892127[[#This Row],[Oth. ch. DW 2017]]+Tabel66892127[[#This Row],[VAT DW 2017]]</f>
        <v>203.79107093552298</v>
      </c>
      <c r="L157" s="567">
        <f>128/F157</f>
        <v>153.65961993253381</v>
      </c>
      <c r="M157" s="560">
        <f>0</f>
        <v>0</v>
      </c>
      <c r="N157" s="568">
        <f>157.95/F157</f>
        <v>189.61357006518529</v>
      </c>
      <c r="O157" s="560">
        <v>0</v>
      </c>
      <c r="P157" s="569">
        <f>33.6/F157</f>
        <v>40.335650232290128</v>
      </c>
      <c r="Q157" s="560">
        <f>2.02/F157</f>
        <v>2.4249408770602994</v>
      </c>
      <c r="R157" s="570">
        <f>Tabel66892127[[#This Row],[VAT DW 2017]]+Tabel66892127[[#This Row],[VAT Sew. 2017]]+Tabel66892127[[#This Row],[VAT WW 2017]]+Tabel66892127[[#This Row],[VAT Other ch. 2017]]</f>
        <v>13.961417029807563</v>
      </c>
      <c r="S157" s="571">
        <f>Tabel66892127[[#This Row],[Total. ch. DW 2017]]+Tabel66892127[[#This Row],[Sew. 2017]]+Tabel66892127[[#This Row],[VAT Sew. 2017]]+Tabel66892127[[#This Row],[WW 2017]]+Tabel66892127[[#This Row],[VAT WW 2017]]+Tabel66892127[[#This Row],[Other ch. 2017]]+Tabel66892127[[#This Row],[VAT Other ch. 2017]]</f>
        <v>589.82485204259251</v>
      </c>
      <c r="T157" s="397"/>
      <c r="U157" s="2080">
        <f>MEDIAN(G157:G161)</f>
        <v>70.827481062652311</v>
      </c>
      <c r="V157" s="1825">
        <f>MEDIAN(H157:H161)</f>
        <v>108.04192026506284</v>
      </c>
      <c r="W157" s="1826">
        <f>MEDIAN(I157:I161)</f>
        <v>0</v>
      </c>
      <c r="X157" s="1771">
        <f>MEDIAN(J157:J161)</f>
        <v>11.296382996602681</v>
      </c>
      <c r="Y157" s="1827">
        <f>SUM(U157:X161)</f>
        <v>190.16578432431783</v>
      </c>
      <c r="Z157" s="1828">
        <f t="shared" ref="Z157" si="24">MEDIAN(L157:L161)</f>
        <v>172.86707242410054</v>
      </c>
      <c r="AA157" s="1771">
        <f>MEDIAN(M157:M161)</f>
        <v>0</v>
      </c>
      <c r="AB157" s="1829">
        <f t="shared" ref="AB157" si="25">MEDIAN(N157:N161)</f>
        <v>191.94247367978772</v>
      </c>
      <c r="AC157" s="1771">
        <f>MEDIAN(O157:O161)</f>
        <v>0</v>
      </c>
      <c r="AD157" s="1830">
        <f t="shared" ref="AD157" si="26">MEDIAN(P157:P161)</f>
        <v>40.335650232290128</v>
      </c>
      <c r="AE157" s="1771">
        <f>MEDIAN(Q157:Q161)</f>
        <v>2.4249408770602994</v>
      </c>
      <c r="AF157" s="1816">
        <f t="shared" ref="AF157" si="27">MEDIAN(R157:R161)</f>
        <v>13.72132387366298</v>
      </c>
      <c r="AG157" s="1817">
        <f>Y157+Z157+AA157+AB157+AC157+AD157+AE157</f>
        <v>597.73592153755646</v>
      </c>
      <c r="AH157" s="397"/>
      <c r="AI157" s="591" t="s">
        <v>429</v>
      </c>
      <c r="AJ157" s="591" t="s">
        <v>429</v>
      </c>
      <c r="AK157" s="591"/>
      <c r="AL157" s="591"/>
      <c r="AM157" s="591" t="s">
        <v>429</v>
      </c>
      <c r="AN157" s="591"/>
      <c r="AO157" s="712" t="s">
        <v>925</v>
      </c>
      <c r="AP157" s="397"/>
    </row>
    <row r="158" spans="1:42" ht="15.75" hidden="1" customHeight="1" x14ac:dyDescent="0.3">
      <c r="A158" s="2079"/>
      <c r="B158" s="631" t="s">
        <v>183</v>
      </c>
      <c r="C158" s="631"/>
      <c r="D158" s="631" t="s">
        <v>1106</v>
      </c>
      <c r="E158" s="1967"/>
      <c r="F158" s="616">
        <f>'exchange rates'!$O$44</f>
        <v>0.83301000000000003</v>
      </c>
      <c r="G158" s="549">
        <f>59/F158</f>
        <v>70.827481062652311</v>
      </c>
      <c r="H158" s="550">
        <f>90/F158</f>
        <v>108.04192026506284</v>
      </c>
      <c r="I158" s="551">
        <f>7.84/F158</f>
        <v>9.4116517208676953</v>
      </c>
      <c r="J158" s="560">
        <f>9.41/F158</f>
        <v>11.296382996602681</v>
      </c>
      <c r="K158" s="566">
        <f>Tabel66892127[[#This Row],[Fix.ch. 2017]]+Tabel66892127[[#This Row],[Var. ch. 2017]]+Tabel66892127[[#This Row],[Oth. ch. DW 2017]]+Tabel66892127[[#This Row],[VAT DW 2017]]</f>
        <v>199.57743604518552</v>
      </c>
      <c r="L158" s="567">
        <f>190/F158</f>
        <v>228.08849833735488</v>
      </c>
      <c r="M158" s="560">
        <v>0</v>
      </c>
      <c r="N158" s="568">
        <f>159.89/F158</f>
        <v>191.94247367978772</v>
      </c>
      <c r="O158" s="560">
        <v>0</v>
      </c>
      <c r="P158" s="569">
        <f>33.6/F158</f>
        <v>40.335650232290128</v>
      </c>
      <c r="Q158" s="560">
        <f t="shared" ref="Q158:Q161" si="28">2.02/F158</f>
        <v>2.4249408770602994</v>
      </c>
      <c r="R158" s="570">
        <f>Tabel66892127[[#This Row],[VAT DW 2017]]+Tabel66892127[[#This Row],[VAT Sew. 2017]]+Tabel66892127[[#This Row],[VAT WW 2017]]+Tabel66892127[[#This Row],[VAT Other ch. 2017]]</f>
        <v>13.72132387366298</v>
      </c>
      <c r="S158" s="571">
        <f>Tabel66892127[[#This Row],[Total. ch. DW 2017]]+Tabel66892127[[#This Row],[Sew. 2017]]+Tabel66892127[[#This Row],[VAT Sew. 2017]]+Tabel66892127[[#This Row],[WW 2017]]+Tabel66892127[[#This Row],[VAT WW 2017]]+Tabel66892127[[#This Row],[Other ch. 2017]]+Tabel66892127[[#This Row],[VAT Other ch. 2017]]</f>
        <v>662.36899917167864</v>
      </c>
      <c r="T158" s="397"/>
      <c r="U158" s="2081"/>
      <c r="V158" s="1766"/>
      <c r="W158" s="1769"/>
      <c r="X158" s="1772"/>
      <c r="Y158" s="1775"/>
      <c r="Z158" s="1778"/>
      <c r="AA158" s="1772"/>
      <c r="AB158" s="1781"/>
      <c r="AC158" s="1772"/>
      <c r="AD158" s="1785"/>
      <c r="AE158" s="1772"/>
      <c r="AF158" s="1788"/>
      <c r="AG158" s="1791"/>
      <c r="AH158" s="397"/>
      <c r="AI158" s="591" t="s">
        <v>429</v>
      </c>
      <c r="AJ158" s="591" t="s">
        <v>429</v>
      </c>
      <c r="AK158" s="591"/>
      <c r="AL158" s="591"/>
      <c r="AM158" s="591" t="s">
        <v>429</v>
      </c>
      <c r="AN158" s="591"/>
      <c r="AO158" s="712" t="s">
        <v>925</v>
      </c>
      <c r="AP158" s="397"/>
    </row>
    <row r="159" spans="1:42" ht="15.75" hidden="1" customHeight="1" x14ac:dyDescent="0.3">
      <c r="A159" s="2079"/>
      <c r="B159" s="631" t="s">
        <v>184</v>
      </c>
      <c r="C159" s="631"/>
      <c r="D159" s="631" t="s">
        <v>1106</v>
      </c>
      <c r="E159" s="1967"/>
      <c r="F159" s="616">
        <f>'exchange rates'!$O$44</f>
        <v>0.83301000000000003</v>
      </c>
      <c r="G159" s="549">
        <f>61.18/F159</f>
        <v>73.444496464628273</v>
      </c>
      <c r="H159" s="550">
        <f>102/F159</f>
        <v>122.44750963373788</v>
      </c>
      <c r="I159" s="551">
        <f>18.4/F159</f>
        <v>22.088570365301734</v>
      </c>
      <c r="J159" s="560">
        <f>10.89/F159</f>
        <v>13.073072352072604</v>
      </c>
      <c r="K159" s="566">
        <f>Tabel66892127[[#This Row],[Fix.ch. 2017]]+Tabel66892127[[#This Row],[Var. ch. 2017]]+Tabel66892127[[#This Row],[Oth. ch. DW 2017]]+Tabel66892127[[#This Row],[VAT DW 2017]]</f>
        <v>231.0536488157405</v>
      </c>
      <c r="L159" s="567">
        <f>137/F159</f>
        <v>164.4638119590401</v>
      </c>
      <c r="M159" s="560">
        <v>0</v>
      </c>
      <c r="N159" s="568">
        <f>280.5/F159</f>
        <v>336.7306514927792</v>
      </c>
      <c r="O159" s="560">
        <v>0</v>
      </c>
      <c r="P159" s="569">
        <f>33.6/F159</f>
        <v>40.335650232290128</v>
      </c>
      <c r="Q159" s="560">
        <f t="shared" si="28"/>
        <v>2.4249408770602994</v>
      </c>
      <c r="R159" s="570">
        <f>Tabel66892127[[#This Row],[VAT DW 2017]]+Tabel66892127[[#This Row],[VAT Sew. 2017]]+Tabel66892127[[#This Row],[VAT WW 2017]]+Tabel66892127[[#This Row],[VAT Other ch. 2017]]</f>
        <v>15.498013229132903</v>
      </c>
      <c r="S159" s="571">
        <f>Tabel66892127[[#This Row],[Total. ch. DW 2017]]+Tabel66892127[[#This Row],[Sew. 2017]]+Tabel66892127[[#This Row],[VAT Sew. 2017]]+Tabel66892127[[#This Row],[WW 2017]]+Tabel66892127[[#This Row],[VAT WW 2017]]+Tabel66892127[[#This Row],[Other ch. 2017]]+Tabel66892127[[#This Row],[VAT Other ch. 2017]]</f>
        <v>775.00870337691026</v>
      </c>
      <c r="T159" s="397"/>
      <c r="U159" s="2081"/>
      <c r="V159" s="1766"/>
      <c r="W159" s="1769"/>
      <c r="X159" s="1772"/>
      <c r="Y159" s="1775"/>
      <c r="Z159" s="1778"/>
      <c r="AA159" s="1772"/>
      <c r="AB159" s="1781"/>
      <c r="AC159" s="1772"/>
      <c r="AD159" s="1785"/>
      <c r="AE159" s="1772"/>
      <c r="AF159" s="1788"/>
      <c r="AG159" s="1791"/>
      <c r="AH159" s="397"/>
      <c r="AI159" s="614"/>
      <c r="AJ159" s="591" t="s">
        <v>429</v>
      </c>
      <c r="AK159" s="591"/>
      <c r="AL159" s="591"/>
      <c r="AM159" s="591" t="s">
        <v>429</v>
      </c>
      <c r="AN159" s="591"/>
      <c r="AO159" s="712" t="s">
        <v>925</v>
      </c>
      <c r="AP159" s="397"/>
    </row>
    <row r="160" spans="1:42" ht="15.75" hidden="1" customHeight="1" x14ac:dyDescent="0.3">
      <c r="A160" s="2079"/>
      <c r="B160" s="631" t="s">
        <v>185</v>
      </c>
      <c r="C160" s="631"/>
      <c r="D160" s="631" t="s">
        <v>1106</v>
      </c>
      <c r="E160" s="1967"/>
      <c r="F160" s="616">
        <f>'exchange rates'!$O$44</f>
        <v>0.83301000000000003</v>
      </c>
      <c r="G160" s="549">
        <f>45/F160</f>
        <v>54.020960132531421</v>
      </c>
      <c r="H160" s="550">
        <f>63/F160</f>
        <v>75.629344185543985</v>
      </c>
      <c r="I160" s="551">
        <v>0</v>
      </c>
      <c r="J160" s="560">
        <f>6.48/F160</f>
        <v>7.7790182590845252</v>
      </c>
      <c r="K160" s="566">
        <f>Tabel66892127[[#This Row],[Fix.ch. 2017]]+Tabel66892127[[#This Row],[Var. ch. 2017]]+Tabel66892127[[#This Row],[Oth. ch. DW 2017]]+Tabel66892127[[#This Row],[VAT DW 2017]]</f>
        <v>137.42932257715992</v>
      </c>
      <c r="L160" s="567">
        <f>220/F160</f>
        <v>264.10247175904249</v>
      </c>
      <c r="M160" s="560">
        <v>0</v>
      </c>
      <c r="N160" s="568">
        <f>192.24/F160</f>
        <v>230.77754168617423</v>
      </c>
      <c r="O160" s="560">
        <v>0</v>
      </c>
      <c r="P160" s="569">
        <f>33.6/F160</f>
        <v>40.335650232290128</v>
      </c>
      <c r="Q160" s="560">
        <f t="shared" si="28"/>
        <v>2.4249408770602994</v>
      </c>
      <c r="R160" s="570">
        <f>Tabel66892127[[#This Row],[VAT DW 2017]]+Tabel66892127[[#This Row],[VAT Sew. 2017]]+Tabel66892127[[#This Row],[VAT WW 2017]]+Tabel66892127[[#This Row],[VAT Other ch. 2017]]</f>
        <v>10.203959136144825</v>
      </c>
      <c r="S160" s="571">
        <f>Tabel66892127[[#This Row],[Total. ch. DW 2017]]+Tabel66892127[[#This Row],[Sew. 2017]]+Tabel66892127[[#This Row],[VAT Sew. 2017]]+Tabel66892127[[#This Row],[WW 2017]]+Tabel66892127[[#This Row],[VAT WW 2017]]+Tabel66892127[[#This Row],[Other ch. 2017]]+Tabel66892127[[#This Row],[VAT Other ch. 2017]]</f>
        <v>675.06992713172713</v>
      </c>
      <c r="T160" s="397"/>
      <c r="U160" s="2081"/>
      <c r="V160" s="1766"/>
      <c r="W160" s="1769"/>
      <c r="X160" s="1772"/>
      <c r="Y160" s="1775"/>
      <c r="Z160" s="1778"/>
      <c r="AA160" s="1772"/>
      <c r="AB160" s="1781"/>
      <c r="AC160" s="1772"/>
      <c r="AD160" s="1785"/>
      <c r="AE160" s="1772"/>
      <c r="AF160" s="1788"/>
      <c r="AG160" s="1791"/>
      <c r="AH160" s="397"/>
      <c r="AI160" s="614"/>
      <c r="AJ160" s="591" t="s">
        <v>429</v>
      </c>
      <c r="AK160" s="591"/>
      <c r="AL160" s="591"/>
      <c r="AM160" s="591" t="s">
        <v>429</v>
      </c>
      <c r="AN160" s="591"/>
      <c r="AO160" s="712" t="s">
        <v>925</v>
      </c>
      <c r="AP160" s="397"/>
    </row>
    <row r="161" spans="1:42" ht="16.5" hidden="1" customHeight="1" thickBot="1" x14ac:dyDescent="0.3">
      <c r="A161" s="2079"/>
      <c r="B161" s="631" t="s">
        <v>186</v>
      </c>
      <c r="C161" s="631"/>
      <c r="D161" s="631" t="s">
        <v>1106</v>
      </c>
      <c r="E161" s="1967"/>
      <c r="F161" s="616">
        <f>'exchange rates'!$O$44</f>
        <v>0.83301000000000003</v>
      </c>
      <c r="G161" s="549">
        <f>70.44/F161</f>
        <v>84.560809594122517</v>
      </c>
      <c r="H161" s="550">
        <f>46.15/F161</f>
        <v>55.401495780362779</v>
      </c>
      <c r="I161" s="551">
        <v>0</v>
      </c>
      <c r="J161" s="560">
        <f>7/F161</f>
        <v>8.403260465060443</v>
      </c>
      <c r="K161" s="566">
        <f>Tabel66892127[[#This Row],[Fix.ch. 2017]]+Tabel66892127[[#This Row],[Var. ch. 2017]]+Tabel66892127[[#This Row],[Oth. ch. DW 2017]]+Tabel66892127[[#This Row],[VAT DW 2017]]</f>
        <v>148.36556583954575</v>
      </c>
      <c r="L161" s="567">
        <f>144/F161</f>
        <v>172.86707242410054</v>
      </c>
      <c r="M161" s="560">
        <v>0</v>
      </c>
      <c r="N161" s="568">
        <f>145.44/F161</f>
        <v>174.59574314834154</v>
      </c>
      <c r="O161" s="560">
        <v>0</v>
      </c>
      <c r="P161" s="569">
        <f>33.6/F161</f>
        <v>40.335650232290128</v>
      </c>
      <c r="Q161" s="560">
        <f t="shared" si="28"/>
        <v>2.4249408770602994</v>
      </c>
      <c r="R161" s="570">
        <f>Tabel66892127[[#This Row],[VAT DW 2017]]+Tabel66892127[[#This Row],[VAT Sew. 2017]]+Tabel66892127[[#This Row],[VAT WW 2017]]+Tabel66892127[[#This Row],[VAT Other ch. 2017]]</f>
        <v>10.828201342120742</v>
      </c>
      <c r="S161" s="571">
        <f>Tabel66892127[[#This Row],[Total. ch. DW 2017]]+Tabel66892127[[#This Row],[Sew. 2017]]+Tabel66892127[[#This Row],[VAT Sew. 2017]]+Tabel66892127[[#This Row],[WW 2017]]+Tabel66892127[[#This Row],[VAT WW 2017]]+Tabel66892127[[#This Row],[Other ch. 2017]]+Tabel66892127[[#This Row],[VAT Other ch. 2017]]</f>
        <v>538.58897252133829</v>
      </c>
      <c r="T161" s="397"/>
      <c r="U161" s="2081"/>
      <c r="V161" s="1766"/>
      <c r="W161" s="1769"/>
      <c r="X161" s="1773"/>
      <c r="Y161" s="1775"/>
      <c r="Z161" s="1778"/>
      <c r="AA161" s="1773"/>
      <c r="AB161" s="1781"/>
      <c r="AC161" s="1773"/>
      <c r="AD161" s="1785"/>
      <c r="AE161" s="1773"/>
      <c r="AF161" s="1788"/>
      <c r="AG161" s="1791"/>
      <c r="AH161" s="397"/>
      <c r="AI161" s="614"/>
      <c r="AJ161" s="591" t="s">
        <v>429</v>
      </c>
      <c r="AK161" s="591"/>
      <c r="AL161" s="591"/>
      <c r="AM161" s="591" t="s">
        <v>429</v>
      </c>
      <c r="AN161" s="591"/>
      <c r="AO161" s="712" t="s">
        <v>925</v>
      </c>
      <c r="AP161" s="397"/>
    </row>
    <row r="162" spans="1:42" ht="19.5" hidden="1" thickBot="1" x14ac:dyDescent="0.3">
      <c r="A162" s="2004" t="s">
        <v>527</v>
      </c>
      <c r="B162" s="275" t="s">
        <v>528</v>
      </c>
      <c r="C162" s="809" t="s">
        <v>429</v>
      </c>
      <c r="D162" s="809" t="s">
        <v>1108</v>
      </c>
      <c r="E162" s="2111">
        <v>27900</v>
      </c>
      <c r="F162" s="306">
        <v>1.28559</v>
      </c>
      <c r="G162" s="319">
        <f>125/F162</f>
        <v>97.231621278945852</v>
      </c>
      <c r="H162" s="320">
        <v>0</v>
      </c>
      <c r="I162" s="321">
        <f>220/F162</f>
        <v>171.12765345094471</v>
      </c>
      <c r="J162" s="559"/>
      <c r="K162" s="313">
        <f>Tabel66892127[[#This Row],[Fix.ch. 2017]]+Tabel66892127[[#This Row],[Var. ch. 2017]]+Tabel66892127[[#This Row],[Oth. ch. DW 2017]]+Tabel66892127[[#This Row],[VAT DW 2017]]</f>
        <v>268.35927472989056</v>
      </c>
      <c r="L162" s="322">
        <v>0</v>
      </c>
      <c r="M162" s="559"/>
      <c r="N162" s="323">
        <f>280/F162</f>
        <v>217.7988316648387</v>
      </c>
      <c r="O162" s="559"/>
      <c r="P162" s="324">
        <v>0</v>
      </c>
      <c r="Q162" s="559"/>
      <c r="R162" s="317">
        <f>Tabel66892127[[#This Row],[VAT DW 2017]]+Tabel66892127[[#This Row],[VAT Sew. 2017]]+Tabel66892127[[#This Row],[VAT WW 2017]]+Tabel66892127[[#This Row],[VAT Other ch. 2017]]</f>
        <v>0</v>
      </c>
      <c r="S162" s="318">
        <f>Tabel66892127[[#This Row],[Total. ch. DW 2017]]+Tabel66892127[[#This Row],[Sew. 2017]]+Tabel66892127[[#This Row],[VAT Sew. 2017]]+Tabel66892127[[#This Row],[WW 2017]]+Tabel66892127[[#This Row],[VAT WW 2017]]+Tabel66892127[[#This Row],[Other ch. 2017]]+Tabel66892127[[#This Row],[VAT Other ch. 2017]]</f>
        <v>486.15810639472926</v>
      </c>
      <c r="T162" s="397"/>
      <c r="U162" s="2112">
        <f>SUM(G162:G166)/5</f>
        <v>118.23365147519814</v>
      </c>
      <c r="V162" s="2113">
        <f>SUM(H162:H166)/5</f>
        <v>98.009474249177416</v>
      </c>
      <c r="W162" s="2114">
        <f>SUM(I162:I166)/5</f>
        <v>34.22553069018894</v>
      </c>
      <c r="X162" s="575"/>
      <c r="Y162" s="2115">
        <f>SUM(K162:K166)/5</f>
        <v>250.46865641456452</v>
      </c>
      <c r="Z162" s="2116">
        <f>SUM(L162:L166)/5</f>
        <v>0</v>
      </c>
      <c r="AA162" s="575"/>
      <c r="AB162" s="2117">
        <f>SUM(N162:N166)/5</f>
        <v>238.80086186109102</v>
      </c>
      <c r="AC162" s="575"/>
      <c r="AD162" s="2118">
        <f>SUM(P162:P166)/5</f>
        <v>0</v>
      </c>
      <c r="AE162" s="575"/>
      <c r="AF162" s="2093">
        <f t="shared" ref="AF162:AG162" si="29">SUM(R162:R166)/5</f>
        <v>0</v>
      </c>
      <c r="AG162" s="2094">
        <f t="shared" si="29"/>
        <v>489.26951827565551</v>
      </c>
      <c r="AH162" s="397"/>
      <c r="AI162" s="398"/>
      <c r="AJ162" s="398"/>
      <c r="AK162" s="398"/>
      <c r="AL162" s="398"/>
      <c r="AM162" s="398"/>
      <c r="AN162" s="398"/>
      <c r="AO162" s="398"/>
      <c r="AP162" s="397"/>
    </row>
    <row r="163" spans="1:42" ht="19.5" hidden="1" thickBot="1" x14ac:dyDescent="0.3">
      <c r="A163" s="2005"/>
      <c r="B163" s="261" t="s">
        <v>529</v>
      </c>
      <c r="C163" s="261"/>
      <c r="D163" s="261" t="s">
        <v>1108</v>
      </c>
      <c r="E163" s="1837"/>
      <c r="F163" s="306">
        <v>1.28559</v>
      </c>
      <c r="G163" s="319">
        <f>360/F163</f>
        <v>280.02706928336403</v>
      </c>
      <c r="H163" s="320">
        <v>0</v>
      </c>
      <c r="I163" s="321">
        <v>0</v>
      </c>
      <c r="J163" s="559"/>
      <c r="K163" s="313">
        <f>Tabel66892127[[#This Row],[Fix.ch. 2017]]+Tabel66892127[[#This Row],[Var. ch. 2017]]+Tabel66892127[[#This Row],[Oth. ch. DW 2017]]+Tabel66892127[[#This Row],[VAT DW 2017]]</f>
        <v>280.02706928336403</v>
      </c>
      <c r="L163" s="322">
        <v>0</v>
      </c>
      <c r="M163" s="559"/>
      <c r="N163" s="323">
        <f>310/F163</f>
        <v>241.13442077178573</v>
      </c>
      <c r="O163" s="559"/>
      <c r="P163" s="324">
        <v>0</v>
      </c>
      <c r="Q163" s="559"/>
      <c r="R163" s="317">
        <f>Tabel66892127[[#This Row],[VAT DW 2017]]+Tabel66892127[[#This Row],[VAT Sew. 2017]]+Tabel66892127[[#This Row],[VAT WW 2017]]+Tabel66892127[[#This Row],[VAT Other ch. 2017]]</f>
        <v>0</v>
      </c>
      <c r="S163" s="318">
        <f>Tabel66892127[[#This Row],[Total. ch. DW 2017]]+Tabel66892127[[#This Row],[Sew. 2017]]+Tabel66892127[[#This Row],[VAT Sew. 2017]]+Tabel66892127[[#This Row],[WW 2017]]+Tabel66892127[[#This Row],[VAT WW 2017]]+Tabel66892127[[#This Row],[Other ch. 2017]]+Tabel66892127[[#This Row],[VAT Other ch. 2017]]</f>
        <v>521.16149005514978</v>
      </c>
      <c r="T163" s="397"/>
      <c r="U163" s="1840"/>
      <c r="V163" s="1843"/>
      <c r="W163" s="1846"/>
      <c r="X163" s="576"/>
      <c r="Y163" s="1849"/>
      <c r="Z163" s="1852"/>
      <c r="AA163" s="576"/>
      <c r="AB163" s="1855"/>
      <c r="AC163" s="576"/>
      <c r="AD163" s="1858"/>
      <c r="AE163" s="576"/>
      <c r="AF163" s="1873"/>
      <c r="AG163" s="1876"/>
      <c r="AH163" s="397"/>
      <c r="AI163" s="398"/>
      <c r="AJ163" s="398"/>
      <c r="AK163" s="398"/>
      <c r="AL163" s="398"/>
      <c r="AM163" s="398"/>
      <c r="AN163" s="398"/>
      <c r="AO163" s="398"/>
      <c r="AP163" s="397"/>
    </row>
    <row r="164" spans="1:42" ht="19.5" hidden="1" thickBot="1" x14ac:dyDescent="0.3">
      <c r="A164" s="2005"/>
      <c r="B164" s="261" t="s">
        <v>530</v>
      </c>
      <c r="C164" s="261"/>
      <c r="D164" s="261" t="s">
        <v>1108</v>
      </c>
      <c r="E164" s="1837"/>
      <c r="F164" s="306">
        <v>1.28559</v>
      </c>
      <c r="G164" s="319">
        <f>225/F164</f>
        <v>175.01691830210254</v>
      </c>
      <c r="H164" s="320">
        <v>0</v>
      </c>
      <c r="I164" s="321">
        <v>0</v>
      </c>
      <c r="J164" s="559"/>
      <c r="K164" s="313">
        <f>Tabel66892127[[#This Row],[Fix.ch. 2017]]+Tabel66892127[[#This Row],[Var. ch. 2017]]+Tabel66892127[[#This Row],[Oth. ch. DW 2017]]+Tabel66892127[[#This Row],[VAT DW 2017]]</f>
        <v>175.01691830210254</v>
      </c>
      <c r="L164" s="322">
        <v>0</v>
      </c>
      <c r="M164" s="559"/>
      <c r="N164" s="323">
        <f>125/F164</f>
        <v>97.231621278945852</v>
      </c>
      <c r="O164" s="559"/>
      <c r="P164" s="324">
        <v>0</v>
      </c>
      <c r="Q164" s="559"/>
      <c r="R164" s="317">
        <f>Tabel66892127[[#This Row],[VAT DW 2017]]+Tabel66892127[[#This Row],[VAT Sew. 2017]]+Tabel66892127[[#This Row],[VAT WW 2017]]+Tabel66892127[[#This Row],[VAT Other ch. 2017]]</f>
        <v>0</v>
      </c>
      <c r="S164" s="318">
        <f>Tabel66892127[[#This Row],[Total. ch. DW 2017]]+Tabel66892127[[#This Row],[Sew. 2017]]+Tabel66892127[[#This Row],[VAT Sew. 2017]]+Tabel66892127[[#This Row],[WW 2017]]+Tabel66892127[[#This Row],[VAT WW 2017]]+Tabel66892127[[#This Row],[Other ch. 2017]]+Tabel66892127[[#This Row],[VAT Other ch. 2017]]</f>
        <v>272.24853958104836</v>
      </c>
      <c r="T164" s="397"/>
      <c r="U164" s="1840"/>
      <c r="V164" s="1843"/>
      <c r="W164" s="1846"/>
      <c r="X164" s="576"/>
      <c r="Y164" s="1849"/>
      <c r="Z164" s="1852"/>
      <c r="AA164" s="576"/>
      <c r="AB164" s="1855"/>
      <c r="AC164" s="576"/>
      <c r="AD164" s="1858"/>
      <c r="AE164" s="576"/>
      <c r="AF164" s="1873"/>
      <c r="AG164" s="1876"/>
      <c r="AH164" s="397"/>
      <c r="AI164" s="398"/>
      <c r="AJ164" s="398"/>
      <c r="AK164" s="398"/>
      <c r="AL164" s="398"/>
      <c r="AM164" s="398"/>
      <c r="AN164" s="398"/>
      <c r="AO164" s="398"/>
      <c r="AP164" s="397"/>
    </row>
    <row r="165" spans="1:42" ht="19.5" hidden="1" thickBot="1" x14ac:dyDescent="0.3">
      <c r="A165" s="2005"/>
      <c r="B165" s="261" t="s">
        <v>531</v>
      </c>
      <c r="C165" s="261"/>
      <c r="D165" s="261" t="s">
        <v>1108</v>
      </c>
      <c r="E165" s="1837"/>
      <c r="F165" s="306">
        <v>1.28559</v>
      </c>
      <c r="G165" s="319">
        <f>25/F165</f>
        <v>19.446324255789172</v>
      </c>
      <c r="H165" s="320">
        <f>280/F165</f>
        <v>217.7988316648387</v>
      </c>
      <c r="I165" s="321">
        <v>0</v>
      </c>
      <c r="J165" s="559"/>
      <c r="K165" s="313">
        <f>Tabel66892127[[#This Row],[Fix.ch. 2017]]+Tabel66892127[[#This Row],[Var. ch. 2017]]+Tabel66892127[[#This Row],[Oth. ch. DW 2017]]+Tabel66892127[[#This Row],[VAT DW 2017]]</f>
        <v>237.24515592062787</v>
      </c>
      <c r="L165" s="322">
        <v>0</v>
      </c>
      <c r="M165" s="559"/>
      <c r="N165" s="323">
        <f>280/F165</f>
        <v>217.7988316648387</v>
      </c>
      <c r="O165" s="559"/>
      <c r="P165" s="324">
        <v>0</v>
      </c>
      <c r="Q165" s="559"/>
      <c r="R165" s="317">
        <f>Tabel66892127[[#This Row],[VAT DW 2017]]+Tabel66892127[[#This Row],[VAT Sew. 2017]]+Tabel66892127[[#This Row],[VAT WW 2017]]+Tabel66892127[[#This Row],[VAT Other ch. 2017]]</f>
        <v>0</v>
      </c>
      <c r="S165" s="318">
        <f>Tabel66892127[[#This Row],[Total. ch. DW 2017]]+Tabel66892127[[#This Row],[Sew. 2017]]+Tabel66892127[[#This Row],[VAT Sew. 2017]]+Tabel66892127[[#This Row],[WW 2017]]+Tabel66892127[[#This Row],[VAT WW 2017]]+Tabel66892127[[#This Row],[Other ch. 2017]]+Tabel66892127[[#This Row],[VAT Other ch. 2017]]</f>
        <v>455.04398758546654</v>
      </c>
      <c r="T165" s="397"/>
      <c r="U165" s="1840"/>
      <c r="V165" s="1843"/>
      <c r="W165" s="1846"/>
      <c r="X165" s="576"/>
      <c r="Y165" s="1849"/>
      <c r="Z165" s="1852"/>
      <c r="AA165" s="576"/>
      <c r="AB165" s="1855"/>
      <c r="AC165" s="576"/>
      <c r="AD165" s="1858"/>
      <c r="AE165" s="576"/>
      <c r="AF165" s="1873"/>
      <c r="AG165" s="1876"/>
      <c r="AH165" s="397"/>
      <c r="AI165" s="398"/>
      <c r="AJ165" s="398"/>
      <c r="AK165" s="398"/>
      <c r="AL165" s="398"/>
      <c r="AM165" s="398"/>
      <c r="AN165" s="398"/>
      <c r="AO165" s="398"/>
      <c r="AP165" s="397"/>
    </row>
    <row r="166" spans="1:42" ht="19.5" hidden="1" thickBot="1" x14ac:dyDescent="0.3">
      <c r="A166" s="2006"/>
      <c r="B166" s="262" t="s">
        <v>532</v>
      </c>
      <c r="C166" s="800"/>
      <c r="D166" s="800" t="s">
        <v>1108</v>
      </c>
      <c r="E166" s="1838"/>
      <c r="F166" s="306">
        <v>1.28559</v>
      </c>
      <c r="G166" s="319">
        <f>25/F166</f>
        <v>19.446324255789172</v>
      </c>
      <c r="H166" s="320">
        <f>350/F166</f>
        <v>272.24853958104836</v>
      </c>
      <c r="I166" s="321">
        <v>0</v>
      </c>
      <c r="J166" s="559"/>
      <c r="K166" s="313">
        <f>Tabel66892127[[#This Row],[Fix.ch. 2017]]+Tabel66892127[[#This Row],[Var. ch. 2017]]+Tabel66892127[[#This Row],[Oth. ch. DW 2017]]+Tabel66892127[[#This Row],[VAT DW 2017]]</f>
        <v>291.69486383683756</v>
      </c>
      <c r="L166" s="322">
        <v>0</v>
      </c>
      <c r="M166" s="559"/>
      <c r="N166" s="323">
        <f>540/F166</f>
        <v>420.04060392504607</v>
      </c>
      <c r="O166" s="559"/>
      <c r="P166" s="324">
        <v>0</v>
      </c>
      <c r="Q166" s="559"/>
      <c r="R166" s="317">
        <f>Tabel66892127[[#This Row],[VAT DW 2017]]+Tabel66892127[[#This Row],[VAT Sew. 2017]]+Tabel66892127[[#This Row],[VAT WW 2017]]+Tabel66892127[[#This Row],[VAT Other ch. 2017]]</f>
        <v>0</v>
      </c>
      <c r="S166" s="318">
        <f>Tabel66892127[[#This Row],[Total. ch. DW 2017]]+Tabel66892127[[#This Row],[Sew. 2017]]+Tabel66892127[[#This Row],[VAT Sew. 2017]]+Tabel66892127[[#This Row],[WW 2017]]+Tabel66892127[[#This Row],[VAT WW 2017]]+Tabel66892127[[#This Row],[Other ch. 2017]]+Tabel66892127[[#This Row],[VAT Other ch. 2017]]</f>
        <v>711.73546776188368</v>
      </c>
      <c r="T166" s="397"/>
      <c r="U166" s="1841"/>
      <c r="V166" s="1844"/>
      <c r="W166" s="1847"/>
      <c r="X166" s="577"/>
      <c r="Y166" s="1850"/>
      <c r="Z166" s="1853"/>
      <c r="AA166" s="577"/>
      <c r="AB166" s="1856"/>
      <c r="AC166" s="577"/>
      <c r="AD166" s="1859"/>
      <c r="AE166" s="577"/>
      <c r="AF166" s="1874"/>
      <c r="AG166" s="1877"/>
      <c r="AH166" s="397"/>
      <c r="AI166" s="398"/>
      <c r="AJ166" s="398"/>
      <c r="AK166" s="398"/>
      <c r="AL166" s="398"/>
      <c r="AM166" s="398"/>
      <c r="AN166" s="398"/>
      <c r="AO166" s="398"/>
      <c r="AP166" s="397"/>
    </row>
    <row r="167" spans="1:42" ht="19.5" hidden="1" thickBot="1" x14ac:dyDescent="0.35">
      <c r="A167" s="267" t="s">
        <v>46</v>
      </c>
      <c r="B167" s="295" t="s">
        <v>477</v>
      </c>
      <c r="C167" s="1048"/>
      <c r="D167" s="811" t="s">
        <v>1110</v>
      </c>
      <c r="E167" s="302">
        <v>39500</v>
      </c>
      <c r="F167" s="306">
        <v>0.64417999999999997</v>
      </c>
      <c r="G167" s="319">
        <f>94/F167</f>
        <v>145.92194728181565</v>
      </c>
      <c r="H167" s="320">
        <f>208/F167</f>
        <v>322.89111738954949</v>
      </c>
      <c r="I167" s="321">
        <v>0</v>
      </c>
      <c r="J167" s="559"/>
      <c r="K167" s="313">
        <f>Tabel66892127[[#This Row],[Fix.ch. 2017]]+Tabel66892127[[#This Row],[Var. ch. 2017]]+Tabel66892127[[#This Row],[Oth. ch. DW 2017]]+Tabel66892127[[#This Row],[VAT DW 2017]]</f>
        <v>468.81306467136517</v>
      </c>
      <c r="L167" s="322">
        <v>0</v>
      </c>
      <c r="M167" s="559"/>
      <c r="N167" s="323">
        <f>449/F167</f>
        <v>697.01015244186408</v>
      </c>
      <c r="O167" s="559"/>
      <c r="P167" s="324">
        <v>0</v>
      </c>
      <c r="Q167" s="559"/>
      <c r="R167" s="317">
        <f>Tabel66892127[[#This Row],[VAT DW 2017]]+Tabel66892127[[#This Row],[VAT Sew. 2017]]+Tabel66892127[[#This Row],[VAT WW 2017]]+Tabel66892127[[#This Row],[VAT Other ch. 2017]]</f>
        <v>0</v>
      </c>
      <c r="S167" s="318">
        <f>Tabel66892127[[#This Row],[Total. ch. DW 2017]]+Tabel66892127[[#This Row],[Sew. 2017]]+Tabel66892127[[#This Row],[VAT Sew. 2017]]+Tabel66892127[[#This Row],[WW 2017]]+Tabel66892127[[#This Row],[VAT WW 2017]]+Tabel66892127[[#This Row],[Other ch. 2017]]+Tabel66892127[[#This Row],[VAT Other ch. 2017]]</f>
        <v>1165.8232171132292</v>
      </c>
      <c r="T167" s="397"/>
      <c r="U167" s="385">
        <f>Tabel66892127[[#This Row],[Fix.ch. 2017]]</f>
        <v>145.92194728181565</v>
      </c>
      <c r="V167" s="386">
        <f>Tabel66892127[[#This Row],[Var. ch. 2017]]</f>
        <v>322.89111738954949</v>
      </c>
      <c r="W167" s="387">
        <v>0</v>
      </c>
      <c r="X167" s="574"/>
      <c r="Y167" s="388">
        <f>Tabel66892127[[#This Row],[Total. ch. DW 2017]]</f>
        <v>468.81306467136517</v>
      </c>
      <c r="Z167" s="389">
        <v>0</v>
      </c>
      <c r="AA167" s="574"/>
      <c r="AB167" s="390">
        <f>Tabel66892127[[#This Row],[WW 2017]]</f>
        <v>697.01015244186408</v>
      </c>
      <c r="AC167" s="574"/>
      <c r="AD167" s="391">
        <v>0</v>
      </c>
      <c r="AE167" s="574"/>
      <c r="AF167" s="392">
        <f>Tabel66892127[[#This Row],[Total VAT 2017]]</f>
        <v>0</v>
      </c>
      <c r="AG167" s="393">
        <f>Tabel66892127[[#This Row],[total charge 2017]]</f>
        <v>1165.8232171132292</v>
      </c>
      <c r="AH167" s="397"/>
      <c r="AI167" s="398"/>
      <c r="AJ167" s="398"/>
      <c r="AK167" s="398"/>
      <c r="AL167" s="398"/>
      <c r="AM167" s="398"/>
      <c r="AN167" s="398"/>
      <c r="AO167" s="398" t="s">
        <v>476</v>
      </c>
      <c r="AP167" s="397"/>
    </row>
    <row r="168" spans="1:42" ht="15.75" hidden="1" customHeight="1" x14ac:dyDescent="0.3">
      <c r="A168" s="1818" t="s">
        <v>21</v>
      </c>
      <c r="B168" s="546" t="s">
        <v>125</v>
      </c>
      <c r="C168" s="1046"/>
      <c r="D168" s="802" t="s">
        <v>1112</v>
      </c>
      <c r="E168" s="1983">
        <v>70600</v>
      </c>
      <c r="F168" s="617">
        <f>'exchange rates'!$O$47</f>
        <v>8.20533</v>
      </c>
      <c r="G168" s="549">
        <f>1229/F168</f>
        <v>149.78069133112257</v>
      </c>
      <c r="H168" s="550">
        <v>0</v>
      </c>
      <c r="I168" s="551">
        <v>0</v>
      </c>
      <c r="J168" s="560">
        <f>307.25/F168</f>
        <v>37.445172832780642</v>
      </c>
      <c r="K168" s="566">
        <f>Tabel66892127[[#This Row],[Fix.ch. 2017]]+Tabel66892127[[#This Row],[Var. ch. 2017]]+Tabel66892127[[#This Row],[Oth. ch. DW 2017]]+Tabel66892127[[#This Row],[VAT DW 2017]]</f>
        <v>187.22586416390322</v>
      </c>
      <c r="L168" s="567">
        <f>1714/F168</f>
        <v>208.88861264568274</v>
      </c>
      <c r="M168" s="560">
        <f>428.5/F168</f>
        <v>52.222153161420685</v>
      </c>
      <c r="N168" s="568">
        <f>0</f>
        <v>0</v>
      </c>
      <c r="O168" s="560">
        <v>0</v>
      </c>
      <c r="P168" s="569">
        <v>0</v>
      </c>
      <c r="Q168" s="560">
        <v>0</v>
      </c>
      <c r="R168" s="570">
        <f>Tabel66892127[[#This Row],[VAT DW 2017]]+Tabel66892127[[#This Row],[VAT Sew. 2017]]+Tabel66892127[[#This Row],[VAT WW 2017]]+Tabel66892127[[#This Row],[VAT Other ch. 2017]]</f>
        <v>89.66732599420132</v>
      </c>
      <c r="S168" s="571">
        <f>Tabel66892127[[#This Row],[Total. ch. DW 2017]]+Tabel66892127[[#This Row],[Sew. 2017]]+Tabel66892127[[#This Row],[VAT Sew. 2017]]+Tabel66892127[[#This Row],[WW 2017]]+Tabel66892127[[#This Row],[VAT WW 2017]]+Tabel66892127[[#This Row],[Other ch. 2017]]+Tabel66892127[[#This Row],[VAT Other ch. 2017]]</f>
        <v>448.33662997100669</v>
      </c>
      <c r="T168" s="397"/>
      <c r="U168" s="2080">
        <f>MEDIAN(G168:G170)</f>
        <v>38.609050458665287</v>
      </c>
      <c r="V168" s="2096">
        <f>MEDIAN(H168:H170)</f>
        <v>106.51613036891874</v>
      </c>
      <c r="W168" s="2099">
        <f>MEDIAN(I168:I170)</f>
        <v>0</v>
      </c>
      <c r="X168" s="2102">
        <f>MEDIAN(J168:J170)</f>
        <v>37.445172832780642</v>
      </c>
      <c r="Y168" s="2105">
        <f>SUM(U168:X170)</f>
        <v>182.57035366036467</v>
      </c>
      <c r="Z168" s="2108">
        <f t="shared" ref="Z168:AF168" si="30">MEDIAN(L168:L170)</f>
        <v>178.66435597349528</v>
      </c>
      <c r="AA168" s="2102">
        <f t="shared" si="30"/>
        <v>49.3581610977255</v>
      </c>
      <c r="AB168" s="2119">
        <f t="shared" si="30"/>
        <v>0</v>
      </c>
      <c r="AC168" s="2102">
        <f t="shared" si="30"/>
        <v>0</v>
      </c>
      <c r="AD168" s="2122">
        <f t="shared" si="30"/>
        <v>0</v>
      </c>
      <c r="AE168" s="2102">
        <f t="shared" si="30"/>
        <v>0</v>
      </c>
      <c r="AF168" s="2125">
        <f t="shared" si="30"/>
        <v>83.817469864100531</v>
      </c>
      <c r="AG168" s="1817">
        <f>Y168+Z168+AA168+AB168+AC168+AD168+AE168</f>
        <v>410.59287073158544</v>
      </c>
      <c r="AH168" s="397"/>
      <c r="AI168" s="591" t="s">
        <v>429</v>
      </c>
      <c r="AJ168" s="591" t="s">
        <v>429</v>
      </c>
      <c r="AK168" s="591"/>
      <c r="AL168" s="591"/>
      <c r="AM168" s="591" t="s">
        <v>429</v>
      </c>
      <c r="AN168" s="591" t="s">
        <v>429</v>
      </c>
      <c r="AO168" s="614"/>
      <c r="AP168" s="397"/>
    </row>
    <row r="169" spans="1:42" ht="16.5" hidden="1" customHeight="1" x14ac:dyDescent="0.3">
      <c r="A169" s="1819"/>
      <c r="B169" s="547" t="s">
        <v>126</v>
      </c>
      <c r="C169" s="1046" t="s">
        <v>429</v>
      </c>
      <c r="D169" s="802" t="s">
        <v>1112</v>
      </c>
      <c r="E169" s="1760"/>
      <c r="F169" s="617">
        <f>'exchange rates'!$O$47</f>
        <v>8.20533</v>
      </c>
      <c r="G169" s="549">
        <f>308/F169</f>
        <v>37.536576834813467</v>
      </c>
      <c r="H169" s="550">
        <f>977/F169</f>
        <v>119.06894664809337</v>
      </c>
      <c r="I169" s="551">
        <v>0</v>
      </c>
      <c r="J169" s="560">
        <f>282.75/F169</f>
        <v>34.459308766375024</v>
      </c>
      <c r="K169" s="566">
        <f>Tabel66892127[[#This Row],[Fix.ch. 2017]]+Tabel66892127[[#This Row],[Var. ch. 2017]]+Tabel66892127[[#This Row],[Oth. ch. DW 2017]]+Tabel66892127[[#This Row],[VAT DW 2017]]</f>
        <v>191.06483224928186</v>
      </c>
      <c r="L169" s="567">
        <f>1466/F169</f>
        <v>178.66435597349528</v>
      </c>
      <c r="M169" s="560">
        <f>405/F169</f>
        <v>49.3581610977255</v>
      </c>
      <c r="N169" s="568">
        <v>0</v>
      </c>
      <c r="O169" s="560">
        <v>0</v>
      </c>
      <c r="P169" s="569">
        <v>0</v>
      </c>
      <c r="Q169" s="560">
        <v>0</v>
      </c>
      <c r="R169" s="570">
        <f>Tabel66892127[[#This Row],[VAT DW 2017]]+Tabel66892127[[#This Row],[VAT Sew. 2017]]+Tabel66892127[[#This Row],[VAT WW 2017]]+Tabel66892127[[#This Row],[VAT Other ch. 2017]]</f>
        <v>83.817469864100531</v>
      </c>
      <c r="S169" s="571">
        <f>Tabel66892127[[#This Row],[Total. ch. DW 2017]]+Tabel66892127[[#This Row],[Sew. 2017]]+Tabel66892127[[#This Row],[VAT Sew. 2017]]+Tabel66892127[[#This Row],[WW 2017]]+Tabel66892127[[#This Row],[VAT WW 2017]]+Tabel66892127[[#This Row],[Other ch. 2017]]+Tabel66892127[[#This Row],[VAT Other ch. 2017]]</f>
        <v>419.0873493205026</v>
      </c>
      <c r="T169" s="397"/>
      <c r="U169" s="2081"/>
      <c r="V169" s="2097"/>
      <c r="W169" s="2100"/>
      <c r="X169" s="2103"/>
      <c r="Y169" s="2106"/>
      <c r="Z169" s="2109"/>
      <c r="AA169" s="2103"/>
      <c r="AB169" s="2120"/>
      <c r="AC169" s="2103"/>
      <c r="AD169" s="2123"/>
      <c r="AE169" s="2103"/>
      <c r="AF169" s="2126"/>
      <c r="AG169" s="1791"/>
      <c r="AH169" s="397"/>
      <c r="AI169" s="591" t="s">
        <v>429</v>
      </c>
      <c r="AJ169" s="591" t="s">
        <v>429</v>
      </c>
      <c r="AK169" s="591"/>
      <c r="AL169" s="591"/>
      <c r="AM169" s="591" t="s">
        <v>429</v>
      </c>
      <c r="AN169" s="591" t="s">
        <v>429</v>
      </c>
      <c r="AO169" s="614"/>
      <c r="AP169" s="397"/>
    </row>
    <row r="170" spans="1:42" ht="18" hidden="1" customHeight="1" thickBot="1" x14ac:dyDescent="0.3">
      <c r="A170" s="1820"/>
      <c r="B170" s="641" t="s">
        <v>127</v>
      </c>
      <c r="C170" s="1046"/>
      <c r="D170" s="807" t="s">
        <v>1112</v>
      </c>
      <c r="E170" s="1996"/>
      <c r="F170" s="617">
        <f>'exchange rates'!$O$47</f>
        <v>8.20533</v>
      </c>
      <c r="G170" s="549">
        <f>316.8/F170</f>
        <v>38.609050458665287</v>
      </c>
      <c r="H170" s="550">
        <f>874/F170</f>
        <v>106.51613036891874</v>
      </c>
      <c r="I170" s="551">
        <f>97.6/F170</f>
        <v>11.894707464538293</v>
      </c>
      <c r="J170" s="560">
        <f>322.1/F170</f>
        <v>39.254972073030579</v>
      </c>
      <c r="K170" s="566">
        <f>Tabel66892127[[#This Row],[Fix.ch. 2017]]+Tabel66892127[[#This Row],[Var. ch. 2017]]+Tabel66892127[[#This Row],[Oth. ch. DW 2017]]+Tabel66892127[[#This Row],[VAT DW 2017]]</f>
        <v>196.2748603651529</v>
      </c>
      <c r="L170" s="567">
        <f>1334.6/F170</f>
        <v>162.65037481734433</v>
      </c>
      <c r="M170" s="560">
        <f>333.65/F170</f>
        <v>40.662593704336082</v>
      </c>
      <c r="N170" s="568">
        <v>0</v>
      </c>
      <c r="O170" s="560">
        <v>0</v>
      </c>
      <c r="P170" s="569">
        <v>0</v>
      </c>
      <c r="Q170" s="560">
        <v>0</v>
      </c>
      <c r="R170" s="570">
        <f>Tabel66892127[[#This Row],[VAT DW 2017]]+Tabel66892127[[#This Row],[VAT Sew. 2017]]+Tabel66892127[[#This Row],[VAT WW 2017]]+Tabel66892127[[#This Row],[VAT Other ch. 2017]]</f>
        <v>79.917565777366661</v>
      </c>
      <c r="S170" s="571">
        <f>Tabel66892127[[#This Row],[Total. ch. DW 2017]]+Tabel66892127[[#This Row],[Sew. 2017]]+Tabel66892127[[#This Row],[VAT Sew. 2017]]+Tabel66892127[[#This Row],[WW 2017]]+Tabel66892127[[#This Row],[VAT WW 2017]]+Tabel66892127[[#This Row],[Other ch. 2017]]+Tabel66892127[[#This Row],[VAT Other ch. 2017]]</f>
        <v>399.58782888683328</v>
      </c>
      <c r="T170" s="397"/>
      <c r="U170" s="2095"/>
      <c r="V170" s="2098"/>
      <c r="W170" s="2101"/>
      <c r="X170" s="2104"/>
      <c r="Y170" s="2107"/>
      <c r="Z170" s="2110"/>
      <c r="AA170" s="2104"/>
      <c r="AB170" s="2121"/>
      <c r="AC170" s="2104"/>
      <c r="AD170" s="2124"/>
      <c r="AE170" s="2104"/>
      <c r="AF170" s="2127"/>
      <c r="AG170" s="2002"/>
      <c r="AH170" s="397"/>
      <c r="AI170" s="591" t="s">
        <v>429</v>
      </c>
      <c r="AJ170" s="591" t="s">
        <v>429</v>
      </c>
      <c r="AK170" s="591"/>
      <c r="AL170" s="591"/>
      <c r="AM170" s="591" t="s">
        <v>429</v>
      </c>
      <c r="AN170" s="591" t="s">
        <v>429</v>
      </c>
      <c r="AO170" s="614"/>
      <c r="AP170" s="397"/>
    </row>
    <row r="171" spans="1:42" ht="18" hidden="1" customHeight="1" x14ac:dyDescent="0.3">
      <c r="A171" s="1818" t="s">
        <v>22</v>
      </c>
      <c r="B171" s="546" t="s">
        <v>128</v>
      </c>
      <c r="C171" s="1046"/>
      <c r="D171" s="802" t="s">
        <v>1114</v>
      </c>
      <c r="E171" s="1884">
        <v>29300</v>
      </c>
      <c r="F171" s="661">
        <f>'exchange rates'!$O$48</f>
        <v>3.4784999999999999</v>
      </c>
      <c r="G171" s="549">
        <v>0</v>
      </c>
      <c r="H171" s="550">
        <f>477/F171</f>
        <v>137.1280724450194</v>
      </c>
      <c r="I171" s="551">
        <v>0</v>
      </c>
      <c r="J171" s="560">
        <f>38.16/F171</f>
        <v>10.970245795601551</v>
      </c>
      <c r="K171" s="566">
        <f>Tabel66892127[[#This Row],[Fix.ch. 2017]]+Tabel66892127[[#This Row],[Var. ch. 2017]]+Tabel66892127[[#This Row],[Oth. ch. DW 2017]]+Tabel66892127[[#This Row],[VAT DW 2017]]</f>
        <v>148.09831824062096</v>
      </c>
      <c r="L171" s="567">
        <v>0</v>
      </c>
      <c r="M171" s="560">
        <v>0</v>
      </c>
      <c r="N171" s="568">
        <f>488/F171</f>
        <v>140.29035503809112</v>
      </c>
      <c r="O171" s="560">
        <f>39.04/F171</f>
        <v>11.22322840304729</v>
      </c>
      <c r="P171" s="569">
        <v>0</v>
      </c>
      <c r="Q171" s="560">
        <v>0</v>
      </c>
      <c r="R171" s="570">
        <f>Tabel66892127[[#This Row],[VAT DW 2017]]+Tabel66892127[[#This Row],[VAT Sew. 2017]]+Tabel66892127[[#This Row],[VAT WW 2017]]+Tabel66892127[[#This Row],[VAT Other ch. 2017]]</f>
        <v>22.193474198648843</v>
      </c>
      <c r="S171" s="571">
        <f>Tabel66892127[[#This Row],[Total. ch. DW 2017]]+Tabel66892127[[#This Row],[Sew. 2017]]+Tabel66892127[[#This Row],[VAT Sew. 2017]]+Tabel66892127[[#This Row],[WW 2017]]+Tabel66892127[[#This Row],[VAT WW 2017]]+Tabel66892127[[#This Row],[Other ch. 2017]]+Tabel66892127[[#This Row],[VAT Other ch. 2017]]</f>
        <v>299.61190168175938</v>
      </c>
      <c r="T171" s="397"/>
      <c r="U171" s="1885">
        <f>MEDIAN(G171:G176)</f>
        <v>0</v>
      </c>
      <c r="V171" s="1887">
        <f>MEDIAN(H171:H176)</f>
        <v>108.95500934310766</v>
      </c>
      <c r="W171" s="1889">
        <f>MEDIAN(I171:I176)</f>
        <v>0</v>
      </c>
      <c r="X171" s="1771">
        <f>MEDIAN(J171:J176)</f>
        <v>8.7164007474486134</v>
      </c>
      <c r="Y171" s="1891">
        <f>SUM(U171:X176)</f>
        <v>117.67141009055628</v>
      </c>
      <c r="Z171" s="1893">
        <f t="shared" ref="Z171:AF171" si="31">MEDIAN(L171:L176)</f>
        <v>0</v>
      </c>
      <c r="AA171" s="1771">
        <f t="shared" si="31"/>
        <v>0</v>
      </c>
      <c r="AB171" s="1910">
        <f t="shared" si="31"/>
        <v>149.34598246370561</v>
      </c>
      <c r="AC171" s="1771">
        <f t="shared" si="31"/>
        <v>11.947678597096449</v>
      </c>
      <c r="AD171" s="1912">
        <f t="shared" si="31"/>
        <v>0</v>
      </c>
      <c r="AE171" s="1771">
        <f t="shared" si="31"/>
        <v>0</v>
      </c>
      <c r="AF171" s="1914">
        <f t="shared" si="31"/>
        <v>21.319534282018111</v>
      </c>
      <c r="AG171" s="1909">
        <f>Y171+Z171+AA171+AB171+AC171+AD171+AE171</f>
        <v>278.96507115135836</v>
      </c>
      <c r="AH171" s="397"/>
      <c r="AI171" s="398"/>
      <c r="AJ171" s="591" t="s">
        <v>429</v>
      </c>
      <c r="AK171" s="398"/>
      <c r="AL171" s="398"/>
      <c r="AM171" s="398"/>
      <c r="AN171" s="398"/>
      <c r="AO171" s="398"/>
      <c r="AP171" s="397"/>
    </row>
    <row r="172" spans="1:42" ht="16.5" hidden="1" thickBot="1" x14ac:dyDescent="0.3">
      <c r="A172" s="1819"/>
      <c r="B172" s="641" t="s">
        <v>891</v>
      </c>
      <c r="C172" s="1046" t="s">
        <v>429</v>
      </c>
      <c r="D172" s="802" t="s">
        <v>1114</v>
      </c>
      <c r="E172" s="1760"/>
      <c r="F172" s="661">
        <f>'exchange rates'!$O$48</f>
        <v>3.4784999999999999</v>
      </c>
      <c r="G172" s="549">
        <v>0</v>
      </c>
      <c r="H172" s="550">
        <f>420/F172</f>
        <v>120.74169900819319</v>
      </c>
      <c r="I172" s="551">
        <v>0</v>
      </c>
      <c r="J172" s="560">
        <f>33.6/F172</f>
        <v>9.6593359206554563</v>
      </c>
      <c r="K172" s="566">
        <f>Tabel66892127[[#This Row],[Fix.ch. 2017]]+Tabel66892127[[#This Row],[Var. ch. 2017]]+Tabel66892127[[#This Row],[Oth. ch. DW 2017]]+Tabel66892127[[#This Row],[VAT DW 2017]]</f>
        <v>130.40103492884865</v>
      </c>
      <c r="L172" s="567">
        <v>0</v>
      </c>
      <c r="M172" s="560">
        <v>0</v>
      </c>
      <c r="N172" s="568">
        <f>642/F172</f>
        <v>184.5623113410953</v>
      </c>
      <c r="O172" s="560">
        <f>51.36/F172</f>
        <v>14.764984907287625</v>
      </c>
      <c r="P172" s="569">
        <v>0</v>
      </c>
      <c r="Q172" s="560">
        <v>0</v>
      </c>
      <c r="R172" s="570">
        <f>Tabel66892127[[#This Row],[VAT DW 2017]]+Tabel66892127[[#This Row],[VAT Sew. 2017]]+Tabel66892127[[#This Row],[VAT WW 2017]]+Tabel66892127[[#This Row],[VAT Other ch. 2017]]</f>
        <v>24.424320827943081</v>
      </c>
      <c r="S172" s="571">
        <f>Tabel66892127[[#This Row],[Total. ch. DW 2017]]+Tabel66892127[[#This Row],[Sew. 2017]]+Tabel66892127[[#This Row],[VAT Sew. 2017]]+Tabel66892127[[#This Row],[WW 2017]]+Tabel66892127[[#This Row],[VAT WW 2017]]+Tabel66892127[[#This Row],[Other ch. 2017]]+Tabel66892127[[#This Row],[VAT Other ch. 2017]]</f>
        <v>329.72833117723155</v>
      </c>
      <c r="T172" s="397"/>
      <c r="U172" s="1763"/>
      <c r="V172" s="1766"/>
      <c r="W172" s="1769"/>
      <c r="X172" s="1772"/>
      <c r="Y172" s="1775"/>
      <c r="Z172" s="1778"/>
      <c r="AA172" s="1772"/>
      <c r="AB172" s="1781"/>
      <c r="AC172" s="1772"/>
      <c r="AD172" s="1785"/>
      <c r="AE172" s="1772"/>
      <c r="AF172" s="1788"/>
      <c r="AG172" s="1791"/>
      <c r="AH172" s="397"/>
      <c r="AI172" s="398"/>
      <c r="AJ172" s="591" t="s">
        <v>429</v>
      </c>
      <c r="AK172" s="398"/>
      <c r="AL172" s="398"/>
      <c r="AM172" s="398"/>
      <c r="AN172" s="398"/>
      <c r="AO172" s="398"/>
      <c r="AP172" s="397"/>
    </row>
    <row r="173" spans="1:42" ht="16.5" hidden="1" thickBot="1" x14ac:dyDescent="0.3">
      <c r="A173" s="1819"/>
      <c r="B173" s="547" t="s">
        <v>129</v>
      </c>
      <c r="C173" s="1046"/>
      <c r="D173" s="802" t="s">
        <v>1114</v>
      </c>
      <c r="E173" s="1880"/>
      <c r="F173" s="661">
        <f>'exchange rates'!$O$48</f>
        <v>3.4784999999999999</v>
      </c>
      <c r="G173" s="549">
        <v>0</v>
      </c>
      <c r="H173" s="550">
        <f>448/F173</f>
        <v>128.79114560873941</v>
      </c>
      <c r="I173" s="551">
        <v>0</v>
      </c>
      <c r="J173" s="560">
        <f>35.84/F173</f>
        <v>10.303291648699153</v>
      </c>
      <c r="K173" s="566">
        <f>Tabel66892127[[#This Row],[Fix.ch. 2017]]+Tabel66892127[[#This Row],[Var. ch. 2017]]+Tabel66892127[[#This Row],[Oth. ch. DW 2017]]+Tabel66892127[[#This Row],[VAT DW 2017]]</f>
        <v>139.09443725743856</v>
      </c>
      <c r="L173" s="567">
        <v>0</v>
      </c>
      <c r="M173" s="560">
        <v>0</v>
      </c>
      <c r="N173" s="568">
        <f>551/F173</f>
        <v>158.4016098893201</v>
      </c>
      <c r="O173" s="560">
        <f>44.08/F173</f>
        <v>12.672128791145608</v>
      </c>
      <c r="P173" s="569">
        <v>0</v>
      </c>
      <c r="Q173" s="560">
        <v>0</v>
      </c>
      <c r="R173" s="570">
        <f>Tabel66892127[[#This Row],[VAT DW 2017]]+Tabel66892127[[#This Row],[VAT Sew. 2017]]+Tabel66892127[[#This Row],[VAT WW 2017]]+Tabel66892127[[#This Row],[VAT Other ch. 2017]]</f>
        <v>22.975420439844761</v>
      </c>
      <c r="S173" s="571">
        <f>Tabel66892127[[#This Row],[Total. ch. DW 2017]]+Tabel66892127[[#This Row],[Sew. 2017]]+Tabel66892127[[#This Row],[VAT Sew. 2017]]+Tabel66892127[[#This Row],[WW 2017]]+Tabel66892127[[#This Row],[VAT WW 2017]]+Tabel66892127[[#This Row],[Other ch. 2017]]+Tabel66892127[[#This Row],[VAT Other ch. 2017]]</f>
        <v>310.16817593790427</v>
      </c>
      <c r="T173" s="397"/>
      <c r="U173" s="1886"/>
      <c r="V173" s="1888"/>
      <c r="W173" s="1890"/>
      <c r="X173" s="1772"/>
      <c r="Y173" s="1892"/>
      <c r="Z173" s="1894"/>
      <c r="AA173" s="1772"/>
      <c r="AB173" s="1911"/>
      <c r="AC173" s="1772"/>
      <c r="AD173" s="1913"/>
      <c r="AE173" s="1772"/>
      <c r="AF173" s="1915"/>
      <c r="AG173" s="1832"/>
      <c r="AH173" s="397"/>
      <c r="AI173" s="398"/>
      <c r="AJ173" s="591" t="s">
        <v>429</v>
      </c>
      <c r="AK173" s="398"/>
      <c r="AL173" s="398"/>
      <c r="AM173" s="398"/>
      <c r="AN173" s="398"/>
      <c r="AO173" s="398"/>
      <c r="AP173" s="397"/>
    </row>
    <row r="174" spans="1:42" ht="16.5" hidden="1" thickBot="1" x14ac:dyDescent="0.3">
      <c r="A174" s="1819"/>
      <c r="B174" s="547" t="s">
        <v>130</v>
      </c>
      <c r="C174" s="1046"/>
      <c r="D174" s="802" t="s">
        <v>1114</v>
      </c>
      <c r="E174" s="1880"/>
      <c r="F174" s="661">
        <f>'exchange rates'!$O$48</f>
        <v>3.4784999999999999</v>
      </c>
      <c r="G174" s="549">
        <v>0</v>
      </c>
      <c r="H174" s="550">
        <f>334/F174</f>
        <v>96.018398735086961</v>
      </c>
      <c r="I174" s="551">
        <v>0</v>
      </c>
      <c r="J174" s="560">
        <f>26.72/F174</f>
        <v>7.681471898806957</v>
      </c>
      <c r="K174" s="566">
        <f>Tabel66892127[[#This Row],[Fix.ch. 2017]]+Tabel66892127[[#This Row],[Var. ch. 2017]]+Tabel66892127[[#This Row],[Oth. ch. DW 2017]]+Tabel66892127[[#This Row],[VAT DW 2017]]</f>
        <v>103.69987063389392</v>
      </c>
      <c r="L174" s="567">
        <v>0</v>
      </c>
      <c r="M174" s="560">
        <v>0</v>
      </c>
      <c r="N174" s="568">
        <f>555/F174</f>
        <v>159.55153083225528</v>
      </c>
      <c r="O174" s="560">
        <f>44.4/F174</f>
        <v>12.764122466580423</v>
      </c>
      <c r="P174" s="569">
        <v>0</v>
      </c>
      <c r="Q174" s="560">
        <v>0</v>
      </c>
      <c r="R174" s="570">
        <f>Tabel66892127[[#This Row],[VAT DW 2017]]+Tabel66892127[[#This Row],[VAT Sew. 2017]]+Tabel66892127[[#This Row],[VAT WW 2017]]+Tabel66892127[[#This Row],[VAT Other ch. 2017]]</f>
        <v>20.445594365387379</v>
      </c>
      <c r="S174" s="571">
        <f>Tabel66892127[[#This Row],[Total. ch. DW 2017]]+Tabel66892127[[#This Row],[Sew. 2017]]+Tabel66892127[[#This Row],[VAT Sew. 2017]]+Tabel66892127[[#This Row],[WW 2017]]+Tabel66892127[[#This Row],[VAT WW 2017]]+Tabel66892127[[#This Row],[Other ch. 2017]]+Tabel66892127[[#This Row],[VAT Other ch. 2017]]</f>
        <v>276.01552393272965</v>
      </c>
      <c r="T174" s="397"/>
      <c r="U174" s="1886"/>
      <c r="V174" s="1888"/>
      <c r="W174" s="1890"/>
      <c r="X174" s="1772"/>
      <c r="Y174" s="1892"/>
      <c r="Z174" s="1894"/>
      <c r="AA174" s="1772"/>
      <c r="AB174" s="1911"/>
      <c r="AC174" s="1772"/>
      <c r="AD174" s="1913"/>
      <c r="AE174" s="1772"/>
      <c r="AF174" s="1915"/>
      <c r="AG174" s="1832"/>
      <c r="AH174" s="397"/>
      <c r="AI174" s="396"/>
      <c r="AJ174" s="591" t="s">
        <v>429</v>
      </c>
      <c r="AK174" s="398"/>
      <c r="AL174" s="398"/>
      <c r="AM174" s="398"/>
      <c r="AN174" s="398"/>
      <c r="AO174" s="398"/>
      <c r="AP174" s="397"/>
    </row>
    <row r="175" spans="1:42" ht="16.5" hidden="1" thickBot="1" x14ac:dyDescent="0.3">
      <c r="A175" s="1819"/>
      <c r="B175" s="547" t="s">
        <v>131</v>
      </c>
      <c r="C175" s="1046"/>
      <c r="D175" s="802" t="s">
        <v>1114</v>
      </c>
      <c r="E175" s="1880"/>
      <c r="F175" s="661">
        <f>'exchange rates'!$O$48</f>
        <v>3.4784999999999999</v>
      </c>
      <c r="G175" s="549">
        <v>0</v>
      </c>
      <c r="H175" s="550">
        <f>338/F175</f>
        <v>97.168319678022144</v>
      </c>
      <c r="I175" s="551">
        <v>0</v>
      </c>
      <c r="J175" s="560">
        <f>27.04/F175</f>
        <v>7.7734655742417704</v>
      </c>
      <c r="K175" s="566">
        <f>Tabel66892127[[#This Row],[Fix.ch. 2017]]+Tabel66892127[[#This Row],[Var. ch. 2017]]+Tabel66892127[[#This Row],[Oth. ch. DW 2017]]+Tabel66892127[[#This Row],[VAT DW 2017]]</f>
        <v>104.94178525226391</v>
      </c>
      <c r="L175" s="567">
        <v>0</v>
      </c>
      <c r="M175" s="560">
        <v>0</v>
      </c>
      <c r="N175" s="568">
        <f>332/F175</f>
        <v>95.443438263619385</v>
      </c>
      <c r="O175" s="560">
        <f>26.56/F175</f>
        <v>7.6354750610895499</v>
      </c>
      <c r="P175" s="569">
        <v>0</v>
      </c>
      <c r="Q175" s="560">
        <v>0</v>
      </c>
      <c r="R175" s="570">
        <f>Tabel66892127[[#This Row],[VAT DW 2017]]+Tabel66892127[[#This Row],[VAT Sew. 2017]]+Tabel66892127[[#This Row],[VAT WW 2017]]+Tabel66892127[[#This Row],[VAT Other ch. 2017]]</f>
        <v>15.408940635331319</v>
      </c>
      <c r="S175" s="571">
        <f>Tabel66892127[[#This Row],[Total. ch. DW 2017]]+Tabel66892127[[#This Row],[Sew. 2017]]+Tabel66892127[[#This Row],[VAT Sew. 2017]]+Tabel66892127[[#This Row],[WW 2017]]+Tabel66892127[[#This Row],[VAT WW 2017]]+Tabel66892127[[#This Row],[Other ch. 2017]]+Tabel66892127[[#This Row],[VAT Other ch. 2017]]</f>
        <v>208.02069857697285</v>
      </c>
      <c r="T175" s="397"/>
      <c r="U175" s="1886"/>
      <c r="V175" s="1888"/>
      <c r="W175" s="1890"/>
      <c r="X175" s="1772"/>
      <c r="Y175" s="1892"/>
      <c r="Z175" s="1894"/>
      <c r="AA175" s="1772"/>
      <c r="AB175" s="1911"/>
      <c r="AC175" s="1772"/>
      <c r="AD175" s="1913"/>
      <c r="AE175" s="1772"/>
      <c r="AF175" s="1915"/>
      <c r="AG175" s="1832"/>
      <c r="AH175" s="397"/>
      <c r="AI175" s="396"/>
      <c r="AJ175" s="591" t="s">
        <v>429</v>
      </c>
      <c r="AK175" s="398"/>
      <c r="AL175" s="398"/>
      <c r="AM175" s="398"/>
      <c r="AN175" s="398"/>
      <c r="AO175" s="398"/>
      <c r="AP175" s="397"/>
    </row>
    <row r="176" spans="1:42" ht="16.5" hidden="1" thickBot="1" x14ac:dyDescent="0.3">
      <c r="A176" s="1820"/>
      <c r="B176" s="543" t="s">
        <v>132</v>
      </c>
      <c r="C176" s="1046"/>
      <c r="D176" s="802" t="s">
        <v>1114</v>
      </c>
      <c r="E176" s="1799"/>
      <c r="F176" s="661">
        <f>'exchange rates'!$O$48</f>
        <v>3.4784999999999999</v>
      </c>
      <c r="G176" s="549">
        <v>0</v>
      </c>
      <c r="H176" s="550">
        <f>295/F176</f>
        <v>84.80666954146902</v>
      </c>
      <c r="I176" s="551">
        <v>0</v>
      </c>
      <c r="J176" s="560">
        <f>23.6/F176</f>
        <v>6.7845335633175221</v>
      </c>
      <c r="K176" s="566">
        <f>Tabel66892127[[#This Row],[Fix.ch. 2017]]+Tabel66892127[[#This Row],[Var. ch. 2017]]+Tabel66892127[[#This Row],[Oth. ch. DW 2017]]+Tabel66892127[[#This Row],[VAT DW 2017]]</f>
        <v>91.591203104786544</v>
      </c>
      <c r="L176" s="567">
        <v>0</v>
      </c>
      <c r="M176" s="560">
        <v>0</v>
      </c>
      <c r="N176" s="568">
        <f>451/F176</f>
        <v>129.65358631594077</v>
      </c>
      <c r="O176" s="560">
        <f>36.08/F176</f>
        <v>10.372286905275262</v>
      </c>
      <c r="P176" s="569">
        <v>0</v>
      </c>
      <c r="Q176" s="560">
        <v>0</v>
      </c>
      <c r="R176" s="570">
        <f>Tabel66892127[[#This Row],[VAT DW 2017]]+Tabel66892127[[#This Row],[VAT Sew. 2017]]+Tabel66892127[[#This Row],[VAT WW 2017]]+Tabel66892127[[#This Row],[VAT Other ch. 2017]]</f>
        <v>17.156820468592784</v>
      </c>
      <c r="S176" s="571">
        <f>Tabel66892127[[#This Row],[Total. ch. DW 2017]]+Tabel66892127[[#This Row],[Sew. 2017]]+Tabel66892127[[#This Row],[VAT Sew. 2017]]+Tabel66892127[[#This Row],[WW 2017]]+Tabel66892127[[#This Row],[VAT WW 2017]]+Tabel66892127[[#This Row],[Other ch. 2017]]+Tabel66892127[[#This Row],[VAT Other ch. 2017]]</f>
        <v>231.6170763260026</v>
      </c>
      <c r="T176" s="397"/>
      <c r="U176" s="1801"/>
      <c r="V176" s="1803"/>
      <c r="W176" s="1805"/>
      <c r="X176" s="1773"/>
      <c r="Y176" s="1807"/>
      <c r="Z176" s="1809"/>
      <c r="AA176" s="1773"/>
      <c r="AB176" s="1782"/>
      <c r="AC176" s="1773"/>
      <c r="AD176" s="1786"/>
      <c r="AE176" s="1773"/>
      <c r="AF176" s="1789"/>
      <c r="AG176" s="1792"/>
      <c r="AH176" s="397"/>
      <c r="AI176" s="396"/>
      <c r="AJ176" s="591" t="s">
        <v>429</v>
      </c>
      <c r="AK176" s="398"/>
      <c r="AL176" s="398"/>
      <c r="AM176" s="398"/>
      <c r="AN176" s="398"/>
      <c r="AO176" s="398"/>
      <c r="AP176" s="397"/>
    </row>
    <row r="177" spans="1:42" ht="18" hidden="1" customHeight="1" x14ac:dyDescent="0.3">
      <c r="A177" s="1878" t="s">
        <v>23</v>
      </c>
      <c r="B177" s="638" t="s">
        <v>133</v>
      </c>
      <c r="C177" s="693" t="s">
        <v>429</v>
      </c>
      <c r="D177" s="806" t="s">
        <v>1116</v>
      </c>
      <c r="E177" s="1934">
        <v>30300</v>
      </c>
      <c r="F177" s="616">
        <f>'exchange rates'!$O$49</f>
        <v>0.83301000000000003</v>
      </c>
      <c r="G177" s="549">
        <f>57/F177</f>
        <v>68.426549501206466</v>
      </c>
      <c r="H177" s="550">
        <f>51.85/F177</f>
        <v>62.244150730483426</v>
      </c>
      <c r="I177" s="551">
        <f>2.26/F177</f>
        <v>2.7130526644337998</v>
      </c>
      <c r="J177" s="560">
        <f>6.67/F177</f>
        <v>8.0071067574218802</v>
      </c>
      <c r="K177" s="566">
        <f>Tabel66892127[[#This Row],[Fix.ch. 2017]]+Tabel66892127[[#This Row],[Var. ch. 2017]]+Tabel66892127[[#This Row],[Oth. ch. DW 2017]]+Tabel66892127[[#This Row],[VAT DW 2017]]</f>
        <v>141.39085965354559</v>
      </c>
      <c r="L177" s="567">
        <f>71.28/F177</f>
        <v>85.569200849929771</v>
      </c>
      <c r="M177" s="560">
        <v>0</v>
      </c>
      <c r="N177" s="568">
        <v>0</v>
      </c>
      <c r="O177" s="560">
        <v>0</v>
      </c>
      <c r="P177" s="569">
        <f>14.53/F177</f>
        <v>17.442767793904032</v>
      </c>
      <c r="Q177" s="560">
        <v>0</v>
      </c>
      <c r="R177" s="570">
        <f>Tabel66892127[[#This Row],[VAT DW 2017]]+Tabel66892127[[#This Row],[VAT Sew. 2017]]+Tabel66892127[[#This Row],[VAT WW 2017]]+Tabel66892127[[#This Row],[VAT Other ch. 2017]]</f>
        <v>8.0071067574218802</v>
      </c>
      <c r="S177" s="571">
        <f>Tabel66892127[[#This Row],[Total. ch. DW 2017]]+Tabel66892127[[#This Row],[Sew. 2017]]+Tabel66892127[[#This Row],[VAT Sew. 2017]]+Tabel66892127[[#This Row],[WW 2017]]+Tabel66892127[[#This Row],[VAT WW 2017]]+Tabel66892127[[#This Row],[Other ch. 2017]]+Tabel66892127[[#This Row],[VAT Other ch. 2017]]</f>
        <v>244.40282829737939</v>
      </c>
      <c r="T177" s="397"/>
      <c r="U177" s="1935">
        <f>MEDIAN(G177:G183)</f>
        <v>56.181798537832677</v>
      </c>
      <c r="V177" s="1936">
        <f>MEDIAN(H177:H183)</f>
        <v>81.631673089158596</v>
      </c>
      <c r="W177" s="1937">
        <f>MEDIAN(I177:I183)</f>
        <v>2.7250573222410295</v>
      </c>
      <c r="X177" s="1938">
        <f>MEDIAN(J177:J183)</f>
        <v>8.4392744384821317</v>
      </c>
      <c r="Y177" s="1939">
        <f>SUM(U177:X183)</f>
        <v>148.97780338771443</v>
      </c>
      <c r="Z177" s="1950">
        <f t="shared" ref="Z177:AF177" si="32">MEDIAN(L177:L183)</f>
        <v>101.27129326178557</v>
      </c>
      <c r="AA177" s="1938">
        <f t="shared" si="32"/>
        <v>0</v>
      </c>
      <c r="AB177" s="1946">
        <f t="shared" si="32"/>
        <v>0</v>
      </c>
      <c r="AC177" s="1938">
        <f t="shared" si="32"/>
        <v>0</v>
      </c>
      <c r="AD177" s="1947">
        <f t="shared" si="32"/>
        <v>0</v>
      </c>
      <c r="AE177" s="1938">
        <f t="shared" si="32"/>
        <v>0</v>
      </c>
      <c r="AF177" s="1944">
        <f t="shared" si="32"/>
        <v>9.1115352756869665</v>
      </c>
      <c r="AG177" s="1945">
        <f>Y177+Z177+AA177+AB177+AC177+AD177+AE177</f>
        <v>250.24909664950002</v>
      </c>
      <c r="AH177" s="397"/>
      <c r="AI177" s="398"/>
      <c r="AJ177" s="398"/>
      <c r="AK177" s="398"/>
      <c r="AL177" s="591" t="s">
        <v>429</v>
      </c>
      <c r="AM177" s="591" t="s">
        <v>429</v>
      </c>
      <c r="AN177" s="614"/>
      <c r="AO177" s="398"/>
      <c r="AP177" s="397"/>
    </row>
    <row r="178" spans="1:42" ht="15.6" hidden="1" customHeight="1" x14ac:dyDescent="0.3">
      <c r="A178" s="1757"/>
      <c r="B178" s="639" t="s">
        <v>134</v>
      </c>
      <c r="C178" s="639"/>
      <c r="D178" s="724" t="s">
        <v>1116</v>
      </c>
      <c r="E178" s="1760"/>
      <c r="F178" s="616">
        <f>'exchange rates'!$O$49</f>
        <v>0.83301000000000003</v>
      </c>
      <c r="G178" s="549">
        <f>48.84/F178</f>
        <v>58.630748730507442</v>
      </c>
      <c r="H178" s="550">
        <f>75.33/F178</f>
        <v>90.431087261857598</v>
      </c>
      <c r="I178" s="551">
        <f>2.27/F178</f>
        <v>2.7250573222410295</v>
      </c>
      <c r="J178" s="560">
        <f>7.59/F178</f>
        <v>9.1115352756869665</v>
      </c>
      <c r="K178" s="566">
        <f>Tabel66892127[[#This Row],[Fix.ch. 2017]]+Tabel66892127[[#This Row],[Var. ch. 2017]]+Tabel66892127[[#This Row],[Oth. ch. DW 2017]]+Tabel66892127[[#This Row],[VAT DW 2017]]</f>
        <v>160.89842859029307</v>
      </c>
      <c r="L178" s="567">
        <f>109.92/F178</f>
        <v>131.95519861706342</v>
      </c>
      <c r="M178" s="560">
        <v>0</v>
      </c>
      <c r="N178" s="568">
        <v>0</v>
      </c>
      <c r="O178" s="560">
        <v>0</v>
      </c>
      <c r="P178" s="569">
        <v>0</v>
      </c>
      <c r="Q178" s="560">
        <v>0</v>
      </c>
      <c r="R178" s="570">
        <f>Tabel66892127[[#This Row],[VAT DW 2017]]+Tabel66892127[[#This Row],[VAT Sew. 2017]]+Tabel66892127[[#This Row],[VAT WW 2017]]+Tabel66892127[[#This Row],[VAT Other ch. 2017]]</f>
        <v>9.1115352756869665</v>
      </c>
      <c r="S178" s="571">
        <f>Tabel66892127[[#This Row],[Total. ch. DW 2017]]+Tabel66892127[[#This Row],[Sew. 2017]]+Tabel66892127[[#This Row],[VAT Sew. 2017]]+Tabel66892127[[#This Row],[WW 2017]]+Tabel66892127[[#This Row],[VAT WW 2017]]+Tabel66892127[[#This Row],[Other ch. 2017]]+Tabel66892127[[#This Row],[VAT Other ch. 2017]]</f>
        <v>292.85362720735645</v>
      </c>
      <c r="T178" s="397"/>
      <c r="U178" s="1763"/>
      <c r="V178" s="1766"/>
      <c r="W178" s="1769"/>
      <c r="X178" s="1772"/>
      <c r="Y178" s="1775"/>
      <c r="Z178" s="1778"/>
      <c r="AA178" s="1772"/>
      <c r="AB178" s="1781"/>
      <c r="AC178" s="1772"/>
      <c r="AD178" s="1785"/>
      <c r="AE178" s="1772"/>
      <c r="AF178" s="1788"/>
      <c r="AG178" s="1791"/>
      <c r="AH178" s="397"/>
      <c r="AI178" s="398"/>
      <c r="AJ178" s="398"/>
      <c r="AK178" s="398"/>
      <c r="AL178" s="591" t="s">
        <v>429</v>
      </c>
      <c r="AM178" s="591" t="s">
        <v>429</v>
      </c>
      <c r="AN178" s="614"/>
      <c r="AO178" s="398"/>
      <c r="AP178" s="397"/>
    </row>
    <row r="179" spans="1:42" ht="15.6" hidden="1" customHeight="1" x14ac:dyDescent="0.3">
      <c r="A179" s="1757"/>
      <c r="B179" s="639" t="s">
        <v>135</v>
      </c>
      <c r="C179" s="639"/>
      <c r="D179" s="724" t="s">
        <v>1116</v>
      </c>
      <c r="E179" s="1760"/>
      <c r="F179" s="616">
        <f>'exchange rates'!$O$49</f>
        <v>0.83301000000000003</v>
      </c>
      <c r="G179" s="549">
        <f>41.62/F179</f>
        <v>49.963385793687948</v>
      </c>
      <c r="H179" s="550">
        <f>78.89/F179</f>
        <v>94.704745441231196</v>
      </c>
      <c r="I179" s="551">
        <f>2.04/F179</f>
        <v>2.4489501926747579</v>
      </c>
      <c r="J179" s="560">
        <f>7.35/F179</f>
        <v>8.8234234883134643</v>
      </c>
      <c r="K179" s="566">
        <f>Tabel66892127[[#This Row],[Fix.ch. 2017]]+Tabel66892127[[#This Row],[Var. ch. 2017]]+Tabel66892127[[#This Row],[Oth. ch. DW 2017]]+Tabel66892127[[#This Row],[VAT DW 2017]]</f>
        <v>155.94050491590738</v>
      </c>
      <c r="L179" s="567">
        <f>47.51/F179</f>
        <v>57.034129242145951</v>
      </c>
      <c r="M179" s="560">
        <f>2.85/F179</f>
        <v>3.4213274750603233</v>
      </c>
      <c r="N179" s="568">
        <v>0</v>
      </c>
      <c r="O179" s="560">
        <v>0</v>
      </c>
      <c r="P179" s="569">
        <v>0</v>
      </c>
      <c r="Q179" s="560">
        <v>0</v>
      </c>
      <c r="R179" s="570">
        <f>Tabel66892127[[#This Row],[VAT DW 2017]]+Tabel66892127[[#This Row],[VAT Sew. 2017]]+Tabel66892127[[#This Row],[VAT WW 2017]]+Tabel66892127[[#This Row],[VAT Other ch. 2017]]</f>
        <v>12.244750963373788</v>
      </c>
      <c r="S179" s="571">
        <f>Tabel66892127[[#This Row],[Total. ch. DW 2017]]+Tabel66892127[[#This Row],[Sew. 2017]]+Tabel66892127[[#This Row],[VAT Sew. 2017]]+Tabel66892127[[#This Row],[WW 2017]]+Tabel66892127[[#This Row],[VAT WW 2017]]+Tabel66892127[[#This Row],[Other ch. 2017]]+Tabel66892127[[#This Row],[VAT Other ch. 2017]]</f>
        <v>216.39596163311364</v>
      </c>
      <c r="T179" s="397"/>
      <c r="U179" s="1763"/>
      <c r="V179" s="1766"/>
      <c r="W179" s="1769"/>
      <c r="X179" s="1772"/>
      <c r="Y179" s="1775"/>
      <c r="Z179" s="1778"/>
      <c r="AA179" s="1772"/>
      <c r="AB179" s="1781"/>
      <c r="AC179" s="1772"/>
      <c r="AD179" s="1785"/>
      <c r="AE179" s="1772"/>
      <c r="AF179" s="1788"/>
      <c r="AG179" s="1791"/>
      <c r="AH179" s="397"/>
      <c r="AI179" s="398"/>
      <c r="AJ179" s="398"/>
      <c r="AK179" s="398"/>
      <c r="AL179" s="591" t="s">
        <v>429</v>
      </c>
      <c r="AM179" s="591" t="s">
        <v>429</v>
      </c>
      <c r="AN179" s="614"/>
      <c r="AO179" s="398"/>
      <c r="AP179" s="397"/>
    </row>
    <row r="180" spans="1:42" ht="15.6" hidden="1" customHeight="1" x14ac:dyDescent="0.3">
      <c r="A180" s="1757"/>
      <c r="B180" s="639" t="s">
        <v>136</v>
      </c>
      <c r="C180" s="639"/>
      <c r="D180" s="724" t="s">
        <v>1116</v>
      </c>
      <c r="E180" s="1760"/>
      <c r="F180" s="616">
        <f>'exchange rates'!$O$49</f>
        <v>0.83301000000000003</v>
      </c>
      <c r="G180" s="549">
        <f>38.11/F180</f>
        <v>45.749750903350495</v>
      </c>
      <c r="H180" s="550">
        <f>87.82/F180</f>
        <v>105.42490486308687</v>
      </c>
      <c r="I180" s="551">
        <f>2.5/F180</f>
        <v>3.0011644518073011</v>
      </c>
      <c r="J180" s="560">
        <f>7.71/F180</f>
        <v>9.2555911693737158</v>
      </c>
      <c r="K180" s="566">
        <f>Tabel66892127[[#This Row],[Fix.ch. 2017]]+Tabel66892127[[#This Row],[Var. ch. 2017]]+Tabel66892127[[#This Row],[Oth. ch. DW 2017]]+Tabel66892127[[#This Row],[VAT DW 2017]]</f>
        <v>163.43141138761837</v>
      </c>
      <c r="L180" s="567">
        <f>102.88/F180</f>
        <v>123.50391952077405</v>
      </c>
      <c r="M180" s="560">
        <v>0</v>
      </c>
      <c r="N180" s="568">
        <v>0</v>
      </c>
      <c r="O180" s="560">
        <v>0</v>
      </c>
      <c r="P180" s="569">
        <v>0</v>
      </c>
      <c r="Q180" s="560">
        <v>0</v>
      </c>
      <c r="R180" s="570">
        <f>Tabel66892127[[#This Row],[VAT DW 2017]]+Tabel66892127[[#This Row],[VAT Sew. 2017]]+Tabel66892127[[#This Row],[VAT WW 2017]]+Tabel66892127[[#This Row],[VAT Other ch. 2017]]</f>
        <v>9.2555911693737158</v>
      </c>
      <c r="S180" s="571">
        <f>Tabel66892127[[#This Row],[Total. ch. DW 2017]]+Tabel66892127[[#This Row],[Sew. 2017]]+Tabel66892127[[#This Row],[VAT Sew. 2017]]+Tabel66892127[[#This Row],[WW 2017]]+Tabel66892127[[#This Row],[VAT WW 2017]]+Tabel66892127[[#This Row],[Other ch. 2017]]+Tabel66892127[[#This Row],[VAT Other ch. 2017]]</f>
        <v>286.93533090839242</v>
      </c>
      <c r="T180" s="397"/>
      <c r="U180" s="1763"/>
      <c r="V180" s="1766"/>
      <c r="W180" s="1769"/>
      <c r="X180" s="1772"/>
      <c r="Y180" s="1775"/>
      <c r="Z180" s="1778"/>
      <c r="AA180" s="1772"/>
      <c r="AB180" s="1781"/>
      <c r="AC180" s="1772"/>
      <c r="AD180" s="1785"/>
      <c r="AE180" s="1772"/>
      <c r="AF180" s="1788"/>
      <c r="AG180" s="1791"/>
      <c r="AH180" s="397"/>
      <c r="AI180" s="398"/>
      <c r="AJ180" s="398"/>
      <c r="AK180" s="398"/>
      <c r="AL180" s="591" t="s">
        <v>429</v>
      </c>
      <c r="AM180" s="591" t="s">
        <v>429</v>
      </c>
      <c r="AN180" s="614"/>
      <c r="AO180" s="398"/>
      <c r="AP180" s="397"/>
    </row>
    <row r="181" spans="1:42" ht="15.6" hidden="1" customHeight="1" x14ac:dyDescent="0.3">
      <c r="A181" s="1757"/>
      <c r="B181" s="639" t="s">
        <v>137</v>
      </c>
      <c r="C181" s="639"/>
      <c r="D181" s="724" t="s">
        <v>1116</v>
      </c>
      <c r="E181" s="1760"/>
      <c r="F181" s="616">
        <f>'exchange rates'!$O$49</f>
        <v>0.83301000000000003</v>
      </c>
      <c r="G181" s="549">
        <f>55.97/F181</f>
        <v>67.190069747061855</v>
      </c>
      <c r="H181" s="550">
        <f>56.19/F181</f>
        <v>67.454172218820901</v>
      </c>
      <c r="I181" s="551">
        <f>1.71/F181</f>
        <v>2.0527964850361937</v>
      </c>
      <c r="J181" s="560">
        <f>6.83/F181</f>
        <v>8.1991812823375465</v>
      </c>
      <c r="K181" s="566">
        <f>Tabel66892127[[#This Row],[Fix.ch. 2017]]+Tabel66892127[[#This Row],[Var. ch. 2017]]+Tabel66892127[[#This Row],[Oth. ch. DW 2017]]+Tabel66892127[[#This Row],[VAT DW 2017]]</f>
        <v>144.89621973325652</v>
      </c>
      <c r="L181" s="567">
        <f>49.09/F181</f>
        <v>58.930865175688169</v>
      </c>
      <c r="M181" s="560">
        <v>0</v>
      </c>
      <c r="N181" s="568">
        <v>0</v>
      </c>
      <c r="O181" s="560">
        <v>0</v>
      </c>
      <c r="P181" s="569">
        <v>0</v>
      </c>
      <c r="Q181" s="560">
        <v>0</v>
      </c>
      <c r="R181" s="570">
        <f>Tabel66892127[[#This Row],[VAT DW 2017]]+Tabel66892127[[#This Row],[VAT Sew. 2017]]+Tabel66892127[[#This Row],[VAT WW 2017]]+Tabel66892127[[#This Row],[VAT Other ch. 2017]]</f>
        <v>8.1991812823375465</v>
      </c>
      <c r="S181" s="571">
        <f>Tabel66892127[[#This Row],[Total. ch. DW 2017]]+Tabel66892127[[#This Row],[Sew. 2017]]+Tabel66892127[[#This Row],[VAT Sew. 2017]]+Tabel66892127[[#This Row],[WW 2017]]+Tabel66892127[[#This Row],[VAT WW 2017]]+Tabel66892127[[#This Row],[Other ch. 2017]]+Tabel66892127[[#This Row],[VAT Other ch. 2017]]</f>
        <v>203.8270849089447</v>
      </c>
      <c r="T181" s="397"/>
      <c r="U181" s="1763"/>
      <c r="V181" s="1766"/>
      <c r="W181" s="1769"/>
      <c r="X181" s="1772"/>
      <c r="Y181" s="1775"/>
      <c r="Z181" s="1778"/>
      <c r="AA181" s="1772"/>
      <c r="AB181" s="1781"/>
      <c r="AC181" s="1772"/>
      <c r="AD181" s="1785"/>
      <c r="AE181" s="1772"/>
      <c r="AF181" s="1788"/>
      <c r="AG181" s="1791"/>
      <c r="AH181" s="397"/>
      <c r="AI181" s="398"/>
      <c r="AJ181" s="398"/>
      <c r="AK181" s="398"/>
      <c r="AL181" s="591" t="s">
        <v>429</v>
      </c>
      <c r="AM181" s="591" t="s">
        <v>429</v>
      </c>
      <c r="AN181" s="614"/>
      <c r="AO181" s="398"/>
      <c r="AP181" s="397"/>
    </row>
    <row r="182" spans="1:42" ht="15.6" hidden="1" customHeight="1" x14ac:dyDescent="0.3">
      <c r="A182" s="1757"/>
      <c r="B182" s="639" t="s">
        <v>138</v>
      </c>
      <c r="C182" s="639"/>
      <c r="D182" s="724" t="s">
        <v>1116</v>
      </c>
      <c r="E182" s="1760"/>
      <c r="F182" s="616">
        <f>'exchange rates'!$O$49</f>
        <v>0.83301000000000003</v>
      </c>
      <c r="G182" s="549">
        <f>46.8/F182</f>
        <v>56.181798537832677</v>
      </c>
      <c r="H182" s="550">
        <f>68/F182</f>
        <v>81.631673089158596</v>
      </c>
      <c r="I182" s="551">
        <f>2.43/F182</f>
        <v>2.9171318471566967</v>
      </c>
      <c r="J182" s="560">
        <f>7.03/F182</f>
        <v>8.4392744384821317</v>
      </c>
      <c r="K182" s="566">
        <f>Tabel66892127[[#This Row],[Fix.ch. 2017]]+Tabel66892127[[#This Row],[Var. ch. 2017]]+Tabel66892127[[#This Row],[Oth. ch. DW 2017]]+Tabel66892127[[#This Row],[VAT DW 2017]]</f>
        <v>149.16987791263008</v>
      </c>
      <c r="L182" s="567">
        <f>84.36/F182</f>
        <v>101.27129326178557</v>
      </c>
      <c r="M182" s="560">
        <f>5.06/F182</f>
        <v>6.0743568504579768</v>
      </c>
      <c r="N182" s="568">
        <v>0</v>
      </c>
      <c r="O182" s="560">
        <v>0</v>
      </c>
      <c r="P182" s="569">
        <v>0</v>
      </c>
      <c r="Q182" s="560">
        <v>0</v>
      </c>
      <c r="R182" s="570">
        <f>Tabel66892127[[#This Row],[VAT DW 2017]]+Tabel66892127[[#This Row],[VAT Sew. 2017]]+Tabel66892127[[#This Row],[VAT WW 2017]]+Tabel66892127[[#This Row],[VAT Other ch. 2017]]</f>
        <v>14.513631288940108</v>
      </c>
      <c r="S182" s="571">
        <f>Tabel66892127[[#This Row],[Total. ch. DW 2017]]+Tabel66892127[[#This Row],[Sew. 2017]]+Tabel66892127[[#This Row],[VAT Sew. 2017]]+Tabel66892127[[#This Row],[WW 2017]]+Tabel66892127[[#This Row],[VAT WW 2017]]+Tabel66892127[[#This Row],[Other ch. 2017]]+Tabel66892127[[#This Row],[VAT Other ch. 2017]]</f>
        <v>256.51552802487367</v>
      </c>
      <c r="T182" s="397"/>
      <c r="U182" s="1763"/>
      <c r="V182" s="1766"/>
      <c r="W182" s="1769"/>
      <c r="X182" s="1772"/>
      <c r="Y182" s="1775"/>
      <c r="Z182" s="1778"/>
      <c r="AA182" s="1772"/>
      <c r="AB182" s="1781"/>
      <c r="AC182" s="1772"/>
      <c r="AD182" s="1785"/>
      <c r="AE182" s="1772"/>
      <c r="AF182" s="1788"/>
      <c r="AG182" s="1791"/>
      <c r="AH182" s="397"/>
      <c r="AI182" s="398"/>
      <c r="AJ182" s="398"/>
      <c r="AK182" s="398"/>
      <c r="AL182" s="591" t="s">
        <v>429</v>
      </c>
      <c r="AM182" s="591" t="s">
        <v>429</v>
      </c>
      <c r="AN182" s="614"/>
      <c r="AO182" s="398"/>
      <c r="AP182" s="397"/>
    </row>
    <row r="183" spans="1:42" ht="16.149999999999999" hidden="1" customHeight="1" thickBot="1" x14ac:dyDescent="0.3">
      <c r="A183" s="1758"/>
      <c r="B183" s="640" t="s">
        <v>139</v>
      </c>
      <c r="C183" s="652"/>
      <c r="D183" s="807" t="s">
        <v>1116</v>
      </c>
      <c r="E183" s="1799"/>
      <c r="F183" s="616">
        <f>'exchange rates'!$O$49</f>
        <v>0.83301000000000003</v>
      </c>
      <c r="G183" s="549">
        <f>33.94/F183</f>
        <v>40.743808597735921</v>
      </c>
      <c r="H183" s="550">
        <f>55.59/F183</f>
        <v>66.733892750387156</v>
      </c>
      <c r="I183" s="551">
        <f>2.68/F183</f>
        <v>3.2172482923374268</v>
      </c>
      <c r="J183" s="560">
        <f>5.53/F183</f>
        <v>6.6385757673977501</v>
      </c>
      <c r="K183" s="566">
        <f>Tabel66892127[[#This Row],[Fix.ch. 2017]]+Tabel66892127[[#This Row],[Var. ch. 2017]]+Tabel66892127[[#This Row],[Oth. ch. DW 2017]]+Tabel66892127[[#This Row],[VAT DW 2017]]</f>
        <v>117.33352540785826</v>
      </c>
      <c r="L183" s="567">
        <f>114.67/F183</f>
        <v>137.65741107549729</v>
      </c>
      <c r="M183" s="560">
        <v>0</v>
      </c>
      <c r="N183" s="568">
        <v>0</v>
      </c>
      <c r="O183" s="560">
        <v>0</v>
      </c>
      <c r="P183" s="569">
        <v>0</v>
      </c>
      <c r="Q183" s="560">
        <v>0</v>
      </c>
      <c r="R183" s="570">
        <f>Tabel66892127[[#This Row],[VAT DW 2017]]+Tabel66892127[[#This Row],[VAT Sew. 2017]]+Tabel66892127[[#This Row],[VAT WW 2017]]+Tabel66892127[[#This Row],[VAT Other ch. 2017]]</f>
        <v>6.6385757673977501</v>
      </c>
      <c r="S183" s="571">
        <f>Tabel66892127[[#This Row],[Total. ch. DW 2017]]+Tabel66892127[[#This Row],[Sew. 2017]]+Tabel66892127[[#This Row],[VAT Sew. 2017]]+Tabel66892127[[#This Row],[WW 2017]]+Tabel66892127[[#This Row],[VAT WW 2017]]+Tabel66892127[[#This Row],[Other ch. 2017]]+Tabel66892127[[#This Row],[VAT Other ch. 2017]]</f>
        <v>254.99093648335554</v>
      </c>
      <c r="T183" s="397"/>
      <c r="U183" s="1801"/>
      <c r="V183" s="1803"/>
      <c r="W183" s="1805"/>
      <c r="X183" s="1773"/>
      <c r="Y183" s="1807"/>
      <c r="Z183" s="1809"/>
      <c r="AA183" s="1773"/>
      <c r="AB183" s="1782"/>
      <c r="AC183" s="1773"/>
      <c r="AD183" s="1786"/>
      <c r="AE183" s="1773"/>
      <c r="AF183" s="1789"/>
      <c r="AG183" s="1792"/>
      <c r="AH183" s="397"/>
      <c r="AI183" s="398"/>
      <c r="AJ183" s="398"/>
      <c r="AK183" s="398"/>
      <c r="AL183" s="591" t="s">
        <v>429</v>
      </c>
      <c r="AM183" s="591" t="s">
        <v>429</v>
      </c>
      <c r="AN183" s="591" t="s">
        <v>429</v>
      </c>
      <c r="AO183" s="398"/>
      <c r="AP183" s="397"/>
    </row>
    <row r="184" spans="1:42" ht="18.75" hidden="1" customHeight="1" x14ac:dyDescent="0.3">
      <c r="A184" s="1878" t="s">
        <v>40</v>
      </c>
      <c r="B184" s="630" t="s">
        <v>869</v>
      </c>
      <c r="C184" s="754"/>
      <c r="D184" s="754" t="s">
        <v>1118</v>
      </c>
      <c r="E184" s="1983">
        <v>24000</v>
      </c>
      <c r="F184" s="616">
        <f>'exchange rates'!$O$50</f>
        <v>3.8868399999999999</v>
      </c>
      <c r="G184" s="549">
        <v>0</v>
      </c>
      <c r="H184" s="550">
        <f>263/F184</f>
        <v>67.664220806619255</v>
      </c>
      <c r="I184" s="551">
        <v>0</v>
      </c>
      <c r="J184" s="560">
        <f>23.67/F184</f>
        <v>6.0897798725957344</v>
      </c>
      <c r="K184" s="566">
        <f>Tabel66892127[[#This Row],[Fix.ch. 2017]]+Tabel66892127[[#This Row],[Var. ch. 2017]]+Tabel66892127[[#This Row],[Oth. ch. DW 2017]]+Tabel66892127[[#This Row],[VAT DW 2017]]</f>
        <v>73.754000679214982</v>
      </c>
      <c r="L184" s="567">
        <v>0</v>
      </c>
      <c r="M184" s="560">
        <v>0</v>
      </c>
      <c r="N184" s="568">
        <f>279/F184</f>
        <v>71.780675304360358</v>
      </c>
      <c r="O184" s="560">
        <f>53.01/F184</f>
        <v>13.638328307828468</v>
      </c>
      <c r="P184" s="569">
        <v>0</v>
      </c>
      <c r="Q184" s="560">
        <v>0</v>
      </c>
      <c r="R184" s="570">
        <f>Tabel66892127[[#This Row],[VAT DW 2017]]+Tabel66892127[[#This Row],[VAT Sew. 2017]]+Tabel66892127[[#This Row],[VAT WW 2017]]+Tabel66892127[[#This Row],[VAT Other ch. 2017]]</f>
        <v>19.728108180424201</v>
      </c>
      <c r="S184" s="571">
        <f>Tabel66892127[[#This Row],[Total. ch. DW 2017]]+Tabel66892127[[#This Row],[Sew. 2017]]+Tabel66892127[[#This Row],[VAT Sew. 2017]]+Tabel66892127[[#This Row],[WW 2017]]+Tabel66892127[[#This Row],[VAT WW 2017]]+Tabel66892127[[#This Row],[Other ch. 2017]]+Tabel66892127[[#This Row],[VAT Other ch. 2017]]</f>
        <v>159.1730042914038</v>
      </c>
      <c r="T184" s="397"/>
      <c r="U184" s="1824">
        <f t="shared" ref="U184:AG184" si="33">MEDIAN(G184:G224)</f>
        <v>0</v>
      </c>
      <c r="V184" s="2338">
        <f t="shared" si="33"/>
        <v>91.848390980848194</v>
      </c>
      <c r="W184" s="1826">
        <f t="shared" si="33"/>
        <v>0</v>
      </c>
      <c r="X184" s="1938">
        <f t="shared" si="33"/>
        <v>8.2663551882763393</v>
      </c>
      <c r="Y184" s="1827">
        <f t="shared" si="33"/>
        <v>100.11474616912453</v>
      </c>
      <c r="Z184" s="1828">
        <f t="shared" si="33"/>
        <v>0</v>
      </c>
      <c r="AA184" s="1938">
        <f t="shared" si="33"/>
        <v>0</v>
      </c>
      <c r="AB184" s="1829">
        <f t="shared" si="33"/>
        <v>66.892385588292811</v>
      </c>
      <c r="AC184" s="1938">
        <f t="shared" si="33"/>
        <v>12.709553261775632</v>
      </c>
      <c r="AD184" s="1830">
        <f t="shared" si="33"/>
        <v>0</v>
      </c>
      <c r="AE184" s="1938">
        <f t="shared" si="33"/>
        <v>0</v>
      </c>
      <c r="AF184" s="2136">
        <f t="shared" si="33"/>
        <v>21.17658560681685</v>
      </c>
      <c r="AG184" s="2052">
        <f t="shared" si="33"/>
        <v>183.3288738409608</v>
      </c>
      <c r="AH184" s="397"/>
      <c r="AI184" s="591" t="s">
        <v>429</v>
      </c>
      <c r="AJ184" s="591" t="s">
        <v>429</v>
      </c>
      <c r="AK184" s="591"/>
      <c r="AL184" s="591"/>
      <c r="AM184" s="591"/>
      <c r="AN184" s="591" t="s">
        <v>429</v>
      </c>
      <c r="AO184" s="614"/>
      <c r="AP184" s="397"/>
    </row>
    <row r="185" spans="1:42" ht="15.75" hidden="1" customHeight="1" x14ac:dyDescent="0.3">
      <c r="A185" s="1757"/>
      <c r="B185" s="274" t="s">
        <v>188</v>
      </c>
      <c r="C185" s="457"/>
      <c r="D185" s="457" t="s">
        <v>1118</v>
      </c>
      <c r="E185" s="1880"/>
      <c r="F185" s="616">
        <f>'exchange rates'!$O$50</f>
        <v>3.8868399999999999</v>
      </c>
      <c r="G185" s="319"/>
      <c r="H185" s="320"/>
      <c r="I185" s="321"/>
      <c r="J185" s="559"/>
      <c r="K185" s="313"/>
      <c r="L185" s="322"/>
      <c r="M185" s="559"/>
      <c r="N185" s="323"/>
      <c r="O185" s="559"/>
      <c r="P185" s="324"/>
      <c r="Q185" s="559"/>
      <c r="R185" s="317"/>
      <c r="S185" s="318"/>
      <c r="T185" s="397"/>
      <c r="U185" s="1763"/>
      <c r="V185" s="2129"/>
      <c r="W185" s="1769"/>
      <c r="X185" s="1772"/>
      <c r="Y185" s="1775"/>
      <c r="Z185" s="1778"/>
      <c r="AA185" s="1772"/>
      <c r="AB185" s="1781"/>
      <c r="AC185" s="1772"/>
      <c r="AD185" s="1785"/>
      <c r="AE185" s="1772"/>
      <c r="AF185" s="2137"/>
      <c r="AG185" s="1990"/>
      <c r="AH185" s="397"/>
      <c r="AI185" s="591"/>
      <c r="AJ185" s="591"/>
      <c r="AK185" s="591"/>
      <c r="AL185" s="591"/>
      <c r="AM185" s="591"/>
      <c r="AN185" s="591"/>
      <c r="AO185" s="614"/>
      <c r="AP185" s="397"/>
    </row>
    <row r="186" spans="1:42" ht="15.75" hidden="1" customHeight="1" x14ac:dyDescent="0.3">
      <c r="A186" s="1757"/>
      <c r="B186" s="630" t="s">
        <v>189</v>
      </c>
      <c r="C186" s="754"/>
      <c r="D186" s="754" t="s">
        <v>1118</v>
      </c>
      <c r="E186" s="1880"/>
      <c r="F186" s="616">
        <f>'exchange rates'!$O$50</f>
        <v>3.8868399999999999</v>
      </c>
      <c r="G186" s="549">
        <v>0</v>
      </c>
      <c r="H186" s="550">
        <f>320/F186</f>
        <v>82.32908995482191</v>
      </c>
      <c r="I186" s="551">
        <v>0</v>
      </c>
      <c r="J186" s="560">
        <f>28.8/F186</f>
        <v>7.4096180959339728</v>
      </c>
      <c r="K186" s="566">
        <f>Tabel66892127[[#This Row],[Fix.ch. 2017]]+Tabel66892127[[#This Row],[Var. ch. 2017]]+Tabel66892127[[#This Row],[Oth. ch. DW 2017]]+Tabel66892127[[#This Row],[VAT DW 2017]]</f>
        <v>89.738708050755889</v>
      </c>
      <c r="L186" s="567">
        <v>0</v>
      </c>
      <c r="M186" s="560">
        <v>0</v>
      </c>
      <c r="N186" s="568">
        <f>180/F186</f>
        <v>46.310113099587326</v>
      </c>
      <c r="O186" s="560">
        <f>34.2/F186</f>
        <v>8.798921488921593</v>
      </c>
      <c r="P186" s="569">
        <v>0</v>
      </c>
      <c r="Q186" s="560">
        <v>0</v>
      </c>
      <c r="R186" s="570">
        <f>Tabel66892127[[#This Row],[VAT DW 2017]]+Tabel66892127[[#This Row],[VAT Sew. 2017]]+Tabel66892127[[#This Row],[VAT WW 2017]]+Tabel66892127[[#This Row],[VAT Other ch. 2017]]</f>
        <v>16.208539584855565</v>
      </c>
      <c r="S186" s="571">
        <f>Tabel66892127[[#This Row],[Total. ch. DW 2017]]+Tabel66892127[[#This Row],[Sew. 2017]]+Tabel66892127[[#This Row],[VAT Sew. 2017]]+Tabel66892127[[#This Row],[WW 2017]]+Tabel66892127[[#This Row],[VAT WW 2017]]+Tabel66892127[[#This Row],[Other ch. 2017]]+Tabel66892127[[#This Row],[VAT Other ch. 2017]]</f>
        <v>144.84774263926479</v>
      </c>
      <c r="T186" s="397"/>
      <c r="U186" s="1763"/>
      <c r="V186" s="2129"/>
      <c r="W186" s="1769"/>
      <c r="X186" s="1772"/>
      <c r="Y186" s="1775"/>
      <c r="Z186" s="1778"/>
      <c r="AA186" s="1772"/>
      <c r="AB186" s="1781"/>
      <c r="AC186" s="1772"/>
      <c r="AD186" s="1785"/>
      <c r="AE186" s="1772"/>
      <c r="AF186" s="2137"/>
      <c r="AG186" s="1990"/>
      <c r="AH186" s="397"/>
      <c r="AI186" s="591" t="s">
        <v>429</v>
      </c>
      <c r="AJ186" s="591" t="s">
        <v>429</v>
      </c>
      <c r="AK186" s="591"/>
      <c r="AL186" s="591"/>
      <c r="AM186" s="591"/>
      <c r="AN186" s="591" t="s">
        <v>429</v>
      </c>
      <c r="AO186" s="614"/>
      <c r="AP186" s="397"/>
    </row>
    <row r="187" spans="1:42" ht="15.75" hidden="1" customHeight="1" x14ac:dyDescent="0.3">
      <c r="A187" s="1757"/>
      <c r="B187" s="630" t="s">
        <v>190</v>
      </c>
      <c r="C187" s="754"/>
      <c r="D187" s="754" t="s">
        <v>1118</v>
      </c>
      <c r="E187" s="1880"/>
      <c r="F187" s="616">
        <f>'exchange rates'!$O$50</f>
        <v>3.8868399999999999</v>
      </c>
      <c r="G187" s="549">
        <v>0</v>
      </c>
      <c r="H187" s="550">
        <f>372/F187</f>
        <v>95.707567072480472</v>
      </c>
      <c r="I187" s="551">
        <v>0</v>
      </c>
      <c r="J187" s="560">
        <f>33.48/F187</f>
        <v>8.6136810365232428</v>
      </c>
      <c r="K187" s="566">
        <f>Tabel66892127[[#This Row],[Fix.ch. 2017]]+Tabel66892127[[#This Row],[Var. ch. 2017]]+Tabel66892127[[#This Row],[Oth. ch. DW 2017]]+Tabel66892127[[#This Row],[VAT DW 2017]]</f>
        <v>104.32124810900372</v>
      </c>
      <c r="L187" s="567">
        <v>0</v>
      </c>
      <c r="M187" s="560">
        <v>0</v>
      </c>
      <c r="N187" s="568">
        <f>257/F187</f>
        <v>66.120550369966352</v>
      </c>
      <c r="O187" s="560">
        <f>48.83/F187</f>
        <v>12.562904570293606</v>
      </c>
      <c r="P187" s="569">
        <v>0</v>
      </c>
      <c r="Q187" s="560">
        <v>0</v>
      </c>
      <c r="R187" s="570">
        <f>Tabel66892127[[#This Row],[VAT DW 2017]]+Tabel66892127[[#This Row],[VAT Sew. 2017]]+Tabel66892127[[#This Row],[VAT WW 2017]]+Tabel66892127[[#This Row],[VAT Other ch. 2017]]</f>
        <v>21.17658560681685</v>
      </c>
      <c r="S187" s="571">
        <f>Tabel66892127[[#This Row],[Total. ch. DW 2017]]+Tabel66892127[[#This Row],[Sew. 2017]]+Tabel66892127[[#This Row],[VAT Sew. 2017]]+Tabel66892127[[#This Row],[WW 2017]]+Tabel66892127[[#This Row],[VAT WW 2017]]+Tabel66892127[[#This Row],[Other ch. 2017]]+Tabel66892127[[#This Row],[VAT Other ch. 2017]]</f>
        <v>183.00470304926367</v>
      </c>
      <c r="T187" s="397"/>
      <c r="U187" s="1763"/>
      <c r="V187" s="2129"/>
      <c r="W187" s="1769"/>
      <c r="X187" s="1772"/>
      <c r="Y187" s="1775"/>
      <c r="Z187" s="1778"/>
      <c r="AA187" s="1772"/>
      <c r="AB187" s="1781"/>
      <c r="AC187" s="1772"/>
      <c r="AD187" s="1785"/>
      <c r="AE187" s="1772"/>
      <c r="AF187" s="2137"/>
      <c r="AG187" s="1990"/>
      <c r="AH187" s="397"/>
      <c r="AI187" s="591" t="s">
        <v>429</v>
      </c>
      <c r="AJ187" s="591" t="s">
        <v>429</v>
      </c>
      <c r="AK187" s="591"/>
      <c r="AL187" s="591"/>
      <c r="AM187" s="591"/>
      <c r="AN187" s="591" t="s">
        <v>429</v>
      </c>
      <c r="AO187" s="614"/>
      <c r="AP187" s="397"/>
    </row>
    <row r="188" spans="1:42" ht="15.75" hidden="1" customHeight="1" x14ac:dyDescent="0.3">
      <c r="A188" s="1757"/>
      <c r="B188" s="631" t="s">
        <v>191</v>
      </c>
      <c r="C188" s="754"/>
      <c r="D188" s="754" t="s">
        <v>1118</v>
      </c>
      <c r="E188" s="1880"/>
      <c r="F188" s="616">
        <f>'exchange rates'!$O$50</f>
        <v>3.8868399999999999</v>
      </c>
      <c r="G188" s="549">
        <v>0</v>
      </c>
      <c r="H188" s="550">
        <f>285/F188</f>
        <v>73.324345741013275</v>
      </c>
      <c r="I188" s="551">
        <v>0</v>
      </c>
      <c r="J188" s="560">
        <f>25.65/F188</f>
        <v>6.5991911166911938</v>
      </c>
      <c r="K188" s="566">
        <f>Tabel66892127[[#This Row],[Fix.ch. 2017]]+Tabel66892127[[#This Row],[Var. ch. 2017]]+Tabel66892127[[#This Row],[Oth. ch. DW 2017]]+Tabel66892127[[#This Row],[VAT DW 2017]]</f>
        <v>79.923536857704462</v>
      </c>
      <c r="L188" s="567">
        <v>0</v>
      </c>
      <c r="M188" s="560">
        <v>0</v>
      </c>
      <c r="N188" s="568">
        <f>284/F188</f>
        <v>73.067067334904451</v>
      </c>
      <c r="O188" s="560">
        <f>53.96/F188</f>
        <v>13.882742793631845</v>
      </c>
      <c r="P188" s="569">
        <v>0</v>
      </c>
      <c r="Q188" s="560">
        <v>0</v>
      </c>
      <c r="R188" s="570">
        <f>Tabel66892127[[#This Row],[VAT DW 2017]]+Tabel66892127[[#This Row],[VAT Sew. 2017]]+Tabel66892127[[#This Row],[VAT WW 2017]]+Tabel66892127[[#This Row],[VAT Other ch. 2017]]</f>
        <v>20.48193391032304</v>
      </c>
      <c r="S188" s="571">
        <f>Tabel66892127[[#This Row],[Total. ch. DW 2017]]+Tabel66892127[[#This Row],[Sew. 2017]]+Tabel66892127[[#This Row],[VAT Sew. 2017]]+Tabel66892127[[#This Row],[WW 2017]]+Tabel66892127[[#This Row],[VAT WW 2017]]+Tabel66892127[[#This Row],[Other ch. 2017]]+Tabel66892127[[#This Row],[VAT Other ch. 2017]]</f>
        <v>166.87334698624076</v>
      </c>
      <c r="T188" s="397"/>
      <c r="U188" s="1763"/>
      <c r="V188" s="2129"/>
      <c r="W188" s="1769"/>
      <c r="X188" s="1772"/>
      <c r="Y188" s="1775"/>
      <c r="Z188" s="1778"/>
      <c r="AA188" s="1772"/>
      <c r="AB188" s="1781"/>
      <c r="AC188" s="1772"/>
      <c r="AD188" s="1785"/>
      <c r="AE188" s="1772"/>
      <c r="AF188" s="2137"/>
      <c r="AG188" s="1990"/>
      <c r="AH188" s="397"/>
      <c r="AI188" s="591" t="s">
        <v>429</v>
      </c>
      <c r="AJ188" s="591" t="s">
        <v>429</v>
      </c>
      <c r="AK188" s="591"/>
      <c r="AL188" s="591"/>
      <c r="AM188" s="591"/>
      <c r="AN188" s="591" t="s">
        <v>429</v>
      </c>
      <c r="AO188" s="614"/>
      <c r="AP188" s="397"/>
    </row>
    <row r="189" spans="1:42" ht="15.75" hidden="1" customHeight="1" x14ac:dyDescent="0.3">
      <c r="A189" s="1757"/>
      <c r="B189" s="631" t="s">
        <v>218</v>
      </c>
      <c r="C189" s="754"/>
      <c r="D189" s="754" t="s">
        <v>1118</v>
      </c>
      <c r="E189" s="1880"/>
      <c r="F189" s="616">
        <f>'exchange rates'!$O$50</f>
        <v>3.8868399999999999</v>
      </c>
      <c r="G189" s="549">
        <v>0</v>
      </c>
      <c r="H189" s="550">
        <f>402/F189</f>
        <v>103.42591925574503</v>
      </c>
      <c r="I189" s="551">
        <v>0</v>
      </c>
      <c r="J189" s="560">
        <f>36.18/F189</f>
        <v>9.3083327330170533</v>
      </c>
      <c r="K189" s="566">
        <f>Tabel66892127[[#This Row],[Fix.ch. 2017]]+Tabel66892127[[#This Row],[Var. ch. 2017]]+Tabel66892127[[#This Row],[Oth. ch. DW 2017]]+Tabel66892127[[#This Row],[VAT DW 2017]]</f>
        <v>112.73425198876208</v>
      </c>
      <c r="L189" s="567">
        <v>0</v>
      </c>
      <c r="M189" s="560">
        <v>0</v>
      </c>
      <c r="N189" s="568">
        <f>242/F189</f>
        <v>62.261374278334074</v>
      </c>
      <c r="O189" s="560">
        <f>45.98/F189</f>
        <v>11.829661112883473</v>
      </c>
      <c r="P189" s="569">
        <v>0</v>
      </c>
      <c r="Q189" s="560">
        <v>0</v>
      </c>
      <c r="R189" s="570">
        <f>Tabel66892127[[#This Row],[VAT DW 2017]]+Tabel66892127[[#This Row],[VAT Sew. 2017]]+Tabel66892127[[#This Row],[VAT WW 2017]]+Tabel66892127[[#This Row],[VAT Other ch. 2017]]</f>
        <v>21.137993845900525</v>
      </c>
      <c r="S189" s="571">
        <f>Tabel66892127[[#This Row],[Total. ch. DW 2017]]+Tabel66892127[[#This Row],[Sew. 2017]]+Tabel66892127[[#This Row],[VAT Sew. 2017]]+Tabel66892127[[#This Row],[WW 2017]]+Tabel66892127[[#This Row],[VAT WW 2017]]+Tabel66892127[[#This Row],[Other ch. 2017]]+Tabel66892127[[#This Row],[VAT Other ch. 2017]]</f>
        <v>186.82528737997964</v>
      </c>
      <c r="T189" s="397"/>
      <c r="U189" s="1763"/>
      <c r="V189" s="2129"/>
      <c r="W189" s="1769"/>
      <c r="X189" s="1772"/>
      <c r="Y189" s="1775"/>
      <c r="Z189" s="1778"/>
      <c r="AA189" s="1772"/>
      <c r="AB189" s="1781"/>
      <c r="AC189" s="1772"/>
      <c r="AD189" s="1785"/>
      <c r="AE189" s="1772"/>
      <c r="AF189" s="2137"/>
      <c r="AG189" s="1990"/>
      <c r="AH189" s="397"/>
      <c r="AI189" s="591" t="s">
        <v>429</v>
      </c>
      <c r="AJ189" s="591" t="s">
        <v>429</v>
      </c>
      <c r="AK189" s="591"/>
      <c r="AL189" s="591"/>
      <c r="AM189" s="591"/>
      <c r="AN189" s="591" t="s">
        <v>429</v>
      </c>
      <c r="AO189" s="614"/>
      <c r="AP189" s="397"/>
    </row>
    <row r="190" spans="1:42" ht="16.5" hidden="1" customHeight="1" x14ac:dyDescent="0.3">
      <c r="A190" s="1757"/>
      <c r="B190" s="632" t="s">
        <v>219</v>
      </c>
      <c r="C190" s="925"/>
      <c r="D190" s="754" t="s">
        <v>1118</v>
      </c>
      <c r="E190" s="1880"/>
      <c r="F190" s="616">
        <f>'exchange rates'!$O$50</f>
        <v>3.8868399999999999</v>
      </c>
      <c r="G190" s="549">
        <v>0</v>
      </c>
      <c r="H190" s="550">
        <f>308/F190</f>
        <v>79.24174908151609</v>
      </c>
      <c r="I190" s="551">
        <v>0</v>
      </c>
      <c r="J190" s="560">
        <f>27.72/F190</f>
        <v>7.1317574173364484</v>
      </c>
      <c r="K190" s="566">
        <f>Tabel66892127[[#This Row],[Fix.ch. 2017]]+Tabel66892127[[#This Row],[Var. ch. 2017]]+Tabel66892127[[#This Row],[Oth. ch. DW 2017]]+Tabel66892127[[#This Row],[VAT DW 2017]]</f>
        <v>86.373506498852535</v>
      </c>
      <c r="L190" s="567">
        <v>0</v>
      </c>
      <c r="M190" s="560">
        <v>0</v>
      </c>
      <c r="N190" s="568">
        <f>213/F190</f>
        <v>54.800300501178334</v>
      </c>
      <c r="O190" s="560">
        <f>40.47/F190</f>
        <v>10.412057095223883</v>
      </c>
      <c r="P190" s="569">
        <v>0</v>
      </c>
      <c r="Q190" s="560">
        <v>0</v>
      </c>
      <c r="R190" s="570">
        <f>Tabel66892127[[#This Row],[VAT DW 2017]]+Tabel66892127[[#This Row],[VAT Sew. 2017]]+Tabel66892127[[#This Row],[VAT WW 2017]]+Tabel66892127[[#This Row],[VAT Other ch. 2017]]</f>
        <v>17.543814512560331</v>
      </c>
      <c r="S190" s="571">
        <f>Tabel66892127[[#This Row],[Total. ch. DW 2017]]+Tabel66892127[[#This Row],[Sew. 2017]]+Tabel66892127[[#This Row],[VAT Sew. 2017]]+Tabel66892127[[#This Row],[WW 2017]]+Tabel66892127[[#This Row],[VAT WW 2017]]+Tabel66892127[[#This Row],[Other ch. 2017]]+Tabel66892127[[#This Row],[VAT Other ch. 2017]]</f>
        <v>151.58586409525475</v>
      </c>
      <c r="T190" s="397"/>
      <c r="U190" s="1763"/>
      <c r="V190" s="2129"/>
      <c r="W190" s="1769"/>
      <c r="X190" s="1772"/>
      <c r="Y190" s="1775"/>
      <c r="Z190" s="1778"/>
      <c r="AA190" s="1772"/>
      <c r="AB190" s="1781"/>
      <c r="AC190" s="1772"/>
      <c r="AD190" s="1785"/>
      <c r="AE190" s="1772"/>
      <c r="AF190" s="2137"/>
      <c r="AG190" s="1990"/>
      <c r="AH190" s="397"/>
      <c r="AI190" s="591" t="s">
        <v>429</v>
      </c>
      <c r="AJ190" s="591" t="s">
        <v>429</v>
      </c>
      <c r="AK190" s="591"/>
      <c r="AL190" s="591"/>
      <c r="AM190" s="591"/>
      <c r="AN190" s="591" t="s">
        <v>429</v>
      </c>
      <c r="AO190" s="614"/>
      <c r="AP190" s="397"/>
    </row>
    <row r="191" spans="1:42" ht="15.75" hidden="1" customHeight="1" x14ac:dyDescent="0.3">
      <c r="A191" s="1757"/>
      <c r="B191" s="632" t="s">
        <v>513</v>
      </c>
      <c r="C191" s="925"/>
      <c r="D191" s="754" t="s">
        <v>1118</v>
      </c>
      <c r="E191" s="1880"/>
      <c r="F191" s="616">
        <f>'exchange rates'!$O$50</f>
        <v>3.8868399999999999</v>
      </c>
      <c r="G191" s="549">
        <v>0</v>
      </c>
      <c r="H191" s="550">
        <f>409/F191</f>
        <v>105.22686809850676</v>
      </c>
      <c r="I191" s="551">
        <v>0</v>
      </c>
      <c r="J191" s="560">
        <f>36.81/F191</f>
        <v>9.4704181288656084</v>
      </c>
      <c r="K191" s="566">
        <f>Tabel66892127[[#This Row],[Fix.ch. 2017]]+Tabel66892127[[#This Row],[Var. ch. 2017]]+Tabel66892127[[#This Row],[Oth. ch. DW 2017]]+Tabel66892127[[#This Row],[VAT DW 2017]]</f>
        <v>114.69728622737236</v>
      </c>
      <c r="L191" s="567">
        <v>0</v>
      </c>
      <c r="M191" s="560">
        <v>0</v>
      </c>
      <c r="N191" s="568">
        <f>363/F191</f>
        <v>93.392061417501111</v>
      </c>
      <c r="O191" s="560">
        <f>68.97/F191</f>
        <v>17.74449166932521</v>
      </c>
      <c r="P191" s="569">
        <v>0</v>
      </c>
      <c r="Q191" s="560">
        <v>0</v>
      </c>
      <c r="R191" s="570">
        <f>Tabel66892127[[#This Row],[VAT DW 2017]]+Tabel66892127[[#This Row],[VAT Sew. 2017]]+Tabel66892127[[#This Row],[VAT WW 2017]]+Tabel66892127[[#This Row],[VAT Other ch. 2017]]</f>
        <v>27.214909798190817</v>
      </c>
      <c r="S191" s="571">
        <f>Tabel66892127[[#This Row],[Total. ch. DW 2017]]+Tabel66892127[[#This Row],[Sew. 2017]]+Tabel66892127[[#This Row],[VAT Sew. 2017]]+Tabel66892127[[#This Row],[WW 2017]]+Tabel66892127[[#This Row],[VAT WW 2017]]+Tabel66892127[[#This Row],[Other ch. 2017]]+Tabel66892127[[#This Row],[VAT Other ch. 2017]]</f>
        <v>225.83383931419868</v>
      </c>
      <c r="T191" s="397"/>
      <c r="U191" s="1763"/>
      <c r="V191" s="2129"/>
      <c r="W191" s="1769"/>
      <c r="X191" s="1772"/>
      <c r="Y191" s="1775"/>
      <c r="Z191" s="1778"/>
      <c r="AA191" s="1772"/>
      <c r="AB191" s="1781"/>
      <c r="AC191" s="1772"/>
      <c r="AD191" s="1785"/>
      <c r="AE191" s="1772"/>
      <c r="AF191" s="2137"/>
      <c r="AG191" s="1990"/>
      <c r="AH191" s="397"/>
      <c r="AI191" s="591" t="s">
        <v>429</v>
      </c>
      <c r="AJ191" s="591" t="s">
        <v>429</v>
      </c>
      <c r="AK191" s="591"/>
      <c r="AL191" s="591"/>
      <c r="AM191" s="591"/>
      <c r="AN191" s="591" t="s">
        <v>429</v>
      </c>
      <c r="AO191" s="614"/>
      <c r="AP191" s="397"/>
    </row>
    <row r="192" spans="1:42" ht="15.75" hidden="1" customHeight="1" x14ac:dyDescent="0.3">
      <c r="A192" s="1757"/>
      <c r="B192" s="632" t="s">
        <v>514</v>
      </c>
      <c r="C192" s="925"/>
      <c r="D192" s="754" t="s">
        <v>1118</v>
      </c>
      <c r="E192" s="1880"/>
      <c r="F192" s="616">
        <f>'exchange rates'!$O$50</f>
        <v>3.8868399999999999</v>
      </c>
      <c r="G192" s="549">
        <v>0</v>
      </c>
      <c r="H192" s="550">
        <f>320/F192</f>
        <v>82.32908995482191</v>
      </c>
      <c r="I192" s="551">
        <v>0</v>
      </c>
      <c r="J192" s="560">
        <f>28.8/F192</f>
        <v>7.4096180959339728</v>
      </c>
      <c r="K192" s="566">
        <f>Tabel66892127[[#This Row],[Fix.ch. 2017]]+Tabel66892127[[#This Row],[Var. ch. 2017]]+Tabel66892127[[#This Row],[Oth. ch. DW 2017]]+Tabel66892127[[#This Row],[VAT DW 2017]]</f>
        <v>89.738708050755889</v>
      </c>
      <c r="L192" s="567">
        <v>0</v>
      </c>
      <c r="M192" s="560">
        <v>0</v>
      </c>
      <c r="N192" s="568">
        <f>321/F192</f>
        <v>82.586368360930734</v>
      </c>
      <c r="O192" s="560">
        <f>60.99/F192</f>
        <v>15.69140998857684</v>
      </c>
      <c r="P192" s="569">
        <v>0</v>
      </c>
      <c r="Q192" s="560">
        <v>0</v>
      </c>
      <c r="R192" s="570">
        <f>Tabel66892127[[#This Row],[VAT DW 2017]]+Tabel66892127[[#This Row],[VAT Sew. 2017]]+Tabel66892127[[#This Row],[VAT WW 2017]]+Tabel66892127[[#This Row],[VAT Other ch. 2017]]</f>
        <v>23.101028084510812</v>
      </c>
      <c r="S192" s="571">
        <f>Tabel66892127[[#This Row],[Total. ch. DW 2017]]+Tabel66892127[[#This Row],[Sew. 2017]]+Tabel66892127[[#This Row],[VAT Sew. 2017]]+Tabel66892127[[#This Row],[WW 2017]]+Tabel66892127[[#This Row],[VAT WW 2017]]+Tabel66892127[[#This Row],[Other ch. 2017]]+Tabel66892127[[#This Row],[VAT Other ch. 2017]]</f>
        <v>188.01648640026346</v>
      </c>
      <c r="T192" s="397"/>
      <c r="U192" s="1763"/>
      <c r="V192" s="2129"/>
      <c r="W192" s="1769"/>
      <c r="X192" s="1772"/>
      <c r="Y192" s="1775"/>
      <c r="Z192" s="1778"/>
      <c r="AA192" s="1772"/>
      <c r="AB192" s="1781"/>
      <c r="AC192" s="1772"/>
      <c r="AD192" s="1785"/>
      <c r="AE192" s="1772"/>
      <c r="AF192" s="2137"/>
      <c r="AG192" s="1990"/>
      <c r="AH192" s="397"/>
      <c r="AI192" s="591" t="s">
        <v>429</v>
      </c>
      <c r="AJ192" s="591" t="s">
        <v>429</v>
      </c>
      <c r="AK192" s="591"/>
      <c r="AL192" s="591"/>
      <c r="AM192" s="591"/>
      <c r="AN192" s="591" t="s">
        <v>429</v>
      </c>
      <c r="AO192" s="614"/>
      <c r="AP192" s="397"/>
    </row>
    <row r="193" spans="1:42" ht="15.75" hidden="1" customHeight="1" x14ac:dyDescent="0.3">
      <c r="A193" s="1757"/>
      <c r="B193" s="632" t="s">
        <v>515</v>
      </c>
      <c r="C193" s="925"/>
      <c r="D193" s="754" t="s">
        <v>1118</v>
      </c>
      <c r="E193" s="1880"/>
      <c r="F193" s="616">
        <f>'exchange rates'!$O$50</f>
        <v>3.8868399999999999</v>
      </c>
      <c r="G193" s="549">
        <v>0</v>
      </c>
      <c r="H193" s="550">
        <f>371/F193</f>
        <v>95.450288666371662</v>
      </c>
      <c r="I193" s="551">
        <v>0</v>
      </c>
      <c r="J193" s="560">
        <f>33.39/F193</f>
        <v>8.5905259799734495</v>
      </c>
      <c r="K193" s="566">
        <f>Tabel66892127[[#This Row],[Fix.ch. 2017]]+Tabel66892127[[#This Row],[Var. ch. 2017]]+Tabel66892127[[#This Row],[Oth. ch. DW 2017]]+Tabel66892127[[#This Row],[VAT DW 2017]]</f>
        <v>104.04081464634511</v>
      </c>
      <c r="L193" s="567">
        <v>0</v>
      </c>
      <c r="M193" s="560">
        <v>0</v>
      </c>
      <c r="N193" s="568">
        <f>276/F193</f>
        <v>71.008840086033899</v>
      </c>
      <c r="O193" s="560">
        <f>52.44/F193</f>
        <v>13.49167961634644</v>
      </c>
      <c r="P193" s="569">
        <v>0</v>
      </c>
      <c r="Q193" s="560">
        <v>0</v>
      </c>
      <c r="R193" s="570">
        <f>Tabel66892127[[#This Row],[VAT DW 2017]]+Tabel66892127[[#This Row],[VAT Sew. 2017]]+Tabel66892127[[#This Row],[VAT WW 2017]]+Tabel66892127[[#This Row],[VAT Other ch. 2017]]</f>
        <v>22.082205596319888</v>
      </c>
      <c r="S193" s="571">
        <f>Tabel66892127[[#This Row],[Total. ch. DW 2017]]+Tabel66892127[[#This Row],[Sew. 2017]]+Tabel66892127[[#This Row],[VAT Sew. 2017]]+Tabel66892127[[#This Row],[WW 2017]]+Tabel66892127[[#This Row],[VAT WW 2017]]+Tabel66892127[[#This Row],[Other ch. 2017]]+Tabel66892127[[#This Row],[VAT Other ch. 2017]]</f>
        <v>188.54133434872543</v>
      </c>
      <c r="T193" s="397"/>
      <c r="U193" s="1763"/>
      <c r="V193" s="2129"/>
      <c r="W193" s="1769"/>
      <c r="X193" s="1772"/>
      <c r="Y193" s="1775"/>
      <c r="Z193" s="1778"/>
      <c r="AA193" s="1772"/>
      <c r="AB193" s="1781"/>
      <c r="AC193" s="1772"/>
      <c r="AD193" s="1785"/>
      <c r="AE193" s="1772"/>
      <c r="AF193" s="2137"/>
      <c r="AG193" s="1990"/>
      <c r="AH193" s="397"/>
      <c r="AI193" s="591" t="s">
        <v>429</v>
      </c>
      <c r="AJ193" s="591" t="s">
        <v>429</v>
      </c>
      <c r="AK193" s="591"/>
      <c r="AL193" s="591"/>
      <c r="AM193" s="591"/>
      <c r="AN193" s="591" t="s">
        <v>429</v>
      </c>
      <c r="AO193" s="614"/>
      <c r="AP193" s="397"/>
    </row>
    <row r="194" spans="1:42" ht="15.75" hidden="1" customHeight="1" x14ac:dyDescent="0.3">
      <c r="A194" s="1757"/>
      <c r="B194" s="632" t="s">
        <v>516</v>
      </c>
      <c r="C194" s="925"/>
      <c r="D194" s="754" t="s">
        <v>1118</v>
      </c>
      <c r="E194" s="1880"/>
      <c r="F194" s="616">
        <f>'exchange rates'!$O$50</f>
        <v>3.8868399999999999</v>
      </c>
      <c r="G194" s="549">
        <v>0</v>
      </c>
      <c r="H194" s="550">
        <f>464/F194</f>
        <v>119.37718043449178</v>
      </c>
      <c r="I194" s="551">
        <v>0</v>
      </c>
      <c r="J194" s="560">
        <f>41.76/F194</f>
        <v>10.743946239104259</v>
      </c>
      <c r="K194" s="566">
        <f>Tabel66892127[[#This Row],[Fix.ch. 2017]]+Tabel66892127[[#This Row],[Var. ch. 2017]]+Tabel66892127[[#This Row],[Oth. ch. DW 2017]]+Tabel66892127[[#This Row],[VAT DW 2017]]</f>
        <v>130.12112667359602</v>
      </c>
      <c r="L194" s="567">
        <v>0</v>
      </c>
      <c r="M194" s="560">
        <v>0</v>
      </c>
      <c r="N194" s="568">
        <f>260/F194</f>
        <v>66.892385588292811</v>
      </c>
      <c r="O194" s="560">
        <f>49.4/F194</f>
        <v>12.709553261775632</v>
      </c>
      <c r="P194" s="569">
        <v>0</v>
      </c>
      <c r="Q194" s="560">
        <v>0</v>
      </c>
      <c r="R194" s="570">
        <f>Tabel66892127[[#This Row],[VAT DW 2017]]+Tabel66892127[[#This Row],[VAT Sew. 2017]]+Tabel66892127[[#This Row],[VAT WW 2017]]+Tabel66892127[[#This Row],[VAT Other ch. 2017]]</f>
        <v>23.453499500879893</v>
      </c>
      <c r="S194" s="571">
        <f>Tabel66892127[[#This Row],[Total. ch. DW 2017]]+Tabel66892127[[#This Row],[Sew. 2017]]+Tabel66892127[[#This Row],[VAT Sew. 2017]]+Tabel66892127[[#This Row],[WW 2017]]+Tabel66892127[[#This Row],[VAT WW 2017]]+Tabel66892127[[#This Row],[Other ch. 2017]]+Tabel66892127[[#This Row],[VAT Other ch. 2017]]</f>
        <v>209.72306552366445</v>
      </c>
      <c r="T194" s="397"/>
      <c r="U194" s="1763"/>
      <c r="V194" s="2129"/>
      <c r="W194" s="1769"/>
      <c r="X194" s="1772"/>
      <c r="Y194" s="1775"/>
      <c r="Z194" s="1778"/>
      <c r="AA194" s="1772"/>
      <c r="AB194" s="1781"/>
      <c r="AC194" s="1772"/>
      <c r="AD194" s="1785"/>
      <c r="AE194" s="1772"/>
      <c r="AF194" s="2137"/>
      <c r="AG194" s="1990"/>
      <c r="AH194" s="397"/>
      <c r="AI194" s="591" t="s">
        <v>429</v>
      </c>
      <c r="AJ194" s="591" t="s">
        <v>429</v>
      </c>
      <c r="AK194" s="591"/>
      <c r="AL194" s="591"/>
      <c r="AM194" s="591"/>
      <c r="AN194" s="591" t="s">
        <v>429</v>
      </c>
      <c r="AO194" s="614"/>
      <c r="AP194" s="397"/>
    </row>
    <row r="195" spans="1:42" ht="15.75" hidden="1" customHeight="1" x14ac:dyDescent="0.3">
      <c r="A195" s="1757"/>
      <c r="B195" s="632" t="s">
        <v>875</v>
      </c>
      <c r="C195" s="925"/>
      <c r="D195" s="754" t="s">
        <v>1118</v>
      </c>
      <c r="E195" s="1880"/>
      <c r="F195" s="616">
        <f>'exchange rates'!$O$50</f>
        <v>3.8868399999999999</v>
      </c>
      <c r="G195" s="549">
        <v>0</v>
      </c>
      <c r="H195" s="550">
        <f>350/F195</f>
        <v>90.047442138086467</v>
      </c>
      <c r="I195" s="551">
        <v>0</v>
      </c>
      <c r="J195" s="560">
        <f>31.5/F195</f>
        <v>8.1042697924277824</v>
      </c>
      <c r="K195" s="566">
        <f>Tabel66892127[[#This Row],[Fix.ch. 2017]]+Tabel66892127[[#This Row],[Var. ch. 2017]]+Tabel66892127[[#This Row],[Oth. ch. DW 2017]]+Tabel66892127[[#This Row],[VAT DW 2017]]</f>
        <v>98.151711930514253</v>
      </c>
      <c r="L195" s="567">
        <v>0</v>
      </c>
      <c r="M195" s="560">
        <v>0</v>
      </c>
      <c r="N195" s="568">
        <f>297/F195</f>
        <v>76.411686614319095</v>
      </c>
      <c r="O195" s="560">
        <f>56.43/F195</f>
        <v>14.518220456720627</v>
      </c>
      <c r="P195" s="569">
        <v>0</v>
      </c>
      <c r="Q195" s="560">
        <v>0</v>
      </c>
      <c r="R195" s="570">
        <f>Tabel66892127[[#This Row],[VAT DW 2017]]+Tabel66892127[[#This Row],[VAT Sew. 2017]]+Tabel66892127[[#This Row],[VAT WW 2017]]+Tabel66892127[[#This Row],[VAT Other ch. 2017]]</f>
        <v>22.622490249148409</v>
      </c>
      <c r="S195" s="571">
        <f>Tabel66892127[[#This Row],[Total. ch. DW 2017]]+Tabel66892127[[#This Row],[Sew. 2017]]+Tabel66892127[[#This Row],[VAT Sew. 2017]]+Tabel66892127[[#This Row],[WW 2017]]+Tabel66892127[[#This Row],[VAT WW 2017]]+Tabel66892127[[#This Row],[Other ch. 2017]]+Tabel66892127[[#This Row],[VAT Other ch. 2017]]</f>
        <v>189.08161900155397</v>
      </c>
      <c r="T195" s="397"/>
      <c r="U195" s="1763"/>
      <c r="V195" s="2129"/>
      <c r="W195" s="1769"/>
      <c r="X195" s="1772"/>
      <c r="Y195" s="1775"/>
      <c r="Z195" s="1778"/>
      <c r="AA195" s="1772"/>
      <c r="AB195" s="1781"/>
      <c r="AC195" s="1772"/>
      <c r="AD195" s="1785"/>
      <c r="AE195" s="1772"/>
      <c r="AF195" s="2137"/>
      <c r="AG195" s="1990"/>
      <c r="AH195" s="397"/>
      <c r="AI195" s="591" t="s">
        <v>429</v>
      </c>
      <c r="AJ195" s="591" t="s">
        <v>429</v>
      </c>
      <c r="AK195" s="591"/>
      <c r="AL195" s="591"/>
      <c r="AM195" s="591"/>
      <c r="AN195" s="591" t="s">
        <v>429</v>
      </c>
      <c r="AO195" s="614"/>
      <c r="AP195" s="397"/>
    </row>
    <row r="196" spans="1:42" ht="15.75" hidden="1" customHeight="1" x14ac:dyDescent="0.3">
      <c r="A196" s="1757"/>
      <c r="B196" s="632" t="s">
        <v>517</v>
      </c>
      <c r="C196" s="925"/>
      <c r="D196" s="754" t="s">
        <v>1118</v>
      </c>
      <c r="E196" s="1880"/>
      <c r="F196" s="616">
        <f>'exchange rates'!$O$50</f>
        <v>3.8868399999999999</v>
      </c>
      <c r="G196" s="549">
        <v>0</v>
      </c>
      <c r="H196" s="550">
        <f>344/F196</f>
        <v>88.503771701433564</v>
      </c>
      <c r="I196" s="551">
        <v>0</v>
      </c>
      <c r="J196" s="560">
        <f>30.96/F196</f>
        <v>7.9653394531290207</v>
      </c>
      <c r="K196" s="566">
        <f>Tabel66892127[[#This Row],[Fix.ch. 2017]]+Tabel66892127[[#This Row],[Var. ch. 2017]]+Tabel66892127[[#This Row],[Oth. ch. DW 2017]]+Tabel66892127[[#This Row],[VAT DW 2017]]</f>
        <v>96.469111154562583</v>
      </c>
      <c r="L196" s="567">
        <v>0</v>
      </c>
      <c r="M196" s="560">
        <v>0</v>
      </c>
      <c r="N196" s="568">
        <f>299/F196</f>
        <v>76.926243426536729</v>
      </c>
      <c r="O196" s="560">
        <f>56.81/F196</f>
        <v>14.61598625104198</v>
      </c>
      <c r="P196" s="569">
        <v>0</v>
      </c>
      <c r="Q196" s="560">
        <v>0</v>
      </c>
      <c r="R196" s="570">
        <f>Tabel66892127[[#This Row],[VAT DW 2017]]+Tabel66892127[[#This Row],[VAT Sew. 2017]]+Tabel66892127[[#This Row],[VAT WW 2017]]+Tabel66892127[[#This Row],[VAT Other ch. 2017]]</f>
        <v>22.581325704171</v>
      </c>
      <c r="S196" s="571">
        <f>Tabel66892127[[#This Row],[Total. ch. DW 2017]]+Tabel66892127[[#This Row],[Sew. 2017]]+Tabel66892127[[#This Row],[VAT Sew. 2017]]+Tabel66892127[[#This Row],[WW 2017]]+Tabel66892127[[#This Row],[VAT WW 2017]]+Tabel66892127[[#This Row],[Other ch. 2017]]+Tabel66892127[[#This Row],[VAT Other ch. 2017]]</f>
        <v>188.01134083214129</v>
      </c>
      <c r="T196" s="397"/>
      <c r="U196" s="1763"/>
      <c r="V196" s="2129"/>
      <c r="W196" s="1769"/>
      <c r="X196" s="1772"/>
      <c r="Y196" s="1775"/>
      <c r="Z196" s="1778"/>
      <c r="AA196" s="1772"/>
      <c r="AB196" s="1781"/>
      <c r="AC196" s="1772"/>
      <c r="AD196" s="1785"/>
      <c r="AE196" s="1772"/>
      <c r="AF196" s="2137"/>
      <c r="AG196" s="1990"/>
      <c r="AH196" s="397"/>
      <c r="AI196" s="591" t="s">
        <v>429</v>
      </c>
      <c r="AJ196" s="591" t="s">
        <v>429</v>
      </c>
      <c r="AK196" s="591"/>
      <c r="AL196" s="591"/>
      <c r="AM196" s="591"/>
      <c r="AN196" s="591" t="s">
        <v>429</v>
      </c>
      <c r="AO196" s="614"/>
      <c r="AP196" s="397"/>
    </row>
    <row r="197" spans="1:42" ht="15.75" hidden="1" customHeight="1" x14ac:dyDescent="0.3">
      <c r="A197" s="1757"/>
      <c r="B197" s="456" t="s">
        <v>518</v>
      </c>
      <c r="C197" s="804"/>
      <c r="D197" s="804" t="s">
        <v>1118</v>
      </c>
      <c r="E197" s="1880"/>
      <c r="F197" s="616">
        <f>'exchange rates'!$O$50</f>
        <v>3.8868399999999999</v>
      </c>
      <c r="G197" s="319"/>
      <c r="H197" s="320"/>
      <c r="I197" s="321"/>
      <c r="J197" s="559"/>
      <c r="K197" s="313"/>
      <c r="L197" s="322"/>
      <c r="M197" s="559"/>
      <c r="N197" s="323"/>
      <c r="O197" s="559"/>
      <c r="P197" s="324"/>
      <c r="Q197" s="559"/>
      <c r="R197" s="317"/>
      <c r="S197" s="318"/>
      <c r="T197" s="397"/>
      <c r="U197" s="1763"/>
      <c r="V197" s="2129"/>
      <c r="W197" s="1769"/>
      <c r="X197" s="1772"/>
      <c r="Y197" s="1775"/>
      <c r="Z197" s="1778"/>
      <c r="AA197" s="1772"/>
      <c r="AB197" s="1781"/>
      <c r="AC197" s="1772"/>
      <c r="AD197" s="1785"/>
      <c r="AE197" s="1772"/>
      <c r="AF197" s="2137"/>
      <c r="AG197" s="1990"/>
      <c r="AH197" s="397"/>
      <c r="AI197" s="591"/>
      <c r="AJ197" s="591"/>
      <c r="AK197" s="591"/>
      <c r="AL197" s="591"/>
      <c r="AM197" s="591"/>
      <c r="AN197" s="591"/>
      <c r="AO197" s="614"/>
      <c r="AP197" s="397"/>
    </row>
    <row r="198" spans="1:42" ht="15.75" hidden="1" customHeight="1" x14ac:dyDescent="0.3">
      <c r="A198" s="1757"/>
      <c r="B198" s="456" t="s">
        <v>519</v>
      </c>
      <c r="C198" s="804"/>
      <c r="D198" s="804" t="s">
        <v>1118</v>
      </c>
      <c r="E198" s="1880"/>
      <c r="F198" s="616">
        <f>'exchange rates'!$O$50</f>
        <v>3.8868399999999999</v>
      </c>
      <c r="G198" s="319"/>
      <c r="H198" s="320"/>
      <c r="I198" s="321"/>
      <c r="J198" s="559"/>
      <c r="K198" s="313"/>
      <c r="L198" s="322"/>
      <c r="M198" s="559"/>
      <c r="N198" s="323"/>
      <c r="O198" s="559"/>
      <c r="P198" s="324"/>
      <c r="Q198" s="559"/>
      <c r="R198" s="317"/>
      <c r="S198" s="318"/>
      <c r="T198" s="397"/>
      <c r="U198" s="1763"/>
      <c r="V198" s="2129"/>
      <c r="W198" s="1769"/>
      <c r="X198" s="1772"/>
      <c r="Y198" s="1775"/>
      <c r="Z198" s="1778"/>
      <c r="AA198" s="1772"/>
      <c r="AB198" s="1781"/>
      <c r="AC198" s="1772"/>
      <c r="AD198" s="1785"/>
      <c r="AE198" s="1772"/>
      <c r="AF198" s="2137"/>
      <c r="AG198" s="1990"/>
      <c r="AH198" s="397"/>
      <c r="AI198" s="591"/>
      <c r="AJ198" s="591"/>
      <c r="AK198" s="591"/>
      <c r="AL198" s="591"/>
      <c r="AM198" s="591"/>
      <c r="AN198" s="591"/>
      <c r="AO198" s="614"/>
      <c r="AP198" s="397"/>
    </row>
    <row r="199" spans="1:42" ht="15.75" hidden="1" customHeight="1" x14ac:dyDescent="0.3">
      <c r="A199" s="1757"/>
      <c r="B199" s="456" t="s">
        <v>596</v>
      </c>
      <c r="C199" s="804"/>
      <c r="D199" s="804" t="s">
        <v>1118</v>
      </c>
      <c r="E199" s="1880"/>
      <c r="F199" s="616">
        <f>'exchange rates'!$O$50</f>
        <v>3.8868399999999999</v>
      </c>
      <c r="G199" s="319"/>
      <c r="H199" s="320"/>
      <c r="I199" s="321"/>
      <c r="J199" s="559"/>
      <c r="K199" s="313"/>
      <c r="L199" s="322"/>
      <c r="M199" s="559"/>
      <c r="N199" s="323"/>
      <c r="O199" s="559"/>
      <c r="P199" s="324"/>
      <c r="Q199" s="559"/>
      <c r="R199" s="317"/>
      <c r="S199" s="318"/>
      <c r="T199" s="397"/>
      <c r="U199" s="1763"/>
      <c r="V199" s="2129"/>
      <c r="W199" s="1769"/>
      <c r="X199" s="1772"/>
      <c r="Y199" s="1775"/>
      <c r="Z199" s="1778"/>
      <c r="AA199" s="1772"/>
      <c r="AB199" s="1781"/>
      <c r="AC199" s="1772"/>
      <c r="AD199" s="1785"/>
      <c r="AE199" s="1772"/>
      <c r="AF199" s="2137"/>
      <c r="AG199" s="1990"/>
      <c r="AH199" s="397"/>
      <c r="AI199" s="591"/>
      <c r="AJ199" s="591"/>
      <c r="AK199" s="591"/>
      <c r="AL199" s="591"/>
      <c r="AM199" s="591"/>
      <c r="AN199" s="591"/>
      <c r="AO199" s="614"/>
      <c r="AP199" s="397"/>
    </row>
    <row r="200" spans="1:42" ht="15.75" hidden="1" customHeight="1" x14ac:dyDescent="0.3">
      <c r="A200" s="1757"/>
      <c r="B200" s="632" t="s">
        <v>873</v>
      </c>
      <c r="C200" s="803"/>
      <c r="D200" s="803" t="s">
        <v>1118</v>
      </c>
      <c r="E200" s="1880"/>
      <c r="F200" s="616">
        <f>'exchange rates'!$O$50</f>
        <v>3.8868399999999999</v>
      </c>
      <c r="G200" s="549">
        <v>0</v>
      </c>
      <c r="H200" s="550">
        <f>382/F200</f>
        <v>98.280351133568658</v>
      </c>
      <c r="I200" s="551">
        <v>0</v>
      </c>
      <c r="J200" s="560">
        <f>34.38/F200</f>
        <v>8.8452316020211796</v>
      </c>
      <c r="K200" s="566">
        <f>Tabel66892127[[#This Row],[Fix.ch. 2017]]+Tabel66892127[[#This Row],[Var. ch. 2017]]+Tabel66892127[[#This Row],[Oth. ch. DW 2017]]+Tabel66892127[[#This Row],[VAT DW 2017]]</f>
        <v>107.12558273558983</v>
      </c>
      <c r="L200" s="567">
        <v>0</v>
      </c>
      <c r="M200" s="560">
        <v>0</v>
      </c>
      <c r="N200" s="568">
        <f>152/F200</f>
        <v>39.106317728540411</v>
      </c>
      <c r="O200" s="560">
        <f>28.88/F200</f>
        <v>7.4302003684226774</v>
      </c>
      <c r="P200" s="569">
        <v>0</v>
      </c>
      <c r="Q200" s="560">
        <v>0</v>
      </c>
      <c r="R200" s="570">
        <f>Tabel66892127[[#This Row],[VAT DW 2017]]+Tabel66892127[[#This Row],[VAT Sew. 2017]]+Tabel66892127[[#This Row],[VAT WW 2017]]+Tabel66892127[[#This Row],[VAT Other ch. 2017]]</f>
        <v>16.275431970443858</v>
      </c>
      <c r="S200" s="571">
        <f>Tabel66892127[[#This Row],[Total. ch. DW 2017]]+Tabel66892127[[#This Row],[Sew. 2017]]+Tabel66892127[[#This Row],[VAT Sew. 2017]]+Tabel66892127[[#This Row],[WW 2017]]+Tabel66892127[[#This Row],[VAT WW 2017]]+Tabel66892127[[#This Row],[Other ch. 2017]]+Tabel66892127[[#This Row],[VAT Other ch. 2017]]</f>
        <v>153.66210083255291</v>
      </c>
      <c r="T200" s="397"/>
      <c r="U200" s="1763"/>
      <c r="V200" s="2129"/>
      <c r="W200" s="1769"/>
      <c r="X200" s="1772"/>
      <c r="Y200" s="1775"/>
      <c r="Z200" s="1778"/>
      <c r="AA200" s="1772"/>
      <c r="AB200" s="1781"/>
      <c r="AC200" s="1772"/>
      <c r="AD200" s="1785"/>
      <c r="AE200" s="1772"/>
      <c r="AF200" s="2137"/>
      <c r="AG200" s="1990"/>
      <c r="AH200" s="397"/>
      <c r="AI200" s="591" t="s">
        <v>429</v>
      </c>
      <c r="AJ200" s="591" t="s">
        <v>429</v>
      </c>
      <c r="AK200" s="591"/>
      <c r="AL200" s="591"/>
      <c r="AM200" s="591"/>
      <c r="AN200" s="591" t="s">
        <v>429</v>
      </c>
      <c r="AO200" s="614"/>
      <c r="AP200" s="397"/>
    </row>
    <row r="201" spans="1:42" ht="16.5" hidden="1" customHeight="1" x14ac:dyDescent="0.3">
      <c r="A201" s="1757"/>
      <c r="B201" s="633" t="s">
        <v>520</v>
      </c>
      <c r="C201" s="803"/>
      <c r="D201" s="803" t="s">
        <v>1118</v>
      </c>
      <c r="E201" s="1880"/>
      <c r="F201" s="616">
        <f>'exchange rates'!$O$50</f>
        <v>3.8868399999999999</v>
      </c>
      <c r="G201" s="549">
        <v>0</v>
      </c>
      <c r="H201" s="550">
        <f>319/F201</f>
        <v>82.0718115487131</v>
      </c>
      <c r="I201" s="551">
        <v>0</v>
      </c>
      <c r="J201" s="560">
        <f>28.71/F201</f>
        <v>7.3864630393841786</v>
      </c>
      <c r="K201" s="566">
        <f>Tabel66892127[[#This Row],[Fix.ch. 2017]]+Tabel66892127[[#This Row],[Var. ch. 2017]]+Tabel66892127[[#This Row],[Oth. ch. DW 2017]]+Tabel66892127[[#This Row],[VAT DW 2017]]</f>
        <v>89.458274588097282</v>
      </c>
      <c r="L201" s="567">
        <v>0</v>
      </c>
      <c r="M201" s="560">
        <v>0</v>
      </c>
      <c r="N201" s="568">
        <f>307/F201</f>
        <v>78.98447067540728</v>
      </c>
      <c r="O201" s="560">
        <f>58.33/F201</f>
        <v>15.007049428327381</v>
      </c>
      <c r="P201" s="569">
        <v>0</v>
      </c>
      <c r="Q201" s="560">
        <v>0</v>
      </c>
      <c r="R201" s="570">
        <f>Tabel66892127[[#This Row],[VAT DW 2017]]+Tabel66892127[[#This Row],[VAT Sew. 2017]]+Tabel66892127[[#This Row],[VAT WW 2017]]+Tabel66892127[[#This Row],[VAT Other ch. 2017]]</f>
        <v>22.39351246771156</v>
      </c>
      <c r="S201" s="571">
        <f>Tabel66892127[[#This Row],[Total. ch. DW 2017]]+Tabel66892127[[#This Row],[Sew. 2017]]+Tabel66892127[[#This Row],[VAT Sew. 2017]]+Tabel66892127[[#This Row],[WW 2017]]+Tabel66892127[[#This Row],[VAT WW 2017]]+Tabel66892127[[#This Row],[Other ch. 2017]]+Tabel66892127[[#This Row],[VAT Other ch. 2017]]</f>
        <v>183.44979469183193</v>
      </c>
      <c r="T201" s="397"/>
      <c r="U201" s="1763"/>
      <c r="V201" s="2129"/>
      <c r="W201" s="1769"/>
      <c r="X201" s="1772"/>
      <c r="Y201" s="1775"/>
      <c r="Z201" s="1778"/>
      <c r="AA201" s="1772"/>
      <c r="AB201" s="1781"/>
      <c r="AC201" s="1772"/>
      <c r="AD201" s="1785"/>
      <c r="AE201" s="1772"/>
      <c r="AF201" s="2137"/>
      <c r="AG201" s="1990"/>
      <c r="AH201" s="397"/>
      <c r="AI201" s="591" t="s">
        <v>429</v>
      </c>
      <c r="AJ201" s="591" t="s">
        <v>429</v>
      </c>
      <c r="AK201" s="591"/>
      <c r="AL201" s="591"/>
      <c r="AM201" s="591"/>
      <c r="AN201" s="591" t="s">
        <v>429</v>
      </c>
      <c r="AO201" s="614"/>
      <c r="AP201" s="397"/>
    </row>
    <row r="202" spans="1:42" ht="18" hidden="1" customHeight="1" x14ac:dyDescent="0.3">
      <c r="A202" s="1757"/>
      <c r="B202" s="633" t="s">
        <v>597</v>
      </c>
      <c r="C202" s="803"/>
      <c r="D202" s="803" t="s">
        <v>1118</v>
      </c>
      <c r="E202" s="1880"/>
      <c r="F202" s="616">
        <f>'exchange rates'!$O$50</f>
        <v>3.8868399999999999</v>
      </c>
      <c r="G202" s="549">
        <v>0</v>
      </c>
      <c r="H202" s="550">
        <f>410/F202</f>
        <v>105.48414650461558</v>
      </c>
      <c r="I202" s="551">
        <v>0</v>
      </c>
      <c r="J202" s="560">
        <f>36.9/F202</f>
        <v>9.4935731854154017</v>
      </c>
      <c r="K202" s="566">
        <f>Tabel66892127[[#This Row],[Fix.ch. 2017]]+Tabel66892127[[#This Row],[Var. ch. 2017]]+Tabel66892127[[#This Row],[Oth. ch. DW 2017]]+Tabel66892127[[#This Row],[VAT DW 2017]]</f>
        <v>114.97771969003098</v>
      </c>
      <c r="L202" s="567">
        <v>0</v>
      </c>
      <c r="M202" s="560">
        <v>0</v>
      </c>
      <c r="N202" s="568">
        <f>289/F202</f>
        <v>74.353459365448543</v>
      </c>
      <c r="O202" s="560">
        <f>54.91/F202</f>
        <v>14.127157279435222</v>
      </c>
      <c r="P202" s="569">
        <v>0</v>
      </c>
      <c r="Q202" s="560">
        <v>0</v>
      </c>
      <c r="R202" s="570">
        <f>Tabel66892127[[#This Row],[VAT DW 2017]]+Tabel66892127[[#This Row],[VAT Sew. 2017]]+Tabel66892127[[#This Row],[VAT WW 2017]]+Tabel66892127[[#This Row],[VAT Other ch. 2017]]</f>
        <v>23.620730464850624</v>
      </c>
      <c r="S202" s="571">
        <f>Tabel66892127[[#This Row],[Total. ch. DW 2017]]+Tabel66892127[[#This Row],[Sew. 2017]]+Tabel66892127[[#This Row],[VAT Sew. 2017]]+Tabel66892127[[#This Row],[WW 2017]]+Tabel66892127[[#This Row],[VAT WW 2017]]+Tabel66892127[[#This Row],[Other ch. 2017]]+Tabel66892127[[#This Row],[VAT Other ch. 2017]]</f>
        <v>203.45833633491475</v>
      </c>
      <c r="T202" s="397"/>
      <c r="U202" s="1763"/>
      <c r="V202" s="2129"/>
      <c r="W202" s="1769"/>
      <c r="X202" s="1772"/>
      <c r="Y202" s="1775"/>
      <c r="Z202" s="1778"/>
      <c r="AA202" s="1772"/>
      <c r="AB202" s="1781"/>
      <c r="AC202" s="1772"/>
      <c r="AD202" s="1785"/>
      <c r="AE202" s="1772"/>
      <c r="AF202" s="2137"/>
      <c r="AG202" s="1990"/>
      <c r="AH202" s="397"/>
      <c r="AI202" s="591" t="s">
        <v>429</v>
      </c>
      <c r="AJ202" s="591" t="s">
        <v>429</v>
      </c>
      <c r="AK202" s="591"/>
      <c r="AL202" s="591"/>
      <c r="AM202" s="591"/>
      <c r="AN202" s="591" t="s">
        <v>429</v>
      </c>
      <c r="AO202" s="614"/>
      <c r="AP202" s="397"/>
    </row>
    <row r="203" spans="1:42" ht="18" hidden="1" customHeight="1" x14ac:dyDescent="0.3">
      <c r="A203" s="1757"/>
      <c r="B203" s="503" t="s">
        <v>765</v>
      </c>
      <c r="C203" s="804"/>
      <c r="D203" s="804" t="s">
        <v>1118</v>
      </c>
      <c r="E203" s="1880"/>
      <c r="F203" s="616">
        <f>'exchange rates'!$O$50</f>
        <v>3.8868399999999999</v>
      </c>
      <c r="G203" s="319"/>
      <c r="H203" s="320"/>
      <c r="I203" s="321"/>
      <c r="J203" s="559"/>
      <c r="K203" s="313"/>
      <c r="L203" s="322"/>
      <c r="M203" s="559"/>
      <c r="N203" s="323"/>
      <c r="O203" s="559"/>
      <c r="P203" s="324"/>
      <c r="Q203" s="559"/>
      <c r="R203" s="317"/>
      <c r="S203" s="318"/>
      <c r="T203" s="397"/>
      <c r="U203" s="1886"/>
      <c r="V203" s="2129"/>
      <c r="W203" s="1890"/>
      <c r="X203" s="1772"/>
      <c r="Y203" s="1892"/>
      <c r="Z203" s="1894"/>
      <c r="AA203" s="1772"/>
      <c r="AB203" s="1911"/>
      <c r="AC203" s="1772"/>
      <c r="AD203" s="1913"/>
      <c r="AE203" s="1772"/>
      <c r="AF203" s="2138"/>
      <c r="AG203" s="2053"/>
      <c r="AH203" s="397"/>
      <c r="AI203" s="591"/>
      <c r="AJ203" s="591"/>
      <c r="AK203" s="591"/>
      <c r="AL203" s="591"/>
      <c r="AM203" s="591"/>
      <c r="AN203" s="591"/>
      <c r="AO203" s="614"/>
      <c r="AP203" s="397"/>
    </row>
    <row r="204" spans="1:42" ht="18" hidden="1" customHeight="1" x14ac:dyDescent="0.3">
      <c r="A204" s="1757"/>
      <c r="B204" s="633" t="s">
        <v>860</v>
      </c>
      <c r="C204" s="803" t="s">
        <v>429</v>
      </c>
      <c r="D204" s="803" t="s">
        <v>1118</v>
      </c>
      <c r="E204" s="1880"/>
      <c r="F204" s="616">
        <f>'exchange rates'!$O$50</f>
        <v>3.8868399999999999</v>
      </c>
      <c r="G204" s="549">
        <v>0</v>
      </c>
      <c r="H204" s="550">
        <f>331/F204</f>
        <v>85.15915242201892</v>
      </c>
      <c r="I204" s="551">
        <v>0</v>
      </c>
      <c r="J204" s="560">
        <f>29.79/F204</f>
        <v>7.6643237179817021</v>
      </c>
      <c r="K204" s="566">
        <f>Tabel66892127[[#This Row],[Fix.ch. 2017]]+Tabel66892127[[#This Row],[Var. ch. 2017]]+Tabel66892127[[#This Row],[Oth. ch. DW 2017]]+Tabel66892127[[#This Row],[VAT DW 2017]]</f>
        <v>92.823476140000622</v>
      </c>
      <c r="L204" s="567">
        <v>0</v>
      </c>
      <c r="M204" s="560">
        <v>0</v>
      </c>
      <c r="N204" s="568">
        <f>174/F204</f>
        <v>44.766442662934416</v>
      </c>
      <c r="O204" s="560">
        <f>33.06/F204</f>
        <v>8.5056241059575388</v>
      </c>
      <c r="P204" s="569">
        <v>0</v>
      </c>
      <c r="Q204" s="560">
        <v>0</v>
      </c>
      <c r="R204" s="570">
        <f>Tabel66892127[[#This Row],[VAT DW 2017]]+Tabel66892127[[#This Row],[VAT Sew. 2017]]+Tabel66892127[[#This Row],[VAT WW 2017]]+Tabel66892127[[#This Row],[VAT Other ch. 2017]]</f>
        <v>16.169947823939239</v>
      </c>
      <c r="S204" s="571">
        <f>Tabel66892127[[#This Row],[Total. ch. DW 2017]]+Tabel66892127[[#This Row],[Sew. 2017]]+Tabel66892127[[#This Row],[VAT Sew. 2017]]+Tabel66892127[[#This Row],[WW 2017]]+Tabel66892127[[#This Row],[VAT WW 2017]]+Tabel66892127[[#This Row],[Other ch. 2017]]+Tabel66892127[[#This Row],[VAT Other ch. 2017]]</f>
        <v>146.09554290889258</v>
      </c>
      <c r="T204" s="397"/>
      <c r="U204" s="1886"/>
      <c r="V204" s="2129"/>
      <c r="W204" s="1890"/>
      <c r="X204" s="1772"/>
      <c r="Y204" s="1892"/>
      <c r="Z204" s="1894"/>
      <c r="AA204" s="1772"/>
      <c r="AB204" s="1911"/>
      <c r="AC204" s="1772"/>
      <c r="AD204" s="1913"/>
      <c r="AE204" s="1772"/>
      <c r="AF204" s="2138"/>
      <c r="AG204" s="2053"/>
      <c r="AH204" s="397"/>
      <c r="AI204" s="591" t="s">
        <v>429</v>
      </c>
      <c r="AJ204" s="591" t="s">
        <v>429</v>
      </c>
      <c r="AK204" s="591"/>
      <c r="AL204" s="591"/>
      <c r="AM204" s="591"/>
      <c r="AN204" s="591" t="s">
        <v>429</v>
      </c>
      <c r="AO204" s="614"/>
      <c r="AP204" s="397"/>
    </row>
    <row r="205" spans="1:42" ht="18" hidden="1" customHeight="1" x14ac:dyDescent="0.3">
      <c r="A205" s="1757"/>
      <c r="B205" s="503" t="s">
        <v>766</v>
      </c>
      <c r="C205" s="804"/>
      <c r="D205" s="804" t="s">
        <v>1118</v>
      </c>
      <c r="E205" s="1880"/>
      <c r="F205" s="616">
        <f>'exchange rates'!$O$50</f>
        <v>3.8868399999999999</v>
      </c>
      <c r="G205" s="319"/>
      <c r="H205" s="320"/>
      <c r="I205" s="321"/>
      <c r="J205" s="559"/>
      <c r="K205" s="313"/>
      <c r="L205" s="322"/>
      <c r="M205" s="559"/>
      <c r="N205" s="323"/>
      <c r="O205" s="559"/>
      <c r="P205" s="324"/>
      <c r="Q205" s="559"/>
      <c r="R205" s="317"/>
      <c r="S205" s="318"/>
      <c r="T205" s="397"/>
      <c r="U205" s="1886"/>
      <c r="V205" s="2129"/>
      <c r="W205" s="1890"/>
      <c r="X205" s="1772"/>
      <c r="Y205" s="1892"/>
      <c r="Z205" s="1894"/>
      <c r="AA205" s="1772"/>
      <c r="AB205" s="1911"/>
      <c r="AC205" s="1772"/>
      <c r="AD205" s="1913"/>
      <c r="AE205" s="1772"/>
      <c r="AF205" s="2138"/>
      <c r="AG205" s="2053"/>
      <c r="AH205" s="397"/>
      <c r="AI205" s="591"/>
      <c r="AJ205" s="591"/>
      <c r="AK205" s="591"/>
      <c r="AL205" s="591"/>
      <c r="AM205" s="591"/>
      <c r="AN205" s="591"/>
      <c r="AO205" s="614"/>
      <c r="AP205" s="397"/>
    </row>
    <row r="206" spans="1:42" ht="18" hidden="1" customHeight="1" x14ac:dyDescent="0.3">
      <c r="A206" s="1757"/>
      <c r="B206" s="503" t="s">
        <v>767</v>
      </c>
      <c r="C206" s="804"/>
      <c r="D206" s="804" t="s">
        <v>1118</v>
      </c>
      <c r="E206" s="1880"/>
      <c r="F206" s="616">
        <f>'exchange rates'!$O$50</f>
        <v>3.8868399999999999</v>
      </c>
      <c r="G206" s="319"/>
      <c r="H206" s="320"/>
      <c r="I206" s="321"/>
      <c r="J206" s="559"/>
      <c r="K206" s="313"/>
      <c r="L206" s="322"/>
      <c r="M206" s="559"/>
      <c r="N206" s="323"/>
      <c r="O206" s="559"/>
      <c r="P206" s="324"/>
      <c r="Q206" s="559"/>
      <c r="R206" s="317"/>
      <c r="S206" s="318"/>
      <c r="T206" s="397"/>
      <c r="U206" s="1886"/>
      <c r="V206" s="2129"/>
      <c r="W206" s="1890"/>
      <c r="X206" s="1772"/>
      <c r="Y206" s="1892"/>
      <c r="Z206" s="1894"/>
      <c r="AA206" s="1772"/>
      <c r="AB206" s="1911"/>
      <c r="AC206" s="1772"/>
      <c r="AD206" s="1913"/>
      <c r="AE206" s="1772"/>
      <c r="AF206" s="2138"/>
      <c r="AG206" s="2053"/>
      <c r="AH206" s="397"/>
      <c r="AI206" s="591"/>
      <c r="AJ206" s="591"/>
      <c r="AK206" s="591"/>
      <c r="AL206" s="591"/>
      <c r="AM206" s="591"/>
      <c r="AN206" s="591"/>
      <c r="AO206" s="614"/>
      <c r="AP206" s="397"/>
    </row>
    <row r="207" spans="1:42" ht="18" hidden="1" customHeight="1" x14ac:dyDescent="0.3">
      <c r="A207" s="1757"/>
      <c r="B207" s="503" t="s">
        <v>768</v>
      </c>
      <c r="C207" s="804"/>
      <c r="D207" s="804" t="s">
        <v>1118</v>
      </c>
      <c r="E207" s="1880"/>
      <c r="F207" s="616">
        <f>'exchange rates'!$O$50</f>
        <v>3.8868399999999999</v>
      </c>
      <c r="G207" s="319"/>
      <c r="H207" s="320"/>
      <c r="I207" s="321"/>
      <c r="J207" s="559"/>
      <c r="K207" s="313"/>
      <c r="L207" s="322"/>
      <c r="M207" s="559"/>
      <c r="N207" s="323"/>
      <c r="O207" s="559"/>
      <c r="P207" s="324"/>
      <c r="Q207" s="559"/>
      <c r="R207" s="317"/>
      <c r="S207" s="318"/>
      <c r="T207" s="397"/>
      <c r="U207" s="1886"/>
      <c r="V207" s="2129"/>
      <c r="W207" s="1890"/>
      <c r="X207" s="1772"/>
      <c r="Y207" s="1892"/>
      <c r="Z207" s="1894"/>
      <c r="AA207" s="1772"/>
      <c r="AB207" s="1911"/>
      <c r="AC207" s="1772"/>
      <c r="AD207" s="1913"/>
      <c r="AE207" s="1772"/>
      <c r="AF207" s="2138"/>
      <c r="AG207" s="2053"/>
      <c r="AH207" s="397"/>
      <c r="AI207" s="591"/>
      <c r="AJ207" s="591"/>
      <c r="AK207" s="591"/>
      <c r="AL207" s="591"/>
      <c r="AM207" s="591"/>
      <c r="AN207" s="591"/>
      <c r="AO207" s="614"/>
      <c r="AP207" s="397"/>
    </row>
    <row r="208" spans="1:42" ht="18" hidden="1" customHeight="1" x14ac:dyDescent="0.3">
      <c r="A208" s="1757"/>
      <c r="B208" s="633" t="s">
        <v>769</v>
      </c>
      <c r="C208" s="803"/>
      <c r="D208" s="803" t="s">
        <v>1118</v>
      </c>
      <c r="E208" s="1880"/>
      <c r="F208" s="616">
        <f>'exchange rates'!$O$50</f>
        <v>3.8868399999999999</v>
      </c>
      <c r="G208" s="549">
        <v>0</v>
      </c>
      <c r="H208" s="550">
        <f>348/F208</f>
        <v>89.532885325868833</v>
      </c>
      <c r="I208" s="551">
        <v>0</v>
      </c>
      <c r="J208" s="560">
        <f>31.32/F208</f>
        <v>8.0579596793281958</v>
      </c>
      <c r="K208" s="566">
        <f>Tabel66892127[[#This Row],[Fix.ch. 2017]]+Tabel66892127[[#This Row],[Var. ch. 2017]]+Tabel66892127[[#This Row],[Oth. ch. DW 2017]]+Tabel66892127[[#This Row],[VAT DW 2017]]</f>
        <v>97.590845005197025</v>
      </c>
      <c r="L208" s="567">
        <v>0</v>
      </c>
      <c r="M208" s="560">
        <v>0</v>
      </c>
      <c r="N208" s="568">
        <f>276/F208</f>
        <v>71.008840086033899</v>
      </c>
      <c r="O208" s="560">
        <f>52.44/F208</f>
        <v>13.49167961634644</v>
      </c>
      <c r="P208" s="569">
        <v>0</v>
      </c>
      <c r="Q208" s="560">
        <v>0</v>
      </c>
      <c r="R208" s="570">
        <f>Tabel66892127[[#This Row],[VAT DW 2017]]+Tabel66892127[[#This Row],[VAT Sew. 2017]]+Tabel66892127[[#This Row],[VAT WW 2017]]+Tabel66892127[[#This Row],[VAT Other ch. 2017]]</f>
        <v>21.549639295674638</v>
      </c>
      <c r="S208" s="571">
        <f>Tabel66892127[[#This Row],[Total. ch. DW 2017]]+Tabel66892127[[#This Row],[Sew. 2017]]+Tabel66892127[[#This Row],[VAT Sew. 2017]]+Tabel66892127[[#This Row],[WW 2017]]+Tabel66892127[[#This Row],[VAT WW 2017]]+Tabel66892127[[#This Row],[Other ch. 2017]]+Tabel66892127[[#This Row],[VAT Other ch. 2017]]</f>
        <v>182.09136470757736</v>
      </c>
      <c r="T208" s="397"/>
      <c r="U208" s="1886"/>
      <c r="V208" s="2129"/>
      <c r="W208" s="1890"/>
      <c r="X208" s="1772"/>
      <c r="Y208" s="1892"/>
      <c r="Z208" s="1894"/>
      <c r="AA208" s="1772"/>
      <c r="AB208" s="1911"/>
      <c r="AC208" s="1772"/>
      <c r="AD208" s="1913"/>
      <c r="AE208" s="1772"/>
      <c r="AF208" s="2138"/>
      <c r="AG208" s="2053"/>
      <c r="AH208" s="397"/>
      <c r="AI208" s="591" t="s">
        <v>429</v>
      </c>
      <c r="AJ208" s="591" t="s">
        <v>429</v>
      </c>
      <c r="AK208" s="591"/>
      <c r="AL208" s="591"/>
      <c r="AM208" s="591"/>
      <c r="AN208" s="591" t="s">
        <v>429</v>
      </c>
      <c r="AO208" s="614"/>
      <c r="AP208" s="397"/>
    </row>
    <row r="209" spans="1:42" ht="18" hidden="1" customHeight="1" x14ac:dyDescent="0.3">
      <c r="A209" s="1757"/>
      <c r="B209" s="503" t="s">
        <v>770</v>
      </c>
      <c r="C209" s="804"/>
      <c r="D209" s="804" t="s">
        <v>1118</v>
      </c>
      <c r="E209" s="1880"/>
      <c r="F209" s="616">
        <f>'exchange rates'!$O$50</f>
        <v>3.8868399999999999</v>
      </c>
      <c r="G209" s="319"/>
      <c r="H209" s="320"/>
      <c r="I209" s="321"/>
      <c r="J209" s="559"/>
      <c r="K209" s="313"/>
      <c r="L209" s="322"/>
      <c r="M209" s="559"/>
      <c r="N209" s="323"/>
      <c r="O209" s="559"/>
      <c r="P209" s="324"/>
      <c r="Q209" s="559"/>
      <c r="R209" s="317"/>
      <c r="S209" s="318"/>
      <c r="T209" s="397"/>
      <c r="U209" s="1886"/>
      <c r="V209" s="2129"/>
      <c r="W209" s="1890"/>
      <c r="X209" s="1772"/>
      <c r="Y209" s="1892"/>
      <c r="Z209" s="1894"/>
      <c r="AA209" s="1772"/>
      <c r="AB209" s="1911"/>
      <c r="AC209" s="1772"/>
      <c r="AD209" s="1913"/>
      <c r="AE209" s="1772"/>
      <c r="AF209" s="2138"/>
      <c r="AG209" s="2053"/>
      <c r="AH209" s="397"/>
      <c r="AI209" s="591"/>
      <c r="AJ209" s="591"/>
      <c r="AK209" s="591"/>
      <c r="AL209" s="591"/>
      <c r="AM209" s="591"/>
      <c r="AN209" s="591"/>
      <c r="AO209" s="614"/>
      <c r="AP209" s="397"/>
    </row>
    <row r="210" spans="1:42" ht="18" hidden="1" customHeight="1" x14ac:dyDescent="0.3">
      <c r="A210" s="1757"/>
      <c r="B210" s="633" t="s">
        <v>771</v>
      </c>
      <c r="C210" s="803"/>
      <c r="D210" s="803" t="s">
        <v>1118</v>
      </c>
      <c r="E210" s="1880"/>
      <c r="F210" s="616">
        <f>'exchange rates'!$O$50</f>
        <v>3.8868399999999999</v>
      </c>
      <c r="G210" s="549">
        <v>0</v>
      </c>
      <c r="H210" s="550">
        <f>357/F210</f>
        <v>91.848390980848194</v>
      </c>
      <c r="I210" s="551">
        <v>0</v>
      </c>
      <c r="J210" s="560">
        <f>32.13/F210</f>
        <v>8.2663551882763393</v>
      </c>
      <c r="K210" s="566">
        <f>Tabel66892127[[#This Row],[Fix.ch. 2017]]+Tabel66892127[[#This Row],[Var. ch. 2017]]+Tabel66892127[[#This Row],[Oth. ch. DW 2017]]+Tabel66892127[[#This Row],[VAT DW 2017]]</f>
        <v>100.11474616912453</v>
      </c>
      <c r="L210" s="567">
        <v>0</v>
      </c>
      <c r="M210" s="560">
        <v>0</v>
      </c>
      <c r="N210" s="568">
        <f>244/F210</f>
        <v>62.775931090551708</v>
      </c>
      <c r="O210" s="560">
        <f>46.36/F210</f>
        <v>11.927426907204826</v>
      </c>
      <c r="P210" s="569">
        <v>0</v>
      </c>
      <c r="Q210" s="560">
        <v>0</v>
      </c>
      <c r="R210" s="570">
        <f>Tabel66892127[[#This Row],[VAT DW 2017]]+Tabel66892127[[#This Row],[VAT Sew. 2017]]+Tabel66892127[[#This Row],[VAT WW 2017]]+Tabel66892127[[#This Row],[VAT Other ch. 2017]]</f>
        <v>20.193782095481165</v>
      </c>
      <c r="S210" s="571">
        <f>Tabel66892127[[#This Row],[Total. ch. DW 2017]]+Tabel66892127[[#This Row],[Sew. 2017]]+Tabel66892127[[#This Row],[VAT Sew. 2017]]+Tabel66892127[[#This Row],[WW 2017]]+Tabel66892127[[#This Row],[VAT WW 2017]]+Tabel66892127[[#This Row],[Other ch. 2017]]+Tabel66892127[[#This Row],[VAT Other ch. 2017]]</f>
        <v>174.81810416688106</v>
      </c>
      <c r="T210" s="397"/>
      <c r="U210" s="1886"/>
      <c r="V210" s="2129"/>
      <c r="W210" s="1890"/>
      <c r="X210" s="1772"/>
      <c r="Y210" s="1892"/>
      <c r="Z210" s="1894"/>
      <c r="AA210" s="1772"/>
      <c r="AB210" s="1911"/>
      <c r="AC210" s="1772"/>
      <c r="AD210" s="1913"/>
      <c r="AE210" s="1772"/>
      <c r="AF210" s="2138"/>
      <c r="AG210" s="2053"/>
      <c r="AH210" s="397"/>
      <c r="AI210" s="591" t="s">
        <v>429</v>
      </c>
      <c r="AJ210" s="591" t="s">
        <v>429</v>
      </c>
      <c r="AK210" s="591"/>
      <c r="AL210" s="591"/>
      <c r="AM210" s="591"/>
      <c r="AN210" s="591" t="s">
        <v>429</v>
      </c>
      <c r="AO210" s="614"/>
      <c r="AP210" s="397"/>
    </row>
    <row r="211" spans="1:42" ht="18" hidden="1" customHeight="1" x14ac:dyDescent="0.3">
      <c r="A211" s="1757"/>
      <c r="B211" s="503" t="s">
        <v>772</v>
      </c>
      <c r="C211" s="804"/>
      <c r="D211" s="804" t="s">
        <v>1118</v>
      </c>
      <c r="E211" s="1880"/>
      <c r="F211" s="616">
        <f>'exchange rates'!$O$50</f>
        <v>3.8868399999999999</v>
      </c>
      <c r="G211" s="319"/>
      <c r="H211" s="320"/>
      <c r="I211" s="321"/>
      <c r="J211" s="559"/>
      <c r="K211" s="313"/>
      <c r="L211" s="322"/>
      <c r="M211" s="559"/>
      <c r="N211" s="323"/>
      <c r="O211" s="559"/>
      <c r="P211" s="324"/>
      <c r="Q211" s="559"/>
      <c r="R211" s="317"/>
      <c r="S211" s="318"/>
      <c r="T211" s="397"/>
      <c r="U211" s="1886"/>
      <c r="V211" s="2129"/>
      <c r="W211" s="1890"/>
      <c r="X211" s="1772"/>
      <c r="Y211" s="1892"/>
      <c r="Z211" s="1894"/>
      <c r="AA211" s="1772"/>
      <c r="AB211" s="1911"/>
      <c r="AC211" s="1772"/>
      <c r="AD211" s="1913"/>
      <c r="AE211" s="1772"/>
      <c r="AF211" s="2138"/>
      <c r="AG211" s="2053"/>
      <c r="AH211" s="397"/>
      <c r="AI211" s="591"/>
      <c r="AJ211" s="591"/>
      <c r="AK211" s="591"/>
      <c r="AL211" s="591"/>
      <c r="AM211" s="591"/>
      <c r="AN211" s="591"/>
      <c r="AO211" s="614"/>
      <c r="AP211" s="397"/>
    </row>
    <row r="212" spans="1:42" ht="18" hidden="1" customHeight="1" x14ac:dyDescent="0.3">
      <c r="A212" s="1757"/>
      <c r="B212" s="633" t="s">
        <v>861</v>
      </c>
      <c r="C212" s="803"/>
      <c r="D212" s="803" t="s">
        <v>1118</v>
      </c>
      <c r="E212" s="1880"/>
      <c r="F212" s="616">
        <f>'exchange rates'!$O$50</f>
        <v>3.8868399999999999</v>
      </c>
      <c r="G212" s="549">
        <v>0</v>
      </c>
      <c r="H212" s="550">
        <f>389/F212</f>
        <v>100.08129997633038</v>
      </c>
      <c r="I212" s="551">
        <v>0</v>
      </c>
      <c r="J212" s="560">
        <f>35.01/F212</f>
        <v>9.0073169978697347</v>
      </c>
      <c r="K212" s="566">
        <f>Tabel66892127[[#This Row],[Fix.ch. 2017]]+Tabel66892127[[#This Row],[Var. ch. 2017]]+Tabel66892127[[#This Row],[Oth. ch. DW 2017]]+Tabel66892127[[#This Row],[VAT DW 2017]]</f>
        <v>109.08861697420012</v>
      </c>
      <c r="L212" s="567">
        <v>0</v>
      </c>
      <c r="M212" s="560">
        <v>0</v>
      </c>
      <c r="N212" s="568">
        <f>343/F212</f>
        <v>88.24649329532474</v>
      </c>
      <c r="O212" s="560">
        <f>65.17/F212</f>
        <v>16.766833726111702</v>
      </c>
      <c r="P212" s="569">
        <v>0</v>
      </c>
      <c r="Q212" s="560">
        <v>0</v>
      </c>
      <c r="R212" s="570">
        <f>Tabel66892127[[#This Row],[VAT DW 2017]]+Tabel66892127[[#This Row],[VAT Sew. 2017]]+Tabel66892127[[#This Row],[VAT WW 2017]]+Tabel66892127[[#This Row],[VAT Other ch. 2017]]</f>
        <v>25.774150723981435</v>
      </c>
      <c r="S212" s="571">
        <f>Tabel66892127[[#This Row],[Total. ch. DW 2017]]+Tabel66892127[[#This Row],[Sew. 2017]]+Tabel66892127[[#This Row],[VAT Sew. 2017]]+Tabel66892127[[#This Row],[WW 2017]]+Tabel66892127[[#This Row],[VAT WW 2017]]+Tabel66892127[[#This Row],[Other ch. 2017]]+Tabel66892127[[#This Row],[VAT Other ch. 2017]]</f>
        <v>214.10194399563659</v>
      </c>
      <c r="T212" s="397"/>
      <c r="U212" s="1886"/>
      <c r="V212" s="2129"/>
      <c r="W212" s="1890"/>
      <c r="X212" s="1772"/>
      <c r="Y212" s="1892"/>
      <c r="Z212" s="1894"/>
      <c r="AA212" s="1772"/>
      <c r="AB212" s="1911"/>
      <c r="AC212" s="1772"/>
      <c r="AD212" s="1913"/>
      <c r="AE212" s="1772"/>
      <c r="AF212" s="2138"/>
      <c r="AG212" s="2053"/>
      <c r="AH212" s="397"/>
      <c r="AI212" s="591" t="s">
        <v>429</v>
      </c>
      <c r="AJ212" s="591" t="s">
        <v>429</v>
      </c>
      <c r="AK212" s="591"/>
      <c r="AL212" s="591"/>
      <c r="AM212" s="591"/>
      <c r="AN212" s="591" t="s">
        <v>429</v>
      </c>
      <c r="AO212" s="614"/>
      <c r="AP212" s="397"/>
    </row>
    <row r="213" spans="1:42" ht="18" hidden="1" customHeight="1" x14ac:dyDescent="0.3">
      <c r="A213" s="1757"/>
      <c r="B213" s="633" t="s">
        <v>862</v>
      </c>
      <c r="C213" s="803"/>
      <c r="D213" s="803" t="s">
        <v>1118</v>
      </c>
      <c r="E213" s="1880"/>
      <c r="F213" s="616">
        <f>'exchange rates'!$O$50</f>
        <v>3.8868399999999999</v>
      </c>
      <c r="G213" s="549">
        <v>0</v>
      </c>
      <c r="H213" s="550">
        <f>413/F213</f>
        <v>106.25598172294204</v>
      </c>
      <c r="I213" s="551">
        <v>0</v>
      </c>
      <c r="J213" s="560">
        <f>37.17/F213</f>
        <v>9.5630383550647835</v>
      </c>
      <c r="K213" s="566">
        <f>Tabel66892127[[#This Row],[Fix.ch. 2017]]+Tabel66892127[[#This Row],[Var. ch. 2017]]+Tabel66892127[[#This Row],[Oth. ch. DW 2017]]+Tabel66892127[[#This Row],[VAT DW 2017]]</f>
        <v>115.81902007800682</v>
      </c>
      <c r="L213" s="567">
        <v>0</v>
      </c>
      <c r="M213" s="560">
        <v>0</v>
      </c>
      <c r="N213" s="568">
        <f>260/F213</f>
        <v>66.892385588292811</v>
      </c>
      <c r="O213" s="560">
        <f>49.4/F213</f>
        <v>12.709553261775632</v>
      </c>
      <c r="P213" s="569">
        <v>0</v>
      </c>
      <c r="Q213" s="560">
        <v>0</v>
      </c>
      <c r="R213" s="570">
        <f>Tabel66892127[[#This Row],[VAT DW 2017]]+Tabel66892127[[#This Row],[VAT Sew. 2017]]+Tabel66892127[[#This Row],[VAT WW 2017]]+Tabel66892127[[#This Row],[VAT Other ch. 2017]]</f>
        <v>22.272591616840415</v>
      </c>
      <c r="S213" s="571">
        <f>Tabel66892127[[#This Row],[Total. ch. DW 2017]]+Tabel66892127[[#This Row],[Sew. 2017]]+Tabel66892127[[#This Row],[VAT Sew. 2017]]+Tabel66892127[[#This Row],[WW 2017]]+Tabel66892127[[#This Row],[VAT WW 2017]]+Tabel66892127[[#This Row],[Other ch. 2017]]+Tabel66892127[[#This Row],[VAT Other ch. 2017]]</f>
        <v>195.42095892807527</v>
      </c>
      <c r="T213" s="397"/>
      <c r="U213" s="1886"/>
      <c r="V213" s="2129"/>
      <c r="W213" s="1890"/>
      <c r="X213" s="1772"/>
      <c r="Y213" s="1892"/>
      <c r="Z213" s="1894"/>
      <c r="AA213" s="1772"/>
      <c r="AB213" s="1911"/>
      <c r="AC213" s="1772"/>
      <c r="AD213" s="1913"/>
      <c r="AE213" s="1772"/>
      <c r="AF213" s="2138"/>
      <c r="AG213" s="2053"/>
      <c r="AH213" s="397"/>
      <c r="AI213" s="591" t="s">
        <v>429</v>
      </c>
      <c r="AJ213" s="591" t="s">
        <v>429</v>
      </c>
      <c r="AK213" s="591"/>
      <c r="AL213" s="591"/>
      <c r="AM213" s="591"/>
      <c r="AN213" s="591" t="s">
        <v>429</v>
      </c>
      <c r="AO213" s="614"/>
      <c r="AP213" s="397"/>
    </row>
    <row r="214" spans="1:42" ht="18" hidden="1" customHeight="1" x14ac:dyDescent="0.3">
      <c r="A214" s="1757"/>
      <c r="B214" s="633" t="s">
        <v>863</v>
      </c>
      <c r="C214" s="803"/>
      <c r="D214" s="803" t="s">
        <v>1118</v>
      </c>
      <c r="E214" s="1880"/>
      <c r="F214" s="616">
        <f>'exchange rates'!$O$50</f>
        <v>3.8868399999999999</v>
      </c>
      <c r="G214" s="549">
        <v>0</v>
      </c>
      <c r="H214" s="550">
        <f>356/F214</f>
        <v>91.591112574739384</v>
      </c>
      <c r="I214" s="551">
        <v>0</v>
      </c>
      <c r="J214" s="560">
        <f>32.04/F214</f>
        <v>8.2432001317265442</v>
      </c>
      <c r="K214" s="566">
        <f>Tabel66892127[[#This Row],[Fix.ch. 2017]]+Tabel66892127[[#This Row],[Var. ch. 2017]]+Tabel66892127[[#This Row],[Oth. ch. DW 2017]]+Tabel66892127[[#This Row],[VAT DW 2017]]</f>
        <v>99.834312706465923</v>
      </c>
      <c r="L214" s="567">
        <v>0</v>
      </c>
      <c r="M214" s="560">
        <v>0</v>
      </c>
      <c r="N214" s="568">
        <f>259/F214</f>
        <v>66.635107182183987</v>
      </c>
      <c r="O214" s="560">
        <f>49.21/F214</f>
        <v>12.660670364614958</v>
      </c>
      <c r="P214" s="569">
        <v>0</v>
      </c>
      <c r="Q214" s="560">
        <v>0</v>
      </c>
      <c r="R214" s="570">
        <f>Tabel66892127[[#This Row],[VAT DW 2017]]+Tabel66892127[[#This Row],[VAT Sew. 2017]]+Tabel66892127[[#This Row],[VAT WW 2017]]+Tabel66892127[[#This Row],[VAT Other ch. 2017]]</f>
        <v>20.903870496341504</v>
      </c>
      <c r="S214" s="571">
        <f>Tabel66892127[[#This Row],[Total. ch. DW 2017]]+Tabel66892127[[#This Row],[Sew. 2017]]+Tabel66892127[[#This Row],[VAT Sew. 2017]]+Tabel66892127[[#This Row],[WW 2017]]+Tabel66892127[[#This Row],[VAT WW 2017]]+Tabel66892127[[#This Row],[Other ch. 2017]]+Tabel66892127[[#This Row],[VAT Other ch. 2017]]</f>
        <v>179.13009025326485</v>
      </c>
      <c r="T214" s="397"/>
      <c r="U214" s="1886"/>
      <c r="V214" s="2129"/>
      <c r="W214" s="1890"/>
      <c r="X214" s="1772"/>
      <c r="Y214" s="1892"/>
      <c r="Z214" s="1894"/>
      <c r="AA214" s="1772"/>
      <c r="AB214" s="1911"/>
      <c r="AC214" s="1772"/>
      <c r="AD214" s="1913"/>
      <c r="AE214" s="1772"/>
      <c r="AF214" s="2138"/>
      <c r="AG214" s="2053"/>
      <c r="AH214" s="397"/>
      <c r="AI214" s="591" t="s">
        <v>429</v>
      </c>
      <c r="AJ214" s="591" t="s">
        <v>429</v>
      </c>
      <c r="AK214" s="591"/>
      <c r="AL214" s="591"/>
      <c r="AM214" s="591"/>
      <c r="AN214" s="591" t="s">
        <v>429</v>
      </c>
      <c r="AO214" s="614"/>
      <c r="AP214" s="397"/>
    </row>
    <row r="215" spans="1:42" ht="18" hidden="1" customHeight="1" x14ac:dyDescent="0.3">
      <c r="A215" s="1757"/>
      <c r="B215" s="633" t="s">
        <v>864</v>
      </c>
      <c r="C215" s="803"/>
      <c r="D215" s="803" t="s">
        <v>1118</v>
      </c>
      <c r="E215" s="1880"/>
      <c r="F215" s="616">
        <f>'exchange rates'!$O$50</f>
        <v>3.8868399999999999</v>
      </c>
      <c r="G215" s="549">
        <v>0</v>
      </c>
      <c r="H215" s="550">
        <f>356/F215</f>
        <v>91.591112574739384</v>
      </c>
      <c r="I215" s="551">
        <v>0</v>
      </c>
      <c r="J215" s="560">
        <f>32.04/F215</f>
        <v>8.2432001317265442</v>
      </c>
      <c r="K215" s="566">
        <f>Tabel66892127[[#This Row],[Fix.ch. 2017]]+Tabel66892127[[#This Row],[Var. ch. 2017]]+Tabel66892127[[#This Row],[Oth. ch. DW 2017]]+Tabel66892127[[#This Row],[VAT DW 2017]]</f>
        <v>99.834312706465923</v>
      </c>
      <c r="L215" s="567">
        <v>0</v>
      </c>
      <c r="M215" s="560">
        <v>0</v>
      </c>
      <c r="N215" s="568">
        <f>304/F215</f>
        <v>78.212635457080822</v>
      </c>
      <c r="O215" s="560">
        <f>57.76/F215</f>
        <v>14.860400736845355</v>
      </c>
      <c r="P215" s="569">
        <v>0</v>
      </c>
      <c r="Q215" s="560">
        <v>0</v>
      </c>
      <c r="R215" s="570">
        <f>Tabel66892127[[#This Row],[VAT DW 2017]]+Tabel66892127[[#This Row],[VAT Sew. 2017]]+Tabel66892127[[#This Row],[VAT WW 2017]]+Tabel66892127[[#This Row],[VAT Other ch. 2017]]</f>
        <v>23.103600868571899</v>
      </c>
      <c r="S215" s="571">
        <f>Tabel66892127[[#This Row],[Total. ch. DW 2017]]+Tabel66892127[[#This Row],[Sew. 2017]]+Tabel66892127[[#This Row],[VAT Sew. 2017]]+Tabel66892127[[#This Row],[WW 2017]]+Tabel66892127[[#This Row],[VAT WW 2017]]+Tabel66892127[[#This Row],[Other ch. 2017]]+Tabel66892127[[#This Row],[VAT Other ch. 2017]]</f>
        <v>192.90734890039209</v>
      </c>
      <c r="T215" s="397"/>
      <c r="U215" s="1886"/>
      <c r="V215" s="2129"/>
      <c r="W215" s="1890"/>
      <c r="X215" s="1772"/>
      <c r="Y215" s="1892"/>
      <c r="Z215" s="1894"/>
      <c r="AA215" s="1772"/>
      <c r="AB215" s="1911"/>
      <c r="AC215" s="1772"/>
      <c r="AD215" s="1913"/>
      <c r="AE215" s="1772"/>
      <c r="AF215" s="2138"/>
      <c r="AG215" s="2053"/>
      <c r="AH215" s="397"/>
      <c r="AI215" s="591" t="s">
        <v>429</v>
      </c>
      <c r="AJ215" s="591" t="s">
        <v>429</v>
      </c>
      <c r="AK215" s="591"/>
      <c r="AL215" s="591"/>
      <c r="AM215" s="591"/>
      <c r="AN215" s="591" t="s">
        <v>429</v>
      </c>
      <c r="AO215" s="614"/>
      <c r="AP215" s="397"/>
    </row>
    <row r="216" spans="1:42" ht="18" hidden="1" customHeight="1" x14ac:dyDescent="0.3">
      <c r="A216" s="1757"/>
      <c r="B216" s="633" t="s">
        <v>865</v>
      </c>
      <c r="C216" s="803"/>
      <c r="D216" s="803" t="s">
        <v>1118</v>
      </c>
      <c r="E216" s="1880"/>
      <c r="F216" s="616">
        <f>'exchange rates'!$O$50</f>
        <v>3.8868399999999999</v>
      </c>
      <c r="G216" s="549">
        <v>0</v>
      </c>
      <c r="H216" s="550">
        <f>347/F216</f>
        <v>89.275606919760008</v>
      </c>
      <c r="I216" s="551">
        <v>0</v>
      </c>
      <c r="J216" s="560">
        <f>31.23/F216</f>
        <v>8.0348046227784007</v>
      </c>
      <c r="K216" s="566">
        <f>Tabel66892127[[#This Row],[Fix.ch. 2017]]+Tabel66892127[[#This Row],[Var. ch. 2017]]+Tabel66892127[[#This Row],[Oth. ch. DW 2017]]+Tabel66892127[[#This Row],[VAT DW 2017]]</f>
        <v>97.310411542538404</v>
      </c>
      <c r="L216" s="567">
        <v>0</v>
      </c>
      <c r="M216" s="560">
        <v>0</v>
      </c>
      <c r="N216" s="568">
        <f>257/F216</f>
        <v>66.120550369966352</v>
      </c>
      <c r="O216" s="560">
        <f>48.83/F216</f>
        <v>12.562904570293606</v>
      </c>
      <c r="P216" s="569">
        <v>0</v>
      </c>
      <c r="Q216" s="560">
        <v>0</v>
      </c>
      <c r="R216" s="570">
        <f>Tabel66892127[[#This Row],[VAT DW 2017]]+Tabel66892127[[#This Row],[VAT Sew. 2017]]+Tabel66892127[[#This Row],[VAT WW 2017]]+Tabel66892127[[#This Row],[VAT Other ch. 2017]]</f>
        <v>20.597709193072006</v>
      </c>
      <c r="S216" s="571">
        <f>Tabel66892127[[#This Row],[Total. ch. DW 2017]]+Tabel66892127[[#This Row],[Sew. 2017]]+Tabel66892127[[#This Row],[VAT Sew. 2017]]+Tabel66892127[[#This Row],[WW 2017]]+Tabel66892127[[#This Row],[VAT WW 2017]]+Tabel66892127[[#This Row],[Other ch. 2017]]+Tabel66892127[[#This Row],[VAT Other ch. 2017]]</f>
        <v>175.99386648279835</v>
      </c>
      <c r="T216" s="397"/>
      <c r="U216" s="1886"/>
      <c r="V216" s="2129"/>
      <c r="W216" s="1890"/>
      <c r="X216" s="1772"/>
      <c r="Y216" s="1892"/>
      <c r="Z216" s="1894"/>
      <c r="AA216" s="1772"/>
      <c r="AB216" s="1911"/>
      <c r="AC216" s="1772"/>
      <c r="AD216" s="1913"/>
      <c r="AE216" s="1772"/>
      <c r="AF216" s="2138"/>
      <c r="AG216" s="2053"/>
      <c r="AH216" s="397"/>
      <c r="AI216" s="591" t="s">
        <v>429</v>
      </c>
      <c r="AJ216" s="591" t="s">
        <v>429</v>
      </c>
      <c r="AK216" s="591"/>
      <c r="AL216" s="591"/>
      <c r="AM216" s="591"/>
      <c r="AN216" s="591" t="s">
        <v>429</v>
      </c>
      <c r="AO216" s="614"/>
      <c r="AP216" s="397"/>
    </row>
    <row r="217" spans="1:42" ht="18" hidden="1" customHeight="1" x14ac:dyDescent="0.3">
      <c r="A217" s="1757"/>
      <c r="B217" s="633" t="s">
        <v>866</v>
      </c>
      <c r="C217" s="803"/>
      <c r="D217" s="803" t="s">
        <v>1118</v>
      </c>
      <c r="E217" s="1880"/>
      <c r="F217" s="616">
        <f>'exchange rates'!$O$50</f>
        <v>3.8868399999999999</v>
      </c>
      <c r="G217" s="549">
        <v>0</v>
      </c>
      <c r="H217" s="550">
        <f>407/F217</f>
        <v>104.71231128628912</v>
      </c>
      <c r="I217" s="551">
        <v>0</v>
      </c>
      <c r="J217" s="560">
        <f>36.63/F217</f>
        <v>9.4241080157660218</v>
      </c>
      <c r="K217" s="566">
        <f>Tabel66892127[[#This Row],[Fix.ch. 2017]]+Tabel66892127[[#This Row],[Var. ch. 2017]]+Tabel66892127[[#This Row],[Oth. ch. DW 2017]]+Tabel66892127[[#This Row],[VAT DW 2017]]</f>
        <v>114.13641930205515</v>
      </c>
      <c r="L217" s="567">
        <v>0</v>
      </c>
      <c r="M217" s="560">
        <v>0</v>
      </c>
      <c r="N217" s="568">
        <f>226/F217</f>
        <v>58.144919780592978</v>
      </c>
      <c r="O217" s="560">
        <f>42.94/F217</f>
        <v>11.047534758312665</v>
      </c>
      <c r="P217" s="569">
        <v>0</v>
      </c>
      <c r="Q217" s="560">
        <v>0</v>
      </c>
      <c r="R217" s="570">
        <f>Tabel66892127[[#This Row],[VAT DW 2017]]+Tabel66892127[[#This Row],[VAT Sew. 2017]]+Tabel66892127[[#This Row],[VAT WW 2017]]+Tabel66892127[[#This Row],[VAT Other ch. 2017]]</f>
        <v>20.471642774078688</v>
      </c>
      <c r="S217" s="571">
        <f>Tabel66892127[[#This Row],[Total. ch. DW 2017]]+Tabel66892127[[#This Row],[Sew. 2017]]+Tabel66892127[[#This Row],[VAT Sew. 2017]]+Tabel66892127[[#This Row],[WW 2017]]+Tabel66892127[[#This Row],[VAT WW 2017]]+Tabel66892127[[#This Row],[Other ch. 2017]]+Tabel66892127[[#This Row],[VAT Other ch. 2017]]</f>
        <v>183.3288738409608</v>
      </c>
      <c r="T217" s="397"/>
      <c r="U217" s="1886"/>
      <c r="V217" s="2129"/>
      <c r="W217" s="1890"/>
      <c r="X217" s="1772"/>
      <c r="Y217" s="1892"/>
      <c r="Z217" s="1894"/>
      <c r="AA217" s="1772"/>
      <c r="AB217" s="1911"/>
      <c r="AC217" s="1772"/>
      <c r="AD217" s="1913"/>
      <c r="AE217" s="1772"/>
      <c r="AF217" s="2138"/>
      <c r="AG217" s="2053"/>
      <c r="AH217" s="397"/>
      <c r="AI217" s="591" t="s">
        <v>429</v>
      </c>
      <c r="AJ217" s="591" t="s">
        <v>429</v>
      </c>
      <c r="AK217" s="591"/>
      <c r="AL217" s="591"/>
      <c r="AM217" s="591"/>
      <c r="AN217" s="591" t="s">
        <v>429</v>
      </c>
      <c r="AO217" s="614"/>
      <c r="AP217" s="397"/>
    </row>
    <row r="218" spans="1:42" ht="18" hidden="1" customHeight="1" x14ac:dyDescent="0.3">
      <c r="A218" s="1757"/>
      <c r="B218" s="633" t="s">
        <v>867</v>
      </c>
      <c r="C218" s="803"/>
      <c r="D218" s="803" t="s">
        <v>1118</v>
      </c>
      <c r="E218" s="1880"/>
      <c r="F218" s="616">
        <f>'exchange rates'!$O$50</f>
        <v>3.8868399999999999</v>
      </c>
      <c r="G218" s="549">
        <v>0</v>
      </c>
      <c r="H218" s="550">
        <f>316/F218</f>
        <v>81.299976330386642</v>
      </c>
      <c r="I218" s="551">
        <v>0</v>
      </c>
      <c r="J218" s="560">
        <f>28.44/F218</f>
        <v>7.3169978697347977</v>
      </c>
      <c r="K218" s="566">
        <f>Tabel66892127[[#This Row],[Fix.ch. 2017]]+Tabel66892127[[#This Row],[Var. ch. 2017]]+Tabel66892127[[#This Row],[Oth. ch. DW 2017]]+Tabel66892127[[#This Row],[VAT DW 2017]]</f>
        <v>88.616974200121433</v>
      </c>
      <c r="L218" s="567">
        <v>0</v>
      </c>
      <c r="M218" s="560">
        <v>0</v>
      </c>
      <c r="N218" s="568">
        <f>309/F218</f>
        <v>79.499027487624915</v>
      </c>
      <c r="O218" s="560">
        <f>58.71/F218</f>
        <v>15.104815222648734</v>
      </c>
      <c r="P218" s="569">
        <v>0</v>
      </c>
      <c r="Q218" s="560">
        <v>0</v>
      </c>
      <c r="R218" s="570">
        <f>Tabel66892127[[#This Row],[VAT DW 2017]]+Tabel66892127[[#This Row],[VAT Sew. 2017]]+Tabel66892127[[#This Row],[VAT WW 2017]]+Tabel66892127[[#This Row],[VAT Other ch. 2017]]</f>
        <v>22.42181309238353</v>
      </c>
      <c r="S218" s="571">
        <f>Tabel66892127[[#This Row],[Total. ch. DW 2017]]+Tabel66892127[[#This Row],[Sew. 2017]]+Tabel66892127[[#This Row],[VAT Sew. 2017]]+Tabel66892127[[#This Row],[WW 2017]]+Tabel66892127[[#This Row],[VAT WW 2017]]+Tabel66892127[[#This Row],[Other ch. 2017]]+Tabel66892127[[#This Row],[VAT Other ch. 2017]]</f>
        <v>183.22081691039509</v>
      </c>
      <c r="T218" s="397"/>
      <c r="U218" s="1886"/>
      <c r="V218" s="2129"/>
      <c r="W218" s="1890"/>
      <c r="X218" s="1772"/>
      <c r="Y218" s="1892"/>
      <c r="Z218" s="1894"/>
      <c r="AA218" s="1772"/>
      <c r="AB218" s="1911"/>
      <c r="AC218" s="1772"/>
      <c r="AD218" s="1913"/>
      <c r="AE218" s="1772"/>
      <c r="AF218" s="2138"/>
      <c r="AG218" s="2053"/>
      <c r="AH218" s="397"/>
      <c r="AI218" s="591" t="s">
        <v>429</v>
      </c>
      <c r="AJ218" s="591" t="s">
        <v>429</v>
      </c>
      <c r="AK218" s="591"/>
      <c r="AL218" s="591"/>
      <c r="AM218" s="591"/>
      <c r="AN218" s="591" t="s">
        <v>429</v>
      </c>
      <c r="AO218" s="614"/>
      <c r="AP218" s="397"/>
    </row>
    <row r="219" spans="1:42" ht="18" hidden="1" customHeight="1" x14ac:dyDescent="0.3">
      <c r="A219" s="1757"/>
      <c r="B219" s="633" t="s">
        <v>868</v>
      </c>
      <c r="C219" s="803"/>
      <c r="D219" s="803" t="s">
        <v>1118</v>
      </c>
      <c r="E219" s="1880"/>
      <c r="F219" s="616">
        <f>'exchange rates'!$O$50</f>
        <v>3.8868399999999999</v>
      </c>
      <c r="G219" s="549">
        <v>0</v>
      </c>
      <c r="H219" s="550">
        <f>321/F219</f>
        <v>82.586368360930734</v>
      </c>
      <c r="I219" s="551">
        <v>0</v>
      </c>
      <c r="J219" s="560">
        <f>28.89/F219</f>
        <v>7.4327731524837661</v>
      </c>
      <c r="K219" s="566">
        <f>Tabel66892127[[#This Row],[Fix.ch. 2017]]+Tabel66892127[[#This Row],[Var. ch. 2017]]+Tabel66892127[[#This Row],[Oth. ch. DW 2017]]+Tabel66892127[[#This Row],[VAT DW 2017]]</f>
        <v>90.019141513414496</v>
      </c>
      <c r="L219" s="567">
        <v>0</v>
      </c>
      <c r="M219" s="560">
        <v>0</v>
      </c>
      <c r="N219" s="568">
        <f>213/F219</f>
        <v>54.800300501178334</v>
      </c>
      <c r="O219" s="560">
        <f>40.47/F219</f>
        <v>10.412057095223883</v>
      </c>
      <c r="P219" s="569">
        <v>0</v>
      </c>
      <c r="Q219" s="560">
        <v>0</v>
      </c>
      <c r="R219" s="570">
        <f>Tabel66892127[[#This Row],[VAT DW 2017]]+Tabel66892127[[#This Row],[VAT Sew. 2017]]+Tabel66892127[[#This Row],[VAT WW 2017]]+Tabel66892127[[#This Row],[VAT Other ch. 2017]]</f>
        <v>17.844830247707648</v>
      </c>
      <c r="S219" s="571">
        <f>Tabel66892127[[#This Row],[Total. ch. DW 2017]]+Tabel66892127[[#This Row],[Sew. 2017]]+Tabel66892127[[#This Row],[VAT Sew. 2017]]+Tabel66892127[[#This Row],[WW 2017]]+Tabel66892127[[#This Row],[VAT WW 2017]]+Tabel66892127[[#This Row],[Other ch. 2017]]+Tabel66892127[[#This Row],[VAT Other ch. 2017]]</f>
        <v>155.2314991098167</v>
      </c>
      <c r="T219" s="397"/>
      <c r="U219" s="1886"/>
      <c r="V219" s="2129"/>
      <c r="W219" s="1890"/>
      <c r="X219" s="1772"/>
      <c r="Y219" s="1892"/>
      <c r="Z219" s="1894"/>
      <c r="AA219" s="1772"/>
      <c r="AB219" s="1911"/>
      <c r="AC219" s="1772"/>
      <c r="AD219" s="1913"/>
      <c r="AE219" s="1772"/>
      <c r="AF219" s="2138"/>
      <c r="AG219" s="2053"/>
      <c r="AH219" s="397"/>
      <c r="AI219" s="591" t="s">
        <v>429</v>
      </c>
      <c r="AJ219" s="591" t="s">
        <v>429</v>
      </c>
      <c r="AK219" s="591"/>
      <c r="AL219" s="591"/>
      <c r="AM219" s="591"/>
      <c r="AN219" s="591" t="s">
        <v>429</v>
      </c>
      <c r="AO219" s="614"/>
      <c r="AP219" s="397"/>
    </row>
    <row r="220" spans="1:42" ht="18" hidden="1" customHeight="1" x14ac:dyDescent="0.3">
      <c r="A220" s="1757"/>
      <c r="B220" s="633" t="s">
        <v>870</v>
      </c>
      <c r="C220" s="803"/>
      <c r="D220" s="803" t="s">
        <v>1118</v>
      </c>
      <c r="E220" s="1880"/>
      <c r="F220" s="616">
        <f>'exchange rates'!$O$50</f>
        <v>3.8868399999999999</v>
      </c>
      <c r="G220" s="549">
        <v>0</v>
      </c>
      <c r="H220" s="550">
        <f>422/F220</f>
        <v>108.5714873779214</v>
      </c>
      <c r="I220" s="551">
        <v>0</v>
      </c>
      <c r="J220" s="560">
        <f>37.98/F220</f>
        <v>9.7714338640129252</v>
      </c>
      <c r="K220" s="566">
        <f>Tabel66892127[[#This Row],[Fix.ch. 2017]]+Tabel66892127[[#This Row],[Var. ch. 2017]]+Tabel66892127[[#This Row],[Oth. ch. DW 2017]]+Tabel66892127[[#This Row],[VAT DW 2017]]</f>
        <v>118.34292124193432</v>
      </c>
      <c r="L220" s="567">
        <v>0</v>
      </c>
      <c r="M220" s="560">
        <v>0</v>
      </c>
      <c r="N220" s="568">
        <f>218/F220</f>
        <v>56.086692531722427</v>
      </c>
      <c r="O220" s="560">
        <f>41.42/F220</f>
        <v>10.656471581027262</v>
      </c>
      <c r="P220" s="569">
        <v>0</v>
      </c>
      <c r="Q220" s="560">
        <v>0</v>
      </c>
      <c r="R220" s="570">
        <f>Tabel66892127[[#This Row],[VAT DW 2017]]+Tabel66892127[[#This Row],[VAT Sew. 2017]]+Tabel66892127[[#This Row],[VAT WW 2017]]+Tabel66892127[[#This Row],[VAT Other ch. 2017]]</f>
        <v>20.427905445040189</v>
      </c>
      <c r="S220" s="571">
        <f>Tabel66892127[[#This Row],[Total. ch. DW 2017]]+Tabel66892127[[#This Row],[Sew. 2017]]+Tabel66892127[[#This Row],[VAT Sew. 2017]]+Tabel66892127[[#This Row],[WW 2017]]+Tabel66892127[[#This Row],[VAT WW 2017]]+Tabel66892127[[#This Row],[Other ch. 2017]]+Tabel66892127[[#This Row],[VAT Other ch. 2017]]</f>
        <v>185.086085354684</v>
      </c>
      <c r="T220" s="397"/>
      <c r="U220" s="1886"/>
      <c r="V220" s="2129"/>
      <c r="W220" s="1890"/>
      <c r="X220" s="1772"/>
      <c r="Y220" s="1892"/>
      <c r="Z220" s="1894"/>
      <c r="AA220" s="1772"/>
      <c r="AB220" s="1911"/>
      <c r="AC220" s="1772"/>
      <c r="AD220" s="1913"/>
      <c r="AE220" s="1772"/>
      <c r="AF220" s="2138"/>
      <c r="AG220" s="2053"/>
      <c r="AH220" s="397"/>
      <c r="AI220" s="591" t="s">
        <v>429</v>
      </c>
      <c r="AJ220" s="591" t="s">
        <v>429</v>
      </c>
      <c r="AK220" s="591"/>
      <c r="AL220" s="591"/>
      <c r="AM220" s="591"/>
      <c r="AN220" s="591" t="s">
        <v>429</v>
      </c>
      <c r="AO220" s="614"/>
      <c r="AP220" s="397"/>
    </row>
    <row r="221" spans="1:42" ht="18" hidden="1" customHeight="1" x14ac:dyDescent="0.3">
      <c r="A221" s="1757"/>
      <c r="B221" s="633" t="s">
        <v>871</v>
      </c>
      <c r="C221" s="803"/>
      <c r="D221" s="803" t="s">
        <v>1118</v>
      </c>
      <c r="E221" s="1880"/>
      <c r="F221" s="616">
        <f>'exchange rates'!$O$50</f>
        <v>3.8868399999999999</v>
      </c>
      <c r="G221" s="549">
        <v>0</v>
      </c>
      <c r="H221" s="550">
        <f>369/F221</f>
        <v>94.935731854154014</v>
      </c>
      <c r="I221" s="551">
        <v>0</v>
      </c>
      <c r="J221" s="560">
        <f>33.21/F221</f>
        <v>8.5442158668738628</v>
      </c>
      <c r="K221" s="566">
        <f>Tabel66892127[[#This Row],[Fix.ch. 2017]]+Tabel66892127[[#This Row],[Var. ch. 2017]]+Tabel66892127[[#This Row],[Oth. ch. DW 2017]]+Tabel66892127[[#This Row],[VAT DW 2017]]</f>
        <v>103.47994772102788</v>
      </c>
      <c r="L221" s="567">
        <v>0</v>
      </c>
      <c r="M221" s="560">
        <v>0</v>
      </c>
      <c r="N221" s="568">
        <f>203/F221</f>
        <v>52.227516440090149</v>
      </c>
      <c r="O221" s="560">
        <f>38.57/F221</f>
        <v>9.9232281236171289</v>
      </c>
      <c r="P221" s="569">
        <v>0</v>
      </c>
      <c r="Q221" s="560">
        <v>0</v>
      </c>
      <c r="R221" s="570">
        <f>Tabel66892127[[#This Row],[VAT DW 2017]]+Tabel66892127[[#This Row],[VAT Sew. 2017]]+Tabel66892127[[#This Row],[VAT WW 2017]]+Tabel66892127[[#This Row],[VAT Other ch. 2017]]</f>
        <v>18.467443990490992</v>
      </c>
      <c r="S221" s="571">
        <f>Tabel66892127[[#This Row],[Total. ch. DW 2017]]+Tabel66892127[[#This Row],[Sew. 2017]]+Tabel66892127[[#This Row],[VAT Sew. 2017]]+Tabel66892127[[#This Row],[WW 2017]]+Tabel66892127[[#This Row],[VAT WW 2017]]+Tabel66892127[[#This Row],[Other ch. 2017]]+Tabel66892127[[#This Row],[VAT Other ch. 2017]]</f>
        <v>165.63069228473515</v>
      </c>
      <c r="T221" s="397"/>
      <c r="U221" s="1886"/>
      <c r="V221" s="2129"/>
      <c r="W221" s="1890"/>
      <c r="X221" s="1772"/>
      <c r="Y221" s="1892"/>
      <c r="Z221" s="1894"/>
      <c r="AA221" s="1772"/>
      <c r="AB221" s="1911"/>
      <c r="AC221" s="1772"/>
      <c r="AD221" s="1913"/>
      <c r="AE221" s="1772"/>
      <c r="AF221" s="2138"/>
      <c r="AG221" s="2053"/>
      <c r="AH221" s="397"/>
      <c r="AI221" s="591" t="s">
        <v>429</v>
      </c>
      <c r="AJ221" s="591" t="s">
        <v>429</v>
      </c>
      <c r="AK221" s="591"/>
      <c r="AL221" s="591"/>
      <c r="AM221" s="591"/>
      <c r="AN221" s="591" t="s">
        <v>429</v>
      </c>
      <c r="AO221" s="614"/>
      <c r="AP221" s="397"/>
    </row>
    <row r="222" spans="1:42" ht="18" hidden="1" customHeight="1" x14ac:dyDescent="0.3">
      <c r="A222" s="1757"/>
      <c r="B222" s="633" t="s">
        <v>872</v>
      </c>
      <c r="C222" s="803"/>
      <c r="D222" s="803" t="s">
        <v>1118</v>
      </c>
      <c r="E222" s="1880"/>
      <c r="F222" s="616">
        <f>'exchange rates'!$O$50</f>
        <v>3.8868399999999999</v>
      </c>
      <c r="G222" s="549">
        <v>0</v>
      </c>
      <c r="H222" s="550">
        <f>403/F222</f>
        <v>103.68319766185385</v>
      </c>
      <c r="I222" s="551">
        <v>0</v>
      </c>
      <c r="J222" s="560">
        <f>36.27/F222</f>
        <v>9.3314877895668467</v>
      </c>
      <c r="K222" s="566">
        <f>Tabel66892127[[#This Row],[Fix.ch. 2017]]+Tabel66892127[[#This Row],[Var. ch. 2017]]+Tabel66892127[[#This Row],[Oth. ch. DW 2017]]+Tabel66892127[[#This Row],[VAT DW 2017]]</f>
        <v>113.0146854514207</v>
      </c>
      <c r="L222" s="567">
        <v>0</v>
      </c>
      <c r="M222" s="560">
        <v>0</v>
      </c>
      <c r="N222" s="568">
        <f>223/F222</f>
        <v>57.37308456226652</v>
      </c>
      <c r="O222" s="560">
        <f>42.37/F222</f>
        <v>10.900886066830639</v>
      </c>
      <c r="P222" s="569">
        <v>0</v>
      </c>
      <c r="Q222" s="560">
        <v>0</v>
      </c>
      <c r="R222" s="570">
        <f>Tabel66892127[[#This Row],[VAT DW 2017]]+Tabel66892127[[#This Row],[VAT Sew. 2017]]+Tabel66892127[[#This Row],[VAT WW 2017]]+Tabel66892127[[#This Row],[VAT Other ch. 2017]]</f>
        <v>20.232373856397487</v>
      </c>
      <c r="S222" s="571">
        <f>Tabel66892127[[#This Row],[Total. ch. DW 2017]]+Tabel66892127[[#This Row],[Sew. 2017]]+Tabel66892127[[#This Row],[VAT Sew. 2017]]+Tabel66892127[[#This Row],[WW 2017]]+Tabel66892127[[#This Row],[VAT WW 2017]]+Tabel66892127[[#This Row],[Other ch. 2017]]+Tabel66892127[[#This Row],[VAT Other ch. 2017]]</f>
        <v>181.28865608051788</v>
      </c>
      <c r="T222" s="397"/>
      <c r="U222" s="1886"/>
      <c r="V222" s="2129"/>
      <c r="W222" s="1890"/>
      <c r="X222" s="1772"/>
      <c r="Y222" s="1892"/>
      <c r="Z222" s="1894"/>
      <c r="AA222" s="1772"/>
      <c r="AB222" s="1911"/>
      <c r="AC222" s="1772"/>
      <c r="AD222" s="1913"/>
      <c r="AE222" s="1772"/>
      <c r="AF222" s="2138"/>
      <c r="AG222" s="2053"/>
      <c r="AH222" s="397"/>
      <c r="AI222" s="591" t="s">
        <v>429</v>
      </c>
      <c r="AJ222" s="591" t="s">
        <v>429</v>
      </c>
      <c r="AK222" s="591"/>
      <c r="AL222" s="591"/>
      <c r="AM222" s="591"/>
      <c r="AN222" s="591" t="s">
        <v>429</v>
      </c>
      <c r="AO222" s="614"/>
      <c r="AP222" s="397"/>
    </row>
    <row r="223" spans="1:42" ht="18" hidden="1" customHeight="1" x14ac:dyDescent="0.3">
      <c r="A223" s="1757"/>
      <c r="B223" s="633" t="s">
        <v>874</v>
      </c>
      <c r="C223" s="803"/>
      <c r="D223" s="803" t="s">
        <v>1118</v>
      </c>
      <c r="E223" s="1880"/>
      <c r="F223" s="616">
        <f>'exchange rates'!$O$50</f>
        <v>3.8868399999999999</v>
      </c>
      <c r="G223" s="549">
        <v>0</v>
      </c>
      <c r="H223" s="550">
        <f>381/F223</f>
        <v>98.023072727459848</v>
      </c>
      <c r="I223" s="551">
        <v>0</v>
      </c>
      <c r="J223" s="560">
        <f>34.29/F223</f>
        <v>8.8220765454713863</v>
      </c>
      <c r="K223" s="566">
        <f>Tabel66892127[[#This Row],[Fix.ch. 2017]]+Tabel66892127[[#This Row],[Var. ch. 2017]]+Tabel66892127[[#This Row],[Oth. ch. DW 2017]]+Tabel66892127[[#This Row],[VAT DW 2017]]</f>
        <v>106.84514927293124</v>
      </c>
      <c r="L223" s="567">
        <v>0</v>
      </c>
      <c r="M223" s="560">
        <v>0</v>
      </c>
      <c r="N223" s="568">
        <f>359/F223</f>
        <v>92.362947793065842</v>
      </c>
      <c r="O223" s="560">
        <f>68.21/F223</f>
        <v>17.548960080682509</v>
      </c>
      <c r="P223" s="569">
        <v>0</v>
      </c>
      <c r="Q223" s="560">
        <v>0</v>
      </c>
      <c r="R223" s="570">
        <f>Tabel66892127[[#This Row],[VAT DW 2017]]+Tabel66892127[[#This Row],[VAT Sew. 2017]]+Tabel66892127[[#This Row],[VAT WW 2017]]+Tabel66892127[[#This Row],[VAT Other ch. 2017]]</f>
        <v>26.371036626153895</v>
      </c>
      <c r="S223" s="571">
        <f>Tabel66892127[[#This Row],[Total. ch. DW 2017]]+Tabel66892127[[#This Row],[Sew. 2017]]+Tabel66892127[[#This Row],[VAT Sew. 2017]]+Tabel66892127[[#This Row],[WW 2017]]+Tabel66892127[[#This Row],[VAT WW 2017]]+Tabel66892127[[#This Row],[Other ch. 2017]]+Tabel66892127[[#This Row],[VAT Other ch. 2017]]</f>
        <v>216.75705714667961</v>
      </c>
      <c r="T223" s="397"/>
      <c r="U223" s="1886"/>
      <c r="V223" s="2129"/>
      <c r="W223" s="1890"/>
      <c r="X223" s="1772"/>
      <c r="Y223" s="1892"/>
      <c r="Z223" s="1894"/>
      <c r="AA223" s="1772"/>
      <c r="AB223" s="1911"/>
      <c r="AC223" s="1772"/>
      <c r="AD223" s="1913"/>
      <c r="AE223" s="1772"/>
      <c r="AF223" s="2138"/>
      <c r="AG223" s="2053"/>
      <c r="AH223" s="397"/>
      <c r="AI223" s="591" t="s">
        <v>429</v>
      </c>
      <c r="AJ223" s="591" t="s">
        <v>429</v>
      </c>
      <c r="AK223" s="591"/>
      <c r="AL223" s="591"/>
      <c r="AM223" s="591"/>
      <c r="AN223" s="591" t="s">
        <v>429</v>
      </c>
      <c r="AO223" s="614"/>
      <c r="AP223" s="397"/>
    </row>
    <row r="224" spans="1:42" ht="18.600000000000001" hidden="1" customHeight="1" thickBot="1" x14ac:dyDescent="0.3">
      <c r="A224" s="1757"/>
      <c r="B224" s="648" t="s">
        <v>598</v>
      </c>
      <c r="C224" s="803"/>
      <c r="D224" s="803" t="s">
        <v>1118</v>
      </c>
      <c r="E224" s="1880"/>
      <c r="F224" s="616">
        <f>'exchange rates'!$O$50</f>
        <v>3.8868399999999999</v>
      </c>
      <c r="G224" s="549">
        <v>0</v>
      </c>
      <c r="H224" s="550">
        <f>367/F224</f>
        <v>94.42117504193638</v>
      </c>
      <c r="I224" s="551">
        <v>0</v>
      </c>
      <c r="J224" s="560">
        <f>33.03/F224</f>
        <v>8.4979057537742744</v>
      </c>
      <c r="K224" s="566">
        <f>Tabel66892127[[#This Row],[Fix.ch. 2017]]+Tabel66892127[[#This Row],[Var. ch. 2017]]+Tabel66892127[[#This Row],[Oth. ch. DW 2017]]+Tabel66892127[[#This Row],[VAT DW 2017]]</f>
        <v>102.91908079571066</v>
      </c>
      <c r="L224" s="567">
        <v>0</v>
      </c>
      <c r="M224" s="560">
        <v>0</v>
      </c>
      <c r="N224" s="568">
        <f>379/F224</f>
        <v>97.508515915242199</v>
      </c>
      <c r="O224" s="560">
        <f>72.01/F224</f>
        <v>18.52661802389602</v>
      </c>
      <c r="P224" s="569">
        <v>0</v>
      </c>
      <c r="Q224" s="560">
        <v>0</v>
      </c>
      <c r="R224" s="570">
        <f>Tabel66892127[[#This Row],[VAT DW 2017]]+Tabel66892127[[#This Row],[VAT Sew. 2017]]+Tabel66892127[[#This Row],[VAT WW 2017]]+Tabel66892127[[#This Row],[VAT Other ch. 2017]]</f>
        <v>27.024523777670296</v>
      </c>
      <c r="S224" s="571">
        <f>Tabel66892127[[#This Row],[Total. ch. DW 2017]]+Tabel66892127[[#This Row],[Sew. 2017]]+Tabel66892127[[#This Row],[VAT Sew. 2017]]+Tabel66892127[[#This Row],[WW 2017]]+Tabel66892127[[#This Row],[VAT WW 2017]]+Tabel66892127[[#This Row],[Other ch. 2017]]+Tabel66892127[[#This Row],[VAT Other ch. 2017]]</f>
        <v>218.95421473484888</v>
      </c>
      <c r="T224" s="397"/>
      <c r="U224" s="1886"/>
      <c r="V224" s="2130"/>
      <c r="W224" s="1890"/>
      <c r="X224" s="1783"/>
      <c r="Y224" s="1892"/>
      <c r="Z224" s="1894"/>
      <c r="AA224" s="1783"/>
      <c r="AB224" s="1911"/>
      <c r="AC224" s="1783"/>
      <c r="AD224" s="1913"/>
      <c r="AE224" s="1783"/>
      <c r="AF224" s="2138"/>
      <c r="AG224" s="2053"/>
      <c r="AH224" s="397"/>
      <c r="AI224" s="591" t="s">
        <v>429</v>
      </c>
      <c r="AJ224" s="591" t="s">
        <v>429</v>
      </c>
      <c r="AK224" s="591"/>
      <c r="AL224" s="591"/>
      <c r="AM224" s="591"/>
      <c r="AN224" s="591" t="s">
        <v>429</v>
      </c>
      <c r="AO224" s="614"/>
      <c r="AP224" s="397"/>
    </row>
    <row r="225" spans="1:42" ht="18.600000000000001" hidden="1" customHeight="1" x14ac:dyDescent="0.3">
      <c r="A225" s="2337" t="s">
        <v>693</v>
      </c>
      <c r="B225" s="653" t="s">
        <v>887</v>
      </c>
      <c r="C225" s="653" t="s">
        <v>429</v>
      </c>
      <c r="D225" s="653" t="s">
        <v>1120</v>
      </c>
      <c r="E225" s="2166">
        <v>27900</v>
      </c>
      <c r="F225" s="616">
        <f>'exchange rates'!$O$51</f>
        <v>57.611829999999998</v>
      </c>
      <c r="G225" s="549">
        <v>0</v>
      </c>
      <c r="H225" s="550">
        <f>3074/F225</f>
        <v>53.357096971229694</v>
      </c>
      <c r="I225" s="551">
        <v>0</v>
      </c>
      <c r="J225" s="560">
        <v>0</v>
      </c>
      <c r="K225" s="566">
        <f>Tabel66892127[[#This Row],[Fix.ch. 2017]]+Tabel66892127[[#This Row],[Var. ch. 2017]]+Tabel66892127[[#This Row],[Oth. ch. DW 2017]]+Tabel66892127[[#This Row],[VAT DW 2017]]</f>
        <v>53.357096971229694</v>
      </c>
      <c r="L225" s="567">
        <f>2204/F225</f>
        <v>38.256031790692987</v>
      </c>
      <c r="M225" s="560">
        <v>0</v>
      </c>
      <c r="N225" s="568">
        <v>0</v>
      </c>
      <c r="O225" s="560">
        <v>0</v>
      </c>
      <c r="P225" s="569">
        <v>0</v>
      </c>
      <c r="Q225" s="560">
        <v>0</v>
      </c>
      <c r="R225" s="570">
        <f>Tabel66892127[[#This Row],[VAT DW 2017]]+Tabel66892127[[#This Row],[VAT Sew. 2017]]+Tabel66892127[[#This Row],[VAT WW 2017]]+Tabel66892127[[#This Row],[VAT Other ch. 2017]]</f>
        <v>0</v>
      </c>
      <c r="S225" s="571">
        <f>Tabel66892127[[#This Row],[Total. ch. DW 2017]]+Tabel66892127[[#This Row],[Sew. 2017]]+Tabel66892127[[#This Row],[VAT Sew. 2017]]+Tabel66892127[[#This Row],[WW 2017]]+Tabel66892127[[#This Row],[VAT WW 2017]]+Tabel66892127[[#This Row],[Other ch. 2017]]+Tabel66892127[[#This Row],[VAT Other ch. 2017]]</f>
        <v>91.613128761922681</v>
      </c>
      <c r="T225" s="397"/>
      <c r="U225" s="1762">
        <f>G226</f>
        <v>0</v>
      </c>
      <c r="V225" s="2271">
        <f>H226</f>
        <v>48.288693485348411</v>
      </c>
      <c r="W225" s="1768">
        <f>I226</f>
        <v>2.0134753574048943</v>
      </c>
      <c r="X225" s="1771">
        <f>J226</f>
        <v>0</v>
      </c>
      <c r="Y225" s="1774">
        <f>SUM(U225:X226)</f>
        <v>50.302168842753304</v>
      </c>
      <c r="Z225" s="1777">
        <f t="shared" ref="Z225:AF225" si="34">L226</f>
        <v>42.19619477458015</v>
      </c>
      <c r="AA225" s="1771">
        <f t="shared" si="34"/>
        <v>0</v>
      </c>
      <c r="AB225" s="1810">
        <f t="shared" si="34"/>
        <v>0</v>
      </c>
      <c r="AC225" s="1771">
        <f t="shared" si="34"/>
        <v>0</v>
      </c>
      <c r="AD225" s="1812">
        <f t="shared" si="34"/>
        <v>2.1870508192501439</v>
      </c>
      <c r="AE225" s="1771">
        <f t="shared" si="34"/>
        <v>0</v>
      </c>
      <c r="AF225" s="1814">
        <f t="shared" si="34"/>
        <v>0</v>
      </c>
      <c r="AG225" s="2260">
        <f>Y225+Z225+AA225+AB225+AC225+AD225+AE225</f>
        <v>94.685414436583599</v>
      </c>
      <c r="AH225" s="397"/>
      <c r="AI225" s="591"/>
      <c r="AJ225" s="591"/>
      <c r="AK225" s="591"/>
      <c r="AL225" s="591"/>
      <c r="AM225" s="591"/>
      <c r="AN225" s="591"/>
      <c r="AO225" s="614"/>
      <c r="AP225" s="397"/>
    </row>
    <row r="226" spans="1:42" ht="16.5" hidden="1" thickBot="1" x14ac:dyDescent="0.3">
      <c r="A226" s="1758"/>
      <c r="B226" s="652" t="s">
        <v>694</v>
      </c>
      <c r="C226" s="651"/>
      <c r="D226" s="823" t="s">
        <v>1120</v>
      </c>
      <c r="E226" s="1761"/>
      <c r="F226" s="616">
        <f>'exchange rates'!$O$51</f>
        <v>57.611829999999998</v>
      </c>
      <c r="G226" s="549">
        <v>0</v>
      </c>
      <c r="H226" s="550">
        <f>2782/F226</f>
        <v>48.288693485348411</v>
      </c>
      <c r="I226" s="551">
        <f>116/F226</f>
        <v>2.0134753574048943</v>
      </c>
      <c r="J226" s="560">
        <v>0</v>
      </c>
      <c r="K226" s="566">
        <f>Tabel66892127[[#This Row],[Fix.ch. 2017]]+Tabel66892127[[#This Row],[Var. ch. 2017]]+Tabel66892127[[#This Row],[Oth. ch. DW 2017]]+Tabel66892127[[#This Row],[VAT DW 2017]]</f>
        <v>50.302168842753304</v>
      </c>
      <c r="L226" s="567">
        <f>2431/F226</f>
        <v>42.19619477458015</v>
      </c>
      <c r="M226" s="560">
        <v>0</v>
      </c>
      <c r="N226" s="568">
        <f>0</f>
        <v>0</v>
      </c>
      <c r="O226" s="560">
        <v>0</v>
      </c>
      <c r="P226" s="569">
        <f>126/F226</f>
        <v>2.1870508192501439</v>
      </c>
      <c r="Q226" s="560">
        <v>0</v>
      </c>
      <c r="R226" s="570">
        <f>Tabel66892127[[#This Row],[VAT DW 2017]]+Tabel66892127[[#This Row],[VAT Sew. 2017]]+Tabel66892127[[#This Row],[VAT WW 2017]]+Tabel66892127[[#This Row],[VAT Other ch. 2017]]</f>
        <v>0</v>
      </c>
      <c r="S226" s="571">
        <f>Tabel66892127[[#This Row],[Total. ch. DW 2017]]+Tabel66892127[[#This Row],[Sew. 2017]]+Tabel66892127[[#This Row],[VAT Sew. 2017]]+Tabel66892127[[#This Row],[WW 2017]]+Tabel66892127[[#This Row],[VAT WW 2017]]+Tabel66892127[[#This Row],[Other ch. 2017]]+Tabel66892127[[#This Row],[VAT Other ch. 2017]]</f>
        <v>94.685414436583599</v>
      </c>
      <c r="T226" s="397"/>
      <c r="U226" s="1764"/>
      <c r="V226" s="2132"/>
      <c r="W226" s="1770"/>
      <c r="X226" s="1773"/>
      <c r="Y226" s="1776"/>
      <c r="Z226" s="1779"/>
      <c r="AA226" s="1773"/>
      <c r="AB226" s="1811"/>
      <c r="AC226" s="1773"/>
      <c r="AD226" s="1813"/>
      <c r="AE226" s="1773"/>
      <c r="AF226" s="1815"/>
      <c r="AG226" s="1991"/>
      <c r="AH226" s="397"/>
      <c r="AI226" s="591" t="s">
        <v>429</v>
      </c>
      <c r="AJ226" s="396"/>
      <c r="AK226" s="398"/>
      <c r="AL226" s="398"/>
      <c r="AM226" s="398"/>
      <c r="AN226" s="396"/>
      <c r="AO226" s="398"/>
      <c r="AP226" s="397"/>
    </row>
    <row r="227" spans="1:42" ht="19.5" hidden="1" thickBot="1" x14ac:dyDescent="0.3">
      <c r="A227" s="1878" t="s">
        <v>47</v>
      </c>
      <c r="B227" s="837" t="s">
        <v>1154</v>
      </c>
      <c r="C227" s="1046" t="s">
        <v>429</v>
      </c>
      <c r="D227" s="802" t="s">
        <v>1121</v>
      </c>
      <c r="E227" s="2166">
        <v>43600</v>
      </c>
      <c r="F227" s="617">
        <f>'exchange rates'!$O$52</f>
        <v>0.73992000000000002</v>
      </c>
      <c r="G227" s="549"/>
      <c r="H227" s="550"/>
      <c r="I227" s="551"/>
      <c r="J227" s="560"/>
      <c r="K227" s="566">
        <f>Tabel66892127[[#This Row],[Fix.ch. 2017]]+Tabel66892127[[#This Row],[Var. ch. 2017]]+Tabel66892127[[#This Row],[Oth. ch. DW 2017]]+Tabel66892127[[#This Row],[VAT DW 2017]]</f>
        <v>0</v>
      </c>
      <c r="L227" s="567"/>
      <c r="M227" s="560"/>
      <c r="N227" s="568"/>
      <c r="O227" s="560"/>
      <c r="P227" s="569"/>
      <c r="Q227" s="560"/>
      <c r="R227" s="570">
        <f>Tabel66892127[[#This Row],[VAT DW 2017]]+Tabel66892127[[#This Row],[VAT Sew. 2017]]+Tabel66892127[[#This Row],[VAT WW 2017]]+Tabel66892127[[#This Row],[VAT Other ch. 2017]]</f>
        <v>0</v>
      </c>
      <c r="S227" s="571">
        <f>Tabel66892127[[#This Row],[Total. ch. DW 2017]]+Tabel66892127[[#This Row],[Sew. 2017]]+Tabel66892127[[#This Row],[VAT Sew. 2017]]+Tabel66892127[[#This Row],[WW 2017]]+Tabel66892127[[#This Row],[VAT WW 2017]]+Tabel66892127[[#This Row],[Other ch. 2017]]+Tabel66892127[[#This Row],[VAT Other ch. 2017]]</f>
        <v>0</v>
      </c>
      <c r="T227" s="397"/>
      <c r="U227" s="825"/>
      <c r="V227" s="826"/>
      <c r="W227" s="827"/>
      <c r="X227" s="828"/>
      <c r="Y227" s="829"/>
      <c r="Z227" s="830"/>
      <c r="AA227" s="828"/>
      <c r="AB227" s="831"/>
      <c r="AC227" s="828"/>
      <c r="AD227" s="832"/>
      <c r="AE227" s="828"/>
      <c r="AF227" s="836"/>
      <c r="AG227" s="834"/>
      <c r="AH227" s="397"/>
      <c r="AI227" s="591" t="s">
        <v>429</v>
      </c>
      <c r="AJ227" s="396"/>
      <c r="AK227" s="398"/>
      <c r="AL227" s="398"/>
      <c r="AM227" s="591" t="s">
        <v>429</v>
      </c>
      <c r="AN227" s="396"/>
      <c r="AO227" s="398"/>
      <c r="AP227" s="397"/>
    </row>
    <row r="228" spans="1:42" ht="16.5" hidden="1" thickBot="1" x14ac:dyDescent="0.3">
      <c r="A228" s="1757"/>
      <c r="B228" s="276" t="s">
        <v>204</v>
      </c>
      <c r="C228" s="1048"/>
      <c r="D228" s="805" t="s">
        <v>1121</v>
      </c>
      <c r="E228" s="1760"/>
      <c r="F228" s="617">
        <f>'exchange rates'!$O$52</f>
        <v>0.73992000000000002</v>
      </c>
      <c r="G228" s="319"/>
      <c r="H228" s="320"/>
      <c r="I228" s="321"/>
      <c r="J228" s="559"/>
      <c r="K228" s="313">
        <f>Tabel66892127[[#This Row],[Fix.ch. 2017]]+Tabel66892127[[#This Row],[Var. ch. 2017]]+Tabel66892127[[#This Row],[Oth. ch. DW 2017]]+Tabel66892127[[#This Row],[VAT DW 2017]]</f>
        <v>0</v>
      </c>
      <c r="L228" s="322"/>
      <c r="M228" s="559"/>
      <c r="N228" s="323"/>
      <c r="O228" s="559"/>
      <c r="P228" s="324"/>
      <c r="Q228" s="559"/>
      <c r="R228" s="317">
        <f>Tabel66892127[[#This Row],[VAT DW 2017]]+Tabel66892127[[#This Row],[VAT Sew. 2017]]+Tabel66892127[[#This Row],[VAT WW 2017]]+Tabel66892127[[#This Row],[VAT Other ch. 2017]]</f>
        <v>0</v>
      </c>
      <c r="S228" s="318">
        <f>Tabel66892127[[#This Row],[Total. ch. DW 2017]]+Tabel66892127[[#This Row],[Sew. 2017]]+Tabel66892127[[#This Row],[VAT Sew. 2017]]+Tabel66892127[[#This Row],[WW 2017]]+Tabel66892127[[#This Row],[VAT WW 2017]]+Tabel66892127[[#This Row],[Other ch. 2017]]+Tabel66892127[[#This Row],[VAT Other ch. 2017]]</f>
        <v>0</v>
      </c>
      <c r="T228" s="397"/>
      <c r="U228" s="349"/>
      <c r="V228" s="350"/>
      <c r="W228" s="351"/>
      <c r="X228" s="582"/>
      <c r="Y228" s="352"/>
      <c r="Z228" s="353"/>
      <c r="AA228" s="582"/>
      <c r="AB228" s="354"/>
      <c r="AC228" s="582"/>
      <c r="AD228" s="355"/>
      <c r="AE228" s="582"/>
      <c r="AF228" s="356"/>
      <c r="AG228" s="357"/>
      <c r="AH228" s="397"/>
      <c r="AI228" s="400"/>
      <c r="AJ228" s="400"/>
      <c r="AK228" s="398"/>
      <c r="AL228" s="398"/>
      <c r="AM228" s="398"/>
      <c r="AN228" s="398"/>
      <c r="AO228" s="398"/>
      <c r="AP228" s="397"/>
    </row>
    <row r="229" spans="1:42" ht="16.5" hidden="1" thickBot="1" x14ac:dyDescent="0.3">
      <c r="A229" s="1757"/>
      <c r="B229" s="276" t="s">
        <v>205</v>
      </c>
      <c r="C229" s="1048"/>
      <c r="D229" s="805" t="s">
        <v>1121</v>
      </c>
      <c r="E229" s="1760"/>
      <c r="F229" s="617">
        <f>'exchange rates'!$O$52</f>
        <v>0.73992000000000002</v>
      </c>
      <c r="G229" s="319"/>
      <c r="H229" s="320"/>
      <c r="I229" s="321"/>
      <c r="J229" s="559"/>
      <c r="K229" s="313">
        <f>Tabel66892127[[#This Row],[Fix.ch. 2017]]+Tabel66892127[[#This Row],[Var. ch. 2017]]+Tabel66892127[[#This Row],[Oth. ch. DW 2017]]+Tabel66892127[[#This Row],[VAT DW 2017]]</f>
        <v>0</v>
      </c>
      <c r="L229" s="322"/>
      <c r="M229" s="559"/>
      <c r="N229" s="323"/>
      <c r="O229" s="559"/>
      <c r="P229" s="324"/>
      <c r="Q229" s="559"/>
      <c r="R229" s="317">
        <f>Tabel66892127[[#This Row],[VAT DW 2017]]+Tabel66892127[[#This Row],[VAT Sew. 2017]]+Tabel66892127[[#This Row],[VAT WW 2017]]+Tabel66892127[[#This Row],[VAT Other ch. 2017]]</f>
        <v>0</v>
      </c>
      <c r="S229" s="318">
        <f>Tabel66892127[[#This Row],[Total. ch. DW 2017]]+Tabel66892127[[#This Row],[Sew. 2017]]+Tabel66892127[[#This Row],[VAT Sew. 2017]]+Tabel66892127[[#This Row],[WW 2017]]+Tabel66892127[[#This Row],[VAT WW 2017]]+Tabel66892127[[#This Row],[Other ch. 2017]]+Tabel66892127[[#This Row],[VAT Other ch. 2017]]</f>
        <v>0</v>
      </c>
      <c r="T229" s="397"/>
      <c r="U229" s="358"/>
      <c r="V229" s="359"/>
      <c r="W229" s="360"/>
      <c r="X229" s="586"/>
      <c r="Y229" s="361"/>
      <c r="Z229" s="362"/>
      <c r="AA229" s="586"/>
      <c r="AB229" s="363"/>
      <c r="AC229" s="586"/>
      <c r="AD229" s="364"/>
      <c r="AE229" s="586"/>
      <c r="AF229" s="365"/>
      <c r="AG229" s="366"/>
      <c r="AH229" s="397"/>
      <c r="AI229" s="400"/>
      <c r="AJ229" s="400"/>
      <c r="AK229" s="398"/>
      <c r="AL229" s="398"/>
      <c r="AM229" s="398"/>
      <c r="AN229" s="398"/>
      <c r="AO229" s="398"/>
      <c r="AP229" s="397"/>
    </row>
    <row r="230" spans="1:42" ht="16.5" hidden="1" thickBot="1" x14ac:dyDescent="0.3">
      <c r="A230" s="1757"/>
      <c r="B230" s="276" t="s">
        <v>206</v>
      </c>
      <c r="C230" s="1048"/>
      <c r="D230" s="805" t="s">
        <v>1121</v>
      </c>
      <c r="E230" s="1760"/>
      <c r="F230" s="617">
        <f>'exchange rates'!$O$52</f>
        <v>0.73992000000000002</v>
      </c>
      <c r="G230" s="319"/>
      <c r="H230" s="320"/>
      <c r="I230" s="321"/>
      <c r="J230" s="559"/>
      <c r="K230" s="313">
        <f>Tabel66892127[[#This Row],[Fix.ch. 2017]]+Tabel66892127[[#This Row],[Var. ch. 2017]]+Tabel66892127[[#This Row],[Oth. ch. DW 2017]]+Tabel66892127[[#This Row],[VAT DW 2017]]</f>
        <v>0</v>
      </c>
      <c r="L230" s="322"/>
      <c r="M230" s="559"/>
      <c r="N230" s="323"/>
      <c r="O230" s="559"/>
      <c r="P230" s="324"/>
      <c r="Q230" s="559"/>
      <c r="R230" s="317">
        <f>Tabel66892127[[#This Row],[VAT DW 2017]]+Tabel66892127[[#This Row],[VAT Sew. 2017]]+Tabel66892127[[#This Row],[VAT WW 2017]]+Tabel66892127[[#This Row],[VAT Other ch. 2017]]</f>
        <v>0</v>
      </c>
      <c r="S230" s="318">
        <f>Tabel66892127[[#This Row],[Total. ch. DW 2017]]+Tabel66892127[[#This Row],[Sew. 2017]]+Tabel66892127[[#This Row],[VAT Sew. 2017]]+Tabel66892127[[#This Row],[WW 2017]]+Tabel66892127[[#This Row],[VAT WW 2017]]+Tabel66892127[[#This Row],[Other ch. 2017]]+Tabel66892127[[#This Row],[VAT Other ch. 2017]]</f>
        <v>0</v>
      </c>
      <c r="T230" s="397"/>
      <c r="U230" s="358"/>
      <c r="V230" s="359"/>
      <c r="W230" s="360"/>
      <c r="X230" s="586"/>
      <c r="Y230" s="361"/>
      <c r="Z230" s="362"/>
      <c r="AA230" s="586"/>
      <c r="AB230" s="363"/>
      <c r="AC230" s="586"/>
      <c r="AD230" s="364"/>
      <c r="AE230" s="586"/>
      <c r="AF230" s="365"/>
      <c r="AG230" s="366"/>
      <c r="AH230" s="397"/>
      <c r="AI230" s="400"/>
      <c r="AJ230" s="400"/>
      <c r="AK230" s="398"/>
      <c r="AL230" s="398"/>
      <c r="AM230" s="398"/>
      <c r="AN230" s="398"/>
      <c r="AO230" s="398"/>
      <c r="AP230" s="397"/>
    </row>
    <row r="231" spans="1:42" ht="16.5" hidden="1" thickBot="1" x14ac:dyDescent="0.3">
      <c r="A231" s="1757"/>
      <c r="B231" s="276" t="s">
        <v>207</v>
      </c>
      <c r="C231" s="1048"/>
      <c r="D231" s="805" t="s">
        <v>1121</v>
      </c>
      <c r="E231" s="1760"/>
      <c r="F231" s="617">
        <f>'exchange rates'!$O$52</f>
        <v>0.73992000000000002</v>
      </c>
      <c r="G231" s="319"/>
      <c r="H231" s="320"/>
      <c r="I231" s="321"/>
      <c r="J231" s="559"/>
      <c r="K231" s="313">
        <f>Tabel66892127[[#This Row],[Fix.ch. 2017]]+Tabel66892127[[#This Row],[Var. ch. 2017]]+Tabel66892127[[#This Row],[Oth. ch. DW 2017]]+Tabel66892127[[#This Row],[VAT DW 2017]]</f>
        <v>0</v>
      </c>
      <c r="L231" s="322"/>
      <c r="M231" s="559"/>
      <c r="N231" s="323"/>
      <c r="O231" s="559"/>
      <c r="P231" s="324"/>
      <c r="Q231" s="559"/>
      <c r="R231" s="317">
        <f>Tabel66892127[[#This Row],[VAT DW 2017]]+Tabel66892127[[#This Row],[VAT Sew. 2017]]+Tabel66892127[[#This Row],[VAT WW 2017]]+Tabel66892127[[#This Row],[VAT Other ch. 2017]]</f>
        <v>0</v>
      </c>
      <c r="S231" s="318">
        <f>Tabel66892127[[#This Row],[Total. ch. DW 2017]]+Tabel66892127[[#This Row],[Sew. 2017]]+Tabel66892127[[#This Row],[VAT Sew. 2017]]+Tabel66892127[[#This Row],[WW 2017]]+Tabel66892127[[#This Row],[VAT WW 2017]]+Tabel66892127[[#This Row],[Other ch. 2017]]+Tabel66892127[[#This Row],[VAT Other ch. 2017]]</f>
        <v>0</v>
      </c>
      <c r="T231" s="397"/>
      <c r="U231" s="358"/>
      <c r="V231" s="359"/>
      <c r="W231" s="360"/>
      <c r="X231" s="586"/>
      <c r="Y231" s="361"/>
      <c r="Z231" s="362"/>
      <c r="AA231" s="586"/>
      <c r="AB231" s="363"/>
      <c r="AC231" s="586"/>
      <c r="AD231" s="364"/>
      <c r="AE231" s="586"/>
      <c r="AF231" s="365"/>
      <c r="AG231" s="366"/>
      <c r="AH231" s="397"/>
      <c r="AI231" s="400"/>
      <c r="AJ231" s="400"/>
      <c r="AK231" s="398"/>
      <c r="AL231" s="398"/>
      <c r="AM231" s="398"/>
      <c r="AN231" s="398"/>
      <c r="AO231" s="398"/>
      <c r="AP231" s="397"/>
    </row>
    <row r="232" spans="1:42" ht="16.5" hidden="1" thickBot="1" x14ac:dyDescent="0.3">
      <c r="A232" s="1757"/>
      <c r="B232" s="276" t="s">
        <v>208</v>
      </c>
      <c r="C232" s="1048"/>
      <c r="D232" s="805" t="s">
        <v>1121</v>
      </c>
      <c r="E232" s="1760"/>
      <c r="F232" s="617">
        <f>'exchange rates'!$O$52</f>
        <v>0.73992000000000002</v>
      </c>
      <c r="G232" s="319"/>
      <c r="H232" s="320"/>
      <c r="I232" s="321"/>
      <c r="J232" s="559"/>
      <c r="K232" s="313">
        <f>Tabel66892127[[#This Row],[Fix.ch. 2017]]+Tabel66892127[[#This Row],[Var. ch. 2017]]+Tabel66892127[[#This Row],[Oth. ch. DW 2017]]+Tabel66892127[[#This Row],[VAT DW 2017]]</f>
        <v>0</v>
      </c>
      <c r="L232" s="322"/>
      <c r="M232" s="559"/>
      <c r="N232" s="323"/>
      <c r="O232" s="559"/>
      <c r="P232" s="324"/>
      <c r="Q232" s="559"/>
      <c r="R232" s="317">
        <f>Tabel66892127[[#This Row],[VAT DW 2017]]+Tabel66892127[[#This Row],[VAT Sew. 2017]]+Tabel66892127[[#This Row],[VAT WW 2017]]+Tabel66892127[[#This Row],[VAT Other ch. 2017]]</f>
        <v>0</v>
      </c>
      <c r="S232" s="318">
        <f>Tabel66892127[[#This Row],[Total. ch. DW 2017]]+Tabel66892127[[#This Row],[Sew. 2017]]+Tabel66892127[[#This Row],[VAT Sew. 2017]]+Tabel66892127[[#This Row],[WW 2017]]+Tabel66892127[[#This Row],[VAT WW 2017]]+Tabel66892127[[#This Row],[Other ch. 2017]]+Tabel66892127[[#This Row],[VAT Other ch. 2017]]</f>
        <v>0</v>
      </c>
      <c r="T232" s="397"/>
      <c r="U232" s="358"/>
      <c r="V232" s="359"/>
      <c r="W232" s="360"/>
      <c r="X232" s="586"/>
      <c r="Y232" s="361"/>
      <c r="Z232" s="362"/>
      <c r="AA232" s="586"/>
      <c r="AB232" s="363"/>
      <c r="AC232" s="586"/>
      <c r="AD232" s="364"/>
      <c r="AE232" s="586"/>
      <c r="AF232" s="365"/>
      <c r="AG232" s="366"/>
      <c r="AH232" s="397"/>
      <c r="AI232" s="400"/>
      <c r="AJ232" s="400"/>
      <c r="AK232" s="398"/>
      <c r="AL232" s="398"/>
      <c r="AM232" s="398"/>
      <c r="AN232" s="398"/>
      <c r="AO232" s="398"/>
      <c r="AP232" s="397"/>
    </row>
    <row r="233" spans="1:42" ht="16.5" hidden="1" thickBot="1" x14ac:dyDescent="0.3">
      <c r="A233" s="1757"/>
      <c r="B233" s="276" t="s">
        <v>209</v>
      </c>
      <c r="C233" s="1048"/>
      <c r="D233" s="805" t="s">
        <v>1121</v>
      </c>
      <c r="E233" s="1760"/>
      <c r="F233" s="617">
        <f>'exchange rates'!$O$52</f>
        <v>0.73992000000000002</v>
      </c>
      <c r="G233" s="319"/>
      <c r="H233" s="320"/>
      <c r="I233" s="321"/>
      <c r="J233" s="559"/>
      <c r="K233" s="313">
        <f>Tabel66892127[[#This Row],[Fix.ch. 2017]]+Tabel66892127[[#This Row],[Var. ch. 2017]]+Tabel66892127[[#This Row],[Oth. ch. DW 2017]]+Tabel66892127[[#This Row],[VAT DW 2017]]</f>
        <v>0</v>
      </c>
      <c r="L233" s="322"/>
      <c r="M233" s="559"/>
      <c r="N233" s="323"/>
      <c r="O233" s="559"/>
      <c r="P233" s="324"/>
      <c r="Q233" s="559"/>
      <c r="R233" s="317">
        <f>Tabel66892127[[#This Row],[VAT DW 2017]]+Tabel66892127[[#This Row],[VAT Sew. 2017]]+Tabel66892127[[#This Row],[VAT WW 2017]]+Tabel66892127[[#This Row],[VAT Other ch. 2017]]</f>
        <v>0</v>
      </c>
      <c r="S233" s="318">
        <f>Tabel66892127[[#This Row],[Total. ch. DW 2017]]+Tabel66892127[[#This Row],[Sew. 2017]]+Tabel66892127[[#This Row],[VAT Sew. 2017]]+Tabel66892127[[#This Row],[WW 2017]]+Tabel66892127[[#This Row],[VAT WW 2017]]+Tabel66892127[[#This Row],[Other ch. 2017]]+Tabel66892127[[#This Row],[VAT Other ch. 2017]]</f>
        <v>0</v>
      </c>
      <c r="T233" s="397"/>
      <c r="U233" s="358"/>
      <c r="V233" s="359"/>
      <c r="W233" s="360"/>
      <c r="X233" s="586"/>
      <c r="Y233" s="361"/>
      <c r="Z233" s="362"/>
      <c r="AA233" s="586"/>
      <c r="AB233" s="363"/>
      <c r="AC233" s="586"/>
      <c r="AD233" s="364"/>
      <c r="AE233" s="586"/>
      <c r="AF233" s="365"/>
      <c r="AG233" s="366"/>
      <c r="AH233" s="397"/>
      <c r="AI233" s="400"/>
      <c r="AJ233" s="400"/>
      <c r="AK233" s="398"/>
      <c r="AL233" s="398"/>
      <c r="AM233" s="398"/>
      <c r="AN233" s="398"/>
      <c r="AO233" s="398"/>
      <c r="AP233" s="397"/>
    </row>
    <row r="234" spans="1:42" ht="16.5" hidden="1" thickBot="1" x14ac:dyDescent="0.3">
      <c r="A234" s="1757"/>
      <c r="B234" s="276" t="s">
        <v>210</v>
      </c>
      <c r="C234" s="1048"/>
      <c r="D234" s="805" t="s">
        <v>1121</v>
      </c>
      <c r="E234" s="1760"/>
      <c r="F234" s="617">
        <f>'exchange rates'!$O$52</f>
        <v>0.73992000000000002</v>
      </c>
      <c r="G234" s="319"/>
      <c r="H234" s="320"/>
      <c r="I234" s="321"/>
      <c r="J234" s="559"/>
      <c r="K234" s="313">
        <f>Tabel66892127[[#This Row],[Fix.ch. 2017]]+Tabel66892127[[#This Row],[Var. ch. 2017]]+Tabel66892127[[#This Row],[Oth. ch. DW 2017]]+Tabel66892127[[#This Row],[VAT DW 2017]]</f>
        <v>0</v>
      </c>
      <c r="L234" s="322"/>
      <c r="M234" s="559"/>
      <c r="N234" s="323"/>
      <c r="O234" s="559"/>
      <c r="P234" s="324"/>
      <c r="Q234" s="559"/>
      <c r="R234" s="317">
        <f>Tabel66892127[[#This Row],[VAT DW 2017]]+Tabel66892127[[#This Row],[VAT Sew. 2017]]+Tabel66892127[[#This Row],[VAT WW 2017]]+Tabel66892127[[#This Row],[VAT Other ch. 2017]]</f>
        <v>0</v>
      </c>
      <c r="S234" s="318">
        <f>Tabel66892127[[#This Row],[Total. ch. DW 2017]]+Tabel66892127[[#This Row],[Sew. 2017]]+Tabel66892127[[#This Row],[VAT Sew. 2017]]+Tabel66892127[[#This Row],[WW 2017]]+Tabel66892127[[#This Row],[VAT WW 2017]]+Tabel66892127[[#This Row],[Other ch. 2017]]+Tabel66892127[[#This Row],[VAT Other ch. 2017]]</f>
        <v>0</v>
      </c>
      <c r="T234" s="397"/>
      <c r="U234" s="358"/>
      <c r="V234" s="359"/>
      <c r="W234" s="360"/>
      <c r="X234" s="586"/>
      <c r="Y234" s="361"/>
      <c r="Z234" s="362"/>
      <c r="AA234" s="586"/>
      <c r="AB234" s="363"/>
      <c r="AC234" s="586"/>
      <c r="AD234" s="364"/>
      <c r="AE234" s="586"/>
      <c r="AF234" s="365"/>
      <c r="AG234" s="366"/>
      <c r="AH234" s="397"/>
      <c r="AI234" s="400"/>
      <c r="AJ234" s="400"/>
      <c r="AK234" s="398"/>
      <c r="AL234" s="398"/>
      <c r="AM234" s="398"/>
      <c r="AN234" s="398"/>
      <c r="AO234" s="398"/>
      <c r="AP234" s="397"/>
    </row>
    <row r="235" spans="1:42" ht="16.5" hidden="1" thickBot="1" x14ac:dyDescent="0.3">
      <c r="A235" s="1758"/>
      <c r="B235" s="835" t="s">
        <v>211</v>
      </c>
      <c r="C235" s="835"/>
      <c r="D235" s="801" t="s">
        <v>1121</v>
      </c>
      <c r="E235" s="1761"/>
      <c r="F235" s="617">
        <f>'exchange rates'!$O$52</f>
        <v>0.73992000000000002</v>
      </c>
      <c r="G235" s="319"/>
      <c r="H235" s="320"/>
      <c r="I235" s="321"/>
      <c r="J235" s="559"/>
      <c r="K235" s="313">
        <f>Tabel66892127[[#This Row],[Fix.ch. 2017]]+Tabel66892127[[#This Row],[Var. ch. 2017]]+Tabel66892127[[#This Row],[Oth. ch. DW 2017]]+Tabel66892127[[#This Row],[VAT DW 2017]]</f>
        <v>0</v>
      </c>
      <c r="L235" s="322"/>
      <c r="M235" s="559"/>
      <c r="N235" s="323"/>
      <c r="O235" s="559"/>
      <c r="P235" s="324"/>
      <c r="Q235" s="559"/>
      <c r="R235" s="317">
        <f>Tabel66892127[[#This Row],[VAT DW 2017]]+Tabel66892127[[#This Row],[VAT Sew. 2017]]+Tabel66892127[[#This Row],[VAT WW 2017]]+Tabel66892127[[#This Row],[VAT Other ch. 2017]]</f>
        <v>0</v>
      </c>
      <c r="S235" s="318">
        <f>Tabel66892127[[#This Row],[Total. ch. DW 2017]]+Tabel66892127[[#This Row],[Sew. 2017]]+Tabel66892127[[#This Row],[VAT Sew. 2017]]+Tabel66892127[[#This Row],[WW 2017]]+Tabel66892127[[#This Row],[VAT WW 2017]]+Tabel66892127[[#This Row],[Other ch. 2017]]+Tabel66892127[[#This Row],[VAT Other ch. 2017]]</f>
        <v>0</v>
      </c>
      <c r="T235" s="397"/>
      <c r="U235" s="358"/>
      <c r="V235" s="359"/>
      <c r="W235" s="360"/>
      <c r="X235" s="586"/>
      <c r="Y235" s="361"/>
      <c r="Z235" s="362"/>
      <c r="AA235" s="586"/>
      <c r="AB235" s="363"/>
      <c r="AC235" s="586"/>
      <c r="AD235" s="364"/>
      <c r="AE235" s="586"/>
      <c r="AF235" s="365"/>
      <c r="AG235" s="366"/>
      <c r="AH235" s="397"/>
      <c r="AI235" s="400"/>
      <c r="AJ235" s="400"/>
      <c r="AK235" s="398"/>
      <c r="AL235" s="398"/>
      <c r="AM235" s="398"/>
      <c r="AN235" s="398"/>
      <c r="AO235" s="398"/>
      <c r="AP235" s="397"/>
    </row>
    <row r="236" spans="1:42" ht="16.5" hidden="1" thickBot="1" x14ac:dyDescent="0.3">
      <c r="A236" s="2150" t="s">
        <v>41</v>
      </c>
      <c r="B236" s="261" t="s">
        <v>192</v>
      </c>
      <c r="C236" s="261" t="s">
        <v>429</v>
      </c>
      <c r="D236" s="261" t="s">
        <v>1123</v>
      </c>
      <c r="E236" s="2153"/>
      <c r="F236" s="306"/>
      <c r="G236" s="325"/>
      <c r="H236" s="326"/>
      <c r="I236" s="327"/>
      <c r="J236" s="561"/>
      <c r="K236" s="313">
        <f>Tabel66892127[[#This Row],[Fix.ch. 2017]]+Tabel66892127[[#This Row],[Var. ch. 2017]]+Tabel66892127[[#This Row],[Oth. ch. DW 2017]]+Tabel66892127[[#This Row],[VAT DW 2017]]</f>
        <v>0</v>
      </c>
      <c r="L236" s="328"/>
      <c r="M236" s="561"/>
      <c r="N236" s="329"/>
      <c r="O236" s="561"/>
      <c r="P236" s="330"/>
      <c r="Q236" s="561"/>
      <c r="R236" s="317">
        <f>Tabel66892127[[#This Row],[VAT DW 2017]]+Tabel66892127[[#This Row],[VAT Sew. 2017]]+Tabel66892127[[#This Row],[VAT WW 2017]]+Tabel66892127[[#This Row],[VAT Other ch. 2017]]</f>
        <v>0</v>
      </c>
      <c r="S236" s="318">
        <f>Tabel66892127[[#This Row],[Total. ch. DW 2017]]+Tabel66892127[[#This Row],[Sew. 2017]]+Tabel66892127[[#This Row],[VAT Sew. 2017]]+Tabel66892127[[#This Row],[WW 2017]]+Tabel66892127[[#This Row],[VAT WW 2017]]+Tabel66892127[[#This Row],[Other ch. 2017]]+Tabel66892127[[#This Row],[VAT Other ch. 2017]]</f>
        <v>0</v>
      </c>
      <c r="T236" s="397"/>
      <c r="U236" s="358"/>
      <c r="V236" s="359"/>
      <c r="W236" s="360"/>
      <c r="X236" s="586"/>
      <c r="Y236" s="361"/>
      <c r="Z236" s="362"/>
      <c r="AA236" s="586"/>
      <c r="AB236" s="363"/>
      <c r="AC236" s="586"/>
      <c r="AD236" s="364"/>
      <c r="AE236" s="586"/>
      <c r="AF236" s="365"/>
      <c r="AG236" s="366"/>
      <c r="AH236" s="397"/>
      <c r="AI236" s="398"/>
      <c r="AJ236" s="398"/>
      <c r="AK236" s="398"/>
      <c r="AL236" s="398"/>
      <c r="AM236" s="398"/>
      <c r="AN236" s="398"/>
      <c r="AO236" s="398"/>
      <c r="AP236" s="397"/>
    </row>
    <row r="237" spans="1:42" ht="16.5" hidden="1" thickBot="1" x14ac:dyDescent="0.3">
      <c r="A237" s="2151"/>
      <c r="B237" s="261" t="s">
        <v>193</v>
      </c>
      <c r="C237" s="261"/>
      <c r="D237" s="261" t="s">
        <v>1123</v>
      </c>
      <c r="E237" s="2154"/>
      <c r="F237" s="306"/>
      <c r="G237" s="325"/>
      <c r="H237" s="326"/>
      <c r="I237" s="327"/>
      <c r="J237" s="561"/>
      <c r="K237" s="313">
        <f>Tabel66892127[[#This Row],[Fix.ch. 2017]]+Tabel66892127[[#This Row],[Var. ch. 2017]]+Tabel66892127[[#This Row],[Oth. ch. DW 2017]]+Tabel66892127[[#This Row],[VAT DW 2017]]</f>
        <v>0</v>
      </c>
      <c r="L237" s="328"/>
      <c r="M237" s="561"/>
      <c r="N237" s="329"/>
      <c r="O237" s="561"/>
      <c r="P237" s="330"/>
      <c r="Q237" s="561"/>
      <c r="R237" s="317">
        <f>Tabel66892127[[#This Row],[VAT DW 2017]]+Tabel66892127[[#This Row],[VAT Sew. 2017]]+Tabel66892127[[#This Row],[VAT WW 2017]]+Tabel66892127[[#This Row],[VAT Other ch. 2017]]</f>
        <v>0</v>
      </c>
      <c r="S237" s="318">
        <f>Tabel66892127[[#This Row],[Total. ch. DW 2017]]+Tabel66892127[[#This Row],[Sew. 2017]]+Tabel66892127[[#This Row],[VAT Sew. 2017]]+Tabel66892127[[#This Row],[WW 2017]]+Tabel66892127[[#This Row],[VAT WW 2017]]+Tabel66892127[[#This Row],[Other ch. 2017]]+Tabel66892127[[#This Row],[VAT Other ch. 2017]]</f>
        <v>0</v>
      </c>
      <c r="T237" s="397"/>
      <c r="U237" s="358"/>
      <c r="V237" s="359"/>
      <c r="W237" s="360"/>
      <c r="X237" s="586"/>
      <c r="Y237" s="361"/>
      <c r="Z237" s="362"/>
      <c r="AA237" s="586"/>
      <c r="AB237" s="363"/>
      <c r="AC237" s="586"/>
      <c r="AD237" s="364"/>
      <c r="AE237" s="586"/>
      <c r="AF237" s="365"/>
      <c r="AG237" s="366"/>
      <c r="AH237" s="397"/>
      <c r="AI237" s="398"/>
      <c r="AJ237" s="398"/>
      <c r="AK237" s="398"/>
      <c r="AL237" s="398"/>
      <c r="AM237" s="398"/>
      <c r="AN237" s="398"/>
      <c r="AO237" s="398"/>
      <c r="AP237" s="397"/>
    </row>
    <row r="238" spans="1:42" ht="16.5" hidden="1" thickBot="1" x14ac:dyDescent="0.3">
      <c r="A238" s="2152"/>
      <c r="B238" s="261" t="s">
        <v>194</v>
      </c>
      <c r="C238" s="261"/>
      <c r="D238" s="261" t="s">
        <v>1123</v>
      </c>
      <c r="E238" s="2155"/>
      <c r="F238" s="306"/>
      <c r="G238" s="325"/>
      <c r="H238" s="326"/>
      <c r="I238" s="327"/>
      <c r="J238" s="561"/>
      <c r="K238" s="313">
        <f>Tabel66892127[[#This Row],[Fix.ch. 2017]]+Tabel66892127[[#This Row],[Var. ch. 2017]]+Tabel66892127[[#This Row],[Oth. ch. DW 2017]]+Tabel66892127[[#This Row],[VAT DW 2017]]</f>
        <v>0</v>
      </c>
      <c r="L238" s="328"/>
      <c r="M238" s="561"/>
      <c r="N238" s="329"/>
      <c r="O238" s="561"/>
      <c r="P238" s="330"/>
      <c r="Q238" s="561"/>
      <c r="R238" s="317">
        <f>Tabel66892127[[#This Row],[VAT DW 2017]]+Tabel66892127[[#This Row],[VAT Sew. 2017]]+Tabel66892127[[#This Row],[VAT WW 2017]]+Tabel66892127[[#This Row],[VAT Other ch. 2017]]</f>
        <v>0</v>
      </c>
      <c r="S238" s="318">
        <f>Tabel66892127[[#This Row],[Total. ch. DW 2017]]+Tabel66892127[[#This Row],[Sew. 2017]]+Tabel66892127[[#This Row],[VAT Sew. 2017]]+Tabel66892127[[#This Row],[WW 2017]]+Tabel66892127[[#This Row],[VAT WW 2017]]+Tabel66892127[[#This Row],[Other ch. 2017]]+Tabel66892127[[#This Row],[VAT Other ch. 2017]]</f>
        <v>0</v>
      </c>
      <c r="T238" s="397"/>
      <c r="U238" s="367"/>
      <c r="V238" s="368"/>
      <c r="W238" s="369"/>
      <c r="X238" s="587"/>
      <c r="Y238" s="370"/>
      <c r="Z238" s="371"/>
      <c r="AA238" s="587"/>
      <c r="AB238" s="372"/>
      <c r="AC238" s="587"/>
      <c r="AD238" s="373"/>
      <c r="AE238" s="587"/>
      <c r="AF238" s="374"/>
      <c r="AG238" s="375"/>
      <c r="AH238" s="397"/>
      <c r="AI238" s="398"/>
      <c r="AJ238" s="398"/>
      <c r="AK238" s="398"/>
      <c r="AL238" s="398"/>
      <c r="AM238" s="398"/>
      <c r="AN238" s="398"/>
      <c r="AO238" s="398"/>
      <c r="AP238" s="397"/>
    </row>
    <row r="239" spans="1:42" ht="19.5" hidden="1" thickBot="1" x14ac:dyDescent="0.35">
      <c r="A239" s="270" t="s">
        <v>42</v>
      </c>
      <c r="B239" s="260" t="s">
        <v>42</v>
      </c>
      <c r="C239" s="1049" t="s">
        <v>429</v>
      </c>
      <c r="D239" s="817" t="s">
        <v>1125</v>
      </c>
      <c r="E239" s="301">
        <v>59900</v>
      </c>
      <c r="F239" s="306">
        <v>1.2966299999999999</v>
      </c>
      <c r="G239" s="319">
        <v>0</v>
      </c>
      <c r="H239" s="320">
        <f>234/F239</f>
        <v>180.46782813909905</v>
      </c>
      <c r="I239" s="321">
        <f>70.2/F239</f>
        <v>54.140348441729721</v>
      </c>
      <c r="J239" s="559"/>
      <c r="K239" s="313">
        <f>Tabel66892127[[#This Row],[Fix.ch. 2017]]+Tabel66892127[[#This Row],[Var. ch. 2017]]+Tabel66892127[[#This Row],[Oth. ch. DW 2017]]+Tabel66892127[[#This Row],[VAT DW 2017]]</f>
        <v>234.60817658082877</v>
      </c>
      <c r="L239" s="322">
        <v>0</v>
      </c>
      <c r="M239" s="559"/>
      <c r="N239" s="323">
        <f>56.06/F239</f>
        <v>43.23515574990553</v>
      </c>
      <c r="O239" s="559"/>
      <c r="P239" s="324">
        <f>67.29/F239</f>
        <v>51.896069040512721</v>
      </c>
      <c r="Q239" s="559"/>
      <c r="R239" s="317">
        <f>Tabel66892127[[#This Row],[VAT DW 2017]]+Tabel66892127[[#This Row],[VAT Sew. 2017]]+Tabel66892127[[#This Row],[VAT WW 2017]]+Tabel66892127[[#This Row],[VAT Other ch. 2017]]</f>
        <v>0</v>
      </c>
      <c r="S239" s="318">
        <f>Tabel66892127[[#This Row],[Total. ch. DW 2017]]+Tabel66892127[[#This Row],[Sew. 2017]]+Tabel66892127[[#This Row],[VAT Sew. 2017]]+Tabel66892127[[#This Row],[WW 2017]]+Tabel66892127[[#This Row],[VAT WW 2017]]+Tabel66892127[[#This Row],[Other ch. 2017]]+Tabel66892127[[#This Row],[VAT Other ch. 2017]]</f>
        <v>329.73940137124703</v>
      </c>
      <c r="T239" s="397"/>
      <c r="U239" s="331">
        <f>Tabel66892127[[#This Row],[Fix.ch. 2017]]</f>
        <v>0</v>
      </c>
      <c r="V239" s="332">
        <f>Tabel66892127[[#This Row],[Var. ch. 2017]]</f>
        <v>180.46782813909905</v>
      </c>
      <c r="W239" s="333">
        <f>Tabel66892127[[#This Row],[Oth. ch. DW 2017]]</f>
        <v>54.140348441729721</v>
      </c>
      <c r="X239" s="574"/>
      <c r="Y239" s="334">
        <f>Tabel66892127[[#This Row],[Total. ch. DW 2017]]</f>
        <v>234.60817658082877</v>
      </c>
      <c r="Z239" s="335">
        <f>Tabel66892127[[#This Row],[Sew. 2017]]</f>
        <v>0</v>
      </c>
      <c r="AA239" s="574"/>
      <c r="AB239" s="336">
        <f>Tabel66892127[[#This Row],[WW 2017]]</f>
        <v>43.23515574990553</v>
      </c>
      <c r="AC239" s="574"/>
      <c r="AD239" s="337">
        <f>Tabel66892127[[#This Row],[Other ch. 2017]]</f>
        <v>51.896069040512721</v>
      </c>
      <c r="AE239" s="574"/>
      <c r="AF239" s="338">
        <f>Tabel66892127[[#This Row],[Total VAT 2017]]</f>
        <v>0</v>
      </c>
      <c r="AG239" s="339">
        <f>Tabel66892127[[#This Row],[total charge 2017]]</f>
        <v>329.73940137124703</v>
      </c>
      <c r="AH239" s="397"/>
      <c r="AI239" s="398"/>
      <c r="AJ239" s="398"/>
      <c r="AK239" s="398"/>
      <c r="AL239" s="396" t="s">
        <v>429</v>
      </c>
      <c r="AM239" s="398"/>
      <c r="AN239" s="398"/>
      <c r="AO239" s="398"/>
      <c r="AP239" s="397"/>
    </row>
    <row r="240" spans="1:42" ht="19.5" hidden="1" thickBot="1" x14ac:dyDescent="0.3">
      <c r="A240" s="1833" t="s">
        <v>24</v>
      </c>
      <c r="B240" s="289" t="s">
        <v>140</v>
      </c>
      <c r="C240" s="1048" t="s">
        <v>429</v>
      </c>
      <c r="D240" s="805" t="s">
        <v>1127</v>
      </c>
      <c r="E240" s="2156">
        <v>23400</v>
      </c>
      <c r="F240" s="307">
        <v>0.77166999999999997</v>
      </c>
      <c r="G240" s="319">
        <f>0.9*200/F240</f>
        <v>233.26033148884886</v>
      </c>
      <c r="H240" s="320">
        <v>0</v>
      </c>
      <c r="I240" s="321">
        <v>0</v>
      </c>
      <c r="J240" s="559"/>
      <c r="K240" s="313">
        <f>Tabel66892127[[#This Row],[Fix.ch. 2017]]+Tabel66892127[[#This Row],[Var. ch. 2017]]+Tabel66892127[[#This Row],[Oth. ch. DW 2017]]+Tabel66892127[[#This Row],[VAT DW 2017]]</f>
        <v>233.26033148884886</v>
      </c>
      <c r="L240" s="322">
        <f>1.02*200/F240</f>
        <v>264.3617090206954</v>
      </c>
      <c r="M240" s="559"/>
      <c r="N240" s="323">
        <v>0</v>
      </c>
      <c r="O240" s="559"/>
      <c r="P240" s="324">
        <v>0</v>
      </c>
      <c r="Q240" s="559"/>
      <c r="R240" s="317">
        <f>Tabel66892127[[#This Row],[VAT DW 2017]]+Tabel66892127[[#This Row],[VAT Sew. 2017]]+Tabel66892127[[#This Row],[VAT WW 2017]]+Tabel66892127[[#This Row],[VAT Other ch. 2017]]</f>
        <v>0</v>
      </c>
      <c r="S240" s="318">
        <f>Tabel66892127[[#This Row],[Total. ch. DW 2017]]+Tabel66892127[[#This Row],[Sew. 2017]]+Tabel66892127[[#This Row],[VAT Sew. 2017]]+Tabel66892127[[#This Row],[WW 2017]]+Tabel66892127[[#This Row],[VAT WW 2017]]+Tabel66892127[[#This Row],[Other ch. 2017]]+Tabel66892127[[#This Row],[VAT Other ch. 2017]]</f>
        <v>497.62204050954426</v>
      </c>
      <c r="T240" s="397"/>
      <c r="U240" s="1839">
        <f>SUM(G240:G242)/3</f>
        <v>264.3617090206954</v>
      </c>
      <c r="V240" s="1842">
        <v>0</v>
      </c>
      <c r="W240" s="1845">
        <v>0</v>
      </c>
      <c r="X240" s="575"/>
      <c r="Y240" s="1848">
        <f>SUM(K240:K242)/3</f>
        <v>264.3617090206954</v>
      </c>
      <c r="Z240" s="1851">
        <f>SUM(L240:L242)/3</f>
        <v>282.50417924760586</v>
      </c>
      <c r="AA240" s="575"/>
      <c r="AB240" s="1854">
        <v>0</v>
      </c>
      <c r="AC240" s="575"/>
      <c r="AD240" s="1857">
        <v>0</v>
      </c>
      <c r="AE240" s="575"/>
      <c r="AF240" s="1872">
        <f>SUM(R240:R242)/3</f>
        <v>0</v>
      </c>
      <c r="AG240" s="1875">
        <f>SUM(S240:S242)/3</f>
        <v>546.86588826830121</v>
      </c>
      <c r="AH240" s="397"/>
      <c r="AI240" s="398"/>
      <c r="AJ240" s="396" t="s">
        <v>429</v>
      </c>
      <c r="AK240" s="396" t="s">
        <v>429</v>
      </c>
      <c r="AL240" s="396"/>
      <c r="AM240" s="396" t="s">
        <v>429</v>
      </c>
      <c r="AN240" s="398"/>
      <c r="AO240" s="398"/>
      <c r="AP240" s="397"/>
    </row>
    <row r="241" spans="1:42" ht="19.5" hidden="1" thickBot="1" x14ac:dyDescent="0.3">
      <c r="A241" s="1834"/>
      <c r="B241" s="269" t="s">
        <v>141</v>
      </c>
      <c r="C241" s="1048"/>
      <c r="D241" s="805" t="s">
        <v>1127</v>
      </c>
      <c r="E241" s="2157"/>
      <c r="F241" s="307">
        <v>0.77166999999999997</v>
      </c>
      <c r="G241" s="319">
        <f>0.96*200/F241</f>
        <v>248.81102025477213</v>
      </c>
      <c r="H241" s="320">
        <v>0</v>
      </c>
      <c r="I241" s="321">
        <v>0</v>
      </c>
      <c r="J241" s="559"/>
      <c r="K241" s="313">
        <f>Tabel66892127[[#This Row],[Fix.ch. 2017]]+Tabel66892127[[#This Row],[Var. ch. 2017]]+Tabel66892127[[#This Row],[Oth. ch. DW 2017]]+Tabel66892127[[#This Row],[VAT DW 2017]]</f>
        <v>248.81102025477213</v>
      </c>
      <c r="L241" s="322">
        <f>1.1*200/F241</f>
        <v>285.09596070859311</v>
      </c>
      <c r="M241" s="559"/>
      <c r="N241" s="323">
        <v>0</v>
      </c>
      <c r="O241" s="559"/>
      <c r="P241" s="324">
        <v>0</v>
      </c>
      <c r="Q241" s="559"/>
      <c r="R241" s="317">
        <f>Tabel66892127[[#This Row],[VAT DW 2017]]+Tabel66892127[[#This Row],[VAT Sew. 2017]]+Tabel66892127[[#This Row],[VAT WW 2017]]+Tabel66892127[[#This Row],[VAT Other ch. 2017]]</f>
        <v>0</v>
      </c>
      <c r="S241" s="318">
        <f>Tabel66892127[[#This Row],[Total. ch. DW 2017]]+Tabel66892127[[#This Row],[Sew. 2017]]+Tabel66892127[[#This Row],[VAT Sew. 2017]]+Tabel66892127[[#This Row],[WW 2017]]+Tabel66892127[[#This Row],[VAT WW 2017]]+Tabel66892127[[#This Row],[Other ch. 2017]]+Tabel66892127[[#This Row],[VAT Other ch. 2017]]</f>
        <v>533.90698096336519</v>
      </c>
      <c r="T241" s="397"/>
      <c r="U241" s="2158"/>
      <c r="V241" s="2159"/>
      <c r="W241" s="2160"/>
      <c r="X241" s="576"/>
      <c r="Y241" s="2141"/>
      <c r="Z241" s="2142"/>
      <c r="AA241" s="576"/>
      <c r="AB241" s="2143"/>
      <c r="AC241" s="576"/>
      <c r="AD241" s="2144"/>
      <c r="AE241" s="576"/>
      <c r="AF241" s="2145"/>
      <c r="AG241" s="2146"/>
      <c r="AH241" s="397"/>
      <c r="AI241" s="398"/>
      <c r="AJ241" s="396" t="s">
        <v>429</v>
      </c>
      <c r="AK241" s="396" t="s">
        <v>429</v>
      </c>
      <c r="AL241" s="396"/>
      <c r="AM241" s="396" t="s">
        <v>429</v>
      </c>
      <c r="AN241" s="398"/>
      <c r="AO241" s="398"/>
      <c r="AP241" s="397"/>
    </row>
    <row r="242" spans="1:42" ht="19.5" hidden="1" thickBot="1" x14ac:dyDescent="0.3">
      <c r="A242" s="1835"/>
      <c r="B242" s="290" t="s">
        <v>142</v>
      </c>
      <c r="C242" s="1048"/>
      <c r="D242" s="805" t="s">
        <v>1127</v>
      </c>
      <c r="E242" s="1838"/>
      <c r="F242" s="307">
        <v>0.77166999999999997</v>
      </c>
      <c r="G242" s="319">
        <f>1.2*200/F242</f>
        <v>311.01377531846515</v>
      </c>
      <c r="H242" s="320">
        <v>0</v>
      </c>
      <c r="I242" s="321">
        <v>0</v>
      </c>
      <c r="J242" s="559"/>
      <c r="K242" s="313">
        <f>Tabel66892127[[#This Row],[Fix.ch. 2017]]+Tabel66892127[[#This Row],[Var. ch. 2017]]+Tabel66892127[[#This Row],[Oth. ch. DW 2017]]+Tabel66892127[[#This Row],[VAT DW 2017]]</f>
        <v>311.01377531846515</v>
      </c>
      <c r="L242" s="322">
        <f>1.15*200/F242</f>
        <v>298.05486801352907</v>
      </c>
      <c r="M242" s="559"/>
      <c r="N242" s="323">
        <v>0</v>
      </c>
      <c r="O242" s="559"/>
      <c r="P242" s="324">
        <v>0</v>
      </c>
      <c r="Q242" s="559"/>
      <c r="R242" s="317">
        <f>Tabel66892127[[#This Row],[VAT DW 2017]]+Tabel66892127[[#This Row],[VAT Sew. 2017]]+Tabel66892127[[#This Row],[VAT WW 2017]]+Tabel66892127[[#This Row],[VAT Other ch. 2017]]</f>
        <v>0</v>
      </c>
      <c r="S242" s="318">
        <f>Tabel66892127[[#This Row],[Total. ch. DW 2017]]+Tabel66892127[[#This Row],[Sew. 2017]]+Tabel66892127[[#This Row],[VAT Sew. 2017]]+Tabel66892127[[#This Row],[WW 2017]]+Tabel66892127[[#This Row],[VAT WW 2017]]+Tabel66892127[[#This Row],[Other ch. 2017]]+Tabel66892127[[#This Row],[VAT Other ch. 2017]]</f>
        <v>609.06864333199428</v>
      </c>
      <c r="T242" s="397"/>
      <c r="U242" s="1841"/>
      <c r="V242" s="1844"/>
      <c r="W242" s="1847"/>
      <c r="X242" s="577"/>
      <c r="Y242" s="1850"/>
      <c r="Z242" s="1853"/>
      <c r="AA242" s="577"/>
      <c r="AB242" s="1856"/>
      <c r="AC242" s="577"/>
      <c r="AD242" s="1859"/>
      <c r="AE242" s="577"/>
      <c r="AF242" s="1874"/>
      <c r="AG242" s="1877"/>
      <c r="AH242" s="397"/>
      <c r="AI242" s="398"/>
      <c r="AJ242" s="396" t="s">
        <v>429</v>
      </c>
      <c r="AK242" s="396" t="s">
        <v>429</v>
      </c>
      <c r="AL242" s="396"/>
      <c r="AM242" s="396" t="s">
        <v>429</v>
      </c>
      <c r="AN242" s="398"/>
      <c r="AO242" s="398"/>
      <c r="AP242" s="397"/>
    </row>
    <row r="243" spans="1:42" ht="19.5" hidden="1" thickBot="1" x14ac:dyDescent="0.35">
      <c r="A243" s="267" t="s">
        <v>43</v>
      </c>
      <c r="B243" s="294" t="s">
        <v>644</v>
      </c>
      <c r="C243" s="261" t="s">
        <v>429</v>
      </c>
      <c r="D243" s="808" t="s">
        <v>1129</v>
      </c>
      <c r="E243" s="301">
        <v>11500</v>
      </c>
      <c r="F243" s="306">
        <f>'exchange rates'!K56</f>
        <v>10.498559999999999</v>
      </c>
      <c r="G243" s="319">
        <v>0</v>
      </c>
      <c r="H243" s="320">
        <f>1099.22/F243</f>
        <v>104.70197817605462</v>
      </c>
      <c r="I243" s="321">
        <v>0</v>
      </c>
      <c r="J243" s="559"/>
      <c r="K243" s="313">
        <f>Tabel66892127[[#This Row],[Fix.ch. 2017]]+Tabel66892127[[#This Row],[Var. ch. 2017]]+Tabel66892127[[#This Row],[Oth. ch. DW 2017]]+Tabel66892127[[#This Row],[VAT DW 2017]]</f>
        <v>104.70197817605462</v>
      </c>
      <c r="L243" s="322">
        <f>860.9/F243</f>
        <v>82.00172214094124</v>
      </c>
      <c r="M243" s="559"/>
      <c r="N243" s="323">
        <v>0</v>
      </c>
      <c r="O243" s="559"/>
      <c r="P243" s="324">
        <v>0</v>
      </c>
      <c r="Q243" s="559"/>
      <c r="R243" s="317">
        <f>Tabel66892127[[#This Row],[VAT DW 2017]]+Tabel66892127[[#This Row],[VAT Sew. 2017]]+Tabel66892127[[#This Row],[VAT WW 2017]]+Tabel66892127[[#This Row],[VAT Other ch. 2017]]</f>
        <v>0</v>
      </c>
      <c r="S243" s="318">
        <f>Tabel66892127[[#This Row],[Total. ch. DW 2017]]+Tabel66892127[[#This Row],[Sew. 2017]]+Tabel66892127[[#This Row],[VAT Sew. 2017]]+Tabel66892127[[#This Row],[WW 2017]]+Tabel66892127[[#This Row],[VAT WW 2017]]+Tabel66892127[[#This Row],[Other ch. 2017]]+Tabel66892127[[#This Row],[VAT Other ch. 2017]]</f>
        <v>186.70370031699588</v>
      </c>
      <c r="T243" s="397"/>
      <c r="U243" s="340">
        <f>Tabel66892127[[#This Row],[Fix.ch. 2017]]</f>
        <v>0</v>
      </c>
      <c r="V243" s="341">
        <f>Tabel66892127[[#This Row],[Var. ch. 2017]]</f>
        <v>104.70197817605462</v>
      </c>
      <c r="W243" s="333">
        <f>Tabel66892127[[#This Row],[Oth. ch. DW 2017]]</f>
        <v>0</v>
      </c>
      <c r="X243" s="574"/>
      <c r="Y243" s="334">
        <f>Tabel66892127[[#This Row],[Total. ch. DW 2017]]</f>
        <v>104.70197817605462</v>
      </c>
      <c r="Z243" s="335">
        <f>Tabel66892127[[#This Row],[Sew. 2017]]</f>
        <v>82.00172214094124</v>
      </c>
      <c r="AA243" s="574"/>
      <c r="AB243" s="336">
        <f>Tabel66892127[[#This Row],[WW 2017]]</f>
        <v>0</v>
      </c>
      <c r="AC243" s="574"/>
      <c r="AD243" s="337">
        <f>Tabel66892127[[#This Row],[Other ch. 2017]]</f>
        <v>0</v>
      </c>
      <c r="AE243" s="574"/>
      <c r="AF243" s="338">
        <f>Tabel66892127[[#This Row],[Total VAT 2017]]</f>
        <v>0</v>
      </c>
      <c r="AG243" s="458">
        <f>SUM(Y243:AF243)</f>
        <v>186.70370031699588</v>
      </c>
      <c r="AH243" s="397"/>
      <c r="AI243" s="398"/>
      <c r="AJ243" s="398"/>
      <c r="AK243" s="398"/>
      <c r="AL243" s="396" t="s">
        <v>429</v>
      </c>
      <c r="AM243" s="396"/>
      <c r="AN243" s="396" t="s">
        <v>429</v>
      </c>
      <c r="AO243" s="398"/>
      <c r="AP243" s="397"/>
    </row>
    <row r="244" spans="1:42" ht="19.5" hidden="1" thickBot="1" x14ac:dyDescent="0.3">
      <c r="A244" s="267" t="s">
        <v>450</v>
      </c>
      <c r="B244" s="261" t="s">
        <v>177</v>
      </c>
      <c r="C244" s="261"/>
      <c r="D244" s="808" t="s">
        <v>1028</v>
      </c>
      <c r="E244" s="301">
        <v>40800</v>
      </c>
      <c r="F244" s="306">
        <v>0.97958999999999996</v>
      </c>
      <c r="G244" s="310">
        <f>142.4/F244</f>
        <v>145.36693922967774</v>
      </c>
      <c r="H244" s="311">
        <f>352/F244</f>
        <v>359.33400708459664</v>
      </c>
      <c r="I244" s="312">
        <f>36/F244</f>
        <v>36.750068906379198</v>
      </c>
      <c r="J244" s="558"/>
      <c r="K244" s="313">
        <f>Tabel66892127[[#This Row],[Fix.ch. 2017]]+Tabel66892127[[#This Row],[Var. ch. 2017]]+Tabel66892127[[#This Row],[Oth. ch. DW 2017]]+Tabel66892127[[#This Row],[VAT DW 2017]]</f>
        <v>541.45101522065352</v>
      </c>
      <c r="L244" s="314">
        <f>457.3/F244</f>
        <v>466.82795863575581</v>
      </c>
      <c r="M244" s="558"/>
      <c r="N244" s="315">
        <f>0</f>
        <v>0</v>
      </c>
      <c r="O244" s="558"/>
      <c r="P244" s="316">
        <v>0</v>
      </c>
      <c r="Q244" s="558"/>
      <c r="R244" s="317">
        <f>Tabel66892127[[#This Row],[VAT DW 2017]]+Tabel66892127[[#This Row],[VAT Sew. 2017]]+Tabel66892127[[#This Row],[VAT WW 2017]]+Tabel66892127[[#This Row],[VAT Other ch. 2017]]</f>
        <v>0</v>
      </c>
      <c r="S244" s="318">
        <f>Tabel66892127[[#This Row],[Total. ch. DW 2017]]+Tabel66892127[[#This Row],[Sew. 2017]]+Tabel66892127[[#This Row],[VAT Sew. 2017]]+Tabel66892127[[#This Row],[WW 2017]]+Tabel66892127[[#This Row],[VAT WW 2017]]+Tabel66892127[[#This Row],[Other ch. 2017]]+Tabel66892127[[#This Row],[VAT Other ch. 2017]]</f>
        <v>1008.2789738564093</v>
      </c>
      <c r="T244" s="397"/>
      <c r="U244" s="340">
        <f>Tabel66892127[[#This Row],[Fix.ch. 2017]]</f>
        <v>145.36693922967774</v>
      </c>
      <c r="V244" s="341">
        <v>359.33400708459664</v>
      </c>
      <c r="W244" s="342">
        <v>36.750068906379198</v>
      </c>
      <c r="X244" s="581"/>
      <c r="Y244" s="343">
        <v>541.45101522065352</v>
      </c>
      <c r="Z244" s="344">
        <v>466.82795863575581</v>
      </c>
      <c r="AA244" s="581"/>
      <c r="AB244" s="345">
        <v>0</v>
      </c>
      <c r="AC244" s="581"/>
      <c r="AD244" s="346">
        <v>0</v>
      </c>
      <c r="AE244" s="581"/>
      <c r="AF244" s="347">
        <v>0</v>
      </c>
      <c r="AG244" s="348">
        <v>1008.2789738564093</v>
      </c>
      <c r="AH244" s="397"/>
      <c r="AI244" s="398"/>
      <c r="AJ244" s="398"/>
      <c r="AK244" s="398"/>
      <c r="AL244" s="396" t="s">
        <v>429</v>
      </c>
      <c r="AM244" s="396" t="s">
        <v>429</v>
      </c>
      <c r="AN244" s="396" t="s">
        <v>429</v>
      </c>
      <c r="AO244" s="398" t="s">
        <v>452</v>
      </c>
      <c r="AP244" s="397"/>
    </row>
    <row r="245" spans="1:42" ht="18" hidden="1" customHeight="1" x14ac:dyDescent="0.3">
      <c r="A245" s="1878" t="s">
        <v>25</v>
      </c>
      <c r="B245" s="638" t="s">
        <v>143</v>
      </c>
      <c r="C245" s="693" t="s">
        <v>429</v>
      </c>
      <c r="D245" s="806" t="s">
        <v>1131</v>
      </c>
      <c r="E245" s="1934">
        <v>39400</v>
      </c>
      <c r="F245" s="617">
        <f>'exchange rates'!$O$57</f>
        <v>1066.97433</v>
      </c>
      <c r="G245" s="549">
        <v>0</v>
      </c>
      <c r="H245" s="550">
        <f>57210/F245</f>
        <v>53.618909463360751</v>
      </c>
      <c r="I245" s="551">
        <v>0</v>
      </c>
      <c r="J245" s="560">
        <v>0</v>
      </c>
      <c r="K245" s="566">
        <f>Tabel66892127[[#This Row],[Fix.ch. 2017]]+Tabel66892127[[#This Row],[Var. ch. 2017]]+Tabel66892127[[#This Row],[Oth. ch. DW 2017]]+Tabel66892127[[#This Row],[VAT DW 2017]]</f>
        <v>53.618909463360751</v>
      </c>
      <c r="L245" s="567">
        <v>0</v>
      </c>
      <c r="M245" s="560">
        <v>0</v>
      </c>
      <c r="N245" s="568">
        <v>0</v>
      </c>
      <c r="O245" s="560">
        <v>0</v>
      </c>
      <c r="P245" s="569">
        <v>0</v>
      </c>
      <c r="Q245" s="560">
        <v>0</v>
      </c>
      <c r="R245" s="570">
        <f>Tabel66892127[[#This Row],[VAT DW 2017]]+Tabel66892127[[#This Row],[VAT Sew. 2017]]+Tabel66892127[[#This Row],[VAT WW 2017]]+Tabel66892127[[#This Row],[VAT Other ch. 2017]]</f>
        <v>0</v>
      </c>
      <c r="S245" s="571">
        <f>Tabel66892127[[#This Row],[Total. ch. DW 2017]]+Tabel66892127[[#This Row],[Sew. 2017]]+Tabel66892127[[#This Row],[VAT Sew. 2017]]+Tabel66892127[[#This Row],[WW 2017]]+Tabel66892127[[#This Row],[VAT WW 2017]]+Tabel66892127[[#This Row],[Other ch. 2017]]+Tabel66892127[[#This Row],[VAT Other ch. 2017]]</f>
        <v>53.618909463360751</v>
      </c>
      <c r="T245" s="397"/>
      <c r="U245" s="1935">
        <f>MEDIAN(G245:G252)</f>
        <v>0</v>
      </c>
      <c r="V245" s="1936">
        <f>MEDIAN(H245:H252)</f>
        <v>63.698814572230617</v>
      </c>
      <c r="W245" s="1937">
        <f>MEDIAN(I245:I252)</f>
        <v>0</v>
      </c>
      <c r="X245" s="1771">
        <f>MEDIAN(J245:J252)</f>
        <v>0</v>
      </c>
      <c r="Y245" s="1939">
        <f>SUM(U245:X252)</f>
        <v>63.698814572230617</v>
      </c>
      <c r="Z245" s="1950">
        <f t="shared" ref="Z245:AF245" si="35">MEDIAN(L245:L252)</f>
        <v>0</v>
      </c>
      <c r="AA245" s="1771">
        <f t="shared" si="35"/>
        <v>0</v>
      </c>
      <c r="AB245" s="1946">
        <f t="shared" si="35"/>
        <v>0</v>
      </c>
      <c r="AC245" s="1771">
        <f t="shared" si="35"/>
        <v>0</v>
      </c>
      <c r="AD245" s="1947">
        <f t="shared" si="35"/>
        <v>0</v>
      </c>
      <c r="AE245" s="1771">
        <f t="shared" si="35"/>
        <v>0</v>
      </c>
      <c r="AF245" s="1944">
        <f t="shared" si="35"/>
        <v>0</v>
      </c>
      <c r="AG245" s="1945">
        <f>Y245+Z245+AA245+AB245+AC245+AD245+AE245</f>
        <v>63.698814572230617</v>
      </c>
      <c r="AH245" s="397"/>
      <c r="AI245" s="398"/>
      <c r="AJ245" s="398"/>
      <c r="AK245" s="398"/>
      <c r="AL245" s="591" t="s">
        <v>429</v>
      </c>
      <c r="AM245" s="398"/>
      <c r="AN245" s="398"/>
      <c r="AO245" s="398"/>
      <c r="AP245" s="397"/>
    </row>
    <row r="246" spans="1:42" ht="16.5" hidden="1" thickBot="1" x14ac:dyDescent="0.3">
      <c r="A246" s="1757"/>
      <c r="B246" s="639" t="s">
        <v>144</v>
      </c>
      <c r="C246" s="639"/>
      <c r="D246" s="724" t="s">
        <v>1131</v>
      </c>
      <c r="E246" s="1760"/>
      <c r="F246" s="617">
        <f>'exchange rates'!$O$57</f>
        <v>1066.97433</v>
      </c>
      <c r="G246" s="549">
        <v>0</v>
      </c>
      <c r="H246" s="550">
        <f>77030/F246</f>
        <v>72.194801537540272</v>
      </c>
      <c r="I246" s="551">
        <v>0</v>
      </c>
      <c r="J246" s="560">
        <v>0</v>
      </c>
      <c r="K246" s="566">
        <f>Tabel66892127[[#This Row],[Fix.ch. 2017]]+Tabel66892127[[#This Row],[Var. ch. 2017]]+Tabel66892127[[#This Row],[Oth. ch. DW 2017]]+Tabel66892127[[#This Row],[VAT DW 2017]]</f>
        <v>72.194801537540272</v>
      </c>
      <c r="L246" s="567">
        <v>0</v>
      </c>
      <c r="M246" s="560">
        <v>0</v>
      </c>
      <c r="N246" s="568">
        <v>0</v>
      </c>
      <c r="O246" s="560">
        <v>0</v>
      </c>
      <c r="P246" s="569">
        <v>0</v>
      </c>
      <c r="Q246" s="560">
        <v>0</v>
      </c>
      <c r="R246" s="570">
        <f>Tabel66892127[[#This Row],[VAT DW 2017]]+Tabel66892127[[#This Row],[VAT Sew. 2017]]+Tabel66892127[[#This Row],[VAT WW 2017]]+Tabel66892127[[#This Row],[VAT Other ch. 2017]]</f>
        <v>0</v>
      </c>
      <c r="S246" s="571">
        <f>Tabel66892127[[#This Row],[Total. ch. DW 2017]]+Tabel66892127[[#This Row],[Sew. 2017]]+Tabel66892127[[#This Row],[VAT Sew. 2017]]+Tabel66892127[[#This Row],[WW 2017]]+Tabel66892127[[#This Row],[VAT WW 2017]]+Tabel66892127[[#This Row],[Other ch. 2017]]+Tabel66892127[[#This Row],[VAT Other ch. 2017]]</f>
        <v>72.194801537540272</v>
      </c>
      <c r="T246" s="397"/>
      <c r="U246" s="1763"/>
      <c r="V246" s="1766"/>
      <c r="W246" s="1769"/>
      <c r="X246" s="1772"/>
      <c r="Y246" s="1775"/>
      <c r="Z246" s="1778"/>
      <c r="AA246" s="1772"/>
      <c r="AB246" s="1781"/>
      <c r="AC246" s="1772"/>
      <c r="AD246" s="1785"/>
      <c r="AE246" s="1772"/>
      <c r="AF246" s="1788"/>
      <c r="AG246" s="1791"/>
      <c r="AH246" s="397"/>
      <c r="AI246" s="398"/>
      <c r="AJ246" s="398"/>
      <c r="AK246" s="398"/>
      <c r="AL246" s="591" t="s">
        <v>429</v>
      </c>
      <c r="AM246" s="398"/>
      <c r="AN246" s="398"/>
      <c r="AO246" s="398"/>
      <c r="AP246" s="397"/>
    </row>
    <row r="247" spans="1:42" ht="16.5" hidden="1" thickBot="1" x14ac:dyDescent="0.3">
      <c r="A247" s="1757"/>
      <c r="B247" s="639" t="s">
        <v>145</v>
      </c>
      <c r="C247" s="639"/>
      <c r="D247" s="724" t="s">
        <v>1131</v>
      </c>
      <c r="E247" s="1760"/>
      <c r="F247" s="617">
        <f>'exchange rates'!$O$57</f>
        <v>1066.97433</v>
      </c>
      <c r="G247" s="549">
        <v>0</v>
      </c>
      <c r="H247" s="550">
        <f>68930/F247</f>
        <v>64.603241204500208</v>
      </c>
      <c r="I247" s="551">
        <v>0</v>
      </c>
      <c r="J247" s="560">
        <v>0</v>
      </c>
      <c r="K247" s="566">
        <f>Tabel66892127[[#This Row],[Fix.ch. 2017]]+Tabel66892127[[#This Row],[Var. ch. 2017]]+Tabel66892127[[#This Row],[Oth. ch. DW 2017]]+Tabel66892127[[#This Row],[VAT DW 2017]]</f>
        <v>64.603241204500208</v>
      </c>
      <c r="L247" s="567">
        <v>0</v>
      </c>
      <c r="M247" s="560">
        <v>0</v>
      </c>
      <c r="N247" s="568">
        <v>0</v>
      </c>
      <c r="O247" s="560">
        <v>0</v>
      </c>
      <c r="P247" s="569">
        <v>0</v>
      </c>
      <c r="Q247" s="560">
        <v>0</v>
      </c>
      <c r="R247" s="570">
        <f>Tabel66892127[[#This Row],[VAT DW 2017]]+Tabel66892127[[#This Row],[VAT Sew. 2017]]+Tabel66892127[[#This Row],[VAT WW 2017]]+Tabel66892127[[#This Row],[VAT Other ch. 2017]]</f>
        <v>0</v>
      </c>
      <c r="S247" s="571">
        <f>Tabel66892127[[#This Row],[Total. ch. DW 2017]]+Tabel66892127[[#This Row],[Sew. 2017]]+Tabel66892127[[#This Row],[VAT Sew. 2017]]+Tabel66892127[[#This Row],[WW 2017]]+Tabel66892127[[#This Row],[VAT WW 2017]]+Tabel66892127[[#This Row],[Other ch. 2017]]+Tabel66892127[[#This Row],[VAT Other ch. 2017]]</f>
        <v>64.603241204500208</v>
      </c>
      <c r="T247" s="397"/>
      <c r="U247" s="1763"/>
      <c r="V247" s="1766"/>
      <c r="W247" s="1769"/>
      <c r="X247" s="1772"/>
      <c r="Y247" s="1775"/>
      <c r="Z247" s="1778"/>
      <c r="AA247" s="1772"/>
      <c r="AB247" s="1781"/>
      <c r="AC247" s="1772"/>
      <c r="AD247" s="1785"/>
      <c r="AE247" s="1772"/>
      <c r="AF247" s="1788"/>
      <c r="AG247" s="1791"/>
      <c r="AH247" s="397"/>
      <c r="AI247" s="398"/>
      <c r="AJ247" s="398"/>
      <c r="AK247" s="398"/>
      <c r="AL247" s="591" t="s">
        <v>429</v>
      </c>
      <c r="AM247" s="398"/>
      <c r="AN247" s="398"/>
      <c r="AO247" s="398"/>
      <c r="AP247" s="397"/>
    </row>
    <row r="248" spans="1:42" ht="16.5" hidden="1" thickBot="1" x14ac:dyDescent="0.3">
      <c r="A248" s="1757"/>
      <c r="B248" s="639" t="s">
        <v>146</v>
      </c>
      <c r="C248" s="639"/>
      <c r="D248" s="724" t="s">
        <v>1131</v>
      </c>
      <c r="E248" s="1760"/>
      <c r="F248" s="617">
        <f>'exchange rates'!$O$57</f>
        <v>1066.97433</v>
      </c>
      <c r="G248" s="549">
        <v>0</v>
      </c>
      <c r="H248" s="550">
        <f>67150/F248</f>
        <v>62.934972390572881</v>
      </c>
      <c r="I248" s="551">
        <v>0</v>
      </c>
      <c r="J248" s="560">
        <v>0</v>
      </c>
      <c r="K248" s="566">
        <f>Tabel66892127[[#This Row],[Fix.ch. 2017]]+Tabel66892127[[#This Row],[Var. ch. 2017]]+Tabel66892127[[#This Row],[Oth. ch. DW 2017]]+Tabel66892127[[#This Row],[VAT DW 2017]]</f>
        <v>62.934972390572881</v>
      </c>
      <c r="L248" s="567">
        <v>0</v>
      </c>
      <c r="M248" s="560">
        <v>0</v>
      </c>
      <c r="N248" s="568">
        <v>0</v>
      </c>
      <c r="O248" s="560">
        <v>0</v>
      </c>
      <c r="P248" s="569">
        <v>0</v>
      </c>
      <c r="Q248" s="560">
        <v>0</v>
      </c>
      <c r="R248" s="570">
        <f>Tabel66892127[[#This Row],[VAT DW 2017]]+Tabel66892127[[#This Row],[VAT Sew. 2017]]+Tabel66892127[[#This Row],[VAT WW 2017]]+Tabel66892127[[#This Row],[VAT Other ch. 2017]]</f>
        <v>0</v>
      </c>
      <c r="S248" s="571">
        <f>Tabel66892127[[#This Row],[Total. ch. DW 2017]]+Tabel66892127[[#This Row],[Sew. 2017]]+Tabel66892127[[#This Row],[VAT Sew. 2017]]+Tabel66892127[[#This Row],[WW 2017]]+Tabel66892127[[#This Row],[VAT WW 2017]]+Tabel66892127[[#This Row],[Other ch. 2017]]+Tabel66892127[[#This Row],[VAT Other ch. 2017]]</f>
        <v>62.934972390572881</v>
      </c>
      <c r="T248" s="397"/>
      <c r="U248" s="1763"/>
      <c r="V248" s="1766"/>
      <c r="W248" s="1769"/>
      <c r="X248" s="1772"/>
      <c r="Y248" s="1775"/>
      <c r="Z248" s="1778"/>
      <c r="AA248" s="1772"/>
      <c r="AB248" s="1781"/>
      <c r="AC248" s="1772"/>
      <c r="AD248" s="1785"/>
      <c r="AE248" s="1772"/>
      <c r="AF248" s="1788"/>
      <c r="AG248" s="1791"/>
      <c r="AH248" s="397"/>
      <c r="AI248" s="398"/>
      <c r="AJ248" s="398"/>
      <c r="AK248" s="398"/>
      <c r="AL248" s="591" t="s">
        <v>429</v>
      </c>
      <c r="AM248" s="398"/>
      <c r="AN248" s="398"/>
      <c r="AO248" s="398"/>
      <c r="AP248" s="397"/>
    </row>
    <row r="249" spans="1:42" ht="16.5" hidden="1" thickBot="1" x14ac:dyDescent="0.3">
      <c r="A249" s="1757"/>
      <c r="B249" s="639" t="s">
        <v>147</v>
      </c>
      <c r="C249" s="639"/>
      <c r="D249" s="724" t="s">
        <v>1131</v>
      </c>
      <c r="E249" s="1760"/>
      <c r="F249" s="617">
        <f>'exchange rates'!$O$57</f>
        <v>1066.97433</v>
      </c>
      <c r="G249" s="549">
        <v>0</v>
      </c>
      <c r="H249" s="550">
        <f>62240/F249</f>
        <v>58.333174707211562</v>
      </c>
      <c r="I249" s="551">
        <v>0</v>
      </c>
      <c r="J249" s="560">
        <v>0</v>
      </c>
      <c r="K249" s="566">
        <f>Tabel66892127[[#This Row],[Fix.ch. 2017]]+Tabel66892127[[#This Row],[Var. ch. 2017]]+Tabel66892127[[#This Row],[Oth. ch. DW 2017]]+Tabel66892127[[#This Row],[VAT DW 2017]]</f>
        <v>58.333174707211562</v>
      </c>
      <c r="L249" s="567">
        <v>0</v>
      </c>
      <c r="M249" s="560">
        <v>0</v>
      </c>
      <c r="N249" s="568">
        <v>0</v>
      </c>
      <c r="O249" s="560">
        <v>0</v>
      </c>
      <c r="P249" s="569">
        <v>0</v>
      </c>
      <c r="Q249" s="560">
        <v>0</v>
      </c>
      <c r="R249" s="570">
        <f>Tabel66892127[[#This Row],[VAT DW 2017]]+Tabel66892127[[#This Row],[VAT Sew. 2017]]+Tabel66892127[[#This Row],[VAT WW 2017]]+Tabel66892127[[#This Row],[VAT Other ch. 2017]]</f>
        <v>0</v>
      </c>
      <c r="S249" s="571">
        <f>Tabel66892127[[#This Row],[Total. ch. DW 2017]]+Tabel66892127[[#This Row],[Sew. 2017]]+Tabel66892127[[#This Row],[VAT Sew. 2017]]+Tabel66892127[[#This Row],[WW 2017]]+Tabel66892127[[#This Row],[VAT WW 2017]]+Tabel66892127[[#This Row],[Other ch. 2017]]+Tabel66892127[[#This Row],[VAT Other ch. 2017]]</f>
        <v>58.333174707211562</v>
      </c>
      <c r="T249" s="397"/>
      <c r="U249" s="1763"/>
      <c r="V249" s="1766"/>
      <c r="W249" s="1769"/>
      <c r="X249" s="1772"/>
      <c r="Y249" s="1775"/>
      <c r="Z249" s="1778"/>
      <c r="AA249" s="1772"/>
      <c r="AB249" s="1781"/>
      <c r="AC249" s="1772"/>
      <c r="AD249" s="1785"/>
      <c r="AE249" s="1772"/>
      <c r="AF249" s="1788"/>
      <c r="AG249" s="1791"/>
      <c r="AH249" s="397"/>
      <c r="AI249" s="398"/>
      <c r="AJ249" s="398"/>
      <c r="AK249" s="398"/>
      <c r="AL249" s="591" t="s">
        <v>429</v>
      </c>
      <c r="AM249" s="398"/>
      <c r="AN249" s="398"/>
      <c r="AO249" s="398"/>
      <c r="AP249" s="397"/>
    </row>
    <row r="250" spans="1:42" ht="16.5" hidden="1" thickBot="1" x14ac:dyDescent="0.3">
      <c r="A250" s="1757"/>
      <c r="B250" s="639" t="s">
        <v>148</v>
      </c>
      <c r="C250" s="639"/>
      <c r="D250" s="724" t="s">
        <v>1131</v>
      </c>
      <c r="E250" s="1760"/>
      <c r="F250" s="617">
        <f>'exchange rates'!$O$57</f>
        <v>1066.97433</v>
      </c>
      <c r="G250" s="549">
        <v>0</v>
      </c>
      <c r="H250" s="550">
        <f>52990/F250</f>
        <v>49.663800252813957</v>
      </c>
      <c r="I250" s="551">
        <v>0</v>
      </c>
      <c r="J250" s="560">
        <v>0</v>
      </c>
      <c r="K250" s="566">
        <f>Tabel66892127[[#This Row],[Fix.ch. 2017]]+Tabel66892127[[#This Row],[Var. ch. 2017]]+Tabel66892127[[#This Row],[Oth. ch. DW 2017]]+Tabel66892127[[#This Row],[VAT DW 2017]]</f>
        <v>49.663800252813957</v>
      </c>
      <c r="L250" s="567">
        <v>0</v>
      </c>
      <c r="M250" s="560">
        <v>0</v>
      </c>
      <c r="N250" s="568">
        <v>0</v>
      </c>
      <c r="O250" s="560">
        <v>0</v>
      </c>
      <c r="P250" s="569">
        <v>0</v>
      </c>
      <c r="Q250" s="560">
        <v>0</v>
      </c>
      <c r="R250" s="570">
        <f>Tabel66892127[[#This Row],[VAT DW 2017]]+Tabel66892127[[#This Row],[VAT Sew. 2017]]+Tabel66892127[[#This Row],[VAT WW 2017]]+Tabel66892127[[#This Row],[VAT Other ch. 2017]]</f>
        <v>0</v>
      </c>
      <c r="S250" s="571">
        <f>Tabel66892127[[#This Row],[Total. ch. DW 2017]]+Tabel66892127[[#This Row],[Sew. 2017]]+Tabel66892127[[#This Row],[VAT Sew. 2017]]+Tabel66892127[[#This Row],[WW 2017]]+Tabel66892127[[#This Row],[VAT WW 2017]]+Tabel66892127[[#This Row],[Other ch. 2017]]+Tabel66892127[[#This Row],[VAT Other ch. 2017]]</f>
        <v>49.663800252813957</v>
      </c>
      <c r="T250" s="397"/>
      <c r="U250" s="1763"/>
      <c r="V250" s="1766"/>
      <c r="W250" s="1769"/>
      <c r="X250" s="1772"/>
      <c r="Y250" s="1775"/>
      <c r="Z250" s="1778"/>
      <c r="AA250" s="1772"/>
      <c r="AB250" s="1781"/>
      <c r="AC250" s="1772"/>
      <c r="AD250" s="1785"/>
      <c r="AE250" s="1772"/>
      <c r="AF250" s="1788"/>
      <c r="AG250" s="1791"/>
      <c r="AH250" s="397"/>
      <c r="AI250" s="398"/>
      <c r="AJ250" s="398"/>
      <c r="AK250" s="398"/>
      <c r="AL250" s="591" t="s">
        <v>429</v>
      </c>
      <c r="AM250" s="398"/>
      <c r="AN250" s="398"/>
      <c r="AO250" s="398"/>
      <c r="AP250" s="397"/>
    </row>
    <row r="251" spans="1:42" ht="16.5" hidden="1" thickBot="1" x14ac:dyDescent="0.3">
      <c r="A251" s="1757"/>
      <c r="B251" s="639" t="s">
        <v>149</v>
      </c>
      <c r="C251" s="639"/>
      <c r="D251" s="724" t="s">
        <v>1131</v>
      </c>
      <c r="E251" s="1760"/>
      <c r="F251" s="617">
        <f>'exchange rates'!$O$57</f>
        <v>1066.97433</v>
      </c>
      <c r="G251" s="549">
        <v>0</v>
      </c>
      <c r="H251" s="550">
        <f>86540/F251</f>
        <v>81.107855706331748</v>
      </c>
      <c r="I251" s="551">
        <v>0</v>
      </c>
      <c r="J251" s="560">
        <v>0</v>
      </c>
      <c r="K251" s="566">
        <f>Tabel66892127[[#This Row],[Fix.ch. 2017]]+Tabel66892127[[#This Row],[Var. ch. 2017]]+Tabel66892127[[#This Row],[Oth. ch. DW 2017]]+Tabel66892127[[#This Row],[VAT DW 2017]]</f>
        <v>81.107855706331748</v>
      </c>
      <c r="L251" s="567">
        <v>0</v>
      </c>
      <c r="M251" s="560">
        <v>0</v>
      </c>
      <c r="N251" s="568">
        <v>0</v>
      </c>
      <c r="O251" s="560">
        <v>0</v>
      </c>
      <c r="P251" s="569">
        <v>0</v>
      </c>
      <c r="Q251" s="560">
        <v>0</v>
      </c>
      <c r="R251" s="570">
        <f>Tabel66892127[[#This Row],[VAT DW 2017]]+Tabel66892127[[#This Row],[VAT Sew. 2017]]+Tabel66892127[[#This Row],[VAT WW 2017]]+Tabel66892127[[#This Row],[VAT Other ch. 2017]]</f>
        <v>0</v>
      </c>
      <c r="S251" s="571">
        <f>Tabel66892127[[#This Row],[Total. ch. DW 2017]]+Tabel66892127[[#This Row],[Sew. 2017]]+Tabel66892127[[#This Row],[VAT Sew. 2017]]+Tabel66892127[[#This Row],[WW 2017]]+Tabel66892127[[#This Row],[VAT WW 2017]]+Tabel66892127[[#This Row],[Other ch. 2017]]+Tabel66892127[[#This Row],[VAT Other ch. 2017]]</f>
        <v>81.107855706331748</v>
      </c>
      <c r="T251" s="397"/>
      <c r="U251" s="1763"/>
      <c r="V251" s="1766"/>
      <c r="W251" s="1769"/>
      <c r="X251" s="1772"/>
      <c r="Y251" s="1775"/>
      <c r="Z251" s="1778"/>
      <c r="AA251" s="1772"/>
      <c r="AB251" s="1781"/>
      <c r="AC251" s="1772"/>
      <c r="AD251" s="1785"/>
      <c r="AE251" s="1772"/>
      <c r="AF251" s="1788"/>
      <c r="AG251" s="1791"/>
      <c r="AH251" s="397"/>
      <c r="AI251" s="398"/>
      <c r="AJ251" s="398"/>
      <c r="AK251" s="398"/>
      <c r="AL251" s="591" t="s">
        <v>429</v>
      </c>
      <c r="AM251" s="398"/>
      <c r="AN251" s="398"/>
      <c r="AO251" s="398"/>
      <c r="AP251" s="397"/>
    </row>
    <row r="252" spans="1:42" ht="16.5" hidden="1" thickBot="1" x14ac:dyDescent="0.3">
      <c r="A252" s="1758"/>
      <c r="B252" s="640" t="s">
        <v>150</v>
      </c>
      <c r="C252" s="652"/>
      <c r="D252" s="807" t="s">
        <v>1131</v>
      </c>
      <c r="E252" s="1799"/>
      <c r="F252" s="617">
        <f>'exchange rates'!$O$57</f>
        <v>1066.97433</v>
      </c>
      <c r="G252" s="549">
        <v>0</v>
      </c>
      <c r="H252" s="550">
        <f>68780/F252</f>
        <v>64.462656753888353</v>
      </c>
      <c r="I252" s="551">
        <v>0</v>
      </c>
      <c r="J252" s="560">
        <v>0</v>
      </c>
      <c r="K252" s="566">
        <f>Tabel66892127[[#This Row],[Fix.ch. 2017]]+Tabel66892127[[#This Row],[Var. ch. 2017]]+Tabel66892127[[#This Row],[Oth. ch. DW 2017]]+Tabel66892127[[#This Row],[VAT DW 2017]]</f>
        <v>64.462656753888353</v>
      </c>
      <c r="L252" s="567">
        <v>0</v>
      </c>
      <c r="M252" s="560">
        <v>0</v>
      </c>
      <c r="N252" s="568">
        <v>0</v>
      </c>
      <c r="O252" s="560">
        <v>0</v>
      </c>
      <c r="P252" s="569">
        <v>0</v>
      </c>
      <c r="Q252" s="560">
        <v>0</v>
      </c>
      <c r="R252" s="570">
        <f>Tabel66892127[[#This Row],[VAT DW 2017]]+Tabel66892127[[#This Row],[VAT Sew. 2017]]+Tabel66892127[[#This Row],[VAT WW 2017]]+Tabel66892127[[#This Row],[VAT Other ch. 2017]]</f>
        <v>0</v>
      </c>
      <c r="S252" s="571">
        <f>Tabel66892127[[#This Row],[Total. ch. DW 2017]]+Tabel66892127[[#This Row],[Sew. 2017]]+Tabel66892127[[#This Row],[VAT Sew. 2017]]+Tabel66892127[[#This Row],[WW 2017]]+Tabel66892127[[#This Row],[VAT WW 2017]]+Tabel66892127[[#This Row],[Other ch. 2017]]+Tabel66892127[[#This Row],[VAT Other ch. 2017]]</f>
        <v>64.462656753888353</v>
      </c>
      <c r="T252" s="397"/>
      <c r="U252" s="1801"/>
      <c r="V252" s="1803"/>
      <c r="W252" s="1805"/>
      <c r="X252" s="1773"/>
      <c r="Y252" s="1807"/>
      <c r="Z252" s="1809"/>
      <c r="AA252" s="1773"/>
      <c r="AB252" s="1782"/>
      <c r="AC252" s="1773"/>
      <c r="AD252" s="1786"/>
      <c r="AE252" s="1773"/>
      <c r="AF252" s="1789"/>
      <c r="AG252" s="1792"/>
      <c r="AH252" s="397"/>
      <c r="AI252" s="398"/>
      <c r="AJ252" s="398"/>
      <c r="AK252" s="398"/>
      <c r="AL252" s="591" t="s">
        <v>429</v>
      </c>
      <c r="AM252" s="398"/>
      <c r="AN252" s="398"/>
      <c r="AO252" s="398"/>
      <c r="AP252" s="397"/>
    </row>
    <row r="253" spans="1:42" ht="18" hidden="1" customHeight="1" x14ac:dyDescent="0.3">
      <c r="A253" s="1878" t="s">
        <v>26</v>
      </c>
      <c r="B253" s="638" t="s">
        <v>151</v>
      </c>
      <c r="C253" s="693"/>
      <c r="D253" s="806" t="s">
        <v>1133</v>
      </c>
      <c r="E253" s="1934">
        <v>38200</v>
      </c>
      <c r="F253" s="617">
        <f>'exchange rates'!$O$58</f>
        <v>0.83301000000000003</v>
      </c>
      <c r="G253" s="549">
        <v>0</v>
      </c>
      <c r="H253" s="550">
        <f>160.46/F253</f>
        <v>192.62673917479984</v>
      </c>
      <c r="I253" s="551">
        <v>0</v>
      </c>
      <c r="J253" s="560">
        <f>16.05/F253</f>
        <v>19.267475780602876</v>
      </c>
      <c r="K253" s="566">
        <f>Tabel66892127[[#This Row],[Fix.ch. 2017]]+Tabel66892127[[#This Row],[Var. ch. 2017]]+Tabel66892127[[#This Row],[Oth. ch. DW 2017]]+Tabel66892127[[#This Row],[VAT DW 2017]]</f>
        <v>211.8942149554027</v>
      </c>
      <c r="L253" s="567">
        <f>15.29/F253</f>
        <v>18.355121787253452</v>
      </c>
      <c r="M253" s="560">
        <f>1.53/F253</f>
        <v>1.8367126445060684</v>
      </c>
      <c r="N253" s="568">
        <f>48.63/F253</f>
        <v>58.378650916555628</v>
      </c>
      <c r="O253" s="560">
        <f>4.86/F253</f>
        <v>5.8342636943133934</v>
      </c>
      <c r="P253" s="569">
        <v>0</v>
      </c>
      <c r="Q253" s="560">
        <v>0</v>
      </c>
      <c r="R253" s="570">
        <f>Tabel66892127[[#This Row],[VAT DW 2017]]+Tabel66892127[[#This Row],[VAT Sew. 2017]]+Tabel66892127[[#This Row],[VAT WW 2017]]+Tabel66892127[[#This Row],[VAT Other ch. 2017]]</f>
        <v>26.938452119422337</v>
      </c>
      <c r="S253" s="571">
        <f>Tabel66892127[[#This Row],[Total. ch. DW 2017]]+Tabel66892127[[#This Row],[Sew. 2017]]+Tabel66892127[[#This Row],[VAT Sew. 2017]]+Tabel66892127[[#This Row],[WW 2017]]+Tabel66892127[[#This Row],[VAT WW 2017]]+Tabel66892127[[#This Row],[Other ch. 2017]]+Tabel66892127[[#This Row],[VAT Other ch. 2017]]</f>
        <v>296.29896399803124</v>
      </c>
      <c r="T253" s="397"/>
      <c r="U253" s="1935">
        <f>MEDIAN(G253:G257)</f>
        <v>0</v>
      </c>
      <c r="V253" s="1936">
        <f>MEDIAN(H253:H257)</f>
        <v>125.11254366694277</v>
      </c>
      <c r="W253" s="1937">
        <f>MEDIAN(I253:I257)</f>
        <v>0</v>
      </c>
      <c r="X253" s="1771">
        <f>MEDIAN(J253:J257)</f>
        <v>12.508853435132831</v>
      </c>
      <c r="Y253" s="1939">
        <f>SUM(U253:X257)</f>
        <v>137.6213971020756</v>
      </c>
      <c r="Z253" s="1950">
        <f t="shared" ref="Z253:AF253" si="36">MEDIAN(L253:L257)</f>
        <v>20.840085953349899</v>
      </c>
      <c r="AA253" s="1771">
        <f t="shared" si="36"/>
        <v>2.0888104584578815</v>
      </c>
      <c r="AB253" s="1946">
        <f t="shared" si="36"/>
        <v>91.811622909688964</v>
      </c>
      <c r="AC253" s="1771">
        <f t="shared" si="36"/>
        <v>9.1835632225303421</v>
      </c>
      <c r="AD253" s="1947">
        <f t="shared" si="36"/>
        <v>0</v>
      </c>
      <c r="AE253" s="1771">
        <f t="shared" si="36"/>
        <v>0</v>
      </c>
      <c r="AF253" s="1944">
        <f t="shared" si="36"/>
        <v>24.249408770602994</v>
      </c>
      <c r="AG253" s="1945">
        <f>Y253+Z253+AA253+AB253+AC253+AD253+AE253</f>
        <v>261.54547964610271</v>
      </c>
      <c r="AH253" s="397"/>
      <c r="AI253" s="398"/>
      <c r="AJ253" s="398"/>
      <c r="AK253" s="398"/>
      <c r="AL253" s="591" t="s">
        <v>429</v>
      </c>
      <c r="AM253" s="591" t="s">
        <v>429</v>
      </c>
      <c r="AN253" s="614"/>
      <c r="AO253" s="398"/>
      <c r="AP253" s="430" t="s">
        <v>937</v>
      </c>
    </row>
    <row r="254" spans="1:42" ht="16.5" hidden="1" thickBot="1" x14ac:dyDescent="0.3">
      <c r="A254" s="1757"/>
      <c r="B254" s="639" t="s">
        <v>152</v>
      </c>
      <c r="C254" s="639"/>
      <c r="D254" s="724" t="s">
        <v>1133</v>
      </c>
      <c r="E254" s="1760"/>
      <c r="F254" s="617">
        <f>'exchange rates'!$O$58</f>
        <v>0.83301000000000003</v>
      </c>
      <c r="G254" s="549">
        <v>0</v>
      </c>
      <c r="H254" s="550">
        <f>87.7/F254</f>
        <v>105.28084896940013</v>
      </c>
      <c r="I254" s="551">
        <v>0</v>
      </c>
      <c r="J254" s="560">
        <f>8.77/F254</f>
        <v>10.528084896940012</v>
      </c>
      <c r="K254" s="566">
        <f>Tabel66892127[[#This Row],[Fix.ch. 2017]]+Tabel66892127[[#This Row],[Var. ch. 2017]]+Tabel66892127[[#This Row],[Oth. ch. DW 2017]]+Tabel66892127[[#This Row],[VAT DW 2017]]</f>
        <v>115.80893386634014</v>
      </c>
      <c r="L254" s="567">
        <v>0</v>
      </c>
      <c r="M254" s="560">
        <v>0</v>
      </c>
      <c r="N254" s="568">
        <f>80.93/F254</f>
        <v>97.153695633905954</v>
      </c>
      <c r="O254" s="560">
        <f>8.09/F254</f>
        <v>9.7117681660484259</v>
      </c>
      <c r="P254" s="569">
        <v>0</v>
      </c>
      <c r="Q254" s="560">
        <v>0</v>
      </c>
      <c r="R254" s="570">
        <f>Tabel66892127[[#This Row],[VAT DW 2017]]+Tabel66892127[[#This Row],[VAT Sew. 2017]]+Tabel66892127[[#This Row],[VAT WW 2017]]+Tabel66892127[[#This Row],[VAT Other ch. 2017]]</f>
        <v>20.239853062988438</v>
      </c>
      <c r="S254" s="571">
        <f>Tabel66892127[[#This Row],[Total. ch. DW 2017]]+Tabel66892127[[#This Row],[Sew. 2017]]+Tabel66892127[[#This Row],[VAT Sew. 2017]]+Tabel66892127[[#This Row],[WW 2017]]+Tabel66892127[[#This Row],[VAT WW 2017]]+Tabel66892127[[#This Row],[Other ch. 2017]]+Tabel66892127[[#This Row],[VAT Other ch. 2017]]</f>
        <v>222.67439766629451</v>
      </c>
      <c r="T254" s="397"/>
      <c r="U254" s="1763"/>
      <c r="V254" s="1766"/>
      <c r="W254" s="1769"/>
      <c r="X254" s="1772"/>
      <c r="Y254" s="1775"/>
      <c r="Z254" s="1778"/>
      <c r="AA254" s="1772"/>
      <c r="AB254" s="1781"/>
      <c r="AC254" s="1772"/>
      <c r="AD254" s="1785"/>
      <c r="AE254" s="1772"/>
      <c r="AF254" s="1788"/>
      <c r="AG254" s="1791"/>
      <c r="AH254" s="397"/>
      <c r="AI254" s="398"/>
      <c r="AJ254" s="398"/>
      <c r="AK254" s="398"/>
      <c r="AL254" s="591" t="s">
        <v>429</v>
      </c>
      <c r="AM254" s="591" t="s">
        <v>429</v>
      </c>
      <c r="AN254" s="591" t="s">
        <v>429</v>
      </c>
      <c r="AO254" s="398"/>
      <c r="AP254" s="430" t="s">
        <v>937</v>
      </c>
    </row>
    <row r="255" spans="1:42" ht="16.5" hidden="1" thickBot="1" x14ac:dyDescent="0.3">
      <c r="A255" s="1757"/>
      <c r="B255" s="639" t="s">
        <v>153</v>
      </c>
      <c r="C255" s="639" t="s">
        <v>429</v>
      </c>
      <c r="D255" s="724" t="s">
        <v>1133</v>
      </c>
      <c r="E255" s="1760"/>
      <c r="F255" s="617">
        <f>'exchange rates'!$O$58</f>
        <v>0.83301000000000003</v>
      </c>
      <c r="G255" s="549">
        <v>0</v>
      </c>
      <c r="H255" s="550">
        <f>104.22/F255</f>
        <v>125.11254366694277</v>
      </c>
      <c r="I255" s="551">
        <v>0</v>
      </c>
      <c r="J255" s="560">
        <f>10.42/F255</f>
        <v>12.508853435132831</v>
      </c>
      <c r="K255" s="566">
        <f>Tabel66892127[[#This Row],[Fix.ch. 2017]]+Tabel66892127[[#This Row],[Var. ch. 2017]]+Tabel66892127[[#This Row],[Oth. ch. DW 2017]]+Tabel66892127[[#This Row],[VAT DW 2017]]</f>
        <v>137.6213971020756</v>
      </c>
      <c r="L255" s="567">
        <f>17.36/F255</f>
        <v>20.840085953349899</v>
      </c>
      <c r="M255" s="560">
        <f>1.74/F255</f>
        <v>2.0888104584578815</v>
      </c>
      <c r="N255" s="568">
        <f>49.97/F255</f>
        <v>59.987275062724336</v>
      </c>
      <c r="O255" s="560">
        <f>5/F255</f>
        <v>6.0023289036146021</v>
      </c>
      <c r="P255" s="569">
        <v>0</v>
      </c>
      <c r="Q255" s="560">
        <v>0</v>
      </c>
      <c r="R255" s="570">
        <f>Tabel66892127[[#This Row],[VAT DW 2017]]+Tabel66892127[[#This Row],[VAT Sew. 2017]]+Tabel66892127[[#This Row],[VAT WW 2017]]+Tabel66892127[[#This Row],[VAT Other ch. 2017]]</f>
        <v>20.599992797205317</v>
      </c>
      <c r="S255" s="571">
        <f>Tabel66892127[[#This Row],[Total. ch. DW 2017]]+Tabel66892127[[#This Row],[Sew. 2017]]+Tabel66892127[[#This Row],[VAT Sew. 2017]]+Tabel66892127[[#This Row],[WW 2017]]+Tabel66892127[[#This Row],[VAT WW 2017]]+Tabel66892127[[#This Row],[Other ch. 2017]]+Tabel66892127[[#This Row],[VAT Other ch. 2017]]</f>
        <v>226.53989748022232</v>
      </c>
      <c r="T255" s="397"/>
      <c r="U255" s="1763"/>
      <c r="V255" s="1766"/>
      <c r="W255" s="1769"/>
      <c r="X255" s="1772"/>
      <c r="Y255" s="1775"/>
      <c r="Z255" s="1778"/>
      <c r="AA255" s="1772"/>
      <c r="AB255" s="1781"/>
      <c r="AC255" s="1772"/>
      <c r="AD255" s="1785"/>
      <c r="AE255" s="1772"/>
      <c r="AF255" s="1788"/>
      <c r="AG255" s="1791"/>
      <c r="AH255" s="397"/>
      <c r="AI255" s="398"/>
      <c r="AJ255" s="398"/>
      <c r="AK255" s="398"/>
      <c r="AL255" s="591" t="s">
        <v>429</v>
      </c>
      <c r="AM255" s="591" t="s">
        <v>429</v>
      </c>
      <c r="AN255" s="614"/>
      <c r="AO255" s="398"/>
      <c r="AP255" s="430" t="s">
        <v>937</v>
      </c>
    </row>
    <row r="256" spans="1:42" ht="16.5" hidden="1" thickBot="1" x14ac:dyDescent="0.3">
      <c r="A256" s="1757"/>
      <c r="B256" s="639" t="s">
        <v>214</v>
      </c>
      <c r="C256" s="639"/>
      <c r="D256" s="724" t="s">
        <v>1133</v>
      </c>
      <c r="E256" s="1760"/>
      <c r="F256" s="617">
        <f>'exchange rates'!$O$58</f>
        <v>0.83301000000000003</v>
      </c>
      <c r="G256" s="549">
        <v>0</v>
      </c>
      <c r="H256" s="550">
        <f>87.25/F256</f>
        <v>104.74063936807481</v>
      </c>
      <c r="I256" s="551">
        <v>0</v>
      </c>
      <c r="J256" s="560">
        <f>8.73/F256</f>
        <v>10.480066265711097</v>
      </c>
      <c r="K256" s="566">
        <f>Tabel66892127[[#This Row],[Fix.ch. 2017]]+Tabel66892127[[#This Row],[Var. ch. 2017]]+Tabel66892127[[#This Row],[Oth. ch. DW 2017]]+Tabel66892127[[#This Row],[VAT DW 2017]]</f>
        <v>115.22070563378591</v>
      </c>
      <c r="L256" s="567">
        <f>38.21/F256</f>
        <v>45.869797481422793</v>
      </c>
      <c r="M256" s="560">
        <f>3.82/F256</f>
        <v>4.585779282361556</v>
      </c>
      <c r="N256" s="568">
        <f>76.48/F256</f>
        <v>91.811622909688964</v>
      </c>
      <c r="O256" s="560">
        <f>7.65/F256</f>
        <v>9.1835632225303421</v>
      </c>
      <c r="P256" s="569">
        <v>0</v>
      </c>
      <c r="Q256" s="560">
        <v>0</v>
      </c>
      <c r="R256" s="570">
        <f>Tabel66892127[[#This Row],[VAT DW 2017]]+Tabel66892127[[#This Row],[VAT Sew. 2017]]+Tabel66892127[[#This Row],[VAT WW 2017]]+Tabel66892127[[#This Row],[VAT Other ch. 2017]]</f>
        <v>24.249408770602994</v>
      </c>
      <c r="S256" s="571">
        <f>Tabel66892127[[#This Row],[Total. ch. DW 2017]]+Tabel66892127[[#This Row],[Sew. 2017]]+Tabel66892127[[#This Row],[VAT Sew. 2017]]+Tabel66892127[[#This Row],[WW 2017]]+Tabel66892127[[#This Row],[VAT WW 2017]]+Tabel66892127[[#This Row],[Other ch. 2017]]+Tabel66892127[[#This Row],[VAT Other ch. 2017]]</f>
        <v>266.67146852978954</v>
      </c>
      <c r="T256" s="397"/>
      <c r="U256" s="1763"/>
      <c r="V256" s="1766"/>
      <c r="W256" s="1769"/>
      <c r="X256" s="1772"/>
      <c r="Y256" s="1775"/>
      <c r="Z256" s="1778"/>
      <c r="AA256" s="1772"/>
      <c r="AB256" s="1781"/>
      <c r="AC256" s="1772"/>
      <c r="AD256" s="1785"/>
      <c r="AE256" s="1772"/>
      <c r="AF256" s="1788"/>
      <c r="AG256" s="1791"/>
      <c r="AH256" s="397"/>
      <c r="AI256" s="398"/>
      <c r="AJ256" s="398"/>
      <c r="AK256" s="398"/>
      <c r="AL256" s="591" t="s">
        <v>429</v>
      </c>
      <c r="AM256" s="591" t="s">
        <v>429</v>
      </c>
      <c r="AN256" s="614"/>
      <c r="AO256" s="398"/>
      <c r="AP256" s="430" t="s">
        <v>937</v>
      </c>
    </row>
    <row r="257" spans="1:42" ht="16.5" hidden="1" thickBot="1" x14ac:dyDescent="0.3">
      <c r="A257" s="1758"/>
      <c r="B257" s="640" t="s">
        <v>154</v>
      </c>
      <c r="C257" s="652"/>
      <c r="D257" s="807" t="s">
        <v>1133</v>
      </c>
      <c r="E257" s="1799"/>
      <c r="F257" s="617">
        <f>'exchange rates'!$O$58</f>
        <v>0.83301000000000003</v>
      </c>
      <c r="G257" s="549">
        <v>0</v>
      </c>
      <c r="H257" s="550">
        <f>127.74/F257</f>
        <v>153.34749882954586</v>
      </c>
      <c r="I257" s="551">
        <v>0</v>
      </c>
      <c r="J257" s="560">
        <f>12.77/F257</f>
        <v>15.329948019831694</v>
      </c>
      <c r="K257" s="566">
        <f>Tabel66892127[[#This Row],[Fix.ch. 2017]]+Tabel66892127[[#This Row],[Var. ch. 2017]]+Tabel66892127[[#This Row],[Oth. ch. DW 2017]]+Tabel66892127[[#This Row],[VAT DW 2017]]</f>
        <v>168.67744684937756</v>
      </c>
      <c r="L257" s="567">
        <f>30.29/F257</f>
        <v>36.362108498097257</v>
      </c>
      <c r="M257" s="560">
        <f>3.03/F257</f>
        <v>3.6374113155904486</v>
      </c>
      <c r="N257" s="568">
        <f>88.93/F257</f>
        <v>106.75742187968932</v>
      </c>
      <c r="O257" s="560">
        <f>8.89/F257</f>
        <v>10.672140790626763</v>
      </c>
      <c r="P257" s="569">
        <v>0</v>
      </c>
      <c r="Q257" s="560">
        <v>0</v>
      </c>
      <c r="R257" s="570">
        <f>Tabel66892127[[#This Row],[VAT DW 2017]]+Tabel66892127[[#This Row],[VAT Sew. 2017]]+Tabel66892127[[#This Row],[VAT WW 2017]]+Tabel66892127[[#This Row],[VAT Other ch. 2017]]</f>
        <v>29.639500126048905</v>
      </c>
      <c r="S257" s="571">
        <f>Tabel66892127[[#This Row],[Total. ch. DW 2017]]+Tabel66892127[[#This Row],[Sew. 2017]]+Tabel66892127[[#This Row],[VAT Sew. 2017]]+Tabel66892127[[#This Row],[WW 2017]]+Tabel66892127[[#This Row],[VAT WW 2017]]+Tabel66892127[[#This Row],[Other ch. 2017]]+Tabel66892127[[#This Row],[VAT Other ch. 2017]]</f>
        <v>326.10652933338133</v>
      </c>
      <c r="T257" s="397"/>
      <c r="U257" s="1801"/>
      <c r="V257" s="1803"/>
      <c r="W257" s="1805"/>
      <c r="X257" s="1773"/>
      <c r="Y257" s="1807"/>
      <c r="Z257" s="1809"/>
      <c r="AA257" s="1773"/>
      <c r="AB257" s="1782"/>
      <c r="AC257" s="1773"/>
      <c r="AD257" s="1786"/>
      <c r="AE257" s="1773"/>
      <c r="AF257" s="1789"/>
      <c r="AG257" s="1792"/>
      <c r="AH257" s="397"/>
      <c r="AI257" s="398"/>
      <c r="AJ257" s="396"/>
      <c r="AK257" s="396"/>
      <c r="AL257" s="591" t="s">
        <v>429</v>
      </c>
      <c r="AM257" s="591" t="s">
        <v>429</v>
      </c>
      <c r="AN257" s="614"/>
      <c r="AO257" s="398"/>
      <c r="AP257" s="430" t="s">
        <v>937</v>
      </c>
    </row>
    <row r="258" spans="1:42" ht="15.75" hidden="1" customHeight="1" x14ac:dyDescent="0.3">
      <c r="A258" s="1878" t="s">
        <v>48</v>
      </c>
      <c r="B258" s="638" t="s">
        <v>155</v>
      </c>
      <c r="C258" s="693" t="s">
        <v>429</v>
      </c>
      <c r="D258" s="806" t="s">
        <v>1135</v>
      </c>
      <c r="E258" s="1934">
        <v>51300</v>
      </c>
      <c r="F258" s="617">
        <f>'exchange rates'!$O$59</f>
        <v>8.1602899999999998</v>
      </c>
      <c r="G258" s="549">
        <f>1683/F258</f>
        <v>206.24267029725661</v>
      </c>
      <c r="H258" s="550">
        <f>365/F258</f>
        <v>44.728802530302232</v>
      </c>
      <c r="I258" s="551">
        <f>0</f>
        <v>0</v>
      </c>
      <c r="J258" s="560">
        <f>512/F258</f>
        <v>62.74286820688971</v>
      </c>
      <c r="K258" s="566">
        <f>Tabel66892127[[#This Row],[Fix.ch. 2017]]+Tabel66892127[[#This Row],[Var. ch. 2017]]+Tabel66892127[[#This Row],[Oth. ch. DW 2017]]+Tabel66892127[[#This Row],[VAT DW 2017]]</f>
        <v>313.71434103444858</v>
      </c>
      <c r="L258" s="567">
        <f>325/F258</f>
        <v>39.827015951638977</v>
      </c>
      <c r="M258" s="560">
        <f>81.25/F258</f>
        <v>9.9567539879097442</v>
      </c>
      <c r="N258" s="568">
        <v>0</v>
      </c>
      <c r="O258" s="560">
        <v>0</v>
      </c>
      <c r="P258" s="569">
        <v>0</v>
      </c>
      <c r="Q258" s="560">
        <v>0</v>
      </c>
      <c r="R258" s="570">
        <f>Tabel66892127[[#This Row],[VAT DW 2017]]+Tabel66892127[[#This Row],[VAT Sew. 2017]]+Tabel66892127[[#This Row],[VAT WW 2017]]+Tabel66892127[[#This Row],[VAT Other ch. 2017]]</f>
        <v>72.69962219479946</v>
      </c>
      <c r="S258" s="571">
        <f>Tabel66892127[[#This Row],[Total. ch. DW 2017]]+Tabel66892127[[#This Row],[Sew. 2017]]+Tabel66892127[[#This Row],[VAT Sew. 2017]]+Tabel66892127[[#This Row],[WW 2017]]+Tabel66892127[[#This Row],[VAT WW 2017]]+Tabel66892127[[#This Row],[Other ch. 2017]]+Tabel66892127[[#This Row],[VAT Other ch. 2017]]</f>
        <v>363.49811097399731</v>
      </c>
      <c r="T258" s="397"/>
      <c r="U258" s="1824">
        <f>MEDIAN(G258:G262)</f>
        <v>206.24267029725661</v>
      </c>
      <c r="V258" s="1825">
        <f t="shared" ref="V258:X258" si="37">MEDIAN(H258:H262)</f>
        <v>77.815861936279234</v>
      </c>
      <c r="W258" s="1826">
        <f t="shared" si="37"/>
        <v>0</v>
      </c>
      <c r="X258" s="1908">
        <f t="shared" si="37"/>
        <v>65.46948699127114</v>
      </c>
      <c r="Y258" s="1827">
        <f>SUM(U258:X262)</f>
        <v>349.528019224807</v>
      </c>
      <c r="Z258" s="1828">
        <f t="shared" ref="Z258:AF258" si="38">MEDIAN(L258:L262)</f>
        <v>90.805596369736861</v>
      </c>
      <c r="AA258" s="1908">
        <f t="shared" si="38"/>
        <v>22.701399092434215</v>
      </c>
      <c r="AB258" s="1829">
        <f t="shared" si="38"/>
        <v>0</v>
      </c>
      <c r="AC258" s="1908">
        <f t="shared" si="38"/>
        <v>0</v>
      </c>
      <c r="AD258" s="1830">
        <f t="shared" si="38"/>
        <v>0</v>
      </c>
      <c r="AE258" s="1908">
        <f t="shared" si="38"/>
        <v>0</v>
      </c>
      <c r="AF258" s="1816">
        <f t="shared" si="38"/>
        <v>94.604480968200889</v>
      </c>
      <c r="AG258" s="1817">
        <f>Y258+Z258+AA258+AB258+AC258+AD258+AE258</f>
        <v>463.03501468697806</v>
      </c>
      <c r="AH258" s="397"/>
      <c r="AI258" s="398"/>
      <c r="AJ258" s="591" t="s">
        <v>429</v>
      </c>
      <c r="AK258" s="591"/>
      <c r="AL258" s="396"/>
      <c r="AM258" s="591" t="s">
        <v>429</v>
      </c>
      <c r="AN258" s="396"/>
      <c r="AO258" s="398"/>
      <c r="AP258" s="397"/>
    </row>
    <row r="259" spans="1:42" ht="15.75" hidden="1" customHeight="1" x14ac:dyDescent="0.3">
      <c r="A259" s="1757"/>
      <c r="B259" s="639" t="s">
        <v>156</v>
      </c>
      <c r="C259" s="639"/>
      <c r="D259" s="724" t="s">
        <v>1135</v>
      </c>
      <c r="E259" s="1967"/>
      <c r="F259" s="617">
        <f>'exchange rates'!$O$59</f>
        <v>8.1602899999999998</v>
      </c>
      <c r="G259" s="549">
        <f>2443/F259</f>
        <v>299.37661529185851</v>
      </c>
      <c r="H259" s="550">
        <f>719/F259</f>
        <v>88.109613751472068</v>
      </c>
      <c r="I259" s="551">
        <v>0</v>
      </c>
      <c r="J259" s="560">
        <f>790.5/F259</f>
        <v>96.871557260832645</v>
      </c>
      <c r="K259" s="566">
        <f>Tabel66892127[[#This Row],[Fix.ch. 2017]]+Tabel66892127[[#This Row],[Var. ch. 2017]]+Tabel66892127[[#This Row],[Oth. ch. DW 2017]]+Tabel66892127[[#This Row],[VAT DW 2017]]</f>
        <v>484.35778630416326</v>
      </c>
      <c r="L259" s="567">
        <f>741/F259</f>
        <v>90.805596369736861</v>
      </c>
      <c r="M259" s="560">
        <f>185.25/F259</f>
        <v>22.701399092434215</v>
      </c>
      <c r="N259" s="568">
        <v>0</v>
      </c>
      <c r="O259" s="560">
        <v>0</v>
      </c>
      <c r="P259" s="569">
        <v>0</v>
      </c>
      <c r="Q259" s="560">
        <v>0</v>
      </c>
      <c r="R259" s="570">
        <f>Tabel66892127[[#This Row],[VAT DW 2017]]+Tabel66892127[[#This Row],[VAT Sew. 2017]]+Tabel66892127[[#This Row],[VAT WW 2017]]+Tabel66892127[[#This Row],[VAT Other ch. 2017]]</f>
        <v>119.57295635326686</v>
      </c>
      <c r="S259" s="571">
        <f>Tabel66892127[[#This Row],[Total. ch. DW 2017]]+Tabel66892127[[#This Row],[Sew. 2017]]+Tabel66892127[[#This Row],[VAT Sew. 2017]]+Tabel66892127[[#This Row],[WW 2017]]+Tabel66892127[[#This Row],[VAT WW 2017]]+Tabel66892127[[#This Row],[Other ch. 2017]]+Tabel66892127[[#This Row],[VAT Other ch. 2017]]</f>
        <v>597.86478176633432</v>
      </c>
      <c r="T259" s="397"/>
      <c r="U259" s="1763"/>
      <c r="V259" s="1766"/>
      <c r="W259" s="1769"/>
      <c r="X259" s="1772"/>
      <c r="Y259" s="1775"/>
      <c r="Z259" s="1778"/>
      <c r="AA259" s="1772"/>
      <c r="AB259" s="1781"/>
      <c r="AC259" s="1772"/>
      <c r="AD259" s="1785"/>
      <c r="AE259" s="1772"/>
      <c r="AF259" s="1788"/>
      <c r="AG259" s="1791"/>
      <c r="AH259" s="397"/>
      <c r="AI259" s="398"/>
      <c r="AJ259" s="591" t="s">
        <v>429</v>
      </c>
      <c r="AK259" s="591"/>
      <c r="AL259" s="396"/>
      <c r="AM259" s="591" t="s">
        <v>429</v>
      </c>
      <c r="AN259" s="396"/>
      <c r="AO259" s="398"/>
      <c r="AP259" s="397"/>
    </row>
    <row r="260" spans="1:42" ht="15.75" hidden="1" customHeight="1" x14ac:dyDescent="0.3">
      <c r="A260" s="1757"/>
      <c r="B260" s="639" t="s">
        <v>157</v>
      </c>
      <c r="C260" s="639"/>
      <c r="D260" s="724" t="s">
        <v>1135</v>
      </c>
      <c r="E260" s="1967"/>
      <c r="F260" s="617">
        <f>'exchange rates'!$O$59</f>
        <v>8.1602899999999998</v>
      </c>
      <c r="G260" s="549">
        <f>1653/F260</f>
        <v>202.56633036325914</v>
      </c>
      <c r="H260" s="550">
        <f>484/F260</f>
        <v>59.311617601825425</v>
      </c>
      <c r="I260" s="551">
        <v>0</v>
      </c>
      <c r="J260" s="560">
        <f>534.25/F260</f>
        <v>65.46948699127114</v>
      </c>
      <c r="K260" s="566">
        <f>Tabel66892127[[#This Row],[Fix.ch. 2017]]+Tabel66892127[[#This Row],[Var. ch. 2017]]+Tabel66892127[[#This Row],[Oth. ch. DW 2017]]+Tabel66892127[[#This Row],[VAT DW 2017]]</f>
        <v>327.3474349563557</v>
      </c>
      <c r="L260" s="567">
        <f>514/F260</f>
        <v>62.987957535822872</v>
      </c>
      <c r="M260" s="560">
        <f>128.5/F260</f>
        <v>15.746989383955718</v>
      </c>
      <c r="N260" s="568">
        <v>0</v>
      </c>
      <c r="O260" s="560">
        <v>0</v>
      </c>
      <c r="P260" s="569">
        <v>0</v>
      </c>
      <c r="Q260" s="560">
        <v>0</v>
      </c>
      <c r="R260" s="570">
        <f>Tabel66892127[[#This Row],[VAT DW 2017]]+Tabel66892127[[#This Row],[VAT Sew. 2017]]+Tabel66892127[[#This Row],[VAT WW 2017]]+Tabel66892127[[#This Row],[VAT Other ch. 2017]]</f>
        <v>81.216476375226861</v>
      </c>
      <c r="S260" s="571">
        <f>Tabel66892127[[#This Row],[Total. ch. DW 2017]]+Tabel66892127[[#This Row],[Sew. 2017]]+Tabel66892127[[#This Row],[VAT Sew. 2017]]+Tabel66892127[[#This Row],[WW 2017]]+Tabel66892127[[#This Row],[VAT WW 2017]]+Tabel66892127[[#This Row],[Other ch. 2017]]+Tabel66892127[[#This Row],[VAT Other ch. 2017]]</f>
        <v>406.08238187613432</v>
      </c>
      <c r="T260" s="397"/>
      <c r="U260" s="1763"/>
      <c r="V260" s="1766"/>
      <c r="W260" s="1769"/>
      <c r="X260" s="1772"/>
      <c r="Y260" s="1775"/>
      <c r="Z260" s="1778"/>
      <c r="AA260" s="1772"/>
      <c r="AB260" s="1781"/>
      <c r="AC260" s="1772"/>
      <c r="AD260" s="1785"/>
      <c r="AE260" s="1772"/>
      <c r="AF260" s="1788"/>
      <c r="AG260" s="1791"/>
      <c r="AH260" s="397"/>
      <c r="AI260" s="398"/>
      <c r="AJ260" s="591" t="s">
        <v>429</v>
      </c>
      <c r="AK260" s="591"/>
      <c r="AL260" s="396"/>
      <c r="AM260" s="591" t="s">
        <v>429</v>
      </c>
      <c r="AN260" s="396"/>
      <c r="AO260" s="398"/>
      <c r="AP260" s="397"/>
    </row>
    <row r="261" spans="1:42" ht="15.75" hidden="1" customHeight="1" x14ac:dyDescent="0.3">
      <c r="A261" s="1757"/>
      <c r="B261" s="639" t="s">
        <v>158</v>
      </c>
      <c r="C261" s="639"/>
      <c r="D261" s="724" t="s">
        <v>1135</v>
      </c>
      <c r="E261" s="1967"/>
      <c r="F261" s="617">
        <f>'exchange rates'!$O$59</f>
        <v>8.1602899999999998</v>
      </c>
      <c r="G261" s="549">
        <f>0</f>
        <v>0</v>
      </c>
      <c r="H261" s="550">
        <f>1235/F261</f>
        <v>151.3426606162281</v>
      </c>
      <c r="I261" s="551">
        <v>0</v>
      </c>
      <c r="J261" s="560">
        <f>308.75/F261</f>
        <v>37.835665154057025</v>
      </c>
      <c r="K261" s="566">
        <f>Tabel66892127[[#This Row],[Fix.ch. 2017]]+Tabel66892127[[#This Row],[Var. ch. 2017]]+Tabel66892127[[#This Row],[Oth. ch. DW 2017]]+Tabel66892127[[#This Row],[VAT DW 2017]]</f>
        <v>189.17832577028514</v>
      </c>
      <c r="L261" s="567">
        <f>1853/F261</f>
        <v>227.07526325657545</v>
      </c>
      <c r="M261" s="560">
        <f>463.25/F261</f>
        <v>56.768815814143863</v>
      </c>
      <c r="N261" s="568">
        <v>0</v>
      </c>
      <c r="O261" s="560">
        <v>0</v>
      </c>
      <c r="P261" s="569">
        <v>0</v>
      </c>
      <c r="Q261" s="560">
        <v>0</v>
      </c>
      <c r="R261" s="570">
        <f>Tabel66892127[[#This Row],[VAT DW 2017]]+Tabel66892127[[#This Row],[VAT Sew. 2017]]+Tabel66892127[[#This Row],[VAT WW 2017]]+Tabel66892127[[#This Row],[VAT Other ch. 2017]]</f>
        <v>94.604480968200889</v>
      </c>
      <c r="S261" s="571">
        <f>Tabel66892127[[#This Row],[Total. ch. DW 2017]]+Tabel66892127[[#This Row],[Sew. 2017]]+Tabel66892127[[#This Row],[VAT Sew. 2017]]+Tabel66892127[[#This Row],[WW 2017]]+Tabel66892127[[#This Row],[VAT WW 2017]]+Tabel66892127[[#This Row],[Other ch. 2017]]+Tabel66892127[[#This Row],[VAT Other ch. 2017]]</f>
        <v>473.02240484100446</v>
      </c>
      <c r="T261" s="397"/>
      <c r="U261" s="1763"/>
      <c r="V261" s="1766"/>
      <c r="W261" s="1769"/>
      <c r="X261" s="1772"/>
      <c r="Y261" s="1775"/>
      <c r="Z261" s="1778"/>
      <c r="AA261" s="1772"/>
      <c r="AB261" s="1781"/>
      <c r="AC261" s="1772"/>
      <c r="AD261" s="1785"/>
      <c r="AE261" s="1772"/>
      <c r="AF261" s="1788"/>
      <c r="AG261" s="1791"/>
      <c r="AH261" s="397"/>
      <c r="AI261" s="398"/>
      <c r="AJ261" s="591" t="s">
        <v>429</v>
      </c>
      <c r="AK261" s="591"/>
      <c r="AL261" s="396"/>
      <c r="AM261" s="591"/>
      <c r="AN261" s="396"/>
      <c r="AO261" s="398"/>
      <c r="AP261" s="397"/>
    </row>
    <row r="262" spans="1:42" ht="16.5" hidden="1" customHeight="1" thickBot="1" x14ac:dyDescent="0.3">
      <c r="A262" s="1758"/>
      <c r="B262" s="640" t="s">
        <v>159</v>
      </c>
      <c r="C262" s="652"/>
      <c r="D262" s="807" t="s">
        <v>1135</v>
      </c>
      <c r="E262" s="1799"/>
      <c r="F262" s="617">
        <f>'exchange rates'!$O$59</f>
        <v>8.1602899999999998</v>
      </c>
      <c r="G262" s="549">
        <f>2330/F262</f>
        <v>285.5290682071348</v>
      </c>
      <c r="H262" s="550">
        <f>635/F262</f>
        <v>77.815861936279234</v>
      </c>
      <c r="I262" s="551">
        <v>0</v>
      </c>
      <c r="J262" s="560">
        <f>741.25/F262</f>
        <v>90.836232535853512</v>
      </c>
      <c r="K262" s="566">
        <f>Tabel66892127[[#This Row],[Fix.ch. 2017]]+Tabel66892127[[#This Row],[Var. ch. 2017]]+Tabel66892127[[#This Row],[Oth. ch. DW 2017]]+Tabel66892127[[#This Row],[VAT DW 2017]]</f>
        <v>454.18116267926757</v>
      </c>
      <c r="L262" s="567">
        <f>855/F262</f>
        <v>104.77568811892715</v>
      </c>
      <c r="M262" s="560">
        <f>213.75/F262</f>
        <v>26.193922029731787</v>
      </c>
      <c r="N262" s="568">
        <v>0</v>
      </c>
      <c r="O262" s="560">
        <v>0</v>
      </c>
      <c r="P262" s="569">
        <v>0</v>
      </c>
      <c r="Q262" s="560">
        <v>0</v>
      </c>
      <c r="R262" s="570">
        <f>Tabel66892127[[#This Row],[VAT DW 2017]]+Tabel66892127[[#This Row],[VAT Sew. 2017]]+Tabel66892127[[#This Row],[VAT WW 2017]]+Tabel66892127[[#This Row],[VAT Other ch. 2017]]</f>
        <v>117.03015456558529</v>
      </c>
      <c r="S262" s="571">
        <f>Tabel66892127[[#This Row],[Total. ch. DW 2017]]+Tabel66892127[[#This Row],[Sew. 2017]]+Tabel66892127[[#This Row],[VAT Sew. 2017]]+Tabel66892127[[#This Row],[WW 2017]]+Tabel66892127[[#This Row],[VAT WW 2017]]+Tabel66892127[[#This Row],[Other ch. 2017]]+Tabel66892127[[#This Row],[VAT Other ch. 2017]]</f>
        <v>585.15077282792652</v>
      </c>
      <c r="T262" s="397"/>
      <c r="U262" s="2182"/>
      <c r="V262" s="2183"/>
      <c r="W262" s="2184"/>
      <c r="X262" s="1773"/>
      <c r="Y262" s="2168"/>
      <c r="Z262" s="2169"/>
      <c r="AA262" s="1773"/>
      <c r="AB262" s="2179"/>
      <c r="AC262" s="1773"/>
      <c r="AD262" s="2180"/>
      <c r="AE262" s="1773"/>
      <c r="AF262" s="2181"/>
      <c r="AG262" s="2174"/>
      <c r="AH262" s="397"/>
      <c r="AI262" s="398"/>
      <c r="AJ262" s="591" t="s">
        <v>429</v>
      </c>
      <c r="AK262" s="591"/>
      <c r="AL262" s="396"/>
      <c r="AM262" s="591" t="s">
        <v>429</v>
      </c>
      <c r="AN262" s="396"/>
      <c r="AO262" s="398"/>
      <c r="AP262" s="397"/>
    </row>
    <row r="263" spans="1:42" ht="18" hidden="1" customHeight="1" x14ac:dyDescent="0.3">
      <c r="A263" s="1818" t="s">
        <v>28</v>
      </c>
      <c r="B263" s="547" t="s">
        <v>160</v>
      </c>
      <c r="C263" s="1046"/>
      <c r="D263" s="802" t="s">
        <v>1137</v>
      </c>
      <c r="E263" s="1966">
        <v>61400</v>
      </c>
      <c r="F263" s="617">
        <f>'exchange rates'!$O$60</f>
        <v>0.97441999999999995</v>
      </c>
      <c r="G263" s="549">
        <f>112/F263</f>
        <v>114.94016953675008</v>
      </c>
      <c r="H263" s="550">
        <f>108/F263</f>
        <v>110.83516348186615</v>
      </c>
      <c r="I263" s="551">
        <v>0</v>
      </c>
      <c r="J263" s="560">
        <f>17.6/F263</f>
        <v>18.0620266414893</v>
      </c>
      <c r="K263" s="566">
        <f>Tabel66892127[[#This Row],[Fix.ch. 2017]]+Tabel66892127[[#This Row],[Var. ch. 2017]]+Tabel66892127[[#This Row],[Oth. ch. DW 2017]]+Tabel66892127[[#This Row],[VAT DW 2017]]</f>
        <v>243.83735966010551</v>
      </c>
      <c r="L263" s="567">
        <f>265/F263</f>
        <v>271.95665113606043</v>
      </c>
      <c r="M263" s="560">
        <f>6.63/F263</f>
        <v>6.804047535970116</v>
      </c>
      <c r="N263" s="568">
        <v>0</v>
      </c>
      <c r="O263" s="560">
        <v>0</v>
      </c>
      <c r="P263" s="569">
        <v>0</v>
      </c>
      <c r="Q263" s="560">
        <v>0</v>
      </c>
      <c r="R263" s="570">
        <f>Tabel66892127[[#This Row],[VAT DW 2017]]+Tabel66892127[[#This Row],[VAT Sew. 2017]]+Tabel66892127[[#This Row],[VAT WW 2017]]+Tabel66892127[[#This Row],[VAT Other ch. 2017]]</f>
        <v>24.866074177459417</v>
      </c>
      <c r="S263" s="571">
        <f>Tabel66892127[[#This Row],[Total. ch. DW 2017]]+Tabel66892127[[#This Row],[Sew. 2017]]+Tabel66892127[[#This Row],[VAT Sew. 2017]]+Tabel66892127[[#This Row],[WW 2017]]+Tabel66892127[[#This Row],[VAT WW 2017]]+Tabel66892127[[#This Row],[Other ch. 2017]]+Tabel66892127[[#This Row],[VAT Other ch. 2017]]</f>
        <v>522.59805833213602</v>
      </c>
      <c r="T263" s="397"/>
      <c r="U263" s="1968">
        <f>MEDIAN(G263:G267)</f>
        <v>71.837605960468792</v>
      </c>
      <c r="V263" s="1971">
        <f>MEDIAN(H263:H267)</f>
        <v>197.04029063442869</v>
      </c>
      <c r="W263" s="2175">
        <f>MEDIAN(I263:I267)</f>
        <v>0</v>
      </c>
      <c r="X263" s="2178">
        <f>MEDIAN(J263:J267)</f>
        <v>19.12932821575912</v>
      </c>
      <c r="Y263" s="1939">
        <f>SUM(U263:X267)</f>
        <v>288.00722481065662</v>
      </c>
      <c r="Z263" s="1980">
        <f t="shared" ref="Z263:AF263" si="39">MEDIAN(L263:L267)</f>
        <v>262.54592475523901</v>
      </c>
      <c r="AA263" s="1938">
        <f t="shared" si="39"/>
        <v>6.56800968781429</v>
      </c>
      <c r="AB263" s="1954">
        <f t="shared" si="39"/>
        <v>0</v>
      </c>
      <c r="AC263" s="1938">
        <f t="shared" si="39"/>
        <v>0</v>
      </c>
      <c r="AD263" s="1957">
        <f t="shared" si="39"/>
        <v>0</v>
      </c>
      <c r="AE263" s="1938">
        <f t="shared" si="39"/>
        <v>0</v>
      </c>
      <c r="AF263" s="1960">
        <f t="shared" si="39"/>
        <v>25.286837298085018</v>
      </c>
      <c r="AG263" s="2171">
        <f>Y263+Z263+AA263+AB263+AC263+AD263+AE263</f>
        <v>557.12115925370995</v>
      </c>
      <c r="AH263" s="397"/>
      <c r="AI263" s="398"/>
      <c r="AJ263" s="591" t="s">
        <v>429</v>
      </c>
      <c r="AK263" s="614"/>
      <c r="AL263" s="614"/>
      <c r="AM263" s="591" t="s">
        <v>429</v>
      </c>
      <c r="AN263" s="398"/>
      <c r="AO263" s="398"/>
      <c r="AP263" s="397"/>
    </row>
    <row r="264" spans="1:42" ht="16.5" hidden="1" thickBot="1" x14ac:dyDescent="0.3">
      <c r="A264" s="1819"/>
      <c r="B264" s="547" t="s">
        <v>603</v>
      </c>
      <c r="C264" s="1046"/>
      <c r="D264" s="802" t="s">
        <v>1137</v>
      </c>
      <c r="E264" s="1967"/>
      <c r="F264" s="617">
        <f>'exchange rates'!$O$60</f>
        <v>0.97441999999999995</v>
      </c>
      <c r="G264" s="549">
        <f>136/F264</f>
        <v>139.57020586605367</v>
      </c>
      <c r="H264" s="550">
        <f>192/F264</f>
        <v>197.04029063442869</v>
      </c>
      <c r="I264" s="551">
        <v>0</v>
      </c>
      <c r="J264" s="560">
        <f>26.24/F264</f>
        <v>26.928839720038585</v>
      </c>
      <c r="K264" s="566">
        <f>Tabel66892127[[#This Row],[Fix.ch. 2017]]+Tabel66892127[[#This Row],[Var. ch. 2017]]+Tabel66892127[[#This Row],[Oth. ch. DW 2017]]+Tabel66892127[[#This Row],[VAT DW 2017]]</f>
        <v>363.53933622052091</v>
      </c>
      <c r="L264" s="567">
        <f>291.62/F264</f>
        <v>299.27546643131302</v>
      </c>
      <c r="M264" s="560">
        <f>7.29/F264</f>
        <v>7.4813735350259645</v>
      </c>
      <c r="N264" s="568">
        <v>0</v>
      </c>
      <c r="O264" s="560">
        <v>0</v>
      </c>
      <c r="P264" s="569">
        <v>0</v>
      </c>
      <c r="Q264" s="560">
        <v>0</v>
      </c>
      <c r="R264" s="570">
        <f>Tabel66892127[[#This Row],[VAT DW 2017]]+Tabel66892127[[#This Row],[VAT Sew. 2017]]+Tabel66892127[[#This Row],[VAT WW 2017]]+Tabel66892127[[#This Row],[VAT Other ch. 2017]]</f>
        <v>34.410213255064548</v>
      </c>
      <c r="S264" s="571">
        <f>Tabel66892127[[#This Row],[Total. ch. DW 2017]]+Tabel66892127[[#This Row],[Sew. 2017]]+Tabel66892127[[#This Row],[VAT Sew. 2017]]+Tabel66892127[[#This Row],[WW 2017]]+Tabel66892127[[#This Row],[VAT WW 2017]]+Tabel66892127[[#This Row],[Other ch. 2017]]+Tabel66892127[[#This Row],[VAT Other ch. 2017]]</f>
        <v>670.29617618685984</v>
      </c>
      <c r="T264" s="397"/>
      <c r="U264" s="1969"/>
      <c r="V264" s="1972"/>
      <c r="W264" s="2176"/>
      <c r="X264" s="2103"/>
      <c r="Y264" s="1775"/>
      <c r="Z264" s="1981"/>
      <c r="AA264" s="1772"/>
      <c r="AB264" s="2170"/>
      <c r="AC264" s="1772"/>
      <c r="AD264" s="1958"/>
      <c r="AE264" s="1772"/>
      <c r="AF264" s="1961"/>
      <c r="AG264" s="2172"/>
      <c r="AH264" s="397"/>
      <c r="AI264" s="398"/>
      <c r="AJ264" s="591" t="s">
        <v>429</v>
      </c>
      <c r="AK264" s="614"/>
      <c r="AL264" s="614"/>
      <c r="AM264" s="591" t="s">
        <v>429</v>
      </c>
      <c r="AN264" s="398"/>
      <c r="AO264" s="398"/>
      <c r="AP264" s="397"/>
    </row>
    <row r="265" spans="1:42" ht="16.5" hidden="1" thickBot="1" x14ac:dyDescent="0.3">
      <c r="A265" s="1819"/>
      <c r="B265" s="547" t="s">
        <v>162</v>
      </c>
      <c r="C265" s="1046"/>
      <c r="D265" s="802" t="s">
        <v>1137</v>
      </c>
      <c r="E265" s="1967"/>
      <c r="F265" s="617">
        <f>'exchange rates'!$O$60</f>
        <v>0.97441999999999995</v>
      </c>
      <c r="G265" s="549">
        <f>70/F265</f>
        <v>71.837605960468792</v>
      </c>
      <c r="H265" s="550">
        <f>146/F265</f>
        <v>149.83272100326349</v>
      </c>
      <c r="I265" s="551">
        <v>0</v>
      </c>
      <c r="J265" s="560">
        <f>17.28/F265</f>
        <v>17.733626157098584</v>
      </c>
      <c r="K265" s="566">
        <f>Tabel66892127[[#This Row],[Fix.ch. 2017]]+Tabel66892127[[#This Row],[Var. ch. 2017]]+Tabel66892127[[#This Row],[Oth. ch. DW 2017]]+Tabel66892127[[#This Row],[VAT DW 2017]]</f>
        <v>239.40395312083086</v>
      </c>
      <c r="L265" s="567">
        <f>120/F265</f>
        <v>123.15018164651794</v>
      </c>
      <c r="M265" s="560">
        <f>3/F265</f>
        <v>3.0787545411629482</v>
      </c>
      <c r="N265" s="568">
        <v>0</v>
      </c>
      <c r="O265" s="560">
        <v>0</v>
      </c>
      <c r="P265" s="569">
        <v>0</v>
      </c>
      <c r="Q265" s="560">
        <v>0</v>
      </c>
      <c r="R265" s="570">
        <f>Tabel66892127[[#This Row],[VAT DW 2017]]+Tabel66892127[[#This Row],[VAT Sew. 2017]]+Tabel66892127[[#This Row],[VAT WW 2017]]+Tabel66892127[[#This Row],[VAT Other ch. 2017]]</f>
        <v>20.812380698261531</v>
      </c>
      <c r="S265" s="571">
        <f>Tabel66892127[[#This Row],[Total. ch. DW 2017]]+Tabel66892127[[#This Row],[Sew. 2017]]+Tabel66892127[[#This Row],[VAT Sew. 2017]]+Tabel66892127[[#This Row],[WW 2017]]+Tabel66892127[[#This Row],[VAT WW 2017]]+Tabel66892127[[#This Row],[Other ch. 2017]]+Tabel66892127[[#This Row],[VAT Other ch. 2017]]</f>
        <v>365.63288930851172</v>
      </c>
      <c r="T265" s="397"/>
      <c r="U265" s="1969"/>
      <c r="V265" s="1972"/>
      <c r="W265" s="2176"/>
      <c r="X265" s="2103"/>
      <c r="Y265" s="1775"/>
      <c r="Z265" s="1981"/>
      <c r="AA265" s="1772"/>
      <c r="AB265" s="2170"/>
      <c r="AC265" s="1772"/>
      <c r="AD265" s="1958"/>
      <c r="AE265" s="1772"/>
      <c r="AF265" s="1961"/>
      <c r="AG265" s="2172"/>
      <c r="AH265" s="397"/>
      <c r="AI265" s="398"/>
      <c r="AJ265" s="591" t="s">
        <v>429</v>
      </c>
      <c r="AK265" s="614"/>
      <c r="AL265" s="614"/>
      <c r="AM265" s="591" t="s">
        <v>429</v>
      </c>
      <c r="AN265" s="398"/>
      <c r="AO265" s="398"/>
      <c r="AP265" s="397"/>
    </row>
    <row r="266" spans="1:42" ht="16.5" hidden="1" thickBot="1" x14ac:dyDescent="0.3">
      <c r="A266" s="1819"/>
      <c r="B266" s="547" t="s">
        <v>161</v>
      </c>
      <c r="C266" s="1046"/>
      <c r="D266" s="802" t="s">
        <v>1137</v>
      </c>
      <c r="E266" s="1967"/>
      <c r="F266" s="617">
        <f>'exchange rates'!$O$60</f>
        <v>0.97441999999999995</v>
      </c>
      <c r="G266" s="549">
        <f>28/F266</f>
        <v>28.735042384187519</v>
      </c>
      <c r="H266" s="550">
        <f>205/F266</f>
        <v>210.38156031280147</v>
      </c>
      <c r="I266" s="551">
        <v>0</v>
      </c>
      <c r="J266" s="560">
        <f>18.64/F266</f>
        <v>19.12932821575912</v>
      </c>
      <c r="K266" s="566">
        <f>Tabel66892127[[#This Row],[Fix.ch. 2017]]+Tabel66892127[[#This Row],[Var. ch. 2017]]+Tabel66892127[[#This Row],[Oth. ch. DW 2017]]+Tabel66892127[[#This Row],[VAT DW 2017]]</f>
        <v>258.24593091274812</v>
      </c>
      <c r="L266" s="567">
        <f>240/F266</f>
        <v>246.30036329303587</v>
      </c>
      <c r="M266" s="560">
        <f>6/F266</f>
        <v>6.1575090823258964</v>
      </c>
      <c r="N266" s="568">
        <v>0</v>
      </c>
      <c r="O266" s="560">
        <v>0</v>
      </c>
      <c r="P266" s="569">
        <v>0</v>
      </c>
      <c r="Q266" s="560">
        <v>0</v>
      </c>
      <c r="R266" s="570">
        <f>Tabel66892127[[#This Row],[VAT DW 2017]]+Tabel66892127[[#This Row],[VAT Sew. 2017]]+Tabel66892127[[#This Row],[VAT WW 2017]]+Tabel66892127[[#This Row],[VAT Other ch. 2017]]</f>
        <v>25.286837298085018</v>
      </c>
      <c r="S266" s="571">
        <f>Tabel66892127[[#This Row],[Total. ch. DW 2017]]+Tabel66892127[[#This Row],[Sew. 2017]]+Tabel66892127[[#This Row],[VAT Sew. 2017]]+Tabel66892127[[#This Row],[WW 2017]]+Tabel66892127[[#This Row],[VAT WW 2017]]+Tabel66892127[[#This Row],[Other ch. 2017]]+Tabel66892127[[#This Row],[VAT Other ch. 2017]]</f>
        <v>510.70380328810984</v>
      </c>
      <c r="T266" s="397"/>
      <c r="U266" s="1969"/>
      <c r="V266" s="1972"/>
      <c r="W266" s="2176"/>
      <c r="X266" s="2103"/>
      <c r="Y266" s="1775"/>
      <c r="Z266" s="1981"/>
      <c r="AA266" s="1772"/>
      <c r="AB266" s="2170"/>
      <c r="AC266" s="1772"/>
      <c r="AD266" s="1958"/>
      <c r="AE266" s="1772"/>
      <c r="AF266" s="1961"/>
      <c r="AG266" s="2172"/>
      <c r="AH266" s="397"/>
      <c r="AI266" s="398"/>
      <c r="AJ266" s="591" t="s">
        <v>429</v>
      </c>
      <c r="AK266" s="614"/>
      <c r="AL266" s="614"/>
      <c r="AM266" s="591" t="s">
        <v>429</v>
      </c>
      <c r="AN266" s="398"/>
      <c r="AO266" s="398"/>
      <c r="AP266" s="397"/>
    </row>
    <row r="267" spans="1:42" ht="16.5" hidden="1" thickBot="1" x14ac:dyDescent="0.3">
      <c r="A267" s="1820"/>
      <c r="B267" s="613" t="s">
        <v>163</v>
      </c>
      <c r="C267" s="1046" t="s">
        <v>429</v>
      </c>
      <c r="D267" s="802" t="s">
        <v>1137</v>
      </c>
      <c r="E267" s="1799"/>
      <c r="F267" s="617">
        <f>'exchange rates'!$O$60</f>
        <v>0.97441999999999995</v>
      </c>
      <c r="G267" s="549">
        <f>54/F267</f>
        <v>55.417581740933073</v>
      </c>
      <c r="H267" s="550">
        <f>232/F267</f>
        <v>238.09035118326801</v>
      </c>
      <c r="I267" s="551">
        <v>0</v>
      </c>
      <c r="J267" s="560">
        <f>22.88/F267</f>
        <v>23.480634633936084</v>
      </c>
      <c r="K267" s="566">
        <f>Tabel66892127[[#This Row],[Fix.ch. 2017]]+Tabel66892127[[#This Row],[Var. ch. 2017]]+Tabel66892127[[#This Row],[Oth. ch. DW 2017]]+Tabel66892127[[#This Row],[VAT DW 2017]]</f>
        <v>316.98856755813716</v>
      </c>
      <c r="L267" s="567">
        <f>255.83/F267</f>
        <v>262.54592475523901</v>
      </c>
      <c r="M267" s="560">
        <f>6.4/F267</f>
        <v>6.56800968781429</v>
      </c>
      <c r="N267" s="568">
        <v>0</v>
      </c>
      <c r="O267" s="560">
        <v>0</v>
      </c>
      <c r="P267" s="569">
        <v>0</v>
      </c>
      <c r="Q267" s="560">
        <v>0</v>
      </c>
      <c r="R267" s="570">
        <f>Tabel66892127[[#This Row],[VAT DW 2017]]+Tabel66892127[[#This Row],[VAT Sew. 2017]]+Tabel66892127[[#This Row],[VAT WW 2017]]+Tabel66892127[[#This Row],[VAT Other ch. 2017]]</f>
        <v>30.048644321750373</v>
      </c>
      <c r="S267" s="571">
        <f>Tabel66892127[[#This Row],[Total. ch. DW 2017]]+Tabel66892127[[#This Row],[Sew. 2017]]+Tabel66892127[[#This Row],[VAT Sew. 2017]]+Tabel66892127[[#This Row],[WW 2017]]+Tabel66892127[[#This Row],[VAT WW 2017]]+Tabel66892127[[#This Row],[Other ch. 2017]]+Tabel66892127[[#This Row],[VAT Other ch. 2017]]</f>
        <v>586.10250200119049</v>
      </c>
      <c r="T267" s="397"/>
      <c r="U267" s="1801"/>
      <c r="V267" s="1803"/>
      <c r="W267" s="2177"/>
      <c r="X267" s="2104"/>
      <c r="Y267" s="1807"/>
      <c r="Z267" s="1809"/>
      <c r="AA267" s="1773"/>
      <c r="AB267" s="1865"/>
      <c r="AC267" s="1773"/>
      <c r="AD267" s="1786"/>
      <c r="AE267" s="1773"/>
      <c r="AF267" s="1789"/>
      <c r="AG267" s="2173"/>
      <c r="AH267" s="397"/>
      <c r="AI267" s="398"/>
      <c r="AJ267" s="591" t="s">
        <v>429</v>
      </c>
      <c r="AK267" s="614"/>
      <c r="AL267" s="614"/>
      <c r="AM267" s="591" t="s">
        <v>429</v>
      </c>
      <c r="AN267" s="398"/>
      <c r="AO267" s="398"/>
      <c r="AP267" s="397"/>
    </row>
    <row r="268" spans="1:42" ht="19.5" hidden="1" thickBot="1" x14ac:dyDescent="0.3">
      <c r="A268" s="962" t="s">
        <v>706</v>
      </c>
      <c r="B268" s="455" t="s">
        <v>708</v>
      </c>
      <c r="C268" s="1048"/>
      <c r="D268" s="811" t="s">
        <v>1139</v>
      </c>
      <c r="E268" s="589">
        <v>3000</v>
      </c>
      <c r="F268" s="307">
        <f>'exchange rates'!M61</f>
        <v>2171.8366799999999</v>
      </c>
      <c r="G268" s="319"/>
      <c r="H268" s="320"/>
      <c r="I268" s="321"/>
      <c r="J268" s="559"/>
      <c r="K268" s="313">
        <f>Tabel66892127[[#This Row],[Fix.ch. 2017]]+Tabel66892127[[#This Row],[Var. ch. 2017]]+Tabel66892127[[#This Row],[Oth. ch. DW 2017]]+Tabel66892127[[#This Row],[VAT DW 2017]]</f>
        <v>0</v>
      </c>
      <c r="L268" s="322"/>
      <c r="M268" s="559"/>
      <c r="N268" s="323"/>
      <c r="O268" s="559"/>
      <c r="P268" s="324"/>
      <c r="Q268" s="559"/>
      <c r="R268" s="317">
        <f>Tabel66892127[[#This Row],[VAT DW 2017]]+Tabel66892127[[#This Row],[VAT Sew. 2017]]+Tabel66892127[[#This Row],[VAT WW 2017]]+Tabel66892127[[#This Row],[VAT Other ch. 2017]]</f>
        <v>0</v>
      </c>
      <c r="S268" s="318">
        <f>Tabel66892127[[#This Row],[Total. ch. DW 2017]]+Tabel66892127[[#This Row],[Sew. 2017]]+Tabel66892127[[#This Row],[VAT Sew. 2017]]+Tabel66892127[[#This Row],[WW 2017]]+Tabel66892127[[#This Row],[VAT WW 2017]]+Tabel66892127[[#This Row],[Other ch. 2017]]+Tabel66892127[[#This Row],[VAT Other ch. 2017]]</f>
        <v>0</v>
      </c>
      <c r="T268" s="397"/>
      <c r="U268" s="340"/>
      <c r="V268" s="341"/>
      <c r="W268" s="401"/>
      <c r="X268" s="580"/>
      <c r="Y268" s="343"/>
      <c r="Z268" s="344"/>
      <c r="AA268" s="581"/>
      <c r="AB268" s="514"/>
      <c r="AC268" s="592"/>
      <c r="AD268" s="346"/>
      <c r="AE268" s="581"/>
      <c r="AF268" s="347"/>
      <c r="AG268" s="515"/>
      <c r="AH268" s="397"/>
      <c r="AI268" s="398"/>
      <c r="AJ268" s="396"/>
      <c r="AK268" s="398"/>
      <c r="AL268" s="398"/>
      <c r="AM268" s="396"/>
      <c r="AN268" s="398"/>
      <c r="AO268" s="398"/>
      <c r="AP268" s="397"/>
    </row>
    <row r="269" spans="1:42" ht="19.5" hidden="1" thickBot="1" x14ac:dyDescent="0.3">
      <c r="A269" s="962" t="s">
        <v>737</v>
      </c>
      <c r="B269" s="292" t="s">
        <v>738</v>
      </c>
      <c r="C269" s="1047"/>
      <c r="D269" s="811" t="s">
        <v>1141</v>
      </c>
      <c r="E269" s="589">
        <v>16100</v>
      </c>
      <c r="F269" s="307">
        <f>'exchange rates'!M62</f>
        <v>36.151380000000003</v>
      </c>
      <c r="G269" s="319"/>
      <c r="H269" s="320"/>
      <c r="I269" s="321"/>
      <c r="J269" s="559"/>
      <c r="K269" s="313">
        <f>Tabel66892127[[#This Row],[Fix.ch. 2017]]+Tabel66892127[[#This Row],[Var. ch. 2017]]+Tabel66892127[[#This Row],[Oth. ch. DW 2017]]+Tabel66892127[[#This Row],[VAT DW 2017]]</f>
        <v>0</v>
      </c>
      <c r="L269" s="322"/>
      <c r="M269" s="559"/>
      <c r="N269" s="323">
        <f>(3.358*200)/F269</f>
        <v>18.577437431157538</v>
      </c>
      <c r="O269" s="559"/>
      <c r="P269" s="324"/>
      <c r="Q269" s="559"/>
      <c r="R269" s="317">
        <f>Tabel66892127[[#This Row],[VAT DW 2017]]+Tabel66892127[[#This Row],[VAT Sew. 2017]]+Tabel66892127[[#This Row],[VAT WW 2017]]+Tabel66892127[[#This Row],[VAT Other ch. 2017]]</f>
        <v>0</v>
      </c>
      <c r="S269" s="318">
        <f>Tabel66892127[[#This Row],[Total. ch. DW 2017]]+Tabel66892127[[#This Row],[Sew. 2017]]+Tabel66892127[[#This Row],[VAT Sew. 2017]]+Tabel66892127[[#This Row],[WW 2017]]+Tabel66892127[[#This Row],[VAT WW 2017]]+Tabel66892127[[#This Row],[Other ch. 2017]]+Tabel66892127[[#This Row],[VAT Other ch. 2017]]</f>
        <v>18.577437431157538</v>
      </c>
      <c r="T269" s="397"/>
      <c r="U269" s="340"/>
      <c r="V269" s="341"/>
      <c r="W269" s="401"/>
      <c r="X269" s="580"/>
      <c r="Y269" s="343">
        <f>Tabel66892127[[#This Row],[Total. ch. DW 2017]]</f>
        <v>0</v>
      </c>
      <c r="Z269" s="344"/>
      <c r="AA269" s="581"/>
      <c r="AB269" s="345">
        <f>Tabel66892127[[#This Row],[WW 2017]]</f>
        <v>18.577437431157538</v>
      </c>
      <c r="AC269" s="581"/>
      <c r="AD269" s="346"/>
      <c r="AE269" s="581"/>
      <c r="AF269" s="347"/>
      <c r="AG269" s="516">
        <f>SUM(Y269:AF269)</f>
        <v>18.577437431157538</v>
      </c>
      <c r="AH269" s="397"/>
      <c r="AI269" s="398"/>
      <c r="AJ269" s="396"/>
      <c r="AK269" s="396" t="s">
        <v>429</v>
      </c>
      <c r="AL269" s="398"/>
      <c r="AM269" s="396" t="s">
        <v>429</v>
      </c>
      <c r="AN269" s="398"/>
      <c r="AO269" s="398"/>
      <c r="AP269" s="397"/>
    </row>
    <row r="270" spans="1:42" ht="16.5" hidden="1" thickBot="1" x14ac:dyDescent="0.3">
      <c r="A270" s="267" t="s">
        <v>29</v>
      </c>
      <c r="B270" s="455" t="s">
        <v>164</v>
      </c>
      <c r="C270" s="1048"/>
      <c r="D270" s="811" t="s">
        <v>1143</v>
      </c>
      <c r="E270" s="304"/>
      <c r="F270" s="307"/>
      <c r="G270" s="319"/>
      <c r="H270" s="320"/>
      <c r="I270" s="321"/>
      <c r="J270" s="559"/>
      <c r="K270" s="313">
        <f>Tabel66892127[[#This Row],[Fix.ch. 2017]]+Tabel66892127[[#This Row],[Var. ch. 2017]]+Tabel66892127[[#This Row],[Oth. ch. DW 2017]]+Tabel66892127[[#This Row],[VAT DW 2017]]</f>
        <v>0</v>
      </c>
      <c r="L270" s="322"/>
      <c r="M270" s="559"/>
      <c r="N270" s="323"/>
      <c r="O270" s="559"/>
      <c r="P270" s="324"/>
      <c r="Q270" s="559"/>
      <c r="R270" s="317">
        <f>Tabel66892127[[#This Row],[VAT DW 2017]]+Tabel66892127[[#This Row],[VAT Sew. 2017]]+Tabel66892127[[#This Row],[VAT WW 2017]]+Tabel66892127[[#This Row],[VAT Other ch. 2017]]</f>
        <v>0</v>
      </c>
      <c r="S270" s="318">
        <f>Tabel66892127[[#This Row],[Total. ch. DW 2017]]+Tabel66892127[[#This Row],[Sew. 2017]]+Tabel66892127[[#This Row],[VAT Sew. 2017]]+Tabel66892127[[#This Row],[WW 2017]]+Tabel66892127[[#This Row],[VAT WW 2017]]+Tabel66892127[[#This Row],[Other ch. 2017]]+Tabel66892127[[#This Row],[VAT Other ch. 2017]]</f>
        <v>0</v>
      </c>
      <c r="T270" s="397"/>
      <c r="U270" s="376"/>
      <c r="V270" s="377"/>
      <c r="W270" s="378"/>
      <c r="X270" s="588"/>
      <c r="Y270" s="379"/>
      <c r="Z270" s="380"/>
      <c r="AA270" s="588"/>
      <c r="AB270" s="381"/>
      <c r="AC270" s="588"/>
      <c r="AD270" s="382"/>
      <c r="AE270" s="588"/>
      <c r="AF270" s="383"/>
      <c r="AG270" s="384"/>
      <c r="AH270" s="397"/>
      <c r="AI270" s="398"/>
      <c r="AJ270" s="398"/>
      <c r="AK270" s="398"/>
      <c r="AL270" s="398"/>
      <c r="AM270" s="398"/>
      <c r="AN270" s="398"/>
      <c r="AO270" s="398"/>
      <c r="AP270" s="397"/>
    </row>
    <row r="271" spans="1:42" ht="16.5" hidden="1" thickBot="1" x14ac:dyDescent="0.3">
      <c r="A271" s="1878" t="s">
        <v>927</v>
      </c>
      <c r="B271" s="693" t="s">
        <v>928</v>
      </c>
      <c r="C271" s="693" t="s">
        <v>429</v>
      </c>
      <c r="D271" s="806" t="s">
        <v>1145</v>
      </c>
      <c r="E271" s="1759">
        <v>26500</v>
      </c>
      <c r="F271" s="617">
        <f>'exchange rates'!$O$64</f>
        <v>3.7947000000000002</v>
      </c>
      <c r="G271" s="549">
        <f>442/F271</f>
        <v>116.47824597464884</v>
      </c>
      <c r="H271" s="550">
        <v>0</v>
      </c>
      <c r="I271" s="551">
        <v>0</v>
      </c>
      <c r="J271" s="560">
        <f>35.36/F271</f>
        <v>9.3182596779719074</v>
      </c>
      <c r="K271" s="566">
        <f>Tabel66892127[[#This Row],[Fix.ch. 2017]]+Tabel66892127[[#This Row],[Var. ch. 2017]]+Tabel66892127[[#This Row],[Oth. ch. DW 2017]]+Tabel66892127[[#This Row],[VAT DW 2017]]</f>
        <v>125.79650565262075</v>
      </c>
      <c r="L271" s="567">
        <v>0</v>
      </c>
      <c r="M271" s="560">
        <v>0</v>
      </c>
      <c r="N271" s="568">
        <f>221/F271</f>
        <v>58.239122987324421</v>
      </c>
      <c r="O271" s="560">
        <f>17.68/F271</f>
        <v>4.6591298389859537</v>
      </c>
      <c r="P271" s="569">
        <f>24/F271</f>
        <v>6.3246106411574035</v>
      </c>
      <c r="Q271" s="560">
        <v>0</v>
      </c>
      <c r="R271" s="570">
        <f>Tabel66892127[[#This Row],[VAT DW 2017]]+Tabel66892127[[#This Row],[VAT Sew. 2017]]+Tabel66892127[[#This Row],[VAT WW 2017]]+Tabel66892127[[#This Row],[VAT Other ch. 2017]]</f>
        <v>13.97738951695786</v>
      </c>
      <c r="S271" s="571">
        <f>Tabel66892127[[#This Row],[Total. ch. DW 2017]]+Tabel66892127[[#This Row],[Sew. 2017]]+Tabel66892127[[#This Row],[VAT Sew. 2017]]+Tabel66892127[[#This Row],[WW 2017]]+Tabel66892127[[#This Row],[VAT WW 2017]]+Tabel66892127[[#This Row],[Other ch. 2017]]+Tabel66892127[[#This Row],[VAT Other ch. 2017]]</f>
        <v>195.01936912008853</v>
      </c>
      <c r="T271" s="397"/>
      <c r="U271" s="1762">
        <f xml:space="preserve"> MEDIAN(G271:G273)</f>
        <v>116.47824597464884</v>
      </c>
      <c r="V271" s="1765">
        <f xml:space="preserve"> MEDIAN(H271:H273)</f>
        <v>0</v>
      </c>
      <c r="W271" s="1768">
        <f xml:space="preserve"> MEDIAN(I271:I273)</f>
        <v>0</v>
      </c>
      <c r="X271" s="1771">
        <f xml:space="preserve"> MEDIAN(J271:J273)</f>
        <v>9.3182596779719074</v>
      </c>
      <c r="Y271" s="1774">
        <f>SUM(U271:X273)</f>
        <v>125.79650565262075</v>
      </c>
      <c r="Z271" s="1777">
        <f t="shared" ref="Z271:AF271" si="40" xml:space="preserve"> MEDIAN(L271:L273)</f>
        <v>0</v>
      </c>
      <c r="AA271" s="1771">
        <f t="shared" si="40"/>
        <v>0</v>
      </c>
      <c r="AB271" s="1810">
        <f t="shared" si="40"/>
        <v>49.279257912351433</v>
      </c>
      <c r="AC271" s="1771">
        <f t="shared" si="40"/>
        <v>3.942340632988115</v>
      </c>
      <c r="AD271" s="1812">
        <f t="shared" si="40"/>
        <v>6.3246106411574035</v>
      </c>
      <c r="AE271" s="1771">
        <f t="shared" si="40"/>
        <v>0</v>
      </c>
      <c r="AF271" s="1814">
        <f t="shared" si="40"/>
        <v>12.670303317785331</v>
      </c>
      <c r="AG271" s="1793">
        <f>Y271+Z271+AA271+AB271+AC271+AD271+AE271</f>
        <v>185.34271483911769</v>
      </c>
      <c r="AH271" s="397"/>
      <c r="AI271" s="398"/>
      <c r="AJ271" s="398"/>
      <c r="AK271" s="398"/>
      <c r="AL271" s="398"/>
      <c r="AM271" s="398"/>
      <c r="AN271" s="398"/>
      <c r="AO271" s="398"/>
      <c r="AP271" s="397"/>
    </row>
    <row r="272" spans="1:42" ht="16.5" hidden="1" thickBot="1" x14ac:dyDescent="0.3">
      <c r="A272" s="1757"/>
      <c r="B272" s="639" t="s">
        <v>929</v>
      </c>
      <c r="C272" s="639"/>
      <c r="D272" s="724" t="s">
        <v>1145</v>
      </c>
      <c r="E272" s="1760"/>
      <c r="F272" s="617">
        <f>'exchange rates'!$O$64</f>
        <v>3.7947000000000002</v>
      </c>
      <c r="G272" s="549">
        <f>445/F272</f>
        <v>117.26882230479352</v>
      </c>
      <c r="H272" s="550">
        <v>0</v>
      </c>
      <c r="I272" s="551">
        <f>(4.47*12)/F272</f>
        <v>14.135504782986796</v>
      </c>
      <c r="J272" s="560">
        <f>35.6/F272</f>
        <v>9.3815057843834815</v>
      </c>
      <c r="K272" s="566">
        <f>Tabel66892127[[#This Row],[Fix.ch. 2017]]+Tabel66892127[[#This Row],[Var. ch. 2017]]+Tabel66892127[[#This Row],[Oth. ch. DW 2017]]+Tabel66892127[[#This Row],[VAT DW 2017]]</f>
        <v>140.78583287216378</v>
      </c>
      <c r="L272" s="567">
        <v>0</v>
      </c>
      <c r="M272" s="560">
        <v>0</v>
      </c>
      <c r="N272" s="568">
        <f>156/F272</f>
        <v>41.109969167523126</v>
      </c>
      <c r="O272" s="560">
        <f>12.48/F272</f>
        <v>3.28879753340185</v>
      </c>
      <c r="P272" s="569">
        <f t="shared" ref="P272:P273" si="41">24/F272</f>
        <v>6.3246106411574035</v>
      </c>
      <c r="Q272" s="560">
        <v>0</v>
      </c>
      <c r="R272" s="570">
        <f>Tabel66892127[[#This Row],[VAT DW 2017]]+Tabel66892127[[#This Row],[VAT Sew. 2017]]+Tabel66892127[[#This Row],[VAT WW 2017]]+Tabel66892127[[#This Row],[VAT Other ch. 2017]]</f>
        <v>12.670303317785331</v>
      </c>
      <c r="S272" s="571">
        <f>Tabel66892127[[#This Row],[Total. ch. DW 2017]]+Tabel66892127[[#This Row],[Sew. 2017]]+Tabel66892127[[#This Row],[VAT Sew. 2017]]+Tabel66892127[[#This Row],[WW 2017]]+Tabel66892127[[#This Row],[VAT WW 2017]]+Tabel66892127[[#This Row],[Other ch. 2017]]+Tabel66892127[[#This Row],[VAT Other ch. 2017]]</f>
        <v>191.50921021424617</v>
      </c>
      <c r="T272" s="397"/>
      <c r="U272" s="1763"/>
      <c r="V272" s="1766"/>
      <c r="W272" s="1769"/>
      <c r="X272" s="1772"/>
      <c r="Y272" s="1775"/>
      <c r="Z272" s="1778"/>
      <c r="AA272" s="1772"/>
      <c r="AB272" s="1781"/>
      <c r="AC272" s="1772"/>
      <c r="AD272" s="1785"/>
      <c r="AE272" s="1772"/>
      <c r="AF272" s="1788"/>
      <c r="AG272" s="1791"/>
      <c r="AH272" s="397"/>
      <c r="AI272" s="398"/>
      <c r="AJ272" s="398"/>
      <c r="AK272" s="398"/>
      <c r="AL272" s="591" t="s">
        <v>429</v>
      </c>
      <c r="AM272" s="591" t="s">
        <v>429</v>
      </c>
      <c r="AN272" s="398"/>
      <c r="AO272" s="398"/>
      <c r="AP272" s="397"/>
    </row>
    <row r="273" spans="1:42" ht="16.5" hidden="1" thickBot="1" x14ac:dyDescent="0.3">
      <c r="A273" s="1758"/>
      <c r="B273" s="652" t="s">
        <v>930</v>
      </c>
      <c r="C273" s="652"/>
      <c r="D273" s="807" t="s">
        <v>1145</v>
      </c>
      <c r="E273" s="1761"/>
      <c r="F273" s="617">
        <f>'exchange rates'!$O$64</f>
        <v>3.7947000000000002</v>
      </c>
      <c r="G273" s="549">
        <f>229/F273</f>
        <v>60.34732653437689</v>
      </c>
      <c r="H273" s="550">
        <v>0</v>
      </c>
      <c r="I273" s="551">
        <v>0</v>
      </c>
      <c r="J273" s="560">
        <f>18.32/F273</f>
        <v>4.8277861227501511</v>
      </c>
      <c r="K273" s="566">
        <f>Tabel66892127[[#This Row],[Fix.ch. 2017]]+Tabel66892127[[#This Row],[Var. ch. 2017]]+Tabel66892127[[#This Row],[Oth. ch. DW 2017]]+Tabel66892127[[#This Row],[VAT DW 2017]]</f>
        <v>65.175112657127045</v>
      </c>
      <c r="L273" s="567">
        <v>0</v>
      </c>
      <c r="M273" s="560">
        <v>0</v>
      </c>
      <c r="N273" s="568">
        <f>187/F273</f>
        <v>49.279257912351433</v>
      </c>
      <c r="O273" s="560">
        <f>14.96/F273</f>
        <v>3.942340632988115</v>
      </c>
      <c r="P273" s="569">
        <f t="shared" si="41"/>
        <v>6.3246106411574035</v>
      </c>
      <c r="Q273" s="560">
        <v>0</v>
      </c>
      <c r="R273" s="570">
        <f>Tabel66892127[[#This Row],[VAT DW 2017]]+Tabel66892127[[#This Row],[VAT Sew. 2017]]+Tabel66892127[[#This Row],[VAT WW 2017]]+Tabel66892127[[#This Row],[VAT Other ch. 2017]]</f>
        <v>8.7701267557382661</v>
      </c>
      <c r="S273" s="571">
        <f>Tabel66892127[[#This Row],[Total. ch. DW 2017]]+Tabel66892127[[#This Row],[Sew. 2017]]+Tabel66892127[[#This Row],[VAT Sew. 2017]]+Tabel66892127[[#This Row],[WW 2017]]+Tabel66892127[[#This Row],[VAT WW 2017]]+Tabel66892127[[#This Row],[Other ch. 2017]]+Tabel66892127[[#This Row],[VAT Other ch. 2017]]</f>
        <v>124.721321843624</v>
      </c>
      <c r="T273" s="397"/>
      <c r="U273" s="1764"/>
      <c r="V273" s="1767"/>
      <c r="W273" s="1770"/>
      <c r="X273" s="1773"/>
      <c r="Y273" s="1776"/>
      <c r="Z273" s="1779"/>
      <c r="AA273" s="1773"/>
      <c r="AB273" s="1811"/>
      <c r="AC273" s="1773"/>
      <c r="AD273" s="1813"/>
      <c r="AE273" s="1773"/>
      <c r="AF273" s="1815"/>
      <c r="AG273" s="1794"/>
      <c r="AH273" s="397"/>
      <c r="AI273" s="398"/>
      <c r="AJ273" s="398"/>
      <c r="AK273" s="398"/>
      <c r="AL273" s="398"/>
      <c r="AM273" s="398"/>
      <c r="AN273" s="398"/>
      <c r="AO273" s="398"/>
      <c r="AP273" s="397"/>
    </row>
    <row r="274" spans="1:42" ht="18" hidden="1" customHeight="1" x14ac:dyDescent="0.3">
      <c r="A274" s="1878" t="s">
        <v>505</v>
      </c>
      <c r="B274" s="690" t="s">
        <v>746</v>
      </c>
      <c r="C274" s="693" t="s">
        <v>429</v>
      </c>
      <c r="D274" s="806" t="s">
        <v>1147</v>
      </c>
      <c r="E274" s="2185">
        <v>2400</v>
      </c>
      <c r="F274" s="617">
        <f>'exchange rates'!$O$65</f>
        <v>3628.4174400000002</v>
      </c>
      <c r="G274" s="549">
        <f>18000/F274</f>
        <v>4.9608404483911857</v>
      </c>
      <c r="H274" s="550">
        <f>319900/F274</f>
        <v>88.165158857796683</v>
      </c>
      <c r="I274" s="551">
        <v>0</v>
      </c>
      <c r="J274" s="560">
        <f>57582/F274</f>
        <v>15.869728594403403</v>
      </c>
      <c r="K274" s="566">
        <f>Tabel66892127[[#This Row],[Fix.ch. 2017]]+Tabel66892127[[#This Row],[Var. ch. 2017]]+Tabel66892127[[#This Row],[Oth. ch. DW 2017]]+Tabel66892127[[#This Row],[VAT DW 2017]]</f>
        <v>108.99572790059126</v>
      </c>
      <c r="L274" s="567">
        <f>239925/F274</f>
        <v>66.12386914334752</v>
      </c>
      <c r="M274" s="560">
        <f>43187/F274</f>
        <v>11.90243424692612</v>
      </c>
      <c r="N274" s="568">
        <v>0</v>
      </c>
      <c r="O274" s="560">
        <v>0</v>
      </c>
      <c r="P274" s="569">
        <v>0</v>
      </c>
      <c r="Q274" s="560">
        <v>0</v>
      </c>
      <c r="R274" s="570">
        <f>Tabel66892127[[#This Row],[VAT DW 2017]]+Tabel66892127[[#This Row],[VAT Sew. 2017]]+Tabel66892127[[#This Row],[VAT WW 2017]]+Tabel66892127[[#This Row],[VAT Other ch. 2017]]</f>
        <v>27.772162841329525</v>
      </c>
      <c r="S274" s="571">
        <f>Tabel66892127[[#This Row],[Total. ch. DW 2017]]+Tabel66892127[[#This Row],[Sew. 2017]]+Tabel66892127[[#This Row],[VAT Sew. 2017]]+Tabel66892127[[#This Row],[WW 2017]]+Tabel66892127[[#This Row],[VAT WW 2017]]+Tabel66892127[[#This Row],[Other ch. 2017]]+Tabel66892127[[#This Row],[VAT Other ch. 2017]]</f>
        <v>187.0220312908649</v>
      </c>
      <c r="T274" s="397"/>
      <c r="U274" s="1984">
        <f>MEDIAN(G274:G277)</f>
        <v>4.9608404483911857</v>
      </c>
      <c r="V274" s="1985">
        <f>MEDIAN(H274:H277)</f>
        <v>88.165158857796683</v>
      </c>
      <c r="W274" s="1986">
        <f>MEDIAN(I274:I277)</f>
        <v>0</v>
      </c>
      <c r="X274" s="1908">
        <f>MEDIAN(J274:J277)</f>
        <v>15.869728594403403</v>
      </c>
      <c r="Y274" s="1987">
        <f>SUM(U274:X277)</f>
        <v>108.99572790059126</v>
      </c>
      <c r="Z274" s="2031">
        <f t="shared" ref="Z274:AF274" si="42">MEDIAN(L274:L277)</f>
        <v>66.12386914334752</v>
      </c>
      <c r="AA274" s="1908">
        <f t="shared" si="42"/>
        <v>11.90243424692612</v>
      </c>
      <c r="AB274" s="2032">
        <f t="shared" si="42"/>
        <v>0</v>
      </c>
      <c r="AC274" s="1908">
        <f t="shared" si="42"/>
        <v>0</v>
      </c>
      <c r="AD274" s="2028">
        <f t="shared" si="42"/>
        <v>0</v>
      </c>
      <c r="AE274" s="1908">
        <f t="shared" si="42"/>
        <v>0</v>
      </c>
      <c r="AF274" s="1988">
        <f t="shared" si="42"/>
        <v>27.772162841329525</v>
      </c>
      <c r="AG274" s="2190">
        <f>Y274+Z274+AA274+AB274+AC274+AD274+AE274</f>
        <v>187.0220312908649</v>
      </c>
      <c r="AH274" s="397"/>
      <c r="AI274" s="398"/>
      <c r="AJ274" s="591" t="s">
        <v>429</v>
      </c>
      <c r="AK274" s="614"/>
      <c r="AL274" s="614"/>
      <c r="AM274" s="591" t="s">
        <v>429</v>
      </c>
      <c r="AN274" s="396"/>
      <c r="AO274" s="398"/>
      <c r="AP274" s="397"/>
    </row>
    <row r="275" spans="1:42" ht="16.5" hidden="1" thickBot="1" x14ac:dyDescent="0.3">
      <c r="A275" s="1757"/>
      <c r="B275" s="639" t="s">
        <v>747</v>
      </c>
      <c r="C275" s="639"/>
      <c r="D275" s="724" t="s">
        <v>1147</v>
      </c>
      <c r="E275" s="2186"/>
      <c r="F275" s="617">
        <f>'exchange rates'!$O$65</f>
        <v>3628.4174400000002</v>
      </c>
      <c r="G275" s="549">
        <f t="shared" ref="G275:G277" si="43">18000/F275</f>
        <v>4.9608404483911857</v>
      </c>
      <c r="H275" s="550">
        <f t="shared" ref="H275:H277" si="44">319900/F275</f>
        <v>88.165158857796683</v>
      </c>
      <c r="I275" s="551">
        <v>0</v>
      </c>
      <c r="J275" s="560">
        <f t="shared" ref="J275:J277" si="45">57582/F275</f>
        <v>15.869728594403403</v>
      </c>
      <c r="K275" s="566">
        <f>Tabel66892127[[#This Row],[Fix.ch. 2017]]+Tabel66892127[[#This Row],[Var. ch. 2017]]+Tabel66892127[[#This Row],[Oth. ch. DW 2017]]+Tabel66892127[[#This Row],[VAT DW 2017]]</f>
        <v>108.99572790059126</v>
      </c>
      <c r="L275" s="567">
        <f t="shared" ref="L275:L277" si="46">239925/F275</f>
        <v>66.12386914334752</v>
      </c>
      <c r="M275" s="560">
        <f t="shared" ref="M275:M277" si="47">43187/F275</f>
        <v>11.90243424692612</v>
      </c>
      <c r="N275" s="568">
        <v>0</v>
      </c>
      <c r="O275" s="560">
        <v>0</v>
      </c>
      <c r="P275" s="569">
        <v>0</v>
      </c>
      <c r="Q275" s="560">
        <v>0</v>
      </c>
      <c r="R275" s="570">
        <f>Tabel66892127[[#This Row],[VAT DW 2017]]+Tabel66892127[[#This Row],[VAT Sew. 2017]]+Tabel66892127[[#This Row],[VAT WW 2017]]+Tabel66892127[[#This Row],[VAT Other ch. 2017]]</f>
        <v>27.772162841329525</v>
      </c>
      <c r="S275" s="571">
        <f>Tabel66892127[[#This Row],[Total. ch. DW 2017]]+Tabel66892127[[#This Row],[Sew. 2017]]+Tabel66892127[[#This Row],[VAT Sew. 2017]]+Tabel66892127[[#This Row],[WW 2017]]+Tabel66892127[[#This Row],[VAT WW 2017]]+Tabel66892127[[#This Row],[Other ch. 2017]]+Tabel66892127[[#This Row],[VAT Other ch. 2017]]</f>
        <v>187.0220312908649</v>
      </c>
      <c r="T275" s="397"/>
      <c r="U275" s="1763"/>
      <c r="V275" s="1766"/>
      <c r="W275" s="1769"/>
      <c r="X275" s="1772"/>
      <c r="Y275" s="1775"/>
      <c r="Z275" s="1778"/>
      <c r="AA275" s="1772"/>
      <c r="AB275" s="1781"/>
      <c r="AC275" s="1772"/>
      <c r="AD275" s="1785"/>
      <c r="AE275" s="1772"/>
      <c r="AF275" s="1788"/>
      <c r="AG275" s="1791"/>
      <c r="AH275" s="397"/>
      <c r="AI275" s="398"/>
      <c r="AJ275" s="591" t="s">
        <v>429</v>
      </c>
      <c r="AK275" s="614"/>
      <c r="AL275" s="614"/>
      <c r="AM275" s="591" t="s">
        <v>429</v>
      </c>
      <c r="AN275" s="396"/>
      <c r="AO275" s="398"/>
      <c r="AP275" s="397"/>
    </row>
    <row r="276" spans="1:42" ht="16.5" hidden="1" thickBot="1" x14ac:dyDescent="0.3">
      <c r="A276" s="1757"/>
      <c r="B276" s="639" t="s">
        <v>748</v>
      </c>
      <c r="C276" s="639"/>
      <c r="D276" s="724" t="s">
        <v>1147</v>
      </c>
      <c r="E276" s="2186"/>
      <c r="F276" s="617">
        <f>'exchange rates'!$O$65</f>
        <v>3628.4174400000002</v>
      </c>
      <c r="G276" s="549">
        <f t="shared" si="43"/>
        <v>4.9608404483911857</v>
      </c>
      <c r="H276" s="550">
        <f t="shared" si="44"/>
        <v>88.165158857796683</v>
      </c>
      <c r="I276" s="551">
        <v>0</v>
      </c>
      <c r="J276" s="560">
        <f t="shared" si="45"/>
        <v>15.869728594403403</v>
      </c>
      <c r="K276" s="566">
        <f>Tabel66892127[[#This Row],[Fix.ch. 2017]]+Tabel66892127[[#This Row],[Var. ch. 2017]]+Tabel66892127[[#This Row],[Oth. ch. DW 2017]]+Tabel66892127[[#This Row],[VAT DW 2017]]</f>
        <v>108.99572790059126</v>
      </c>
      <c r="L276" s="567">
        <f t="shared" si="46"/>
        <v>66.12386914334752</v>
      </c>
      <c r="M276" s="560">
        <f t="shared" si="47"/>
        <v>11.90243424692612</v>
      </c>
      <c r="N276" s="568">
        <v>0</v>
      </c>
      <c r="O276" s="560">
        <v>0</v>
      </c>
      <c r="P276" s="569">
        <v>0</v>
      </c>
      <c r="Q276" s="560">
        <v>0</v>
      </c>
      <c r="R276" s="570">
        <f>Tabel66892127[[#This Row],[VAT DW 2017]]+Tabel66892127[[#This Row],[VAT Sew. 2017]]+Tabel66892127[[#This Row],[VAT WW 2017]]+Tabel66892127[[#This Row],[VAT Other ch. 2017]]</f>
        <v>27.772162841329525</v>
      </c>
      <c r="S276" s="571">
        <f>Tabel66892127[[#This Row],[Total. ch. DW 2017]]+Tabel66892127[[#This Row],[Sew. 2017]]+Tabel66892127[[#This Row],[VAT Sew. 2017]]+Tabel66892127[[#This Row],[WW 2017]]+Tabel66892127[[#This Row],[VAT WW 2017]]+Tabel66892127[[#This Row],[Other ch. 2017]]+Tabel66892127[[#This Row],[VAT Other ch. 2017]]</f>
        <v>187.0220312908649</v>
      </c>
      <c r="T276" s="397"/>
      <c r="U276" s="1763"/>
      <c r="V276" s="1766"/>
      <c r="W276" s="1769"/>
      <c r="X276" s="1772"/>
      <c r="Y276" s="1775"/>
      <c r="Z276" s="1778"/>
      <c r="AA276" s="1772"/>
      <c r="AB276" s="1781"/>
      <c r="AC276" s="1772"/>
      <c r="AD276" s="1785"/>
      <c r="AE276" s="1772"/>
      <c r="AF276" s="1788"/>
      <c r="AG276" s="1791"/>
      <c r="AH276" s="397"/>
      <c r="AI276" s="398"/>
      <c r="AJ276" s="591" t="s">
        <v>429</v>
      </c>
      <c r="AK276" s="614"/>
      <c r="AL276" s="614"/>
      <c r="AM276" s="591" t="s">
        <v>429</v>
      </c>
      <c r="AN276" s="396"/>
      <c r="AO276" s="398"/>
      <c r="AP276" s="397"/>
    </row>
    <row r="277" spans="1:42" ht="16.5" hidden="1" thickBot="1" x14ac:dyDescent="0.3">
      <c r="A277" s="1758"/>
      <c r="B277" s="652" t="s">
        <v>749</v>
      </c>
      <c r="C277" s="652"/>
      <c r="D277" s="807" t="s">
        <v>1147</v>
      </c>
      <c r="E277" s="2187"/>
      <c r="F277" s="617">
        <f>'exchange rates'!$O$65</f>
        <v>3628.4174400000002</v>
      </c>
      <c r="G277" s="549">
        <f t="shared" si="43"/>
        <v>4.9608404483911857</v>
      </c>
      <c r="H277" s="550">
        <f t="shared" si="44"/>
        <v>88.165158857796683</v>
      </c>
      <c r="I277" s="551">
        <v>0</v>
      </c>
      <c r="J277" s="560">
        <f t="shared" si="45"/>
        <v>15.869728594403403</v>
      </c>
      <c r="K277" s="566">
        <f>Tabel66892127[[#This Row],[Fix.ch. 2017]]+Tabel66892127[[#This Row],[Var. ch. 2017]]+Tabel66892127[[#This Row],[Oth. ch. DW 2017]]+Tabel66892127[[#This Row],[VAT DW 2017]]</f>
        <v>108.99572790059126</v>
      </c>
      <c r="L277" s="567">
        <f t="shared" si="46"/>
        <v>66.12386914334752</v>
      </c>
      <c r="M277" s="560">
        <f t="shared" si="47"/>
        <v>11.90243424692612</v>
      </c>
      <c r="N277" s="568">
        <v>0</v>
      </c>
      <c r="O277" s="560">
        <v>0</v>
      </c>
      <c r="P277" s="569">
        <v>0</v>
      </c>
      <c r="Q277" s="560">
        <v>0</v>
      </c>
      <c r="R277" s="570">
        <f>Tabel66892127[[#This Row],[VAT DW 2017]]+Tabel66892127[[#This Row],[VAT Sew. 2017]]+Tabel66892127[[#This Row],[VAT WW 2017]]+Tabel66892127[[#This Row],[VAT Other ch. 2017]]</f>
        <v>27.772162841329525</v>
      </c>
      <c r="S277" s="571">
        <f>Tabel66892127[[#This Row],[Total. ch. DW 2017]]+Tabel66892127[[#This Row],[Sew. 2017]]+Tabel66892127[[#This Row],[VAT Sew. 2017]]+Tabel66892127[[#This Row],[WW 2017]]+Tabel66892127[[#This Row],[VAT WW 2017]]+Tabel66892127[[#This Row],[Other ch. 2017]]+Tabel66892127[[#This Row],[VAT Other ch. 2017]]</f>
        <v>187.0220312908649</v>
      </c>
      <c r="T277" s="397"/>
      <c r="U277" s="1764"/>
      <c r="V277" s="1767"/>
      <c r="W277" s="1770"/>
      <c r="X277" s="1773"/>
      <c r="Y277" s="1776"/>
      <c r="Z277" s="1779"/>
      <c r="AA277" s="1773"/>
      <c r="AB277" s="1811"/>
      <c r="AC277" s="1773"/>
      <c r="AD277" s="1813"/>
      <c r="AE277" s="1773"/>
      <c r="AF277" s="1815"/>
      <c r="AG277" s="1794"/>
      <c r="AH277" s="397"/>
      <c r="AI277" s="398"/>
      <c r="AJ277" s="591" t="s">
        <v>429</v>
      </c>
      <c r="AK277" s="614"/>
      <c r="AL277" s="614"/>
      <c r="AM277" s="591" t="s">
        <v>429</v>
      </c>
      <c r="AN277" s="396"/>
      <c r="AO277" s="398"/>
      <c r="AP277" s="397"/>
    </row>
    <row r="278" spans="1:42" ht="15.75" hidden="1" customHeight="1" x14ac:dyDescent="0.3">
      <c r="A278" s="1818" t="s">
        <v>456</v>
      </c>
      <c r="B278" s="663" t="s">
        <v>165</v>
      </c>
      <c r="C278" s="1046"/>
      <c r="D278" s="802" t="s">
        <v>1149</v>
      </c>
      <c r="E278" s="2196">
        <v>43600</v>
      </c>
      <c r="F278" s="617">
        <f>'exchange rates'!$O$66</f>
        <v>0.73992000000000002</v>
      </c>
      <c r="G278" s="549">
        <f>26.08/F278</f>
        <v>35.247053735538977</v>
      </c>
      <c r="H278" s="550">
        <f>151.93/F278</f>
        <v>205.33300897394312</v>
      </c>
      <c r="I278" s="551">
        <v>0</v>
      </c>
      <c r="J278" s="560">
        <v>0</v>
      </c>
      <c r="K278" s="566">
        <f>Tabel66892127[[#This Row],[Fix.ch. 2017]]+Tabel66892127[[#This Row],[Var. ch. 2017]]+Tabel66892127[[#This Row],[Oth. ch. DW 2017]]+Tabel66892127[[#This Row],[VAT DW 2017]]</f>
        <v>240.58006270948209</v>
      </c>
      <c r="L278" s="567">
        <v>0</v>
      </c>
      <c r="M278" s="560">
        <v>0</v>
      </c>
      <c r="N278" s="568">
        <f>170.61/F278</f>
        <v>230.57898151151477</v>
      </c>
      <c r="O278" s="560">
        <v>0</v>
      </c>
      <c r="P278" s="569">
        <v>0</v>
      </c>
      <c r="Q278" s="560">
        <v>0</v>
      </c>
      <c r="R278" s="570">
        <f>Tabel66892127[[#This Row],[VAT DW 2017]]+Tabel66892127[[#This Row],[VAT Sew. 2017]]+Tabel66892127[[#This Row],[VAT WW 2017]]+Tabel66892127[[#This Row],[VAT Other ch. 2017]]</f>
        <v>0</v>
      </c>
      <c r="S278" s="571">
        <f>Tabel66892127[[#This Row],[Total. ch. DW 2017]]+Tabel66892127[[#This Row],[Sew. 2017]]+Tabel66892127[[#This Row],[VAT Sew. 2017]]+Tabel66892127[[#This Row],[WW 2017]]+Tabel66892127[[#This Row],[VAT WW 2017]]+Tabel66892127[[#This Row],[Other ch. 2017]]+Tabel66892127[[#This Row],[VAT Other ch. 2017]]</f>
        <v>471.15904422099686</v>
      </c>
      <c r="T278" s="397"/>
      <c r="U278" s="2197">
        <f>MEDIAN(G278:G282)</f>
        <v>42.301870472483515</v>
      </c>
      <c r="V278" s="2198">
        <f>MEDIAN(H278:H282)</f>
        <v>182.18185749810792</v>
      </c>
      <c r="W278" s="2199">
        <f>MEDIAN(I278:I282)</f>
        <v>0</v>
      </c>
      <c r="X278" s="1908">
        <f>MEDIAN(J278:J282)</f>
        <v>0</v>
      </c>
      <c r="Y278" s="2200">
        <f>SUM(U278:X282)</f>
        <v>224.48372797059142</v>
      </c>
      <c r="Z278" s="2201">
        <f t="shared" ref="Z278:AF278" si="48">MEDIAN(L278:L282)</f>
        <v>0</v>
      </c>
      <c r="AA278" s="1908">
        <f t="shared" si="48"/>
        <v>0</v>
      </c>
      <c r="AB278" s="2193">
        <f t="shared" si="48"/>
        <v>291.50448697156446</v>
      </c>
      <c r="AC278" s="1908">
        <f t="shared" si="48"/>
        <v>0</v>
      </c>
      <c r="AD278" s="2194">
        <f t="shared" si="48"/>
        <v>0</v>
      </c>
      <c r="AE278" s="1908">
        <f t="shared" si="48"/>
        <v>0</v>
      </c>
      <c r="AF278" s="2195">
        <f t="shared" si="48"/>
        <v>0</v>
      </c>
      <c r="AG278" s="2202">
        <f>Y278+Z278+AA278+AB278+AC278+AD278+AE278</f>
        <v>515.98821494215588</v>
      </c>
      <c r="AH278" s="397"/>
      <c r="AI278" s="398"/>
      <c r="AJ278" s="398"/>
      <c r="AK278" s="398"/>
      <c r="AL278" s="398"/>
      <c r="AM278" s="398"/>
      <c r="AN278" s="398"/>
      <c r="AO278" s="398"/>
      <c r="AP278" s="2191"/>
    </row>
    <row r="279" spans="1:42" ht="15.75" hidden="1" customHeight="1" x14ac:dyDescent="0.3">
      <c r="A279" s="1819"/>
      <c r="B279" s="547" t="s">
        <v>166</v>
      </c>
      <c r="C279" s="1046" t="s">
        <v>429</v>
      </c>
      <c r="D279" s="802" t="s">
        <v>1149</v>
      </c>
      <c r="E279" s="1760"/>
      <c r="F279" s="617">
        <f>'exchange rates'!$O$66</f>
        <v>0.73992000000000002</v>
      </c>
      <c r="G279" s="549">
        <f>34.45/F279</f>
        <v>46.559087468915564</v>
      </c>
      <c r="H279" s="550">
        <f>128.09/F279</f>
        <v>173.11330954697806</v>
      </c>
      <c r="I279" s="551">
        <v>0</v>
      </c>
      <c r="J279" s="560">
        <v>0</v>
      </c>
      <c r="K279" s="566">
        <f>Tabel66892127[[#This Row],[Fix.ch. 2017]]+Tabel66892127[[#This Row],[Var. ch. 2017]]+Tabel66892127[[#This Row],[Oth. ch. DW 2017]]+Tabel66892127[[#This Row],[VAT DW 2017]]</f>
        <v>219.67239701589364</v>
      </c>
      <c r="L279" s="567">
        <v>0</v>
      </c>
      <c r="M279" s="560">
        <v>0</v>
      </c>
      <c r="N279" s="568">
        <f>246.31/F279</f>
        <v>332.88733917180235</v>
      </c>
      <c r="O279" s="560">
        <v>0</v>
      </c>
      <c r="P279" s="569">
        <v>0</v>
      </c>
      <c r="Q279" s="560">
        <v>0</v>
      </c>
      <c r="R279" s="570">
        <f>Tabel66892127[[#This Row],[VAT DW 2017]]+Tabel66892127[[#This Row],[VAT Sew. 2017]]+Tabel66892127[[#This Row],[VAT WW 2017]]+Tabel66892127[[#This Row],[VAT Other ch. 2017]]</f>
        <v>0</v>
      </c>
      <c r="S279" s="571">
        <f>Tabel66892127[[#This Row],[Total. ch. DW 2017]]+Tabel66892127[[#This Row],[Sew. 2017]]+Tabel66892127[[#This Row],[VAT Sew. 2017]]+Tabel66892127[[#This Row],[WW 2017]]+Tabel66892127[[#This Row],[VAT WW 2017]]+Tabel66892127[[#This Row],[Other ch. 2017]]+Tabel66892127[[#This Row],[VAT Other ch. 2017]]</f>
        <v>552.55973618769599</v>
      </c>
      <c r="T279" s="397"/>
      <c r="U279" s="1763"/>
      <c r="V279" s="1766"/>
      <c r="W279" s="1769"/>
      <c r="X279" s="1772"/>
      <c r="Y279" s="1775"/>
      <c r="Z279" s="1778"/>
      <c r="AA279" s="1772"/>
      <c r="AB279" s="1781"/>
      <c r="AC279" s="1772"/>
      <c r="AD279" s="1785"/>
      <c r="AE279" s="1772"/>
      <c r="AF279" s="1788"/>
      <c r="AG279" s="1791"/>
      <c r="AH279" s="397"/>
      <c r="AI279" s="398"/>
      <c r="AJ279" s="398"/>
      <c r="AK279" s="398"/>
      <c r="AL279" s="398"/>
      <c r="AM279" s="398"/>
      <c r="AN279" s="398"/>
      <c r="AO279" s="398"/>
      <c r="AP279" s="2191"/>
    </row>
    <row r="280" spans="1:42" ht="15.75" hidden="1" customHeight="1" x14ac:dyDescent="0.3">
      <c r="A280" s="1819"/>
      <c r="B280" s="547" t="s">
        <v>167</v>
      </c>
      <c r="C280" s="1046" t="s">
        <v>429</v>
      </c>
      <c r="D280" s="802" t="s">
        <v>1149</v>
      </c>
      <c r="E280" s="1760"/>
      <c r="F280" s="617">
        <f>'exchange rates'!$O$66</f>
        <v>0.73992000000000002</v>
      </c>
      <c r="G280" s="549">
        <f>31.3/F280</f>
        <v>42.301870472483515</v>
      </c>
      <c r="H280" s="550">
        <f>128.37/F280</f>
        <v>173.49172883554979</v>
      </c>
      <c r="I280" s="551">
        <v>0</v>
      </c>
      <c r="J280" s="560">
        <v>0</v>
      </c>
      <c r="K280" s="566">
        <f>Tabel66892127[[#This Row],[Fix.ch. 2017]]+Tabel66892127[[#This Row],[Var. ch. 2017]]+Tabel66892127[[#This Row],[Oth. ch. DW 2017]]+Tabel66892127[[#This Row],[VAT DW 2017]]</f>
        <v>215.79359930803332</v>
      </c>
      <c r="L280" s="567">
        <v>0</v>
      </c>
      <c r="M280" s="560">
        <v>0</v>
      </c>
      <c r="N280" s="568">
        <f>125.46/F280</f>
        <v>169.55887122932208</v>
      </c>
      <c r="O280" s="560">
        <v>0</v>
      </c>
      <c r="P280" s="569">
        <v>0</v>
      </c>
      <c r="Q280" s="560">
        <v>0</v>
      </c>
      <c r="R280" s="570">
        <f>Tabel66892127[[#This Row],[VAT DW 2017]]+Tabel66892127[[#This Row],[VAT Sew. 2017]]+Tabel66892127[[#This Row],[VAT WW 2017]]+Tabel66892127[[#This Row],[VAT Other ch. 2017]]</f>
        <v>0</v>
      </c>
      <c r="S280" s="571">
        <f>Tabel66892127[[#This Row],[Total. ch. DW 2017]]+Tabel66892127[[#This Row],[Sew. 2017]]+Tabel66892127[[#This Row],[VAT Sew. 2017]]+Tabel66892127[[#This Row],[WW 2017]]+Tabel66892127[[#This Row],[VAT WW 2017]]+Tabel66892127[[#This Row],[Other ch. 2017]]+Tabel66892127[[#This Row],[VAT Other ch. 2017]]</f>
        <v>385.35247053735543</v>
      </c>
      <c r="T280" s="397"/>
      <c r="U280" s="1763"/>
      <c r="V280" s="1766"/>
      <c r="W280" s="1769"/>
      <c r="X280" s="1772"/>
      <c r="Y280" s="1775"/>
      <c r="Z280" s="1778"/>
      <c r="AA280" s="1772"/>
      <c r="AB280" s="1781"/>
      <c r="AC280" s="1772"/>
      <c r="AD280" s="1785"/>
      <c r="AE280" s="1772"/>
      <c r="AF280" s="1788"/>
      <c r="AG280" s="1791"/>
      <c r="AH280" s="397"/>
      <c r="AI280" s="398"/>
      <c r="AJ280" s="398"/>
      <c r="AK280" s="398"/>
      <c r="AL280" s="398"/>
      <c r="AM280" s="398"/>
      <c r="AN280" s="398"/>
      <c r="AO280" s="398"/>
      <c r="AP280" s="2191"/>
    </row>
    <row r="281" spans="1:42" ht="15.75" hidden="1" customHeight="1" x14ac:dyDescent="0.3">
      <c r="A281" s="1819"/>
      <c r="B281" s="547" t="s">
        <v>168</v>
      </c>
      <c r="C281" s="1046"/>
      <c r="D281" s="802" t="s">
        <v>1149</v>
      </c>
      <c r="E281" s="1760"/>
      <c r="F281" s="617">
        <f>'exchange rates'!$O$66</f>
        <v>0.73992000000000002</v>
      </c>
      <c r="G281" s="549">
        <f>31.84/F281</f>
        <v>43.031679100443291</v>
      </c>
      <c r="H281" s="550">
        <f>176.2/F281</f>
        <v>238.13385230835763</v>
      </c>
      <c r="I281" s="551">
        <v>0</v>
      </c>
      <c r="J281" s="560">
        <v>0</v>
      </c>
      <c r="K281" s="566">
        <f>Tabel66892127[[#This Row],[Fix.ch. 2017]]+Tabel66892127[[#This Row],[Var. ch. 2017]]+Tabel66892127[[#This Row],[Oth. ch. DW 2017]]+Tabel66892127[[#This Row],[VAT DW 2017]]</f>
        <v>281.16553140880092</v>
      </c>
      <c r="L281" s="567">
        <v>0</v>
      </c>
      <c r="M281" s="560">
        <v>0</v>
      </c>
      <c r="N281" s="568">
        <f>215.69/F281</f>
        <v>291.50448697156446</v>
      </c>
      <c r="O281" s="560">
        <v>0</v>
      </c>
      <c r="P281" s="569">
        <v>0</v>
      </c>
      <c r="Q281" s="560">
        <v>0</v>
      </c>
      <c r="R281" s="570">
        <f>Tabel66892127[[#This Row],[VAT DW 2017]]+Tabel66892127[[#This Row],[VAT Sew. 2017]]+Tabel66892127[[#This Row],[VAT WW 2017]]+Tabel66892127[[#This Row],[VAT Other ch. 2017]]</f>
        <v>0</v>
      </c>
      <c r="S281" s="571">
        <f>Tabel66892127[[#This Row],[Total. ch. DW 2017]]+Tabel66892127[[#This Row],[Sew. 2017]]+Tabel66892127[[#This Row],[VAT Sew. 2017]]+Tabel66892127[[#This Row],[WW 2017]]+Tabel66892127[[#This Row],[VAT WW 2017]]+Tabel66892127[[#This Row],[Other ch. 2017]]+Tabel66892127[[#This Row],[VAT Other ch. 2017]]</f>
        <v>572.67001838036538</v>
      </c>
      <c r="T281" s="397"/>
      <c r="U281" s="1763"/>
      <c r="V281" s="1766"/>
      <c r="W281" s="1769"/>
      <c r="X281" s="1772"/>
      <c r="Y281" s="1775"/>
      <c r="Z281" s="1778"/>
      <c r="AA281" s="1772"/>
      <c r="AB281" s="1781"/>
      <c r="AC281" s="1772"/>
      <c r="AD281" s="1785"/>
      <c r="AE281" s="1772"/>
      <c r="AF281" s="1788"/>
      <c r="AG281" s="1791"/>
      <c r="AH281" s="397"/>
      <c r="AI281" s="398"/>
      <c r="AJ281" s="398"/>
      <c r="AK281" s="398"/>
      <c r="AL281" s="398"/>
      <c r="AM281" s="398"/>
      <c r="AN281" s="398"/>
      <c r="AO281" s="398"/>
      <c r="AP281" s="2191"/>
    </row>
    <row r="282" spans="1:42" ht="16.5" hidden="1" customHeight="1" thickBot="1" x14ac:dyDescent="0.3">
      <c r="A282" s="1820"/>
      <c r="B282" s="547" t="s">
        <v>169</v>
      </c>
      <c r="C282" s="1046"/>
      <c r="D282" s="802" t="s">
        <v>1149</v>
      </c>
      <c r="E282" s="1799"/>
      <c r="F282" s="617">
        <f>'exchange rates'!$O$66</f>
        <v>0.73992000000000002</v>
      </c>
      <c r="G282" s="549">
        <f>24.07/F282</f>
        <v>32.530543842577572</v>
      </c>
      <c r="H282" s="550">
        <f>134.8/F282</f>
        <v>182.18185749810792</v>
      </c>
      <c r="I282" s="551">
        <v>0</v>
      </c>
      <c r="J282" s="560">
        <v>0</v>
      </c>
      <c r="K282" s="566">
        <f>Tabel66892127[[#This Row],[Fix.ch. 2017]]+Tabel66892127[[#This Row],[Var. ch. 2017]]+Tabel66892127[[#This Row],[Oth. ch. DW 2017]]+Tabel66892127[[#This Row],[VAT DW 2017]]</f>
        <v>214.71240134068549</v>
      </c>
      <c r="L282" s="567">
        <v>0</v>
      </c>
      <c r="M282" s="560">
        <v>0</v>
      </c>
      <c r="N282" s="568">
        <f>222.83/F282</f>
        <v>301.15417883014379</v>
      </c>
      <c r="O282" s="560">
        <v>0</v>
      </c>
      <c r="P282" s="569">
        <v>0</v>
      </c>
      <c r="Q282" s="560">
        <v>0</v>
      </c>
      <c r="R282" s="570">
        <f>Tabel66892127[[#This Row],[VAT DW 2017]]+Tabel66892127[[#This Row],[VAT Sew. 2017]]+Tabel66892127[[#This Row],[VAT WW 2017]]+Tabel66892127[[#This Row],[VAT Other ch. 2017]]</f>
        <v>0</v>
      </c>
      <c r="S282" s="571">
        <f>Tabel66892127[[#This Row],[Total. ch. DW 2017]]+Tabel66892127[[#This Row],[Sew. 2017]]+Tabel66892127[[#This Row],[VAT Sew. 2017]]+Tabel66892127[[#This Row],[WW 2017]]+Tabel66892127[[#This Row],[VAT WW 2017]]+Tabel66892127[[#This Row],[Other ch. 2017]]+Tabel66892127[[#This Row],[VAT Other ch. 2017]]</f>
        <v>515.86658017082925</v>
      </c>
      <c r="T282" s="397"/>
      <c r="U282" s="1801"/>
      <c r="V282" s="1803"/>
      <c r="W282" s="1805"/>
      <c r="X282" s="1773"/>
      <c r="Y282" s="1807"/>
      <c r="Z282" s="1809"/>
      <c r="AA282" s="1773"/>
      <c r="AB282" s="1782"/>
      <c r="AC282" s="1773"/>
      <c r="AD282" s="1786"/>
      <c r="AE282" s="1773"/>
      <c r="AF282" s="1789"/>
      <c r="AG282" s="1792"/>
      <c r="AH282" s="397"/>
      <c r="AI282" s="398"/>
      <c r="AJ282" s="398"/>
      <c r="AK282" s="398"/>
      <c r="AL282" s="398"/>
      <c r="AM282" s="398"/>
      <c r="AN282" s="398"/>
      <c r="AO282" s="398"/>
      <c r="AP282" s="2191"/>
    </row>
    <row r="283" spans="1:42" ht="18" hidden="1" customHeight="1" x14ac:dyDescent="0.3">
      <c r="A283" s="2192" t="s">
        <v>31</v>
      </c>
      <c r="B283" s="638" t="s">
        <v>170</v>
      </c>
      <c r="C283" s="693"/>
      <c r="D283" s="806" t="s">
        <v>1151</v>
      </c>
      <c r="E283" s="1934">
        <v>59500</v>
      </c>
      <c r="F283" s="715">
        <v>1</v>
      </c>
      <c r="G283" s="549" t="s">
        <v>5</v>
      </c>
      <c r="H283" s="550">
        <v>178.85</v>
      </c>
      <c r="I283" s="551" t="s">
        <v>5</v>
      </c>
      <c r="J283" s="560" t="s">
        <v>5</v>
      </c>
      <c r="K283" s="566">
        <f>Tabel66892127[[#This Row],[Var. ch. 2017]]</f>
        <v>178.85</v>
      </c>
      <c r="L283" s="567" t="s">
        <v>5</v>
      </c>
      <c r="M283" s="560" t="s">
        <v>5</v>
      </c>
      <c r="N283" s="568">
        <v>284.37</v>
      </c>
      <c r="O283" s="560" t="s">
        <v>5</v>
      </c>
      <c r="P283" s="569" t="s">
        <v>5</v>
      </c>
      <c r="Q283" s="560" t="s">
        <v>5</v>
      </c>
      <c r="R283" s="570" t="s">
        <v>5</v>
      </c>
      <c r="S283" s="571">
        <f>Tabel66892127[[#This Row],[Total. ch. DW 2017]]+Tabel66892127[[#This Row],[WW 2017]]</f>
        <v>463.22</v>
      </c>
      <c r="T283" s="397"/>
      <c r="U283" s="1935">
        <f>MEDIAN(G283:G289)</f>
        <v>84.960000000000008</v>
      </c>
      <c r="V283" s="1936">
        <f>MEDIAN(H283:H289)</f>
        <v>119.72</v>
      </c>
      <c r="W283" s="1937">
        <f>MEDIAN(I283:I289)</f>
        <v>23.66</v>
      </c>
      <c r="X283" s="1771" t="s">
        <v>5</v>
      </c>
      <c r="Y283" s="1939">
        <f>SUM(U283:W289)</f>
        <v>228.34</v>
      </c>
      <c r="Z283" s="1950" t="s">
        <v>5</v>
      </c>
      <c r="AA283" s="1771" t="s">
        <v>5</v>
      </c>
      <c r="AB283" s="1946">
        <f>MEDIAN(N283:N289)</f>
        <v>182.97</v>
      </c>
      <c r="AC283" s="1771" t="s">
        <v>5</v>
      </c>
      <c r="AD283" s="1947">
        <f>MEDIAN(P283:P289)</f>
        <v>16.670000000000002</v>
      </c>
      <c r="AE283" s="1771" t="s">
        <v>5</v>
      </c>
      <c r="AF283" s="1944" t="s">
        <v>5</v>
      </c>
      <c r="AG283" s="1945">
        <f>SUM(Y283:AF289)</f>
        <v>427.98</v>
      </c>
      <c r="AH283" s="397"/>
      <c r="AI283" s="396"/>
      <c r="AJ283" s="591" t="s">
        <v>429</v>
      </c>
      <c r="AK283" s="591"/>
      <c r="AL283" s="591"/>
      <c r="AM283" s="591"/>
      <c r="AN283" s="591" t="s">
        <v>429</v>
      </c>
      <c r="AO283" s="396"/>
      <c r="AP283" s="397"/>
    </row>
    <row r="284" spans="1:42" ht="16.5" hidden="1" thickBot="1" x14ac:dyDescent="0.3">
      <c r="A284" s="2148"/>
      <c r="B284" s="639" t="s">
        <v>171</v>
      </c>
      <c r="C284" s="639" t="s">
        <v>429</v>
      </c>
      <c r="D284" s="724" t="s">
        <v>1151</v>
      </c>
      <c r="E284" s="1760"/>
      <c r="F284" s="715">
        <v>1</v>
      </c>
      <c r="G284" s="549">
        <v>121.92</v>
      </c>
      <c r="H284" s="550">
        <v>119.72</v>
      </c>
      <c r="I284" s="551">
        <v>23.66</v>
      </c>
      <c r="J284" s="560" t="s">
        <v>5</v>
      </c>
      <c r="K284" s="566">
        <f>Tabel66892127[[#This Row],[Fix.ch. 2017]]+Tabel66892127[[#This Row],[Var. ch. 2017]]+Tabel66892127[[#This Row],[Oth. ch. DW 2017]]</f>
        <v>265.3</v>
      </c>
      <c r="L284" s="567" t="s">
        <v>5</v>
      </c>
      <c r="M284" s="560" t="s">
        <v>5</v>
      </c>
      <c r="N284" s="568">
        <v>294.17</v>
      </c>
      <c r="O284" s="560" t="s">
        <v>5</v>
      </c>
      <c r="P284" s="569">
        <v>334.2</v>
      </c>
      <c r="Q284" s="560" t="s">
        <v>5</v>
      </c>
      <c r="R284" s="570" t="s">
        <v>5</v>
      </c>
      <c r="S284" s="571">
        <f>Tabel66892127[[#This Row],[Total. ch. DW 2017]]+Tabel66892127[[#This Row],[WW 2017]]+Tabel66892127[[#This Row],[Other ch. 2017]]</f>
        <v>893.67000000000007</v>
      </c>
      <c r="T284" s="397"/>
      <c r="U284" s="1969"/>
      <c r="V284" s="1972"/>
      <c r="W284" s="1975"/>
      <c r="X284" s="1772"/>
      <c r="Y284" s="1978"/>
      <c r="Z284" s="1981"/>
      <c r="AA284" s="1772"/>
      <c r="AB284" s="1955"/>
      <c r="AC284" s="1772"/>
      <c r="AD284" s="1958"/>
      <c r="AE284" s="1772"/>
      <c r="AF284" s="1961"/>
      <c r="AG284" s="1964"/>
      <c r="AH284" s="397"/>
      <c r="AI284" s="396"/>
      <c r="AJ284" s="396"/>
      <c r="AK284" s="396"/>
      <c r="AL284" s="591" t="s">
        <v>429</v>
      </c>
      <c r="AM284" s="591" t="s">
        <v>429</v>
      </c>
      <c r="AN284" s="591" t="s">
        <v>429</v>
      </c>
      <c r="AO284" s="396"/>
      <c r="AP284" s="397"/>
    </row>
    <row r="285" spans="1:42" ht="16.5" hidden="1" thickBot="1" x14ac:dyDescent="0.3">
      <c r="A285" s="2148"/>
      <c r="B285" s="639" t="s">
        <v>172</v>
      </c>
      <c r="C285" s="639"/>
      <c r="D285" s="724" t="s">
        <v>1151</v>
      </c>
      <c r="E285" s="1760"/>
      <c r="F285" s="715">
        <v>1</v>
      </c>
      <c r="G285" s="549" t="s">
        <v>5</v>
      </c>
      <c r="H285" s="550">
        <v>204.17</v>
      </c>
      <c r="I285" s="551" t="s">
        <v>5</v>
      </c>
      <c r="J285" s="560" t="s">
        <v>5</v>
      </c>
      <c r="K285" s="566">
        <f>Tabel66892127[[#This Row],[Var. ch. 2017]]</f>
        <v>204.17</v>
      </c>
      <c r="L285" s="567" t="s">
        <v>5</v>
      </c>
      <c r="M285" s="560" t="s">
        <v>5</v>
      </c>
      <c r="N285" s="568">
        <v>166.12</v>
      </c>
      <c r="O285" s="560" t="s">
        <v>5</v>
      </c>
      <c r="P285" s="569" t="s">
        <v>5</v>
      </c>
      <c r="Q285" s="560" t="s">
        <v>5</v>
      </c>
      <c r="R285" s="570" t="s">
        <v>5</v>
      </c>
      <c r="S285" s="571">
        <f>Tabel66892127[[#This Row],[Total. ch. DW 2017]]+Tabel66892127[[#This Row],[WW 2017]]</f>
        <v>370.28999999999996</v>
      </c>
      <c r="T285" s="397"/>
      <c r="U285" s="1969"/>
      <c r="V285" s="1972"/>
      <c r="W285" s="1975"/>
      <c r="X285" s="1772"/>
      <c r="Y285" s="1978"/>
      <c r="Z285" s="1981"/>
      <c r="AA285" s="1772"/>
      <c r="AB285" s="1955"/>
      <c r="AC285" s="1772"/>
      <c r="AD285" s="1958"/>
      <c r="AE285" s="1772"/>
      <c r="AF285" s="1961"/>
      <c r="AG285" s="1964"/>
      <c r="AH285" s="397"/>
      <c r="AI285" s="396"/>
      <c r="AJ285" s="396"/>
      <c r="AK285" s="396"/>
      <c r="AL285" s="591" t="s">
        <v>429</v>
      </c>
      <c r="AM285" s="591"/>
      <c r="AN285" s="591" t="s">
        <v>429</v>
      </c>
      <c r="AO285" s="396"/>
      <c r="AP285" s="397"/>
    </row>
    <row r="286" spans="1:42" ht="16.5" hidden="1" thickBot="1" x14ac:dyDescent="0.3">
      <c r="A286" s="2148"/>
      <c r="B286" s="639" t="s">
        <v>173</v>
      </c>
      <c r="C286" s="639"/>
      <c r="D286" s="724" t="s">
        <v>1151</v>
      </c>
      <c r="E286" s="1760"/>
      <c r="F286" s="715">
        <v>1</v>
      </c>
      <c r="G286" s="549" t="s">
        <v>5</v>
      </c>
      <c r="H286" s="550">
        <v>102.55</v>
      </c>
      <c r="I286" s="551" t="s">
        <v>5</v>
      </c>
      <c r="J286" s="560" t="s">
        <v>5</v>
      </c>
      <c r="K286" s="566">
        <f>Tabel66892127[[#This Row],[Var. ch. 2017]]</f>
        <v>102.55</v>
      </c>
      <c r="L286" s="567" t="s">
        <v>5</v>
      </c>
      <c r="M286" s="560" t="s">
        <v>5</v>
      </c>
      <c r="N286" s="568">
        <v>102.55</v>
      </c>
      <c r="O286" s="560" t="s">
        <v>5</v>
      </c>
      <c r="P286" s="569" t="s">
        <v>5</v>
      </c>
      <c r="Q286" s="560" t="s">
        <v>5</v>
      </c>
      <c r="R286" s="570" t="s">
        <v>5</v>
      </c>
      <c r="S286" s="571">
        <f>Tabel66892127[[#This Row],[Total. ch. DW 2017]]+Tabel66892127[[#This Row],[WW 2017]]</f>
        <v>205.1</v>
      </c>
      <c r="T286" s="397"/>
      <c r="U286" s="1969"/>
      <c r="V286" s="1972"/>
      <c r="W286" s="1975"/>
      <c r="X286" s="1772"/>
      <c r="Y286" s="1978"/>
      <c r="Z286" s="1981"/>
      <c r="AA286" s="1772"/>
      <c r="AB286" s="1955"/>
      <c r="AC286" s="1772"/>
      <c r="AD286" s="1958"/>
      <c r="AE286" s="1772"/>
      <c r="AF286" s="1961"/>
      <c r="AG286" s="1964"/>
      <c r="AH286" s="397"/>
      <c r="AI286" s="396"/>
      <c r="AJ286" s="591" t="s">
        <v>429</v>
      </c>
      <c r="AK286" s="591"/>
      <c r="AL286" s="591"/>
      <c r="AM286" s="591"/>
      <c r="AN286" s="591" t="s">
        <v>429</v>
      </c>
      <c r="AO286" s="396"/>
      <c r="AP286" s="397"/>
    </row>
    <row r="287" spans="1:42" ht="16.5" hidden="1" thickBot="1" x14ac:dyDescent="0.3">
      <c r="A287" s="2148"/>
      <c r="B287" s="639" t="s">
        <v>174</v>
      </c>
      <c r="C287" s="639"/>
      <c r="D287" s="724" t="s">
        <v>1151</v>
      </c>
      <c r="E287" s="1760"/>
      <c r="F287" s="715">
        <v>1</v>
      </c>
      <c r="G287" s="549">
        <v>142.32</v>
      </c>
      <c r="H287" s="550">
        <v>67.36</v>
      </c>
      <c r="I287" s="551" t="s">
        <v>5</v>
      </c>
      <c r="J287" s="560" t="s">
        <v>5</v>
      </c>
      <c r="K287" s="566">
        <f>Tabel66892127[[#This Row],[Fix.ch. 2017]]+Tabel66892127[[#This Row],[Var. ch. 2017]]</f>
        <v>209.68</v>
      </c>
      <c r="L287" s="567" t="s">
        <v>5</v>
      </c>
      <c r="M287" s="560" t="s">
        <v>5</v>
      </c>
      <c r="N287" s="568">
        <v>252.36</v>
      </c>
      <c r="O287" s="560" t="s">
        <v>5</v>
      </c>
      <c r="P287" s="569">
        <v>16.670000000000002</v>
      </c>
      <c r="Q287" s="560" t="s">
        <v>5</v>
      </c>
      <c r="R287" s="570" t="s">
        <v>5</v>
      </c>
      <c r="S287" s="571">
        <f>Tabel66892127[[#This Row],[Total. ch. DW 2017]]+Tabel66892127[[#This Row],[WW 2017]]+Tabel66892127[[#This Row],[Other ch. 2017]]</f>
        <v>478.71000000000004</v>
      </c>
      <c r="T287" s="397"/>
      <c r="U287" s="1969"/>
      <c r="V287" s="1972"/>
      <c r="W287" s="1975"/>
      <c r="X287" s="1772"/>
      <c r="Y287" s="1978"/>
      <c r="Z287" s="1981"/>
      <c r="AA287" s="1772"/>
      <c r="AB287" s="1955"/>
      <c r="AC287" s="1772"/>
      <c r="AD287" s="1958"/>
      <c r="AE287" s="1772"/>
      <c r="AF287" s="1961"/>
      <c r="AG287" s="1964"/>
      <c r="AH287" s="397"/>
      <c r="AI287" s="396"/>
      <c r="AJ287" s="396"/>
      <c r="AK287" s="396"/>
      <c r="AL287" s="591" t="s">
        <v>429</v>
      </c>
      <c r="AM287" s="591" t="s">
        <v>429</v>
      </c>
      <c r="AN287" s="591" t="s">
        <v>429</v>
      </c>
      <c r="AO287" s="396"/>
      <c r="AP287" s="397"/>
    </row>
    <row r="288" spans="1:42" ht="16.5" hidden="1" thickBot="1" x14ac:dyDescent="0.3">
      <c r="A288" s="2148"/>
      <c r="B288" s="639" t="s">
        <v>175</v>
      </c>
      <c r="C288" s="639"/>
      <c r="D288" s="724" t="s">
        <v>1151</v>
      </c>
      <c r="E288" s="1760"/>
      <c r="F288" s="715">
        <v>1</v>
      </c>
      <c r="G288" s="549">
        <v>38.4</v>
      </c>
      <c r="H288" s="550">
        <v>13.07</v>
      </c>
      <c r="I288" s="551" t="s">
        <v>5</v>
      </c>
      <c r="J288" s="560" t="s">
        <v>5</v>
      </c>
      <c r="K288" s="566">
        <f>Tabel66892127[[#This Row],[Fix.ch. 2017]]+Tabel66892127[[#This Row],[Var. ch. 2017]]</f>
        <v>51.47</v>
      </c>
      <c r="L288" s="567" t="s">
        <v>5</v>
      </c>
      <c r="M288" s="560" t="s">
        <v>5</v>
      </c>
      <c r="N288" s="568">
        <v>87.73</v>
      </c>
      <c r="O288" s="560" t="s">
        <v>5</v>
      </c>
      <c r="P288" s="569" t="s">
        <v>5</v>
      </c>
      <c r="Q288" s="560" t="s">
        <v>5</v>
      </c>
      <c r="R288" s="570" t="s">
        <v>5</v>
      </c>
      <c r="S288" s="571">
        <f>Tabel66892127[[#This Row],[Total. ch. DW 2017]]+Tabel66892127[[#This Row],[WW 2017]]</f>
        <v>139.19999999999999</v>
      </c>
      <c r="T288" s="397"/>
      <c r="U288" s="1969"/>
      <c r="V288" s="1972"/>
      <c r="W288" s="1975"/>
      <c r="X288" s="1772"/>
      <c r="Y288" s="1978"/>
      <c r="Z288" s="1981"/>
      <c r="AA288" s="1772"/>
      <c r="AB288" s="1955"/>
      <c r="AC288" s="1772"/>
      <c r="AD288" s="1958"/>
      <c r="AE288" s="1772"/>
      <c r="AF288" s="1961"/>
      <c r="AG288" s="1964"/>
      <c r="AH288" s="397"/>
      <c r="AI288" s="396"/>
      <c r="AJ288" s="396"/>
      <c r="AK288" s="396"/>
      <c r="AL288" s="591" t="s">
        <v>429</v>
      </c>
      <c r="AM288" s="591" t="s">
        <v>429</v>
      </c>
      <c r="AN288" s="591" t="s">
        <v>429</v>
      </c>
      <c r="AO288" s="396"/>
      <c r="AP288" s="397"/>
    </row>
    <row r="289" spans="1:42" ht="16.5" hidden="1" thickBot="1" x14ac:dyDescent="0.3">
      <c r="A289" s="2148"/>
      <c r="B289" s="714" t="s">
        <v>212</v>
      </c>
      <c r="C289" s="1053"/>
      <c r="D289" s="807" t="s">
        <v>1151</v>
      </c>
      <c r="E289" s="1923"/>
      <c r="F289" s="715">
        <v>1</v>
      </c>
      <c r="G289" s="716">
        <v>48</v>
      </c>
      <c r="H289" s="717">
        <v>124.66</v>
      </c>
      <c r="I289" s="718" t="s">
        <v>5</v>
      </c>
      <c r="J289" s="560" t="s">
        <v>5</v>
      </c>
      <c r="K289" s="566">
        <f>Tabel66892127[[#This Row],[Fix.ch. 2017]]+Tabel66892127[[#This Row],[Var. ch. 2017]]</f>
        <v>172.66</v>
      </c>
      <c r="L289" s="567" t="s">
        <v>5</v>
      </c>
      <c r="M289" s="560" t="s">
        <v>5</v>
      </c>
      <c r="N289" s="720">
        <v>182.97</v>
      </c>
      <c r="O289" s="560" t="s">
        <v>5</v>
      </c>
      <c r="P289" s="721">
        <v>12.36</v>
      </c>
      <c r="Q289" s="719" t="s">
        <v>5</v>
      </c>
      <c r="R289" s="570" t="s">
        <v>5</v>
      </c>
      <c r="S289" s="571">
        <f>Tabel66892127[[#This Row],[Total. ch. DW 2017]]+Tabel66892127[[#This Row],[WW 2017]]+Tabel66892127[[#This Row],[Other ch. 2017]]</f>
        <v>367.99</v>
      </c>
      <c r="T289" s="397"/>
      <c r="U289" s="1970"/>
      <c r="V289" s="1973"/>
      <c r="W289" s="1976"/>
      <c r="X289" s="1773"/>
      <c r="Y289" s="1979"/>
      <c r="Z289" s="1982"/>
      <c r="AA289" s="1773"/>
      <c r="AB289" s="1956"/>
      <c r="AC289" s="1773"/>
      <c r="AD289" s="1959"/>
      <c r="AE289" s="1773"/>
      <c r="AF289" s="1962"/>
      <c r="AG289" s="1965"/>
      <c r="AH289" s="397"/>
      <c r="AI289" s="396"/>
      <c r="AJ289" s="591" t="s">
        <v>429</v>
      </c>
      <c r="AK289" s="591"/>
      <c r="AL289" s="591"/>
      <c r="AM289" s="591" t="s">
        <v>429</v>
      </c>
      <c r="AN289" s="591" t="s">
        <v>429</v>
      </c>
      <c r="AO289" s="396"/>
      <c r="AP289" s="397"/>
    </row>
    <row r="290" spans="1:42" ht="19.5" hidden="1" thickBot="1" x14ac:dyDescent="0.3">
      <c r="A290" s="1833" t="s">
        <v>718</v>
      </c>
      <c r="B290" s="269" t="s">
        <v>761</v>
      </c>
      <c r="C290" s="1048" t="s">
        <v>429</v>
      </c>
      <c r="D290" s="805" t="s">
        <v>1153</v>
      </c>
      <c r="E290" s="2203">
        <v>4300</v>
      </c>
      <c r="F290" s="517">
        <f>'exchange rates'!$M$68</f>
        <v>11.06053</v>
      </c>
      <c r="G290" s="518">
        <f>10/F290</f>
        <v>0.90411580638540834</v>
      </c>
      <c r="H290" s="508">
        <f>908.98/F290</f>
        <v>82.182318568820847</v>
      </c>
      <c r="I290" s="509">
        <v>0</v>
      </c>
      <c r="J290" s="562"/>
      <c r="K290" s="565" t="e">
        <f>Tabel66892127[[#This Row],[Fix.ch. 2017]]+Tabel66892127[[#This Row],[Var. ch. 2017]]+Tabel66892127[[#This Row],[Oth. ch. DW 2017]]+Tabel66892127[[#This Row],[VAT DW 2017]]</f>
        <v>#VALUE!</v>
      </c>
      <c r="L290" s="510">
        <v>0</v>
      </c>
      <c r="M290" s="562"/>
      <c r="N290" s="511">
        <f>272.69/F290</f>
        <v>24.654333924323698</v>
      </c>
      <c r="O290" s="562"/>
      <c r="P290" s="512">
        <f>22.7/F290</f>
        <v>2.0523428804948769</v>
      </c>
      <c r="Q290" s="562"/>
      <c r="R290" s="513" t="e">
        <f>Tabel66892127[[#This Row],[VAT DW 2017]]+Tabel66892127[[#This Row],[VAT Sew. 2017]]+Tabel66892127[[#This Row],[VAT WW 2017]]+Tabel66892127[[#This Row],[VAT Other ch. 2017]]</f>
        <v>#VALUE!</v>
      </c>
      <c r="S290" s="590" t="e">
        <f>Tabel66892127[[#This Row],[Total. ch. DW 2017]]+Tabel66892127[[#This Row],[Sew. 2017]]+Tabel66892127[[#This Row],[VAT Sew. 2017]]+Tabel66892127[[#This Row],[WW 2017]]+Tabel66892127[[#This Row],[VAT WW 2017]]+Tabel66892127[[#This Row],[Other ch. 2017]]+Tabel66892127[[#This Row],[VAT Other ch. 2017]]</f>
        <v>#VALUE!</v>
      </c>
      <c r="T290" s="397"/>
      <c r="U290" s="2057">
        <f>MEDIAN(G290:G293)</f>
        <v>0.45205790319270417</v>
      </c>
      <c r="V290" s="2059">
        <f>MEDIAN(H290:H293)</f>
        <v>75.057886014503822</v>
      </c>
      <c r="W290" s="2204">
        <f>MEDIAN(I290:I293)</f>
        <v>0</v>
      </c>
      <c r="X290" s="583"/>
      <c r="Y290" s="2115">
        <f>SUM(U290:W293)</f>
        <v>75.509943917696532</v>
      </c>
      <c r="Z290" s="2065">
        <f>MEDIAN(L290:L293)</f>
        <v>0</v>
      </c>
      <c r="AA290" s="575"/>
      <c r="AB290" s="2067">
        <f>MEDIAN(N290:N293)</f>
        <v>24.397112977407048</v>
      </c>
      <c r="AC290" s="575"/>
      <c r="AD290" s="2069">
        <f>MEDIAN(P290:P293)</f>
        <v>1.6011890931085579</v>
      </c>
      <c r="AE290" s="575"/>
      <c r="AF290" s="2071" t="e">
        <f>MEDIAN(R290:R293)</f>
        <v>#VALUE!</v>
      </c>
      <c r="AG290" s="2049" t="e">
        <f>SUM(Y290:AF293)</f>
        <v>#VALUE!</v>
      </c>
      <c r="AH290" s="397"/>
      <c r="AI290" s="396" t="s">
        <v>429</v>
      </c>
      <c r="AJ290" s="396"/>
      <c r="AK290" s="398"/>
      <c r="AL290" s="396" t="s">
        <v>429</v>
      </c>
      <c r="AM290" s="396" t="s">
        <v>429</v>
      </c>
      <c r="AN290" s="396" t="s">
        <v>429</v>
      </c>
      <c r="AO290" s="398"/>
      <c r="AP290" s="397"/>
    </row>
    <row r="291" spans="1:42" ht="19.5" hidden="1" thickBot="1" x14ac:dyDescent="0.3">
      <c r="A291" s="1834"/>
      <c r="B291" s="269" t="s">
        <v>762</v>
      </c>
      <c r="C291" s="1048"/>
      <c r="D291" s="805" t="s">
        <v>1153</v>
      </c>
      <c r="E291" s="2086"/>
      <c r="F291" s="519">
        <f>'exchange rates'!$M$68</f>
        <v>11.06053</v>
      </c>
      <c r="G291" s="518">
        <f>5/F291</f>
        <v>0.45205790319270417</v>
      </c>
      <c r="H291" s="508">
        <f>669/F291</f>
        <v>60.485347447183813</v>
      </c>
      <c r="I291" s="509">
        <v>0</v>
      </c>
      <c r="J291" s="562"/>
      <c r="K291" s="565" t="e">
        <f>Tabel66892127[[#This Row],[Fix.ch. 2017]]+Tabel66892127[[#This Row],[Var. ch. 2017]]+Tabel66892127[[#This Row],[Oth. ch. DW 2017]]+Tabel66892127[[#This Row],[VAT DW 2017]]</f>
        <v>#VALUE!</v>
      </c>
      <c r="L291" s="510">
        <v>0</v>
      </c>
      <c r="M291" s="562"/>
      <c r="N291" s="511">
        <f>267/F291</f>
        <v>24.139892030490401</v>
      </c>
      <c r="O291" s="562"/>
      <c r="P291" s="512">
        <f>16.72/F291</f>
        <v>1.5116816282764025</v>
      </c>
      <c r="Q291" s="562"/>
      <c r="R291" s="513" t="e">
        <f>Tabel66892127[[#This Row],[VAT DW 2017]]+Tabel66892127[[#This Row],[VAT Sew. 2017]]+Tabel66892127[[#This Row],[VAT WW 2017]]+Tabel66892127[[#This Row],[VAT Other ch. 2017]]</f>
        <v>#VALUE!</v>
      </c>
      <c r="S291" s="590" t="e">
        <f>Tabel66892127[[#This Row],[Total. ch. DW 2017]]+Tabel66892127[[#This Row],[Sew. 2017]]+Tabel66892127[[#This Row],[VAT Sew. 2017]]+Tabel66892127[[#This Row],[WW 2017]]+Tabel66892127[[#This Row],[VAT WW 2017]]+Tabel66892127[[#This Row],[Other ch. 2017]]+Tabel66892127[[#This Row],[VAT Other ch. 2017]]</f>
        <v>#VALUE!</v>
      </c>
      <c r="T291" s="397"/>
      <c r="U291" s="2058"/>
      <c r="V291" s="2060"/>
      <c r="W291" s="2205"/>
      <c r="X291" s="584"/>
      <c r="Y291" s="1849"/>
      <c r="Z291" s="2066"/>
      <c r="AA291" s="576"/>
      <c r="AB291" s="2207"/>
      <c r="AC291" s="578"/>
      <c r="AD291" s="2070"/>
      <c r="AE291" s="576"/>
      <c r="AF291" s="2072"/>
      <c r="AG291" s="2050"/>
      <c r="AH291" s="397"/>
      <c r="AI291" s="396" t="s">
        <v>429</v>
      </c>
      <c r="AJ291" s="396"/>
      <c r="AK291" s="398"/>
      <c r="AL291" s="396" t="s">
        <v>429</v>
      </c>
      <c r="AM291" s="396" t="s">
        <v>429</v>
      </c>
      <c r="AN291" s="396" t="s">
        <v>429</v>
      </c>
      <c r="AO291" s="398"/>
      <c r="AP291" s="397"/>
    </row>
    <row r="292" spans="1:42" ht="19.5" hidden="1" thickBot="1" x14ac:dyDescent="0.3">
      <c r="A292" s="1834"/>
      <c r="B292" s="269" t="s">
        <v>763</v>
      </c>
      <c r="C292" s="1048"/>
      <c r="D292" s="805" t="s">
        <v>1153</v>
      </c>
      <c r="E292" s="2086"/>
      <c r="F292" s="519">
        <f>'exchange rates'!$M$68</f>
        <v>11.06053</v>
      </c>
      <c r="G292" s="518">
        <f>5/F292</f>
        <v>0.45205790319270417</v>
      </c>
      <c r="H292" s="508">
        <f>751.38/F292</f>
        <v>67.933453460186811</v>
      </c>
      <c r="I292" s="509">
        <v>0</v>
      </c>
      <c r="J292" s="562"/>
      <c r="K292" s="565" t="e">
        <f>Tabel66892127[[#This Row],[Fix.ch. 2017]]+Tabel66892127[[#This Row],[Var. ch. 2017]]+Tabel66892127[[#This Row],[Oth. ch. DW 2017]]+Tabel66892127[[#This Row],[VAT DW 2017]]</f>
        <v>#VALUE!</v>
      </c>
      <c r="L292" s="510">
        <v>0</v>
      </c>
      <c r="M292" s="562"/>
      <c r="N292" s="511">
        <f>150.2/F292</f>
        <v>13.579819411908831</v>
      </c>
      <c r="O292" s="562"/>
      <c r="P292" s="512">
        <f>18.7/F292</f>
        <v>1.6906965579407134</v>
      </c>
      <c r="Q292" s="562"/>
      <c r="R292" s="513" t="e">
        <f>Tabel66892127[[#This Row],[VAT DW 2017]]+Tabel66892127[[#This Row],[VAT Sew. 2017]]+Tabel66892127[[#This Row],[VAT WW 2017]]+Tabel66892127[[#This Row],[VAT Other ch. 2017]]</f>
        <v>#VALUE!</v>
      </c>
      <c r="S292" s="590" t="e">
        <f>Tabel66892127[[#This Row],[Total. ch. DW 2017]]+Tabel66892127[[#This Row],[Sew. 2017]]+Tabel66892127[[#This Row],[VAT Sew. 2017]]+Tabel66892127[[#This Row],[WW 2017]]+Tabel66892127[[#This Row],[VAT WW 2017]]+Tabel66892127[[#This Row],[Other ch. 2017]]+Tabel66892127[[#This Row],[VAT Other ch. 2017]]</f>
        <v>#VALUE!</v>
      </c>
      <c r="T292" s="397"/>
      <c r="U292" s="2058"/>
      <c r="V292" s="2060"/>
      <c r="W292" s="2205"/>
      <c r="X292" s="584"/>
      <c r="Y292" s="1849"/>
      <c r="Z292" s="2066"/>
      <c r="AA292" s="576"/>
      <c r="AB292" s="2207"/>
      <c r="AC292" s="578"/>
      <c r="AD292" s="2070"/>
      <c r="AE292" s="576"/>
      <c r="AF292" s="2072"/>
      <c r="AG292" s="2050"/>
      <c r="AH292" s="397"/>
      <c r="AI292" s="396" t="s">
        <v>429</v>
      </c>
      <c r="AJ292" s="396"/>
      <c r="AK292" s="398"/>
      <c r="AL292" s="396" t="s">
        <v>429</v>
      </c>
      <c r="AM292" s="396" t="s">
        <v>429</v>
      </c>
      <c r="AN292" s="396" t="s">
        <v>429</v>
      </c>
      <c r="AO292" s="398"/>
      <c r="AP292" s="397"/>
    </row>
    <row r="293" spans="1:42" ht="19.5" hidden="1" thickBot="1" x14ac:dyDescent="0.3">
      <c r="A293" s="1835"/>
      <c r="B293" s="290" t="s">
        <v>764</v>
      </c>
      <c r="C293" s="1048"/>
      <c r="D293" s="801" t="s">
        <v>1153</v>
      </c>
      <c r="E293" s="1838"/>
      <c r="F293" s="520">
        <f>'exchange rates'!$M$68</f>
        <v>11.06053</v>
      </c>
      <c r="G293" s="521">
        <f>5/F293</f>
        <v>0.45205790319270417</v>
      </c>
      <c r="H293" s="522">
        <f>1319.38/F293</f>
        <v>119.28723126287801</v>
      </c>
      <c r="I293" s="523">
        <v>0</v>
      </c>
      <c r="J293" s="563"/>
      <c r="K293" s="565" t="e">
        <f>Tabel66892127[[#This Row],[Fix.ch. 2017]]+Tabel66892127[[#This Row],[Var. ch. 2017]]+Tabel66892127[[#This Row],[Oth. ch. DW 2017]]+Tabel66892127[[#This Row],[VAT DW 2017]]</f>
        <v>#VALUE!</v>
      </c>
      <c r="L293" s="524">
        <v>0</v>
      </c>
      <c r="M293" s="563"/>
      <c r="N293" s="511">
        <f>527.75/F293</f>
        <v>47.714711681989925</v>
      </c>
      <c r="O293" s="562"/>
      <c r="P293" s="512">
        <v>0</v>
      </c>
      <c r="Q293" s="563"/>
      <c r="R293" s="513" t="e">
        <f>Tabel66892127[[#This Row],[VAT DW 2017]]+Tabel66892127[[#This Row],[VAT Sew. 2017]]+Tabel66892127[[#This Row],[VAT WW 2017]]+Tabel66892127[[#This Row],[VAT Other ch. 2017]]</f>
        <v>#VALUE!</v>
      </c>
      <c r="S293" s="590" t="e">
        <f>Tabel66892127[[#This Row],[Total. ch. DW 2017]]+Tabel66892127[[#This Row],[Sew. 2017]]+Tabel66892127[[#This Row],[VAT Sew. 2017]]+Tabel66892127[[#This Row],[WW 2017]]+Tabel66892127[[#This Row],[VAT WW 2017]]+Tabel66892127[[#This Row],[Other ch. 2017]]+Tabel66892127[[#This Row],[VAT Other ch. 2017]]</f>
        <v>#VALUE!</v>
      </c>
      <c r="T293" s="397"/>
      <c r="U293" s="1841"/>
      <c r="V293" s="1844"/>
      <c r="W293" s="2206"/>
      <c r="X293" s="585"/>
      <c r="Y293" s="1850"/>
      <c r="Z293" s="1853"/>
      <c r="AA293" s="577"/>
      <c r="AB293" s="2208"/>
      <c r="AC293" s="579"/>
      <c r="AD293" s="1859"/>
      <c r="AE293" s="577"/>
      <c r="AF293" s="1874"/>
      <c r="AG293" s="2051"/>
      <c r="AH293" s="397"/>
      <c r="AI293" s="398"/>
      <c r="AJ293" s="396"/>
      <c r="AK293" s="398"/>
      <c r="AL293" s="396" t="s">
        <v>429</v>
      </c>
      <c r="AM293" s="396" t="s">
        <v>429</v>
      </c>
      <c r="AN293" s="398"/>
      <c r="AO293" s="398"/>
      <c r="AP293" s="397"/>
    </row>
    <row r="294" spans="1:42" ht="15.75" hidden="1" thickBot="1" x14ac:dyDescent="0.3">
      <c r="A294" s="29"/>
    </row>
    <row r="295" spans="1:42" ht="15.75" hidden="1" thickBot="1" x14ac:dyDescent="0.3"/>
    <row r="296" spans="1:42" ht="15.75" hidden="1" thickBot="1" x14ac:dyDescent="0.3">
      <c r="A296" s="29"/>
    </row>
    <row r="297" spans="1:42" ht="48" hidden="1" thickBot="1" x14ac:dyDescent="0.3">
      <c r="A297" s="250" t="s">
        <v>58</v>
      </c>
      <c r="B297" s="799" t="s">
        <v>1190</v>
      </c>
      <c r="C297" s="799" t="s">
        <v>1022</v>
      </c>
      <c r="D297" s="1061" t="s">
        <v>1192</v>
      </c>
      <c r="E297" s="1062" t="s">
        <v>1193</v>
      </c>
      <c r="F297" s="1063" t="s">
        <v>1194</v>
      </c>
      <c r="G297" s="1064" t="s">
        <v>1195</v>
      </c>
      <c r="H297" s="1065" t="s">
        <v>1196</v>
      </c>
      <c r="I297" s="1066" t="s">
        <v>1198</v>
      </c>
      <c r="J297" s="1064" t="s">
        <v>1197</v>
      </c>
      <c r="K297" s="1067" t="s">
        <v>1199</v>
      </c>
      <c r="L297" s="1064" t="s">
        <v>1200</v>
      </c>
      <c r="M297" s="1081" t="s">
        <v>1205</v>
      </c>
      <c r="N297" s="1082" t="s">
        <v>1208</v>
      </c>
      <c r="O297" s="1070" t="s">
        <v>1206</v>
      </c>
      <c r="P297" s="1064" t="s">
        <v>1207</v>
      </c>
      <c r="Q297" s="1072" t="s">
        <v>1214</v>
      </c>
      <c r="R297" s="618" t="s">
        <v>1203</v>
      </c>
      <c r="S297" s="618" t="s">
        <v>1204</v>
      </c>
    </row>
    <row r="298" spans="1:42" ht="16.5" hidden="1" thickBot="1" x14ac:dyDescent="0.3">
      <c r="A298" s="752" t="s">
        <v>217</v>
      </c>
      <c r="B298" s="747" t="s">
        <v>429</v>
      </c>
      <c r="C298" s="815" t="s">
        <v>1024</v>
      </c>
      <c r="D298" s="625" t="s">
        <v>5</v>
      </c>
      <c r="E298" s="593" t="s">
        <v>5</v>
      </c>
      <c r="F298" s="594" t="s">
        <v>5</v>
      </c>
      <c r="G298" s="595" t="s">
        <v>5</v>
      </c>
      <c r="H298" s="566" t="s">
        <v>5</v>
      </c>
      <c r="I298" s="596" t="s">
        <v>5</v>
      </c>
      <c r="J298" s="595" t="s">
        <v>5</v>
      </c>
      <c r="K298" s="626" t="s">
        <v>5</v>
      </c>
      <c r="L298" s="595" t="s">
        <v>5</v>
      </c>
      <c r="M298" s="1076" t="s">
        <v>5</v>
      </c>
      <c r="N298" s="1077" t="s">
        <v>5</v>
      </c>
      <c r="O298" s="597" t="s">
        <v>5</v>
      </c>
      <c r="P298" s="595" t="s">
        <v>5</v>
      </c>
      <c r="Q298" s="571">
        <v>39.878410497900838</v>
      </c>
      <c r="R298" s="1075">
        <f>Q298</f>
        <v>39.878410497900838</v>
      </c>
      <c r="S298" s="1075">
        <f>Q298-R298</f>
        <v>0</v>
      </c>
    </row>
    <row r="299" spans="1:42" ht="16.5" hidden="1" thickBot="1" x14ac:dyDescent="0.3">
      <c r="A299" s="747" t="s">
        <v>942</v>
      </c>
      <c r="B299" s="747"/>
      <c r="C299" s="815" t="s">
        <v>1024</v>
      </c>
      <c r="D299" s="625" t="s">
        <v>5</v>
      </c>
      <c r="E299" s="593" t="s">
        <v>5</v>
      </c>
      <c r="F299" s="594" t="s">
        <v>5</v>
      </c>
      <c r="G299" s="595" t="s">
        <v>5</v>
      </c>
      <c r="H299" s="566" t="s">
        <v>5</v>
      </c>
      <c r="I299" s="596" t="s">
        <v>5</v>
      </c>
      <c r="J299" s="595" t="s">
        <v>5</v>
      </c>
      <c r="K299" s="626" t="s">
        <v>5</v>
      </c>
      <c r="L299" s="595" t="s">
        <v>5</v>
      </c>
      <c r="M299" s="1076" t="s">
        <v>5</v>
      </c>
      <c r="N299" s="1077" t="s">
        <v>5</v>
      </c>
      <c r="O299" s="597" t="s">
        <v>5</v>
      </c>
      <c r="P299" s="595" t="s">
        <v>5</v>
      </c>
      <c r="Q299" s="571">
        <v>53.017452953690501</v>
      </c>
      <c r="R299" s="1075">
        <f t="shared" ref="R299:R304" si="49">Q299</f>
        <v>53.017452953690501</v>
      </c>
      <c r="S299" s="1075">
        <f t="shared" ref="S299:S342" si="50">Q299-R299</f>
        <v>0</v>
      </c>
    </row>
    <row r="300" spans="1:42" ht="16.5" hidden="1" thickBot="1" x14ac:dyDescent="0.3">
      <c r="A300" s="747" t="s">
        <v>943</v>
      </c>
      <c r="B300" s="747"/>
      <c r="C300" s="815" t="s">
        <v>1024</v>
      </c>
      <c r="D300" s="625" t="s">
        <v>5</v>
      </c>
      <c r="E300" s="593" t="s">
        <v>5</v>
      </c>
      <c r="F300" s="594" t="s">
        <v>5</v>
      </c>
      <c r="G300" s="595" t="s">
        <v>5</v>
      </c>
      <c r="H300" s="566" t="s">
        <v>5</v>
      </c>
      <c r="I300" s="596" t="s">
        <v>5</v>
      </c>
      <c r="J300" s="595" t="s">
        <v>5</v>
      </c>
      <c r="K300" s="626" t="s">
        <v>5</v>
      </c>
      <c r="L300" s="595" t="s">
        <v>5</v>
      </c>
      <c r="M300" s="1076" t="s">
        <v>5</v>
      </c>
      <c r="N300" s="1077" t="s">
        <v>5</v>
      </c>
      <c r="O300" s="597" t="s">
        <v>5</v>
      </c>
      <c r="P300" s="595" t="s">
        <v>5</v>
      </c>
      <c r="Q300" s="571">
        <v>52.186283117091179</v>
      </c>
      <c r="R300" s="1075">
        <f t="shared" si="49"/>
        <v>52.186283117091179</v>
      </c>
      <c r="S300" s="1075">
        <f t="shared" si="50"/>
        <v>0</v>
      </c>
    </row>
    <row r="301" spans="1:42" ht="16.5" hidden="1" thickBot="1" x14ac:dyDescent="0.3">
      <c r="A301" s="747" t="s">
        <v>944</v>
      </c>
      <c r="B301" s="747"/>
      <c r="C301" s="815" t="s">
        <v>1024</v>
      </c>
      <c r="D301" s="625" t="s">
        <v>5</v>
      </c>
      <c r="E301" s="593" t="s">
        <v>5</v>
      </c>
      <c r="F301" s="594" t="s">
        <v>5</v>
      </c>
      <c r="G301" s="595" t="s">
        <v>5</v>
      </c>
      <c r="H301" s="566" t="s">
        <v>5</v>
      </c>
      <c r="I301" s="596" t="s">
        <v>5</v>
      </c>
      <c r="J301" s="595" t="s">
        <v>5</v>
      </c>
      <c r="K301" s="626" t="s">
        <v>5</v>
      </c>
      <c r="L301" s="595" t="s">
        <v>5</v>
      </c>
      <c r="M301" s="1076" t="s">
        <v>5</v>
      </c>
      <c r="N301" s="1077" t="s">
        <v>5</v>
      </c>
      <c r="O301" s="597" t="s">
        <v>5</v>
      </c>
      <c r="P301" s="595" t="s">
        <v>5</v>
      </c>
      <c r="Q301" s="571">
        <v>21.048058928113484</v>
      </c>
      <c r="R301" s="1075">
        <f t="shared" si="49"/>
        <v>21.048058928113484</v>
      </c>
      <c r="S301" s="1075">
        <f t="shared" si="50"/>
        <v>0</v>
      </c>
    </row>
    <row r="302" spans="1:42" ht="16.5" hidden="1" thickBot="1" x14ac:dyDescent="0.3">
      <c r="A302" s="747" t="s">
        <v>945</v>
      </c>
      <c r="B302" s="747"/>
      <c r="C302" s="815" t="s">
        <v>1024</v>
      </c>
      <c r="D302" s="625" t="s">
        <v>5</v>
      </c>
      <c r="E302" s="593" t="s">
        <v>5</v>
      </c>
      <c r="F302" s="594" t="s">
        <v>5</v>
      </c>
      <c r="G302" s="595" t="s">
        <v>5</v>
      </c>
      <c r="H302" s="566" t="s">
        <v>5</v>
      </c>
      <c r="I302" s="596" t="s">
        <v>5</v>
      </c>
      <c r="J302" s="595" t="s">
        <v>5</v>
      </c>
      <c r="K302" s="626" t="s">
        <v>5</v>
      </c>
      <c r="L302" s="595" t="s">
        <v>5</v>
      </c>
      <c r="M302" s="1076" t="s">
        <v>5</v>
      </c>
      <c r="N302" s="1077" t="s">
        <v>5</v>
      </c>
      <c r="O302" s="597" t="s">
        <v>5</v>
      </c>
      <c r="P302" s="595" t="s">
        <v>5</v>
      </c>
      <c r="Q302" s="571">
        <v>31.054892154907261</v>
      </c>
      <c r="R302" s="1075">
        <f t="shared" si="49"/>
        <v>31.054892154907261</v>
      </c>
      <c r="S302" s="1075">
        <f t="shared" si="50"/>
        <v>0</v>
      </c>
    </row>
    <row r="303" spans="1:42" ht="16.5" hidden="1" thickBot="1" x14ac:dyDescent="0.3">
      <c r="A303" s="747" t="s">
        <v>946</v>
      </c>
      <c r="B303" s="747"/>
      <c r="C303" s="815" t="s">
        <v>1024</v>
      </c>
      <c r="D303" s="625" t="s">
        <v>5</v>
      </c>
      <c r="E303" s="593" t="s">
        <v>5</v>
      </c>
      <c r="F303" s="594" t="s">
        <v>5</v>
      </c>
      <c r="G303" s="595" t="s">
        <v>5</v>
      </c>
      <c r="H303" s="566" t="s">
        <v>5</v>
      </c>
      <c r="I303" s="596" t="s">
        <v>5</v>
      </c>
      <c r="J303" s="595" t="s">
        <v>5</v>
      </c>
      <c r="K303" s="626" t="s">
        <v>5</v>
      </c>
      <c r="L303" s="595" t="s">
        <v>5</v>
      </c>
      <c r="M303" s="1076" t="s">
        <v>5</v>
      </c>
      <c r="N303" s="1077" t="s">
        <v>5</v>
      </c>
      <c r="O303" s="597" t="s">
        <v>5</v>
      </c>
      <c r="P303" s="595" t="s">
        <v>5</v>
      </c>
      <c r="Q303" s="571">
        <v>16.652428537404525</v>
      </c>
      <c r="R303" s="1075">
        <f t="shared" si="49"/>
        <v>16.652428537404525</v>
      </c>
      <c r="S303" s="1075">
        <f t="shared" si="50"/>
        <v>0</v>
      </c>
    </row>
    <row r="304" spans="1:42" ht="16.5" hidden="1" thickBot="1" x14ac:dyDescent="0.3">
      <c r="A304" s="658" t="s">
        <v>947</v>
      </c>
      <c r="B304" s="747"/>
      <c r="C304" s="815" t="s">
        <v>1024</v>
      </c>
      <c r="D304" s="625" t="s">
        <v>5</v>
      </c>
      <c r="E304" s="593" t="s">
        <v>5</v>
      </c>
      <c r="F304" s="594" t="s">
        <v>5</v>
      </c>
      <c r="G304" s="595" t="s">
        <v>5</v>
      </c>
      <c r="H304" s="566" t="s">
        <v>5</v>
      </c>
      <c r="I304" s="596" t="s">
        <v>5</v>
      </c>
      <c r="J304" s="595" t="s">
        <v>5</v>
      </c>
      <c r="K304" s="626" t="s">
        <v>5</v>
      </c>
      <c r="L304" s="595" t="s">
        <v>5</v>
      </c>
      <c r="M304" s="1076" t="s">
        <v>5</v>
      </c>
      <c r="N304" s="1077" t="s">
        <v>5</v>
      </c>
      <c r="O304" s="597" t="s">
        <v>5</v>
      </c>
      <c r="P304" s="595" t="s">
        <v>5</v>
      </c>
      <c r="Q304" s="571">
        <v>52.199723767747699</v>
      </c>
      <c r="R304" s="1075">
        <f t="shared" si="49"/>
        <v>52.199723767747699</v>
      </c>
      <c r="S304" s="1075">
        <f t="shared" si="50"/>
        <v>0</v>
      </c>
    </row>
    <row r="305" spans="1:19" ht="16.5" hidden="1" thickBot="1" x14ac:dyDescent="0.3">
      <c r="A305" s="646" t="s">
        <v>526</v>
      </c>
      <c r="B305" s="1054" t="s">
        <v>429</v>
      </c>
      <c r="C305" s="816" t="s">
        <v>1026</v>
      </c>
      <c r="D305" s="625">
        <v>26.392844595536175</v>
      </c>
      <c r="E305" s="593">
        <v>0</v>
      </c>
      <c r="F305" s="594">
        <v>0</v>
      </c>
      <c r="G305" s="595">
        <v>5.2785689191072356</v>
      </c>
      <c r="H305" s="566">
        <v>31.671413514643412</v>
      </c>
      <c r="I305" s="596">
        <v>4.6575608109769719</v>
      </c>
      <c r="J305" s="595">
        <v>0.93151216219539446</v>
      </c>
      <c r="K305" s="626">
        <v>0</v>
      </c>
      <c r="L305" s="595">
        <v>0</v>
      </c>
      <c r="M305" s="1057">
        <f t="shared" ref="M305:M362" si="51">I305+K305</f>
        <v>4.6575608109769719</v>
      </c>
      <c r="N305" s="1058">
        <f t="shared" ref="N305:N362" si="52">J305+L305</f>
        <v>0.93151216219539446</v>
      </c>
      <c r="O305" s="597">
        <v>0</v>
      </c>
      <c r="P305" s="595">
        <v>0</v>
      </c>
      <c r="Q305" s="571">
        <v>37.260486487815783</v>
      </c>
      <c r="R305" s="1075">
        <f>H305+M305+N305+O305+P305</f>
        <v>37.260486487815783</v>
      </c>
      <c r="S305" s="1075">
        <f t="shared" si="50"/>
        <v>0</v>
      </c>
    </row>
    <row r="306" spans="1:19" ht="16.5" hidden="1" thickBot="1" x14ac:dyDescent="0.3">
      <c r="A306" s="664" t="s">
        <v>176</v>
      </c>
      <c r="B306" s="653"/>
      <c r="C306" s="653" t="s">
        <v>1028</v>
      </c>
      <c r="D306" s="625">
        <v>149.97854997854998</v>
      </c>
      <c r="E306" s="593">
        <v>274.37307437307436</v>
      </c>
      <c r="F306" s="594">
        <v>0</v>
      </c>
      <c r="G306" s="595">
        <v>0</v>
      </c>
      <c r="H306" s="566">
        <v>424.35162435162431</v>
      </c>
      <c r="I306" s="596">
        <v>407.1604071604072</v>
      </c>
      <c r="J306" s="595">
        <v>0</v>
      </c>
      <c r="K306" s="626">
        <v>0</v>
      </c>
      <c r="L306" s="595">
        <v>0</v>
      </c>
      <c r="M306" s="1057">
        <f t="shared" si="51"/>
        <v>407.1604071604072</v>
      </c>
      <c r="N306" s="1058">
        <f t="shared" si="52"/>
        <v>0</v>
      </c>
      <c r="O306" s="597">
        <v>0</v>
      </c>
      <c r="P306" s="595">
        <v>0</v>
      </c>
      <c r="Q306" s="571">
        <v>831.51203151203151</v>
      </c>
      <c r="R306" s="1075">
        <f t="shared" ref="R306:R319" si="53">H306+M306+N306+O306+P306</f>
        <v>831.51203151203151</v>
      </c>
      <c r="S306" s="1075">
        <f t="shared" si="50"/>
        <v>0</v>
      </c>
    </row>
    <row r="307" spans="1:19" ht="16.5" hidden="1" thickBot="1" x14ac:dyDescent="0.3">
      <c r="A307" s="631" t="s">
        <v>178</v>
      </c>
      <c r="B307" s="631"/>
      <c r="C307" s="631" t="s">
        <v>1028</v>
      </c>
      <c r="D307" s="625">
        <v>129.72192972192974</v>
      </c>
      <c r="E307" s="593">
        <v>168.08236808236811</v>
      </c>
      <c r="F307" s="594">
        <v>0</v>
      </c>
      <c r="G307" s="595">
        <v>0</v>
      </c>
      <c r="H307" s="566">
        <v>297.80429780429785</v>
      </c>
      <c r="I307" s="596">
        <v>485.28528528528528</v>
      </c>
      <c r="J307" s="595">
        <v>0</v>
      </c>
      <c r="K307" s="626">
        <v>0</v>
      </c>
      <c r="L307" s="595">
        <v>0</v>
      </c>
      <c r="M307" s="1057">
        <f t="shared" si="51"/>
        <v>485.28528528528528</v>
      </c>
      <c r="N307" s="1058">
        <f t="shared" si="52"/>
        <v>0</v>
      </c>
      <c r="O307" s="597">
        <v>0</v>
      </c>
      <c r="P307" s="595">
        <v>0</v>
      </c>
      <c r="Q307" s="571">
        <v>783.08958308958313</v>
      </c>
      <c r="R307" s="1075">
        <f t="shared" si="53"/>
        <v>783.08958308958313</v>
      </c>
      <c r="S307" s="1075">
        <f t="shared" si="50"/>
        <v>0</v>
      </c>
    </row>
    <row r="308" spans="1:19" ht="16.5" hidden="1" thickBot="1" x14ac:dyDescent="0.3">
      <c r="A308" s="631" t="s">
        <v>179</v>
      </c>
      <c r="B308" s="631"/>
      <c r="C308" s="631" t="s">
        <v>1028</v>
      </c>
      <c r="D308" s="625">
        <v>184.32978432978433</v>
      </c>
      <c r="E308" s="593">
        <v>133.61413361413364</v>
      </c>
      <c r="F308" s="594">
        <v>0</v>
      </c>
      <c r="G308" s="595">
        <v>0</v>
      </c>
      <c r="H308" s="566">
        <v>317.943917943918</v>
      </c>
      <c r="I308" s="596">
        <v>591.24059124059124</v>
      </c>
      <c r="J308" s="595">
        <v>0</v>
      </c>
      <c r="K308" s="626">
        <v>0</v>
      </c>
      <c r="L308" s="595">
        <v>0</v>
      </c>
      <c r="M308" s="1057">
        <f t="shared" si="51"/>
        <v>591.24059124059124</v>
      </c>
      <c r="N308" s="1058">
        <f t="shared" si="52"/>
        <v>0</v>
      </c>
      <c r="O308" s="597">
        <v>0</v>
      </c>
      <c r="P308" s="595">
        <v>0</v>
      </c>
      <c r="Q308" s="571">
        <v>909.18450918450924</v>
      </c>
      <c r="R308" s="1075">
        <f t="shared" si="53"/>
        <v>909.18450918450924</v>
      </c>
      <c r="S308" s="1075">
        <f t="shared" si="50"/>
        <v>0</v>
      </c>
    </row>
    <row r="309" spans="1:19" ht="16.5" hidden="1" thickBot="1" x14ac:dyDescent="0.3">
      <c r="A309" s="631" t="s">
        <v>180</v>
      </c>
      <c r="B309" s="631"/>
      <c r="C309" s="631" t="s">
        <v>1028</v>
      </c>
      <c r="D309" s="625">
        <v>70.200070200070201</v>
      </c>
      <c r="E309" s="593">
        <v>156.00015600015601</v>
      </c>
      <c r="F309" s="594">
        <v>0</v>
      </c>
      <c r="G309" s="595">
        <v>0</v>
      </c>
      <c r="H309" s="566">
        <v>226.20022620022621</v>
      </c>
      <c r="I309" s="596">
        <v>455.52045552045553</v>
      </c>
      <c r="J309" s="595">
        <v>0</v>
      </c>
      <c r="K309" s="626">
        <v>0</v>
      </c>
      <c r="L309" s="595">
        <v>0</v>
      </c>
      <c r="M309" s="1057">
        <f t="shared" si="51"/>
        <v>455.52045552045553</v>
      </c>
      <c r="N309" s="1058">
        <f t="shared" si="52"/>
        <v>0</v>
      </c>
      <c r="O309" s="597">
        <v>0</v>
      </c>
      <c r="P309" s="595">
        <v>0</v>
      </c>
      <c r="Q309" s="571">
        <v>681.7206817206818</v>
      </c>
      <c r="R309" s="1075">
        <f t="shared" si="53"/>
        <v>681.7206817206818</v>
      </c>
      <c r="S309" s="1075">
        <f t="shared" si="50"/>
        <v>0</v>
      </c>
    </row>
    <row r="310" spans="1:19" ht="16.5" hidden="1" thickBot="1" x14ac:dyDescent="0.3">
      <c r="A310" s="631" t="s">
        <v>544</v>
      </c>
      <c r="B310" s="631" t="s">
        <v>429</v>
      </c>
      <c r="C310" s="631" t="s">
        <v>1028</v>
      </c>
      <c r="D310" s="625">
        <v>79.154479154479162</v>
      </c>
      <c r="E310" s="593">
        <v>203.5802035802036</v>
      </c>
      <c r="F310" s="594">
        <v>0</v>
      </c>
      <c r="G310" s="595">
        <v>0</v>
      </c>
      <c r="H310" s="566">
        <v>282.73468273468279</v>
      </c>
      <c r="I310" s="596">
        <v>412.62041262041265</v>
      </c>
      <c r="J310" s="595">
        <v>0</v>
      </c>
      <c r="K310" s="626">
        <v>0</v>
      </c>
      <c r="L310" s="595">
        <v>0</v>
      </c>
      <c r="M310" s="1057">
        <f t="shared" si="51"/>
        <v>412.62041262041265</v>
      </c>
      <c r="N310" s="1058">
        <f t="shared" si="52"/>
        <v>0</v>
      </c>
      <c r="O310" s="597">
        <v>0</v>
      </c>
      <c r="P310" s="595">
        <v>0</v>
      </c>
      <c r="Q310" s="571">
        <v>695.3550953550955</v>
      </c>
      <c r="R310" s="1075">
        <f t="shared" si="53"/>
        <v>695.3550953550955</v>
      </c>
      <c r="S310" s="1075">
        <f t="shared" si="50"/>
        <v>0</v>
      </c>
    </row>
    <row r="311" spans="1:19" ht="16.5" hidden="1" thickBot="1" x14ac:dyDescent="0.3">
      <c r="A311" s="724" t="s">
        <v>932</v>
      </c>
      <c r="B311" s="724"/>
      <c r="C311" s="806" t="s">
        <v>1030</v>
      </c>
      <c r="D311" s="625">
        <v>44.417233886748058</v>
      </c>
      <c r="E311" s="593">
        <v>178.86940132771514</v>
      </c>
      <c r="F311" s="594">
        <v>0</v>
      </c>
      <c r="G311" s="595">
        <v>22.244630916795717</v>
      </c>
      <c r="H311" s="566">
        <v>245.53126613125892</v>
      </c>
      <c r="I311" s="596">
        <v>0</v>
      </c>
      <c r="J311" s="595">
        <v>0</v>
      </c>
      <c r="K311" s="626">
        <v>231.68989567952366</v>
      </c>
      <c r="L311" s="595">
        <v>23.192998883566823</v>
      </c>
      <c r="M311" s="1057">
        <f t="shared" si="51"/>
        <v>231.68989567952366</v>
      </c>
      <c r="N311" s="1058">
        <f t="shared" si="52"/>
        <v>23.192998883566823</v>
      </c>
      <c r="O311" s="597">
        <v>0</v>
      </c>
      <c r="P311" s="595">
        <v>0</v>
      </c>
      <c r="Q311" s="571">
        <v>500.41416069434939</v>
      </c>
      <c r="R311" s="1075">
        <f t="shared" si="53"/>
        <v>500.41416069434939</v>
      </c>
      <c r="S311" s="1075">
        <f t="shared" si="50"/>
        <v>0</v>
      </c>
    </row>
    <row r="312" spans="1:19" ht="16.5" hidden="1" thickBot="1" x14ac:dyDescent="0.3">
      <c r="A312" s="735" t="s">
        <v>67</v>
      </c>
      <c r="B312" s="802"/>
      <c r="C312" s="802" t="s">
        <v>1032</v>
      </c>
      <c r="D312" s="625">
        <v>24.009315614458409</v>
      </c>
      <c r="E312" s="593">
        <v>207.12836580593267</v>
      </c>
      <c r="F312" s="594">
        <v>0</v>
      </c>
      <c r="G312" s="595">
        <v>13.865379767349731</v>
      </c>
      <c r="H312" s="566">
        <v>245.00306118774083</v>
      </c>
      <c r="I312" s="596">
        <v>173.63537052376319</v>
      </c>
      <c r="J312" s="595">
        <v>10.420042976674949</v>
      </c>
      <c r="K312" s="626">
        <v>123.33585431147284</v>
      </c>
      <c r="L312" s="595">
        <v>7.3948692092531898</v>
      </c>
      <c r="M312" s="1057">
        <f t="shared" si="51"/>
        <v>296.97122483523606</v>
      </c>
      <c r="N312" s="1058">
        <f t="shared" si="52"/>
        <v>17.81491218592814</v>
      </c>
      <c r="O312" s="597">
        <v>0</v>
      </c>
      <c r="P312" s="595">
        <v>0</v>
      </c>
      <c r="Q312" s="571">
        <v>559.78919820890508</v>
      </c>
      <c r="R312" s="1075">
        <f t="shared" si="53"/>
        <v>559.78919820890508</v>
      </c>
      <c r="S312" s="1075">
        <f t="shared" si="50"/>
        <v>0</v>
      </c>
    </row>
    <row r="313" spans="1:19" ht="16.5" hidden="1" thickBot="1" x14ac:dyDescent="0.3">
      <c r="A313" s="685" t="s">
        <v>71</v>
      </c>
      <c r="B313" s="802"/>
      <c r="C313" s="802" t="s">
        <v>1032</v>
      </c>
      <c r="D313" s="625">
        <v>31.212110298795931</v>
      </c>
      <c r="E313" s="593">
        <v>170.98234114836558</v>
      </c>
      <c r="F313" s="594">
        <v>0</v>
      </c>
      <c r="G313" s="595">
        <v>12.136709043108725</v>
      </c>
      <c r="H313" s="566">
        <v>214.33116049027024</v>
      </c>
      <c r="I313" s="596">
        <v>129.35018787289468</v>
      </c>
      <c r="J313" s="595">
        <v>7.767013601277295</v>
      </c>
      <c r="K313" s="626">
        <v>120.55077370019568</v>
      </c>
      <c r="L313" s="595">
        <v>7.2388086577592103</v>
      </c>
      <c r="M313" s="1057">
        <f t="shared" si="51"/>
        <v>249.90096157309034</v>
      </c>
      <c r="N313" s="1058">
        <f t="shared" si="52"/>
        <v>15.005822259036506</v>
      </c>
      <c r="O313" s="597">
        <v>0</v>
      </c>
      <c r="P313" s="595">
        <v>0</v>
      </c>
      <c r="Q313" s="571">
        <v>479.23794432239714</v>
      </c>
      <c r="R313" s="1075">
        <f t="shared" si="53"/>
        <v>479.23794432239708</v>
      </c>
      <c r="S313" s="1075">
        <f t="shared" si="50"/>
        <v>0</v>
      </c>
    </row>
    <row r="314" spans="1:19" ht="16.5" hidden="1" thickBot="1" x14ac:dyDescent="0.3">
      <c r="A314" s="685" t="s">
        <v>68</v>
      </c>
      <c r="B314" s="802" t="s">
        <v>429</v>
      </c>
      <c r="C314" s="802" t="s">
        <v>1032</v>
      </c>
      <c r="D314" s="625">
        <v>28.81117873735009</v>
      </c>
      <c r="E314" s="593">
        <v>243.33441375253597</v>
      </c>
      <c r="F314" s="594">
        <v>0</v>
      </c>
      <c r="G314" s="595">
        <v>16.326334617831719</v>
      </c>
      <c r="H314" s="566">
        <v>288.47192710771776</v>
      </c>
      <c r="I314" s="596">
        <v>121.96732332144872</v>
      </c>
      <c r="J314" s="595">
        <v>7.3228412624098143</v>
      </c>
      <c r="K314" s="626">
        <v>65.845548072652193</v>
      </c>
      <c r="L314" s="595">
        <v>3.9495324185784084</v>
      </c>
      <c r="M314" s="1057">
        <f t="shared" si="51"/>
        <v>187.81287139410091</v>
      </c>
      <c r="N314" s="1058">
        <f t="shared" si="52"/>
        <v>11.272373680988222</v>
      </c>
      <c r="O314" s="597">
        <v>0</v>
      </c>
      <c r="P314" s="595">
        <v>0</v>
      </c>
      <c r="Q314" s="571">
        <v>487.55717218280694</v>
      </c>
      <c r="R314" s="1075">
        <f t="shared" si="53"/>
        <v>487.55717218280688</v>
      </c>
      <c r="S314" s="1075">
        <f t="shared" si="50"/>
        <v>0</v>
      </c>
    </row>
    <row r="315" spans="1:19" ht="16.5" hidden="1" thickBot="1" x14ac:dyDescent="0.3">
      <c r="A315" s="685" t="s">
        <v>72</v>
      </c>
      <c r="B315" s="802"/>
      <c r="C315" s="802" t="s">
        <v>1032</v>
      </c>
      <c r="D315" s="625">
        <v>67.430162903206437</v>
      </c>
      <c r="E315" s="593">
        <v>286.5871958319828</v>
      </c>
      <c r="F315" s="594">
        <v>3.1092063720723639</v>
      </c>
      <c r="G315" s="595">
        <v>0</v>
      </c>
      <c r="H315" s="566">
        <v>357.12656510726163</v>
      </c>
      <c r="I315" s="596">
        <v>0</v>
      </c>
      <c r="J315" s="595">
        <v>0</v>
      </c>
      <c r="K315" s="626">
        <v>268.90433488193418</v>
      </c>
      <c r="L315" s="595">
        <v>16.134260092916051</v>
      </c>
      <c r="M315" s="1057">
        <f t="shared" si="51"/>
        <v>268.90433488193418</v>
      </c>
      <c r="N315" s="1058">
        <f t="shared" si="52"/>
        <v>16.134260092916051</v>
      </c>
      <c r="O315" s="597">
        <v>0</v>
      </c>
      <c r="P315" s="595">
        <v>0</v>
      </c>
      <c r="Q315" s="571">
        <v>642.16516008211192</v>
      </c>
      <c r="R315" s="1075">
        <f t="shared" si="53"/>
        <v>642.16516008211192</v>
      </c>
      <c r="S315" s="1075">
        <f t="shared" si="50"/>
        <v>0</v>
      </c>
    </row>
    <row r="316" spans="1:19" ht="16.5" hidden="1" thickBot="1" x14ac:dyDescent="0.3">
      <c r="A316" s="685" t="s">
        <v>69</v>
      </c>
      <c r="B316" s="802"/>
      <c r="C316" s="802" t="s">
        <v>1032</v>
      </c>
      <c r="D316" s="625">
        <v>24.009315614458409</v>
      </c>
      <c r="E316" s="593">
        <v>207.12836580593267</v>
      </c>
      <c r="F316" s="594">
        <v>0</v>
      </c>
      <c r="G316" s="595">
        <v>13.865379767349731</v>
      </c>
      <c r="H316" s="566">
        <v>245.00306118774083</v>
      </c>
      <c r="I316" s="596">
        <v>173.63537052376319</v>
      </c>
      <c r="J316" s="595">
        <v>10.420042976674949</v>
      </c>
      <c r="K316" s="626">
        <v>123.33585431147284</v>
      </c>
      <c r="L316" s="595">
        <v>7.3948692092531898</v>
      </c>
      <c r="M316" s="1057">
        <f t="shared" si="51"/>
        <v>296.97122483523606</v>
      </c>
      <c r="N316" s="1058">
        <f t="shared" si="52"/>
        <v>17.81491218592814</v>
      </c>
      <c r="O316" s="597">
        <v>0</v>
      </c>
      <c r="P316" s="595">
        <v>0</v>
      </c>
      <c r="Q316" s="571">
        <v>559.78919820890508</v>
      </c>
      <c r="R316" s="1075">
        <f t="shared" si="53"/>
        <v>559.78919820890508</v>
      </c>
      <c r="S316" s="1075">
        <f t="shared" si="50"/>
        <v>0</v>
      </c>
    </row>
    <row r="317" spans="1:19" ht="16.5" hidden="1" thickBot="1" x14ac:dyDescent="0.3">
      <c r="A317" s="685" t="s">
        <v>70</v>
      </c>
      <c r="B317" s="802"/>
      <c r="C317" s="802" t="s">
        <v>1032</v>
      </c>
      <c r="D317" s="625">
        <v>24.009315614458409</v>
      </c>
      <c r="E317" s="593">
        <v>207.12836580593267</v>
      </c>
      <c r="F317" s="594">
        <v>0</v>
      </c>
      <c r="G317" s="595">
        <v>13.865379767349731</v>
      </c>
      <c r="H317" s="566">
        <v>245.00306118774083</v>
      </c>
      <c r="I317" s="596">
        <v>173.63537052376319</v>
      </c>
      <c r="J317" s="595">
        <v>10.420042976674949</v>
      </c>
      <c r="K317" s="626">
        <v>123.33585431147284</v>
      </c>
      <c r="L317" s="595">
        <v>7.3948692092531898</v>
      </c>
      <c r="M317" s="1057">
        <f t="shared" si="51"/>
        <v>296.97122483523606</v>
      </c>
      <c r="N317" s="1058">
        <f t="shared" si="52"/>
        <v>17.81491218592814</v>
      </c>
      <c r="O317" s="597">
        <v>0</v>
      </c>
      <c r="P317" s="595">
        <v>0</v>
      </c>
      <c r="Q317" s="571">
        <v>559.78919820890508</v>
      </c>
      <c r="R317" s="1075">
        <f t="shared" si="53"/>
        <v>559.78919820890508</v>
      </c>
      <c r="S317" s="1075">
        <f t="shared" si="50"/>
        <v>0</v>
      </c>
    </row>
    <row r="318" spans="1:19" ht="16.5" hidden="1" thickBot="1" x14ac:dyDescent="0.3">
      <c r="A318" s="735" t="s">
        <v>216</v>
      </c>
      <c r="B318" s="802"/>
      <c r="C318" s="802" t="s">
        <v>1032</v>
      </c>
      <c r="D318" s="625">
        <v>31.212110298795931</v>
      </c>
      <c r="E318" s="593">
        <v>249.60084512790959</v>
      </c>
      <c r="F318" s="594">
        <v>0</v>
      </c>
      <c r="G318" s="595">
        <v>16.842534903542575</v>
      </c>
      <c r="H318" s="566">
        <v>297.65549033024809</v>
      </c>
      <c r="I318" s="596">
        <v>168.7854887696426</v>
      </c>
      <c r="J318" s="595">
        <v>10.131931189301447</v>
      </c>
      <c r="K318" s="626">
        <v>120.55077370019568</v>
      </c>
      <c r="L318" s="595">
        <v>7.2388086577592103</v>
      </c>
      <c r="M318" s="1057">
        <f t="shared" si="51"/>
        <v>289.33626246983829</v>
      </c>
      <c r="N318" s="1058">
        <f t="shared" si="52"/>
        <v>17.370739847060658</v>
      </c>
      <c r="O318" s="597">
        <v>0</v>
      </c>
      <c r="P318" s="595">
        <v>0</v>
      </c>
      <c r="Q318" s="571">
        <v>604.36249264714706</v>
      </c>
      <c r="R318" s="1075">
        <f t="shared" si="53"/>
        <v>604.36249264714706</v>
      </c>
      <c r="S318" s="1075">
        <f t="shared" si="50"/>
        <v>0</v>
      </c>
    </row>
    <row r="319" spans="1:19" ht="16.5" hidden="1" thickBot="1" x14ac:dyDescent="0.3">
      <c r="A319" s="736" t="s">
        <v>629</v>
      </c>
      <c r="B319" s="802"/>
      <c r="C319" s="807" t="s">
        <v>1032</v>
      </c>
      <c r="D319" s="625">
        <v>62.904406909881033</v>
      </c>
      <c r="E319" s="593">
        <v>267.34372936699435</v>
      </c>
      <c r="F319" s="594">
        <v>3.1092063720723639</v>
      </c>
      <c r="G319" s="595">
        <v>0</v>
      </c>
      <c r="H319" s="566">
        <v>333.35734264894774</v>
      </c>
      <c r="I319" s="596">
        <v>0</v>
      </c>
      <c r="J319" s="595">
        <v>0</v>
      </c>
      <c r="K319" s="626">
        <v>268.90433488193418</v>
      </c>
      <c r="L319" s="595">
        <v>16.134260092916051</v>
      </c>
      <c r="M319" s="1057">
        <f t="shared" si="51"/>
        <v>268.90433488193418</v>
      </c>
      <c r="N319" s="1058">
        <f t="shared" si="52"/>
        <v>16.134260092916051</v>
      </c>
      <c r="O319" s="597">
        <v>0</v>
      </c>
      <c r="P319" s="595">
        <v>0</v>
      </c>
      <c r="Q319" s="571">
        <v>618.39593762379798</v>
      </c>
      <c r="R319" s="1075">
        <f t="shared" si="53"/>
        <v>618.39593762379798</v>
      </c>
      <c r="S319" s="1075">
        <f t="shared" si="50"/>
        <v>0</v>
      </c>
    </row>
    <row r="320" spans="1:19" ht="16.5" hidden="1" thickBot="1" x14ac:dyDescent="0.3">
      <c r="A320" s="729" t="s">
        <v>935</v>
      </c>
      <c r="B320" s="803"/>
      <c r="C320" s="803" t="s">
        <v>1034</v>
      </c>
      <c r="D320" s="625" t="s">
        <v>5</v>
      </c>
      <c r="E320" s="593" t="s">
        <v>5</v>
      </c>
      <c r="F320" s="594" t="s">
        <v>5</v>
      </c>
      <c r="G320" s="595" t="s">
        <v>5</v>
      </c>
      <c r="H320" s="566" t="s">
        <v>5</v>
      </c>
      <c r="I320" s="596" t="s">
        <v>5</v>
      </c>
      <c r="J320" s="595" t="s">
        <v>5</v>
      </c>
      <c r="K320" s="626" t="s">
        <v>5</v>
      </c>
      <c r="L320" s="595" t="s">
        <v>5</v>
      </c>
      <c r="M320" s="1076" t="s">
        <v>5</v>
      </c>
      <c r="N320" s="1077" t="s">
        <v>5</v>
      </c>
      <c r="O320" s="597" t="s">
        <v>5</v>
      </c>
      <c r="P320" s="595" t="s">
        <v>5</v>
      </c>
      <c r="Q320" s="571">
        <v>89.379267029618958</v>
      </c>
      <c r="R320" s="1075">
        <f>Q320</f>
        <v>89.379267029618958</v>
      </c>
      <c r="S320" s="1075">
        <f t="shared" si="50"/>
        <v>0</v>
      </c>
    </row>
    <row r="321" spans="1:19" ht="16.5" hidden="1" thickBot="1" x14ac:dyDescent="0.3">
      <c r="A321" s="632" t="s">
        <v>462</v>
      </c>
      <c r="B321" s="803"/>
      <c r="C321" s="803" t="s">
        <v>1034</v>
      </c>
      <c r="D321" s="625" t="s">
        <v>5</v>
      </c>
      <c r="E321" s="593" t="s">
        <v>5</v>
      </c>
      <c r="F321" s="594" t="s">
        <v>5</v>
      </c>
      <c r="G321" s="595" t="s">
        <v>5</v>
      </c>
      <c r="H321" s="566" t="s">
        <v>5</v>
      </c>
      <c r="I321" s="596" t="s">
        <v>5</v>
      </c>
      <c r="J321" s="595" t="s">
        <v>5</v>
      </c>
      <c r="K321" s="626" t="s">
        <v>5</v>
      </c>
      <c r="L321" s="595" t="s">
        <v>5</v>
      </c>
      <c r="M321" s="1076" t="s">
        <v>5</v>
      </c>
      <c r="N321" s="1077" t="s">
        <v>5</v>
      </c>
      <c r="O321" s="597" t="s">
        <v>5</v>
      </c>
      <c r="P321" s="595" t="s">
        <v>5</v>
      </c>
      <c r="Q321" s="571">
        <v>73.375546919585844</v>
      </c>
      <c r="R321" s="1075">
        <f>Q321</f>
        <v>73.375546919585844</v>
      </c>
      <c r="S321" s="1075">
        <f t="shared" si="50"/>
        <v>0</v>
      </c>
    </row>
    <row r="322" spans="1:19" ht="16.5" hidden="1" thickBot="1" x14ac:dyDescent="0.3">
      <c r="A322" s="730" t="s">
        <v>933</v>
      </c>
      <c r="B322" s="803" t="s">
        <v>429</v>
      </c>
      <c r="C322" s="810" t="s">
        <v>1034</v>
      </c>
      <c r="D322" s="625" t="s">
        <v>5</v>
      </c>
      <c r="E322" s="593" t="s">
        <v>5</v>
      </c>
      <c r="F322" s="594" t="s">
        <v>5</v>
      </c>
      <c r="G322" s="595" t="s">
        <v>5</v>
      </c>
      <c r="H322" s="566" t="s">
        <v>5</v>
      </c>
      <c r="I322" s="596" t="s">
        <v>5</v>
      </c>
      <c r="J322" s="595" t="s">
        <v>5</v>
      </c>
      <c r="K322" s="626" t="s">
        <v>5</v>
      </c>
      <c r="L322" s="595" t="s">
        <v>5</v>
      </c>
      <c r="M322" s="1076" t="s">
        <v>5</v>
      </c>
      <c r="N322" s="1077" t="s">
        <v>5</v>
      </c>
      <c r="O322" s="597" t="s">
        <v>5</v>
      </c>
      <c r="P322" s="595" t="s">
        <v>5</v>
      </c>
      <c r="Q322" s="571">
        <v>131.95520166197124</v>
      </c>
      <c r="R322" s="1075">
        <f>Q322</f>
        <v>131.95520166197124</v>
      </c>
      <c r="S322" s="1075">
        <f t="shared" si="50"/>
        <v>0</v>
      </c>
    </row>
    <row r="323" spans="1:19" ht="16.5" hidden="1" thickBot="1" x14ac:dyDescent="0.3">
      <c r="A323" s="623" t="s">
        <v>73</v>
      </c>
      <c r="B323" s="802" t="s">
        <v>429</v>
      </c>
      <c r="C323" s="802" t="s">
        <v>1036</v>
      </c>
      <c r="D323" s="625">
        <v>71.806453988633706</v>
      </c>
      <c r="E323" s="593">
        <v>0</v>
      </c>
      <c r="F323" s="594">
        <v>0</v>
      </c>
      <c r="G323" s="595">
        <v>14.11579864733825</v>
      </c>
      <c r="H323" s="566">
        <v>85.922252635971958</v>
      </c>
      <c r="I323" s="596">
        <v>20.866832783021763</v>
      </c>
      <c r="J323" s="595">
        <v>4.2961126317985983</v>
      </c>
      <c r="K323" s="626">
        <v>17.798180903165619</v>
      </c>
      <c r="L323" s="595">
        <v>3.68238225582737</v>
      </c>
      <c r="M323" s="1057">
        <f t="shared" si="51"/>
        <v>38.665013686187379</v>
      </c>
      <c r="N323" s="1058">
        <f t="shared" si="52"/>
        <v>7.9784948876259687</v>
      </c>
      <c r="O323" s="597">
        <v>0</v>
      </c>
      <c r="P323" s="595">
        <v>0</v>
      </c>
      <c r="Q323" s="571">
        <v>132.56576120978531</v>
      </c>
      <c r="R323" s="1075">
        <f t="shared" ref="R323:R386" si="54">H323+M323+N323+O323+P323</f>
        <v>132.56576120978531</v>
      </c>
      <c r="S323" s="1075">
        <f t="shared" si="50"/>
        <v>0</v>
      </c>
    </row>
    <row r="324" spans="1:19" ht="16.5" hidden="1" thickBot="1" x14ac:dyDescent="0.3">
      <c r="A324" s="685" t="s">
        <v>74</v>
      </c>
      <c r="B324" s="802"/>
      <c r="C324" s="802" t="s">
        <v>1036</v>
      </c>
      <c r="D324" s="625">
        <v>79.171218500288447</v>
      </c>
      <c r="E324" s="593">
        <v>0</v>
      </c>
      <c r="F324" s="594">
        <v>0</v>
      </c>
      <c r="G324" s="595">
        <v>15.956989775251936</v>
      </c>
      <c r="H324" s="566">
        <v>95.128208275540388</v>
      </c>
      <c r="I324" s="596">
        <v>17.798180903165619</v>
      </c>
      <c r="J324" s="595">
        <v>3.68238225582737</v>
      </c>
      <c r="K324" s="626">
        <v>34.368901054388786</v>
      </c>
      <c r="L324" s="595">
        <v>6.7510341356835113</v>
      </c>
      <c r="M324" s="1057">
        <f t="shared" si="51"/>
        <v>52.167081957554402</v>
      </c>
      <c r="N324" s="1058">
        <f t="shared" si="52"/>
        <v>10.433416391510882</v>
      </c>
      <c r="O324" s="597">
        <v>0</v>
      </c>
      <c r="P324" s="595">
        <v>0</v>
      </c>
      <c r="Q324" s="571">
        <v>157.72870662460568</v>
      </c>
      <c r="R324" s="1075">
        <f t="shared" si="54"/>
        <v>157.72870662460568</v>
      </c>
      <c r="S324" s="1075">
        <f t="shared" si="50"/>
        <v>0</v>
      </c>
    </row>
    <row r="325" spans="1:19" ht="16.5" hidden="1" thickBot="1" x14ac:dyDescent="0.3">
      <c r="A325" s="685" t="s">
        <v>75</v>
      </c>
      <c r="B325" s="802"/>
      <c r="C325" s="802" t="s">
        <v>1036</v>
      </c>
      <c r="D325" s="625">
        <v>90.832095643741795</v>
      </c>
      <c r="E325" s="593">
        <v>0</v>
      </c>
      <c r="F325" s="594">
        <v>0</v>
      </c>
      <c r="G325" s="595">
        <v>18.411911279136849</v>
      </c>
      <c r="H325" s="566">
        <v>109.24400692287864</v>
      </c>
      <c r="I325" s="596">
        <v>7.36476451165474</v>
      </c>
      <c r="J325" s="595">
        <v>1.2274607519424565</v>
      </c>
      <c r="K325" s="626">
        <v>19.025641655108078</v>
      </c>
      <c r="L325" s="595">
        <v>3.68238225582737</v>
      </c>
      <c r="M325" s="1057">
        <f t="shared" si="51"/>
        <v>26.390406166762819</v>
      </c>
      <c r="N325" s="1058">
        <f t="shared" si="52"/>
        <v>4.9098430077698261</v>
      </c>
      <c r="O325" s="597">
        <v>0</v>
      </c>
      <c r="P325" s="595">
        <v>0</v>
      </c>
      <c r="Q325" s="571">
        <v>140.54425609741131</v>
      </c>
      <c r="R325" s="1075">
        <f t="shared" si="54"/>
        <v>140.54425609741131</v>
      </c>
      <c r="S325" s="1075">
        <f t="shared" si="50"/>
        <v>0</v>
      </c>
    </row>
    <row r="326" spans="1:19" ht="16.5" hidden="1" thickBot="1" x14ac:dyDescent="0.3">
      <c r="A326" s="685" t="s">
        <v>76</v>
      </c>
      <c r="B326" s="802"/>
      <c r="C326" s="802" t="s">
        <v>1036</v>
      </c>
      <c r="D326" s="625">
        <v>128.88337895395793</v>
      </c>
      <c r="E326" s="593">
        <v>0</v>
      </c>
      <c r="F326" s="594">
        <v>0</v>
      </c>
      <c r="G326" s="595">
        <v>25.77667579079159</v>
      </c>
      <c r="H326" s="566">
        <v>154.66005474474952</v>
      </c>
      <c r="I326" s="596">
        <v>4.9098430077698261</v>
      </c>
      <c r="J326" s="595">
        <v>1.2274607519424565</v>
      </c>
      <c r="K326" s="626">
        <v>10.433416391510882</v>
      </c>
      <c r="L326" s="595">
        <v>1.841191127913685</v>
      </c>
      <c r="M326" s="1057">
        <f t="shared" si="51"/>
        <v>15.343259399280708</v>
      </c>
      <c r="N326" s="1058">
        <f t="shared" si="52"/>
        <v>3.0686518798561417</v>
      </c>
      <c r="O326" s="597">
        <v>0</v>
      </c>
      <c r="P326" s="595">
        <v>0</v>
      </c>
      <c r="Q326" s="571">
        <v>173.07196602388638</v>
      </c>
      <c r="R326" s="1075">
        <f t="shared" si="54"/>
        <v>173.07196602388635</v>
      </c>
      <c r="S326" s="1075">
        <f t="shared" si="50"/>
        <v>0</v>
      </c>
    </row>
    <row r="327" spans="1:19" ht="16.5" hidden="1" thickBot="1" x14ac:dyDescent="0.3">
      <c r="A327" s="624" t="s">
        <v>77</v>
      </c>
      <c r="B327" s="802"/>
      <c r="C327" s="802" t="s">
        <v>1036</v>
      </c>
      <c r="D327" s="625">
        <v>111.08519805079233</v>
      </c>
      <c r="E327" s="593">
        <v>0</v>
      </c>
      <c r="F327" s="594">
        <v>0</v>
      </c>
      <c r="G327" s="595">
        <v>22.094293534964219</v>
      </c>
      <c r="H327" s="566">
        <v>133.17949158575655</v>
      </c>
      <c r="I327" s="596">
        <v>6.1373037597122826</v>
      </c>
      <c r="J327" s="595">
        <v>1.2274607519424565</v>
      </c>
      <c r="K327" s="626">
        <v>22.094293534964219</v>
      </c>
      <c r="L327" s="595">
        <v>4.2961126317985983</v>
      </c>
      <c r="M327" s="1057">
        <f t="shared" si="51"/>
        <v>28.231597294676501</v>
      </c>
      <c r="N327" s="1058">
        <f t="shared" si="52"/>
        <v>5.5235733837410548</v>
      </c>
      <c r="O327" s="597">
        <v>0</v>
      </c>
      <c r="P327" s="595">
        <v>0</v>
      </c>
      <c r="Q327" s="571">
        <v>166.93466226417411</v>
      </c>
      <c r="R327" s="1075">
        <f t="shared" si="54"/>
        <v>166.93466226417411</v>
      </c>
      <c r="S327" s="1075">
        <f t="shared" si="50"/>
        <v>0</v>
      </c>
    </row>
    <row r="328" spans="1:19" ht="16.5" hidden="1" thickBot="1" x14ac:dyDescent="0.3">
      <c r="A328" s="740" t="s">
        <v>548</v>
      </c>
      <c r="B328" s="806"/>
      <c r="C328" s="806" t="s">
        <v>1040</v>
      </c>
      <c r="D328" s="625">
        <v>148.76072487853753</v>
      </c>
      <c r="E328" s="593">
        <v>138.29626507844367</v>
      </c>
      <c r="F328" s="594">
        <v>0</v>
      </c>
      <c r="G328" s="595">
        <v>0</v>
      </c>
      <c r="H328" s="566">
        <v>287.05698995698117</v>
      </c>
      <c r="I328" s="596">
        <v>0</v>
      </c>
      <c r="J328" s="595">
        <v>0</v>
      </c>
      <c r="K328" s="626">
        <v>346.69486875690808</v>
      </c>
      <c r="L328" s="595">
        <v>0</v>
      </c>
      <c r="M328" s="1057">
        <f t="shared" si="51"/>
        <v>346.69486875690808</v>
      </c>
      <c r="N328" s="1058">
        <f t="shared" si="52"/>
        <v>0</v>
      </c>
      <c r="O328" s="597">
        <v>0</v>
      </c>
      <c r="P328" s="595">
        <v>0</v>
      </c>
      <c r="Q328" s="571">
        <v>633.75185871388931</v>
      </c>
      <c r="R328" s="1075">
        <f t="shared" si="54"/>
        <v>633.75185871388931</v>
      </c>
      <c r="S328" s="1075">
        <f t="shared" si="50"/>
        <v>0</v>
      </c>
    </row>
    <row r="329" spans="1:19" ht="16.5" hidden="1" thickBot="1" x14ac:dyDescent="0.3">
      <c r="A329" s="724" t="s">
        <v>940</v>
      </c>
      <c r="B329" s="724" t="s">
        <v>429</v>
      </c>
      <c r="C329" s="724" t="s">
        <v>1040</v>
      </c>
      <c r="D329" s="625">
        <v>87.214433957013028</v>
      </c>
      <c r="E329" s="593">
        <v>149.74673780802965</v>
      </c>
      <c r="F329" s="594">
        <v>0</v>
      </c>
      <c r="G329" s="595">
        <v>0</v>
      </c>
      <c r="H329" s="566">
        <v>236.96117176504268</v>
      </c>
      <c r="I329" s="596">
        <v>0</v>
      </c>
      <c r="J329" s="595">
        <v>0</v>
      </c>
      <c r="K329" s="626">
        <v>252.06943439435747</v>
      </c>
      <c r="L329" s="595">
        <v>0</v>
      </c>
      <c r="M329" s="1057">
        <f t="shared" si="51"/>
        <v>252.06943439435747</v>
      </c>
      <c r="N329" s="1058">
        <f t="shared" si="52"/>
        <v>0</v>
      </c>
      <c r="O329" s="597">
        <v>0</v>
      </c>
      <c r="P329" s="595">
        <v>0</v>
      </c>
      <c r="Q329" s="571">
        <v>489.03060615940012</v>
      </c>
      <c r="R329" s="1075">
        <f t="shared" si="54"/>
        <v>489.03060615940012</v>
      </c>
      <c r="S329" s="1075">
        <f t="shared" si="50"/>
        <v>0</v>
      </c>
    </row>
    <row r="330" spans="1:19" ht="16.5" hidden="1" thickBot="1" x14ac:dyDescent="0.3">
      <c r="A330" s="724" t="s">
        <v>549</v>
      </c>
      <c r="B330" s="724"/>
      <c r="C330" s="724" t="s">
        <v>1040</v>
      </c>
      <c r="D330" s="625">
        <v>142.60609578638508</v>
      </c>
      <c r="E330" s="593">
        <v>141.27020730126671</v>
      </c>
      <c r="F330" s="594">
        <v>0</v>
      </c>
      <c r="G330" s="595">
        <v>0</v>
      </c>
      <c r="H330" s="566">
        <v>283.87630308765176</v>
      </c>
      <c r="I330" s="596">
        <v>0</v>
      </c>
      <c r="J330" s="595">
        <v>0</v>
      </c>
      <c r="K330" s="626">
        <v>201.97361620241892</v>
      </c>
      <c r="L330" s="595">
        <v>0</v>
      </c>
      <c r="M330" s="1057">
        <f t="shared" si="51"/>
        <v>201.97361620241892</v>
      </c>
      <c r="N330" s="1058">
        <f t="shared" si="52"/>
        <v>0</v>
      </c>
      <c r="O330" s="597">
        <v>0</v>
      </c>
      <c r="P330" s="595">
        <v>0</v>
      </c>
      <c r="Q330" s="571">
        <v>485.84991929007072</v>
      </c>
      <c r="R330" s="1075">
        <f t="shared" si="54"/>
        <v>485.84991929007072</v>
      </c>
      <c r="S330" s="1075">
        <f t="shared" si="50"/>
        <v>0</v>
      </c>
    </row>
    <row r="331" spans="1:19" ht="16.5" hidden="1" thickBot="1" x14ac:dyDescent="0.3">
      <c r="A331" s="724" t="s">
        <v>722</v>
      </c>
      <c r="B331" s="724"/>
      <c r="C331" s="724" t="s">
        <v>1040</v>
      </c>
      <c r="D331" s="625">
        <v>190.84121215976592</v>
      </c>
      <c r="E331" s="593">
        <v>284.67147480498414</v>
      </c>
      <c r="F331" s="594">
        <v>0</v>
      </c>
      <c r="G331" s="595">
        <v>0</v>
      </c>
      <c r="H331" s="566">
        <v>475.51268696475006</v>
      </c>
      <c r="I331" s="596">
        <v>0</v>
      </c>
      <c r="J331" s="595">
        <v>0</v>
      </c>
      <c r="K331" s="626">
        <v>196.40741418109241</v>
      </c>
      <c r="L331" s="595">
        <v>0</v>
      </c>
      <c r="M331" s="1057">
        <f t="shared" si="51"/>
        <v>196.40741418109241</v>
      </c>
      <c r="N331" s="1058">
        <f t="shared" si="52"/>
        <v>0</v>
      </c>
      <c r="O331" s="597">
        <v>0</v>
      </c>
      <c r="P331" s="595">
        <v>0</v>
      </c>
      <c r="Q331" s="571">
        <v>671.92010114584241</v>
      </c>
      <c r="R331" s="1075">
        <f t="shared" si="54"/>
        <v>671.92010114584241</v>
      </c>
      <c r="S331" s="1075">
        <f t="shared" si="50"/>
        <v>0</v>
      </c>
    </row>
    <row r="332" spans="1:19" ht="16.5" hidden="1" thickBot="1" x14ac:dyDescent="0.3">
      <c r="A332" s="724" t="s">
        <v>723</v>
      </c>
      <c r="B332" s="724"/>
      <c r="C332" s="724" t="s">
        <v>1040</v>
      </c>
      <c r="D332" s="625">
        <v>489.8257778767325</v>
      </c>
      <c r="E332" s="593">
        <v>0</v>
      </c>
      <c r="F332" s="594">
        <v>0</v>
      </c>
      <c r="G332" s="595">
        <v>0</v>
      </c>
      <c r="H332" s="566">
        <v>489.8257778767325</v>
      </c>
      <c r="I332" s="596">
        <v>0</v>
      </c>
      <c r="J332" s="595">
        <v>0</v>
      </c>
      <c r="K332" s="626">
        <v>305.34593945562546</v>
      </c>
      <c r="L332" s="595">
        <v>0</v>
      </c>
      <c r="M332" s="1057">
        <f t="shared" si="51"/>
        <v>305.34593945562546</v>
      </c>
      <c r="N332" s="1058">
        <f t="shared" si="52"/>
        <v>0</v>
      </c>
      <c r="O332" s="597">
        <v>0</v>
      </c>
      <c r="P332" s="595">
        <v>0</v>
      </c>
      <c r="Q332" s="571">
        <v>795.17171733235796</v>
      </c>
      <c r="R332" s="1075">
        <f t="shared" si="54"/>
        <v>795.17171733235796</v>
      </c>
      <c r="S332" s="1075">
        <f t="shared" si="50"/>
        <v>0</v>
      </c>
    </row>
    <row r="333" spans="1:19" ht="16.5" hidden="1" thickBot="1" x14ac:dyDescent="0.3">
      <c r="A333" s="743" t="s">
        <v>552</v>
      </c>
      <c r="B333" s="807"/>
      <c r="C333" s="807" t="s">
        <v>1040</v>
      </c>
      <c r="D333" s="625">
        <v>167.65400488235434</v>
      </c>
      <c r="E333" s="593">
        <v>82.825086077338398</v>
      </c>
      <c r="F333" s="594">
        <v>0</v>
      </c>
      <c r="G333" s="595">
        <v>0</v>
      </c>
      <c r="H333" s="566">
        <v>250.47909095969274</v>
      </c>
      <c r="I333" s="596">
        <v>0</v>
      </c>
      <c r="J333" s="595">
        <v>0</v>
      </c>
      <c r="K333" s="626">
        <v>199.58810105042184</v>
      </c>
      <c r="L333" s="595">
        <v>0</v>
      </c>
      <c r="M333" s="1057">
        <f t="shared" si="51"/>
        <v>199.58810105042184</v>
      </c>
      <c r="N333" s="1058">
        <f t="shared" si="52"/>
        <v>0</v>
      </c>
      <c r="O333" s="597">
        <v>0</v>
      </c>
      <c r="P333" s="595">
        <v>0</v>
      </c>
      <c r="Q333" s="571">
        <v>450.06719201011458</v>
      </c>
      <c r="R333" s="1075">
        <f t="shared" si="54"/>
        <v>450.06719201011458</v>
      </c>
      <c r="S333" s="1075">
        <f t="shared" si="50"/>
        <v>0</v>
      </c>
    </row>
    <row r="334" spans="1:19" ht="16.5" hidden="1" thickBot="1" x14ac:dyDescent="0.3">
      <c r="A334" s="623" t="s">
        <v>78</v>
      </c>
      <c r="B334" s="802" t="s">
        <v>429</v>
      </c>
      <c r="C334" s="802" t="s">
        <v>1044</v>
      </c>
      <c r="D334" s="686">
        <v>31.837533221773793</v>
      </c>
      <c r="E334" s="593">
        <v>0</v>
      </c>
      <c r="F334" s="594">
        <v>0</v>
      </c>
      <c r="G334" s="595">
        <v>0</v>
      </c>
      <c r="H334" s="566">
        <v>31.837533221773793</v>
      </c>
      <c r="I334" s="596">
        <v>0</v>
      </c>
      <c r="J334" s="595">
        <v>0</v>
      </c>
      <c r="K334" s="626">
        <v>20.917413131213703</v>
      </c>
      <c r="L334" s="595">
        <v>0</v>
      </c>
      <c r="M334" s="1057">
        <f t="shared" si="51"/>
        <v>20.917413131213703</v>
      </c>
      <c r="N334" s="1058">
        <f t="shared" si="52"/>
        <v>0</v>
      </c>
      <c r="O334" s="597">
        <v>24.147307805886406</v>
      </c>
      <c r="P334" s="595">
        <v>0</v>
      </c>
      <c r="Q334" s="571">
        <v>76.902254158873902</v>
      </c>
      <c r="R334" s="1075">
        <f t="shared" si="54"/>
        <v>76.902254158873902</v>
      </c>
      <c r="S334" s="1075">
        <f t="shared" si="50"/>
        <v>0</v>
      </c>
    </row>
    <row r="335" spans="1:19" ht="16.5" hidden="1" thickBot="1" x14ac:dyDescent="0.3">
      <c r="A335" s="685" t="s">
        <v>79</v>
      </c>
      <c r="B335" s="802"/>
      <c r="C335" s="802" t="s">
        <v>1044</v>
      </c>
      <c r="D335" s="686">
        <v>29.530465597007581</v>
      </c>
      <c r="E335" s="593">
        <v>0</v>
      </c>
      <c r="F335" s="594">
        <v>0</v>
      </c>
      <c r="G335" s="595">
        <v>0</v>
      </c>
      <c r="H335" s="566">
        <v>29.530465597007581</v>
      </c>
      <c r="I335" s="596">
        <v>0</v>
      </c>
      <c r="J335" s="595">
        <v>0</v>
      </c>
      <c r="K335" s="626">
        <v>26.146766414017129</v>
      </c>
      <c r="L335" s="595">
        <v>0</v>
      </c>
      <c r="M335" s="1057">
        <f t="shared" si="51"/>
        <v>26.146766414017129</v>
      </c>
      <c r="N335" s="1058">
        <f t="shared" si="52"/>
        <v>0</v>
      </c>
      <c r="O335" s="597">
        <v>0</v>
      </c>
      <c r="P335" s="595">
        <v>0</v>
      </c>
      <c r="Q335" s="571">
        <v>55.677232011024714</v>
      </c>
      <c r="R335" s="1075">
        <f t="shared" si="54"/>
        <v>55.677232011024714</v>
      </c>
      <c r="S335" s="1075">
        <f t="shared" si="50"/>
        <v>0</v>
      </c>
    </row>
    <row r="336" spans="1:19" ht="16.5" hidden="1" thickBot="1" x14ac:dyDescent="0.3">
      <c r="A336" s="685" t="s">
        <v>80</v>
      </c>
      <c r="B336" s="802"/>
      <c r="C336" s="802" t="s">
        <v>1044</v>
      </c>
      <c r="D336" s="686">
        <v>40.142976670932178</v>
      </c>
      <c r="E336" s="593">
        <v>0</v>
      </c>
      <c r="F336" s="594">
        <v>21.378826656166947</v>
      </c>
      <c r="G336" s="595">
        <v>0</v>
      </c>
      <c r="H336" s="566">
        <v>61.521803327099121</v>
      </c>
      <c r="I336" s="596">
        <v>0</v>
      </c>
      <c r="J336" s="595">
        <v>0</v>
      </c>
      <c r="K336" s="626">
        <v>13.842405748597303</v>
      </c>
      <c r="L336" s="595">
        <v>0</v>
      </c>
      <c r="M336" s="1057">
        <f t="shared" si="51"/>
        <v>13.842405748597303</v>
      </c>
      <c r="N336" s="1058">
        <f t="shared" si="52"/>
        <v>0</v>
      </c>
      <c r="O336" s="597">
        <v>0</v>
      </c>
      <c r="P336" s="595">
        <v>0</v>
      </c>
      <c r="Q336" s="571">
        <v>75.364209075696422</v>
      </c>
      <c r="R336" s="1075">
        <f t="shared" si="54"/>
        <v>75.364209075696422</v>
      </c>
      <c r="S336" s="1075">
        <f t="shared" si="50"/>
        <v>0</v>
      </c>
    </row>
    <row r="337" spans="1:19" ht="16.5" hidden="1" thickBot="1" x14ac:dyDescent="0.3">
      <c r="A337" s="624" t="s">
        <v>81</v>
      </c>
      <c r="B337" s="802"/>
      <c r="C337" s="802" t="s">
        <v>1044</v>
      </c>
      <c r="D337" s="686">
        <v>41.065803720838666</v>
      </c>
      <c r="E337" s="593">
        <v>0</v>
      </c>
      <c r="F337" s="594">
        <v>0</v>
      </c>
      <c r="G337" s="595">
        <v>0</v>
      </c>
      <c r="H337" s="566">
        <v>41.065803720838666</v>
      </c>
      <c r="I337" s="596">
        <v>0</v>
      </c>
      <c r="J337" s="595">
        <v>0</v>
      </c>
      <c r="K337" s="626">
        <v>13.842405748597303</v>
      </c>
      <c r="L337" s="595">
        <v>0</v>
      </c>
      <c r="M337" s="1057">
        <f t="shared" si="51"/>
        <v>13.842405748597303</v>
      </c>
      <c r="N337" s="1058">
        <f t="shared" si="52"/>
        <v>0</v>
      </c>
      <c r="O337" s="597">
        <v>0</v>
      </c>
      <c r="P337" s="595">
        <v>0</v>
      </c>
      <c r="Q337" s="571">
        <v>54.908209469435967</v>
      </c>
      <c r="R337" s="1075">
        <f t="shared" si="54"/>
        <v>54.908209469435967</v>
      </c>
      <c r="S337" s="1075">
        <f t="shared" si="50"/>
        <v>0</v>
      </c>
    </row>
    <row r="338" spans="1:19" ht="16.5" hidden="1" thickBot="1" x14ac:dyDescent="0.3">
      <c r="A338" s="684" t="s">
        <v>468</v>
      </c>
      <c r="B338" s="802"/>
      <c r="C338" s="802" t="s">
        <v>1044</v>
      </c>
      <c r="D338" s="686">
        <v>30.453292646914065</v>
      </c>
      <c r="E338" s="593">
        <v>0</v>
      </c>
      <c r="F338" s="594">
        <v>0</v>
      </c>
      <c r="G338" s="595">
        <v>0</v>
      </c>
      <c r="H338" s="566">
        <v>30.453292646914065</v>
      </c>
      <c r="I338" s="596">
        <v>0</v>
      </c>
      <c r="J338" s="595">
        <v>0</v>
      </c>
      <c r="K338" s="626">
        <v>13.842405748597303</v>
      </c>
      <c r="L338" s="595">
        <v>0</v>
      </c>
      <c r="M338" s="1057">
        <f t="shared" si="51"/>
        <v>13.842405748597303</v>
      </c>
      <c r="N338" s="1058">
        <f t="shared" si="52"/>
        <v>0</v>
      </c>
      <c r="O338" s="597">
        <v>0</v>
      </c>
      <c r="P338" s="595">
        <v>0</v>
      </c>
      <c r="Q338" s="571">
        <v>44.295698395511366</v>
      </c>
      <c r="R338" s="1075">
        <f t="shared" si="54"/>
        <v>44.295698395511366</v>
      </c>
      <c r="S338" s="1075">
        <f t="shared" si="50"/>
        <v>0</v>
      </c>
    </row>
    <row r="339" spans="1:19" ht="16.5" hidden="1" thickBot="1" x14ac:dyDescent="0.3">
      <c r="A339" s="685" t="s">
        <v>84</v>
      </c>
      <c r="B339" s="802" t="s">
        <v>429</v>
      </c>
      <c r="C339" s="812" t="s">
        <v>1046</v>
      </c>
      <c r="D339" s="625">
        <v>0</v>
      </c>
      <c r="E339" s="593">
        <v>33.546712337709714</v>
      </c>
      <c r="F339" s="594">
        <v>0</v>
      </c>
      <c r="G339" s="595">
        <v>0</v>
      </c>
      <c r="H339" s="566">
        <v>33.546712337709714</v>
      </c>
      <c r="I339" s="596">
        <v>0</v>
      </c>
      <c r="J339" s="595">
        <v>0</v>
      </c>
      <c r="K339" s="626">
        <v>37.376526261489765</v>
      </c>
      <c r="L339" s="595">
        <v>0</v>
      </c>
      <c r="M339" s="1057">
        <f t="shared" si="51"/>
        <v>37.376526261489765</v>
      </c>
      <c r="N339" s="1058">
        <f t="shared" si="52"/>
        <v>0</v>
      </c>
      <c r="O339" s="597">
        <v>0</v>
      </c>
      <c r="P339" s="595">
        <v>0</v>
      </c>
      <c r="Q339" s="571">
        <v>70.923238599199479</v>
      </c>
      <c r="R339" s="1075">
        <f t="shared" si="54"/>
        <v>70.923238599199479</v>
      </c>
      <c r="S339" s="1075">
        <f t="shared" si="50"/>
        <v>0</v>
      </c>
    </row>
    <row r="340" spans="1:19" ht="16.5" hidden="1" thickBot="1" x14ac:dyDescent="0.3">
      <c r="A340" s="623" t="s">
        <v>82</v>
      </c>
      <c r="B340" s="802" t="s">
        <v>429</v>
      </c>
      <c r="C340" s="802" t="s">
        <v>1048</v>
      </c>
      <c r="D340" s="625">
        <v>27.510121600805885</v>
      </c>
      <c r="E340" s="593">
        <v>23.869076094816872</v>
      </c>
      <c r="F340" s="594">
        <v>1.6890405541671261</v>
      </c>
      <c r="G340" s="595">
        <v>0</v>
      </c>
      <c r="H340" s="566">
        <v>53.068238249789886</v>
      </c>
      <c r="I340" s="596">
        <v>0</v>
      </c>
      <c r="J340" s="595">
        <v>0</v>
      </c>
      <c r="K340" s="626">
        <v>16.89040554167126</v>
      </c>
      <c r="L340" s="595">
        <v>0</v>
      </c>
      <c r="M340" s="1057">
        <f t="shared" si="51"/>
        <v>16.89040554167126</v>
      </c>
      <c r="N340" s="1058">
        <f t="shared" si="52"/>
        <v>0</v>
      </c>
      <c r="O340" s="597">
        <v>0</v>
      </c>
      <c r="P340" s="595">
        <v>2.5689598847811381</v>
      </c>
      <c r="Q340" s="571">
        <v>72.527603676242279</v>
      </c>
      <c r="R340" s="1075">
        <f t="shared" si="54"/>
        <v>72.527603676242279</v>
      </c>
      <c r="S340" s="1075">
        <f t="shared" si="50"/>
        <v>0</v>
      </c>
    </row>
    <row r="341" spans="1:19" ht="16.5" hidden="1" thickBot="1" x14ac:dyDescent="0.3">
      <c r="A341" s="624" t="s">
        <v>83</v>
      </c>
      <c r="B341" s="802"/>
      <c r="C341" s="802" t="s">
        <v>1048</v>
      </c>
      <c r="D341" s="625">
        <v>14.442813840423089</v>
      </c>
      <c r="E341" s="593">
        <v>36.986953931671735</v>
      </c>
      <c r="F341" s="594">
        <v>1.6890405541671261</v>
      </c>
      <c r="G341" s="595">
        <v>0</v>
      </c>
      <c r="H341" s="566">
        <v>53.118808326261949</v>
      </c>
      <c r="I341" s="596">
        <v>0</v>
      </c>
      <c r="J341" s="595">
        <v>0</v>
      </c>
      <c r="K341" s="626">
        <v>16.89040554167126</v>
      </c>
      <c r="L341" s="595">
        <v>0</v>
      </c>
      <c r="M341" s="1057">
        <f t="shared" si="51"/>
        <v>16.89040554167126</v>
      </c>
      <c r="N341" s="1058">
        <f t="shared" si="52"/>
        <v>0</v>
      </c>
      <c r="O341" s="597">
        <v>0</v>
      </c>
      <c r="P341" s="595">
        <v>2.5689598847811381</v>
      </c>
      <c r="Q341" s="571">
        <v>72.578173752714349</v>
      </c>
      <c r="R341" s="1075">
        <f t="shared" si="54"/>
        <v>72.578173752714349</v>
      </c>
      <c r="S341" s="1075">
        <f t="shared" si="50"/>
        <v>0</v>
      </c>
    </row>
    <row r="342" spans="1:19" ht="16.5" hidden="1" thickBot="1" x14ac:dyDescent="0.3">
      <c r="A342" s="638" t="s">
        <v>85</v>
      </c>
      <c r="B342" s="693"/>
      <c r="C342" s="806" t="s">
        <v>1050</v>
      </c>
      <c r="D342" s="625">
        <v>79.230741527712752</v>
      </c>
      <c r="E342" s="593">
        <v>112.84378338795452</v>
      </c>
      <c r="F342" s="594">
        <v>0</v>
      </c>
      <c r="G342" s="595">
        <v>9.6037262457833634</v>
      </c>
      <c r="H342" s="566">
        <v>201.67825116145065</v>
      </c>
      <c r="I342" s="596">
        <v>60.023289036146025</v>
      </c>
      <c r="J342" s="595">
        <v>0</v>
      </c>
      <c r="K342" s="626">
        <v>107.56173395277366</v>
      </c>
      <c r="L342" s="595">
        <v>0</v>
      </c>
      <c r="M342" s="1057">
        <f t="shared" si="51"/>
        <v>167.58502298891969</v>
      </c>
      <c r="N342" s="1058">
        <f t="shared" si="52"/>
        <v>0</v>
      </c>
      <c r="O342" s="597">
        <v>30.731923986506764</v>
      </c>
      <c r="P342" s="595">
        <v>0</v>
      </c>
      <c r="Q342" s="571">
        <v>399.99519813687709</v>
      </c>
      <c r="R342" s="1075">
        <f t="shared" si="54"/>
        <v>399.99519813687709</v>
      </c>
      <c r="S342" s="1075">
        <f t="shared" si="50"/>
        <v>0</v>
      </c>
    </row>
    <row r="343" spans="1:19" ht="16.5" hidden="1" thickBot="1" x14ac:dyDescent="0.3">
      <c r="A343" s="639" t="s">
        <v>878</v>
      </c>
      <c r="B343" s="639" t="s">
        <v>429</v>
      </c>
      <c r="C343" s="724" t="s">
        <v>1050</v>
      </c>
      <c r="D343" s="625">
        <v>50.419562790362662</v>
      </c>
      <c r="E343" s="593">
        <v>115.24471494940036</v>
      </c>
      <c r="F343" s="594">
        <v>0</v>
      </c>
      <c r="G343" s="595">
        <v>8.2832138869881522</v>
      </c>
      <c r="H343" s="566">
        <v>173.94749162675117</v>
      </c>
      <c r="I343" s="596">
        <v>66.025617939760622</v>
      </c>
      <c r="J343" s="595">
        <v>0</v>
      </c>
      <c r="K343" s="626">
        <v>131.4510029891598</v>
      </c>
      <c r="L343" s="595">
        <v>0</v>
      </c>
      <c r="M343" s="1057">
        <f t="shared" si="51"/>
        <v>197.47662092892043</v>
      </c>
      <c r="N343" s="1058">
        <f t="shared" si="52"/>
        <v>0</v>
      </c>
      <c r="O343" s="597">
        <v>0</v>
      </c>
      <c r="P343" s="595">
        <v>0</v>
      </c>
      <c r="Q343" s="571">
        <v>371.42411255567163</v>
      </c>
      <c r="R343" s="1075">
        <f t="shared" si="54"/>
        <v>371.42411255567163</v>
      </c>
      <c r="S343" s="1075">
        <f t="shared" ref="S343:S391" si="55">Q343-R343</f>
        <v>0</v>
      </c>
    </row>
    <row r="344" spans="1:19" ht="16.5" hidden="1" thickBot="1" x14ac:dyDescent="0.3">
      <c r="A344" s="639" t="s">
        <v>879</v>
      </c>
      <c r="B344" s="639"/>
      <c r="C344" s="724" t="s">
        <v>1050</v>
      </c>
      <c r="D344" s="625">
        <v>79.230741527712752</v>
      </c>
      <c r="E344" s="593">
        <v>108.04192026506284</v>
      </c>
      <c r="F344" s="594">
        <v>0</v>
      </c>
      <c r="G344" s="595">
        <v>9.36363308963878</v>
      </c>
      <c r="H344" s="566">
        <v>196.63629488241435</v>
      </c>
      <c r="I344" s="596">
        <v>76.829809966266907</v>
      </c>
      <c r="J344" s="595">
        <v>0</v>
      </c>
      <c r="K344" s="626">
        <v>188.53315086253468</v>
      </c>
      <c r="L344" s="595">
        <v>0</v>
      </c>
      <c r="M344" s="1057">
        <f t="shared" si="51"/>
        <v>265.36296082880159</v>
      </c>
      <c r="N344" s="1058">
        <f t="shared" si="52"/>
        <v>0</v>
      </c>
      <c r="O344" s="597">
        <v>43.216768106025135</v>
      </c>
      <c r="P344" s="595">
        <v>0</v>
      </c>
      <c r="Q344" s="571">
        <v>505.21602381724108</v>
      </c>
      <c r="R344" s="1075">
        <f t="shared" si="54"/>
        <v>505.21602381724108</v>
      </c>
      <c r="S344" s="1075">
        <f t="shared" si="55"/>
        <v>0</v>
      </c>
    </row>
    <row r="345" spans="1:19" ht="16.5" hidden="1" thickBot="1" x14ac:dyDescent="0.3">
      <c r="A345" s="640" t="s">
        <v>86</v>
      </c>
      <c r="B345" s="652"/>
      <c r="C345" s="807" t="s">
        <v>1050</v>
      </c>
      <c r="D345" s="625">
        <v>57.622357474700181</v>
      </c>
      <c r="E345" s="593">
        <v>101.55940504915907</v>
      </c>
      <c r="F345" s="594">
        <v>0</v>
      </c>
      <c r="G345" s="595">
        <v>7.9590881261929622</v>
      </c>
      <c r="H345" s="566">
        <v>167.14085065005222</v>
      </c>
      <c r="I345" s="596">
        <v>51.283898152483161</v>
      </c>
      <c r="J345" s="595">
        <v>0</v>
      </c>
      <c r="K345" s="626">
        <v>189.07336046385998</v>
      </c>
      <c r="L345" s="595">
        <v>0</v>
      </c>
      <c r="M345" s="1057">
        <f t="shared" si="51"/>
        <v>240.35725861634313</v>
      </c>
      <c r="N345" s="1058">
        <f t="shared" si="52"/>
        <v>0</v>
      </c>
      <c r="O345" s="597">
        <v>42.016302325302213</v>
      </c>
      <c r="P345" s="595">
        <v>0</v>
      </c>
      <c r="Q345" s="571">
        <v>449.51441159169752</v>
      </c>
      <c r="R345" s="1075">
        <f t="shared" si="54"/>
        <v>449.51441159169752</v>
      </c>
      <c r="S345" s="1075">
        <f t="shared" si="55"/>
        <v>0</v>
      </c>
    </row>
    <row r="346" spans="1:19" ht="16.5" hidden="1" thickBot="1" x14ac:dyDescent="0.3">
      <c r="A346" s="693" t="s">
        <v>911</v>
      </c>
      <c r="B346" s="693" t="s">
        <v>429</v>
      </c>
      <c r="C346" s="806" t="s">
        <v>1052</v>
      </c>
      <c r="D346" s="625">
        <v>0</v>
      </c>
      <c r="E346" s="593">
        <v>189.74895043496079</v>
      </c>
      <c r="F346" s="594">
        <v>0</v>
      </c>
      <c r="G346" s="595">
        <v>28.483493674408283</v>
      </c>
      <c r="H346" s="566">
        <v>218.23244410936908</v>
      </c>
      <c r="I346" s="596">
        <v>0</v>
      </c>
      <c r="J346" s="595">
        <v>0</v>
      </c>
      <c r="K346" s="626">
        <v>159.38535816818234</v>
      </c>
      <c r="L346" s="595">
        <v>23.877252123101332</v>
      </c>
      <c r="M346" s="1057">
        <f t="shared" si="51"/>
        <v>159.38535816818234</v>
      </c>
      <c r="N346" s="1058">
        <f t="shared" si="52"/>
        <v>23.877252123101332</v>
      </c>
      <c r="O346" s="597">
        <v>0</v>
      </c>
      <c r="P346" s="595">
        <v>0</v>
      </c>
      <c r="Q346" s="571">
        <v>401.49505440065275</v>
      </c>
      <c r="R346" s="1075">
        <f t="shared" si="54"/>
        <v>401.49505440065275</v>
      </c>
      <c r="S346" s="1075">
        <f t="shared" si="55"/>
        <v>0</v>
      </c>
    </row>
    <row r="347" spans="1:19" ht="16.5" hidden="1" thickBot="1" x14ac:dyDescent="0.3">
      <c r="A347" s="639" t="s">
        <v>912</v>
      </c>
      <c r="B347" s="639"/>
      <c r="C347" s="724" t="s">
        <v>1052</v>
      </c>
      <c r="D347" s="625">
        <v>0</v>
      </c>
      <c r="E347" s="593">
        <v>151.53594654503681</v>
      </c>
      <c r="F347" s="594">
        <v>0</v>
      </c>
      <c r="G347" s="595">
        <v>22.749192967679225</v>
      </c>
      <c r="H347" s="566">
        <v>174.28513951271603</v>
      </c>
      <c r="I347" s="596">
        <v>0</v>
      </c>
      <c r="J347" s="595">
        <v>0</v>
      </c>
      <c r="K347" s="626">
        <v>158.02228668871393</v>
      </c>
      <c r="L347" s="595">
        <v>23.689242263864315</v>
      </c>
      <c r="M347" s="1057">
        <f t="shared" si="51"/>
        <v>158.02228668871393</v>
      </c>
      <c r="N347" s="1058">
        <f t="shared" si="52"/>
        <v>23.689242263864315</v>
      </c>
      <c r="O347" s="597">
        <v>0</v>
      </c>
      <c r="P347" s="595">
        <v>0</v>
      </c>
      <c r="Q347" s="571">
        <v>355.99666846529431</v>
      </c>
      <c r="R347" s="1075">
        <f t="shared" si="54"/>
        <v>355.99666846529431</v>
      </c>
      <c r="S347" s="1075">
        <f t="shared" si="55"/>
        <v>0</v>
      </c>
    </row>
    <row r="348" spans="1:19" ht="16.5" hidden="1" thickBot="1" x14ac:dyDescent="0.3">
      <c r="A348" s="639" t="s">
        <v>913</v>
      </c>
      <c r="B348" s="639"/>
      <c r="C348" s="724" t="s">
        <v>1052</v>
      </c>
      <c r="D348" s="625">
        <v>0</v>
      </c>
      <c r="E348" s="593">
        <v>152.52299830603116</v>
      </c>
      <c r="F348" s="594">
        <v>0</v>
      </c>
      <c r="G348" s="595">
        <v>22.890200362106988</v>
      </c>
      <c r="H348" s="566">
        <v>175.41319866813814</v>
      </c>
      <c r="I348" s="596">
        <v>0</v>
      </c>
      <c r="J348" s="595">
        <v>0</v>
      </c>
      <c r="K348" s="626">
        <v>160.60742225322295</v>
      </c>
      <c r="L348" s="595">
        <v>24.112264447147606</v>
      </c>
      <c r="M348" s="1057">
        <f t="shared" si="51"/>
        <v>160.60742225322295</v>
      </c>
      <c r="N348" s="1058">
        <f t="shared" si="52"/>
        <v>24.112264447147606</v>
      </c>
      <c r="O348" s="597">
        <v>0</v>
      </c>
      <c r="P348" s="595">
        <v>0</v>
      </c>
      <c r="Q348" s="571">
        <v>360.13288536850871</v>
      </c>
      <c r="R348" s="1075">
        <f t="shared" si="54"/>
        <v>360.13288536850871</v>
      </c>
      <c r="S348" s="1075">
        <f t="shared" si="55"/>
        <v>0</v>
      </c>
    </row>
    <row r="349" spans="1:19" ht="16.5" hidden="1" thickBot="1" x14ac:dyDescent="0.3">
      <c r="A349" s="639" t="s">
        <v>914</v>
      </c>
      <c r="B349" s="639"/>
      <c r="C349" s="724" t="s">
        <v>1052</v>
      </c>
      <c r="D349" s="625">
        <v>0</v>
      </c>
      <c r="E349" s="593">
        <v>211.79310643050121</v>
      </c>
      <c r="F349" s="594">
        <v>0</v>
      </c>
      <c r="G349" s="595">
        <v>31.773666211056106</v>
      </c>
      <c r="H349" s="566">
        <v>243.56677264155732</v>
      </c>
      <c r="I349" s="596">
        <v>0</v>
      </c>
      <c r="J349" s="595">
        <v>0</v>
      </c>
      <c r="K349" s="626">
        <v>140.2553549908157</v>
      </c>
      <c r="L349" s="595">
        <v>21.057104234546056</v>
      </c>
      <c r="M349" s="1057">
        <f t="shared" si="51"/>
        <v>140.2553549908157</v>
      </c>
      <c r="N349" s="1058">
        <f t="shared" si="52"/>
        <v>21.057104234546056</v>
      </c>
      <c r="O349" s="597">
        <v>0</v>
      </c>
      <c r="P349" s="595">
        <v>0</v>
      </c>
      <c r="Q349" s="571">
        <v>404.8792318669191</v>
      </c>
      <c r="R349" s="1075">
        <f t="shared" si="54"/>
        <v>404.8792318669191</v>
      </c>
      <c r="S349" s="1075">
        <f t="shared" si="55"/>
        <v>0</v>
      </c>
    </row>
    <row r="350" spans="1:19" ht="16.5" hidden="1" thickBot="1" x14ac:dyDescent="0.3">
      <c r="A350" s="652" t="s">
        <v>915</v>
      </c>
      <c r="B350" s="652"/>
      <c r="C350" s="807" t="s">
        <v>1052</v>
      </c>
      <c r="D350" s="625">
        <v>0</v>
      </c>
      <c r="E350" s="593">
        <v>204.27271206102046</v>
      </c>
      <c r="F350" s="594">
        <v>0</v>
      </c>
      <c r="G350" s="595">
        <v>30.645607055633995</v>
      </c>
      <c r="H350" s="566">
        <v>234.91831911665446</v>
      </c>
      <c r="I350" s="596">
        <v>0</v>
      </c>
      <c r="J350" s="595">
        <v>0</v>
      </c>
      <c r="K350" s="626">
        <v>197.50435712848781</v>
      </c>
      <c r="L350" s="595">
        <v>29.611552829830394</v>
      </c>
      <c r="M350" s="1057">
        <f t="shared" si="51"/>
        <v>197.50435712848781</v>
      </c>
      <c r="N350" s="1058">
        <f t="shared" si="52"/>
        <v>29.611552829830394</v>
      </c>
      <c r="O350" s="597">
        <v>0</v>
      </c>
      <c r="P350" s="595">
        <v>0</v>
      </c>
      <c r="Q350" s="571">
        <v>462.03422907497264</v>
      </c>
      <c r="R350" s="1075">
        <f t="shared" si="54"/>
        <v>462.03422907497264</v>
      </c>
      <c r="S350" s="1075">
        <f t="shared" si="55"/>
        <v>0</v>
      </c>
    </row>
    <row r="351" spans="1:19" ht="16.5" hidden="1" thickBot="1" x14ac:dyDescent="0.3">
      <c r="A351" s="663" t="s">
        <v>87</v>
      </c>
      <c r="B351" s="1046"/>
      <c r="C351" s="802" t="s">
        <v>1054</v>
      </c>
      <c r="D351" s="625">
        <v>161.19308675089545</v>
      </c>
      <c r="E351" s="593">
        <v>82.240712860306843</v>
      </c>
      <c r="F351" s="594">
        <v>100.74567921930965</v>
      </c>
      <c r="G351" s="595">
        <v>86.044869707627981</v>
      </c>
      <c r="H351" s="566">
        <v>430.22434853813991</v>
      </c>
      <c r="I351" s="596">
        <v>0</v>
      </c>
      <c r="J351" s="595">
        <v>0</v>
      </c>
      <c r="K351" s="626">
        <v>430.7611215170204</v>
      </c>
      <c r="L351" s="595">
        <v>107.68987739653822</v>
      </c>
      <c r="M351" s="1057">
        <f t="shared" si="51"/>
        <v>430.7611215170204</v>
      </c>
      <c r="N351" s="1058">
        <f t="shared" si="52"/>
        <v>107.68987739653822</v>
      </c>
      <c r="O351" s="597">
        <v>12.326435343840974</v>
      </c>
      <c r="P351" s="595">
        <v>3.0820118186771208</v>
      </c>
      <c r="Q351" s="571">
        <v>984.08379461421657</v>
      </c>
      <c r="R351" s="1075">
        <f t="shared" si="54"/>
        <v>984.08379461421657</v>
      </c>
      <c r="S351" s="1075">
        <f t="shared" si="55"/>
        <v>0</v>
      </c>
    </row>
    <row r="352" spans="1:19" ht="16.5" hidden="1" thickBot="1" x14ac:dyDescent="0.3">
      <c r="A352" s="547" t="s">
        <v>213</v>
      </c>
      <c r="B352" s="1046"/>
      <c r="C352" s="802" t="s">
        <v>1054</v>
      </c>
      <c r="D352" s="625">
        <v>88.720674947692842</v>
      </c>
      <c r="E352" s="593">
        <v>136.53054447800844</v>
      </c>
      <c r="F352" s="594">
        <v>100.74567921930965</v>
      </c>
      <c r="G352" s="595">
        <v>81.49922466125274</v>
      </c>
      <c r="H352" s="566">
        <v>407.49612330626366</v>
      </c>
      <c r="I352" s="596">
        <v>0</v>
      </c>
      <c r="J352" s="595">
        <v>0</v>
      </c>
      <c r="K352" s="626">
        <v>440.34405052436114</v>
      </c>
      <c r="L352" s="595">
        <v>110.08681859652404</v>
      </c>
      <c r="M352" s="1057">
        <f t="shared" si="51"/>
        <v>440.34405052436114</v>
      </c>
      <c r="N352" s="1058">
        <f t="shared" si="52"/>
        <v>110.08681859652404</v>
      </c>
      <c r="O352" s="597">
        <v>9.1912298065360574</v>
      </c>
      <c r="P352" s="595">
        <v>2.2970014862002599</v>
      </c>
      <c r="Q352" s="571">
        <v>969.41522371988515</v>
      </c>
      <c r="R352" s="1075">
        <f t="shared" si="54"/>
        <v>969.41522371988515</v>
      </c>
      <c r="S352" s="1075">
        <f t="shared" si="55"/>
        <v>0</v>
      </c>
    </row>
    <row r="353" spans="1:19" ht="16.5" hidden="1" thickBot="1" x14ac:dyDescent="0.3">
      <c r="A353" s="547" t="s">
        <v>88</v>
      </c>
      <c r="B353" s="1046" t="s">
        <v>429</v>
      </c>
      <c r="C353" s="802" t="s">
        <v>1054</v>
      </c>
      <c r="D353" s="625">
        <v>61.898145312343843</v>
      </c>
      <c r="E353" s="593">
        <v>134.33831849819626</v>
      </c>
      <c r="F353" s="594">
        <v>100.74567921930965</v>
      </c>
      <c r="G353" s="595">
        <v>74.245535757462434</v>
      </c>
      <c r="H353" s="566">
        <v>371.22767878731219</v>
      </c>
      <c r="I353" s="596">
        <v>0</v>
      </c>
      <c r="J353" s="595">
        <v>0</v>
      </c>
      <c r="K353" s="626">
        <v>250.56175790732689</v>
      </c>
      <c r="L353" s="595">
        <v>62.639633511397967</v>
      </c>
      <c r="M353" s="1057">
        <f t="shared" si="51"/>
        <v>250.56175790732689</v>
      </c>
      <c r="N353" s="1058">
        <f t="shared" si="52"/>
        <v>62.639633511397967</v>
      </c>
      <c r="O353" s="597">
        <v>11.215814976127303</v>
      </c>
      <c r="P353" s="595">
        <v>2.8047597094655803</v>
      </c>
      <c r="Q353" s="571">
        <v>698.44964489162987</v>
      </c>
      <c r="R353" s="1075">
        <f t="shared" si="54"/>
        <v>698.44964489162987</v>
      </c>
      <c r="S353" s="1075">
        <f t="shared" si="55"/>
        <v>0</v>
      </c>
    </row>
    <row r="354" spans="1:19" ht="16.5" hidden="1" thickBot="1" x14ac:dyDescent="0.3">
      <c r="A354" s="547" t="s">
        <v>89</v>
      </c>
      <c r="B354" s="1046"/>
      <c r="C354" s="802" t="s">
        <v>1054</v>
      </c>
      <c r="D354" s="625">
        <v>106.77430066379313</v>
      </c>
      <c r="E354" s="593">
        <v>78.243124308884646</v>
      </c>
      <c r="F354" s="594">
        <v>100.74567921930965</v>
      </c>
      <c r="G354" s="595">
        <v>71.440776047996849</v>
      </c>
      <c r="H354" s="566">
        <v>357.20388023998424</v>
      </c>
      <c r="I354" s="596">
        <v>0</v>
      </c>
      <c r="J354" s="595">
        <v>0</v>
      </c>
      <c r="K354" s="626">
        <v>465.52563453658598</v>
      </c>
      <c r="L354" s="595">
        <v>116.3814086341465</v>
      </c>
      <c r="M354" s="1057">
        <f t="shared" si="51"/>
        <v>465.52563453658598</v>
      </c>
      <c r="N354" s="1058">
        <f t="shared" si="52"/>
        <v>116.3814086341465</v>
      </c>
      <c r="O354" s="597">
        <v>8.1241315722451297</v>
      </c>
      <c r="P354" s="595">
        <v>2.0310328930612824</v>
      </c>
      <c r="Q354" s="571">
        <v>949.26608787602311</v>
      </c>
      <c r="R354" s="1075">
        <f t="shared" si="54"/>
        <v>949.26608787602311</v>
      </c>
      <c r="S354" s="1075">
        <f t="shared" si="55"/>
        <v>0</v>
      </c>
    </row>
    <row r="355" spans="1:19" ht="16.5" hidden="1" thickBot="1" x14ac:dyDescent="0.3">
      <c r="A355" s="613" t="s">
        <v>90</v>
      </c>
      <c r="B355" s="1046"/>
      <c r="C355" s="807" t="s">
        <v>1054</v>
      </c>
      <c r="D355" s="625">
        <v>77.372681640429803</v>
      </c>
      <c r="E355" s="593">
        <v>153.16567103070085</v>
      </c>
      <c r="F355" s="594">
        <v>100.74567921930965</v>
      </c>
      <c r="G355" s="595">
        <v>82.821007972610062</v>
      </c>
      <c r="H355" s="566">
        <v>414.10503986305037</v>
      </c>
      <c r="I355" s="596">
        <v>0</v>
      </c>
      <c r="J355" s="595">
        <v>0</v>
      </c>
      <c r="K355" s="626">
        <v>592.64572661007719</v>
      </c>
      <c r="L355" s="595">
        <v>148.16223761795305</v>
      </c>
      <c r="M355" s="1057">
        <f t="shared" si="51"/>
        <v>592.64572661007719</v>
      </c>
      <c r="N355" s="1058">
        <f t="shared" si="52"/>
        <v>148.16223761795305</v>
      </c>
      <c r="O355" s="597">
        <v>8.6689642054631566</v>
      </c>
      <c r="P355" s="595">
        <v>2.1664350859320347</v>
      </c>
      <c r="Q355" s="571">
        <v>1165.748403382476</v>
      </c>
      <c r="R355" s="1075">
        <f t="shared" si="54"/>
        <v>1165.748403382476</v>
      </c>
      <c r="S355" s="1075">
        <f t="shared" si="55"/>
        <v>0</v>
      </c>
    </row>
    <row r="356" spans="1:19" ht="16.5" hidden="1" thickBot="1" x14ac:dyDescent="0.3">
      <c r="A356" s="546" t="s">
        <v>91</v>
      </c>
      <c r="B356" s="1046"/>
      <c r="C356" s="802" t="s">
        <v>1056</v>
      </c>
      <c r="D356" s="625">
        <v>47.44240765416982</v>
      </c>
      <c r="E356" s="593">
        <v>135.65263322169002</v>
      </c>
      <c r="F356" s="594">
        <v>0</v>
      </c>
      <c r="G356" s="595">
        <v>43.937047574458887</v>
      </c>
      <c r="H356" s="566">
        <v>227.03208845031872</v>
      </c>
      <c r="I356" s="596">
        <v>166.86474352048594</v>
      </c>
      <c r="J356" s="595">
        <v>40.047538444916626</v>
      </c>
      <c r="K356" s="626">
        <v>0</v>
      </c>
      <c r="L356" s="595">
        <v>0</v>
      </c>
      <c r="M356" s="1057">
        <f t="shared" si="51"/>
        <v>166.86474352048594</v>
      </c>
      <c r="N356" s="1058">
        <f t="shared" si="52"/>
        <v>40.047538444916626</v>
      </c>
      <c r="O356" s="597">
        <v>47.44240765416982</v>
      </c>
      <c r="P356" s="595">
        <v>11.380415601253286</v>
      </c>
      <c r="Q356" s="571">
        <v>492.76719367114441</v>
      </c>
      <c r="R356" s="1075">
        <f t="shared" si="54"/>
        <v>492.76719367114441</v>
      </c>
      <c r="S356" s="1075">
        <f t="shared" si="55"/>
        <v>0</v>
      </c>
    </row>
    <row r="357" spans="1:19" ht="16.5" hidden="1" thickBot="1" x14ac:dyDescent="0.3">
      <c r="A357" s="547" t="s">
        <v>92</v>
      </c>
      <c r="B357" s="1046" t="s">
        <v>429</v>
      </c>
      <c r="C357" s="802" t="s">
        <v>1056</v>
      </c>
      <c r="D357" s="625">
        <v>47.44240765416982</v>
      </c>
      <c r="E357" s="593">
        <v>135.65263322169002</v>
      </c>
      <c r="F357" s="594">
        <v>0</v>
      </c>
      <c r="G357" s="595">
        <v>43.937047574458887</v>
      </c>
      <c r="H357" s="566">
        <v>227.03208845031872</v>
      </c>
      <c r="I357" s="596">
        <v>166.86474352048594</v>
      </c>
      <c r="J357" s="595">
        <v>40.047538444916626</v>
      </c>
      <c r="K357" s="626">
        <v>0</v>
      </c>
      <c r="L357" s="595">
        <v>0</v>
      </c>
      <c r="M357" s="1057">
        <f t="shared" si="51"/>
        <v>166.86474352048594</v>
      </c>
      <c r="N357" s="1058">
        <f t="shared" si="52"/>
        <v>40.047538444916626</v>
      </c>
      <c r="O357" s="597">
        <v>47.44240765416982</v>
      </c>
      <c r="P357" s="595">
        <v>11.380415601253286</v>
      </c>
      <c r="Q357" s="571">
        <v>492.76719367114441</v>
      </c>
      <c r="R357" s="1075">
        <f t="shared" si="54"/>
        <v>492.76719367114441</v>
      </c>
      <c r="S357" s="1075">
        <f t="shared" si="55"/>
        <v>0</v>
      </c>
    </row>
    <row r="358" spans="1:19" ht="16.5" hidden="1" thickBot="1" x14ac:dyDescent="0.3">
      <c r="A358" s="547" t="s">
        <v>93</v>
      </c>
      <c r="B358" s="1046"/>
      <c r="C358" s="802" t="s">
        <v>1056</v>
      </c>
      <c r="D358" s="625">
        <v>50.347534843519284</v>
      </c>
      <c r="E358" s="593">
        <v>147.65729102891922</v>
      </c>
      <c r="F358" s="594">
        <v>0</v>
      </c>
      <c r="G358" s="595">
        <v>47.526440258820422</v>
      </c>
      <c r="H358" s="566">
        <v>245.53126613125895</v>
      </c>
      <c r="I358" s="596">
        <v>192.07452491566727</v>
      </c>
      <c r="J358" s="595">
        <v>46.097885979760143</v>
      </c>
      <c r="K358" s="626">
        <v>0</v>
      </c>
      <c r="L358" s="595">
        <v>0</v>
      </c>
      <c r="M358" s="1057">
        <f t="shared" si="51"/>
        <v>192.07452491566727</v>
      </c>
      <c r="N358" s="1058">
        <f t="shared" si="52"/>
        <v>46.097885979760143</v>
      </c>
      <c r="O358" s="597">
        <v>50.347534843519284</v>
      </c>
      <c r="P358" s="595">
        <v>12.08869041187981</v>
      </c>
      <c r="Q358" s="571">
        <v>546.13990228208547</v>
      </c>
      <c r="R358" s="1075">
        <f t="shared" si="54"/>
        <v>546.13990228208547</v>
      </c>
      <c r="S358" s="1075">
        <f t="shared" si="55"/>
        <v>0</v>
      </c>
    </row>
    <row r="359" spans="1:19" ht="16.5" hidden="1" thickBot="1" x14ac:dyDescent="0.3">
      <c r="A359" s="547" t="s">
        <v>94</v>
      </c>
      <c r="B359" s="1046"/>
      <c r="C359" s="802" t="s">
        <v>1056</v>
      </c>
      <c r="D359" s="625">
        <v>96.817565215303546</v>
      </c>
      <c r="E359" s="593">
        <v>138.05356478313584</v>
      </c>
      <c r="F359" s="594">
        <v>0</v>
      </c>
      <c r="G359" s="595">
        <v>56.373873062748345</v>
      </c>
      <c r="H359" s="566">
        <v>291.24500306118773</v>
      </c>
      <c r="I359" s="596">
        <v>199.2773196000048</v>
      </c>
      <c r="J359" s="595">
        <v>47.826556704001156</v>
      </c>
      <c r="K359" s="626">
        <v>0</v>
      </c>
      <c r="L359" s="595">
        <v>0</v>
      </c>
      <c r="M359" s="1057">
        <f t="shared" si="51"/>
        <v>199.2773196000048</v>
      </c>
      <c r="N359" s="1058">
        <f t="shared" si="52"/>
        <v>47.826556704001156</v>
      </c>
      <c r="O359" s="597">
        <v>0</v>
      </c>
      <c r="P359" s="595">
        <v>0</v>
      </c>
      <c r="Q359" s="571">
        <v>538.34887936519374</v>
      </c>
      <c r="R359" s="1075">
        <f t="shared" si="54"/>
        <v>538.34887936519374</v>
      </c>
      <c r="S359" s="1075">
        <f t="shared" si="55"/>
        <v>0</v>
      </c>
    </row>
    <row r="360" spans="1:19" ht="16.5" hidden="1" thickBot="1" x14ac:dyDescent="0.3">
      <c r="A360" s="547" t="s">
        <v>95</v>
      </c>
      <c r="B360" s="1046"/>
      <c r="C360" s="802" t="s">
        <v>1056</v>
      </c>
      <c r="D360" s="625">
        <v>129.72233226491878</v>
      </c>
      <c r="E360" s="593">
        <v>169.42173563342575</v>
      </c>
      <c r="F360" s="594">
        <v>0</v>
      </c>
      <c r="G360" s="595">
        <v>71.799858345037876</v>
      </c>
      <c r="H360" s="566">
        <v>370.94392624338241</v>
      </c>
      <c r="I360" s="596">
        <v>185.88012148713702</v>
      </c>
      <c r="J360" s="595">
        <v>44.609308411663719</v>
      </c>
      <c r="K360" s="626">
        <v>0</v>
      </c>
      <c r="L360" s="595">
        <v>0</v>
      </c>
      <c r="M360" s="1057">
        <f t="shared" si="51"/>
        <v>185.88012148713702</v>
      </c>
      <c r="N360" s="1058">
        <f t="shared" si="52"/>
        <v>44.609308411663719</v>
      </c>
      <c r="O360" s="597">
        <v>0</v>
      </c>
      <c r="P360" s="595">
        <v>0</v>
      </c>
      <c r="Q360" s="571">
        <v>601.43335614218313</v>
      </c>
      <c r="R360" s="1075">
        <f t="shared" si="54"/>
        <v>601.43335614218313</v>
      </c>
      <c r="S360" s="1075">
        <f t="shared" si="55"/>
        <v>0</v>
      </c>
    </row>
    <row r="361" spans="1:19" ht="16.5" hidden="1" thickBot="1" x14ac:dyDescent="0.3">
      <c r="A361" s="613" t="s">
        <v>195</v>
      </c>
      <c r="B361" s="1046"/>
      <c r="C361" s="807" t="s">
        <v>1056</v>
      </c>
      <c r="D361" s="625">
        <v>47.44240765416982</v>
      </c>
      <c r="E361" s="593">
        <v>135.65263322169002</v>
      </c>
      <c r="F361" s="594">
        <v>0</v>
      </c>
      <c r="G361" s="595">
        <v>43.937047574458887</v>
      </c>
      <c r="H361" s="566">
        <v>227.03208845031872</v>
      </c>
      <c r="I361" s="596">
        <v>166.86474352048594</v>
      </c>
      <c r="J361" s="595">
        <v>40.047538444916626</v>
      </c>
      <c r="K361" s="626">
        <v>0</v>
      </c>
      <c r="L361" s="595">
        <v>0</v>
      </c>
      <c r="M361" s="1057">
        <f t="shared" si="51"/>
        <v>166.86474352048594</v>
      </c>
      <c r="N361" s="1058">
        <f t="shared" si="52"/>
        <v>40.047538444916626</v>
      </c>
      <c r="O361" s="597">
        <v>47.44240765416982</v>
      </c>
      <c r="P361" s="595">
        <v>11.380415601253286</v>
      </c>
      <c r="Q361" s="571">
        <v>492.76719367114441</v>
      </c>
      <c r="R361" s="1075">
        <f t="shared" si="54"/>
        <v>492.76719367114441</v>
      </c>
      <c r="S361" s="1075">
        <f t="shared" si="55"/>
        <v>0</v>
      </c>
    </row>
    <row r="362" spans="1:19" ht="16.5" hidden="1" thickBot="1" x14ac:dyDescent="0.3">
      <c r="A362" s="546" t="s">
        <v>97</v>
      </c>
      <c r="B362" s="1046"/>
      <c r="C362" s="802" t="s">
        <v>1058</v>
      </c>
      <c r="D362" s="625">
        <v>66.409766989591958</v>
      </c>
      <c r="E362" s="593">
        <v>129.6503043180754</v>
      </c>
      <c r="F362" s="594">
        <v>46.818165448193895</v>
      </c>
      <c r="G362" s="595">
        <v>13.313165508217187</v>
      </c>
      <c r="H362" s="566">
        <v>256.19140226407842</v>
      </c>
      <c r="I362" s="596">
        <v>132.05123587952127</v>
      </c>
      <c r="J362" s="595">
        <v>16.038222830458217</v>
      </c>
      <c r="K362" s="626">
        <v>0</v>
      </c>
      <c r="L362" s="595">
        <v>0</v>
      </c>
      <c r="M362" s="1057">
        <f t="shared" si="51"/>
        <v>132.05123587952127</v>
      </c>
      <c r="N362" s="1058">
        <f t="shared" si="52"/>
        <v>16.038222830458217</v>
      </c>
      <c r="O362" s="597">
        <v>28.81117873735009</v>
      </c>
      <c r="P362" s="595">
        <v>0</v>
      </c>
      <c r="Q362" s="571">
        <v>433.09203971140801</v>
      </c>
      <c r="R362" s="1075">
        <f t="shared" si="54"/>
        <v>433.09203971140801</v>
      </c>
      <c r="S362" s="1075">
        <f t="shared" si="55"/>
        <v>0</v>
      </c>
    </row>
    <row r="363" spans="1:19" ht="16.5" hidden="1" thickBot="1" x14ac:dyDescent="0.3">
      <c r="A363" s="547" t="s">
        <v>98</v>
      </c>
      <c r="B363" s="1046"/>
      <c r="C363" s="802" t="s">
        <v>1058</v>
      </c>
      <c r="D363" s="625">
        <v>27.178545275566918</v>
      </c>
      <c r="E363" s="593">
        <v>141.65496212530462</v>
      </c>
      <c r="F363" s="594">
        <v>60.023289036146025</v>
      </c>
      <c r="G363" s="595">
        <v>12.604890697590665</v>
      </c>
      <c r="H363" s="566">
        <v>241.46168713460824</v>
      </c>
      <c r="I363" s="596">
        <v>192.07452491566727</v>
      </c>
      <c r="J363" s="595">
        <v>0</v>
      </c>
      <c r="K363" s="626">
        <v>148.85775680964213</v>
      </c>
      <c r="L363" s="595">
        <v>37.670616199085245</v>
      </c>
      <c r="M363" s="1057">
        <f t="shared" ref="M363:M426" si="56">I363+K363</f>
        <v>340.93228172530939</v>
      </c>
      <c r="N363" s="1058">
        <f t="shared" ref="N363:N426" si="57">J363+L363</f>
        <v>37.670616199085245</v>
      </c>
      <c r="O363" s="597">
        <v>36.013973421687616</v>
      </c>
      <c r="P363" s="595">
        <v>0</v>
      </c>
      <c r="Q363" s="571">
        <v>656.07855848069039</v>
      </c>
      <c r="R363" s="1075">
        <f t="shared" si="54"/>
        <v>656.0785584806905</v>
      </c>
      <c r="S363" s="1075">
        <f t="shared" si="55"/>
        <v>0</v>
      </c>
    </row>
    <row r="364" spans="1:19" ht="16.5" hidden="1" thickBot="1" x14ac:dyDescent="0.3">
      <c r="A364" s="547" t="s">
        <v>99</v>
      </c>
      <c r="B364" s="1046"/>
      <c r="C364" s="802" t="s">
        <v>1058</v>
      </c>
      <c r="D364" s="625">
        <v>44.801382936579394</v>
      </c>
      <c r="E364" s="593">
        <v>136.8530990024129</v>
      </c>
      <c r="F364" s="594">
        <v>55.221425913254343</v>
      </c>
      <c r="G364" s="595">
        <v>13.013049063036458</v>
      </c>
      <c r="H364" s="566">
        <v>249.88895691528307</v>
      </c>
      <c r="I364" s="596">
        <v>175.26800398554639</v>
      </c>
      <c r="J364" s="595">
        <v>20.756053348699293</v>
      </c>
      <c r="K364" s="626">
        <v>0</v>
      </c>
      <c r="L364" s="595">
        <v>0</v>
      </c>
      <c r="M364" s="1057">
        <f t="shared" si="56"/>
        <v>175.26800398554639</v>
      </c>
      <c r="N364" s="1058">
        <f t="shared" si="57"/>
        <v>20.756053348699293</v>
      </c>
      <c r="O364" s="597">
        <v>31.932389767229687</v>
      </c>
      <c r="P364" s="595">
        <v>0</v>
      </c>
      <c r="Q364" s="571">
        <v>477.84540401675844</v>
      </c>
      <c r="R364" s="1075">
        <f t="shared" si="54"/>
        <v>477.84540401675844</v>
      </c>
      <c r="S364" s="1075">
        <f t="shared" si="55"/>
        <v>0</v>
      </c>
    </row>
    <row r="365" spans="1:19" ht="16.5" hidden="1" thickBot="1" x14ac:dyDescent="0.3">
      <c r="A365" s="547" t="s">
        <v>100</v>
      </c>
      <c r="B365" s="1046"/>
      <c r="C365" s="802" t="s">
        <v>1058</v>
      </c>
      <c r="D365" s="625">
        <v>49.447185507977089</v>
      </c>
      <c r="E365" s="593">
        <v>123.6479754144608</v>
      </c>
      <c r="F365" s="594">
        <v>42.016302325302213</v>
      </c>
      <c r="G365" s="595">
        <v>11.800578624506308</v>
      </c>
      <c r="H365" s="566">
        <v>226.91204187224639</v>
      </c>
      <c r="I365" s="596">
        <v>117.64564651084621</v>
      </c>
      <c r="J365" s="595">
        <v>14.645682524819629</v>
      </c>
      <c r="K365" s="626">
        <v>0</v>
      </c>
      <c r="L365" s="595">
        <v>0</v>
      </c>
      <c r="M365" s="1057">
        <f t="shared" si="56"/>
        <v>117.64564651084621</v>
      </c>
      <c r="N365" s="1058">
        <f t="shared" si="57"/>
        <v>14.645682524819629</v>
      </c>
      <c r="O365" s="597">
        <v>28.968439754624793</v>
      </c>
      <c r="P365" s="595">
        <v>0</v>
      </c>
      <c r="Q365" s="571">
        <v>388.17181066253698</v>
      </c>
      <c r="R365" s="1075">
        <f t="shared" si="54"/>
        <v>388.17181066253698</v>
      </c>
      <c r="S365" s="1075">
        <f t="shared" si="55"/>
        <v>0</v>
      </c>
    </row>
    <row r="366" spans="1:19" ht="16.5" hidden="1" thickBot="1" x14ac:dyDescent="0.3">
      <c r="A366" s="547" t="s">
        <v>101</v>
      </c>
      <c r="B366" s="1046" t="s">
        <v>429</v>
      </c>
      <c r="C366" s="802" t="s">
        <v>1058</v>
      </c>
      <c r="D366" s="625">
        <v>24.741599740699389</v>
      </c>
      <c r="E366" s="593">
        <v>122.44750963373788</v>
      </c>
      <c r="F366" s="594">
        <v>57.622357474700181</v>
      </c>
      <c r="G366" s="595">
        <v>11.308387654409911</v>
      </c>
      <c r="H366" s="566">
        <v>216.11985450354734</v>
      </c>
      <c r="I366" s="596">
        <v>37.214439202410531</v>
      </c>
      <c r="J366" s="595">
        <v>0</v>
      </c>
      <c r="K366" s="626">
        <v>124.84844119518372</v>
      </c>
      <c r="L366" s="595">
        <v>19.843699355349877</v>
      </c>
      <c r="M366" s="1057">
        <f t="shared" si="56"/>
        <v>162.06288039759426</v>
      </c>
      <c r="N366" s="1058">
        <f t="shared" si="57"/>
        <v>19.843699355349877</v>
      </c>
      <c r="O366" s="597">
        <v>36.013973421687616</v>
      </c>
      <c r="P366" s="595">
        <v>0</v>
      </c>
      <c r="Q366" s="571">
        <v>434.04040767817912</v>
      </c>
      <c r="R366" s="1075">
        <f t="shared" si="54"/>
        <v>434.04040767817912</v>
      </c>
      <c r="S366" s="1075">
        <f t="shared" si="55"/>
        <v>0</v>
      </c>
    </row>
    <row r="367" spans="1:19" ht="16.5" hidden="1" thickBot="1" x14ac:dyDescent="0.3">
      <c r="A367" s="547" t="s">
        <v>630</v>
      </c>
      <c r="B367" s="1046"/>
      <c r="C367" s="802" t="s">
        <v>1058</v>
      </c>
      <c r="D367" s="625">
        <v>32.040431687494745</v>
      </c>
      <c r="E367" s="593">
        <v>120.04657807229205</v>
      </c>
      <c r="F367" s="594">
        <v>42.016302325302213</v>
      </c>
      <c r="G367" s="595">
        <v>10.672140790626763</v>
      </c>
      <c r="H367" s="566">
        <v>204.77545287571576</v>
      </c>
      <c r="I367" s="596">
        <v>60.023289036146025</v>
      </c>
      <c r="J367" s="595">
        <v>0</v>
      </c>
      <c r="K367" s="626">
        <v>56.421891693977258</v>
      </c>
      <c r="L367" s="595">
        <v>15.82213898992809</v>
      </c>
      <c r="M367" s="1057">
        <f t="shared" si="56"/>
        <v>116.44518073012328</v>
      </c>
      <c r="N367" s="1058">
        <f t="shared" si="57"/>
        <v>15.82213898992809</v>
      </c>
      <c r="O367" s="597">
        <v>42.016302325302213</v>
      </c>
      <c r="P367" s="595">
        <v>0</v>
      </c>
      <c r="Q367" s="571">
        <v>379.05907492106934</v>
      </c>
      <c r="R367" s="1075">
        <f t="shared" si="54"/>
        <v>379.05907492106934</v>
      </c>
      <c r="S367" s="1075">
        <f t="shared" si="55"/>
        <v>0</v>
      </c>
    </row>
    <row r="368" spans="1:19" ht="16.5" hidden="1" thickBot="1" x14ac:dyDescent="0.3">
      <c r="A368" s="547" t="s">
        <v>631</v>
      </c>
      <c r="B368" s="1046"/>
      <c r="C368" s="802" t="s">
        <v>1058</v>
      </c>
      <c r="D368" s="625">
        <v>13.145100298915978</v>
      </c>
      <c r="E368" s="593">
        <v>111.64331760723161</v>
      </c>
      <c r="F368" s="594">
        <v>52.820494351808499</v>
      </c>
      <c r="G368" s="595">
        <v>9.7597867972773447</v>
      </c>
      <c r="H368" s="566">
        <v>187.36869905523344</v>
      </c>
      <c r="I368" s="596">
        <v>139.25403056385875</v>
      </c>
      <c r="J368" s="595">
        <v>17.526800398554638</v>
      </c>
      <c r="K368" s="626">
        <v>0</v>
      </c>
      <c r="L368" s="595">
        <v>0</v>
      </c>
      <c r="M368" s="1057">
        <f t="shared" si="56"/>
        <v>139.25403056385875</v>
      </c>
      <c r="N368" s="1058">
        <f t="shared" si="57"/>
        <v>17.526800398554638</v>
      </c>
      <c r="O368" s="597">
        <v>36.013973421687616</v>
      </c>
      <c r="P368" s="595">
        <v>0</v>
      </c>
      <c r="Q368" s="571">
        <v>380.16350343933448</v>
      </c>
      <c r="R368" s="1075">
        <f t="shared" si="54"/>
        <v>380.16350343933448</v>
      </c>
      <c r="S368" s="1075">
        <f t="shared" si="55"/>
        <v>0</v>
      </c>
    </row>
    <row r="369" spans="1:19" ht="16.5" hidden="1" thickBot="1" x14ac:dyDescent="0.3">
      <c r="A369" s="547" t="s">
        <v>632</v>
      </c>
      <c r="B369" s="1046"/>
      <c r="C369" s="802" t="s">
        <v>1058</v>
      </c>
      <c r="D369" s="625">
        <v>49.147069062796362</v>
      </c>
      <c r="E369" s="593">
        <v>171.66660664337763</v>
      </c>
      <c r="F369" s="594">
        <v>49.219097009639739</v>
      </c>
      <c r="G369" s="595">
        <v>14.873771023156985</v>
      </c>
      <c r="H369" s="566">
        <v>284.9065437389707</v>
      </c>
      <c r="I369" s="596">
        <v>109.24238604578576</v>
      </c>
      <c r="J369" s="595">
        <v>13.481230717518397</v>
      </c>
      <c r="K369" s="626">
        <v>0</v>
      </c>
      <c r="L369" s="595">
        <v>0</v>
      </c>
      <c r="M369" s="1057">
        <f t="shared" si="56"/>
        <v>109.24238604578576</v>
      </c>
      <c r="N369" s="1058">
        <f t="shared" si="57"/>
        <v>13.481230717518397</v>
      </c>
      <c r="O369" s="597">
        <v>25.173767421759642</v>
      </c>
      <c r="P369" s="595">
        <v>0</v>
      </c>
      <c r="Q369" s="571">
        <v>432.80392792403444</v>
      </c>
      <c r="R369" s="1075">
        <f t="shared" si="54"/>
        <v>432.80392792403444</v>
      </c>
      <c r="S369" s="1075">
        <f t="shared" si="55"/>
        <v>0</v>
      </c>
    </row>
    <row r="370" spans="1:19" ht="16.5" hidden="1" thickBot="1" x14ac:dyDescent="0.3">
      <c r="A370" s="547" t="s">
        <v>633</v>
      </c>
      <c r="B370" s="1046"/>
      <c r="C370" s="802" t="s">
        <v>1058</v>
      </c>
      <c r="D370" s="625">
        <v>36.458145760555098</v>
      </c>
      <c r="E370" s="593">
        <v>181.27033288916098</v>
      </c>
      <c r="F370" s="594">
        <v>62.424220597591862</v>
      </c>
      <c r="G370" s="595">
        <v>15.401975966675069</v>
      </c>
      <c r="H370" s="566">
        <v>295.55467521398299</v>
      </c>
      <c r="I370" s="596">
        <v>241.29362192530698</v>
      </c>
      <c r="J370" s="595">
        <v>27.766773508121148</v>
      </c>
      <c r="K370" s="626">
        <v>0</v>
      </c>
      <c r="L370" s="595">
        <v>0</v>
      </c>
      <c r="M370" s="1057">
        <f t="shared" si="56"/>
        <v>241.29362192530698</v>
      </c>
      <c r="N370" s="1058">
        <f t="shared" si="57"/>
        <v>27.766773508121148</v>
      </c>
      <c r="O370" s="597">
        <v>36.013973421687616</v>
      </c>
      <c r="P370" s="595">
        <v>0</v>
      </c>
      <c r="Q370" s="571">
        <v>600.62904406909877</v>
      </c>
      <c r="R370" s="1075">
        <f t="shared" si="54"/>
        <v>600.62904406909877</v>
      </c>
      <c r="S370" s="1075">
        <f t="shared" si="55"/>
        <v>0</v>
      </c>
    </row>
    <row r="371" spans="1:19" ht="16.5" hidden="1" thickBot="1" x14ac:dyDescent="0.3">
      <c r="A371" s="547" t="s">
        <v>634</v>
      </c>
      <c r="B371" s="1046"/>
      <c r="C371" s="802" t="s">
        <v>1058</v>
      </c>
      <c r="D371" s="625">
        <v>11.356406285638828</v>
      </c>
      <c r="E371" s="593">
        <v>169.26567508193179</v>
      </c>
      <c r="F371" s="594">
        <v>44.417233886748058</v>
      </c>
      <c r="G371" s="595">
        <v>12.364797541446082</v>
      </c>
      <c r="H371" s="566">
        <v>237.40411279576475</v>
      </c>
      <c r="I371" s="596">
        <v>154.86008571325675</v>
      </c>
      <c r="J371" s="595">
        <v>17.430763136096804</v>
      </c>
      <c r="K371" s="626">
        <v>0</v>
      </c>
      <c r="L371" s="595">
        <v>0</v>
      </c>
      <c r="M371" s="1057">
        <f t="shared" si="56"/>
        <v>154.86008571325675</v>
      </c>
      <c r="N371" s="1058">
        <f t="shared" si="57"/>
        <v>17.430763136096804</v>
      </c>
      <c r="O371" s="597">
        <v>19.207452491566727</v>
      </c>
      <c r="P371" s="595">
        <v>0</v>
      </c>
      <c r="Q371" s="571">
        <v>428.90241413668502</v>
      </c>
      <c r="R371" s="1075">
        <f t="shared" si="54"/>
        <v>428.90241413668502</v>
      </c>
      <c r="S371" s="1075">
        <f t="shared" si="55"/>
        <v>0</v>
      </c>
    </row>
    <row r="372" spans="1:19" ht="16.5" hidden="1" thickBot="1" x14ac:dyDescent="0.3">
      <c r="A372" s="547" t="s">
        <v>635</v>
      </c>
      <c r="B372" s="1046"/>
      <c r="C372" s="802" t="s">
        <v>1058</v>
      </c>
      <c r="D372" s="625">
        <v>14.837757049735297</v>
      </c>
      <c r="E372" s="593">
        <v>194.47545647711311</v>
      </c>
      <c r="F372" s="594">
        <v>45.61769966747098</v>
      </c>
      <c r="G372" s="595">
        <v>14.021440318843711</v>
      </c>
      <c r="H372" s="566">
        <v>268.95235351316313</v>
      </c>
      <c r="I372" s="596">
        <v>244.89501926747576</v>
      </c>
      <c r="J372" s="595">
        <v>26.986470750651254</v>
      </c>
      <c r="K372" s="626">
        <v>0</v>
      </c>
      <c r="L372" s="595">
        <v>0</v>
      </c>
      <c r="M372" s="1057">
        <f t="shared" si="56"/>
        <v>244.89501926747576</v>
      </c>
      <c r="N372" s="1058">
        <f t="shared" si="57"/>
        <v>26.986470750651254</v>
      </c>
      <c r="O372" s="597">
        <v>25.089734817109036</v>
      </c>
      <c r="P372" s="595">
        <v>0</v>
      </c>
      <c r="Q372" s="571">
        <v>565.92357834839925</v>
      </c>
      <c r="R372" s="1075">
        <f t="shared" si="54"/>
        <v>565.92357834839925</v>
      </c>
      <c r="S372" s="1075">
        <f t="shared" si="55"/>
        <v>0</v>
      </c>
    </row>
    <row r="373" spans="1:19" ht="16.5" hidden="1" thickBot="1" x14ac:dyDescent="0.3">
      <c r="A373" s="544" t="s">
        <v>939</v>
      </c>
      <c r="B373" s="1046" t="s">
        <v>429</v>
      </c>
      <c r="C373" s="812" t="s">
        <v>1062</v>
      </c>
      <c r="D373" s="549">
        <v>19.723652777277582</v>
      </c>
      <c r="E373" s="550">
        <v>203.35890325446272</v>
      </c>
      <c r="F373" s="551">
        <v>0</v>
      </c>
      <c r="G373" s="560">
        <v>15.606055149397966</v>
      </c>
      <c r="H373" s="566">
        <v>238.68861118113827</v>
      </c>
      <c r="I373" s="567">
        <v>0</v>
      </c>
      <c r="J373" s="560">
        <v>0</v>
      </c>
      <c r="K373" s="568">
        <v>265.30293753976542</v>
      </c>
      <c r="L373" s="560">
        <v>0</v>
      </c>
      <c r="M373" s="1057">
        <f t="shared" si="56"/>
        <v>265.30293753976542</v>
      </c>
      <c r="N373" s="1058">
        <f t="shared" si="57"/>
        <v>0</v>
      </c>
      <c r="O373" s="569">
        <v>0</v>
      </c>
      <c r="P373" s="560">
        <v>0</v>
      </c>
      <c r="Q373" s="571">
        <v>503.99154872090367</v>
      </c>
      <c r="R373" s="1075">
        <f t="shared" si="54"/>
        <v>503.99154872090367</v>
      </c>
      <c r="S373" s="1075">
        <f t="shared" si="55"/>
        <v>0</v>
      </c>
    </row>
    <row r="374" spans="1:19" ht="16.5" hidden="1" thickBot="1" x14ac:dyDescent="0.3">
      <c r="A374" s="546" t="s">
        <v>102</v>
      </c>
      <c r="B374" s="1046" t="s">
        <v>429</v>
      </c>
      <c r="C374" s="802" t="s">
        <v>1066</v>
      </c>
      <c r="D374" s="549">
        <v>6.5670679389832856</v>
      </c>
      <c r="E374" s="550">
        <v>66.597794863571664</v>
      </c>
      <c r="F374" s="551">
        <v>0</v>
      </c>
      <c r="G374" s="560">
        <v>19.75451295668984</v>
      </c>
      <c r="H374" s="566">
        <v>92.919375759244787</v>
      </c>
      <c r="I374" s="567">
        <v>1.7653823812443303</v>
      </c>
      <c r="J374" s="560">
        <v>0.47665324293596917</v>
      </c>
      <c r="K374" s="568">
        <v>114.21290040234106</v>
      </c>
      <c r="L374" s="560">
        <v>30.837483108632089</v>
      </c>
      <c r="M374" s="1057">
        <f t="shared" si="56"/>
        <v>115.9782827835854</v>
      </c>
      <c r="N374" s="1058">
        <f t="shared" si="57"/>
        <v>31.31413635156806</v>
      </c>
      <c r="O374" s="569">
        <v>0</v>
      </c>
      <c r="P374" s="560">
        <v>0</v>
      </c>
      <c r="Q374" s="571">
        <v>240.21179489439825</v>
      </c>
      <c r="R374" s="1075">
        <f t="shared" si="54"/>
        <v>240.21179489439825</v>
      </c>
      <c r="S374" s="1075">
        <f t="shared" si="55"/>
        <v>0</v>
      </c>
    </row>
    <row r="375" spans="1:19" ht="16.5" hidden="1" thickBot="1" x14ac:dyDescent="0.3">
      <c r="A375" s="547" t="s">
        <v>103</v>
      </c>
      <c r="B375" s="1046"/>
      <c r="C375" s="802" t="s">
        <v>1066</v>
      </c>
      <c r="D375" s="549">
        <v>4.7553297840520141</v>
      </c>
      <c r="E375" s="550">
        <v>94.604408132765101</v>
      </c>
      <c r="F375" s="551">
        <v>0</v>
      </c>
      <c r="G375" s="560">
        <v>26.827129237540621</v>
      </c>
      <c r="H375" s="566">
        <v>126.18686715435773</v>
      </c>
      <c r="I375" s="567">
        <v>1.6494929470269781</v>
      </c>
      <c r="J375" s="560">
        <v>0.44536309569728411</v>
      </c>
      <c r="K375" s="568">
        <v>75.212242807061514</v>
      </c>
      <c r="L375" s="560">
        <v>20.307305557906606</v>
      </c>
      <c r="M375" s="1057">
        <f t="shared" si="56"/>
        <v>76.8617357540885</v>
      </c>
      <c r="N375" s="1058">
        <f t="shared" si="57"/>
        <v>20.752668653603891</v>
      </c>
      <c r="O375" s="569">
        <v>4.7553297840520141</v>
      </c>
      <c r="P375" s="560">
        <v>1.2839390416940439</v>
      </c>
      <c r="Q375" s="571">
        <v>229.84054038779615</v>
      </c>
      <c r="R375" s="1075">
        <f t="shared" si="54"/>
        <v>229.84054038779621</v>
      </c>
      <c r="S375" s="1075">
        <f t="shared" si="55"/>
        <v>0</v>
      </c>
    </row>
    <row r="376" spans="1:19" ht="16.5" hidden="1" thickBot="1" x14ac:dyDescent="0.3">
      <c r="A376" s="547" t="s">
        <v>104</v>
      </c>
      <c r="B376" s="1046"/>
      <c r="C376" s="802" t="s">
        <v>1066</v>
      </c>
      <c r="D376" s="549">
        <v>0</v>
      </c>
      <c r="E376" s="550">
        <v>96.234586174089173</v>
      </c>
      <c r="F376" s="551">
        <v>0</v>
      </c>
      <c r="G376" s="560">
        <v>25.983338267004079</v>
      </c>
      <c r="H376" s="566">
        <v>122.21792444109326</v>
      </c>
      <c r="I376" s="567">
        <v>0</v>
      </c>
      <c r="J376" s="560">
        <v>0</v>
      </c>
      <c r="K376" s="568">
        <v>74.018581634622777</v>
      </c>
      <c r="L376" s="560">
        <v>19.985017041348154</v>
      </c>
      <c r="M376" s="1057">
        <f t="shared" si="56"/>
        <v>74.018581634622777</v>
      </c>
      <c r="N376" s="1058">
        <f t="shared" si="57"/>
        <v>19.985017041348154</v>
      </c>
      <c r="O376" s="569">
        <v>0</v>
      </c>
      <c r="P376" s="560">
        <v>0</v>
      </c>
      <c r="Q376" s="571">
        <v>216.22152311706418</v>
      </c>
      <c r="R376" s="1075">
        <f t="shared" si="54"/>
        <v>216.22152311706418</v>
      </c>
      <c r="S376" s="1075">
        <f t="shared" si="55"/>
        <v>0</v>
      </c>
    </row>
    <row r="377" spans="1:19" ht="16.5" hidden="1" thickBot="1" x14ac:dyDescent="0.3">
      <c r="A377" s="543" t="s">
        <v>105</v>
      </c>
      <c r="B377" s="1046"/>
      <c r="C377" s="802" t="s">
        <v>1066</v>
      </c>
      <c r="D377" s="549">
        <v>0</v>
      </c>
      <c r="E377" s="550">
        <v>131.34135877966571</v>
      </c>
      <c r="F377" s="551">
        <v>0</v>
      </c>
      <c r="G377" s="560">
        <v>35.462166870509741</v>
      </c>
      <c r="H377" s="566">
        <v>166.80352565017546</v>
      </c>
      <c r="I377" s="567">
        <v>1.5451924562313613</v>
      </c>
      <c r="J377" s="560">
        <v>0.41720196318246755</v>
      </c>
      <c r="K377" s="568">
        <v>95.801932286344396</v>
      </c>
      <c r="L377" s="560">
        <v>25.866521717312988</v>
      </c>
      <c r="M377" s="1057">
        <f t="shared" si="56"/>
        <v>97.347124742575758</v>
      </c>
      <c r="N377" s="1058">
        <f t="shared" si="57"/>
        <v>26.283723680495456</v>
      </c>
      <c r="O377" s="569">
        <v>0</v>
      </c>
      <c r="P377" s="560">
        <v>0</v>
      </c>
      <c r="Q377" s="571">
        <v>290.43437407324666</v>
      </c>
      <c r="R377" s="1075">
        <f t="shared" si="54"/>
        <v>290.43437407324666</v>
      </c>
      <c r="S377" s="1075">
        <f t="shared" si="55"/>
        <v>0</v>
      </c>
    </row>
    <row r="378" spans="1:19" ht="16.5" hidden="1" thickBot="1" x14ac:dyDescent="0.3">
      <c r="A378" s="548" t="s">
        <v>613</v>
      </c>
      <c r="B378" s="1046"/>
      <c r="C378" s="802" t="s">
        <v>1066</v>
      </c>
      <c r="D378" s="549">
        <v>0</v>
      </c>
      <c r="E378" s="550">
        <v>84.13572924179762</v>
      </c>
      <c r="F378" s="551">
        <v>0</v>
      </c>
      <c r="G378" s="560">
        <v>22.71432910660101</v>
      </c>
      <c r="H378" s="566">
        <v>106.85005834839863</v>
      </c>
      <c r="I378" s="567">
        <v>2.4336781185643939</v>
      </c>
      <c r="J378" s="560">
        <v>0.65709309201238641</v>
      </c>
      <c r="K378" s="568">
        <v>51.107240489852273</v>
      </c>
      <c r="L378" s="560">
        <v>13.798568634146056</v>
      </c>
      <c r="M378" s="1057">
        <f t="shared" si="56"/>
        <v>53.540918608416668</v>
      </c>
      <c r="N378" s="1058">
        <f t="shared" si="57"/>
        <v>14.455661726158443</v>
      </c>
      <c r="O378" s="569">
        <v>0</v>
      </c>
      <c r="P378" s="560">
        <v>0</v>
      </c>
      <c r="Q378" s="571">
        <v>174.84663868297375</v>
      </c>
      <c r="R378" s="1075">
        <f t="shared" si="54"/>
        <v>174.84663868297375</v>
      </c>
      <c r="S378" s="1075">
        <f t="shared" si="55"/>
        <v>0</v>
      </c>
    </row>
    <row r="379" spans="1:19" ht="16.5" hidden="1" thickBot="1" x14ac:dyDescent="0.3">
      <c r="A379" s="546" t="s">
        <v>107</v>
      </c>
      <c r="B379" s="1046"/>
      <c r="C379" s="802" t="s">
        <v>1074</v>
      </c>
      <c r="D379" s="549">
        <v>30.419802883518805</v>
      </c>
      <c r="E379" s="550">
        <v>50.203478949832537</v>
      </c>
      <c r="F379" s="551">
        <v>0.48018631228916819</v>
      </c>
      <c r="G379" s="560">
        <v>8.1151486776869426</v>
      </c>
      <c r="H379" s="566">
        <v>89.218616823327451</v>
      </c>
      <c r="I379" s="567">
        <v>26.326214571253644</v>
      </c>
      <c r="J379" s="560">
        <v>2.6290200597831959</v>
      </c>
      <c r="K379" s="568">
        <v>70.935522982917377</v>
      </c>
      <c r="L379" s="560">
        <v>7.0947527640724601</v>
      </c>
      <c r="M379" s="1057">
        <f t="shared" si="56"/>
        <v>97.26173755417102</v>
      </c>
      <c r="N379" s="1058">
        <f t="shared" si="57"/>
        <v>9.723772823855656</v>
      </c>
      <c r="O379" s="569">
        <v>0.96037262457833639</v>
      </c>
      <c r="P379" s="560">
        <v>9.6037262457833644E-2</v>
      </c>
      <c r="Q379" s="571">
        <v>197.26053708839029</v>
      </c>
      <c r="R379" s="1075">
        <f t="shared" si="54"/>
        <v>197.26053708839029</v>
      </c>
      <c r="S379" s="1075">
        <f t="shared" si="55"/>
        <v>0</v>
      </c>
    </row>
    <row r="380" spans="1:19" ht="16.5" hidden="1" thickBot="1" x14ac:dyDescent="0.3">
      <c r="A380" s="547" t="s">
        <v>108</v>
      </c>
      <c r="B380" s="1046"/>
      <c r="C380" s="802" t="s">
        <v>1074</v>
      </c>
      <c r="D380" s="549">
        <v>0.36013973421687612</v>
      </c>
      <c r="E380" s="550">
        <v>17.022604770651011</v>
      </c>
      <c r="F380" s="551">
        <v>0.48018631228916819</v>
      </c>
      <c r="G380" s="560">
        <v>1.7886940132771514</v>
      </c>
      <c r="H380" s="566">
        <v>19.651624830434205</v>
      </c>
      <c r="I380" s="567">
        <v>16.72248832547028</v>
      </c>
      <c r="J380" s="560">
        <v>1.6686474352048593</v>
      </c>
      <c r="K380" s="568">
        <v>42.88063768742272</v>
      </c>
      <c r="L380" s="560">
        <v>4.2856628371808254</v>
      </c>
      <c r="M380" s="1057">
        <f t="shared" si="56"/>
        <v>59.603126012893</v>
      </c>
      <c r="N380" s="1058">
        <f t="shared" si="57"/>
        <v>5.9543102723856851</v>
      </c>
      <c r="O380" s="569">
        <v>0.96037262457833639</v>
      </c>
      <c r="P380" s="560">
        <v>9.6037262457833644E-2</v>
      </c>
      <c r="Q380" s="571">
        <v>86.265471002749052</v>
      </c>
      <c r="R380" s="1075">
        <f t="shared" si="54"/>
        <v>86.265471002749052</v>
      </c>
      <c r="S380" s="1075">
        <f t="shared" si="55"/>
        <v>0</v>
      </c>
    </row>
    <row r="381" spans="1:19" ht="16.5" hidden="1" thickBot="1" x14ac:dyDescent="0.3">
      <c r="A381" s="547" t="s">
        <v>109</v>
      </c>
      <c r="B381" s="1046"/>
      <c r="C381" s="802" t="s">
        <v>1074</v>
      </c>
      <c r="D381" s="549">
        <v>13.013049063036458</v>
      </c>
      <c r="E381" s="550">
        <v>73.900673461302986</v>
      </c>
      <c r="F381" s="551">
        <v>0.48018631228916819</v>
      </c>
      <c r="G381" s="560">
        <v>8.7393908836628604</v>
      </c>
      <c r="H381" s="566">
        <v>96.133299720291475</v>
      </c>
      <c r="I381" s="567">
        <v>13.949412372000335</v>
      </c>
      <c r="J381" s="560">
        <v>1.3925403056385877</v>
      </c>
      <c r="K381" s="568">
        <v>37.262457833639452</v>
      </c>
      <c r="L381" s="560">
        <v>3.7214439202410534</v>
      </c>
      <c r="M381" s="1057">
        <f t="shared" si="56"/>
        <v>51.211870205639784</v>
      </c>
      <c r="N381" s="1058">
        <f t="shared" si="57"/>
        <v>5.1139842258796406</v>
      </c>
      <c r="O381" s="569">
        <v>0.96037262457833639</v>
      </c>
      <c r="P381" s="560">
        <v>9.6037262457833644E-2</v>
      </c>
      <c r="Q381" s="571">
        <v>153.51556403884706</v>
      </c>
      <c r="R381" s="1075">
        <f t="shared" si="54"/>
        <v>153.51556403884706</v>
      </c>
      <c r="S381" s="1075">
        <f t="shared" si="55"/>
        <v>0</v>
      </c>
    </row>
    <row r="382" spans="1:19" ht="16.5" hidden="1" thickBot="1" x14ac:dyDescent="0.3">
      <c r="A382" s="547" t="s">
        <v>110</v>
      </c>
      <c r="B382" s="1046" t="s">
        <v>429</v>
      </c>
      <c r="C382" s="802" t="s">
        <v>1074</v>
      </c>
      <c r="D382" s="549">
        <v>22.028547076265593</v>
      </c>
      <c r="E382" s="550">
        <v>30.97201714265135</v>
      </c>
      <c r="F382" s="551">
        <v>0.48018631228916819</v>
      </c>
      <c r="G382" s="560">
        <v>5.3420727242169965</v>
      </c>
      <c r="H382" s="566">
        <v>58.82282325542311</v>
      </c>
      <c r="I382" s="567">
        <v>30.599872750627242</v>
      </c>
      <c r="J382" s="560">
        <v>3.0611877408434469</v>
      </c>
      <c r="K382" s="568">
        <v>88.714421195423824</v>
      </c>
      <c r="L382" s="560">
        <v>8.8714421195423814</v>
      </c>
      <c r="M382" s="1057">
        <f t="shared" si="56"/>
        <v>119.31429394605107</v>
      </c>
      <c r="N382" s="1058">
        <f t="shared" si="57"/>
        <v>11.932629860385829</v>
      </c>
      <c r="O382" s="569">
        <v>0.96037262457833639</v>
      </c>
      <c r="P382" s="560">
        <v>9.6037262457833644E-2</v>
      </c>
      <c r="Q382" s="571">
        <v>191.12615694889618</v>
      </c>
      <c r="R382" s="1075">
        <f t="shared" si="54"/>
        <v>191.12615694889615</v>
      </c>
      <c r="S382" s="1075">
        <f t="shared" si="55"/>
        <v>0</v>
      </c>
    </row>
    <row r="383" spans="1:19" ht="16.5" hidden="1" thickBot="1" x14ac:dyDescent="0.3">
      <c r="A383" s="613" t="s">
        <v>111</v>
      </c>
      <c r="B383" s="1046"/>
      <c r="C383" s="807" t="s">
        <v>1074</v>
      </c>
      <c r="D383" s="549">
        <v>10.372024345446034</v>
      </c>
      <c r="E383" s="550">
        <v>54.249048630868771</v>
      </c>
      <c r="F383" s="551">
        <v>0.48018631228916819</v>
      </c>
      <c r="G383" s="560">
        <v>6.5065245315182292</v>
      </c>
      <c r="H383" s="566">
        <v>71.607783820122194</v>
      </c>
      <c r="I383" s="567">
        <v>32.964790338651397</v>
      </c>
      <c r="J383" s="560">
        <v>3.3012808969880312</v>
      </c>
      <c r="K383" s="568">
        <v>87.898104464532238</v>
      </c>
      <c r="L383" s="560">
        <v>8.7874095148917775</v>
      </c>
      <c r="M383" s="1057">
        <f t="shared" si="56"/>
        <v>120.86289480318364</v>
      </c>
      <c r="N383" s="1058">
        <f t="shared" si="57"/>
        <v>12.088690411879808</v>
      </c>
      <c r="O383" s="569">
        <v>0.96037262457833639</v>
      </c>
      <c r="P383" s="560">
        <v>9.6037262457833644E-2</v>
      </c>
      <c r="Q383" s="571">
        <v>205.61577892222181</v>
      </c>
      <c r="R383" s="1075">
        <f t="shared" si="54"/>
        <v>205.61577892222181</v>
      </c>
      <c r="S383" s="1075">
        <f t="shared" si="55"/>
        <v>0</v>
      </c>
    </row>
    <row r="384" spans="1:19" ht="16.5" hidden="1" thickBot="1" x14ac:dyDescent="0.3">
      <c r="A384" s="546" t="s">
        <v>112</v>
      </c>
      <c r="B384" s="1046"/>
      <c r="C384" s="802" t="s">
        <v>1076</v>
      </c>
      <c r="D384" s="549">
        <v>66.571407420741423</v>
      </c>
      <c r="E384" s="550">
        <v>2.1302850374637252</v>
      </c>
      <c r="F384" s="551">
        <v>0</v>
      </c>
      <c r="G384" s="560">
        <v>5.414474470220302</v>
      </c>
      <c r="H384" s="566">
        <v>74.116166928425443</v>
      </c>
      <c r="I384" s="567">
        <v>59.647981048984306</v>
      </c>
      <c r="J384" s="560">
        <v>4.7043794577323936</v>
      </c>
      <c r="K384" s="568">
        <v>0</v>
      </c>
      <c r="L384" s="560">
        <v>0</v>
      </c>
      <c r="M384" s="1057">
        <f t="shared" si="56"/>
        <v>59.647981048984306</v>
      </c>
      <c r="N384" s="1058">
        <f t="shared" si="57"/>
        <v>4.7043794577323936</v>
      </c>
      <c r="O384" s="569">
        <v>0</v>
      </c>
      <c r="P384" s="560">
        <v>0</v>
      </c>
      <c r="Q384" s="571">
        <v>138.46852743514214</v>
      </c>
      <c r="R384" s="1075">
        <f t="shared" si="54"/>
        <v>138.46852743514214</v>
      </c>
      <c r="S384" s="1075">
        <f t="shared" si="55"/>
        <v>0</v>
      </c>
    </row>
    <row r="385" spans="1:19" ht="16.5" hidden="1" thickBot="1" x14ac:dyDescent="0.3">
      <c r="A385" s="547" t="s">
        <v>113</v>
      </c>
      <c r="B385" s="1046"/>
      <c r="C385" s="802" t="s">
        <v>1076</v>
      </c>
      <c r="D385" s="549">
        <v>90.537114092208327</v>
      </c>
      <c r="E385" s="550">
        <v>8.8761876560988551</v>
      </c>
      <c r="F385" s="551">
        <v>0</v>
      </c>
      <c r="G385" s="560">
        <v>7.926435576896278</v>
      </c>
      <c r="H385" s="566">
        <v>107.33973732520346</v>
      </c>
      <c r="I385" s="567">
        <v>58.582838530252445</v>
      </c>
      <c r="J385" s="560">
        <v>4.6777508947640971</v>
      </c>
      <c r="K385" s="568">
        <v>0</v>
      </c>
      <c r="L385" s="560">
        <v>0</v>
      </c>
      <c r="M385" s="1057">
        <f t="shared" si="56"/>
        <v>58.582838530252445</v>
      </c>
      <c r="N385" s="1058">
        <f t="shared" si="57"/>
        <v>4.6777508947640971</v>
      </c>
      <c r="O385" s="569">
        <v>0</v>
      </c>
      <c r="P385" s="560">
        <v>0</v>
      </c>
      <c r="Q385" s="571">
        <v>170.60032675022001</v>
      </c>
      <c r="R385" s="1075">
        <f t="shared" si="54"/>
        <v>170.60032675022001</v>
      </c>
      <c r="S385" s="1075">
        <f t="shared" si="55"/>
        <v>0</v>
      </c>
    </row>
    <row r="386" spans="1:19" ht="16.5" hidden="1" thickBot="1" x14ac:dyDescent="0.3">
      <c r="A386" s="547" t="s">
        <v>114</v>
      </c>
      <c r="B386" s="1046"/>
      <c r="C386" s="802" t="s">
        <v>1076</v>
      </c>
      <c r="D386" s="549">
        <v>86.27654401728087</v>
      </c>
      <c r="E386" s="550">
        <v>4.4380938280494275</v>
      </c>
      <c r="F386" s="551">
        <v>0</v>
      </c>
      <c r="G386" s="560">
        <v>7.2340929397205675</v>
      </c>
      <c r="H386" s="566">
        <v>97.94873078505087</v>
      </c>
      <c r="I386" s="567">
        <v>75.270071323718298</v>
      </c>
      <c r="J386" s="560">
        <v>6.0091790431789249</v>
      </c>
      <c r="K386" s="568">
        <v>0</v>
      </c>
      <c r="L386" s="560">
        <v>0</v>
      </c>
      <c r="M386" s="1057">
        <f t="shared" si="56"/>
        <v>75.270071323718298</v>
      </c>
      <c r="N386" s="1058">
        <f t="shared" si="57"/>
        <v>6.0091790431789249</v>
      </c>
      <c r="O386" s="569">
        <v>0</v>
      </c>
      <c r="P386" s="560">
        <v>0</v>
      </c>
      <c r="Q386" s="571">
        <v>179.22798115194811</v>
      </c>
      <c r="R386" s="1075">
        <f t="shared" si="54"/>
        <v>179.22798115194811</v>
      </c>
      <c r="S386" s="1075">
        <f t="shared" si="55"/>
        <v>0</v>
      </c>
    </row>
    <row r="387" spans="1:19" ht="16.5" hidden="1" thickBot="1" x14ac:dyDescent="0.3">
      <c r="A387" s="547" t="s">
        <v>115</v>
      </c>
      <c r="B387" s="1046"/>
      <c r="C387" s="802" t="s">
        <v>1076</v>
      </c>
      <c r="D387" s="549">
        <v>90.537114092208327</v>
      </c>
      <c r="E387" s="550">
        <v>14.485938254753332</v>
      </c>
      <c r="F387" s="551">
        <v>0</v>
      </c>
      <c r="G387" s="560">
        <v>8.3436163967329247</v>
      </c>
      <c r="H387" s="566">
        <v>113.36666874369459</v>
      </c>
      <c r="I387" s="567">
        <v>92.028313618432932</v>
      </c>
      <c r="J387" s="560">
        <v>7.3139786286254571</v>
      </c>
      <c r="K387" s="568">
        <v>0</v>
      </c>
      <c r="L387" s="560">
        <v>0</v>
      </c>
      <c r="M387" s="1057">
        <f t="shared" si="56"/>
        <v>92.028313618432932</v>
      </c>
      <c r="N387" s="1058">
        <f t="shared" si="57"/>
        <v>7.3139786286254571</v>
      </c>
      <c r="O387" s="569">
        <v>0</v>
      </c>
      <c r="P387" s="560">
        <v>0</v>
      </c>
      <c r="Q387" s="571">
        <v>212.70896099075296</v>
      </c>
      <c r="R387" s="1075">
        <f t="shared" ref="R387:R450" si="58">H387+M387+N387+O387+P387</f>
        <v>212.70896099075296</v>
      </c>
      <c r="S387" s="1075">
        <f t="shared" si="55"/>
        <v>0</v>
      </c>
    </row>
    <row r="388" spans="1:19" ht="16.5" hidden="1" thickBot="1" x14ac:dyDescent="0.3">
      <c r="A388" s="547" t="s">
        <v>116</v>
      </c>
      <c r="B388" s="1046"/>
      <c r="C388" s="802" t="s">
        <v>1076</v>
      </c>
      <c r="D388" s="549">
        <v>140.59881247260589</v>
      </c>
      <c r="E388" s="550">
        <v>0</v>
      </c>
      <c r="F388" s="551">
        <v>0</v>
      </c>
      <c r="G388" s="560">
        <v>11.201748821996755</v>
      </c>
      <c r="H388" s="566">
        <v>151.80056129460263</v>
      </c>
      <c r="I388" s="567">
        <v>63.908551123911757</v>
      </c>
      <c r="J388" s="560">
        <v>5.0949317146007429</v>
      </c>
      <c r="K388" s="568">
        <v>0</v>
      </c>
      <c r="L388" s="560">
        <v>0</v>
      </c>
      <c r="M388" s="1057">
        <f t="shared" si="56"/>
        <v>63.908551123911757</v>
      </c>
      <c r="N388" s="1058">
        <f t="shared" si="57"/>
        <v>5.0949317146007429</v>
      </c>
      <c r="O388" s="569">
        <v>0</v>
      </c>
      <c r="P388" s="560">
        <v>0</v>
      </c>
      <c r="Q388" s="571">
        <v>220.80404413311513</v>
      </c>
      <c r="R388" s="1075">
        <f t="shared" si="58"/>
        <v>220.80404413311513</v>
      </c>
      <c r="S388" s="1075">
        <f t="shared" si="55"/>
        <v>0</v>
      </c>
    </row>
    <row r="389" spans="1:19" ht="16.5" hidden="1" thickBot="1" x14ac:dyDescent="0.3">
      <c r="A389" s="547" t="s">
        <v>117</v>
      </c>
      <c r="B389" s="1046"/>
      <c r="C389" s="802" t="s">
        <v>1076</v>
      </c>
      <c r="D389" s="549">
        <v>133.14281484148285</v>
      </c>
      <c r="E389" s="550">
        <v>70.725463243795687</v>
      </c>
      <c r="F389" s="551">
        <v>0</v>
      </c>
      <c r="G389" s="560">
        <v>16.2789281612853</v>
      </c>
      <c r="H389" s="566">
        <v>220.14720624656383</v>
      </c>
      <c r="I389" s="567">
        <v>74.879519066849952</v>
      </c>
      <c r="J389" s="560">
        <v>5.9825504802106284</v>
      </c>
      <c r="K389" s="568">
        <v>0</v>
      </c>
      <c r="L389" s="560">
        <v>0</v>
      </c>
      <c r="M389" s="1057">
        <f t="shared" si="56"/>
        <v>74.879519066849952</v>
      </c>
      <c r="N389" s="1058">
        <f t="shared" si="57"/>
        <v>5.9825504802106284</v>
      </c>
      <c r="O389" s="569">
        <v>0</v>
      </c>
      <c r="P389" s="560">
        <v>0</v>
      </c>
      <c r="Q389" s="571">
        <v>301.0092757936244</v>
      </c>
      <c r="R389" s="1075">
        <f t="shared" si="58"/>
        <v>301.0092757936244</v>
      </c>
      <c r="S389" s="1075">
        <f t="shared" si="55"/>
        <v>0</v>
      </c>
    </row>
    <row r="390" spans="1:19" ht="16.5" hidden="1" thickBot="1" x14ac:dyDescent="0.3">
      <c r="A390" s="547" t="s">
        <v>118</v>
      </c>
      <c r="B390" s="1046" t="s">
        <v>429</v>
      </c>
      <c r="C390" s="802" t="s">
        <v>1076</v>
      </c>
      <c r="D390" s="549">
        <v>124.62167469162793</v>
      </c>
      <c r="E390" s="550">
        <v>7.8110451373669925</v>
      </c>
      <c r="F390" s="551">
        <v>0</v>
      </c>
      <c r="G390" s="560">
        <v>10.482777621852748</v>
      </c>
      <c r="H390" s="566">
        <v>142.91549745084768</v>
      </c>
      <c r="I390" s="567">
        <v>63.553503617667808</v>
      </c>
      <c r="J390" s="560">
        <v>5.0327984010080513</v>
      </c>
      <c r="K390" s="568">
        <v>0</v>
      </c>
      <c r="L390" s="560">
        <v>0</v>
      </c>
      <c r="M390" s="1057">
        <f t="shared" si="56"/>
        <v>63.553503617667808</v>
      </c>
      <c r="N390" s="1058">
        <f t="shared" si="57"/>
        <v>5.0327984010080513</v>
      </c>
      <c r="O390" s="569">
        <v>0</v>
      </c>
      <c r="P390" s="560">
        <v>0</v>
      </c>
      <c r="Q390" s="571">
        <v>211.50179946952355</v>
      </c>
      <c r="R390" s="1075">
        <f t="shared" si="58"/>
        <v>211.50179946952355</v>
      </c>
      <c r="S390" s="1075">
        <f t="shared" si="55"/>
        <v>0</v>
      </c>
    </row>
    <row r="391" spans="1:19" ht="16.5" hidden="1" thickBot="1" x14ac:dyDescent="0.3">
      <c r="A391" s="613" t="s">
        <v>119</v>
      </c>
      <c r="B391" s="1046"/>
      <c r="C391" s="802" t="s">
        <v>1076</v>
      </c>
      <c r="D391" s="549">
        <v>84.146258979817148</v>
      </c>
      <c r="E391" s="550">
        <v>1.5267042768490031</v>
      </c>
      <c r="F391" s="551">
        <v>0</v>
      </c>
      <c r="G391" s="560">
        <v>6.8169121198839209</v>
      </c>
      <c r="H391" s="566">
        <v>92.489875376550074</v>
      </c>
      <c r="I391" s="567">
        <v>67.814073692595258</v>
      </c>
      <c r="J391" s="560">
        <v>5.3967220949081041</v>
      </c>
      <c r="K391" s="568">
        <v>0</v>
      </c>
      <c r="L391" s="560">
        <v>0</v>
      </c>
      <c r="M391" s="1057">
        <f t="shared" si="56"/>
        <v>67.814073692595258</v>
      </c>
      <c r="N391" s="1058">
        <f t="shared" si="57"/>
        <v>5.3967220949081041</v>
      </c>
      <c r="O391" s="569">
        <v>0</v>
      </c>
      <c r="P391" s="560">
        <v>0</v>
      </c>
      <c r="Q391" s="571">
        <v>165.70067116405346</v>
      </c>
      <c r="R391" s="1075">
        <f t="shared" si="58"/>
        <v>165.70067116405346</v>
      </c>
      <c r="S391" s="1075">
        <f t="shared" si="55"/>
        <v>0</v>
      </c>
    </row>
    <row r="392" spans="1:19" ht="16.5" hidden="1" thickBot="1" x14ac:dyDescent="0.3">
      <c r="A392" s="696" t="s">
        <v>587</v>
      </c>
      <c r="B392" s="760"/>
      <c r="C392" s="812" t="s">
        <v>1084</v>
      </c>
      <c r="D392" s="549">
        <v>0</v>
      </c>
      <c r="E392" s="550">
        <v>84.287296553798782</v>
      </c>
      <c r="F392" s="551">
        <v>0</v>
      </c>
      <c r="G392" s="560">
        <v>0</v>
      </c>
      <c r="H392" s="566">
        <v>84.287296553798782</v>
      </c>
      <c r="I392" s="567">
        <v>0</v>
      </c>
      <c r="J392" s="560">
        <v>0</v>
      </c>
      <c r="K392" s="568">
        <v>0</v>
      </c>
      <c r="L392" s="560">
        <v>0</v>
      </c>
      <c r="M392" s="1057">
        <f t="shared" si="56"/>
        <v>0</v>
      </c>
      <c r="N392" s="1058">
        <f t="shared" si="57"/>
        <v>0</v>
      </c>
      <c r="O392" s="569">
        <v>0</v>
      </c>
      <c r="P392" s="560">
        <v>0</v>
      </c>
      <c r="Q392" s="571">
        <v>84.287296553798782</v>
      </c>
      <c r="R392" s="1075">
        <f t="shared" si="58"/>
        <v>84.287296553798782</v>
      </c>
      <c r="S392" s="1075">
        <f t="shared" ref="S392:S432" si="59">Q392-R392</f>
        <v>0</v>
      </c>
    </row>
    <row r="393" spans="1:19" ht="16.5" hidden="1" thickBot="1" x14ac:dyDescent="0.3">
      <c r="A393" s="645" t="s">
        <v>775</v>
      </c>
      <c r="B393" s="751"/>
      <c r="C393" s="818" t="s">
        <v>1088</v>
      </c>
      <c r="D393" s="549">
        <v>70.827481062652311</v>
      </c>
      <c r="E393" s="550">
        <v>172.13478829785956</v>
      </c>
      <c r="F393" s="551">
        <v>0</v>
      </c>
      <c r="G393" s="560">
        <v>0</v>
      </c>
      <c r="H393" s="566">
        <v>242.96226936051187</v>
      </c>
      <c r="I393" s="567">
        <v>0</v>
      </c>
      <c r="J393" s="560">
        <v>0</v>
      </c>
      <c r="K393" s="568">
        <v>0</v>
      </c>
      <c r="L393" s="560">
        <v>0</v>
      </c>
      <c r="M393" s="1057">
        <f t="shared" si="56"/>
        <v>0</v>
      </c>
      <c r="N393" s="1058">
        <f t="shared" si="57"/>
        <v>0</v>
      </c>
      <c r="O393" s="569">
        <v>0</v>
      </c>
      <c r="P393" s="560">
        <v>0</v>
      </c>
      <c r="Q393" s="571">
        <v>242.96226936051187</v>
      </c>
      <c r="R393" s="1075">
        <f t="shared" si="58"/>
        <v>242.96226936051187</v>
      </c>
      <c r="S393" s="1075">
        <f t="shared" si="59"/>
        <v>0</v>
      </c>
    </row>
    <row r="394" spans="1:19" ht="16.5" hidden="1" thickBot="1" x14ac:dyDescent="0.3">
      <c r="A394" s="659" t="s">
        <v>620</v>
      </c>
      <c r="B394" s="752"/>
      <c r="C394" s="816" t="s">
        <v>1092</v>
      </c>
      <c r="D394" s="549">
        <v>70.664551813892956</v>
      </c>
      <c r="E394" s="550">
        <v>0</v>
      </c>
      <c r="F394" s="551">
        <v>0</v>
      </c>
      <c r="G394" s="560">
        <v>0</v>
      </c>
      <c r="H394" s="566">
        <v>70.664551813892956</v>
      </c>
      <c r="I394" s="567">
        <v>0</v>
      </c>
      <c r="J394" s="560">
        <v>0</v>
      </c>
      <c r="K394" s="568">
        <v>23.385391247763135</v>
      </c>
      <c r="L394" s="560">
        <v>0</v>
      </c>
      <c r="M394" s="1057">
        <f t="shared" si="56"/>
        <v>23.385391247763135</v>
      </c>
      <c r="N394" s="1058">
        <f t="shared" si="57"/>
        <v>0</v>
      </c>
      <c r="O394" s="569">
        <v>0</v>
      </c>
      <c r="P394" s="560">
        <v>0</v>
      </c>
      <c r="Q394" s="571">
        <v>94.049943061656094</v>
      </c>
      <c r="R394" s="1075">
        <f t="shared" si="58"/>
        <v>94.049943061656094</v>
      </c>
      <c r="S394" s="1075">
        <f t="shared" si="59"/>
        <v>0</v>
      </c>
    </row>
    <row r="395" spans="1:19" ht="16.5" hidden="1" thickBot="1" x14ac:dyDescent="0.3">
      <c r="A395" s="657" t="s">
        <v>889</v>
      </c>
      <c r="B395" s="747" t="s">
        <v>429</v>
      </c>
      <c r="C395" s="815" t="s">
        <v>1092</v>
      </c>
      <c r="D395" s="549">
        <v>105.74263868553766</v>
      </c>
      <c r="E395" s="550">
        <v>0</v>
      </c>
      <c r="F395" s="551">
        <v>0</v>
      </c>
      <c r="G395" s="560">
        <v>0</v>
      </c>
      <c r="H395" s="566">
        <v>105.74263868553766</v>
      </c>
      <c r="I395" s="567">
        <v>0</v>
      </c>
      <c r="J395" s="560">
        <v>0</v>
      </c>
      <c r="K395" s="568">
        <v>0</v>
      </c>
      <c r="L395" s="560">
        <v>0</v>
      </c>
      <c r="M395" s="1057">
        <f t="shared" si="56"/>
        <v>0</v>
      </c>
      <c r="N395" s="1058">
        <f t="shared" si="57"/>
        <v>0</v>
      </c>
      <c r="O395" s="569">
        <v>0</v>
      </c>
      <c r="P395" s="560">
        <v>0</v>
      </c>
      <c r="Q395" s="571">
        <v>105.74263868553766</v>
      </c>
      <c r="R395" s="1075">
        <f t="shared" si="58"/>
        <v>105.74263868553766</v>
      </c>
      <c r="S395" s="1075">
        <f t="shared" si="59"/>
        <v>0</v>
      </c>
    </row>
    <row r="396" spans="1:19" ht="16.5" hidden="1" thickBot="1" x14ac:dyDescent="0.3">
      <c r="A396" s="657" t="s">
        <v>621</v>
      </c>
      <c r="B396" s="747"/>
      <c r="C396" s="815" t="s">
        <v>1092</v>
      </c>
      <c r="D396" s="549">
        <v>57.446721978200749</v>
      </c>
      <c r="E396" s="550">
        <v>0</v>
      </c>
      <c r="F396" s="551">
        <v>0</v>
      </c>
      <c r="G396" s="560">
        <v>0</v>
      </c>
      <c r="H396" s="566">
        <v>57.446721978200749</v>
      </c>
      <c r="I396" s="567">
        <v>0</v>
      </c>
      <c r="J396" s="560">
        <v>0</v>
      </c>
      <c r="K396" s="568">
        <v>4.0670245648283716</v>
      </c>
      <c r="L396" s="560">
        <v>0</v>
      </c>
      <c r="M396" s="1057">
        <f t="shared" si="56"/>
        <v>4.0670245648283716</v>
      </c>
      <c r="N396" s="1058">
        <f t="shared" si="57"/>
        <v>0</v>
      </c>
      <c r="O396" s="569">
        <v>0</v>
      </c>
      <c r="P396" s="560">
        <v>0</v>
      </c>
      <c r="Q396" s="571">
        <v>61.513746543029121</v>
      </c>
      <c r="R396" s="1075">
        <f t="shared" si="58"/>
        <v>61.513746543029121</v>
      </c>
      <c r="S396" s="1075">
        <f t="shared" si="59"/>
        <v>0</v>
      </c>
    </row>
    <row r="397" spans="1:19" ht="16.5" hidden="1" thickBot="1" x14ac:dyDescent="0.3">
      <c r="A397" s="657" t="s">
        <v>622</v>
      </c>
      <c r="B397" s="747"/>
      <c r="C397" s="815" t="s">
        <v>1092</v>
      </c>
      <c r="D397" s="549">
        <v>116.92695623881568</v>
      </c>
      <c r="E397" s="550">
        <v>0</v>
      </c>
      <c r="F397" s="551">
        <v>0</v>
      </c>
      <c r="G397" s="560">
        <v>0</v>
      </c>
      <c r="H397" s="566">
        <v>116.92695623881568</v>
      </c>
      <c r="I397" s="567">
        <v>0</v>
      </c>
      <c r="J397" s="560">
        <v>0</v>
      </c>
      <c r="K397" s="568">
        <v>0</v>
      </c>
      <c r="L397" s="560">
        <v>0</v>
      </c>
      <c r="M397" s="1057">
        <f t="shared" si="56"/>
        <v>0</v>
      </c>
      <c r="N397" s="1058">
        <f t="shared" si="57"/>
        <v>0</v>
      </c>
      <c r="O397" s="569">
        <v>0</v>
      </c>
      <c r="P397" s="560">
        <v>0</v>
      </c>
      <c r="Q397" s="571">
        <v>116.92695623881568</v>
      </c>
      <c r="R397" s="1075">
        <f t="shared" si="58"/>
        <v>116.92695623881568</v>
      </c>
      <c r="S397" s="1075">
        <f t="shared" si="59"/>
        <v>0</v>
      </c>
    </row>
    <row r="398" spans="1:19" ht="16.5" hidden="1" thickBot="1" x14ac:dyDescent="0.3">
      <c r="A398" s="657" t="s">
        <v>623</v>
      </c>
      <c r="B398" s="747"/>
      <c r="C398" s="815" t="s">
        <v>1092</v>
      </c>
      <c r="D398" s="549">
        <v>61.005368472425573</v>
      </c>
      <c r="E398" s="550">
        <v>0</v>
      </c>
      <c r="F398" s="551">
        <v>0</v>
      </c>
      <c r="G398" s="560">
        <v>0</v>
      </c>
      <c r="H398" s="566">
        <v>61.005368472425573</v>
      </c>
      <c r="I398" s="567">
        <v>0</v>
      </c>
      <c r="J398" s="560">
        <v>0</v>
      </c>
      <c r="K398" s="568">
        <v>13.217829835692207</v>
      </c>
      <c r="L398" s="560">
        <v>0</v>
      </c>
      <c r="M398" s="1057">
        <f t="shared" si="56"/>
        <v>13.217829835692207</v>
      </c>
      <c r="N398" s="1058">
        <f t="shared" si="57"/>
        <v>0</v>
      </c>
      <c r="O398" s="569">
        <v>0</v>
      </c>
      <c r="P398" s="560">
        <v>0</v>
      </c>
      <c r="Q398" s="571">
        <v>74.223198308117787</v>
      </c>
      <c r="R398" s="1075">
        <f t="shared" si="58"/>
        <v>74.223198308117787</v>
      </c>
      <c r="S398" s="1075">
        <f t="shared" si="59"/>
        <v>0</v>
      </c>
    </row>
    <row r="399" spans="1:19" ht="16.5" hidden="1" thickBot="1" x14ac:dyDescent="0.3">
      <c r="A399" s="657" t="s">
        <v>624</v>
      </c>
      <c r="B399" s="747"/>
      <c r="C399" s="819" t="s">
        <v>1092</v>
      </c>
      <c r="D399" s="549">
        <v>104.21750447372702</v>
      </c>
      <c r="E399" s="550">
        <v>0</v>
      </c>
      <c r="F399" s="551">
        <v>0</v>
      </c>
      <c r="G399" s="560">
        <v>0</v>
      </c>
      <c r="H399" s="566">
        <v>104.21750447372702</v>
      </c>
      <c r="I399" s="567">
        <v>0</v>
      </c>
      <c r="J399" s="560">
        <v>0</v>
      </c>
      <c r="K399" s="568">
        <v>17.28485440052058</v>
      </c>
      <c r="L399" s="560">
        <v>0</v>
      </c>
      <c r="M399" s="1057">
        <f t="shared" si="56"/>
        <v>17.28485440052058</v>
      </c>
      <c r="N399" s="1058">
        <f t="shared" si="57"/>
        <v>0</v>
      </c>
      <c r="O399" s="569">
        <v>0</v>
      </c>
      <c r="P399" s="560">
        <v>0</v>
      </c>
      <c r="Q399" s="571">
        <v>121.50235887424759</v>
      </c>
      <c r="R399" s="1075">
        <f t="shared" si="58"/>
        <v>121.50235887424759</v>
      </c>
      <c r="S399" s="1075">
        <f t="shared" si="59"/>
        <v>0</v>
      </c>
    </row>
    <row r="400" spans="1:19" ht="16.5" hidden="1" thickBot="1" x14ac:dyDescent="0.3">
      <c r="A400" s="631" t="s">
        <v>182</v>
      </c>
      <c r="B400" s="631" t="s">
        <v>429</v>
      </c>
      <c r="C400" s="631" t="s">
        <v>1106</v>
      </c>
      <c r="D400" s="549">
        <v>50.599632657471098</v>
      </c>
      <c r="E400" s="550">
        <v>141.65496212530462</v>
      </c>
      <c r="F400" s="551">
        <v>0</v>
      </c>
      <c r="G400" s="560">
        <v>11.536476152747264</v>
      </c>
      <c r="H400" s="566">
        <v>203.79107093552298</v>
      </c>
      <c r="I400" s="567">
        <v>153.65961993253381</v>
      </c>
      <c r="J400" s="560">
        <v>0</v>
      </c>
      <c r="K400" s="568">
        <v>189.61357006518529</v>
      </c>
      <c r="L400" s="560">
        <v>0</v>
      </c>
      <c r="M400" s="1057">
        <f t="shared" si="56"/>
        <v>343.2731899977191</v>
      </c>
      <c r="N400" s="1058">
        <f t="shared" si="57"/>
        <v>0</v>
      </c>
      <c r="O400" s="569">
        <v>40.335650232290128</v>
      </c>
      <c r="P400" s="560">
        <v>2.4249408770602994</v>
      </c>
      <c r="Q400" s="571">
        <v>589.82485204259251</v>
      </c>
      <c r="R400" s="1075">
        <f t="shared" si="58"/>
        <v>589.82485204259251</v>
      </c>
      <c r="S400" s="1075">
        <f t="shared" si="59"/>
        <v>0</v>
      </c>
    </row>
    <row r="401" spans="1:19" ht="16.5" hidden="1" thickBot="1" x14ac:dyDescent="0.3">
      <c r="A401" s="631" t="s">
        <v>183</v>
      </c>
      <c r="B401" s="631"/>
      <c r="C401" s="631" t="s">
        <v>1106</v>
      </c>
      <c r="D401" s="549">
        <v>70.827481062652311</v>
      </c>
      <c r="E401" s="550">
        <v>108.04192026506284</v>
      </c>
      <c r="F401" s="551">
        <v>9.4116517208676953</v>
      </c>
      <c r="G401" s="560">
        <v>11.296382996602681</v>
      </c>
      <c r="H401" s="566">
        <v>199.57743604518552</v>
      </c>
      <c r="I401" s="567">
        <v>228.08849833735488</v>
      </c>
      <c r="J401" s="560">
        <v>0</v>
      </c>
      <c r="K401" s="568">
        <v>191.94247367978772</v>
      </c>
      <c r="L401" s="560">
        <v>0</v>
      </c>
      <c r="M401" s="1057">
        <f t="shared" si="56"/>
        <v>420.03097201714263</v>
      </c>
      <c r="N401" s="1058">
        <f t="shared" si="57"/>
        <v>0</v>
      </c>
      <c r="O401" s="569">
        <v>40.335650232290128</v>
      </c>
      <c r="P401" s="560">
        <v>2.4249408770602994</v>
      </c>
      <c r="Q401" s="571">
        <v>662.36899917167864</v>
      </c>
      <c r="R401" s="1075">
        <f t="shared" si="58"/>
        <v>662.36899917167864</v>
      </c>
      <c r="S401" s="1075">
        <f t="shared" si="59"/>
        <v>0</v>
      </c>
    </row>
    <row r="402" spans="1:19" ht="16.5" hidden="1" thickBot="1" x14ac:dyDescent="0.3">
      <c r="A402" s="631" t="s">
        <v>184</v>
      </c>
      <c r="B402" s="631"/>
      <c r="C402" s="631" t="s">
        <v>1106</v>
      </c>
      <c r="D402" s="549">
        <v>73.444496464628273</v>
      </c>
      <c r="E402" s="550">
        <v>122.44750963373788</v>
      </c>
      <c r="F402" s="551">
        <v>22.088570365301734</v>
      </c>
      <c r="G402" s="560">
        <v>13.073072352072604</v>
      </c>
      <c r="H402" s="566">
        <v>231.0536488157405</v>
      </c>
      <c r="I402" s="567">
        <v>164.4638119590401</v>
      </c>
      <c r="J402" s="560">
        <v>0</v>
      </c>
      <c r="K402" s="568">
        <v>336.7306514927792</v>
      </c>
      <c r="L402" s="560">
        <v>0</v>
      </c>
      <c r="M402" s="1057">
        <f t="shared" si="56"/>
        <v>501.19446345181927</v>
      </c>
      <c r="N402" s="1058">
        <f t="shared" si="57"/>
        <v>0</v>
      </c>
      <c r="O402" s="569">
        <v>40.335650232290128</v>
      </c>
      <c r="P402" s="560">
        <v>2.4249408770602994</v>
      </c>
      <c r="Q402" s="571">
        <v>775.00870337691026</v>
      </c>
      <c r="R402" s="1075">
        <f t="shared" si="58"/>
        <v>775.00870337691026</v>
      </c>
      <c r="S402" s="1075">
        <f t="shared" si="59"/>
        <v>0</v>
      </c>
    </row>
    <row r="403" spans="1:19" ht="16.5" hidden="1" thickBot="1" x14ac:dyDescent="0.3">
      <c r="A403" s="631" t="s">
        <v>185</v>
      </c>
      <c r="B403" s="631"/>
      <c r="C403" s="631" t="s">
        <v>1106</v>
      </c>
      <c r="D403" s="549">
        <v>54.020960132531421</v>
      </c>
      <c r="E403" s="550">
        <v>75.629344185543985</v>
      </c>
      <c r="F403" s="551">
        <v>0</v>
      </c>
      <c r="G403" s="560">
        <v>7.7790182590845252</v>
      </c>
      <c r="H403" s="566">
        <v>137.42932257715992</v>
      </c>
      <c r="I403" s="567">
        <v>264.10247175904249</v>
      </c>
      <c r="J403" s="560">
        <v>0</v>
      </c>
      <c r="K403" s="568">
        <v>230.77754168617423</v>
      </c>
      <c r="L403" s="560">
        <v>0</v>
      </c>
      <c r="M403" s="1057">
        <f t="shared" si="56"/>
        <v>494.88001344521672</v>
      </c>
      <c r="N403" s="1058">
        <f t="shared" si="57"/>
        <v>0</v>
      </c>
      <c r="O403" s="569">
        <v>40.335650232290128</v>
      </c>
      <c r="P403" s="560">
        <v>2.4249408770602994</v>
      </c>
      <c r="Q403" s="571">
        <v>675.06992713172713</v>
      </c>
      <c r="R403" s="1075">
        <f t="shared" si="58"/>
        <v>675.06992713172713</v>
      </c>
      <c r="S403" s="1075">
        <f t="shared" si="59"/>
        <v>0</v>
      </c>
    </row>
    <row r="404" spans="1:19" ht="16.5" hidden="1" thickBot="1" x14ac:dyDescent="0.3">
      <c r="A404" s="631" t="s">
        <v>186</v>
      </c>
      <c r="B404" s="631"/>
      <c r="C404" s="631" t="s">
        <v>1106</v>
      </c>
      <c r="D404" s="549">
        <v>84.560809594122517</v>
      </c>
      <c r="E404" s="550">
        <v>55.401495780362779</v>
      </c>
      <c r="F404" s="551">
        <v>0</v>
      </c>
      <c r="G404" s="560">
        <v>8.403260465060443</v>
      </c>
      <c r="H404" s="566">
        <v>148.36556583954575</v>
      </c>
      <c r="I404" s="567">
        <v>172.86707242410054</v>
      </c>
      <c r="J404" s="560">
        <v>0</v>
      </c>
      <c r="K404" s="568">
        <v>174.59574314834154</v>
      </c>
      <c r="L404" s="560">
        <v>0</v>
      </c>
      <c r="M404" s="1057">
        <f t="shared" si="56"/>
        <v>347.46281557244208</v>
      </c>
      <c r="N404" s="1058">
        <f t="shared" si="57"/>
        <v>0</v>
      </c>
      <c r="O404" s="569">
        <v>40.335650232290128</v>
      </c>
      <c r="P404" s="560">
        <v>2.4249408770602994</v>
      </c>
      <c r="Q404" s="571">
        <v>538.58897252133829</v>
      </c>
      <c r="R404" s="1075">
        <f t="shared" si="58"/>
        <v>538.58897252133829</v>
      </c>
      <c r="S404" s="1075">
        <f t="shared" si="59"/>
        <v>0</v>
      </c>
    </row>
    <row r="405" spans="1:19" ht="16.5" hidden="1" thickBot="1" x14ac:dyDescent="0.3">
      <c r="A405" s="546" t="s">
        <v>125</v>
      </c>
      <c r="B405" s="1046"/>
      <c r="C405" s="802" t="s">
        <v>1112</v>
      </c>
      <c r="D405" s="549">
        <v>149.78069133112257</v>
      </c>
      <c r="E405" s="550">
        <v>0</v>
      </c>
      <c r="F405" s="551">
        <v>0</v>
      </c>
      <c r="G405" s="560">
        <v>37.445172832780642</v>
      </c>
      <c r="H405" s="566">
        <v>187.22586416390322</v>
      </c>
      <c r="I405" s="567">
        <v>208.88861264568274</v>
      </c>
      <c r="J405" s="560">
        <v>52.222153161420685</v>
      </c>
      <c r="K405" s="568">
        <v>0</v>
      </c>
      <c r="L405" s="560">
        <v>0</v>
      </c>
      <c r="M405" s="1057">
        <f t="shared" si="56"/>
        <v>208.88861264568274</v>
      </c>
      <c r="N405" s="1058">
        <f t="shared" si="57"/>
        <v>52.222153161420685</v>
      </c>
      <c r="O405" s="569">
        <v>0</v>
      </c>
      <c r="P405" s="560">
        <v>0</v>
      </c>
      <c r="Q405" s="571">
        <v>448.33662997100669</v>
      </c>
      <c r="R405" s="1075">
        <f t="shared" si="58"/>
        <v>448.33662997100669</v>
      </c>
      <c r="S405" s="1075">
        <f t="shared" si="59"/>
        <v>0</v>
      </c>
    </row>
    <row r="406" spans="1:19" ht="16.5" hidden="1" thickBot="1" x14ac:dyDescent="0.3">
      <c r="A406" s="547" t="s">
        <v>126</v>
      </c>
      <c r="B406" s="1046" t="s">
        <v>429</v>
      </c>
      <c r="C406" s="802" t="s">
        <v>1112</v>
      </c>
      <c r="D406" s="549">
        <v>37.536576834813467</v>
      </c>
      <c r="E406" s="550">
        <v>119.06894664809337</v>
      </c>
      <c r="F406" s="551">
        <v>0</v>
      </c>
      <c r="G406" s="560">
        <v>34.459308766375024</v>
      </c>
      <c r="H406" s="566">
        <v>191.06483224928186</v>
      </c>
      <c r="I406" s="567">
        <v>178.66435597349528</v>
      </c>
      <c r="J406" s="560">
        <v>49.3581610977255</v>
      </c>
      <c r="K406" s="568">
        <v>0</v>
      </c>
      <c r="L406" s="560">
        <v>0</v>
      </c>
      <c r="M406" s="1057">
        <f t="shared" si="56"/>
        <v>178.66435597349528</v>
      </c>
      <c r="N406" s="1058">
        <f t="shared" si="57"/>
        <v>49.3581610977255</v>
      </c>
      <c r="O406" s="569">
        <v>0</v>
      </c>
      <c r="P406" s="560">
        <v>0</v>
      </c>
      <c r="Q406" s="571">
        <v>419.0873493205026</v>
      </c>
      <c r="R406" s="1075">
        <f t="shared" si="58"/>
        <v>419.0873493205026</v>
      </c>
      <c r="S406" s="1075">
        <f t="shared" si="59"/>
        <v>0</v>
      </c>
    </row>
    <row r="407" spans="1:19" ht="16.5" hidden="1" thickBot="1" x14ac:dyDescent="0.3">
      <c r="A407" s="641" t="s">
        <v>127</v>
      </c>
      <c r="B407" s="1046"/>
      <c r="C407" s="807" t="s">
        <v>1112</v>
      </c>
      <c r="D407" s="549">
        <v>38.609050458665287</v>
      </c>
      <c r="E407" s="550">
        <v>106.51613036891874</v>
      </c>
      <c r="F407" s="551">
        <v>11.894707464538293</v>
      </c>
      <c r="G407" s="560">
        <v>39.254972073030579</v>
      </c>
      <c r="H407" s="566">
        <v>196.2748603651529</v>
      </c>
      <c r="I407" s="567">
        <v>162.65037481734433</v>
      </c>
      <c r="J407" s="560">
        <v>40.662593704336082</v>
      </c>
      <c r="K407" s="568">
        <v>0</v>
      </c>
      <c r="L407" s="560">
        <v>0</v>
      </c>
      <c r="M407" s="1057">
        <f t="shared" si="56"/>
        <v>162.65037481734433</v>
      </c>
      <c r="N407" s="1058">
        <f t="shared" si="57"/>
        <v>40.662593704336082</v>
      </c>
      <c r="O407" s="569">
        <v>0</v>
      </c>
      <c r="P407" s="560">
        <v>0</v>
      </c>
      <c r="Q407" s="571">
        <v>399.58782888683328</v>
      </c>
      <c r="R407" s="1075">
        <f t="shared" si="58"/>
        <v>399.58782888683328</v>
      </c>
      <c r="S407" s="1075">
        <f t="shared" si="59"/>
        <v>0</v>
      </c>
    </row>
    <row r="408" spans="1:19" ht="16.5" hidden="1" thickBot="1" x14ac:dyDescent="0.3">
      <c r="A408" s="546" t="s">
        <v>128</v>
      </c>
      <c r="B408" s="1046"/>
      <c r="C408" s="802" t="s">
        <v>1114</v>
      </c>
      <c r="D408" s="549">
        <v>0</v>
      </c>
      <c r="E408" s="550">
        <v>137.1280724450194</v>
      </c>
      <c r="F408" s="551">
        <v>0</v>
      </c>
      <c r="G408" s="560">
        <v>10.970245795601551</v>
      </c>
      <c r="H408" s="566">
        <v>148.09831824062096</v>
      </c>
      <c r="I408" s="567">
        <v>0</v>
      </c>
      <c r="J408" s="560">
        <v>0</v>
      </c>
      <c r="K408" s="568">
        <v>140.29035503809112</v>
      </c>
      <c r="L408" s="560">
        <v>11.22322840304729</v>
      </c>
      <c r="M408" s="1057">
        <f t="shared" si="56"/>
        <v>140.29035503809112</v>
      </c>
      <c r="N408" s="1058">
        <f t="shared" si="57"/>
        <v>11.22322840304729</v>
      </c>
      <c r="O408" s="569">
        <v>0</v>
      </c>
      <c r="P408" s="560">
        <v>0</v>
      </c>
      <c r="Q408" s="571">
        <v>299.61190168175938</v>
      </c>
      <c r="R408" s="1075">
        <f t="shared" si="58"/>
        <v>299.61190168175938</v>
      </c>
      <c r="S408" s="1075">
        <f t="shared" si="59"/>
        <v>0</v>
      </c>
    </row>
    <row r="409" spans="1:19" ht="16.5" hidden="1" thickBot="1" x14ac:dyDescent="0.3">
      <c r="A409" s="641" t="s">
        <v>891</v>
      </c>
      <c r="B409" s="1046" t="s">
        <v>429</v>
      </c>
      <c r="C409" s="802" t="s">
        <v>1114</v>
      </c>
      <c r="D409" s="549">
        <v>0</v>
      </c>
      <c r="E409" s="550">
        <v>120.74169900819319</v>
      </c>
      <c r="F409" s="551">
        <v>0</v>
      </c>
      <c r="G409" s="560">
        <v>9.6593359206554563</v>
      </c>
      <c r="H409" s="566">
        <v>130.40103492884865</v>
      </c>
      <c r="I409" s="567">
        <v>0</v>
      </c>
      <c r="J409" s="560">
        <v>0</v>
      </c>
      <c r="K409" s="568">
        <v>184.5623113410953</v>
      </c>
      <c r="L409" s="560">
        <v>14.764984907287625</v>
      </c>
      <c r="M409" s="1057">
        <f t="shared" si="56"/>
        <v>184.5623113410953</v>
      </c>
      <c r="N409" s="1058">
        <f t="shared" si="57"/>
        <v>14.764984907287625</v>
      </c>
      <c r="O409" s="569">
        <v>0</v>
      </c>
      <c r="P409" s="560">
        <v>0</v>
      </c>
      <c r="Q409" s="571">
        <v>329.72833117723155</v>
      </c>
      <c r="R409" s="1075">
        <f t="shared" si="58"/>
        <v>329.72833117723155</v>
      </c>
      <c r="S409" s="1075">
        <f t="shared" si="59"/>
        <v>0</v>
      </c>
    </row>
    <row r="410" spans="1:19" ht="16.5" hidden="1" thickBot="1" x14ac:dyDescent="0.3">
      <c r="A410" s="547" t="s">
        <v>129</v>
      </c>
      <c r="B410" s="1046"/>
      <c r="C410" s="802" t="s">
        <v>1114</v>
      </c>
      <c r="D410" s="549">
        <v>0</v>
      </c>
      <c r="E410" s="550">
        <v>128.79114560873941</v>
      </c>
      <c r="F410" s="551">
        <v>0</v>
      </c>
      <c r="G410" s="560">
        <v>10.303291648699153</v>
      </c>
      <c r="H410" s="566">
        <v>139.09443725743856</v>
      </c>
      <c r="I410" s="567">
        <v>0</v>
      </c>
      <c r="J410" s="560">
        <v>0</v>
      </c>
      <c r="K410" s="568">
        <v>158.4016098893201</v>
      </c>
      <c r="L410" s="560">
        <v>12.672128791145608</v>
      </c>
      <c r="M410" s="1057">
        <f t="shared" si="56"/>
        <v>158.4016098893201</v>
      </c>
      <c r="N410" s="1058">
        <f t="shared" si="57"/>
        <v>12.672128791145608</v>
      </c>
      <c r="O410" s="569">
        <v>0</v>
      </c>
      <c r="P410" s="560">
        <v>0</v>
      </c>
      <c r="Q410" s="571">
        <v>310.16817593790427</v>
      </c>
      <c r="R410" s="1075">
        <f t="shared" si="58"/>
        <v>310.16817593790427</v>
      </c>
      <c r="S410" s="1075">
        <f t="shared" si="59"/>
        <v>0</v>
      </c>
    </row>
    <row r="411" spans="1:19" ht="16.5" hidden="1" thickBot="1" x14ac:dyDescent="0.3">
      <c r="A411" s="547" t="s">
        <v>130</v>
      </c>
      <c r="B411" s="1046"/>
      <c r="C411" s="802" t="s">
        <v>1114</v>
      </c>
      <c r="D411" s="549">
        <v>0</v>
      </c>
      <c r="E411" s="550">
        <v>96.018398735086961</v>
      </c>
      <c r="F411" s="551">
        <v>0</v>
      </c>
      <c r="G411" s="560">
        <v>7.681471898806957</v>
      </c>
      <c r="H411" s="566">
        <v>103.69987063389392</v>
      </c>
      <c r="I411" s="567">
        <v>0</v>
      </c>
      <c r="J411" s="560">
        <v>0</v>
      </c>
      <c r="K411" s="568">
        <v>159.55153083225528</v>
      </c>
      <c r="L411" s="560">
        <v>12.764122466580423</v>
      </c>
      <c r="M411" s="1057">
        <f t="shared" si="56"/>
        <v>159.55153083225528</v>
      </c>
      <c r="N411" s="1058">
        <f t="shared" si="57"/>
        <v>12.764122466580423</v>
      </c>
      <c r="O411" s="569">
        <v>0</v>
      </c>
      <c r="P411" s="560">
        <v>0</v>
      </c>
      <c r="Q411" s="571">
        <v>276.01552393272965</v>
      </c>
      <c r="R411" s="1075">
        <f t="shared" si="58"/>
        <v>276.01552393272965</v>
      </c>
      <c r="S411" s="1075">
        <f t="shared" si="59"/>
        <v>0</v>
      </c>
    </row>
    <row r="412" spans="1:19" ht="16.5" hidden="1" thickBot="1" x14ac:dyDescent="0.3">
      <c r="A412" s="547" t="s">
        <v>131</v>
      </c>
      <c r="B412" s="1046"/>
      <c r="C412" s="802" t="s">
        <v>1114</v>
      </c>
      <c r="D412" s="549">
        <v>0</v>
      </c>
      <c r="E412" s="550">
        <v>97.168319678022144</v>
      </c>
      <c r="F412" s="551">
        <v>0</v>
      </c>
      <c r="G412" s="560">
        <v>7.7734655742417704</v>
      </c>
      <c r="H412" s="566">
        <v>104.94178525226391</v>
      </c>
      <c r="I412" s="567">
        <v>0</v>
      </c>
      <c r="J412" s="560">
        <v>0</v>
      </c>
      <c r="K412" s="568">
        <v>95.443438263619385</v>
      </c>
      <c r="L412" s="560">
        <v>7.6354750610895499</v>
      </c>
      <c r="M412" s="1057">
        <f t="shared" si="56"/>
        <v>95.443438263619385</v>
      </c>
      <c r="N412" s="1058">
        <f t="shared" si="57"/>
        <v>7.6354750610895499</v>
      </c>
      <c r="O412" s="569">
        <v>0</v>
      </c>
      <c r="P412" s="560">
        <v>0</v>
      </c>
      <c r="Q412" s="571">
        <v>208.02069857697285</v>
      </c>
      <c r="R412" s="1075">
        <f t="shared" si="58"/>
        <v>208.02069857697285</v>
      </c>
      <c r="S412" s="1075">
        <f t="shared" si="59"/>
        <v>0</v>
      </c>
    </row>
    <row r="413" spans="1:19" ht="16.5" hidden="1" thickBot="1" x14ac:dyDescent="0.3">
      <c r="A413" s="543" t="s">
        <v>132</v>
      </c>
      <c r="B413" s="1046"/>
      <c r="C413" s="802" t="s">
        <v>1114</v>
      </c>
      <c r="D413" s="549">
        <v>0</v>
      </c>
      <c r="E413" s="550">
        <v>84.80666954146902</v>
      </c>
      <c r="F413" s="551">
        <v>0</v>
      </c>
      <c r="G413" s="560">
        <v>6.7845335633175221</v>
      </c>
      <c r="H413" s="566">
        <v>91.591203104786544</v>
      </c>
      <c r="I413" s="567">
        <v>0</v>
      </c>
      <c r="J413" s="560">
        <v>0</v>
      </c>
      <c r="K413" s="568">
        <v>129.65358631594077</v>
      </c>
      <c r="L413" s="560">
        <v>10.372286905275262</v>
      </c>
      <c r="M413" s="1057">
        <f t="shared" si="56"/>
        <v>129.65358631594077</v>
      </c>
      <c r="N413" s="1058">
        <f t="shared" si="57"/>
        <v>10.372286905275262</v>
      </c>
      <c r="O413" s="569">
        <v>0</v>
      </c>
      <c r="P413" s="560">
        <v>0</v>
      </c>
      <c r="Q413" s="571">
        <v>231.6170763260026</v>
      </c>
      <c r="R413" s="1075">
        <f t="shared" si="58"/>
        <v>231.6170763260026</v>
      </c>
      <c r="S413" s="1075">
        <f t="shared" si="59"/>
        <v>0</v>
      </c>
    </row>
    <row r="414" spans="1:19" ht="16.5" hidden="1" thickBot="1" x14ac:dyDescent="0.3">
      <c r="A414" s="638" t="s">
        <v>133</v>
      </c>
      <c r="B414" s="693" t="s">
        <v>429</v>
      </c>
      <c r="C414" s="806" t="s">
        <v>1116</v>
      </c>
      <c r="D414" s="549">
        <v>68.426549501206466</v>
      </c>
      <c r="E414" s="550">
        <v>62.244150730483426</v>
      </c>
      <c r="F414" s="551">
        <v>2.7130526644337998</v>
      </c>
      <c r="G414" s="560">
        <v>8.0071067574218802</v>
      </c>
      <c r="H414" s="566">
        <v>141.39085965354559</v>
      </c>
      <c r="I414" s="567">
        <v>85.569200849929771</v>
      </c>
      <c r="J414" s="560">
        <v>0</v>
      </c>
      <c r="K414" s="568">
        <v>0</v>
      </c>
      <c r="L414" s="560">
        <v>0</v>
      </c>
      <c r="M414" s="1057">
        <f t="shared" si="56"/>
        <v>85.569200849929771</v>
      </c>
      <c r="N414" s="1058">
        <f t="shared" si="57"/>
        <v>0</v>
      </c>
      <c r="O414" s="569">
        <v>17.442767793904032</v>
      </c>
      <c r="P414" s="560">
        <v>0</v>
      </c>
      <c r="Q414" s="571">
        <v>244.40282829737939</v>
      </c>
      <c r="R414" s="1075">
        <f t="shared" si="58"/>
        <v>244.40282829737939</v>
      </c>
      <c r="S414" s="1075">
        <f t="shared" si="59"/>
        <v>0</v>
      </c>
    </row>
    <row r="415" spans="1:19" ht="16.5" hidden="1" thickBot="1" x14ac:dyDescent="0.3">
      <c r="A415" s="639" t="s">
        <v>134</v>
      </c>
      <c r="B415" s="639"/>
      <c r="C415" s="724" t="s">
        <v>1116</v>
      </c>
      <c r="D415" s="549">
        <v>58.630748730507442</v>
      </c>
      <c r="E415" s="550">
        <v>90.431087261857598</v>
      </c>
      <c r="F415" s="551">
        <v>2.7250573222410295</v>
      </c>
      <c r="G415" s="560">
        <v>9.1115352756869665</v>
      </c>
      <c r="H415" s="566">
        <v>160.89842859029307</v>
      </c>
      <c r="I415" s="567">
        <v>131.95519861706342</v>
      </c>
      <c r="J415" s="560">
        <v>0</v>
      </c>
      <c r="K415" s="568">
        <v>0</v>
      </c>
      <c r="L415" s="560">
        <v>0</v>
      </c>
      <c r="M415" s="1057">
        <f t="shared" si="56"/>
        <v>131.95519861706342</v>
      </c>
      <c r="N415" s="1058">
        <f t="shared" si="57"/>
        <v>0</v>
      </c>
      <c r="O415" s="569">
        <v>0</v>
      </c>
      <c r="P415" s="560">
        <v>0</v>
      </c>
      <c r="Q415" s="571">
        <v>292.85362720735645</v>
      </c>
      <c r="R415" s="1075">
        <f t="shared" si="58"/>
        <v>292.85362720735645</v>
      </c>
      <c r="S415" s="1075">
        <f t="shared" si="59"/>
        <v>0</v>
      </c>
    </row>
    <row r="416" spans="1:19" ht="16.5" hidden="1" thickBot="1" x14ac:dyDescent="0.3">
      <c r="A416" s="639" t="s">
        <v>135</v>
      </c>
      <c r="B416" s="639"/>
      <c r="C416" s="724" t="s">
        <v>1116</v>
      </c>
      <c r="D416" s="549">
        <v>49.963385793687948</v>
      </c>
      <c r="E416" s="550">
        <v>94.704745441231196</v>
      </c>
      <c r="F416" s="551">
        <v>2.4489501926747579</v>
      </c>
      <c r="G416" s="560">
        <v>8.8234234883134643</v>
      </c>
      <c r="H416" s="566">
        <v>155.94050491590738</v>
      </c>
      <c r="I416" s="567">
        <v>57.034129242145951</v>
      </c>
      <c r="J416" s="560">
        <v>3.4213274750603233</v>
      </c>
      <c r="K416" s="568">
        <v>0</v>
      </c>
      <c r="L416" s="560">
        <v>0</v>
      </c>
      <c r="M416" s="1057">
        <f t="shared" si="56"/>
        <v>57.034129242145951</v>
      </c>
      <c r="N416" s="1058">
        <f t="shared" si="57"/>
        <v>3.4213274750603233</v>
      </c>
      <c r="O416" s="569">
        <v>0</v>
      </c>
      <c r="P416" s="560">
        <v>0</v>
      </c>
      <c r="Q416" s="571">
        <v>216.39596163311364</v>
      </c>
      <c r="R416" s="1075">
        <f t="shared" si="58"/>
        <v>216.39596163311364</v>
      </c>
      <c r="S416" s="1075">
        <f t="shared" si="59"/>
        <v>0</v>
      </c>
    </row>
    <row r="417" spans="1:19" ht="16.5" hidden="1" thickBot="1" x14ac:dyDescent="0.3">
      <c r="A417" s="639" t="s">
        <v>136</v>
      </c>
      <c r="B417" s="639"/>
      <c r="C417" s="724" t="s">
        <v>1116</v>
      </c>
      <c r="D417" s="549">
        <v>45.749750903350495</v>
      </c>
      <c r="E417" s="550">
        <v>105.42490486308687</v>
      </c>
      <c r="F417" s="551">
        <v>3.0011644518073011</v>
      </c>
      <c r="G417" s="560">
        <v>9.2555911693737158</v>
      </c>
      <c r="H417" s="566">
        <v>163.43141138761837</v>
      </c>
      <c r="I417" s="567">
        <v>123.50391952077405</v>
      </c>
      <c r="J417" s="560">
        <v>0</v>
      </c>
      <c r="K417" s="568">
        <v>0</v>
      </c>
      <c r="L417" s="560">
        <v>0</v>
      </c>
      <c r="M417" s="1057">
        <f t="shared" si="56"/>
        <v>123.50391952077405</v>
      </c>
      <c r="N417" s="1058">
        <f t="shared" si="57"/>
        <v>0</v>
      </c>
      <c r="O417" s="569">
        <v>0</v>
      </c>
      <c r="P417" s="560">
        <v>0</v>
      </c>
      <c r="Q417" s="571">
        <v>286.93533090839242</v>
      </c>
      <c r="R417" s="1075">
        <f t="shared" si="58"/>
        <v>286.93533090839242</v>
      </c>
      <c r="S417" s="1075">
        <f t="shared" si="59"/>
        <v>0</v>
      </c>
    </row>
    <row r="418" spans="1:19" ht="16.5" hidden="1" thickBot="1" x14ac:dyDescent="0.3">
      <c r="A418" s="639" t="s">
        <v>137</v>
      </c>
      <c r="B418" s="639"/>
      <c r="C418" s="724" t="s">
        <v>1116</v>
      </c>
      <c r="D418" s="549">
        <v>67.190069747061855</v>
      </c>
      <c r="E418" s="550">
        <v>67.454172218820901</v>
      </c>
      <c r="F418" s="551">
        <v>2.0527964850361937</v>
      </c>
      <c r="G418" s="560">
        <v>8.1991812823375465</v>
      </c>
      <c r="H418" s="566">
        <v>144.89621973325652</v>
      </c>
      <c r="I418" s="567">
        <v>58.930865175688169</v>
      </c>
      <c r="J418" s="560">
        <v>0</v>
      </c>
      <c r="K418" s="568">
        <v>0</v>
      </c>
      <c r="L418" s="560">
        <v>0</v>
      </c>
      <c r="M418" s="1057">
        <f t="shared" si="56"/>
        <v>58.930865175688169</v>
      </c>
      <c r="N418" s="1058">
        <f t="shared" si="57"/>
        <v>0</v>
      </c>
      <c r="O418" s="569">
        <v>0</v>
      </c>
      <c r="P418" s="560">
        <v>0</v>
      </c>
      <c r="Q418" s="571">
        <v>203.8270849089447</v>
      </c>
      <c r="R418" s="1075">
        <f t="shared" si="58"/>
        <v>203.8270849089447</v>
      </c>
      <c r="S418" s="1075">
        <f t="shared" si="59"/>
        <v>0</v>
      </c>
    </row>
    <row r="419" spans="1:19" ht="16.5" hidden="1" thickBot="1" x14ac:dyDescent="0.3">
      <c r="A419" s="639" t="s">
        <v>138</v>
      </c>
      <c r="B419" s="639"/>
      <c r="C419" s="724" t="s">
        <v>1116</v>
      </c>
      <c r="D419" s="549">
        <v>56.181798537832677</v>
      </c>
      <c r="E419" s="550">
        <v>81.631673089158596</v>
      </c>
      <c r="F419" s="551">
        <v>2.9171318471566967</v>
      </c>
      <c r="G419" s="560">
        <v>8.4392744384821317</v>
      </c>
      <c r="H419" s="566">
        <v>149.16987791263008</v>
      </c>
      <c r="I419" s="567">
        <v>101.27129326178557</v>
      </c>
      <c r="J419" s="560">
        <v>6.0743568504579768</v>
      </c>
      <c r="K419" s="568">
        <v>0</v>
      </c>
      <c r="L419" s="560">
        <v>0</v>
      </c>
      <c r="M419" s="1057">
        <f t="shared" si="56"/>
        <v>101.27129326178557</v>
      </c>
      <c r="N419" s="1058">
        <f t="shared" si="57"/>
        <v>6.0743568504579768</v>
      </c>
      <c r="O419" s="569">
        <v>0</v>
      </c>
      <c r="P419" s="560">
        <v>0</v>
      </c>
      <c r="Q419" s="571">
        <v>256.51552802487367</v>
      </c>
      <c r="R419" s="1075">
        <f t="shared" si="58"/>
        <v>256.51552802487367</v>
      </c>
      <c r="S419" s="1075">
        <f t="shared" si="59"/>
        <v>0</v>
      </c>
    </row>
    <row r="420" spans="1:19" ht="16.5" hidden="1" thickBot="1" x14ac:dyDescent="0.3">
      <c r="A420" s="640" t="s">
        <v>139</v>
      </c>
      <c r="B420" s="652"/>
      <c r="C420" s="807" t="s">
        <v>1116</v>
      </c>
      <c r="D420" s="549">
        <v>40.743808597735921</v>
      </c>
      <c r="E420" s="550">
        <v>66.733892750387156</v>
      </c>
      <c r="F420" s="551">
        <v>3.2172482923374268</v>
      </c>
      <c r="G420" s="560">
        <v>6.6385757673977501</v>
      </c>
      <c r="H420" s="566">
        <v>117.33352540785826</v>
      </c>
      <c r="I420" s="567">
        <v>137.65741107549729</v>
      </c>
      <c r="J420" s="560">
        <v>0</v>
      </c>
      <c r="K420" s="568">
        <v>0</v>
      </c>
      <c r="L420" s="560">
        <v>0</v>
      </c>
      <c r="M420" s="1057">
        <f t="shared" si="56"/>
        <v>137.65741107549729</v>
      </c>
      <c r="N420" s="1058">
        <f t="shared" si="57"/>
        <v>0</v>
      </c>
      <c r="O420" s="569">
        <v>0</v>
      </c>
      <c r="P420" s="560">
        <v>0</v>
      </c>
      <c r="Q420" s="571">
        <v>254.99093648335554</v>
      </c>
      <c r="R420" s="1075">
        <f t="shared" si="58"/>
        <v>254.99093648335554</v>
      </c>
      <c r="S420" s="1075">
        <f t="shared" si="59"/>
        <v>0</v>
      </c>
    </row>
    <row r="421" spans="1:19" ht="16.5" hidden="1" thickBot="1" x14ac:dyDescent="0.3">
      <c r="A421" s="630" t="s">
        <v>869</v>
      </c>
      <c r="B421" s="754"/>
      <c r="C421" s="754" t="s">
        <v>1118</v>
      </c>
      <c r="D421" s="549">
        <v>0</v>
      </c>
      <c r="E421" s="550">
        <v>67.664220806619255</v>
      </c>
      <c r="F421" s="551">
        <v>0</v>
      </c>
      <c r="G421" s="560">
        <v>6.0897798725957344</v>
      </c>
      <c r="H421" s="566">
        <v>73.754000679214982</v>
      </c>
      <c r="I421" s="567">
        <v>0</v>
      </c>
      <c r="J421" s="560">
        <v>0</v>
      </c>
      <c r="K421" s="568">
        <v>71.780675304360358</v>
      </c>
      <c r="L421" s="560">
        <v>13.638328307828468</v>
      </c>
      <c r="M421" s="1057">
        <f t="shared" si="56"/>
        <v>71.780675304360358</v>
      </c>
      <c r="N421" s="1058">
        <f t="shared" si="57"/>
        <v>13.638328307828468</v>
      </c>
      <c r="O421" s="569">
        <v>0</v>
      </c>
      <c r="P421" s="560">
        <v>0</v>
      </c>
      <c r="Q421" s="571">
        <v>159.1730042914038</v>
      </c>
      <c r="R421" s="1075">
        <f t="shared" si="58"/>
        <v>159.1730042914038</v>
      </c>
      <c r="S421" s="1075">
        <f t="shared" si="59"/>
        <v>0</v>
      </c>
    </row>
    <row r="422" spans="1:19" ht="16.5" hidden="1" thickBot="1" x14ac:dyDescent="0.3">
      <c r="A422" s="630" t="s">
        <v>189</v>
      </c>
      <c r="B422" s="754"/>
      <c r="C422" s="754" t="s">
        <v>1118</v>
      </c>
      <c r="D422" s="549">
        <v>0</v>
      </c>
      <c r="E422" s="550">
        <v>82.32908995482191</v>
      </c>
      <c r="F422" s="551">
        <v>0</v>
      </c>
      <c r="G422" s="560">
        <v>7.4096180959339728</v>
      </c>
      <c r="H422" s="566">
        <v>89.738708050755889</v>
      </c>
      <c r="I422" s="567">
        <v>0</v>
      </c>
      <c r="J422" s="560">
        <v>0</v>
      </c>
      <c r="K422" s="568">
        <v>46.310113099587326</v>
      </c>
      <c r="L422" s="560">
        <v>8.798921488921593</v>
      </c>
      <c r="M422" s="1057">
        <f t="shared" si="56"/>
        <v>46.310113099587326</v>
      </c>
      <c r="N422" s="1058">
        <f t="shared" si="57"/>
        <v>8.798921488921593</v>
      </c>
      <c r="O422" s="569">
        <v>0</v>
      </c>
      <c r="P422" s="560">
        <v>0</v>
      </c>
      <c r="Q422" s="571">
        <v>144.84774263926479</v>
      </c>
      <c r="R422" s="1075">
        <f t="shared" si="58"/>
        <v>144.84774263926479</v>
      </c>
      <c r="S422" s="1075">
        <f t="shared" si="59"/>
        <v>0</v>
      </c>
    </row>
    <row r="423" spans="1:19" ht="16.5" hidden="1" thickBot="1" x14ac:dyDescent="0.3">
      <c r="A423" s="630" t="s">
        <v>190</v>
      </c>
      <c r="B423" s="754"/>
      <c r="C423" s="754" t="s">
        <v>1118</v>
      </c>
      <c r="D423" s="549">
        <v>0</v>
      </c>
      <c r="E423" s="550">
        <v>95.707567072480472</v>
      </c>
      <c r="F423" s="551">
        <v>0</v>
      </c>
      <c r="G423" s="560">
        <v>8.6136810365232428</v>
      </c>
      <c r="H423" s="566">
        <v>104.32124810900372</v>
      </c>
      <c r="I423" s="567">
        <v>0</v>
      </c>
      <c r="J423" s="560">
        <v>0</v>
      </c>
      <c r="K423" s="568">
        <v>66.120550369966352</v>
      </c>
      <c r="L423" s="560">
        <v>12.562904570293606</v>
      </c>
      <c r="M423" s="1057">
        <f t="shared" si="56"/>
        <v>66.120550369966352</v>
      </c>
      <c r="N423" s="1058">
        <f t="shared" si="57"/>
        <v>12.562904570293606</v>
      </c>
      <c r="O423" s="569">
        <v>0</v>
      </c>
      <c r="P423" s="560">
        <v>0</v>
      </c>
      <c r="Q423" s="571">
        <v>183.00470304926367</v>
      </c>
      <c r="R423" s="1075">
        <f t="shared" si="58"/>
        <v>183.00470304926367</v>
      </c>
      <c r="S423" s="1075">
        <f t="shared" si="59"/>
        <v>0</v>
      </c>
    </row>
    <row r="424" spans="1:19" ht="16.5" hidden="1" thickBot="1" x14ac:dyDescent="0.3">
      <c r="A424" s="631" t="s">
        <v>191</v>
      </c>
      <c r="B424" s="754"/>
      <c r="C424" s="754" t="s">
        <v>1118</v>
      </c>
      <c r="D424" s="549">
        <v>0</v>
      </c>
      <c r="E424" s="550">
        <v>73.324345741013275</v>
      </c>
      <c r="F424" s="551">
        <v>0</v>
      </c>
      <c r="G424" s="560">
        <v>6.5991911166911938</v>
      </c>
      <c r="H424" s="566">
        <v>79.923536857704462</v>
      </c>
      <c r="I424" s="567">
        <v>0</v>
      </c>
      <c r="J424" s="560">
        <v>0</v>
      </c>
      <c r="K424" s="568">
        <v>73.067067334904451</v>
      </c>
      <c r="L424" s="560">
        <v>13.882742793631845</v>
      </c>
      <c r="M424" s="1057">
        <f t="shared" si="56"/>
        <v>73.067067334904451</v>
      </c>
      <c r="N424" s="1058">
        <f t="shared" si="57"/>
        <v>13.882742793631845</v>
      </c>
      <c r="O424" s="569">
        <v>0</v>
      </c>
      <c r="P424" s="560">
        <v>0</v>
      </c>
      <c r="Q424" s="571">
        <v>166.87334698624076</v>
      </c>
      <c r="R424" s="1075">
        <f t="shared" si="58"/>
        <v>166.87334698624076</v>
      </c>
      <c r="S424" s="1075">
        <f t="shared" si="59"/>
        <v>0</v>
      </c>
    </row>
    <row r="425" spans="1:19" ht="16.5" hidden="1" thickBot="1" x14ac:dyDescent="0.3">
      <c r="A425" s="631" t="s">
        <v>218</v>
      </c>
      <c r="B425" s="754"/>
      <c r="C425" s="754" t="s">
        <v>1118</v>
      </c>
      <c r="D425" s="549">
        <v>0</v>
      </c>
      <c r="E425" s="550">
        <v>103.42591925574503</v>
      </c>
      <c r="F425" s="551">
        <v>0</v>
      </c>
      <c r="G425" s="560">
        <v>9.3083327330170533</v>
      </c>
      <c r="H425" s="566">
        <v>112.73425198876208</v>
      </c>
      <c r="I425" s="567">
        <v>0</v>
      </c>
      <c r="J425" s="560">
        <v>0</v>
      </c>
      <c r="K425" s="568">
        <v>62.261374278334074</v>
      </c>
      <c r="L425" s="560">
        <v>11.829661112883473</v>
      </c>
      <c r="M425" s="1057">
        <f t="shared" si="56"/>
        <v>62.261374278334074</v>
      </c>
      <c r="N425" s="1058">
        <f t="shared" si="57"/>
        <v>11.829661112883473</v>
      </c>
      <c r="O425" s="569">
        <v>0</v>
      </c>
      <c r="P425" s="560">
        <v>0</v>
      </c>
      <c r="Q425" s="571">
        <v>186.82528737997964</v>
      </c>
      <c r="R425" s="1075">
        <f t="shared" si="58"/>
        <v>186.82528737997964</v>
      </c>
      <c r="S425" s="1075">
        <f t="shared" si="59"/>
        <v>0</v>
      </c>
    </row>
    <row r="426" spans="1:19" ht="16.5" hidden="1" thickBot="1" x14ac:dyDescent="0.3">
      <c r="A426" s="632" t="s">
        <v>219</v>
      </c>
      <c r="B426" s="925"/>
      <c r="C426" s="754" t="s">
        <v>1118</v>
      </c>
      <c r="D426" s="549">
        <v>0</v>
      </c>
      <c r="E426" s="550">
        <v>79.24174908151609</v>
      </c>
      <c r="F426" s="551">
        <v>0</v>
      </c>
      <c r="G426" s="560">
        <v>7.1317574173364484</v>
      </c>
      <c r="H426" s="566">
        <v>86.373506498852535</v>
      </c>
      <c r="I426" s="567">
        <v>0</v>
      </c>
      <c r="J426" s="560">
        <v>0</v>
      </c>
      <c r="K426" s="568">
        <v>54.800300501178334</v>
      </c>
      <c r="L426" s="560">
        <v>10.412057095223883</v>
      </c>
      <c r="M426" s="1057">
        <f t="shared" si="56"/>
        <v>54.800300501178334</v>
      </c>
      <c r="N426" s="1058">
        <f t="shared" si="57"/>
        <v>10.412057095223883</v>
      </c>
      <c r="O426" s="569">
        <v>0</v>
      </c>
      <c r="P426" s="560">
        <v>0</v>
      </c>
      <c r="Q426" s="571">
        <v>151.58586409525475</v>
      </c>
      <c r="R426" s="1075">
        <f t="shared" si="58"/>
        <v>151.58586409525475</v>
      </c>
      <c r="S426" s="1075">
        <f t="shared" si="59"/>
        <v>0</v>
      </c>
    </row>
    <row r="427" spans="1:19" ht="16.5" hidden="1" thickBot="1" x14ac:dyDescent="0.3">
      <c r="A427" s="632" t="s">
        <v>513</v>
      </c>
      <c r="B427" s="925"/>
      <c r="C427" s="754" t="s">
        <v>1118</v>
      </c>
      <c r="D427" s="549">
        <v>0</v>
      </c>
      <c r="E427" s="550">
        <v>105.22686809850676</v>
      </c>
      <c r="F427" s="551">
        <v>0</v>
      </c>
      <c r="G427" s="560">
        <v>9.4704181288656084</v>
      </c>
      <c r="H427" s="566">
        <v>114.69728622737236</v>
      </c>
      <c r="I427" s="567">
        <v>0</v>
      </c>
      <c r="J427" s="560">
        <v>0</v>
      </c>
      <c r="K427" s="568">
        <v>93.392061417501111</v>
      </c>
      <c r="L427" s="560">
        <v>17.74449166932521</v>
      </c>
      <c r="M427" s="1057">
        <f t="shared" ref="M427:M488" si="60">I427+K427</f>
        <v>93.392061417501111</v>
      </c>
      <c r="N427" s="1058">
        <f t="shared" ref="N427:N488" si="61">J427+L427</f>
        <v>17.74449166932521</v>
      </c>
      <c r="O427" s="569">
        <v>0</v>
      </c>
      <c r="P427" s="560">
        <v>0</v>
      </c>
      <c r="Q427" s="571">
        <v>225.83383931419868</v>
      </c>
      <c r="R427" s="1075">
        <f t="shared" si="58"/>
        <v>225.83383931419868</v>
      </c>
      <c r="S427" s="1075">
        <f t="shared" si="59"/>
        <v>0</v>
      </c>
    </row>
    <row r="428" spans="1:19" ht="16.5" hidden="1" thickBot="1" x14ac:dyDescent="0.3">
      <c r="A428" s="632" t="s">
        <v>514</v>
      </c>
      <c r="B428" s="925"/>
      <c r="C428" s="754" t="s">
        <v>1118</v>
      </c>
      <c r="D428" s="549">
        <v>0</v>
      </c>
      <c r="E428" s="550">
        <v>82.32908995482191</v>
      </c>
      <c r="F428" s="551">
        <v>0</v>
      </c>
      <c r="G428" s="560">
        <v>7.4096180959339728</v>
      </c>
      <c r="H428" s="566">
        <v>89.738708050755889</v>
      </c>
      <c r="I428" s="567">
        <v>0</v>
      </c>
      <c r="J428" s="560">
        <v>0</v>
      </c>
      <c r="K428" s="568">
        <v>82.586368360930734</v>
      </c>
      <c r="L428" s="560">
        <v>15.69140998857684</v>
      </c>
      <c r="M428" s="1057">
        <f t="shared" si="60"/>
        <v>82.586368360930734</v>
      </c>
      <c r="N428" s="1058">
        <f t="shared" si="61"/>
        <v>15.69140998857684</v>
      </c>
      <c r="O428" s="569">
        <v>0</v>
      </c>
      <c r="P428" s="560">
        <v>0</v>
      </c>
      <c r="Q428" s="571">
        <v>188.01648640026346</v>
      </c>
      <c r="R428" s="1075">
        <f t="shared" si="58"/>
        <v>188.01648640026346</v>
      </c>
      <c r="S428" s="1075">
        <f t="shared" si="59"/>
        <v>0</v>
      </c>
    </row>
    <row r="429" spans="1:19" ht="16.5" hidden="1" thickBot="1" x14ac:dyDescent="0.3">
      <c r="A429" s="632" t="s">
        <v>515</v>
      </c>
      <c r="B429" s="925"/>
      <c r="C429" s="754" t="s">
        <v>1118</v>
      </c>
      <c r="D429" s="549">
        <v>0</v>
      </c>
      <c r="E429" s="550">
        <v>95.450288666371662</v>
      </c>
      <c r="F429" s="551">
        <v>0</v>
      </c>
      <c r="G429" s="560">
        <v>8.5905259799734495</v>
      </c>
      <c r="H429" s="566">
        <v>104.04081464634511</v>
      </c>
      <c r="I429" s="567">
        <v>0</v>
      </c>
      <c r="J429" s="560">
        <v>0</v>
      </c>
      <c r="K429" s="568">
        <v>71.008840086033899</v>
      </c>
      <c r="L429" s="560">
        <v>13.49167961634644</v>
      </c>
      <c r="M429" s="1057">
        <f t="shared" si="60"/>
        <v>71.008840086033899</v>
      </c>
      <c r="N429" s="1058">
        <f t="shared" si="61"/>
        <v>13.49167961634644</v>
      </c>
      <c r="O429" s="569">
        <v>0</v>
      </c>
      <c r="P429" s="560">
        <v>0</v>
      </c>
      <c r="Q429" s="571">
        <v>188.54133434872543</v>
      </c>
      <c r="R429" s="1075">
        <f t="shared" si="58"/>
        <v>188.54133434872543</v>
      </c>
      <c r="S429" s="1075">
        <f t="shared" si="59"/>
        <v>0</v>
      </c>
    </row>
    <row r="430" spans="1:19" ht="16.5" hidden="1" thickBot="1" x14ac:dyDescent="0.3">
      <c r="A430" s="632" t="s">
        <v>516</v>
      </c>
      <c r="B430" s="925"/>
      <c r="C430" s="754" t="s">
        <v>1118</v>
      </c>
      <c r="D430" s="549">
        <v>0</v>
      </c>
      <c r="E430" s="550">
        <v>119.37718043449178</v>
      </c>
      <c r="F430" s="551">
        <v>0</v>
      </c>
      <c r="G430" s="560">
        <v>10.743946239104259</v>
      </c>
      <c r="H430" s="566">
        <v>130.12112667359602</v>
      </c>
      <c r="I430" s="567">
        <v>0</v>
      </c>
      <c r="J430" s="560">
        <v>0</v>
      </c>
      <c r="K430" s="568">
        <v>66.892385588292811</v>
      </c>
      <c r="L430" s="560">
        <v>12.709553261775632</v>
      </c>
      <c r="M430" s="1057">
        <f t="shared" si="60"/>
        <v>66.892385588292811</v>
      </c>
      <c r="N430" s="1058">
        <f t="shared" si="61"/>
        <v>12.709553261775632</v>
      </c>
      <c r="O430" s="569">
        <v>0</v>
      </c>
      <c r="P430" s="560">
        <v>0</v>
      </c>
      <c r="Q430" s="571">
        <v>209.72306552366445</v>
      </c>
      <c r="R430" s="1075">
        <f t="shared" si="58"/>
        <v>209.72306552366445</v>
      </c>
      <c r="S430" s="1075">
        <f t="shared" si="59"/>
        <v>0</v>
      </c>
    </row>
    <row r="431" spans="1:19" ht="16.5" hidden="1" thickBot="1" x14ac:dyDescent="0.3">
      <c r="A431" s="632" t="s">
        <v>875</v>
      </c>
      <c r="B431" s="925"/>
      <c r="C431" s="754" t="s">
        <v>1118</v>
      </c>
      <c r="D431" s="549">
        <v>0</v>
      </c>
      <c r="E431" s="550">
        <v>90.047442138086467</v>
      </c>
      <c r="F431" s="551">
        <v>0</v>
      </c>
      <c r="G431" s="560">
        <v>8.1042697924277824</v>
      </c>
      <c r="H431" s="566">
        <v>98.151711930514253</v>
      </c>
      <c r="I431" s="567">
        <v>0</v>
      </c>
      <c r="J431" s="560">
        <v>0</v>
      </c>
      <c r="K431" s="568">
        <v>76.411686614319095</v>
      </c>
      <c r="L431" s="560">
        <v>14.518220456720627</v>
      </c>
      <c r="M431" s="1057">
        <f t="shared" si="60"/>
        <v>76.411686614319095</v>
      </c>
      <c r="N431" s="1058">
        <f t="shared" si="61"/>
        <v>14.518220456720627</v>
      </c>
      <c r="O431" s="569">
        <v>0</v>
      </c>
      <c r="P431" s="560">
        <v>0</v>
      </c>
      <c r="Q431" s="571">
        <v>189.08161900155397</v>
      </c>
      <c r="R431" s="1075">
        <f t="shared" si="58"/>
        <v>189.08161900155397</v>
      </c>
      <c r="S431" s="1075">
        <f t="shared" si="59"/>
        <v>0</v>
      </c>
    </row>
    <row r="432" spans="1:19" ht="16.5" hidden="1" thickBot="1" x14ac:dyDescent="0.3">
      <c r="A432" s="632" t="s">
        <v>517</v>
      </c>
      <c r="B432" s="925"/>
      <c r="C432" s="754" t="s">
        <v>1118</v>
      </c>
      <c r="D432" s="549">
        <v>0</v>
      </c>
      <c r="E432" s="550">
        <v>88.503771701433564</v>
      </c>
      <c r="F432" s="551">
        <v>0</v>
      </c>
      <c r="G432" s="560">
        <v>7.9653394531290207</v>
      </c>
      <c r="H432" s="566">
        <v>96.469111154562583</v>
      </c>
      <c r="I432" s="567">
        <v>0</v>
      </c>
      <c r="J432" s="560">
        <v>0</v>
      </c>
      <c r="K432" s="568">
        <v>76.926243426536729</v>
      </c>
      <c r="L432" s="560">
        <v>14.61598625104198</v>
      </c>
      <c r="M432" s="1057">
        <f t="shared" si="60"/>
        <v>76.926243426536729</v>
      </c>
      <c r="N432" s="1058">
        <f t="shared" si="61"/>
        <v>14.61598625104198</v>
      </c>
      <c r="O432" s="569">
        <v>0</v>
      </c>
      <c r="P432" s="560">
        <v>0</v>
      </c>
      <c r="Q432" s="571">
        <v>188.01134083214129</v>
      </c>
      <c r="R432" s="1075">
        <f t="shared" si="58"/>
        <v>188.01134083214129</v>
      </c>
      <c r="S432" s="1075">
        <f t="shared" si="59"/>
        <v>0</v>
      </c>
    </row>
    <row r="433" spans="1:19" ht="16.5" hidden="1" thickBot="1" x14ac:dyDescent="0.3">
      <c r="A433" s="632" t="s">
        <v>873</v>
      </c>
      <c r="B433" s="803"/>
      <c r="C433" s="803" t="s">
        <v>1118</v>
      </c>
      <c r="D433" s="549">
        <v>0</v>
      </c>
      <c r="E433" s="550">
        <v>98.280351133568658</v>
      </c>
      <c r="F433" s="551">
        <v>0</v>
      </c>
      <c r="G433" s="560">
        <v>8.8452316020211796</v>
      </c>
      <c r="H433" s="566">
        <v>107.12558273558983</v>
      </c>
      <c r="I433" s="567">
        <v>0</v>
      </c>
      <c r="J433" s="560">
        <v>0</v>
      </c>
      <c r="K433" s="568">
        <v>39.106317728540411</v>
      </c>
      <c r="L433" s="560">
        <v>7.4302003684226774</v>
      </c>
      <c r="M433" s="1057">
        <f t="shared" si="60"/>
        <v>39.106317728540411</v>
      </c>
      <c r="N433" s="1058">
        <f t="shared" si="61"/>
        <v>7.4302003684226774</v>
      </c>
      <c r="O433" s="569">
        <v>0</v>
      </c>
      <c r="P433" s="560">
        <v>0</v>
      </c>
      <c r="Q433" s="571">
        <v>153.66210083255291</v>
      </c>
      <c r="R433" s="1075">
        <f t="shared" si="58"/>
        <v>153.66210083255291</v>
      </c>
      <c r="S433" s="1075">
        <f t="shared" ref="S433:S472" si="62">Q433-R433</f>
        <v>0</v>
      </c>
    </row>
    <row r="434" spans="1:19" ht="16.5" hidden="1" thickBot="1" x14ac:dyDescent="0.3">
      <c r="A434" s="633" t="s">
        <v>520</v>
      </c>
      <c r="B434" s="803"/>
      <c r="C434" s="803" t="s">
        <v>1118</v>
      </c>
      <c r="D434" s="549">
        <v>0</v>
      </c>
      <c r="E434" s="550">
        <v>82.0718115487131</v>
      </c>
      <c r="F434" s="551">
        <v>0</v>
      </c>
      <c r="G434" s="560">
        <v>7.3864630393841786</v>
      </c>
      <c r="H434" s="566">
        <v>89.458274588097282</v>
      </c>
      <c r="I434" s="567">
        <v>0</v>
      </c>
      <c r="J434" s="560">
        <v>0</v>
      </c>
      <c r="K434" s="568">
        <v>78.98447067540728</v>
      </c>
      <c r="L434" s="560">
        <v>15.007049428327381</v>
      </c>
      <c r="M434" s="1057">
        <f t="shared" si="60"/>
        <v>78.98447067540728</v>
      </c>
      <c r="N434" s="1058">
        <f t="shared" si="61"/>
        <v>15.007049428327381</v>
      </c>
      <c r="O434" s="569">
        <v>0</v>
      </c>
      <c r="P434" s="560">
        <v>0</v>
      </c>
      <c r="Q434" s="571">
        <v>183.44979469183193</v>
      </c>
      <c r="R434" s="1075">
        <f t="shared" si="58"/>
        <v>183.44979469183193</v>
      </c>
      <c r="S434" s="1075">
        <f t="shared" si="62"/>
        <v>0</v>
      </c>
    </row>
    <row r="435" spans="1:19" ht="16.5" hidden="1" thickBot="1" x14ac:dyDescent="0.3">
      <c r="A435" s="633" t="s">
        <v>597</v>
      </c>
      <c r="B435" s="803"/>
      <c r="C435" s="803" t="s">
        <v>1118</v>
      </c>
      <c r="D435" s="549">
        <v>0</v>
      </c>
      <c r="E435" s="550">
        <v>105.48414650461558</v>
      </c>
      <c r="F435" s="551">
        <v>0</v>
      </c>
      <c r="G435" s="560">
        <v>9.4935731854154017</v>
      </c>
      <c r="H435" s="566">
        <v>114.97771969003098</v>
      </c>
      <c r="I435" s="567">
        <v>0</v>
      </c>
      <c r="J435" s="560">
        <v>0</v>
      </c>
      <c r="K435" s="568">
        <v>74.353459365448543</v>
      </c>
      <c r="L435" s="560">
        <v>14.127157279435222</v>
      </c>
      <c r="M435" s="1057">
        <f t="shared" si="60"/>
        <v>74.353459365448543</v>
      </c>
      <c r="N435" s="1058">
        <f t="shared" si="61"/>
        <v>14.127157279435222</v>
      </c>
      <c r="O435" s="569">
        <v>0</v>
      </c>
      <c r="P435" s="560">
        <v>0</v>
      </c>
      <c r="Q435" s="571">
        <v>203.45833633491475</v>
      </c>
      <c r="R435" s="1075">
        <f t="shared" si="58"/>
        <v>203.45833633491475</v>
      </c>
      <c r="S435" s="1075">
        <f t="shared" si="62"/>
        <v>0</v>
      </c>
    </row>
    <row r="436" spans="1:19" ht="16.5" hidden="1" thickBot="1" x14ac:dyDescent="0.3">
      <c r="A436" s="633" t="s">
        <v>860</v>
      </c>
      <c r="B436" s="803" t="s">
        <v>429</v>
      </c>
      <c r="C436" s="803" t="s">
        <v>1118</v>
      </c>
      <c r="D436" s="549">
        <v>0</v>
      </c>
      <c r="E436" s="550">
        <v>85.15915242201892</v>
      </c>
      <c r="F436" s="551">
        <v>0</v>
      </c>
      <c r="G436" s="560">
        <v>7.6643237179817021</v>
      </c>
      <c r="H436" s="566">
        <v>92.823476140000622</v>
      </c>
      <c r="I436" s="567">
        <v>0</v>
      </c>
      <c r="J436" s="560">
        <v>0</v>
      </c>
      <c r="K436" s="568">
        <v>44.766442662934416</v>
      </c>
      <c r="L436" s="560">
        <v>8.5056241059575388</v>
      </c>
      <c r="M436" s="1057">
        <f t="shared" si="60"/>
        <v>44.766442662934416</v>
      </c>
      <c r="N436" s="1058">
        <f t="shared" si="61"/>
        <v>8.5056241059575388</v>
      </c>
      <c r="O436" s="569">
        <v>0</v>
      </c>
      <c r="P436" s="560">
        <v>0</v>
      </c>
      <c r="Q436" s="571">
        <v>146.09554290889258</v>
      </c>
      <c r="R436" s="1075">
        <f t="shared" si="58"/>
        <v>146.09554290889258</v>
      </c>
      <c r="S436" s="1075">
        <f t="shared" si="62"/>
        <v>0</v>
      </c>
    </row>
    <row r="437" spans="1:19" ht="16.5" hidden="1" thickBot="1" x14ac:dyDescent="0.3">
      <c r="A437" s="633" t="s">
        <v>769</v>
      </c>
      <c r="B437" s="803"/>
      <c r="C437" s="803" t="s">
        <v>1118</v>
      </c>
      <c r="D437" s="549">
        <v>0</v>
      </c>
      <c r="E437" s="550">
        <v>89.532885325868833</v>
      </c>
      <c r="F437" s="551">
        <v>0</v>
      </c>
      <c r="G437" s="560">
        <v>8.0579596793281958</v>
      </c>
      <c r="H437" s="566">
        <v>97.590845005197025</v>
      </c>
      <c r="I437" s="567">
        <v>0</v>
      </c>
      <c r="J437" s="560">
        <v>0</v>
      </c>
      <c r="K437" s="568">
        <v>71.008840086033899</v>
      </c>
      <c r="L437" s="560">
        <v>13.49167961634644</v>
      </c>
      <c r="M437" s="1057">
        <f t="shared" si="60"/>
        <v>71.008840086033899</v>
      </c>
      <c r="N437" s="1058">
        <f t="shared" si="61"/>
        <v>13.49167961634644</v>
      </c>
      <c r="O437" s="569">
        <v>0</v>
      </c>
      <c r="P437" s="560">
        <v>0</v>
      </c>
      <c r="Q437" s="571">
        <v>182.09136470757736</v>
      </c>
      <c r="R437" s="1075">
        <f t="shared" si="58"/>
        <v>182.09136470757736</v>
      </c>
      <c r="S437" s="1075">
        <f t="shared" si="62"/>
        <v>0</v>
      </c>
    </row>
    <row r="438" spans="1:19" ht="16.5" hidden="1" thickBot="1" x14ac:dyDescent="0.3">
      <c r="A438" s="633" t="s">
        <v>771</v>
      </c>
      <c r="B438" s="803"/>
      <c r="C438" s="803" t="s">
        <v>1118</v>
      </c>
      <c r="D438" s="549">
        <v>0</v>
      </c>
      <c r="E438" s="550">
        <v>91.848390980848194</v>
      </c>
      <c r="F438" s="551">
        <v>0</v>
      </c>
      <c r="G438" s="560">
        <v>8.2663551882763393</v>
      </c>
      <c r="H438" s="566">
        <v>100.11474616912453</v>
      </c>
      <c r="I438" s="567">
        <v>0</v>
      </c>
      <c r="J438" s="560">
        <v>0</v>
      </c>
      <c r="K438" s="568">
        <v>62.775931090551708</v>
      </c>
      <c r="L438" s="560">
        <v>11.927426907204826</v>
      </c>
      <c r="M438" s="1057">
        <f t="shared" si="60"/>
        <v>62.775931090551708</v>
      </c>
      <c r="N438" s="1058">
        <f t="shared" si="61"/>
        <v>11.927426907204826</v>
      </c>
      <c r="O438" s="569">
        <v>0</v>
      </c>
      <c r="P438" s="560">
        <v>0</v>
      </c>
      <c r="Q438" s="571">
        <v>174.81810416688106</v>
      </c>
      <c r="R438" s="1075">
        <f t="shared" si="58"/>
        <v>174.81810416688106</v>
      </c>
      <c r="S438" s="1075">
        <f t="shared" si="62"/>
        <v>0</v>
      </c>
    </row>
    <row r="439" spans="1:19" ht="16.5" hidden="1" thickBot="1" x14ac:dyDescent="0.3">
      <c r="A439" s="633" t="s">
        <v>861</v>
      </c>
      <c r="B439" s="803"/>
      <c r="C439" s="803" t="s">
        <v>1118</v>
      </c>
      <c r="D439" s="549">
        <v>0</v>
      </c>
      <c r="E439" s="550">
        <v>100.08129997633038</v>
      </c>
      <c r="F439" s="551">
        <v>0</v>
      </c>
      <c r="G439" s="560">
        <v>9.0073169978697347</v>
      </c>
      <c r="H439" s="566">
        <v>109.08861697420012</v>
      </c>
      <c r="I439" s="567">
        <v>0</v>
      </c>
      <c r="J439" s="560">
        <v>0</v>
      </c>
      <c r="K439" s="568">
        <v>88.24649329532474</v>
      </c>
      <c r="L439" s="560">
        <v>16.766833726111702</v>
      </c>
      <c r="M439" s="1057">
        <f t="shared" si="60"/>
        <v>88.24649329532474</v>
      </c>
      <c r="N439" s="1058">
        <f t="shared" si="61"/>
        <v>16.766833726111702</v>
      </c>
      <c r="O439" s="569">
        <v>0</v>
      </c>
      <c r="P439" s="560">
        <v>0</v>
      </c>
      <c r="Q439" s="571">
        <v>214.10194399563659</v>
      </c>
      <c r="R439" s="1075">
        <f t="shared" si="58"/>
        <v>214.10194399563659</v>
      </c>
      <c r="S439" s="1075">
        <f t="shared" si="62"/>
        <v>0</v>
      </c>
    </row>
    <row r="440" spans="1:19" ht="16.5" hidden="1" thickBot="1" x14ac:dyDescent="0.3">
      <c r="A440" s="633" t="s">
        <v>862</v>
      </c>
      <c r="B440" s="803"/>
      <c r="C440" s="803" t="s">
        <v>1118</v>
      </c>
      <c r="D440" s="549">
        <v>0</v>
      </c>
      <c r="E440" s="550">
        <v>106.25598172294204</v>
      </c>
      <c r="F440" s="551">
        <v>0</v>
      </c>
      <c r="G440" s="560">
        <v>9.5630383550647835</v>
      </c>
      <c r="H440" s="566">
        <v>115.81902007800682</v>
      </c>
      <c r="I440" s="567">
        <v>0</v>
      </c>
      <c r="J440" s="560">
        <v>0</v>
      </c>
      <c r="K440" s="568">
        <v>66.892385588292811</v>
      </c>
      <c r="L440" s="560">
        <v>12.709553261775632</v>
      </c>
      <c r="M440" s="1057">
        <f t="shared" si="60"/>
        <v>66.892385588292811</v>
      </c>
      <c r="N440" s="1058">
        <f t="shared" si="61"/>
        <v>12.709553261775632</v>
      </c>
      <c r="O440" s="569">
        <v>0</v>
      </c>
      <c r="P440" s="560">
        <v>0</v>
      </c>
      <c r="Q440" s="571">
        <v>195.42095892807527</v>
      </c>
      <c r="R440" s="1075">
        <f t="shared" si="58"/>
        <v>195.42095892807527</v>
      </c>
      <c r="S440" s="1075">
        <f t="shared" si="62"/>
        <v>0</v>
      </c>
    </row>
    <row r="441" spans="1:19" ht="16.5" hidden="1" thickBot="1" x14ac:dyDescent="0.3">
      <c r="A441" s="633" t="s">
        <v>863</v>
      </c>
      <c r="B441" s="803"/>
      <c r="C441" s="803" t="s">
        <v>1118</v>
      </c>
      <c r="D441" s="549">
        <v>0</v>
      </c>
      <c r="E441" s="550">
        <v>91.591112574739384</v>
      </c>
      <c r="F441" s="551">
        <v>0</v>
      </c>
      <c r="G441" s="560">
        <v>8.2432001317265442</v>
      </c>
      <c r="H441" s="566">
        <v>99.834312706465923</v>
      </c>
      <c r="I441" s="567">
        <v>0</v>
      </c>
      <c r="J441" s="560">
        <v>0</v>
      </c>
      <c r="K441" s="568">
        <v>66.635107182183987</v>
      </c>
      <c r="L441" s="560">
        <v>12.660670364614958</v>
      </c>
      <c r="M441" s="1057">
        <f t="shared" si="60"/>
        <v>66.635107182183987</v>
      </c>
      <c r="N441" s="1058">
        <f t="shared" si="61"/>
        <v>12.660670364614958</v>
      </c>
      <c r="O441" s="569">
        <v>0</v>
      </c>
      <c r="P441" s="560">
        <v>0</v>
      </c>
      <c r="Q441" s="571">
        <v>179.13009025326485</v>
      </c>
      <c r="R441" s="1075">
        <f t="shared" si="58"/>
        <v>179.13009025326485</v>
      </c>
      <c r="S441" s="1075">
        <f t="shared" si="62"/>
        <v>0</v>
      </c>
    </row>
    <row r="442" spans="1:19" ht="16.5" hidden="1" thickBot="1" x14ac:dyDescent="0.3">
      <c r="A442" s="633" t="s">
        <v>864</v>
      </c>
      <c r="B442" s="803"/>
      <c r="C442" s="803" t="s">
        <v>1118</v>
      </c>
      <c r="D442" s="549">
        <v>0</v>
      </c>
      <c r="E442" s="550">
        <v>91.591112574739384</v>
      </c>
      <c r="F442" s="551">
        <v>0</v>
      </c>
      <c r="G442" s="560">
        <v>8.2432001317265442</v>
      </c>
      <c r="H442" s="566">
        <v>99.834312706465923</v>
      </c>
      <c r="I442" s="567">
        <v>0</v>
      </c>
      <c r="J442" s="560">
        <v>0</v>
      </c>
      <c r="K442" s="568">
        <v>78.212635457080822</v>
      </c>
      <c r="L442" s="560">
        <v>14.860400736845355</v>
      </c>
      <c r="M442" s="1057">
        <f t="shared" si="60"/>
        <v>78.212635457080822</v>
      </c>
      <c r="N442" s="1058">
        <f t="shared" si="61"/>
        <v>14.860400736845355</v>
      </c>
      <c r="O442" s="569">
        <v>0</v>
      </c>
      <c r="P442" s="560">
        <v>0</v>
      </c>
      <c r="Q442" s="571">
        <v>192.90734890039209</v>
      </c>
      <c r="R442" s="1075">
        <f t="shared" si="58"/>
        <v>192.90734890039209</v>
      </c>
      <c r="S442" s="1075">
        <f t="shared" si="62"/>
        <v>0</v>
      </c>
    </row>
    <row r="443" spans="1:19" ht="16.5" hidden="1" thickBot="1" x14ac:dyDescent="0.3">
      <c r="A443" s="633" t="s">
        <v>865</v>
      </c>
      <c r="B443" s="803"/>
      <c r="C443" s="803" t="s">
        <v>1118</v>
      </c>
      <c r="D443" s="549">
        <v>0</v>
      </c>
      <c r="E443" s="550">
        <v>89.275606919760008</v>
      </c>
      <c r="F443" s="551">
        <v>0</v>
      </c>
      <c r="G443" s="560">
        <v>8.0348046227784007</v>
      </c>
      <c r="H443" s="566">
        <v>97.310411542538404</v>
      </c>
      <c r="I443" s="567">
        <v>0</v>
      </c>
      <c r="J443" s="560">
        <v>0</v>
      </c>
      <c r="K443" s="568">
        <v>66.120550369966352</v>
      </c>
      <c r="L443" s="560">
        <v>12.562904570293606</v>
      </c>
      <c r="M443" s="1057">
        <f t="shared" si="60"/>
        <v>66.120550369966352</v>
      </c>
      <c r="N443" s="1058">
        <f t="shared" si="61"/>
        <v>12.562904570293606</v>
      </c>
      <c r="O443" s="569">
        <v>0</v>
      </c>
      <c r="P443" s="560">
        <v>0</v>
      </c>
      <c r="Q443" s="571">
        <v>175.99386648279835</v>
      </c>
      <c r="R443" s="1075">
        <f t="shared" si="58"/>
        <v>175.99386648279835</v>
      </c>
      <c r="S443" s="1075">
        <f t="shared" si="62"/>
        <v>0</v>
      </c>
    </row>
    <row r="444" spans="1:19" ht="16.5" hidden="1" thickBot="1" x14ac:dyDescent="0.3">
      <c r="A444" s="633" t="s">
        <v>866</v>
      </c>
      <c r="B444" s="803"/>
      <c r="C444" s="803" t="s">
        <v>1118</v>
      </c>
      <c r="D444" s="549">
        <v>0</v>
      </c>
      <c r="E444" s="550">
        <v>104.71231128628912</v>
      </c>
      <c r="F444" s="551">
        <v>0</v>
      </c>
      <c r="G444" s="560">
        <v>9.4241080157660218</v>
      </c>
      <c r="H444" s="566">
        <v>114.13641930205515</v>
      </c>
      <c r="I444" s="567">
        <v>0</v>
      </c>
      <c r="J444" s="560">
        <v>0</v>
      </c>
      <c r="K444" s="568">
        <v>58.144919780592978</v>
      </c>
      <c r="L444" s="560">
        <v>11.047534758312665</v>
      </c>
      <c r="M444" s="1057">
        <f t="shared" si="60"/>
        <v>58.144919780592978</v>
      </c>
      <c r="N444" s="1058">
        <f t="shared" si="61"/>
        <v>11.047534758312665</v>
      </c>
      <c r="O444" s="569">
        <v>0</v>
      </c>
      <c r="P444" s="560">
        <v>0</v>
      </c>
      <c r="Q444" s="571">
        <v>183.3288738409608</v>
      </c>
      <c r="R444" s="1075">
        <f t="shared" si="58"/>
        <v>183.3288738409608</v>
      </c>
      <c r="S444" s="1075">
        <f t="shared" si="62"/>
        <v>0</v>
      </c>
    </row>
    <row r="445" spans="1:19" ht="16.5" hidden="1" thickBot="1" x14ac:dyDescent="0.3">
      <c r="A445" s="633" t="s">
        <v>867</v>
      </c>
      <c r="B445" s="803"/>
      <c r="C445" s="803" t="s">
        <v>1118</v>
      </c>
      <c r="D445" s="549">
        <v>0</v>
      </c>
      <c r="E445" s="550">
        <v>81.299976330386642</v>
      </c>
      <c r="F445" s="551">
        <v>0</v>
      </c>
      <c r="G445" s="560">
        <v>7.3169978697347977</v>
      </c>
      <c r="H445" s="566">
        <v>88.616974200121433</v>
      </c>
      <c r="I445" s="567">
        <v>0</v>
      </c>
      <c r="J445" s="560">
        <v>0</v>
      </c>
      <c r="K445" s="568">
        <v>79.499027487624915</v>
      </c>
      <c r="L445" s="560">
        <v>15.104815222648734</v>
      </c>
      <c r="M445" s="1057">
        <f t="shared" si="60"/>
        <v>79.499027487624915</v>
      </c>
      <c r="N445" s="1058">
        <f t="shared" si="61"/>
        <v>15.104815222648734</v>
      </c>
      <c r="O445" s="569">
        <v>0</v>
      </c>
      <c r="P445" s="560">
        <v>0</v>
      </c>
      <c r="Q445" s="571">
        <v>183.22081691039509</v>
      </c>
      <c r="R445" s="1075">
        <f t="shared" si="58"/>
        <v>183.22081691039509</v>
      </c>
      <c r="S445" s="1075">
        <f t="shared" si="62"/>
        <v>0</v>
      </c>
    </row>
    <row r="446" spans="1:19" ht="16.5" hidden="1" thickBot="1" x14ac:dyDescent="0.3">
      <c r="A446" s="633" t="s">
        <v>868</v>
      </c>
      <c r="B446" s="803"/>
      <c r="C446" s="803" t="s">
        <v>1118</v>
      </c>
      <c r="D446" s="549">
        <v>0</v>
      </c>
      <c r="E446" s="550">
        <v>82.586368360930734</v>
      </c>
      <c r="F446" s="551">
        <v>0</v>
      </c>
      <c r="G446" s="560">
        <v>7.4327731524837661</v>
      </c>
      <c r="H446" s="566">
        <v>90.019141513414496</v>
      </c>
      <c r="I446" s="567">
        <v>0</v>
      </c>
      <c r="J446" s="560">
        <v>0</v>
      </c>
      <c r="K446" s="568">
        <v>54.800300501178334</v>
      </c>
      <c r="L446" s="560">
        <v>10.412057095223883</v>
      </c>
      <c r="M446" s="1057">
        <f t="shared" si="60"/>
        <v>54.800300501178334</v>
      </c>
      <c r="N446" s="1058">
        <f t="shared" si="61"/>
        <v>10.412057095223883</v>
      </c>
      <c r="O446" s="569">
        <v>0</v>
      </c>
      <c r="P446" s="560">
        <v>0</v>
      </c>
      <c r="Q446" s="571">
        <v>155.2314991098167</v>
      </c>
      <c r="R446" s="1075">
        <f t="shared" si="58"/>
        <v>155.2314991098167</v>
      </c>
      <c r="S446" s="1075">
        <f t="shared" si="62"/>
        <v>0</v>
      </c>
    </row>
    <row r="447" spans="1:19" ht="16.5" hidden="1" thickBot="1" x14ac:dyDescent="0.3">
      <c r="A447" s="633" t="s">
        <v>870</v>
      </c>
      <c r="B447" s="803"/>
      <c r="C447" s="803" t="s">
        <v>1118</v>
      </c>
      <c r="D447" s="549">
        <v>0</v>
      </c>
      <c r="E447" s="550">
        <v>108.5714873779214</v>
      </c>
      <c r="F447" s="551">
        <v>0</v>
      </c>
      <c r="G447" s="560">
        <v>9.7714338640129252</v>
      </c>
      <c r="H447" s="566">
        <v>118.34292124193432</v>
      </c>
      <c r="I447" s="567">
        <v>0</v>
      </c>
      <c r="J447" s="560">
        <v>0</v>
      </c>
      <c r="K447" s="568">
        <v>56.086692531722427</v>
      </c>
      <c r="L447" s="560">
        <v>10.656471581027262</v>
      </c>
      <c r="M447" s="1057">
        <f t="shared" si="60"/>
        <v>56.086692531722427</v>
      </c>
      <c r="N447" s="1058">
        <f t="shared" si="61"/>
        <v>10.656471581027262</v>
      </c>
      <c r="O447" s="569">
        <v>0</v>
      </c>
      <c r="P447" s="560">
        <v>0</v>
      </c>
      <c r="Q447" s="571">
        <v>185.086085354684</v>
      </c>
      <c r="R447" s="1075">
        <f t="shared" si="58"/>
        <v>185.086085354684</v>
      </c>
      <c r="S447" s="1075">
        <f t="shared" si="62"/>
        <v>0</v>
      </c>
    </row>
    <row r="448" spans="1:19" ht="16.5" hidden="1" thickBot="1" x14ac:dyDescent="0.3">
      <c r="A448" s="633" t="s">
        <v>871</v>
      </c>
      <c r="B448" s="803"/>
      <c r="C448" s="803" t="s">
        <v>1118</v>
      </c>
      <c r="D448" s="549">
        <v>0</v>
      </c>
      <c r="E448" s="550">
        <v>94.935731854154014</v>
      </c>
      <c r="F448" s="551">
        <v>0</v>
      </c>
      <c r="G448" s="560">
        <v>8.5442158668738628</v>
      </c>
      <c r="H448" s="566">
        <v>103.47994772102788</v>
      </c>
      <c r="I448" s="567">
        <v>0</v>
      </c>
      <c r="J448" s="560">
        <v>0</v>
      </c>
      <c r="K448" s="568">
        <v>52.227516440090149</v>
      </c>
      <c r="L448" s="560">
        <v>9.9232281236171289</v>
      </c>
      <c r="M448" s="1057">
        <f t="shared" si="60"/>
        <v>52.227516440090149</v>
      </c>
      <c r="N448" s="1058">
        <f t="shared" si="61"/>
        <v>9.9232281236171289</v>
      </c>
      <c r="O448" s="569">
        <v>0</v>
      </c>
      <c r="P448" s="560">
        <v>0</v>
      </c>
      <c r="Q448" s="571">
        <v>165.63069228473515</v>
      </c>
      <c r="R448" s="1075">
        <f t="shared" si="58"/>
        <v>165.63069228473515</v>
      </c>
      <c r="S448" s="1075">
        <f t="shared" si="62"/>
        <v>0</v>
      </c>
    </row>
    <row r="449" spans="1:19" ht="16.5" hidden="1" thickBot="1" x14ac:dyDescent="0.3">
      <c r="A449" s="633" t="s">
        <v>872</v>
      </c>
      <c r="B449" s="803"/>
      <c r="C449" s="803" t="s">
        <v>1118</v>
      </c>
      <c r="D449" s="549">
        <v>0</v>
      </c>
      <c r="E449" s="550">
        <v>103.68319766185385</v>
      </c>
      <c r="F449" s="551">
        <v>0</v>
      </c>
      <c r="G449" s="560">
        <v>9.3314877895668467</v>
      </c>
      <c r="H449" s="566">
        <v>113.0146854514207</v>
      </c>
      <c r="I449" s="567">
        <v>0</v>
      </c>
      <c r="J449" s="560">
        <v>0</v>
      </c>
      <c r="K449" s="568">
        <v>57.37308456226652</v>
      </c>
      <c r="L449" s="560">
        <v>10.900886066830639</v>
      </c>
      <c r="M449" s="1057">
        <f t="shared" si="60"/>
        <v>57.37308456226652</v>
      </c>
      <c r="N449" s="1058">
        <f t="shared" si="61"/>
        <v>10.900886066830639</v>
      </c>
      <c r="O449" s="569">
        <v>0</v>
      </c>
      <c r="P449" s="560">
        <v>0</v>
      </c>
      <c r="Q449" s="571">
        <v>181.28865608051788</v>
      </c>
      <c r="R449" s="1075">
        <f t="shared" si="58"/>
        <v>181.28865608051788</v>
      </c>
      <c r="S449" s="1075">
        <f t="shared" si="62"/>
        <v>0</v>
      </c>
    </row>
    <row r="450" spans="1:19" ht="16.5" hidden="1" thickBot="1" x14ac:dyDescent="0.3">
      <c r="A450" s="633" t="s">
        <v>874</v>
      </c>
      <c r="B450" s="803"/>
      <c r="C450" s="803" t="s">
        <v>1118</v>
      </c>
      <c r="D450" s="549">
        <v>0</v>
      </c>
      <c r="E450" s="550">
        <v>98.023072727459848</v>
      </c>
      <c r="F450" s="551">
        <v>0</v>
      </c>
      <c r="G450" s="560">
        <v>8.8220765454713863</v>
      </c>
      <c r="H450" s="566">
        <v>106.84514927293124</v>
      </c>
      <c r="I450" s="567">
        <v>0</v>
      </c>
      <c r="J450" s="560">
        <v>0</v>
      </c>
      <c r="K450" s="568">
        <v>92.362947793065842</v>
      </c>
      <c r="L450" s="560">
        <v>17.548960080682509</v>
      </c>
      <c r="M450" s="1057">
        <f t="shared" si="60"/>
        <v>92.362947793065842</v>
      </c>
      <c r="N450" s="1058">
        <f t="shared" si="61"/>
        <v>17.548960080682509</v>
      </c>
      <c r="O450" s="569">
        <v>0</v>
      </c>
      <c r="P450" s="560">
        <v>0</v>
      </c>
      <c r="Q450" s="571">
        <v>216.75705714667961</v>
      </c>
      <c r="R450" s="1075">
        <f t="shared" si="58"/>
        <v>216.75705714667961</v>
      </c>
      <c r="S450" s="1075">
        <f t="shared" si="62"/>
        <v>0</v>
      </c>
    </row>
    <row r="451" spans="1:19" ht="16.5" hidden="1" thickBot="1" x14ac:dyDescent="0.3">
      <c r="A451" s="648" t="s">
        <v>598</v>
      </c>
      <c r="B451" s="803"/>
      <c r="C451" s="803" t="s">
        <v>1118</v>
      </c>
      <c r="D451" s="549">
        <v>0</v>
      </c>
      <c r="E451" s="550">
        <v>94.42117504193638</v>
      </c>
      <c r="F451" s="551">
        <v>0</v>
      </c>
      <c r="G451" s="560">
        <v>8.4979057537742744</v>
      </c>
      <c r="H451" s="566">
        <v>102.91908079571066</v>
      </c>
      <c r="I451" s="567">
        <v>0</v>
      </c>
      <c r="J451" s="560">
        <v>0</v>
      </c>
      <c r="K451" s="568">
        <v>97.508515915242199</v>
      </c>
      <c r="L451" s="560">
        <v>18.52661802389602</v>
      </c>
      <c r="M451" s="1057">
        <f t="shared" si="60"/>
        <v>97.508515915242199</v>
      </c>
      <c r="N451" s="1058">
        <f t="shared" si="61"/>
        <v>18.52661802389602</v>
      </c>
      <c r="O451" s="569">
        <v>0</v>
      </c>
      <c r="P451" s="560">
        <v>0</v>
      </c>
      <c r="Q451" s="571">
        <v>218.95421473484888</v>
      </c>
      <c r="R451" s="1075">
        <f t="shared" ref="R451:R488" si="63">H451+M451+N451+O451+P451</f>
        <v>218.95421473484888</v>
      </c>
      <c r="S451" s="1075">
        <f t="shared" si="62"/>
        <v>0</v>
      </c>
    </row>
    <row r="452" spans="1:19" ht="16.5" hidden="1" thickBot="1" x14ac:dyDescent="0.3">
      <c r="A452" s="653" t="s">
        <v>887</v>
      </c>
      <c r="B452" s="653" t="s">
        <v>429</v>
      </c>
      <c r="C452" s="653" t="s">
        <v>1120</v>
      </c>
      <c r="D452" s="549">
        <v>0</v>
      </c>
      <c r="E452" s="550">
        <v>53.357096971229694</v>
      </c>
      <c r="F452" s="551">
        <v>0</v>
      </c>
      <c r="G452" s="560">
        <v>0</v>
      </c>
      <c r="H452" s="566">
        <v>53.357096971229694</v>
      </c>
      <c r="I452" s="567">
        <v>38.256031790692987</v>
      </c>
      <c r="J452" s="560">
        <v>0</v>
      </c>
      <c r="K452" s="568">
        <v>0</v>
      </c>
      <c r="L452" s="560">
        <v>0</v>
      </c>
      <c r="M452" s="1057">
        <f t="shared" si="60"/>
        <v>38.256031790692987</v>
      </c>
      <c r="N452" s="1058">
        <f t="shared" si="61"/>
        <v>0</v>
      </c>
      <c r="O452" s="569">
        <v>0</v>
      </c>
      <c r="P452" s="560">
        <v>0</v>
      </c>
      <c r="Q452" s="571">
        <v>91.613128761922681</v>
      </c>
      <c r="R452" s="1075">
        <f t="shared" si="63"/>
        <v>91.613128761922681</v>
      </c>
      <c r="S452" s="1075">
        <f t="shared" si="62"/>
        <v>0</v>
      </c>
    </row>
    <row r="453" spans="1:19" ht="16.5" hidden="1" thickBot="1" x14ac:dyDescent="0.3">
      <c r="A453" s="652" t="s">
        <v>694</v>
      </c>
      <c r="B453" s="651"/>
      <c r="C453" s="823" t="s">
        <v>1120</v>
      </c>
      <c r="D453" s="549">
        <v>0</v>
      </c>
      <c r="E453" s="550">
        <v>48.288693485348411</v>
      </c>
      <c r="F453" s="551">
        <v>2.0134753574048943</v>
      </c>
      <c r="G453" s="560">
        <v>0</v>
      </c>
      <c r="H453" s="566">
        <v>50.302168842753304</v>
      </c>
      <c r="I453" s="567">
        <v>42.19619477458015</v>
      </c>
      <c r="J453" s="560">
        <v>0</v>
      </c>
      <c r="K453" s="568">
        <v>0</v>
      </c>
      <c r="L453" s="560">
        <v>0</v>
      </c>
      <c r="M453" s="1057">
        <f t="shared" si="60"/>
        <v>42.19619477458015</v>
      </c>
      <c r="N453" s="1058">
        <f t="shared" si="61"/>
        <v>0</v>
      </c>
      <c r="O453" s="569">
        <v>2.1870508192501439</v>
      </c>
      <c r="P453" s="560">
        <v>0</v>
      </c>
      <c r="Q453" s="571">
        <v>94.685414436583599</v>
      </c>
      <c r="R453" s="1075">
        <f t="shared" si="63"/>
        <v>94.685414436583599</v>
      </c>
      <c r="S453" s="1075">
        <f t="shared" si="62"/>
        <v>0</v>
      </c>
    </row>
    <row r="454" spans="1:19" ht="16.5" hidden="1" thickBot="1" x14ac:dyDescent="0.3">
      <c r="A454" s="638" t="s">
        <v>143</v>
      </c>
      <c r="B454" s="693" t="s">
        <v>429</v>
      </c>
      <c r="C454" s="806" t="s">
        <v>1131</v>
      </c>
      <c r="D454" s="549">
        <v>0</v>
      </c>
      <c r="E454" s="550">
        <v>53.618909463360751</v>
      </c>
      <c r="F454" s="551">
        <v>0</v>
      </c>
      <c r="G454" s="560">
        <v>0</v>
      </c>
      <c r="H454" s="566">
        <v>53.618909463360751</v>
      </c>
      <c r="I454" s="567">
        <v>0</v>
      </c>
      <c r="J454" s="560">
        <v>0</v>
      </c>
      <c r="K454" s="568">
        <v>0</v>
      </c>
      <c r="L454" s="560">
        <v>0</v>
      </c>
      <c r="M454" s="1057">
        <f t="shared" si="60"/>
        <v>0</v>
      </c>
      <c r="N454" s="1058">
        <f t="shared" si="61"/>
        <v>0</v>
      </c>
      <c r="O454" s="569">
        <v>0</v>
      </c>
      <c r="P454" s="560">
        <v>0</v>
      </c>
      <c r="Q454" s="571">
        <v>53.618909463360751</v>
      </c>
      <c r="R454" s="1075">
        <f t="shared" si="63"/>
        <v>53.618909463360751</v>
      </c>
      <c r="S454" s="1075">
        <f t="shared" si="62"/>
        <v>0</v>
      </c>
    </row>
    <row r="455" spans="1:19" ht="16.5" hidden="1" thickBot="1" x14ac:dyDescent="0.3">
      <c r="A455" s="639" t="s">
        <v>144</v>
      </c>
      <c r="B455" s="639"/>
      <c r="C455" s="724" t="s">
        <v>1131</v>
      </c>
      <c r="D455" s="549">
        <v>0</v>
      </c>
      <c r="E455" s="550">
        <v>72.194801537540272</v>
      </c>
      <c r="F455" s="551">
        <v>0</v>
      </c>
      <c r="G455" s="560">
        <v>0</v>
      </c>
      <c r="H455" s="566">
        <v>72.194801537540272</v>
      </c>
      <c r="I455" s="567">
        <v>0</v>
      </c>
      <c r="J455" s="560">
        <v>0</v>
      </c>
      <c r="K455" s="568">
        <v>0</v>
      </c>
      <c r="L455" s="560">
        <v>0</v>
      </c>
      <c r="M455" s="1057">
        <f t="shared" si="60"/>
        <v>0</v>
      </c>
      <c r="N455" s="1058">
        <f t="shared" si="61"/>
        <v>0</v>
      </c>
      <c r="O455" s="569">
        <v>0</v>
      </c>
      <c r="P455" s="560">
        <v>0</v>
      </c>
      <c r="Q455" s="571">
        <v>72.194801537540272</v>
      </c>
      <c r="R455" s="1075">
        <f t="shared" si="63"/>
        <v>72.194801537540272</v>
      </c>
      <c r="S455" s="1075">
        <f t="shared" si="62"/>
        <v>0</v>
      </c>
    </row>
    <row r="456" spans="1:19" ht="16.5" hidden="1" thickBot="1" x14ac:dyDescent="0.3">
      <c r="A456" s="639" t="s">
        <v>145</v>
      </c>
      <c r="B456" s="639"/>
      <c r="C456" s="724" t="s">
        <v>1131</v>
      </c>
      <c r="D456" s="549">
        <v>0</v>
      </c>
      <c r="E456" s="550">
        <v>64.603241204500208</v>
      </c>
      <c r="F456" s="551">
        <v>0</v>
      </c>
      <c r="G456" s="560">
        <v>0</v>
      </c>
      <c r="H456" s="566">
        <v>64.603241204500208</v>
      </c>
      <c r="I456" s="567">
        <v>0</v>
      </c>
      <c r="J456" s="560">
        <v>0</v>
      </c>
      <c r="K456" s="568">
        <v>0</v>
      </c>
      <c r="L456" s="560">
        <v>0</v>
      </c>
      <c r="M456" s="1057">
        <f t="shared" si="60"/>
        <v>0</v>
      </c>
      <c r="N456" s="1058">
        <f t="shared" si="61"/>
        <v>0</v>
      </c>
      <c r="O456" s="569">
        <v>0</v>
      </c>
      <c r="P456" s="560">
        <v>0</v>
      </c>
      <c r="Q456" s="571">
        <v>64.603241204500208</v>
      </c>
      <c r="R456" s="1075">
        <f t="shared" si="63"/>
        <v>64.603241204500208</v>
      </c>
      <c r="S456" s="1075">
        <f t="shared" si="62"/>
        <v>0</v>
      </c>
    </row>
    <row r="457" spans="1:19" ht="16.5" hidden="1" thickBot="1" x14ac:dyDescent="0.3">
      <c r="A457" s="639" t="s">
        <v>146</v>
      </c>
      <c r="B457" s="639"/>
      <c r="C457" s="724" t="s">
        <v>1131</v>
      </c>
      <c r="D457" s="549">
        <v>0</v>
      </c>
      <c r="E457" s="550">
        <v>62.934972390572881</v>
      </c>
      <c r="F457" s="551">
        <v>0</v>
      </c>
      <c r="G457" s="560">
        <v>0</v>
      </c>
      <c r="H457" s="566">
        <v>62.934972390572881</v>
      </c>
      <c r="I457" s="567">
        <v>0</v>
      </c>
      <c r="J457" s="560">
        <v>0</v>
      </c>
      <c r="K457" s="568">
        <v>0</v>
      </c>
      <c r="L457" s="560">
        <v>0</v>
      </c>
      <c r="M457" s="1057">
        <f t="shared" si="60"/>
        <v>0</v>
      </c>
      <c r="N457" s="1058">
        <f t="shared" si="61"/>
        <v>0</v>
      </c>
      <c r="O457" s="569">
        <v>0</v>
      </c>
      <c r="P457" s="560">
        <v>0</v>
      </c>
      <c r="Q457" s="571">
        <v>62.934972390572881</v>
      </c>
      <c r="R457" s="1075">
        <f t="shared" si="63"/>
        <v>62.934972390572881</v>
      </c>
      <c r="S457" s="1075">
        <f t="shared" si="62"/>
        <v>0</v>
      </c>
    </row>
    <row r="458" spans="1:19" ht="16.5" hidden="1" thickBot="1" x14ac:dyDescent="0.3">
      <c r="A458" s="639" t="s">
        <v>147</v>
      </c>
      <c r="B458" s="639"/>
      <c r="C458" s="724" t="s">
        <v>1131</v>
      </c>
      <c r="D458" s="549">
        <v>0</v>
      </c>
      <c r="E458" s="550">
        <v>58.333174707211562</v>
      </c>
      <c r="F458" s="551">
        <v>0</v>
      </c>
      <c r="G458" s="560">
        <v>0</v>
      </c>
      <c r="H458" s="566">
        <v>58.333174707211562</v>
      </c>
      <c r="I458" s="567">
        <v>0</v>
      </c>
      <c r="J458" s="560">
        <v>0</v>
      </c>
      <c r="K458" s="568">
        <v>0</v>
      </c>
      <c r="L458" s="560">
        <v>0</v>
      </c>
      <c r="M458" s="1057">
        <f t="shared" si="60"/>
        <v>0</v>
      </c>
      <c r="N458" s="1058">
        <f t="shared" si="61"/>
        <v>0</v>
      </c>
      <c r="O458" s="569">
        <v>0</v>
      </c>
      <c r="P458" s="560">
        <v>0</v>
      </c>
      <c r="Q458" s="571">
        <v>58.333174707211562</v>
      </c>
      <c r="R458" s="1075">
        <f t="shared" si="63"/>
        <v>58.333174707211562</v>
      </c>
      <c r="S458" s="1075">
        <f t="shared" si="62"/>
        <v>0</v>
      </c>
    </row>
    <row r="459" spans="1:19" ht="16.5" hidden="1" thickBot="1" x14ac:dyDescent="0.3">
      <c r="A459" s="639" t="s">
        <v>148</v>
      </c>
      <c r="B459" s="639"/>
      <c r="C459" s="724" t="s">
        <v>1131</v>
      </c>
      <c r="D459" s="549">
        <v>0</v>
      </c>
      <c r="E459" s="550">
        <v>49.663800252813957</v>
      </c>
      <c r="F459" s="551">
        <v>0</v>
      </c>
      <c r="G459" s="560">
        <v>0</v>
      </c>
      <c r="H459" s="566">
        <v>49.663800252813957</v>
      </c>
      <c r="I459" s="567">
        <v>0</v>
      </c>
      <c r="J459" s="560">
        <v>0</v>
      </c>
      <c r="K459" s="568">
        <v>0</v>
      </c>
      <c r="L459" s="560">
        <v>0</v>
      </c>
      <c r="M459" s="1057">
        <f t="shared" si="60"/>
        <v>0</v>
      </c>
      <c r="N459" s="1058">
        <f t="shared" si="61"/>
        <v>0</v>
      </c>
      <c r="O459" s="569">
        <v>0</v>
      </c>
      <c r="P459" s="560">
        <v>0</v>
      </c>
      <c r="Q459" s="571">
        <v>49.663800252813957</v>
      </c>
      <c r="R459" s="1075">
        <f t="shared" si="63"/>
        <v>49.663800252813957</v>
      </c>
      <c r="S459" s="1075">
        <f t="shared" si="62"/>
        <v>0</v>
      </c>
    </row>
    <row r="460" spans="1:19" ht="16.5" hidden="1" thickBot="1" x14ac:dyDescent="0.3">
      <c r="A460" s="639" t="s">
        <v>149</v>
      </c>
      <c r="B460" s="639"/>
      <c r="C460" s="724" t="s">
        <v>1131</v>
      </c>
      <c r="D460" s="549">
        <v>0</v>
      </c>
      <c r="E460" s="550">
        <v>81.107855706331748</v>
      </c>
      <c r="F460" s="551">
        <v>0</v>
      </c>
      <c r="G460" s="560">
        <v>0</v>
      </c>
      <c r="H460" s="566">
        <v>81.107855706331748</v>
      </c>
      <c r="I460" s="567">
        <v>0</v>
      </c>
      <c r="J460" s="560">
        <v>0</v>
      </c>
      <c r="K460" s="568">
        <v>0</v>
      </c>
      <c r="L460" s="560">
        <v>0</v>
      </c>
      <c r="M460" s="1057">
        <f t="shared" si="60"/>
        <v>0</v>
      </c>
      <c r="N460" s="1058">
        <f t="shared" si="61"/>
        <v>0</v>
      </c>
      <c r="O460" s="569">
        <v>0</v>
      </c>
      <c r="P460" s="560">
        <v>0</v>
      </c>
      <c r="Q460" s="571">
        <v>81.107855706331748</v>
      </c>
      <c r="R460" s="1075">
        <f t="shared" si="63"/>
        <v>81.107855706331748</v>
      </c>
      <c r="S460" s="1075">
        <f t="shared" si="62"/>
        <v>0</v>
      </c>
    </row>
    <row r="461" spans="1:19" ht="16.5" hidden="1" thickBot="1" x14ac:dyDescent="0.3">
      <c r="A461" s="640" t="s">
        <v>150</v>
      </c>
      <c r="B461" s="652"/>
      <c r="C461" s="807" t="s">
        <v>1131</v>
      </c>
      <c r="D461" s="549">
        <v>0</v>
      </c>
      <c r="E461" s="550">
        <v>64.462656753888353</v>
      </c>
      <c r="F461" s="551">
        <v>0</v>
      </c>
      <c r="G461" s="560">
        <v>0</v>
      </c>
      <c r="H461" s="566">
        <v>64.462656753888353</v>
      </c>
      <c r="I461" s="567">
        <v>0</v>
      </c>
      <c r="J461" s="560">
        <v>0</v>
      </c>
      <c r="K461" s="568">
        <v>0</v>
      </c>
      <c r="L461" s="560">
        <v>0</v>
      </c>
      <c r="M461" s="1057">
        <f t="shared" si="60"/>
        <v>0</v>
      </c>
      <c r="N461" s="1058">
        <f t="shared" si="61"/>
        <v>0</v>
      </c>
      <c r="O461" s="569">
        <v>0</v>
      </c>
      <c r="P461" s="560">
        <v>0</v>
      </c>
      <c r="Q461" s="571">
        <v>64.462656753888353</v>
      </c>
      <c r="R461" s="1075">
        <f t="shared" si="63"/>
        <v>64.462656753888353</v>
      </c>
      <c r="S461" s="1075">
        <f t="shared" si="62"/>
        <v>0</v>
      </c>
    </row>
    <row r="462" spans="1:19" ht="16.5" hidden="1" thickBot="1" x14ac:dyDescent="0.3">
      <c r="A462" s="638" t="s">
        <v>151</v>
      </c>
      <c r="B462" s="693"/>
      <c r="C462" s="806" t="s">
        <v>1133</v>
      </c>
      <c r="D462" s="549">
        <v>0</v>
      </c>
      <c r="E462" s="550">
        <v>192.62673917479984</v>
      </c>
      <c r="F462" s="551">
        <v>0</v>
      </c>
      <c r="G462" s="560">
        <v>19.267475780602876</v>
      </c>
      <c r="H462" s="566">
        <v>211.8942149554027</v>
      </c>
      <c r="I462" s="567">
        <v>18.355121787253452</v>
      </c>
      <c r="J462" s="560">
        <v>1.8367126445060684</v>
      </c>
      <c r="K462" s="568">
        <v>58.378650916555628</v>
      </c>
      <c r="L462" s="560">
        <v>5.8342636943133934</v>
      </c>
      <c r="M462" s="1057">
        <f t="shared" si="60"/>
        <v>76.73377270380908</v>
      </c>
      <c r="N462" s="1058">
        <f t="shared" si="61"/>
        <v>7.6709763388194618</v>
      </c>
      <c r="O462" s="569">
        <v>0</v>
      </c>
      <c r="P462" s="560">
        <v>0</v>
      </c>
      <c r="Q462" s="571">
        <v>296.29896399803124</v>
      </c>
      <c r="R462" s="1075">
        <f t="shared" si="63"/>
        <v>296.29896399803124</v>
      </c>
      <c r="S462" s="1075">
        <f t="shared" si="62"/>
        <v>0</v>
      </c>
    </row>
    <row r="463" spans="1:19" ht="16.5" hidden="1" thickBot="1" x14ac:dyDescent="0.3">
      <c r="A463" s="639" t="s">
        <v>152</v>
      </c>
      <c r="B463" s="639"/>
      <c r="C463" s="724" t="s">
        <v>1133</v>
      </c>
      <c r="D463" s="549">
        <v>0</v>
      </c>
      <c r="E463" s="550">
        <v>105.28084896940013</v>
      </c>
      <c r="F463" s="551">
        <v>0</v>
      </c>
      <c r="G463" s="560">
        <v>10.528084896940012</v>
      </c>
      <c r="H463" s="566">
        <v>115.80893386634014</v>
      </c>
      <c r="I463" s="567">
        <v>0</v>
      </c>
      <c r="J463" s="560">
        <v>0</v>
      </c>
      <c r="K463" s="568">
        <v>97.153695633905954</v>
      </c>
      <c r="L463" s="560">
        <v>9.7117681660484259</v>
      </c>
      <c r="M463" s="1057">
        <f t="shared" si="60"/>
        <v>97.153695633905954</v>
      </c>
      <c r="N463" s="1058">
        <f t="shared" si="61"/>
        <v>9.7117681660484259</v>
      </c>
      <c r="O463" s="569">
        <v>0</v>
      </c>
      <c r="P463" s="560">
        <v>0</v>
      </c>
      <c r="Q463" s="571">
        <v>222.67439766629451</v>
      </c>
      <c r="R463" s="1075">
        <f t="shared" si="63"/>
        <v>222.67439766629451</v>
      </c>
      <c r="S463" s="1075">
        <f t="shared" si="62"/>
        <v>0</v>
      </c>
    </row>
    <row r="464" spans="1:19" ht="16.5" hidden="1" thickBot="1" x14ac:dyDescent="0.3">
      <c r="A464" s="639" t="s">
        <v>153</v>
      </c>
      <c r="B464" s="639" t="s">
        <v>429</v>
      </c>
      <c r="C464" s="724" t="s">
        <v>1133</v>
      </c>
      <c r="D464" s="549">
        <v>0</v>
      </c>
      <c r="E464" s="550">
        <v>125.11254366694277</v>
      </c>
      <c r="F464" s="551">
        <v>0</v>
      </c>
      <c r="G464" s="560">
        <v>12.508853435132831</v>
      </c>
      <c r="H464" s="566">
        <v>137.6213971020756</v>
      </c>
      <c r="I464" s="567">
        <v>20.840085953349899</v>
      </c>
      <c r="J464" s="560">
        <v>2.0888104584578815</v>
      </c>
      <c r="K464" s="568">
        <v>59.987275062724336</v>
      </c>
      <c r="L464" s="560">
        <v>6.0023289036146021</v>
      </c>
      <c r="M464" s="1057">
        <f t="shared" si="60"/>
        <v>80.827361016074235</v>
      </c>
      <c r="N464" s="1058">
        <f t="shared" si="61"/>
        <v>8.0911393620724841</v>
      </c>
      <c r="O464" s="569">
        <v>0</v>
      </c>
      <c r="P464" s="560">
        <v>0</v>
      </c>
      <c r="Q464" s="571">
        <v>226.53989748022232</v>
      </c>
      <c r="R464" s="1075">
        <f t="shared" si="63"/>
        <v>226.53989748022232</v>
      </c>
      <c r="S464" s="1075">
        <f t="shared" si="62"/>
        <v>0</v>
      </c>
    </row>
    <row r="465" spans="1:19" ht="16.5" hidden="1" thickBot="1" x14ac:dyDescent="0.3">
      <c r="A465" s="639" t="s">
        <v>214</v>
      </c>
      <c r="B465" s="639"/>
      <c r="C465" s="724" t="s">
        <v>1133</v>
      </c>
      <c r="D465" s="549">
        <v>0</v>
      </c>
      <c r="E465" s="550">
        <v>104.74063936807481</v>
      </c>
      <c r="F465" s="551">
        <v>0</v>
      </c>
      <c r="G465" s="560">
        <v>10.480066265711097</v>
      </c>
      <c r="H465" s="566">
        <v>115.22070563378591</v>
      </c>
      <c r="I465" s="567">
        <v>45.869797481422793</v>
      </c>
      <c r="J465" s="560">
        <v>4.585779282361556</v>
      </c>
      <c r="K465" s="568">
        <v>91.811622909688964</v>
      </c>
      <c r="L465" s="560">
        <v>9.1835632225303421</v>
      </c>
      <c r="M465" s="1057">
        <f t="shared" si="60"/>
        <v>137.68142039111177</v>
      </c>
      <c r="N465" s="1058">
        <f t="shared" si="61"/>
        <v>13.769342504891899</v>
      </c>
      <c r="O465" s="569">
        <v>0</v>
      </c>
      <c r="P465" s="560">
        <v>0</v>
      </c>
      <c r="Q465" s="571">
        <v>266.67146852978954</v>
      </c>
      <c r="R465" s="1075">
        <f t="shared" si="63"/>
        <v>266.67146852978959</v>
      </c>
      <c r="S465" s="1075">
        <f t="shared" si="62"/>
        <v>0</v>
      </c>
    </row>
    <row r="466" spans="1:19" ht="16.5" hidden="1" thickBot="1" x14ac:dyDescent="0.3">
      <c r="A466" s="640" t="s">
        <v>154</v>
      </c>
      <c r="B466" s="652"/>
      <c r="C466" s="807" t="s">
        <v>1133</v>
      </c>
      <c r="D466" s="549">
        <v>0</v>
      </c>
      <c r="E466" s="550">
        <v>153.34749882954586</v>
      </c>
      <c r="F466" s="551">
        <v>0</v>
      </c>
      <c r="G466" s="560">
        <v>15.329948019831694</v>
      </c>
      <c r="H466" s="566">
        <v>168.67744684937756</v>
      </c>
      <c r="I466" s="567">
        <v>36.362108498097257</v>
      </c>
      <c r="J466" s="560">
        <v>3.6374113155904486</v>
      </c>
      <c r="K466" s="568">
        <v>106.75742187968932</v>
      </c>
      <c r="L466" s="560">
        <v>10.672140790626763</v>
      </c>
      <c r="M466" s="1057">
        <f t="shared" si="60"/>
        <v>143.11953037778659</v>
      </c>
      <c r="N466" s="1058">
        <f t="shared" si="61"/>
        <v>14.309552106217211</v>
      </c>
      <c r="O466" s="569">
        <v>0</v>
      </c>
      <c r="P466" s="560">
        <v>0</v>
      </c>
      <c r="Q466" s="571">
        <v>326.10652933338133</v>
      </c>
      <c r="R466" s="1075">
        <f t="shared" si="63"/>
        <v>326.10652933338133</v>
      </c>
      <c r="S466" s="1075">
        <f t="shared" si="62"/>
        <v>0</v>
      </c>
    </row>
    <row r="467" spans="1:19" ht="16.5" hidden="1" thickBot="1" x14ac:dyDescent="0.3">
      <c r="A467" s="638" t="s">
        <v>155</v>
      </c>
      <c r="B467" s="693" t="s">
        <v>429</v>
      </c>
      <c r="C467" s="806" t="s">
        <v>1135</v>
      </c>
      <c r="D467" s="549">
        <v>206.24267029725661</v>
      </c>
      <c r="E467" s="550">
        <v>44.728802530302232</v>
      </c>
      <c r="F467" s="551">
        <v>0</v>
      </c>
      <c r="G467" s="560">
        <v>62.74286820688971</v>
      </c>
      <c r="H467" s="566">
        <v>313.71434103444858</v>
      </c>
      <c r="I467" s="567">
        <v>39.827015951638977</v>
      </c>
      <c r="J467" s="560">
        <v>9.9567539879097442</v>
      </c>
      <c r="K467" s="568">
        <v>0</v>
      </c>
      <c r="L467" s="560">
        <v>0</v>
      </c>
      <c r="M467" s="1057">
        <f t="shared" si="60"/>
        <v>39.827015951638977</v>
      </c>
      <c r="N467" s="1058">
        <f t="shared" si="61"/>
        <v>9.9567539879097442</v>
      </c>
      <c r="O467" s="569">
        <v>0</v>
      </c>
      <c r="P467" s="560">
        <v>0</v>
      </c>
      <c r="Q467" s="571">
        <v>363.49811097399731</v>
      </c>
      <c r="R467" s="1075">
        <f t="shared" si="63"/>
        <v>363.49811097399731</v>
      </c>
      <c r="S467" s="1075">
        <f t="shared" si="62"/>
        <v>0</v>
      </c>
    </row>
    <row r="468" spans="1:19" ht="16.5" hidden="1" thickBot="1" x14ac:dyDescent="0.3">
      <c r="A468" s="639" t="s">
        <v>156</v>
      </c>
      <c r="B468" s="639"/>
      <c r="C468" s="724" t="s">
        <v>1135</v>
      </c>
      <c r="D468" s="549">
        <v>299.37661529185851</v>
      </c>
      <c r="E468" s="550">
        <v>88.109613751472068</v>
      </c>
      <c r="F468" s="551">
        <v>0</v>
      </c>
      <c r="G468" s="560">
        <v>96.871557260832645</v>
      </c>
      <c r="H468" s="566">
        <v>484.35778630416326</v>
      </c>
      <c r="I468" s="567">
        <v>90.805596369736861</v>
      </c>
      <c r="J468" s="560">
        <v>22.701399092434215</v>
      </c>
      <c r="K468" s="568">
        <v>0</v>
      </c>
      <c r="L468" s="560">
        <v>0</v>
      </c>
      <c r="M468" s="1057">
        <f t="shared" si="60"/>
        <v>90.805596369736861</v>
      </c>
      <c r="N468" s="1058">
        <f t="shared" si="61"/>
        <v>22.701399092434215</v>
      </c>
      <c r="O468" s="569">
        <v>0</v>
      </c>
      <c r="P468" s="560">
        <v>0</v>
      </c>
      <c r="Q468" s="571">
        <v>597.86478176633432</v>
      </c>
      <c r="R468" s="1075">
        <f t="shared" si="63"/>
        <v>597.86478176633432</v>
      </c>
      <c r="S468" s="1075">
        <f t="shared" si="62"/>
        <v>0</v>
      </c>
    </row>
    <row r="469" spans="1:19" ht="16.5" hidden="1" thickBot="1" x14ac:dyDescent="0.3">
      <c r="A469" s="639" t="s">
        <v>157</v>
      </c>
      <c r="B469" s="639"/>
      <c r="C469" s="724" t="s">
        <v>1135</v>
      </c>
      <c r="D469" s="549">
        <v>202.56633036325914</v>
      </c>
      <c r="E469" s="550">
        <v>59.311617601825425</v>
      </c>
      <c r="F469" s="551">
        <v>0</v>
      </c>
      <c r="G469" s="560">
        <v>65.46948699127114</v>
      </c>
      <c r="H469" s="566">
        <v>327.3474349563557</v>
      </c>
      <c r="I469" s="567">
        <v>62.987957535822872</v>
      </c>
      <c r="J469" s="560">
        <v>15.746989383955718</v>
      </c>
      <c r="K469" s="568">
        <v>0</v>
      </c>
      <c r="L469" s="560">
        <v>0</v>
      </c>
      <c r="M469" s="1057">
        <f t="shared" si="60"/>
        <v>62.987957535822872</v>
      </c>
      <c r="N469" s="1058">
        <f t="shared" si="61"/>
        <v>15.746989383955718</v>
      </c>
      <c r="O469" s="569">
        <v>0</v>
      </c>
      <c r="P469" s="560">
        <v>0</v>
      </c>
      <c r="Q469" s="571">
        <v>406.08238187613432</v>
      </c>
      <c r="R469" s="1075">
        <f t="shared" si="63"/>
        <v>406.08238187613432</v>
      </c>
      <c r="S469" s="1075">
        <f t="shared" si="62"/>
        <v>0</v>
      </c>
    </row>
    <row r="470" spans="1:19" ht="16.5" hidden="1" thickBot="1" x14ac:dyDescent="0.3">
      <c r="A470" s="639" t="s">
        <v>158</v>
      </c>
      <c r="B470" s="639"/>
      <c r="C470" s="724" t="s">
        <v>1135</v>
      </c>
      <c r="D470" s="549">
        <v>0</v>
      </c>
      <c r="E470" s="550">
        <v>151.3426606162281</v>
      </c>
      <c r="F470" s="551">
        <v>0</v>
      </c>
      <c r="G470" s="560">
        <v>37.835665154057025</v>
      </c>
      <c r="H470" s="566">
        <v>189.17832577028514</v>
      </c>
      <c r="I470" s="567">
        <v>227.07526325657545</v>
      </c>
      <c r="J470" s="560">
        <v>56.768815814143863</v>
      </c>
      <c r="K470" s="568">
        <v>0</v>
      </c>
      <c r="L470" s="560">
        <v>0</v>
      </c>
      <c r="M470" s="1057">
        <f t="shared" si="60"/>
        <v>227.07526325657545</v>
      </c>
      <c r="N470" s="1058">
        <f t="shared" si="61"/>
        <v>56.768815814143863</v>
      </c>
      <c r="O470" s="569">
        <v>0</v>
      </c>
      <c r="P470" s="560">
        <v>0</v>
      </c>
      <c r="Q470" s="571">
        <v>473.02240484100446</v>
      </c>
      <c r="R470" s="1075">
        <f t="shared" si="63"/>
        <v>473.02240484100446</v>
      </c>
      <c r="S470" s="1075">
        <f t="shared" si="62"/>
        <v>0</v>
      </c>
    </row>
    <row r="471" spans="1:19" ht="16.5" hidden="1" thickBot="1" x14ac:dyDescent="0.3">
      <c r="A471" s="640" t="s">
        <v>159</v>
      </c>
      <c r="B471" s="652"/>
      <c r="C471" s="807" t="s">
        <v>1135</v>
      </c>
      <c r="D471" s="549">
        <v>285.5290682071348</v>
      </c>
      <c r="E471" s="550">
        <v>77.815861936279234</v>
      </c>
      <c r="F471" s="551">
        <v>0</v>
      </c>
      <c r="G471" s="560">
        <v>90.836232535853512</v>
      </c>
      <c r="H471" s="566">
        <v>454.18116267926757</v>
      </c>
      <c r="I471" s="567">
        <v>104.77568811892715</v>
      </c>
      <c r="J471" s="560">
        <v>26.193922029731787</v>
      </c>
      <c r="K471" s="568">
        <v>0</v>
      </c>
      <c r="L471" s="560">
        <v>0</v>
      </c>
      <c r="M471" s="1057">
        <f t="shared" si="60"/>
        <v>104.77568811892715</v>
      </c>
      <c r="N471" s="1058">
        <f t="shared" si="61"/>
        <v>26.193922029731787</v>
      </c>
      <c r="O471" s="569">
        <v>0</v>
      </c>
      <c r="P471" s="560">
        <v>0</v>
      </c>
      <c r="Q471" s="571">
        <v>585.15077282792652</v>
      </c>
      <c r="R471" s="1075">
        <f t="shared" si="63"/>
        <v>585.15077282792652</v>
      </c>
      <c r="S471" s="1075">
        <f t="shared" si="62"/>
        <v>0</v>
      </c>
    </row>
    <row r="472" spans="1:19" ht="16.5" hidden="1" thickBot="1" x14ac:dyDescent="0.3">
      <c r="A472" s="547" t="s">
        <v>160</v>
      </c>
      <c r="B472" s="1046"/>
      <c r="C472" s="802" t="s">
        <v>1137</v>
      </c>
      <c r="D472" s="549">
        <v>114.94016953675008</v>
      </c>
      <c r="E472" s="550">
        <v>110.83516348186615</v>
      </c>
      <c r="F472" s="551">
        <v>0</v>
      </c>
      <c r="G472" s="560">
        <v>18.0620266414893</v>
      </c>
      <c r="H472" s="566">
        <v>243.83735966010551</v>
      </c>
      <c r="I472" s="567">
        <v>271.95665113606043</v>
      </c>
      <c r="J472" s="560">
        <v>6.804047535970116</v>
      </c>
      <c r="K472" s="568">
        <v>0</v>
      </c>
      <c r="L472" s="560">
        <v>0</v>
      </c>
      <c r="M472" s="1057">
        <f t="shared" si="60"/>
        <v>271.95665113606043</v>
      </c>
      <c r="N472" s="1058">
        <f t="shared" si="61"/>
        <v>6.804047535970116</v>
      </c>
      <c r="O472" s="569">
        <v>0</v>
      </c>
      <c r="P472" s="560">
        <v>0</v>
      </c>
      <c r="Q472" s="571">
        <v>522.59805833213602</v>
      </c>
      <c r="R472" s="1075">
        <f t="shared" si="63"/>
        <v>522.59805833213602</v>
      </c>
      <c r="S472" s="1075">
        <f t="shared" si="62"/>
        <v>0</v>
      </c>
    </row>
    <row r="473" spans="1:19" ht="16.5" hidden="1" thickBot="1" x14ac:dyDescent="0.3">
      <c r="A473" s="547" t="s">
        <v>603</v>
      </c>
      <c r="B473" s="1046"/>
      <c r="C473" s="802" t="s">
        <v>1137</v>
      </c>
      <c r="D473" s="549">
        <v>139.57020586605367</v>
      </c>
      <c r="E473" s="550">
        <v>197.04029063442869</v>
      </c>
      <c r="F473" s="551">
        <v>0</v>
      </c>
      <c r="G473" s="560">
        <v>26.928839720038585</v>
      </c>
      <c r="H473" s="566">
        <v>363.53933622052091</v>
      </c>
      <c r="I473" s="567">
        <v>299.27546643131302</v>
      </c>
      <c r="J473" s="560">
        <v>7.4813735350259645</v>
      </c>
      <c r="K473" s="568">
        <v>0</v>
      </c>
      <c r="L473" s="560">
        <v>0</v>
      </c>
      <c r="M473" s="1057">
        <f t="shared" si="60"/>
        <v>299.27546643131302</v>
      </c>
      <c r="N473" s="1058">
        <f t="shared" si="61"/>
        <v>7.4813735350259645</v>
      </c>
      <c r="O473" s="569">
        <v>0</v>
      </c>
      <c r="P473" s="560">
        <v>0</v>
      </c>
      <c r="Q473" s="571">
        <v>670.29617618685984</v>
      </c>
      <c r="R473" s="1075">
        <f t="shared" si="63"/>
        <v>670.29617618685984</v>
      </c>
      <c r="S473" s="1075">
        <f t="shared" ref="S473:S495" si="64">Q473-R473</f>
        <v>0</v>
      </c>
    </row>
    <row r="474" spans="1:19" ht="16.5" hidden="1" thickBot="1" x14ac:dyDescent="0.3">
      <c r="A474" s="547" t="s">
        <v>162</v>
      </c>
      <c r="B474" s="1046"/>
      <c r="C474" s="802" t="s">
        <v>1137</v>
      </c>
      <c r="D474" s="549">
        <v>71.837605960468792</v>
      </c>
      <c r="E474" s="550">
        <v>149.83272100326349</v>
      </c>
      <c r="F474" s="551">
        <v>0</v>
      </c>
      <c r="G474" s="560">
        <v>17.733626157098584</v>
      </c>
      <c r="H474" s="566">
        <v>239.40395312083086</v>
      </c>
      <c r="I474" s="567">
        <v>123.15018164651794</v>
      </c>
      <c r="J474" s="560">
        <v>3.0787545411629482</v>
      </c>
      <c r="K474" s="568">
        <v>0</v>
      </c>
      <c r="L474" s="560">
        <v>0</v>
      </c>
      <c r="M474" s="1057">
        <f t="shared" si="60"/>
        <v>123.15018164651794</v>
      </c>
      <c r="N474" s="1058">
        <f t="shared" si="61"/>
        <v>3.0787545411629482</v>
      </c>
      <c r="O474" s="569">
        <v>0</v>
      </c>
      <c r="P474" s="560">
        <v>0</v>
      </c>
      <c r="Q474" s="571">
        <v>365.63288930851172</v>
      </c>
      <c r="R474" s="1075">
        <f t="shared" si="63"/>
        <v>365.63288930851172</v>
      </c>
      <c r="S474" s="1075">
        <f t="shared" si="64"/>
        <v>0</v>
      </c>
    </row>
    <row r="475" spans="1:19" ht="16.5" hidden="1" thickBot="1" x14ac:dyDescent="0.3">
      <c r="A475" s="547" t="s">
        <v>161</v>
      </c>
      <c r="B475" s="1046"/>
      <c r="C475" s="802" t="s">
        <v>1137</v>
      </c>
      <c r="D475" s="549">
        <v>28.735042384187519</v>
      </c>
      <c r="E475" s="550">
        <v>210.38156031280147</v>
      </c>
      <c r="F475" s="551">
        <v>0</v>
      </c>
      <c r="G475" s="560">
        <v>19.12932821575912</v>
      </c>
      <c r="H475" s="566">
        <v>258.24593091274812</v>
      </c>
      <c r="I475" s="567">
        <v>246.30036329303587</v>
      </c>
      <c r="J475" s="560">
        <v>6.1575090823258964</v>
      </c>
      <c r="K475" s="568">
        <v>0</v>
      </c>
      <c r="L475" s="560">
        <v>0</v>
      </c>
      <c r="M475" s="1057">
        <f t="shared" si="60"/>
        <v>246.30036329303587</v>
      </c>
      <c r="N475" s="1058">
        <f t="shared" si="61"/>
        <v>6.1575090823258964</v>
      </c>
      <c r="O475" s="569">
        <v>0</v>
      </c>
      <c r="P475" s="560">
        <v>0</v>
      </c>
      <c r="Q475" s="571">
        <v>510.70380328810984</v>
      </c>
      <c r="R475" s="1075">
        <f t="shared" si="63"/>
        <v>510.70380328810984</v>
      </c>
      <c r="S475" s="1075">
        <f t="shared" si="64"/>
        <v>0</v>
      </c>
    </row>
    <row r="476" spans="1:19" ht="16.5" hidden="1" thickBot="1" x14ac:dyDescent="0.3">
      <c r="A476" s="613" t="s">
        <v>163</v>
      </c>
      <c r="B476" s="1046" t="s">
        <v>429</v>
      </c>
      <c r="C476" s="802" t="s">
        <v>1137</v>
      </c>
      <c r="D476" s="549">
        <v>55.417581740933073</v>
      </c>
      <c r="E476" s="550">
        <v>238.09035118326801</v>
      </c>
      <c r="F476" s="551">
        <v>0</v>
      </c>
      <c r="G476" s="560">
        <v>23.480634633936084</v>
      </c>
      <c r="H476" s="566">
        <v>316.98856755813716</v>
      </c>
      <c r="I476" s="567">
        <v>262.54592475523901</v>
      </c>
      <c r="J476" s="560">
        <v>6.56800968781429</v>
      </c>
      <c r="K476" s="568">
        <v>0</v>
      </c>
      <c r="L476" s="560">
        <v>0</v>
      </c>
      <c r="M476" s="1057">
        <f t="shared" si="60"/>
        <v>262.54592475523901</v>
      </c>
      <c r="N476" s="1058">
        <f t="shared" si="61"/>
        <v>6.56800968781429</v>
      </c>
      <c r="O476" s="569">
        <v>0</v>
      </c>
      <c r="P476" s="560">
        <v>0</v>
      </c>
      <c r="Q476" s="571">
        <v>586.10250200119049</v>
      </c>
      <c r="R476" s="1075">
        <f t="shared" si="63"/>
        <v>586.10250200119049</v>
      </c>
      <c r="S476" s="1075">
        <f t="shared" si="64"/>
        <v>0</v>
      </c>
    </row>
    <row r="477" spans="1:19" ht="16.5" hidden="1" thickBot="1" x14ac:dyDescent="0.3">
      <c r="A477" s="693" t="s">
        <v>928</v>
      </c>
      <c r="B477" s="693" t="s">
        <v>429</v>
      </c>
      <c r="C477" s="806" t="s">
        <v>1145</v>
      </c>
      <c r="D477" s="549">
        <v>116.47824597464884</v>
      </c>
      <c r="E477" s="550">
        <v>0</v>
      </c>
      <c r="F477" s="551">
        <v>0</v>
      </c>
      <c r="G477" s="560">
        <v>9.3182596779719074</v>
      </c>
      <c r="H477" s="566">
        <v>125.79650565262075</v>
      </c>
      <c r="I477" s="567">
        <v>0</v>
      </c>
      <c r="J477" s="560">
        <v>0</v>
      </c>
      <c r="K477" s="568">
        <v>58.239122987324421</v>
      </c>
      <c r="L477" s="560">
        <v>4.6591298389859537</v>
      </c>
      <c r="M477" s="1057">
        <f t="shared" si="60"/>
        <v>58.239122987324421</v>
      </c>
      <c r="N477" s="1058">
        <f t="shared" si="61"/>
        <v>4.6591298389859537</v>
      </c>
      <c r="O477" s="569">
        <v>6.3246106411574035</v>
      </c>
      <c r="P477" s="560">
        <v>0</v>
      </c>
      <c r="Q477" s="571">
        <v>195.01936912008853</v>
      </c>
      <c r="R477" s="1075">
        <f t="shared" si="63"/>
        <v>195.01936912008853</v>
      </c>
      <c r="S477" s="1075">
        <f t="shared" si="64"/>
        <v>0</v>
      </c>
    </row>
    <row r="478" spans="1:19" ht="16.5" hidden="1" thickBot="1" x14ac:dyDescent="0.3">
      <c r="A478" s="639" t="s">
        <v>929</v>
      </c>
      <c r="B478" s="639"/>
      <c r="C478" s="724" t="s">
        <v>1145</v>
      </c>
      <c r="D478" s="549">
        <v>117.26882230479352</v>
      </c>
      <c r="E478" s="550">
        <v>0</v>
      </c>
      <c r="F478" s="551">
        <v>14.135504782986796</v>
      </c>
      <c r="G478" s="560">
        <v>9.3815057843834815</v>
      </c>
      <c r="H478" s="566">
        <v>140.78583287216378</v>
      </c>
      <c r="I478" s="567">
        <v>0</v>
      </c>
      <c r="J478" s="560">
        <v>0</v>
      </c>
      <c r="K478" s="568">
        <v>41.109969167523126</v>
      </c>
      <c r="L478" s="560">
        <v>3.28879753340185</v>
      </c>
      <c r="M478" s="1057">
        <f t="shared" si="60"/>
        <v>41.109969167523126</v>
      </c>
      <c r="N478" s="1058">
        <f t="shared" si="61"/>
        <v>3.28879753340185</v>
      </c>
      <c r="O478" s="569">
        <v>6.3246106411574035</v>
      </c>
      <c r="P478" s="560">
        <v>0</v>
      </c>
      <c r="Q478" s="571">
        <v>191.50921021424617</v>
      </c>
      <c r="R478" s="1075">
        <f t="shared" si="63"/>
        <v>191.50921021424617</v>
      </c>
      <c r="S478" s="1075">
        <f t="shared" si="64"/>
        <v>0</v>
      </c>
    </row>
    <row r="479" spans="1:19" ht="16.5" hidden="1" thickBot="1" x14ac:dyDescent="0.3">
      <c r="A479" s="652" t="s">
        <v>930</v>
      </c>
      <c r="B479" s="652"/>
      <c r="C479" s="807" t="s">
        <v>1145</v>
      </c>
      <c r="D479" s="549">
        <v>60.34732653437689</v>
      </c>
      <c r="E479" s="550">
        <v>0</v>
      </c>
      <c r="F479" s="551">
        <v>0</v>
      </c>
      <c r="G479" s="560">
        <v>4.8277861227501511</v>
      </c>
      <c r="H479" s="566">
        <v>65.175112657127045</v>
      </c>
      <c r="I479" s="567">
        <v>0</v>
      </c>
      <c r="J479" s="560">
        <v>0</v>
      </c>
      <c r="K479" s="568">
        <v>49.279257912351433</v>
      </c>
      <c r="L479" s="560">
        <v>3.942340632988115</v>
      </c>
      <c r="M479" s="1057">
        <f t="shared" si="60"/>
        <v>49.279257912351433</v>
      </c>
      <c r="N479" s="1058">
        <f t="shared" si="61"/>
        <v>3.942340632988115</v>
      </c>
      <c r="O479" s="569">
        <v>6.3246106411574035</v>
      </c>
      <c r="P479" s="560">
        <v>0</v>
      </c>
      <c r="Q479" s="571">
        <v>124.721321843624</v>
      </c>
      <c r="R479" s="1075">
        <f t="shared" si="63"/>
        <v>124.721321843624</v>
      </c>
      <c r="S479" s="1075">
        <f t="shared" si="64"/>
        <v>0</v>
      </c>
    </row>
    <row r="480" spans="1:19" ht="16.5" hidden="1" thickBot="1" x14ac:dyDescent="0.3">
      <c r="A480" s="690" t="s">
        <v>746</v>
      </c>
      <c r="B480" s="693" t="s">
        <v>429</v>
      </c>
      <c r="C480" s="806" t="s">
        <v>1147</v>
      </c>
      <c r="D480" s="549">
        <v>4.9608404483911857</v>
      </c>
      <c r="E480" s="550">
        <v>88.165158857796683</v>
      </c>
      <c r="F480" s="551">
        <v>0</v>
      </c>
      <c r="G480" s="560">
        <v>15.869728594403403</v>
      </c>
      <c r="H480" s="566">
        <v>108.99572790059126</v>
      </c>
      <c r="I480" s="567">
        <v>66.12386914334752</v>
      </c>
      <c r="J480" s="560">
        <v>11.90243424692612</v>
      </c>
      <c r="K480" s="568">
        <v>0</v>
      </c>
      <c r="L480" s="560">
        <v>0</v>
      </c>
      <c r="M480" s="1057">
        <f t="shared" si="60"/>
        <v>66.12386914334752</v>
      </c>
      <c r="N480" s="1058">
        <f t="shared" si="61"/>
        <v>11.90243424692612</v>
      </c>
      <c r="O480" s="569">
        <v>0</v>
      </c>
      <c r="P480" s="560">
        <v>0</v>
      </c>
      <c r="Q480" s="571">
        <v>187.0220312908649</v>
      </c>
      <c r="R480" s="1075">
        <f t="shared" si="63"/>
        <v>187.0220312908649</v>
      </c>
      <c r="S480" s="1075">
        <f t="shared" si="64"/>
        <v>0</v>
      </c>
    </row>
    <row r="481" spans="1:19" ht="16.5" hidden="1" thickBot="1" x14ac:dyDescent="0.3">
      <c r="A481" s="639" t="s">
        <v>747</v>
      </c>
      <c r="B481" s="639"/>
      <c r="C481" s="724" t="s">
        <v>1147</v>
      </c>
      <c r="D481" s="549">
        <v>4.9608404483911857</v>
      </c>
      <c r="E481" s="550">
        <v>88.165158857796683</v>
      </c>
      <c r="F481" s="551">
        <v>0</v>
      </c>
      <c r="G481" s="560">
        <v>15.869728594403403</v>
      </c>
      <c r="H481" s="566">
        <v>108.99572790059126</v>
      </c>
      <c r="I481" s="567">
        <v>66.12386914334752</v>
      </c>
      <c r="J481" s="560">
        <v>11.90243424692612</v>
      </c>
      <c r="K481" s="568">
        <v>0</v>
      </c>
      <c r="L481" s="560">
        <v>0</v>
      </c>
      <c r="M481" s="1057">
        <f t="shared" si="60"/>
        <v>66.12386914334752</v>
      </c>
      <c r="N481" s="1058">
        <f t="shared" si="61"/>
        <v>11.90243424692612</v>
      </c>
      <c r="O481" s="569">
        <v>0</v>
      </c>
      <c r="P481" s="560">
        <v>0</v>
      </c>
      <c r="Q481" s="571">
        <v>187.0220312908649</v>
      </c>
      <c r="R481" s="1075">
        <f t="shared" si="63"/>
        <v>187.0220312908649</v>
      </c>
      <c r="S481" s="1075">
        <f t="shared" si="64"/>
        <v>0</v>
      </c>
    </row>
    <row r="482" spans="1:19" ht="16.5" hidden="1" thickBot="1" x14ac:dyDescent="0.3">
      <c r="A482" s="639" t="s">
        <v>748</v>
      </c>
      <c r="B482" s="639"/>
      <c r="C482" s="724" t="s">
        <v>1147</v>
      </c>
      <c r="D482" s="549">
        <v>4.9608404483911857</v>
      </c>
      <c r="E482" s="550">
        <v>88.165158857796683</v>
      </c>
      <c r="F482" s="551">
        <v>0</v>
      </c>
      <c r="G482" s="560">
        <v>15.869728594403403</v>
      </c>
      <c r="H482" s="566">
        <v>108.99572790059126</v>
      </c>
      <c r="I482" s="567">
        <v>66.12386914334752</v>
      </c>
      <c r="J482" s="560">
        <v>11.90243424692612</v>
      </c>
      <c r="K482" s="568">
        <v>0</v>
      </c>
      <c r="L482" s="560">
        <v>0</v>
      </c>
      <c r="M482" s="1057">
        <f t="shared" si="60"/>
        <v>66.12386914334752</v>
      </c>
      <c r="N482" s="1058">
        <f t="shared" si="61"/>
        <v>11.90243424692612</v>
      </c>
      <c r="O482" s="569">
        <v>0</v>
      </c>
      <c r="P482" s="560">
        <v>0</v>
      </c>
      <c r="Q482" s="571">
        <v>187.0220312908649</v>
      </c>
      <c r="R482" s="1075">
        <f t="shared" si="63"/>
        <v>187.0220312908649</v>
      </c>
      <c r="S482" s="1075">
        <f t="shared" si="64"/>
        <v>0</v>
      </c>
    </row>
    <row r="483" spans="1:19" ht="16.5" hidden="1" thickBot="1" x14ac:dyDescent="0.3">
      <c r="A483" s="652" t="s">
        <v>749</v>
      </c>
      <c r="B483" s="652"/>
      <c r="C483" s="807" t="s">
        <v>1147</v>
      </c>
      <c r="D483" s="549">
        <v>4.9608404483911857</v>
      </c>
      <c r="E483" s="550">
        <v>88.165158857796683</v>
      </c>
      <c r="F483" s="551">
        <v>0</v>
      </c>
      <c r="G483" s="560">
        <v>15.869728594403403</v>
      </c>
      <c r="H483" s="566">
        <v>108.99572790059126</v>
      </c>
      <c r="I483" s="567">
        <v>66.12386914334752</v>
      </c>
      <c r="J483" s="560">
        <v>11.90243424692612</v>
      </c>
      <c r="K483" s="568">
        <v>0</v>
      </c>
      <c r="L483" s="560">
        <v>0</v>
      </c>
      <c r="M483" s="1057">
        <f t="shared" si="60"/>
        <v>66.12386914334752</v>
      </c>
      <c r="N483" s="1058">
        <f t="shared" si="61"/>
        <v>11.90243424692612</v>
      </c>
      <c r="O483" s="569">
        <v>0</v>
      </c>
      <c r="P483" s="560">
        <v>0</v>
      </c>
      <c r="Q483" s="571">
        <v>187.0220312908649</v>
      </c>
      <c r="R483" s="1075">
        <f t="shared" si="63"/>
        <v>187.0220312908649</v>
      </c>
      <c r="S483" s="1075">
        <f t="shared" si="64"/>
        <v>0</v>
      </c>
    </row>
    <row r="484" spans="1:19" ht="16.5" hidden="1" thickBot="1" x14ac:dyDescent="0.3">
      <c r="A484" s="663" t="s">
        <v>165</v>
      </c>
      <c r="B484" s="1046"/>
      <c r="C484" s="802" t="s">
        <v>1149</v>
      </c>
      <c r="D484" s="549">
        <v>35.247053735538977</v>
      </c>
      <c r="E484" s="550">
        <v>205.33300897394312</v>
      </c>
      <c r="F484" s="551">
        <v>0</v>
      </c>
      <c r="G484" s="560">
        <v>0</v>
      </c>
      <c r="H484" s="566">
        <v>240.58006270948209</v>
      </c>
      <c r="I484" s="567">
        <v>0</v>
      </c>
      <c r="J484" s="560">
        <v>0</v>
      </c>
      <c r="K484" s="568">
        <v>230.57898151151477</v>
      </c>
      <c r="L484" s="560">
        <v>0</v>
      </c>
      <c r="M484" s="1057">
        <f t="shared" si="60"/>
        <v>230.57898151151477</v>
      </c>
      <c r="N484" s="1058">
        <f t="shared" si="61"/>
        <v>0</v>
      </c>
      <c r="O484" s="569">
        <v>0</v>
      </c>
      <c r="P484" s="560">
        <v>0</v>
      </c>
      <c r="Q484" s="571">
        <v>471.15904422099686</v>
      </c>
      <c r="R484" s="1075">
        <f t="shared" si="63"/>
        <v>471.15904422099686</v>
      </c>
      <c r="S484" s="1075">
        <f t="shared" si="64"/>
        <v>0</v>
      </c>
    </row>
    <row r="485" spans="1:19" ht="16.5" hidden="1" thickBot="1" x14ac:dyDescent="0.3">
      <c r="A485" s="547" t="s">
        <v>166</v>
      </c>
      <c r="B485" s="1046" t="s">
        <v>429</v>
      </c>
      <c r="C485" s="802" t="s">
        <v>1149</v>
      </c>
      <c r="D485" s="549">
        <v>46.559087468915564</v>
      </c>
      <c r="E485" s="550">
        <v>173.11330954697806</v>
      </c>
      <c r="F485" s="551">
        <v>0</v>
      </c>
      <c r="G485" s="560">
        <v>0</v>
      </c>
      <c r="H485" s="566">
        <v>219.67239701589364</v>
      </c>
      <c r="I485" s="567">
        <v>0</v>
      </c>
      <c r="J485" s="560">
        <v>0</v>
      </c>
      <c r="K485" s="568">
        <v>332.88733917180235</v>
      </c>
      <c r="L485" s="560">
        <v>0</v>
      </c>
      <c r="M485" s="1057">
        <f t="shared" si="60"/>
        <v>332.88733917180235</v>
      </c>
      <c r="N485" s="1058">
        <f t="shared" si="61"/>
        <v>0</v>
      </c>
      <c r="O485" s="569">
        <v>0</v>
      </c>
      <c r="P485" s="560">
        <v>0</v>
      </c>
      <c r="Q485" s="571">
        <v>552.55973618769599</v>
      </c>
      <c r="R485" s="1075">
        <f t="shared" si="63"/>
        <v>552.55973618769599</v>
      </c>
      <c r="S485" s="1075">
        <f t="shared" si="64"/>
        <v>0</v>
      </c>
    </row>
    <row r="486" spans="1:19" ht="16.5" hidden="1" thickBot="1" x14ac:dyDescent="0.3">
      <c r="A486" s="547" t="s">
        <v>167</v>
      </c>
      <c r="B486" s="1046" t="s">
        <v>429</v>
      </c>
      <c r="C486" s="802" t="s">
        <v>1149</v>
      </c>
      <c r="D486" s="549">
        <v>42.301870472483515</v>
      </c>
      <c r="E486" s="550">
        <v>173.49172883554979</v>
      </c>
      <c r="F486" s="551">
        <v>0</v>
      </c>
      <c r="G486" s="560">
        <v>0</v>
      </c>
      <c r="H486" s="566">
        <v>215.79359930803332</v>
      </c>
      <c r="I486" s="567">
        <v>0</v>
      </c>
      <c r="J486" s="560">
        <v>0</v>
      </c>
      <c r="K486" s="568">
        <v>169.55887122932208</v>
      </c>
      <c r="L486" s="560">
        <v>0</v>
      </c>
      <c r="M486" s="1057">
        <f t="shared" si="60"/>
        <v>169.55887122932208</v>
      </c>
      <c r="N486" s="1058">
        <f t="shared" si="61"/>
        <v>0</v>
      </c>
      <c r="O486" s="569">
        <v>0</v>
      </c>
      <c r="P486" s="560">
        <v>0</v>
      </c>
      <c r="Q486" s="571">
        <v>385.35247053735543</v>
      </c>
      <c r="R486" s="1075">
        <f t="shared" si="63"/>
        <v>385.35247053735543</v>
      </c>
      <c r="S486" s="1075">
        <f t="shared" si="64"/>
        <v>0</v>
      </c>
    </row>
    <row r="487" spans="1:19" ht="16.5" hidden="1" thickBot="1" x14ac:dyDescent="0.3">
      <c r="A487" s="547" t="s">
        <v>168</v>
      </c>
      <c r="B487" s="1046"/>
      <c r="C487" s="802" t="s">
        <v>1149</v>
      </c>
      <c r="D487" s="549">
        <v>43.031679100443291</v>
      </c>
      <c r="E487" s="550">
        <v>238.13385230835763</v>
      </c>
      <c r="F487" s="551">
        <v>0</v>
      </c>
      <c r="G487" s="560">
        <v>0</v>
      </c>
      <c r="H487" s="566">
        <v>281.16553140880092</v>
      </c>
      <c r="I487" s="567">
        <v>0</v>
      </c>
      <c r="J487" s="560">
        <v>0</v>
      </c>
      <c r="K487" s="568">
        <v>291.50448697156446</v>
      </c>
      <c r="L487" s="560">
        <v>0</v>
      </c>
      <c r="M487" s="1057">
        <f t="shared" si="60"/>
        <v>291.50448697156446</v>
      </c>
      <c r="N487" s="1058">
        <f t="shared" si="61"/>
        <v>0</v>
      </c>
      <c r="O487" s="569">
        <v>0</v>
      </c>
      <c r="P487" s="560">
        <v>0</v>
      </c>
      <c r="Q487" s="571">
        <v>572.67001838036538</v>
      </c>
      <c r="R487" s="1075">
        <f t="shared" si="63"/>
        <v>572.67001838036538</v>
      </c>
      <c r="S487" s="1075">
        <f t="shared" si="64"/>
        <v>0</v>
      </c>
    </row>
    <row r="488" spans="1:19" ht="16.5" hidden="1" thickBot="1" x14ac:dyDescent="0.3">
      <c r="A488" s="547" t="s">
        <v>169</v>
      </c>
      <c r="B488" s="1046"/>
      <c r="C488" s="802" t="s">
        <v>1149</v>
      </c>
      <c r="D488" s="549">
        <v>32.530543842577572</v>
      </c>
      <c r="E488" s="550">
        <v>182.18185749810792</v>
      </c>
      <c r="F488" s="551">
        <v>0</v>
      </c>
      <c r="G488" s="560">
        <v>0</v>
      </c>
      <c r="H488" s="566">
        <v>214.71240134068549</v>
      </c>
      <c r="I488" s="567">
        <v>0</v>
      </c>
      <c r="J488" s="560">
        <v>0</v>
      </c>
      <c r="K488" s="568">
        <v>301.15417883014379</v>
      </c>
      <c r="L488" s="560">
        <v>0</v>
      </c>
      <c r="M488" s="1057">
        <f t="shared" si="60"/>
        <v>301.15417883014379</v>
      </c>
      <c r="N488" s="1058">
        <f t="shared" si="61"/>
        <v>0</v>
      </c>
      <c r="O488" s="569">
        <v>0</v>
      </c>
      <c r="P488" s="560">
        <v>0</v>
      </c>
      <c r="Q488" s="571">
        <v>515.86658017082925</v>
      </c>
      <c r="R488" s="1075">
        <f t="shared" si="63"/>
        <v>515.86658017082925</v>
      </c>
      <c r="S488" s="1075">
        <f t="shared" si="64"/>
        <v>0</v>
      </c>
    </row>
    <row r="489" spans="1:19" ht="16.5" hidden="1" thickBot="1" x14ac:dyDescent="0.3">
      <c r="A489" s="638" t="s">
        <v>170</v>
      </c>
      <c r="B489" s="693"/>
      <c r="C489" s="806" t="s">
        <v>1151</v>
      </c>
      <c r="D489" s="549" t="s">
        <v>5</v>
      </c>
      <c r="E489" s="550">
        <v>178.85</v>
      </c>
      <c r="F489" s="551" t="s">
        <v>5</v>
      </c>
      <c r="G489" s="560" t="s">
        <v>5</v>
      </c>
      <c r="H489" s="566">
        <v>178.85</v>
      </c>
      <c r="I489" s="567" t="s">
        <v>5</v>
      </c>
      <c r="J489" s="560" t="s">
        <v>5</v>
      </c>
      <c r="K489" s="568">
        <v>284.37</v>
      </c>
      <c r="L489" s="560" t="s">
        <v>5</v>
      </c>
      <c r="M489" s="1057">
        <f t="shared" ref="M489:M495" si="65">K489</f>
        <v>284.37</v>
      </c>
      <c r="N489" s="1077" t="s">
        <v>5</v>
      </c>
      <c r="O489" s="569" t="s">
        <v>5</v>
      </c>
      <c r="P489" s="560" t="s">
        <v>5</v>
      </c>
      <c r="Q489" s="571">
        <v>463.22</v>
      </c>
      <c r="R489" s="1075">
        <f>H489+K489</f>
        <v>463.22</v>
      </c>
      <c r="S489" s="1075">
        <f t="shared" si="64"/>
        <v>0</v>
      </c>
    </row>
    <row r="490" spans="1:19" ht="16.5" hidden="1" thickBot="1" x14ac:dyDescent="0.3">
      <c r="A490" s="639" t="s">
        <v>171</v>
      </c>
      <c r="B490" s="639" t="s">
        <v>429</v>
      </c>
      <c r="C490" s="724" t="s">
        <v>1151</v>
      </c>
      <c r="D490" s="549">
        <v>121.92</v>
      </c>
      <c r="E490" s="550">
        <v>119.72</v>
      </c>
      <c r="F490" s="551">
        <v>23.66</v>
      </c>
      <c r="G490" s="560" t="s">
        <v>5</v>
      </c>
      <c r="H490" s="566">
        <v>265.3</v>
      </c>
      <c r="I490" s="567" t="s">
        <v>5</v>
      </c>
      <c r="J490" s="560" t="s">
        <v>5</v>
      </c>
      <c r="K490" s="568">
        <v>294.17</v>
      </c>
      <c r="L490" s="560" t="s">
        <v>5</v>
      </c>
      <c r="M490" s="1057">
        <f t="shared" si="65"/>
        <v>294.17</v>
      </c>
      <c r="N490" s="1077" t="s">
        <v>5</v>
      </c>
      <c r="O490" s="569">
        <v>334.2</v>
      </c>
      <c r="P490" s="560" t="s">
        <v>5</v>
      </c>
      <c r="Q490" s="571">
        <v>893.67000000000007</v>
      </c>
      <c r="R490" s="1075">
        <f>H490+K490+O490</f>
        <v>893.67000000000007</v>
      </c>
      <c r="S490" s="1075">
        <f t="shared" si="64"/>
        <v>0</v>
      </c>
    </row>
    <row r="491" spans="1:19" ht="16.5" hidden="1" thickBot="1" x14ac:dyDescent="0.3">
      <c r="A491" s="639" t="s">
        <v>172</v>
      </c>
      <c r="B491" s="639"/>
      <c r="C491" s="724" t="s">
        <v>1151</v>
      </c>
      <c r="D491" s="549" t="s">
        <v>5</v>
      </c>
      <c r="E491" s="550">
        <v>204.17</v>
      </c>
      <c r="F491" s="551" t="s">
        <v>5</v>
      </c>
      <c r="G491" s="560" t="s">
        <v>5</v>
      </c>
      <c r="H491" s="566">
        <v>204.17</v>
      </c>
      <c r="I491" s="567" t="s">
        <v>5</v>
      </c>
      <c r="J491" s="560" t="s">
        <v>5</v>
      </c>
      <c r="K491" s="568">
        <v>166.12</v>
      </c>
      <c r="L491" s="560" t="s">
        <v>5</v>
      </c>
      <c r="M491" s="1057">
        <f t="shared" si="65"/>
        <v>166.12</v>
      </c>
      <c r="N491" s="1077" t="s">
        <v>5</v>
      </c>
      <c r="O491" s="569" t="s">
        <v>5</v>
      </c>
      <c r="P491" s="560" t="s">
        <v>5</v>
      </c>
      <c r="Q491" s="571">
        <v>370.28999999999996</v>
      </c>
      <c r="R491" s="1075">
        <f>H491+K491</f>
        <v>370.28999999999996</v>
      </c>
      <c r="S491" s="1075">
        <f t="shared" si="64"/>
        <v>0</v>
      </c>
    </row>
    <row r="492" spans="1:19" ht="16.5" hidden="1" thickBot="1" x14ac:dyDescent="0.3">
      <c r="A492" s="639" t="s">
        <v>173</v>
      </c>
      <c r="B492" s="639"/>
      <c r="C492" s="724" t="s">
        <v>1151</v>
      </c>
      <c r="D492" s="549" t="s">
        <v>5</v>
      </c>
      <c r="E492" s="550">
        <v>102.55</v>
      </c>
      <c r="F492" s="551" t="s">
        <v>5</v>
      </c>
      <c r="G492" s="560" t="s">
        <v>5</v>
      </c>
      <c r="H492" s="566">
        <v>102.55</v>
      </c>
      <c r="I492" s="567" t="s">
        <v>5</v>
      </c>
      <c r="J492" s="560" t="s">
        <v>5</v>
      </c>
      <c r="K492" s="568">
        <v>102.55</v>
      </c>
      <c r="L492" s="560" t="s">
        <v>5</v>
      </c>
      <c r="M492" s="1057">
        <f t="shared" si="65"/>
        <v>102.55</v>
      </c>
      <c r="N492" s="1077" t="s">
        <v>5</v>
      </c>
      <c r="O492" s="569" t="s">
        <v>5</v>
      </c>
      <c r="P492" s="560" t="s">
        <v>5</v>
      </c>
      <c r="Q492" s="571">
        <v>205.1</v>
      </c>
      <c r="R492" s="1075">
        <f>H492+K492</f>
        <v>205.1</v>
      </c>
      <c r="S492" s="1075">
        <f t="shared" si="64"/>
        <v>0</v>
      </c>
    </row>
    <row r="493" spans="1:19" ht="16.5" hidden="1" thickBot="1" x14ac:dyDescent="0.3">
      <c r="A493" s="639" t="s">
        <v>174</v>
      </c>
      <c r="B493" s="639"/>
      <c r="C493" s="724" t="s">
        <v>1151</v>
      </c>
      <c r="D493" s="549">
        <v>142.32</v>
      </c>
      <c r="E493" s="550">
        <v>67.36</v>
      </c>
      <c r="F493" s="551" t="s">
        <v>5</v>
      </c>
      <c r="G493" s="560" t="s">
        <v>5</v>
      </c>
      <c r="H493" s="566">
        <v>209.68</v>
      </c>
      <c r="I493" s="567" t="s">
        <v>5</v>
      </c>
      <c r="J493" s="560" t="s">
        <v>5</v>
      </c>
      <c r="K493" s="568">
        <v>252.36</v>
      </c>
      <c r="L493" s="560" t="s">
        <v>5</v>
      </c>
      <c r="M493" s="1057">
        <f t="shared" si="65"/>
        <v>252.36</v>
      </c>
      <c r="N493" s="1077" t="s">
        <v>5</v>
      </c>
      <c r="O493" s="569">
        <v>16.670000000000002</v>
      </c>
      <c r="P493" s="560" t="s">
        <v>5</v>
      </c>
      <c r="Q493" s="571">
        <v>478.71000000000004</v>
      </c>
      <c r="R493" s="1075">
        <f>H493+K493+O493</f>
        <v>478.71000000000004</v>
      </c>
      <c r="S493" s="1075">
        <f t="shared" si="64"/>
        <v>0</v>
      </c>
    </row>
    <row r="494" spans="1:19" ht="16.5" hidden="1" thickBot="1" x14ac:dyDescent="0.3">
      <c r="A494" s="639" t="s">
        <v>175</v>
      </c>
      <c r="B494" s="639"/>
      <c r="C494" s="724" t="s">
        <v>1151</v>
      </c>
      <c r="D494" s="549">
        <v>38.4</v>
      </c>
      <c r="E494" s="550">
        <v>13.07</v>
      </c>
      <c r="F494" s="551" t="s">
        <v>5</v>
      </c>
      <c r="G494" s="560" t="s">
        <v>5</v>
      </c>
      <c r="H494" s="566">
        <v>51.47</v>
      </c>
      <c r="I494" s="567" t="s">
        <v>5</v>
      </c>
      <c r="J494" s="560" t="s">
        <v>5</v>
      </c>
      <c r="K494" s="568">
        <v>87.73</v>
      </c>
      <c r="L494" s="560" t="s">
        <v>5</v>
      </c>
      <c r="M494" s="1057">
        <f t="shared" si="65"/>
        <v>87.73</v>
      </c>
      <c r="N494" s="1077" t="s">
        <v>5</v>
      </c>
      <c r="O494" s="569" t="s">
        <v>5</v>
      </c>
      <c r="P494" s="560" t="s">
        <v>5</v>
      </c>
      <c r="Q494" s="571">
        <v>139.19999999999999</v>
      </c>
      <c r="R494" s="1075">
        <f>H494+K494</f>
        <v>139.19999999999999</v>
      </c>
      <c r="S494" s="1075">
        <f t="shared" si="64"/>
        <v>0</v>
      </c>
    </row>
    <row r="495" spans="1:19" ht="16.5" hidden="1" thickBot="1" x14ac:dyDescent="0.3">
      <c r="A495" s="714" t="s">
        <v>212</v>
      </c>
      <c r="B495" s="1053"/>
      <c r="C495" s="807" t="s">
        <v>1151</v>
      </c>
      <c r="D495" s="716">
        <v>48</v>
      </c>
      <c r="E495" s="717">
        <v>124.66</v>
      </c>
      <c r="F495" s="718" t="s">
        <v>5</v>
      </c>
      <c r="G495" s="560" t="s">
        <v>5</v>
      </c>
      <c r="H495" s="566">
        <v>172.66</v>
      </c>
      <c r="I495" s="567" t="s">
        <v>5</v>
      </c>
      <c r="J495" s="560" t="s">
        <v>5</v>
      </c>
      <c r="K495" s="720">
        <v>182.97</v>
      </c>
      <c r="L495" s="560" t="s">
        <v>5</v>
      </c>
      <c r="M495" s="1057">
        <f t="shared" si="65"/>
        <v>182.97</v>
      </c>
      <c r="N495" s="1077" t="s">
        <v>5</v>
      </c>
      <c r="O495" s="721">
        <v>12.36</v>
      </c>
      <c r="P495" s="719" t="s">
        <v>5</v>
      </c>
      <c r="Q495" s="571">
        <v>367.99</v>
      </c>
      <c r="R495" s="1075">
        <f>H495+K495+O495</f>
        <v>367.99</v>
      </c>
      <c r="S495" s="1075">
        <f t="shared" si="64"/>
        <v>0</v>
      </c>
    </row>
    <row r="496" spans="1:19" ht="15.75" hidden="1" thickBot="1" x14ac:dyDescent="0.3"/>
    <row r="497" spans="1:13" ht="15.75" hidden="1" thickBot="1" x14ac:dyDescent="0.3"/>
    <row r="498" spans="1:13" ht="63.75" hidden="1" thickBot="1" x14ac:dyDescent="0.3">
      <c r="A498" s="250" t="s">
        <v>58</v>
      </c>
      <c r="B498" s="799" t="s">
        <v>1022</v>
      </c>
      <c r="C498" s="1061" t="s">
        <v>1294</v>
      </c>
      <c r="D498" s="1062" t="s">
        <v>1295</v>
      </c>
      <c r="E498" s="1063" t="s">
        <v>1194</v>
      </c>
      <c r="F498" s="1064" t="s">
        <v>1195</v>
      </c>
      <c r="G498" s="1065" t="s">
        <v>1196</v>
      </c>
      <c r="H498" s="1081" t="s">
        <v>1205</v>
      </c>
      <c r="I498" s="1082" t="s">
        <v>1208</v>
      </c>
      <c r="J498" s="1070" t="s">
        <v>1206</v>
      </c>
      <c r="K498" s="1064" t="s">
        <v>1207</v>
      </c>
      <c r="L498" s="1072" t="s">
        <v>1214</v>
      </c>
      <c r="M498" s="618" t="s">
        <v>1203</v>
      </c>
    </row>
    <row r="499" spans="1:13" ht="15.75" x14ac:dyDescent="0.25">
      <c r="A499" s="1098" t="s">
        <v>1298</v>
      </c>
      <c r="B499" s="1083" t="s">
        <v>1024</v>
      </c>
      <c r="C499" s="625" t="s">
        <v>5</v>
      </c>
      <c r="D499" s="593" t="s">
        <v>5</v>
      </c>
      <c r="E499" s="594" t="s">
        <v>5</v>
      </c>
      <c r="F499" s="595" t="s">
        <v>5</v>
      </c>
      <c r="G499" s="566" t="s">
        <v>5</v>
      </c>
      <c r="H499" s="1076" t="s">
        <v>5</v>
      </c>
      <c r="I499" s="1077" t="s">
        <v>5</v>
      </c>
      <c r="J499" s="597" t="s">
        <v>5</v>
      </c>
      <c r="K499" s="595" t="s">
        <v>5</v>
      </c>
      <c r="L499" s="571">
        <v>16.652428537404525</v>
      </c>
      <c r="M499" s="223">
        <f>L499</f>
        <v>16.652428537404525</v>
      </c>
    </row>
    <row r="500" spans="1:13" ht="15.75" x14ac:dyDescent="0.25">
      <c r="A500" s="781" t="s">
        <v>1299</v>
      </c>
      <c r="B500" s="1083" t="s">
        <v>1024</v>
      </c>
      <c r="C500" s="625" t="s">
        <v>5</v>
      </c>
      <c r="D500" s="593" t="s">
        <v>5</v>
      </c>
      <c r="E500" s="594" t="s">
        <v>5</v>
      </c>
      <c r="F500" s="595" t="s">
        <v>5</v>
      </c>
      <c r="G500" s="566" t="s">
        <v>5</v>
      </c>
      <c r="H500" s="1076" t="s">
        <v>5</v>
      </c>
      <c r="I500" s="1077" t="s">
        <v>5</v>
      </c>
      <c r="J500" s="597" t="s">
        <v>5</v>
      </c>
      <c r="K500" s="595" t="s">
        <v>5</v>
      </c>
      <c r="L500" s="571">
        <v>21.048058928113484</v>
      </c>
      <c r="M500" s="223">
        <f>L500</f>
        <v>21.048058928113484</v>
      </c>
    </row>
    <row r="501" spans="1:13" ht="15.75" x14ac:dyDescent="0.25">
      <c r="A501" s="781" t="s">
        <v>1300</v>
      </c>
      <c r="B501" s="1083" t="s">
        <v>1024</v>
      </c>
      <c r="C501" s="625" t="s">
        <v>5</v>
      </c>
      <c r="D501" s="593" t="s">
        <v>5</v>
      </c>
      <c r="E501" s="594" t="s">
        <v>5</v>
      </c>
      <c r="F501" s="595" t="s">
        <v>5</v>
      </c>
      <c r="G501" s="566" t="s">
        <v>5</v>
      </c>
      <c r="H501" s="1076" t="s">
        <v>5</v>
      </c>
      <c r="I501" s="1077" t="s">
        <v>5</v>
      </c>
      <c r="J501" s="597" t="s">
        <v>5</v>
      </c>
      <c r="K501" s="595" t="s">
        <v>5</v>
      </c>
      <c r="L501" s="571">
        <v>31.054892154907261</v>
      </c>
      <c r="M501" s="223">
        <f>L501</f>
        <v>31.054892154907261</v>
      </c>
    </row>
    <row r="502" spans="1:13" ht="15.75" hidden="1" x14ac:dyDescent="0.25">
      <c r="A502" s="781" t="s">
        <v>526</v>
      </c>
      <c r="B502" s="1083" t="s">
        <v>1026</v>
      </c>
      <c r="C502" s="625">
        <v>26.392844595536175</v>
      </c>
      <c r="D502" s="593">
        <v>0</v>
      </c>
      <c r="E502" s="594">
        <v>0</v>
      </c>
      <c r="F502" s="595">
        <v>5.2785689191072356</v>
      </c>
      <c r="G502" s="566">
        <v>31.671413514643412</v>
      </c>
      <c r="H502" s="1057">
        <v>4.6575608109769719</v>
      </c>
      <c r="I502" s="1058">
        <v>0.93151216219539446</v>
      </c>
      <c r="J502" s="597">
        <v>0</v>
      </c>
      <c r="K502" s="595">
        <v>0</v>
      </c>
      <c r="L502" s="571"/>
      <c r="M502" s="223">
        <f>G502+H502+I502+J502+K502</f>
        <v>37.260486487815783</v>
      </c>
    </row>
    <row r="503" spans="1:13" ht="15.75" x14ac:dyDescent="0.25">
      <c r="A503" s="781" t="s">
        <v>217</v>
      </c>
      <c r="B503" s="1083" t="s">
        <v>1024</v>
      </c>
      <c r="C503" s="625" t="s">
        <v>5</v>
      </c>
      <c r="D503" s="593" t="s">
        <v>5</v>
      </c>
      <c r="E503" s="594" t="s">
        <v>5</v>
      </c>
      <c r="F503" s="595" t="s">
        <v>5</v>
      </c>
      <c r="G503" s="566" t="s">
        <v>5</v>
      </c>
      <c r="H503" s="1076" t="s">
        <v>5</v>
      </c>
      <c r="I503" s="1077" t="s">
        <v>5</v>
      </c>
      <c r="J503" s="597" t="s">
        <v>5</v>
      </c>
      <c r="K503" s="595" t="s">
        <v>5</v>
      </c>
      <c r="L503" s="571">
        <v>39.878410497900838</v>
      </c>
      <c r="M503" s="223">
        <f>L503</f>
        <v>39.878410497900838</v>
      </c>
    </row>
    <row r="504" spans="1:13" ht="15.75" hidden="1" x14ac:dyDescent="0.25">
      <c r="A504" s="1090" t="s">
        <v>468</v>
      </c>
      <c r="B504" s="805" t="s">
        <v>1044</v>
      </c>
      <c r="C504" s="625">
        <v>30.453292646914065</v>
      </c>
      <c r="D504" s="593">
        <v>0</v>
      </c>
      <c r="E504" s="594">
        <v>0</v>
      </c>
      <c r="F504" s="595">
        <v>0</v>
      </c>
      <c r="G504" s="566">
        <v>30.453292646914065</v>
      </c>
      <c r="H504" s="1057">
        <v>13.842405748597303</v>
      </c>
      <c r="I504" s="1058">
        <v>0</v>
      </c>
      <c r="J504" s="597">
        <v>0</v>
      </c>
      <c r="K504" s="595">
        <v>0</v>
      </c>
      <c r="L504" s="571"/>
      <c r="M504" s="223">
        <f>G504+H504+I504+J504+K504</f>
        <v>44.295698395511366</v>
      </c>
    </row>
    <row r="505" spans="1:13" ht="15.75" hidden="1" x14ac:dyDescent="0.25">
      <c r="A505" s="1087" t="s">
        <v>148</v>
      </c>
      <c r="B505" s="805" t="s">
        <v>1131</v>
      </c>
      <c r="C505" s="625">
        <v>0</v>
      </c>
      <c r="D505" s="550">
        <v>49.663800252813957</v>
      </c>
      <c r="E505" s="551">
        <v>0</v>
      </c>
      <c r="F505" s="560">
        <v>0</v>
      </c>
      <c r="G505" s="566">
        <v>49.663800252813957</v>
      </c>
      <c r="H505" s="1057">
        <v>0</v>
      </c>
      <c r="I505" s="1058">
        <v>0</v>
      </c>
      <c r="J505" s="569">
        <v>0</v>
      </c>
      <c r="K505" s="560">
        <v>0</v>
      </c>
      <c r="L505" s="571"/>
      <c r="M505" s="223">
        <f>G505+H505+I505+J505+K505</f>
        <v>49.663800252813957</v>
      </c>
    </row>
    <row r="506" spans="1:13" ht="15.75" x14ac:dyDescent="0.25">
      <c r="A506" s="1091" t="s">
        <v>1301</v>
      </c>
      <c r="B506" s="1083" t="s">
        <v>1024</v>
      </c>
      <c r="C506" s="625" t="s">
        <v>5</v>
      </c>
      <c r="D506" s="593" t="s">
        <v>5</v>
      </c>
      <c r="E506" s="594" t="s">
        <v>5</v>
      </c>
      <c r="F506" s="595" t="s">
        <v>5</v>
      </c>
      <c r="G506" s="566" t="s">
        <v>5</v>
      </c>
      <c r="H506" s="1076" t="s">
        <v>5</v>
      </c>
      <c r="I506" s="1077" t="s">
        <v>5</v>
      </c>
      <c r="J506" s="597" t="s">
        <v>5</v>
      </c>
      <c r="K506" s="595" t="s">
        <v>5</v>
      </c>
      <c r="L506" s="571">
        <v>52.186283117091179</v>
      </c>
      <c r="M506" s="223">
        <f>L506</f>
        <v>52.186283117091179</v>
      </c>
    </row>
    <row r="507" spans="1:13" ht="15.75" x14ac:dyDescent="0.25">
      <c r="A507" s="781" t="s">
        <v>1302</v>
      </c>
      <c r="B507" s="1083" t="s">
        <v>1024</v>
      </c>
      <c r="C507" s="625" t="s">
        <v>5</v>
      </c>
      <c r="D507" s="593" t="s">
        <v>5</v>
      </c>
      <c r="E507" s="594" t="s">
        <v>5</v>
      </c>
      <c r="F507" s="595" t="s">
        <v>5</v>
      </c>
      <c r="G507" s="566" t="s">
        <v>5</v>
      </c>
      <c r="H507" s="1076" t="s">
        <v>5</v>
      </c>
      <c r="I507" s="1077" t="s">
        <v>5</v>
      </c>
      <c r="J507" s="597" t="s">
        <v>5</v>
      </c>
      <c r="K507" s="595" t="s">
        <v>5</v>
      </c>
      <c r="L507" s="571">
        <v>52.199723767747699</v>
      </c>
      <c r="M507" s="223">
        <f>L507</f>
        <v>52.199723767747699</v>
      </c>
    </row>
    <row r="508" spans="1:13" ht="15.75" x14ac:dyDescent="0.25">
      <c r="A508" s="781" t="s">
        <v>1303</v>
      </c>
      <c r="B508" s="1083" t="s">
        <v>1024</v>
      </c>
      <c r="C508" s="625" t="s">
        <v>5</v>
      </c>
      <c r="D508" s="593" t="s">
        <v>5</v>
      </c>
      <c r="E508" s="594" t="s">
        <v>5</v>
      </c>
      <c r="F508" s="595" t="s">
        <v>5</v>
      </c>
      <c r="G508" s="566" t="s">
        <v>5</v>
      </c>
      <c r="H508" s="1076" t="s">
        <v>5</v>
      </c>
      <c r="I508" s="1077" t="s">
        <v>5</v>
      </c>
      <c r="J508" s="597" t="s">
        <v>5</v>
      </c>
      <c r="K508" s="595" t="s">
        <v>5</v>
      </c>
      <c r="L508" s="571">
        <v>53.017452953690501</v>
      </c>
      <c r="M508" s="223">
        <f>L508</f>
        <v>53.017452953690501</v>
      </c>
    </row>
    <row r="509" spans="1:13" ht="15.75" hidden="1" x14ac:dyDescent="0.25">
      <c r="A509" s="1087" t="s">
        <v>143</v>
      </c>
      <c r="B509" s="805" t="s">
        <v>1131</v>
      </c>
      <c r="C509" s="625">
        <v>0</v>
      </c>
      <c r="D509" s="550">
        <v>53.618909463360751</v>
      </c>
      <c r="E509" s="551">
        <v>0</v>
      </c>
      <c r="F509" s="560">
        <v>0</v>
      </c>
      <c r="G509" s="566">
        <v>53.618909463360751</v>
      </c>
      <c r="H509" s="1057">
        <v>0</v>
      </c>
      <c r="I509" s="1058">
        <v>0</v>
      </c>
      <c r="J509" s="569">
        <v>0</v>
      </c>
      <c r="K509" s="560">
        <v>0</v>
      </c>
      <c r="L509" s="571"/>
      <c r="M509" s="223">
        <f t="shared" ref="M509:M520" si="66">G509+H509+I509+J509+K509</f>
        <v>53.618909463360751</v>
      </c>
    </row>
    <row r="510" spans="1:13" ht="15.75" hidden="1" x14ac:dyDescent="0.25">
      <c r="A510" s="1090" t="s">
        <v>81</v>
      </c>
      <c r="B510" s="805" t="s">
        <v>1044</v>
      </c>
      <c r="C510" s="625">
        <v>41.065803720838666</v>
      </c>
      <c r="D510" s="593">
        <v>0</v>
      </c>
      <c r="E510" s="594">
        <v>0</v>
      </c>
      <c r="F510" s="595">
        <v>0</v>
      </c>
      <c r="G510" s="566">
        <v>41.065803720838666</v>
      </c>
      <c r="H510" s="1057">
        <v>13.842405748597303</v>
      </c>
      <c r="I510" s="1058">
        <v>0</v>
      </c>
      <c r="J510" s="597">
        <v>0</v>
      </c>
      <c r="K510" s="595">
        <v>0</v>
      </c>
      <c r="L510" s="571"/>
      <c r="M510" s="223">
        <f t="shared" si="66"/>
        <v>54.908209469435967</v>
      </c>
    </row>
    <row r="511" spans="1:13" ht="15.75" hidden="1" x14ac:dyDescent="0.25">
      <c r="A511" s="1090" t="s">
        <v>79</v>
      </c>
      <c r="B511" s="805" t="s">
        <v>1044</v>
      </c>
      <c r="C511" s="625">
        <v>29.530465597007581</v>
      </c>
      <c r="D511" s="593">
        <v>0</v>
      </c>
      <c r="E511" s="594">
        <v>0</v>
      </c>
      <c r="F511" s="595">
        <v>0</v>
      </c>
      <c r="G511" s="566">
        <v>29.530465597007581</v>
      </c>
      <c r="H511" s="1057">
        <v>26.146766414017129</v>
      </c>
      <c r="I511" s="1058">
        <v>0</v>
      </c>
      <c r="J511" s="597">
        <v>0</v>
      </c>
      <c r="K511" s="595">
        <v>0</v>
      </c>
      <c r="L511" s="571"/>
      <c r="M511" s="223">
        <f t="shared" si="66"/>
        <v>55.677232011024714</v>
      </c>
    </row>
    <row r="512" spans="1:13" ht="15.75" hidden="1" x14ac:dyDescent="0.25">
      <c r="A512" s="1087" t="s">
        <v>147</v>
      </c>
      <c r="B512" s="805" t="s">
        <v>1131</v>
      </c>
      <c r="C512" s="625">
        <v>0</v>
      </c>
      <c r="D512" s="550">
        <v>58.333174707211562</v>
      </c>
      <c r="E512" s="551">
        <v>0</v>
      </c>
      <c r="F512" s="560">
        <v>0</v>
      </c>
      <c r="G512" s="566">
        <v>58.333174707211562</v>
      </c>
      <c r="H512" s="1057">
        <v>0</v>
      </c>
      <c r="I512" s="1058">
        <v>0</v>
      </c>
      <c r="J512" s="569">
        <v>0</v>
      </c>
      <c r="K512" s="560">
        <v>0</v>
      </c>
      <c r="L512" s="571"/>
      <c r="M512" s="223">
        <f t="shared" si="66"/>
        <v>58.333174707211562</v>
      </c>
    </row>
    <row r="513" spans="1:13" ht="15.75" hidden="1" x14ac:dyDescent="0.25">
      <c r="A513" s="1086" t="s">
        <v>621</v>
      </c>
      <c r="B513" s="1083" t="s">
        <v>1092</v>
      </c>
      <c r="C513" s="625">
        <v>57.446721978200749</v>
      </c>
      <c r="D513" s="550">
        <v>0</v>
      </c>
      <c r="E513" s="551">
        <v>0</v>
      </c>
      <c r="F513" s="560">
        <v>0</v>
      </c>
      <c r="G513" s="566">
        <v>57.446721978200749</v>
      </c>
      <c r="H513" s="1057">
        <v>4.0670245648283716</v>
      </c>
      <c r="I513" s="1058">
        <v>0</v>
      </c>
      <c r="J513" s="569">
        <v>0</v>
      </c>
      <c r="K513" s="560">
        <v>0</v>
      </c>
      <c r="L513" s="571"/>
      <c r="M513" s="223">
        <f t="shared" si="66"/>
        <v>61.513746543029121</v>
      </c>
    </row>
    <row r="514" spans="1:13" ht="15.75" hidden="1" x14ac:dyDescent="0.25">
      <c r="A514" s="479" t="s">
        <v>146</v>
      </c>
      <c r="B514" s="805" t="s">
        <v>1131</v>
      </c>
      <c r="C514" s="625">
        <v>0</v>
      </c>
      <c r="D514" s="550">
        <v>62.934972390572881</v>
      </c>
      <c r="E514" s="551">
        <v>0</v>
      </c>
      <c r="F514" s="560">
        <v>0</v>
      </c>
      <c r="G514" s="566">
        <v>62.934972390572881</v>
      </c>
      <c r="H514" s="1057">
        <v>0</v>
      </c>
      <c r="I514" s="1058">
        <v>0</v>
      </c>
      <c r="J514" s="569">
        <v>0</v>
      </c>
      <c r="K514" s="560">
        <v>0</v>
      </c>
      <c r="L514" s="571"/>
      <c r="M514" s="223">
        <f t="shared" si="66"/>
        <v>62.934972390572881</v>
      </c>
    </row>
    <row r="515" spans="1:13" ht="15.75" hidden="1" x14ac:dyDescent="0.25">
      <c r="A515" s="479" t="s">
        <v>150</v>
      </c>
      <c r="B515" s="805" t="s">
        <v>1131</v>
      </c>
      <c r="C515" s="625">
        <v>0</v>
      </c>
      <c r="D515" s="550">
        <v>64.462656753888353</v>
      </c>
      <c r="E515" s="551">
        <v>0</v>
      </c>
      <c r="F515" s="560">
        <v>0</v>
      </c>
      <c r="G515" s="566">
        <v>64.462656753888353</v>
      </c>
      <c r="H515" s="1057">
        <v>0</v>
      </c>
      <c r="I515" s="1058">
        <v>0</v>
      </c>
      <c r="J515" s="569">
        <v>0</v>
      </c>
      <c r="K515" s="560">
        <v>0</v>
      </c>
      <c r="L515" s="571"/>
      <c r="M515" s="223">
        <f t="shared" si="66"/>
        <v>64.462656753888353</v>
      </c>
    </row>
    <row r="516" spans="1:13" ht="15.75" hidden="1" x14ac:dyDescent="0.25">
      <c r="A516" s="479" t="s">
        <v>145</v>
      </c>
      <c r="B516" s="805" t="s">
        <v>1131</v>
      </c>
      <c r="C516" s="625">
        <v>0</v>
      </c>
      <c r="D516" s="550">
        <v>64.603241204500208</v>
      </c>
      <c r="E516" s="551">
        <v>0</v>
      </c>
      <c r="F516" s="560">
        <v>0</v>
      </c>
      <c r="G516" s="566">
        <v>64.603241204500208</v>
      </c>
      <c r="H516" s="1057">
        <v>0</v>
      </c>
      <c r="I516" s="1058">
        <v>0</v>
      </c>
      <c r="J516" s="569">
        <v>0</v>
      </c>
      <c r="K516" s="560">
        <v>0</v>
      </c>
      <c r="L516" s="571"/>
      <c r="M516" s="223">
        <f t="shared" si="66"/>
        <v>64.603241204500208</v>
      </c>
    </row>
    <row r="517" spans="1:13" ht="15.75" hidden="1" x14ac:dyDescent="0.25">
      <c r="A517" s="1085" t="s">
        <v>84</v>
      </c>
      <c r="B517" s="805" t="s">
        <v>1046</v>
      </c>
      <c r="C517" s="625">
        <v>0</v>
      </c>
      <c r="D517" s="593">
        <v>33.546712337709714</v>
      </c>
      <c r="E517" s="594">
        <v>0</v>
      </c>
      <c r="F517" s="595">
        <v>0</v>
      </c>
      <c r="G517" s="566">
        <v>33.546712337709714</v>
      </c>
      <c r="H517" s="1057">
        <v>37.376526261489765</v>
      </c>
      <c r="I517" s="1058">
        <v>0</v>
      </c>
      <c r="J517" s="597">
        <v>0</v>
      </c>
      <c r="K517" s="595">
        <v>0</v>
      </c>
      <c r="L517" s="571"/>
      <c r="M517" s="223">
        <f t="shared" si="66"/>
        <v>70.923238599199479</v>
      </c>
    </row>
    <row r="518" spans="1:13" ht="15.75" hidden="1" x14ac:dyDescent="0.25">
      <c r="A518" s="479" t="s">
        <v>144</v>
      </c>
      <c r="B518" s="805" t="s">
        <v>1131</v>
      </c>
      <c r="C518" s="625">
        <v>0</v>
      </c>
      <c r="D518" s="550">
        <v>72.194801537540272</v>
      </c>
      <c r="E518" s="551">
        <v>0</v>
      </c>
      <c r="F518" s="560">
        <v>0</v>
      </c>
      <c r="G518" s="566">
        <v>72.194801537540272</v>
      </c>
      <c r="H518" s="1057">
        <v>0</v>
      </c>
      <c r="I518" s="1058">
        <v>0</v>
      </c>
      <c r="J518" s="569">
        <v>0</v>
      </c>
      <c r="K518" s="560">
        <v>0</v>
      </c>
      <c r="L518" s="571"/>
      <c r="M518" s="223">
        <f t="shared" si="66"/>
        <v>72.194801537540272</v>
      </c>
    </row>
    <row r="519" spans="1:13" ht="15.75" hidden="1" x14ac:dyDescent="0.25">
      <c r="A519" s="1085" t="s">
        <v>82</v>
      </c>
      <c r="B519" s="805" t="s">
        <v>1048</v>
      </c>
      <c r="C519" s="625">
        <v>27.510121600805885</v>
      </c>
      <c r="D519" s="593">
        <v>23.869076094816872</v>
      </c>
      <c r="E519" s="594">
        <v>1.6890405541671261</v>
      </c>
      <c r="F519" s="595">
        <v>0</v>
      </c>
      <c r="G519" s="566">
        <v>53.068238249789886</v>
      </c>
      <c r="H519" s="1057">
        <v>16.89040554167126</v>
      </c>
      <c r="I519" s="1058">
        <v>0</v>
      </c>
      <c r="J519" s="597">
        <v>0</v>
      </c>
      <c r="K519" s="595">
        <v>2.5689598847811381</v>
      </c>
      <c r="L519" s="571"/>
      <c r="M519" s="223">
        <f t="shared" si="66"/>
        <v>72.527603676242279</v>
      </c>
    </row>
    <row r="520" spans="1:13" ht="15.75" hidden="1" x14ac:dyDescent="0.25">
      <c r="A520" s="1085" t="s">
        <v>83</v>
      </c>
      <c r="B520" s="805" t="s">
        <v>1048</v>
      </c>
      <c r="C520" s="625">
        <v>14.442813840423089</v>
      </c>
      <c r="D520" s="593">
        <v>36.986953931671735</v>
      </c>
      <c r="E520" s="594">
        <v>1.6890405541671261</v>
      </c>
      <c r="F520" s="595">
        <v>0</v>
      </c>
      <c r="G520" s="566">
        <v>53.118808326261949</v>
      </c>
      <c r="H520" s="1057">
        <v>16.89040554167126</v>
      </c>
      <c r="I520" s="1058">
        <v>0</v>
      </c>
      <c r="J520" s="597">
        <v>0</v>
      </c>
      <c r="K520" s="595">
        <v>2.5689598847811381</v>
      </c>
      <c r="L520" s="571"/>
      <c r="M520" s="223">
        <f t="shared" si="66"/>
        <v>72.578173752714349</v>
      </c>
    </row>
    <row r="521" spans="1:13" ht="15.75" hidden="1" x14ac:dyDescent="0.25">
      <c r="A521" s="791" t="s">
        <v>1304</v>
      </c>
      <c r="B521" s="804" t="s">
        <v>1034</v>
      </c>
      <c r="C521" s="625" t="s">
        <v>5</v>
      </c>
      <c r="D521" s="593" t="s">
        <v>5</v>
      </c>
      <c r="E521" s="594" t="s">
        <v>5</v>
      </c>
      <c r="F521" s="595" t="s">
        <v>5</v>
      </c>
      <c r="G521" s="566" t="s">
        <v>5</v>
      </c>
      <c r="H521" s="1076" t="s">
        <v>5</v>
      </c>
      <c r="I521" s="1077" t="s">
        <v>5</v>
      </c>
      <c r="J521" s="597" t="s">
        <v>5</v>
      </c>
      <c r="K521" s="595" t="s">
        <v>5</v>
      </c>
      <c r="L521" s="571">
        <v>73.375546919585844</v>
      </c>
      <c r="M521" s="223">
        <f>L521</f>
        <v>73.375546919585844</v>
      </c>
    </row>
    <row r="522" spans="1:13" ht="15.75" hidden="1" x14ac:dyDescent="0.25">
      <c r="A522" s="1086" t="s">
        <v>623</v>
      </c>
      <c r="B522" s="1083" t="s">
        <v>1092</v>
      </c>
      <c r="C522" s="625">
        <v>61.005368472425573</v>
      </c>
      <c r="D522" s="550">
        <v>0</v>
      </c>
      <c r="E522" s="551">
        <v>0</v>
      </c>
      <c r="F522" s="560">
        <v>0</v>
      </c>
      <c r="G522" s="566">
        <v>61.005368472425573</v>
      </c>
      <c r="H522" s="1057">
        <v>13.217829835692207</v>
      </c>
      <c r="I522" s="1058">
        <v>0</v>
      </c>
      <c r="J522" s="569">
        <v>0</v>
      </c>
      <c r="K522" s="560">
        <v>0</v>
      </c>
      <c r="L522" s="571"/>
      <c r="M522" s="223">
        <f t="shared" ref="M522:M527" si="67">G522+H522+I522+J522+K522</f>
        <v>74.223198308117787</v>
      </c>
    </row>
    <row r="523" spans="1:13" ht="15.75" hidden="1" x14ac:dyDescent="0.25">
      <c r="A523" s="1085" t="s">
        <v>80</v>
      </c>
      <c r="B523" s="805" t="s">
        <v>1044</v>
      </c>
      <c r="C523" s="625">
        <v>40.142976670932178</v>
      </c>
      <c r="D523" s="593">
        <v>0</v>
      </c>
      <c r="E523" s="594">
        <v>21.378826656166947</v>
      </c>
      <c r="F523" s="595">
        <v>0</v>
      </c>
      <c r="G523" s="566">
        <v>61.521803327099121</v>
      </c>
      <c r="H523" s="1057">
        <v>13.842405748597303</v>
      </c>
      <c r="I523" s="1058">
        <v>0</v>
      </c>
      <c r="J523" s="597">
        <v>0</v>
      </c>
      <c r="K523" s="595">
        <v>0</v>
      </c>
      <c r="L523" s="571"/>
      <c r="M523" s="223">
        <f t="shared" si="67"/>
        <v>75.364209075696422</v>
      </c>
    </row>
    <row r="524" spans="1:13" ht="15.75" hidden="1" x14ac:dyDescent="0.25">
      <c r="A524" s="1085" t="s">
        <v>78</v>
      </c>
      <c r="B524" s="805" t="s">
        <v>1044</v>
      </c>
      <c r="C524" s="625">
        <v>31.837533221773793</v>
      </c>
      <c r="D524" s="593">
        <v>0</v>
      </c>
      <c r="E524" s="594">
        <v>0</v>
      </c>
      <c r="F524" s="595">
        <v>0</v>
      </c>
      <c r="G524" s="566">
        <v>31.837533221773793</v>
      </c>
      <c r="H524" s="1057">
        <v>20.917413131213703</v>
      </c>
      <c r="I524" s="1058">
        <v>0</v>
      </c>
      <c r="J524" s="597">
        <v>24.147307805886406</v>
      </c>
      <c r="K524" s="595">
        <v>0</v>
      </c>
      <c r="L524" s="571"/>
      <c r="M524" s="223">
        <f t="shared" si="67"/>
        <v>76.902254158873902</v>
      </c>
    </row>
    <row r="525" spans="1:13" ht="15.75" hidden="1" x14ac:dyDescent="0.25">
      <c r="A525" s="479" t="s">
        <v>149</v>
      </c>
      <c r="B525" s="805" t="s">
        <v>1131</v>
      </c>
      <c r="C525" s="625">
        <v>0</v>
      </c>
      <c r="D525" s="550">
        <v>81.107855706331748</v>
      </c>
      <c r="E525" s="551">
        <v>0</v>
      </c>
      <c r="F525" s="560">
        <v>0</v>
      </c>
      <c r="G525" s="566">
        <v>81.107855706331748</v>
      </c>
      <c r="H525" s="1057">
        <v>0</v>
      </c>
      <c r="I525" s="1058">
        <v>0</v>
      </c>
      <c r="J525" s="569">
        <v>0</v>
      </c>
      <c r="K525" s="560">
        <v>0</v>
      </c>
      <c r="L525" s="571"/>
      <c r="M525" s="223">
        <f t="shared" si="67"/>
        <v>81.107855706331748</v>
      </c>
    </row>
    <row r="526" spans="1:13" ht="15.75" hidden="1" x14ac:dyDescent="0.25">
      <c r="A526" s="479" t="s">
        <v>1305</v>
      </c>
      <c r="B526" s="805" t="s">
        <v>1084</v>
      </c>
      <c r="C526" s="625">
        <v>0</v>
      </c>
      <c r="D526" s="550">
        <v>84.287296553798782</v>
      </c>
      <c r="E526" s="551">
        <v>0</v>
      </c>
      <c r="F526" s="560">
        <v>0</v>
      </c>
      <c r="G526" s="566">
        <v>84.287296553798782</v>
      </c>
      <c r="H526" s="1057">
        <v>0</v>
      </c>
      <c r="I526" s="1058">
        <v>0</v>
      </c>
      <c r="J526" s="569">
        <v>0</v>
      </c>
      <c r="K526" s="560">
        <v>0</v>
      </c>
      <c r="L526" s="571"/>
      <c r="M526" s="223">
        <f t="shared" si="67"/>
        <v>84.287296553798782</v>
      </c>
    </row>
    <row r="527" spans="1:13" ht="15.75" hidden="1" x14ac:dyDescent="0.25">
      <c r="A527" s="479" t="s">
        <v>108</v>
      </c>
      <c r="B527" s="805" t="s">
        <v>1074</v>
      </c>
      <c r="C527" s="625">
        <v>0.36013973421687612</v>
      </c>
      <c r="D527" s="550">
        <v>17.022604770651011</v>
      </c>
      <c r="E527" s="551">
        <v>0.48018631228916819</v>
      </c>
      <c r="F527" s="560">
        <v>1.7886940132771514</v>
      </c>
      <c r="G527" s="566">
        <v>19.651624830434205</v>
      </c>
      <c r="H527" s="1057">
        <v>59.603126012893</v>
      </c>
      <c r="I527" s="1058">
        <v>5.9543102723856851</v>
      </c>
      <c r="J527" s="569">
        <v>0.96037262457833639</v>
      </c>
      <c r="K527" s="560">
        <v>9.6037262457833644E-2</v>
      </c>
      <c r="L527" s="571"/>
      <c r="M527" s="223">
        <f t="shared" si="67"/>
        <v>86.265471002749052</v>
      </c>
    </row>
    <row r="528" spans="1:13" ht="15.75" hidden="1" x14ac:dyDescent="0.25">
      <c r="A528" s="791" t="s">
        <v>1308</v>
      </c>
      <c r="B528" s="804" t="s">
        <v>1034</v>
      </c>
      <c r="C528" s="625" t="s">
        <v>5</v>
      </c>
      <c r="D528" s="593" t="s">
        <v>5</v>
      </c>
      <c r="E528" s="594" t="s">
        <v>5</v>
      </c>
      <c r="F528" s="595" t="s">
        <v>5</v>
      </c>
      <c r="G528" s="566" t="s">
        <v>5</v>
      </c>
      <c r="H528" s="1076" t="s">
        <v>5</v>
      </c>
      <c r="I528" s="1077" t="s">
        <v>5</v>
      </c>
      <c r="J528" s="597" t="s">
        <v>5</v>
      </c>
      <c r="K528" s="595" t="s">
        <v>5</v>
      </c>
      <c r="L528" s="571">
        <v>89.379267029618958</v>
      </c>
      <c r="M528" s="223">
        <f>L528</f>
        <v>89.379267029618958</v>
      </c>
    </row>
    <row r="529" spans="1:13" ht="15.75" hidden="1" x14ac:dyDescent="0.25">
      <c r="A529" s="502" t="s">
        <v>887</v>
      </c>
      <c r="B529" s="804" t="s">
        <v>1120</v>
      </c>
      <c r="C529" s="625">
        <v>0</v>
      </c>
      <c r="D529" s="550">
        <v>53.357096971229694</v>
      </c>
      <c r="E529" s="551">
        <v>0</v>
      </c>
      <c r="F529" s="560">
        <v>0</v>
      </c>
      <c r="G529" s="566">
        <v>53.357096971229694</v>
      </c>
      <c r="H529" s="1057">
        <v>38.256031790692987</v>
      </c>
      <c r="I529" s="1058">
        <v>0</v>
      </c>
      <c r="J529" s="569">
        <v>0</v>
      </c>
      <c r="K529" s="560">
        <v>0</v>
      </c>
      <c r="L529" s="571"/>
      <c r="M529" s="223">
        <f t="shared" ref="M529:M535" si="68">G529+H529+I529+J529+K529</f>
        <v>91.613128761922681</v>
      </c>
    </row>
    <row r="530" spans="1:13" ht="15.75" hidden="1" x14ac:dyDescent="0.25">
      <c r="A530" s="781" t="s">
        <v>620</v>
      </c>
      <c r="B530" s="1083" t="s">
        <v>1092</v>
      </c>
      <c r="C530" s="625">
        <v>70.664551813892956</v>
      </c>
      <c r="D530" s="550">
        <v>0</v>
      </c>
      <c r="E530" s="551">
        <v>0</v>
      </c>
      <c r="F530" s="560">
        <v>0</v>
      </c>
      <c r="G530" s="566">
        <v>70.664551813892956</v>
      </c>
      <c r="H530" s="1057">
        <v>23.385391247763135</v>
      </c>
      <c r="I530" s="1058">
        <v>0</v>
      </c>
      <c r="J530" s="569">
        <v>0</v>
      </c>
      <c r="K530" s="560">
        <v>0</v>
      </c>
      <c r="L530" s="571"/>
      <c r="M530" s="223">
        <f t="shared" si="68"/>
        <v>94.049943061656094</v>
      </c>
    </row>
    <row r="531" spans="1:13" ht="15.75" hidden="1" x14ac:dyDescent="0.25">
      <c r="A531" s="1087" t="s">
        <v>1307</v>
      </c>
      <c r="B531" s="805" t="s">
        <v>1120</v>
      </c>
      <c r="C531" s="625">
        <v>0</v>
      </c>
      <c r="D531" s="550">
        <v>48.288693485348411</v>
      </c>
      <c r="E531" s="551">
        <v>2.0134753574048943</v>
      </c>
      <c r="F531" s="560">
        <v>0</v>
      </c>
      <c r="G531" s="566">
        <v>50.302168842753304</v>
      </c>
      <c r="H531" s="1057">
        <v>42.19619477458015</v>
      </c>
      <c r="I531" s="1058">
        <v>0</v>
      </c>
      <c r="J531" s="569">
        <v>2.1870508192501439</v>
      </c>
      <c r="K531" s="560">
        <v>0</v>
      </c>
      <c r="L531" s="571"/>
      <c r="M531" s="223">
        <f t="shared" si="68"/>
        <v>94.685414436583599</v>
      </c>
    </row>
    <row r="532" spans="1:13" ht="15.75" hidden="1" x14ac:dyDescent="0.25">
      <c r="A532" s="781" t="s">
        <v>889</v>
      </c>
      <c r="B532" s="1083" t="s">
        <v>1092</v>
      </c>
      <c r="C532" s="625">
        <v>105.74263868553766</v>
      </c>
      <c r="D532" s="550">
        <v>0</v>
      </c>
      <c r="E532" s="551">
        <v>0</v>
      </c>
      <c r="F532" s="560">
        <v>0</v>
      </c>
      <c r="G532" s="566">
        <v>105.74263868553766</v>
      </c>
      <c r="H532" s="1057">
        <v>0</v>
      </c>
      <c r="I532" s="1058">
        <v>0</v>
      </c>
      <c r="J532" s="569">
        <v>0</v>
      </c>
      <c r="K532" s="560">
        <v>0</v>
      </c>
      <c r="L532" s="571"/>
      <c r="M532" s="223">
        <f t="shared" si="68"/>
        <v>105.74263868553766</v>
      </c>
    </row>
    <row r="533" spans="1:13" ht="15.75" hidden="1" x14ac:dyDescent="0.25">
      <c r="A533" s="781" t="s">
        <v>622</v>
      </c>
      <c r="B533" s="1083" t="s">
        <v>1092</v>
      </c>
      <c r="C533" s="625">
        <v>116.92695623881568</v>
      </c>
      <c r="D533" s="550">
        <v>0</v>
      </c>
      <c r="E533" s="551">
        <v>0</v>
      </c>
      <c r="F533" s="560">
        <v>0</v>
      </c>
      <c r="G533" s="566">
        <v>116.92695623881568</v>
      </c>
      <c r="H533" s="1057">
        <v>0</v>
      </c>
      <c r="I533" s="1058">
        <v>0</v>
      </c>
      <c r="J533" s="569">
        <v>0</v>
      </c>
      <c r="K533" s="560">
        <v>0</v>
      </c>
      <c r="L533" s="571"/>
      <c r="M533" s="223">
        <f t="shared" si="68"/>
        <v>116.92695623881568</v>
      </c>
    </row>
    <row r="534" spans="1:13" ht="15.75" hidden="1" x14ac:dyDescent="0.25">
      <c r="A534" s="781" t="s">
        <v>624</v>
      </c>
      <c r="B534" s="1083" t="s">
        <v>1092</v>
      </c>
      <c r="C534" s="625">
        <v>104.21750447372702</v>
      </c>
      <c r="D534" s="550">
        <v>0</v>
      </c>
      <c r="E534" s="551">
        <v>0</v>
      </c>
      <c r="F534" s="560">
        <v>0</v>
      </c>
      <c r="G534" s="566">
        <v>104.21750447372702</v>
      </c>
      <c r="H534" s="1057">
        <v>17.28485440052058</v>
      </c>
      <c r="I534" s="1058">
        <v>0</v>
      </c>
      <c r="J534" s="569">
        <v>0</v>
      </c>
      <c r="K534" s="560">
        <v>0</v>
      </c>
      <c r="L534" s="571"/>
      <c r="M534" s="223">
        <f t="shared" si="68"/>
        <v>121.50235887424759</v>
      </c>
    </row>
    <row r="535" spans="1:13" ht="15.75" hidden="1" x14ac:dyDescent="0.25">
      <c r="A535" s="479" t="s">
        <v>930</v>
      </c>
      <c r="B535" s="805" t="s">
        <v>1145</v>
      </c>
      <c r="C535" s="686">
        <v>60.34732653437689</v>
      </c>
      <c r="D535" s="550">
        <v>0</v>
      </c>
      <c r="E535" s="551">
        <v>0</v>
      </c>
      <c r="F535" s="560">
        <v>4.8277861227501511</v>
      </c>
      <c r="G535" s="566">
        <v>65.175112657127045</v>
      </c>
      <c r="H535" s="1057">
        <v>49.279257912351433</v>
      </c>
      <c r="I535" s="1058">
        <v>3.942340632988115</v>
      </c>
      <c r="J535" s="569">
        <v>6.3246106411574035</v>
      </c>
      <c r="K535" s="560">
        <v>0</v>
      </c>
      <c r="L535" s="571"/>
      <c r="M535" s="223">
        <f t="shared" si="68"/>
        <v>124.721321843624</v>
      </c>
    </row>
    <row r="536" spans="1:13" ht="15.75" hidden="1" x14ac:dyDescent="0.25">
      <c r="A536" s="791" t="s">
        <v>933</v>
      </c>
      <c r="B536" s="804" t="s">
        <v>1034</v>
      </c>
      <c r="C536" s="686" t="s">
        <v>5</v>
      </c>
      <c r="D536" s="593" t="s">
        <v>5</v>
      </c>
      <c r="E536" s="594" t="s">
        <v>5</v>
      </c>
      <c r="F536" s="595" t="s">
        <v>5</v>
      </c>
      <c r="G536" s="566" t="s">
        <v>5</v>
      </c>
      <c r="H536" s="1076" t="s">
        <v>5</v>
      </c>
      <c r="I536" s="1077" t="s">
        <v>5</v>
      </c>
      <c r="J536" s="597" t="s">
        <v>5</v>
      </c>
      <c r="K536" s="595" t="s">
        <v>5</v>
      </c>
      <c r="L536" s="571">
        <v>131.95520166197124</v>
      </c>
      <c r="M536" s="223">
        <f>L536</f>
        <v>131.95520166197124</v>
      </c>
    </row>
    <row r="537" spans="1:13" ht="15.75" hidden="1" x14ac:dyDescent="0.25">
      <c r="A537" s="1085" t="s">
        <v>73</v>
      </c>
      <c r="B537" s="805" t="s">
        <v>1036</v>
      </c>
      <c r="C537" s="686">
        <v>71.806453988633706</v>
      </c>
      <c r="D537" s="593">
        <v>0</v>
      </c>
      <c r="E537" s="594">
        <v>0</v>
      </c>
      <c r="F537" s="595">
        <v>14.11579864733825</v>
      </c>
      <c r="G537" s="566">
        <v>85.922252635971958</v>
      </c>
      <c r="H537" s="1057">
        <v>38.665013686187379</v>
      </c>
      <c r="I537" s="1058">
        <v>7.9784948876259687</v>
      </c>
      <c r="J537" s="597">
        <v>0</v>
      </c>
      <c r="K537" s="595">
        <v>0</v>
      </c>
      <c r="L537" s="571"/>
      <c r="M537" s="223">
        <f>G537+H537+I537+J537+K537</f>
        <v>132.56576120978531</v>
      </c>
    </row>
    <row r="538" spans="1:13" ht="15.75" hidden="1" x14ac:dyDescent="0.25">
      <c r="A538" s="479" t="s">
        <v>112</v>
      </c>
      <c r="B538" s="805" t="s">
        <v>1076</v>
      </c>
      <c r="C538" s="686">
        <v>66.571407420741423</v>
      </c>
      <c r="D538" s="550">
        <v>2.1302850374637252</v>
      </c>
      <c r="E538" s="551">
        <v>0</v>
      </c>
      <c r="F538" s="560">
        <v>5.414474470220302</v>
      </c>
      <c r="G538" s="566">
        <v>74.116166928425443</v>
      </c>
      <c r="H538" s="1057">
        <v>59.647981048984306</v>
      </c>
      <c r="I538" s="1058">
        <v>4.7043794577323936</v>
      </c>
      <c r="J538" s="569">
        <v>0</v>
      </c>
      <c r="K538" s="560">
        <v>0</v>
      </c>
      <c r="L538" s="571"/>
      <c r="M538" s="223">
        <f>G538+H538+I538+J538+K538</f>
        <v>138.46852743514214</v>
      </c>
    </row>
    <row r="539" spans="1:13" ht="15.75" hidden="1" x14ac:dyDescent="0.25">
      <c r="A539" s="479" t="s">
        <v>175</v>
      </c>
      <c r="B539" s="805" t="s">
        <v>1151</v>
      </c>
      <c r="C539" s="686">
        <v>38.4</v>
      </c>
      <c r="D539" s="550">
        <v>13.07</v>
      </c>
      <c r="E539" s="551" t="s">
        <v>5</v>
      </c>
      <c r="F539" s="560" t="s">
        <v>5</v>
      </c>
      <c r="G539" s="566">
        <v>51.47</v>
      </c>
      <c r="H539" s="1057">
        <v>87.73</v>
      </c>
      <c r="I539" s="1077" t="s">
        <v>5</v>
      </c>
      <c r="J539" s="569" t="s">
        <v>5</v>
      </c>
      <c r="K539" s="560" t="s">
        <v>5</v>
      </c>
      <c r="L539" s="571"/>
      <c r="M539" s="223">
        <f>G539+H539</f>
        <v>139.19999999999999</v>
      </c>
    </row>
    <row r="540" spans="1:13" ht="15.75" hidden="1" x14ac:dyDescent="0.25">
      <c r="A540" s="1085" t="s">
        <v>75</v>
      </c>
      <c r="B540" s="805" t="s">
        <v>1036</v>
      </c>
      <c r="C540" s="625">
        <v>90.832095643741795</v>
      </c>
      <c r="D540" s="593">
        <v>0</v>
      </c>
      <c r="E540" s="594">
        <v>0</v>
      </c>
      <c r="F540" s="595">
        <v>18.411911279136849</v>
      </c>
      <c r="G540" s="566">
        <v>109.24400692287864</v>
      </c>
      <c r="H540" s="1057">
        <v>26.390406166762819</v>
      </c>
      <c r="I540" s="1058">
        <v>4.9098430077698261</v>
      </c>
      <c r="J540" s="597">
        <v>0</v>
      </c>
      <c r="K540" s="595">
        <v>0</v>
      </c>
      <c r="L540" s="571"/>
      <c r="M540" s="223">
        <f t="shared" ref="M540:M583" si="69">G540+H540+I540+J540+K540</f>
        <v>140.54425609741131</v>
      </c>
    </row>
    <row r="541" spans="1:13" ht="15.75" hidden="1" x14ac:dyDescent="0.25">
      <c r="A541" s="791" t="s">
        <v>189</v>
      </c>
      <c r="B541" s="804" t="s">
        <v>1118</v>
      </c>
      <c r="C541" s="625">
        <v>0</v>
      </c>
      <c r="D541" s="550">
        <v>82.32908995482191</v>
      </c>
      <c r="E541" s="551">
        <v>0</v>
      </c>
      <c r="F541" s="560">
        <v>7.4096180959339728</v>
      </c>
      <c r="G541" s="566">
        <v>89.738708050755889</v>
      </c>
      <c r="H541" s="1057">
        <v>46.310113099587326</v>
      </c>
      <c r="I541" s="1058">
        <v>8.798921488921593</v>
      </c>
      <c r="J541" s="569">
        <v>0</v>
      </c>
      <c r="K541" s="560">
        <v>0</v>
      </c>
      <c r="L541" s="571"/>
      <c r="M541" s="223">
        <f t="shared" si="69"/>
        <v>144.84774263926479</v>
      </c>
    </row>
    <row r="542" spans="1:13" ht="15.75" hidden="1" x14ac:dyDescent="0.25">
      <c r="A542" s="791" t="s">
        <v>860</v>
      </c>
      <c r="B542" s="804" t="s">
        <v>1118</v>
      </c>
      <c r="C542" s="625">
        <v>0</v>
      </c>
      <c r="D542" s="550">
        <v>85.15915242201892</v>
      </c>
      <c r="E542" s="551">
        <v>0</v>
      </c>
      <c r="F542" s="560">
        <v>7.6643237179817021</v>
      </c>
      <c r="G542" s="566">
        <v>92.823476140000622</v>
      </c>
      <c r="H542" s="1057">
        <v>44.766442662934416</v>
      </c>
      <c r="I542" s="1058">
        <v>8.5056241059575388</v>
      </c>
      <c r="J542" s="569">
        <v>0</v>
      </c>
      <c r="K542" s="560">
        <v>0</v>
      </c>
      <c r="L542" s="571"/>
      <c r="M542" s="223">
        <f t="shared" si="69"/>
        <v>146.09554290889258</v>
      </c>
    </row>
    <row r="543" spans="1:13" ht="15.75" hidden="1" x14ac:dyDescent="0.25">
      <c r="A543" s="502" t="s">
        <v>219</v>
      </c>
      <c r="B543" s="804" t="s">
        <v>1118</v>
      </c>
      <c r="C543" s="625">
        <v>0</v>
      </c>
      <c r="D543" s="550">
        <v>79.24174908151609</v>
      </c>
      <c r="E543" s="551">
        <v>0</v>
      </c>
      <c r="F543" s="560">
        <v>7.1317574173364484</v>
      </c>
      <c r="G543" s="566">
        <v>86.373506498852535</v>
      </c>
      <c r="H543" s="1057">
        <v>54.800300501178334</v>
      </c>
      <c r="I543" s="1058">
        <v>10.412057095223883</v>
      </c>
      <c r="J543" s="569">
        <v>0</v>
      </c>
      <c r="K543" s="560">
        <v>0</v>
      </c>
      <c r="L543" s="571"/>
      <c r="M543" s="223">
        <f t="shared" si="69"/>
        <v>151.58586409525475</v>
      </c>
    </row>
    <row r="544" spans="1:13" ht="15.75" hidden="1" x14ac:dyDescent="0.25">
      <c r="A544" s="1087" t="s">
        <v>109</v>
      </c>
      <c r="B544" s="805" t="s">
        <v>1074</v>
      </c>
      <c r="C544" s="625">
        <v>13.013049063036458</v>
      </c>
      <c r="D544" s="550">
        <v>73.900673461302986</v>
      </c>
      <c r="E544" s="551">
        <v>0.48018631228916819</v>
      </c>
      <c r="F544" s="560">
        <v>8.7393908836628604</v>
      </c>
      <c r="G544" s="566">
        <v>96.133299720291475</v>
      </c>
      <c r="H544" s="1057">
        <v>51.211870205639784</v>
      </c>
      <c r="I544" s="1058">
        <v>5.1139842258796406</v>
      </c>
      <c r="J544" s="569">
        <v>0.96037262457833639</v>
      </c>
      <c r="K544" s="560">
        <v>9.6037262457833644E-2</v>
      </c>
      <c r="L544" s="571"/>
      <c r="M544" s="223">
        <f t="shared" si="69"/>
        <v>153.51556403884706</v>
      </c>
    </row>
    <row r="545" spans="1:13" ht="15.75" hidden="1" x14ac:dyDescent="0.25">
      <c r="A545" s="502" t="s">
        <v>873</v>
      </c>
      <c r="B545" s="804" t="s">
        <v>1118</v>
      </c>
      <c r="C545" s="625">
        <v>0</v>
      </c>
      <c r="D545" s="550">
        <v>98.280351133568658</v>
      </c>
      <c r="E545" s="551">
        <v>0</v>
      </c>
      <c r="F545" s="560">
        <v>8.8452316020211796</v>
      </c>
      <c r="G545" s="566">
        <v>107.12558273558983</v>
      </c>
      <c r="H545" s="1057">
        <v>39.106317728540411</v>
      </c>
      <c r="I545" s="1058">
        <v>7.4302003684226774</v>
      </c>
      <c r="J545" s="569">
        <v>0</v>
      </c>
      <c r="K545" s="560">
        <v>0</v>
      </c>
      <c r="L545" s="571"/>
      <c r="M545" s="223">
        <f t="shared" si="69"/>
        <v>153.66210083255291</v>
      </c>
    </row>
    <row r="546" spans="1:13" ht="15.75" hidden="1" x14ac:dyDescent="0.25">
      <c r="A546" s="502" t="s">
        <v>868</v>
      </c>
      <c r="B546" s="804" t="s">
        <v>1118</v>
      </c>
      <c r="C546" s="625">
        <v>0</v>
      </c>
      <c r="D546" s="550">
        <v>82.586368360930734</v>
      </c>
      <c r="E546" s="551">
        <v>0</v>
      </c>
      <c r="F546" s="560">
        <v>7.4327731524837661</v>
      </c>
      <c r="G546" s="566">
        <v>90.019141513414496</v>
      </c>
      <c r="H546" s="1057">
        <v>54.800300501178334</v>
      </c>
      <c r="I546" s="1058">
        <v>10.412057095223883</v>
      </c>
      <c r="J546" s="569">
        <v>0</v>
      </c>
      <c r="K546" s="560">
        <v>0</v>
      </c>
      <c r="L546" s="571"/>
      <c r="M546" s="223">
        <f t="shared" si="69"/>
        <v>155.2314991098167</v>
      </c>
    </row>
    <row r="547" spans="1:13" ht="15.75" hidden="1" x14ac:dyDescent="0.25">
      <c r="A547" s="1090" t="s">
        <v>74</v>
      </c>
      <c r="B547" s="805" t="s">
        <v>1036</v>
      </c>
      <c r="C547" s="625">
        <v>79.171218500288447</v>
      </c>
      <c r="D547" s="593">
        <v>0</v>
      </c>
      <c r="E547" s="594">
        <v>0</v>
      </c>
      <c r="F547" s="595">
        <v>15.956989775251936</v>
      </c>
      <c r="G547" s="566">
        <v>95.128208275540388</v>
      </c>
      <c r="H547" s="1057">
        <v>52.167081957554402</v>
      </c>
      <c r="I547" s="1058">
        <v>10.433416391510882</v>
      </c>
      <c r="J547" s="597">
        <v>0</v>
      </c>
      <c r="K547" s="595">
        <v>0</v>
      </c>
      <c r="L547" s="571"/>
      <c r="M547" s="223">
        <f t="shared" si="69"/>
        <v>157.72870662460568</v>
      </c>
    </row>
    <row r="548" spans="1:13" ht="15.75" hidden="1" x14ac:dyDescent="0.25">
      <c r="A548" s="502" t="s">
        <v>869</v>
      </c>
      <c r="B548" s="804" t="s">
        <v>1118</v>
      </c>
      <c r="C548" s="625">
        <v>0</v>
      </c>
      <c r="D548" s="550">
        <v>67.664220806619255</v>
      </c>
      <c r="E548" s="551">
        <v>0</v>
      </c>
      <c r="F548" s="560">
        <v>6.0897798725957344</v>
      </c>
      <c r="G548" s="566">
        <v>73.754000679214982</v>
      </c>
      <c r="H548" s="1057">
        <v>71.780675304360358</v>
      </c>
      <c r="I548" s="1058">
        <v>13.638328307828468</v>
      </c>
      <c r="J548" s="569">
        <v>0</v>
      </c>
      <c r="K548" s="560">
        <v>0</v>
      </c>
      <c r="L548" s="571"/>
      <c r="M548" s="223">
        <f t="shared" si="69"/>
        <v>159.1730042914038</v>
      </c>
    </row>
    <row r="549" spans="1:13" ht="15.75" hidden="1" x14ac:dyDescent="0.25">
      <c r="A549" s="502" t="s">
        <v>871</v>
      </c>
      <c r="B549" s="804" t="s">
        <v>1118</v>
      </c>
      <c r="C549" s="625">
        <v>0</v>
      </c>
      <c r="D549" s="550">
        <v>94.935731854154014</v>
      </c>
      <c r="E549" s="551">
        <v>0</v>
      </c>
      <c r="F549" s="560">
        <v>8.5442158668738628</v>
      </c>
      <c r="G549" s="566">
        <v>103.47994772102788</v>
      </c>
      <c r="H549" s="1057">
        <v>52.227516440090149</v>
      </c>
      <c r="I549" s="1058">
        <v>9.9232281236171289</v>
      </c>
      <c r="J549" s="569">
        <v>0</v>
      </c>
      <c r="K549" s="560">
        <v>0</v>
      </c>
      <c r="L549" s="571"/>
      <c r="M549" s="223">
        <f t="shared" si="69"/>
        <v>165.63069228473515</v>
      </c>
    </row>
    <row r="550" spans="1:13" ht="15.75" hidden="1" x14ac:dyDescent="0.25">
      <c r="A550" s="1087" t="s">
        <v>119</v>
      </c>
      <c r="B550" s="805" t="s">
        <v>1076</v>
      </c>
      <c r="C550" s="625">
        <v>84.146258979817148</v>
      </c>
      <c r="D550" s="550">
        <v>1.5267042768490031</v>
      </c>
      <c r="E550" s="551">
        <v>0</v>
      </c>
      <c r="F550" s="560">
        <v>6.8169121198839209</v>
      </c>
      <c r="G550" s="566">
        <v>92.489875376550074</v>
      </c>
      <c r="H550" s="1057">
        <v>67.814073692595258</v>
      </c>
      <c r="I550" s="1058">
        <v>5.3967220949081041</v>
      </c>
      <c r="J550" s="569">
        <v>0</v>
      </c>
      <c r="K550" s="560">
        <v>0</v>
      </c>
      <c r="L550" s="571"/>
      <c r="M550" s="223">
        <f t="shared" si="69"/>
        <v>165.70067116405346</v>
      </c>
    </row>
    <row r="551" spans="1:13" ht="15.75" hidden="1" x14ac:dyDescent="0.25">
      <c r="A551" s="502" t="s">
        <v>191</v>
      </c>
      <c r="B551" s="804" t="s">
        <v>1118</v>
      </c>
      <c r="C551" s="625">
        <v>0</v>
      </c>
      <c r="D551" s="550">
        <v>73.324345741013275</v>
      </c>
      <c r="E551" s="551">
        <v>0</v>
      </c>
      <c r="F551" s="560">
        <v>6.5991911166911938</v>
      </c>
      <c r="G551" s="566">
        <v>79.923536857704462</v>
      </c>
      <c r="H551" s="1057">
        <v>73.067067334904451</v>
      </c>
      <c r="I551" s="1058">
        <v>13.882742793631845</v>
      </c>
      <c r="J551" s="569">
        <v>0</v>
      </c>
      <c r="K551" s="560">
        <v>0</v>
      </c>
      <c r="L551" s="571"/>
      <c r="M551" s="223">
        <f t="shared" si="69"/>
        <v>166.87334698624076</v>
      </c>
    </row>
    <row r="552" spans="1:13" ht="15.75" hidden="1" x14ac:dyDescent="0.25">
      <c r="A552" s="1085" t="s">
        <v>77</v>
      </c>
      <c r="B552" s="805" t="s">
        <v>1036</v>
      </c>
      <c r="C552" s="625">
        <v>111.08519805079233</v>
      </c>
      <c r="D552" s="593">
        <v>0</v>
      </c>
      <c r="E552" s="594">
        <v>0</v>
      </c>
      <c r="F552" s="595">
        <v>22.094293534964219</v>
      </c>
      <c r="G552" s="566">
        <v>133.17949158575655</v>
      </c>
      <c r="H552" s="1057">
        <v>28.231597294676501</v>
      </c>
      <c r="I552" s="1058">
        <v>5.5235733837410548</v>
      </c>
      <c r="J552" s="597">
        <v>0</v>
      </c>
      <c r="K552" s="595">
        <v>0</v>
      </c>
      <c r="L552" s="571"/>
      <c r="M552" s="223">
        <f t="shared" si="69"/>
        <v>166.93466226417411</v>
      </c>
    </row>
    <row r="553" spans="1:13" ht="15.75" hidden="1" x14ac:dyDescent="0.25">
      <c r="A553" s="479" t="s">
        <v>113</v>
      </c>
      <c r="B553" s="805" t="s">
        <v>1076</v>
      </c>
      <c r="C553" s="625">
        <v>90.537114092208327</v>
      </c>
      <c r="D553" s="550">
        <v>8.8761876560988551</v>
      </c>
      <c r="E553" s="551">
        <v>0</v>
      </c>
      <c r="F553" s="560">
        <v>7.926435576896278</v>
      </c>
      <c r="G553" s="566">
        <v>107.33973732520346</v>
      </c>
      <c r="H553" s="1057">
        <v>58.582838530252445</v>
      </c>
      <c r="I553" s="1058">
        <v>4.6777508947640971</v>
      </c>
      <c r="J553" s="569">
        <v>0</v>
      </c>
      <c r="K553" s="560">
        <v>0</v>
      </c>
      <c r="L553" s="571"/>
      <c r="M553" s="223">
        <f t="shared" si="69"/>
        <v>170.60032675022001</v>
      </c>
    </row>
    <row r="554" spans="1:13" ht="15.75" hidden="1" x14ac:dyDescent="0.25">
      <c r="A554" s="1085" t="s">
        <v>76</v>
      </c>
      <c r="B554" s="805" t="s">
        <v>1036</v>
      </c>
      <c r="C554" s="625">
        <v>128.88337895395793</v>
      </c>
      <c r="D554" s="593">
        <v>0</v>
      </c>
      <c r="E554" s="594">
        <v>0</v>
      </c>
      <c r="F554" s="595">
        <v>25.77667579079159</v>
      </c>
      <c r="G554" s="566">
        <v>154.66005474474952</v>
      </c>
      <c r="H554" s="1057">
        <v>15.343259399280708</v>
      </c>
      <c r="I554" s="1058">
        <v>3.0686518798561417</v>
      </c>
      <c r="J554" s="597">
        <v>0</v>
      </c>
      <c r="K554" s="595">
        <v>0</v>
      </c>
      <c r="L554" s="571"/>
      <c r="M554" s="223">
        <f t="shared" si="69"/>
        <v>173.07196602388635</v>
      </c>
    </row>
    <row r="555" spans="1:13" ht="15.75" hidden="1" x14ac:dyDescent="0.25">
      <c r="A555" s="791" t="s">
        <v>771</v>
      </c>
      <c r="B555" s="804" t="s">
        <v>1118</v>
      </c>
      <c r="C555" s="625">
        <v>0</v>
      </c>
      <c r="D555" s="550">
        <v>91.848390980848194</v>
      </c>
      <c r="E555" s="551">
        <v>0</v>
      </c>
      <c r="F555" s="560">
        <v>8.2663551882763393</v>
      </c>
      <c r="G555" s="566">
        <v>100.11474616912453</v>
      </c>
      <c r="H555" s="1057">
        <v>62.775931090551708</v>
      </c>
      <c r="I555" s="1058">
        <v>11.927426907204826</v>
      </c>
      <c r="J555" s="569">
        <v>0</v>
      </c>
      <c r="K555" s="560">
        <v>0</v>
      </c>
      <c r="L555" s="571"/>
      <c r="M555" s="223">
        <f t="shared" si="69"/>
        <v>174.81810416688106</v>
      </c>
    </row>
    <row r="556" spans="1:13" ht="15.75" hidden="1" x14ac:dyDescent="0.25">
      <c r="A556" s="479" t="s">
        <v>613</v>
      </c>
      <c r="B556" s="805" t="s">
        <v>1066</v>
      </c>
      <c r="C556" s="625">
        <v>0</v>
      </c>
      <c r="D556" s="550">
        <v>84.13572924179762</v>
      </c>
      <c r="E556" s="551">
        <v>0</v>
      </c>
      <c r="F556" s="560">
        <v>22.71432910660101</v>
      </c>
      <c r="G556" s="566">
        <v>106.85005834839863</v>
      </c>
      <c r="H556" s="1057">
        <v>53.540918608416668</v>
      </c>
      <c r="I556" s="1058">
        <v>14.455661726158443</v>
      </c>
      <c r="J556" s="569">
        <v>0</v>
      </c>
      <c r="K556" s="560">
        <v>0</v>
      </c>
      <c r="L556" s="571"/>
      <c r="M556" s="223">
        <f t="shared" si="69"/>
        <v>174.84663868297375</v>
      </c>
    </row>
    <row r="557" spans="1:13" ht="15.75" hidden="1" x14ac:dyDescent="0.25">
      <c r="A557" s="791" t="s">
        <v>865</v>
      </c>
      <c r="B557" s="804" t="s">
        <v>1118</v>
      </c>
      <c r="C557" s="625">
        <v>0</v>
      </c>
      <c r="D557" s="550">
        <v>89.275606919760008</v>
      </c>
      <c r="E557" s="551">
        <v>0</v>
      </c>
      <c r="F557" s="560">
        <v>8.0348046227784007</v>
      </c>
      <c r="G557" s="566">
        <v>97.310411542538404</v>
      </c>
      <c r="H557" s="1057">
        <v>66.120550369966352</v>
      </c>
      <c r="I557" s="1058">
        <v>12.562904570293606</v>
      </c>
      <c r="J557" s="569">
        <v>0</v>
      </c>
      <c r="K557" s="560">
        <v>0</v>
      </c>
      <c r="L557" s="571"/>
      <c r="M557" s="223">
        <f t="shared" si="69"/>
        <v>175.99386648279835</v>
      </c>
    </row>
    <row r="558" spans="1:13" ht="15.75" hidden="1" x14ac:dyDescent="0.25">
      <c r="A558" s="791" t="s">
        <v>863</v>
      </c>
      <c r="B558" s="804" t="s">
        <v>1118</v>
      </c>
      <c r="C558" s="625">
        <v>0</v>
      </c>
      <c r="D558" s="550">
        <v>91.591112574739384</v>
      </c>
      <c r="E558" s="551">
        <v>0</v>
      </c>
      <c r="F558" s="560">
        <v>8.2432001317265442</v>
      </c>
      <c r="G558" s="566">
        <v>99.834312706465923</v>
      </c>
      <c r="H558" s="1057">
        <v>66.635107182183987</v>
      </c>
      <c r="I558" s="1058">
        <v>12.660670364614958</v>
      </c>
      <c r="J558" s="569">
        <v>0</v>
      </c>
      <c r="K558" s="560">
        <v>0</v>
      </c>
      <c r="L558" s="571"/>
      <c r="M558" s="223">
        <f t="shared" si="69"/>
        <v>179.13009025326485</v>
      </c>
    </row>
    <row r="559" spans="1:13" ht="15.75" hidden="1" x14ac:dyDescent="0.25">
      <c r="A559" s="479" t="s">
        <v>114</v>
      </c>
      <c r="B559" s="805" t="s">
        <v>1076</v>
      </c>
      <c r="C559" s="625">
        <v>86.27654401728087</v>
      </c>
      <c r="D559" s="550">
        <v>4.4380938280494275</v>
      </c>
      <c r="E559" s="551">
        <v>0</v>
      </c>
      <c r="F559" s="560">
        <v>7.2340929397205675</v>
      </c>
      <c r="G559" s="566">
        <v>97.94873078505087</v>
      </c>
      <c r="H559" s="1057">
        <v>75.270071323718298</v>
      </c>
      <c r="I559" s="1058">
        <v>6.0091790431789249</v>
      </c>
      <c r="J559" s="569">
        <v>0</v>
      </c>
      <c r="K559" s="560">
        <v>0</v>
      </c>
      <c r="L559" s="571"/>
      <c r="M559" s="223">
        <f t="shared" si="69"/>
        <v>179.22798115194811</v>
      </c>
    </row>
    <row r="560" spans="1:13" ht="15.75" hidden="1" x14ac:dyDescent="0.25">
      <c r="A560" s="791" t="s">
        <v>872</v>
      </c>
      <c r="B560" s="804" t="s">
        <v>1118</v>
      </c>
      <c r="C560" s="625">
        <v>0</v>
      </c>
      <c r="D560" s="550">
        <v>103.68319766185385</v>
      </c>
      <c r="E560" s="551">
        <v>0</v>
      </c>
      <c r="F560" s="560">
        <v>9.3314877895668467</v>
      </c>
      <c r="G560" s="566">
        <v>113.0146854514207</v>
      </c>
      <c r="H560" s="1057">
        <v>57.37308456226652</v>
      </c>
      <c r="I560" s="1058">
        <v>10.900886066830639</v>
      </c>
      <c r="J560" s="569">
        <v>0</v>
      </c>
      <c r="K560" s="560">
        <v>0</v>
      </c>
      <c r="L560" s="571"/>
      <c r="M560" s="223">
        <f t="shared" si="69"/>
        <v>181.28865608051788</v>
      </c>
    </row>
    <row r="561" spans="1:13" ht="15.75" hidden="1" x14ac:dyDescent="0.25">
      <c r="A561" s="791" t="s">
        <v>769</v>
      </c>
      <c r="B561" s="804" t="s">
        <v>1118</v>
      </c>
      <c r="C561" s="625">
        <v>0</v>
      </c>
      <c r="D561" s="550">
        <v>89.532885325868833</v>
      </c>
      <c r="E561" s="551">
        <v>0</v>
      </c>
      <c r="F561" s="560">
        <v>8.0579596793281958</v>
      </c>
      <c r="G561" s="566">
        <v>97.590845005197025</v>
      </c>
      <c r="H561" s="1057">
        <v>71.008840086033899</v>
      </c>
      <c r="I561" s="1058">
        <v>13.49167961634644</v>
      </c>
      <c r="J561" s="569">
        <v>0</v>
      </c>
      <c r="K561" s="560">
        <v>0</v>
      </c>
      <c r="L561" s="571"/>
      <c r="M561" s="223">
        <f t="shared" si="69"/>
        <v>182.09136470757736</v>
      </c>
    </row>
    <row r="562" spans="1:13" ht="15.75" hidden="1" x14ac:dyDescent="0.25">
      <c r="A562" s="791" t="s">
        <v>190</v>
      </c>
      <c r="B562" s="804" t="s">
        <v>1118</v>
      </c>
      <c r="C562" s="625">
        <v>0</v>
      </c>
      <c r="D562" s="550">
        <v>95.707567072480472</v>
      </c>
      <c r="E562" s="551">
        <v>0</v>
      </c>
      <c r="F562" s="560">
        <v>8.6136810365232428</v>
      </c>
      <c r="G562" s="566">
        <v>104.32124810900372</v>
      </c>
      <c r="H562" s="1057">
        <v>66.120550369966352</v>
      </c>
      <c r="I562" s="1058">
        <v>12.562904570293606</v>
      </c>
      <c r="J562" s="569">
        <v>0</v>
      </c>
      <c r="K562" s="560">
        <v>0</v>
      </c>
      <c r="L562" s="571"/>
      <c r="M562" s="223">
        <f t="shared" si="69"/>
        <v>183.00470304926367</v>
      </c>
    </row>
    <row r="563" spans="1:13" ht="15.75" hidden="1" x14ac:dyDescent="0.25">
      <c r="A563" s="791" t="s">
        <v>867</v>
      </c>
      <c r="B563" s="804" t="s">
        <v>1118</v>
      </c>
      <c r="C563" s="625">
        <v>0</v>
      </c>
      <c r="D563" s="550">
        <v>81.299976330386642</v>
      </c>
      <c r="E563" s="551">
        <v>0</v>
      </c>
      <c r="F563" s="560">
        <v>7.3169978697347977</v>
      </c>
      <c r="G563" s="566">
        <v>88.616974200121433</v>
      </c>
      <c r="H563" s="1057">
        <v>79.499027487624915</v>
      </c>
      <c r="I563" s="1058">
        <v>15.104815222648734</v>
      </c>
      <c r="J563" s="569">
        <v>0</v>
      </c>
      <c r="K563" s="560">
        <v>0</v>
      </c>
      <c r="L563" s="571"/>
      <c r="M563" s="223">
        <f t="shared" si="69"/>
        <v>183.22081691039509</v>
      </c>
    </row>
    <row r="564" spans="1:13" ht="15.75" hidden="1" x14ac:dyDescent="0.25">
      <c r="A564" s="791" t="s">
        <v>866</v>
      </c>
      <c r="B564" s="804" t="s">
        <v>1118</v>
      </c>
      <c r="C564" s="625">
        <v>0</v>
      </c>
      <c r="D564" s="550">
        <v>104.71231128628912</v>
      </c>
      <c r="E564" s="551">
        <v>0</v>
      </c>
      <c r="F564" s="560">
        <v>9.4241080157660218</v>
      </c>
      <c r="G564" s="566">
        <v>114.13641930205515</v>
      </c>
      <c r="H564" s="1057">
        <v>58.144919780592978</v>
      </c>
      <c r="I564" s="1058">
        <v>11.047534758312665</v>
      </c>
      <c r="J564" s="569">
        <v>0</v>
      </c>
      <c r="K564" s="560">
        <v>0</v>
      </c>
      <c r="L564" s="571"/>
      <c r="M564" s="223">
        <f t="shared" si="69"/>
        <v>183.3288738409608</v>
      </c>
    </row>
    <row r="565" spans="1:13" ht="15.75" hidden="1" x14ac:dyDescent="0.25">
      <c r="A565" s="791" t="s">
        <v>520</v>
      </c>
      <c r="B565" s="804" t="s">
        <v>1118</v>
      </c>
      <c r="C565" s="625">
        <v>0</v>
      </c>
      <c r="D565" s="550">
        <v>82.0718115487131</v>
      </c>
      <c r="E565" s="551">
        <v>0</v>
      </c>
      <c r="F565" s="560">
        <v>7.3864630393841786</v>
      </c>
      <c r="G565" s="566">
        <v>89.458274588097282</v>
      </c>
      <c r="H565" s="1057">
        <v>78.98447067540728</v>
      </c>
      <c r="I565" s="1058">
        <v>15.007049428327381</v>
      </c>
      <c r="J565" s="569">
        <v>0</v>
      </c>
      <c r="K565" s="560">
        <v>0</v>
      </c>
      <c r="L565" s="571"/>
      <c r="M565" s="223">
        <f t="shared" si="69"/>
        <v>183.44979469183193</v>
      </c>
    </row>
    <row r="566" spans="1:13" ht="15.75" hidden="1" x14ac:dyDescent="0.25">
      <c r="A566" s="791" t="s">
        <v>870</v>
      </c>
      <c r="B566" s="804" t="s">
        <v>1118</v>
      </c>
      <c r="C566" s="625">
        <v>0</v>
      </c>
      <c r="D566" s="550">
        <v>108.5714873779214</v>
      </c>
      <c r="E566" s="551">
        <v>0</v>
      </c>
      <c r="F566" s="560">
        <v>9.7714338640129252</v>
      </c>
      <c r="G566" s="566">
        <v>118.34292124193432</v>
      </c>
      <c r="H566" s="1057">
        <v>56.086692531722427</v>
      </c>
      <c r="I566" s="1058">
        <v>10.656471581027262</v>
      </c>
      <c r="J566" s="569">
        <v>0</v>
      </c>
      <c r="K566" s="560">
        <v>0</v>
      </c>
      <c r="L566" s="571"/>
      <c r="M566" s="223">
        <f t="shared" si="69"/>
        <v>185.086085354684</v>
      </c>
    </row>
    <row r="567" spans="1:13" ht="15.75" hidden="1" x14ac:dyDescent="0.25">
      <c r="A567" s="791" t="s">
        <v>218</v>
      </c>
      <c r="B567" s="804" t="s">
        <v>1118</v>
      </c>
      <c r="C567" s="625">
        <v>0</v>
      </c>
      <c r="D567" s="550">
        <v>103.42591925574503</v>
      </c>
      <c r="E567" s="551">
        <v>0</v>
      </c>
      <c r="F567" s="560">
        <v>9.3083327330170533</v>
      </c>
      <c r="G567" s="566">
        <v>112.73425198876208</v>
      </c>
      <c r="H567" s="1057">
        <v>62.261374278334074</v>
      </c>
      <c r="I567" s="1058">
        <v>11.829661112883473</v>
      </c>
      <c r="J567" s="569">
        <v>0</v>
      </c>
      <c r="K567" s="560">
        <v>0</v>
      </c>
      <c r="L567" s="571"/>
      <c r="M567" s="223">
        <f t="shared" si="69"/>
        <v>186.82528737997964</v>
      </c>
    </row>
    <row r="568" spans="1:13" ht="15.75" hidden="1" x14ac:dyDescent="0.25">
      <c r="A568" s="479" t="s">
        <v>746</v>
      </c>
      <c r="B568" s="805" t="s">
        <v>1147</v>
      </c>
      <c r="C568" s="625">
        <v>4.9608404483911857</v>
      </c>
      <c r="D568" s="550">
        <v>88.165158857796683</v>
      </c>
      <c r="E568" s="551">
        <v>0</v>
      </c>
      <c r="F568" s="560">
        <v>15.869728594403403</v>
      </c>
      <c r="G568" s="566">
        <v>108.99572790059126</v>
      </c>
      <c r="H568" s="1057">
        <v>66.12386914334752</v>
      </c>
      <c r="I568" s="1058">
        <v>11.90243424692612</v>
      </c>
      <c r="J568" s="569">
        <v>0</v>
      </c>
      <c r="K568" s="560">
        <v>0</v>
      </c>
      <c r="L568" s="571"/>
      <c r="M568" s="223">
        <f t="shared" si="69"/>
        <v>187.0220312908649</v>
      </c>
    </row>
    <row r="569" spans="1:13" ht="15.75" hidden="1" x14ac:dyDescent="0.25">
      <c r="A569" s="479" t="s">
        <v>747</v>
      </c>
      <c r="B569" s="805" t="s">
        <v>1147</v>
      </c>
      <c r="C569" s="625">
        <v>4.9608404483911857</v>
      </c>
      <c r="D569" s="550">
        <v>88.165158857796683</v>
      </c>
      <c r="E569" s="551">
        <v>0</v>
      </c>
      <c r="F569" s="560">
        <v>15.869728594403403</v>
      </c>
      <c r="G569" s="566">
        <v>108.99572790059126</v>
      </c>
      <c r="H569" s="1057">
        <v>66.12386914334752</v>
      </c>
      <c r="I569" s="1058">
        <v>11.90243424692612</v>
      </c>
      <c r="J569" s="569">
        <v>0</v>
      </c>
      <c r="K569" s="560">
        <v>0</v>
      </c>
      <c r="L569" s="571"/>
      <c r="M569" s="223">
        <f t="shared" si="69"/>
        <v>187.0220312908649</v>
      </c>
    </row>
    <row r="570" spans="1:13" ht="15.75" hidden="1" x14ac:dyDescent="0.25">
      <c r="A570" s="479" t="s">
        <v>748</v>
      </c>
      <c r="B570" s="805" t="s">
        <v>1147</v>
      </c>
      <c r="C570" s="625">
        <v>4.9608404483911857</v>
      </c>
      <c r="D570" s="550">
        <v>88.165158857796683</v>
      </c>
      <c r="E570" s="551">
        <v>0</v>
      </c>
      <c r="F570" s="560">
        <v>15.869728594403403</v>
      </c>
      <c r="G570" s="566">
        <v>108.99572790059126</v>
      </c>
      <c r="H570" s="1057">
        <v>66.12386914334752</v>
      </c>
      <c r="I570" s="1058">
        <v>11.90243424692612</v>
      </c>
      <c r="J570" s="569">
        <v>0</v>
      </c>
      <c r="K570" s="560">
        <v>0</v>
      </c>
      <c r="L570" s="571"/>
      <c r="M570" s="223">
        <f t="shared" si="69"/>
        <v>187.0220312908649</v>
      </c>
    </row>
    <row r="571" spans="1:13" ht="15.75" hidden="1" x14ac:dyDescent="0.25">
      <c r="A571" s="479" t="s">
        <v>749</v>
      </c>
      <c r="B571" s="805" t="s">
        <v>1147</v>
      </c>
      <c r="C571" s="625">
        <v>4.9608404483911857</v>
      </c>
      <c r="D571" s="550">
        <v>88.165158857796683</v>
      </c>
      <c r="E571" s="551">
        <v>0</v>
      </c>
      <c r="F571" s="560">
        <v>15.869728594403403</v>
      </c>
      <c r="G571" s="566">
        <v>108.99572790059126</v>
      </c>
      <c r="H571" s="1057">
        <v>66.12386914334752</v>
      </c>
      <c r="I571" s="1058">
        <v>11.90243424692612</v>
      </c>
      <c r="J571" s="569">
        <v>0</v>
      </c>
      <c r="K571" s="560">
        <v>0</v>
      </c>
      <c r="L571" s="571"/>
      <c r="M571" s="223">
        <f t="shared" si="69"/>
        <v>187.0220312908649</v>
      </c>
    </row>
    <row r="572" spans="1:13" ht="15.75" hidden="1" x14ac:dyDescent="0.25">
      <c r="A572" s="791" t="s">
        <v>517</v>
      </c>
      <c r="B572" s="804" t="s">
        <v>1118</v>
      </c>
      <c r="C572" s="625">
        <v>0</v>
      </c>
      <c r="D572" s="550">
        <v>88.503771701433564</v>
      </c>
      <c r="E572" s="551">
        <v>0</v>
      </c>
      <c r="F572" s="560">
        <v>7.9653394531290207</v>
      </c>
      <c r="G572" s="566">
        <v>96.469111154562583</v>
      </c>
      <c r="H572" s="1057">
        <v>76.926243426536729</v>
      </c>
      <c r="I572" s="1058">
        <v>14.61598625104198</v>
      </c>
      <c r="J572" s="569">
        <v>0</v>
      </c>
      <c r="K572" s="560">
        <v>0</v>
      </c>
      <c r="L572" s="571"/>
      <c r="M572" s="223">
        <f t="shared" si="69"/>
        <v>188.01134083214129</v>
      </c>
    </row>
    <row r="573" spans="1:13" ht="15.75" hidden="1" x14ac:dyDescent="0.25">
      <c r="A573" s="791" t="s">
        <v>514</v>
      </c>
      <c r="B573" s="804" t="s">
        <v>1118</v>
      </c>
      <c r="C573" s="625">
        <v>0</v>
      </c>
      <c r="D573" s="550">
        <v>82.32908995482191</v>
      </c>
      <c r="E573" s="551">
        <v>0</v>
      </c>
      <c r="F573" s="560">
        <v>7.4096180959339728</v>
      </c>
      <c r="G573" s="566">
        <v>89.738708050755889</v>
      </c>
      <c r="H573" s="1057">
        <v>82.586368360930734</v>
      </c>
      <c r="I573" s="1058">
        <v>15.69140998857684</v>
      </c>
      <c r="J573" s="569">
        <v>0</v>
      </c>
      <c r="K573" s="560">
        <v>0</v>
      </c>
      <c r="L573" s="571"/>
      <c r="M573" s="223">
        <f t="shared" si="69"/>
        <v>188.01648640026346</v>
      </c>
    </row>
    <row r="574" spans="1:13" ht="15.75" hidden="1" x14ac:dyDescent="0.25">
      <c r="A574" s="791" t="s">
        <v>515</v>
      </c>
      <c r="B574" s="804" t="s">
        <v>1118</v>
      </c>
      <c r="C574" s="549">
        <v>0</v>
      </c>
      <c r="D574" s="550">
        <v>95.450288666371662</v>
      </c>
      <c r="E574" s="551">
        <v>0</v>
      </c>
      <c r="F574" s="560">
        <v>8.5905259799734495</v>
      </c>
      <c r="G574" s="566">
        <v>104.04081464634511</v>
      </c>
      <c r="H574" s="1057">
        <v>71.008840086033899</v>
      </c>
      <c r="I574" s="1058">
        <v>13.49167961634644</v>
      </c>
      <c r="J574" s="569">
        <v>0</v>
      </c>
      <c r="K574" s="560">
        <v>0</v>
      </c>
      <c r="L574" s="571"/>
      <c r="M574" s="223">
        <f t="shared" si="69"/>
        <v>188.54133434872543</v>
      </c>
    </row>
    <row r="575" spans="1:13" ht="15.75" hidden="1" x14ac:dyDescent="0.25">
      <c r="A575" s="791" t="s">
        <v>875</v>
      </c>
      <c r="B575" s="804" t="s">
        <v>1118</v>
      </c>
      <c r="C575" s="549">
        <v>0</v>
      </c>
      <c r="D575" s="550">
        <v>90.047442138086467</v>
      </c>
      <c r="E575" s="551">
        <v>0</v>
      </c>
      <c r="F575" s="560">
        <v>8.1042697924277824</v>
      </c>
      <c r="G575" s="566">
        <v>98.151711930514253</v>
      </c>
      <c r="H575" s="1057">
        <v>76.411686614319095</v>
      </c>
      <c r="I575" s="1058">
        <v>14.518220456720627</v>
      </c>
      <c r="J575" s="569">
        <v>0</v>
      </c>
      <c r="K575" s="560">
        <v>0</v>
      </c>
      <c r="L575" s="571"/>
      <c r="M575" s="223">
        <f t="shared" si="69"/>
        <v>189.08161900155397</v>
      </c>
    </row>
    <row r="576" spans="1:13" ht="15.75" hidden="1" x14ac:dyDescent="0.25">
      <c r="A576" s="479" t="s">
        <v>110</v>
      </c>
      <c r="B576" s="805" t="s">
        <v>1074</v>
      </c>
      <c r="C576" s="549">
        <v>22.028547076265593</v>
      </c>
      <c r="D576" s="550">
        <v>30.97201714265135</v>
      </c>
      <c r="E576" s="551">
        <v>0.48018631228916819</v>
      </c>
      <c r="F576" s="560">
        <v>5.3420727242169965</v>
      </c>
      <c r="G576" s="566">
        <v>58.82282325542311</v>
      </c>
      <c r="H576" s="1057">
        <v>119.31429394605107</v>
      </c>
      <c r="I576" s="1058">
        <v>11.932629860385829</v>
      </c>
      <c r="J576" s="569">
        <v>0.96037262457833639</v>
      </c>
      <c r="K576" s="560">
        <v>9.6037262457833644E-2</v>
      </c>
      <c r="L576" s="571"/>
      <c r="M576" s="223">
        <f t="shared" si="69"/>
        <v>191.12615694889615</v>
      </c>
    </row>
    <row r="577" spans="1:13" ht="15.75" hidden="1" x14ac:dyDescent="0.25">
      <c r="A577" s="479" t="s">
        <v>929</v>
      </c>
      <c r="B577" s="805" t="s">
        <v>1145</v>
      </c>
      <c r="C577" s="549">
        <v>117.26882230479352</v>
      </c>
      <c r="D577" s="550">
        <v>0</v>
      </c>
      <c r="E577" s="551">
        <v>14.135504782986796</v>
      </c>
      <c r="F577" s="560">
        <v>9.3815057843834815</v>
      </c>
      <c r="G577" s="566">
        <v>140.78583287216378</v>
      </c>
      <c r="H577" s="1057">
        <v>41.109969167523126</v>
      </c>
      <c r="I577" s="1058">
        <v>3.28879753340185</v>
      </c>
      <c r="J577" s="569">
        <v>6.3246106411574035</v>
      </c>
      <c r="K577" s="560">
        <v>0</v>
      </c>
      <c r="L577" s="571"/>
      <c r="M577" s="223">
        <f t="shared" si="69"/>
        <v>191.50921021424617</v>
      </c>
    </row>
    <row r="578" spans="1:13" ht="15.75" hidden="1" x14ac:dyDescent="0.25">
      <c r="A578" s="791" t="s">
        <v>864</v>
      </c>
      <c r="B578" s="804" t="s">
        <v>1118</v>
      </c>
      <c r="C578" s="549">
        <v>0</v>
      </c>
      <c r="D578" s="550">
        <v>91.591112574739384</v>
      </c>
      <c r="E578" s="551">
        <v>0</v>
      </c>
      <c r="F578" s="560">
        <v>8.2432001317265442</v>
      </c>
      <c r="G578" s="566">
        <v>99.834312706465923</v>
      </c>
      <c r="H578" s="1057">
        <v>78.212635457080822</v>
      </c>
      <c r="I578" s="1058">
        <v>14.860400736845355</v>
      </c>
      <c r="J578" s="569">
        <v>0</v>
      </c>
      <c r="K578" s="560">
        <v>0</v>
      </c>
      <c r="L578" s="571"/>
      <c r="M578" s="223">
        <f t="shared" si="69"/>
        <v>192.90734890039209</v>
      </c>
    </row>
    <row r="579" spans="1:13" ht="15.75" hidden="1" x14ac:dyDescent="0.25">
      <c r="A579" s="479" t="s">
        <v>928</v>
      </c>
      <c r="B579" s="805" t="s">
        <v>1145</v>
      </c>
      <c r="C579" s="549">
        <v>116.47824597464884</v>
      </c>
      <c r="D579" s="550">
        <v>0</v>
      </c>
      <c r="E579" s="551">
        <v>0</v>
      </c>
      <c r="F579" s="560">
        <v>9.3182596779719074</v>
      </c>
      <c r="G579" s="566">
        <v>125.79650565262075</v>
      </c>
      <c r="H579" s="1057">
        <v>58.239122987324421</v>
      </c>
      <c r="I579" s="1058">
        <v>4.6591298389859537</v>
      </c>
      <c r="J579" s="569">
        <v>6.3246106411574035</v>
      </c>
      <c r="K579" s="560">
        <v>0</v>
      </c>
      <c r="L579" s="571"/>
      <c r="M579" s="223">
        <f t="shared" si="69"/>
        <v>195.01936912008853</v>
      </c>
    </row>
    <row r="580" spans="1:13" ht="15.75" hidden="1" x14ac:dyDescent="0.25">
      <c r="A580" s="791" t="s">
        <v>862</v>
      </c>
      <c r="B580" s="804" t="s">
        <v>1118</v>
      </c>
      <c r="C580" s="549">
        <v>0</v>
      </c>
      <c r="D580" s="550">
        <v>106.25598172294204</v>
      </c>
      <c r="E580" s="551">
        <v>0</v>
      </c>
      <c r="F580" s="560">
        <v>9.5630383550647835</v>
      </c>
      <c r="G580" s="566">
        <v>115.81902007800682</v>
      </c>
      <c r="H580" s="1057">
        <v>66.892385588292811</v>
      </c>
      <c r="I580" s="1058">
        <v>12.709553261775632</v>
      </c>
      <c r="J580" s="569">
        <v>0</v>
      </c>
      <c r="K580" s="560">
        <v>0</v>
      </c>
      <c r="L580" s="571"/>
      <c r="M580" s="223">
        <f t="shared" si="69"/>
        <v>195.42095892807527</v>
      </c>
    </row>
    <row r="581" spans="1:13" ht="15.75" hidden="1" x14ac:dyDescent="0.25">
      <c r="A581" s="479" t="s">
        <v>107</v>
      </c>
      <c r="B581" s="805" t="s">
        <v>1074</v>
      </c>
      <c r="C581" s="549">
        <v>30.419802883518805</v>
      </c>
      <c r="D581" s="550">
        <v>50.203478949832537</v>
      </c>
      <c r="E581" s="551">
        <v>0.48018631228916819</v>
      </c>
      <c r="F581" s="560">
        <v>8.1151486776869426</v>
      </c>
      <c r="G581" s="566">
        <v>89.218616823327451</v>
      </c>
      <c r="H581" s="1057">
        <v>97.26173755417102</v>
      </c>
      <c r="I581" s="1058">
        <v>9.723772823855656</v>
      </c>
      <c r="J581" s="569">
        <v>0.96037262457833639</v>
      </c>
      <c r="K581" s="560">
        <v>9.6037262457833644E-2</v>
      </c>
      <c r="L581" s="571"/>
      <c r="M581" s="223">
        <f t="shared" si="69"/>
        <v>197.26053708839029</v>
      </c>
    </row>
    <row r="582" spans="1:13" ht="15.75" hidden="1" x14ac:dyDescent="0.25">
      <c r="A582" s="791" t="s">
        <v>597</v>
      </c>
      <c r="B582" s="804" t="s">
        <v>1118</v>
      </c>
      <c r="C582" s="549">
        <v>0</v>
      </c>
      <c r="D582" s="550">
        <v>105.48414650461558</v>
      </c>
      <c r="E582" s="551">
        <v>0</v>
      </c>
      <c r="F582" s="560">
        <v>9.4935731854154017</v>
      </c>
      <c r="G582" s="566">
        <v>114.97771969003098</v>
      </c>
      <c r="H582" s="1057">
        <v>74.353459365448543</v>
      </c>
      <c r="I582" s="1058">
        <v>14.127157279435222</v>
      </c>
      <c r="J582" s="569">
        <v>0</v>
      </c>
      <c r="K582" s="560">
        <v>0</v>
      </c>
      <c r="L582" s="571"/>
      <c r="M582" s="223">
        <f t="shared" si="69"/>
        <v>203.45833633491475</v>
      </c>
    </row>
    <row r="583" spans="1:13" ht="15.75" hidden="1" x14ac:dyDescent="0.25">
      <c r="A583" s="479" t="s">
        <v>137</v>
      </c>
      <c r="B583" s="805" t="s">
        <v>1116</v>
      </c>
      <c r="C583" s="549">
        <v>67.190069747061855</v>
      </c>
      <c r="D583" s="550">
        <v>67.454172218820901</v>
      </c>
      <c r="E583" s="551">
        <v>2.0527964850361937</v>
      </c>
      <c r="F583" s="560">
        <v>8.1991812823375465</v>
      </c>
      <c r="G583" s="566">
        <v>144.89621973325652</v>
      </c>
      <c r="H583" s="1057">
        <v>58.930865175688169</v>
      </c>
      <c r="I583" s="1058">
        <v>0</v>
      </c>
      <c r="J583" s="569">
        <v>0</v>
      </c>
      <c r="K583" s="560">
        <v>0</v>
      </c>
      <c r="L583" s="571"/>
      <c r="M583" s="223">
        <f t="shared" si="69"/>
        <v>203.8270849089447</v>
      </c>
    </row>
    <row r="584" spans="1:13" ht="15.75" hidden="1" x14ac:dyDescent="0.25">
      <c r="A584" s="479" t="s">
        <v>173</v>
      </c>
      <c r="B584" s="805" t="s">
        <v>1151</v>
      </c>
      <c r="C584" s="549" t="s">
        <v>5</v>
      </c>
      <c r="D584" s="550">
        <v>102.55</v>
      </c>
      <c r="E584" s="551" t="s">
        <v>5</v>
      </c>
      <c r="F584" s="560" t="s">
        <v>5</v>
      </c>
      <c r="G584" s="566">
        <v>102.55</v>
      </c>
      <c r="H584" s="1057">
        <v>102.55</v>
      </c>
      <c r="I584" s="1077" t="s">
        <v>5</v>
      </c>
      <c r="J584" s="569" t="s">
        <v>5</v>
      </c>
      <c r="K584" s="560" t="s">
        <v>5</v>
      </c>
      <c r="L584" s="571"/>
      <c r="M584" s="223">
        <f>G584+H584</f>
        <v>205.1</v>
      </c>
    </row>
    <row r="585" spans="1:13" ht="15.75" hidden="1" x14ac:dyDescent="0.25">
      <c r="A585" s="479" t="s">
        <v>111</v>
      </c>
      <c r="B585" s="805" t="s">
        <v>1074</v>
      </c>
      <c r="C585" s="549">
        <v>10.372024345446034</v>
      </c>
      <c r="D585" s="550">
        <v>54.249048630868771</v>
      </c>
      <c r="E585" s="551">
        <v>0.48018631228916819</v>
      </c>
      <c r="F585" s="560">
        <v>6.5065245315182292</v>
      </c>
      <c r="G585" s="566">
        <v>71.607783820122194</v>
      </c>
      <c r="H585" s="1057">
        <v>120.86289480318364</v>
      </c>
      <c r="I585" s="1058">
        <v>12.088690411879808</v>
      </c>
      <c r="J585" s="569">
        <v>0.96037262457833639</v>
      </c>
      <c r="K585" s="560">
        <v>9.6037262457833644E-2</v>
      </c>
      <c r="L585" s="571"/>
      <c r="M585" s="223">
        <f t="shared" ref="M585:M620" si="70">G585+H585+I585+J585+K585</f>
        <v>205.61577892222181</v>
      </c>
    </row>
    <row r="586" spans="1:13" ht="15.75" hidden="1" x14ac:dyDescent="0.25">
      <c r="A586" s="479" t="s">
        <v>131</v>
      </c>
      <c r="B586" s="805" t="s">
        <v>1114</v>
      </c>
      <c r="C586" s="549">
        <v>0</v>
      </c>
      <c r="D586" s="550">
        <v>97.168319678022144</v>
      </c>
      <c r="E586" s="551">
        <v>0</v>
      </c>
      <c r="F586" s="560">
        <v>7.7734655742417704</v>
      </c>
      <c r="G586" s="566">
        <v>104.94178525226391</v>
      </c>
      <c r="H586" s="1057">
        <v>95.443438263619385</v>
      </c>
      <c r="I586" s="1058">
        <v>7.6354750610895499</v>
      </c>
      <c r="J586" s="569">
        <v>0</v>
      </c>
      <c r="K586" s="560">
        <v>0</v>
      </c>
      <c r="L586" s="571"/>
      <c r="M586" s="223">
        <f t="shared" si="70"/>
        <v>208.02069857697285</v>
      </c>
    </row>
    <row r="587" spans="1:13" ht="15.75" hidden="1" x14ac:dyDescent="0.25">
      <c r="A587" s="791" t="s">
        <v>516</v>
      </c>
      <c r="B587" s="804" t="s">
        <v>1118</v>
      </c>
      <c r="C587" s="549">
        <v>0</v>
      </c>
      <c r="D587" s="550">
        <v>119.37718043449178</v>
      </c>
      <c r="E587" s="551">
        <v>0</v>
      </c>
      <c r="F587" s="560">
        <v>10.743946239104259</v>
      </c>
      <c r="G587" s="566">
        <v>130.12112667359602</v>
      </c>
      <c r="H587" s="1057">
        <v>66.892385588292811</v>
      </c>
      <c r="I587" s="1058">
        <v>12.709553261775632</v>
      </c>
      <c r="J587" s="569">
        <v>0</v>
      </c>
      <c r="K587" s="560">
        <v>0</v>
      </c>
      <c r="L587" s="571"/>
      <c r="M587" s="223">
        <f t="shared" si="70"/>
        <v>209.72306552366445</v>
      </c>
    </row>
    <row r="588" spans="1:13" ht="15.75" hidden="1" x14ac:dyDescent="0.25">
      <c r="A588" s="479" t="s">
        <v>118</v>
      </c>
      <c r="B588" s="805" t="s">
        <v>1076</v>
      </c>
      <c r="C588" s="549">
        <v>124.62167469162793</v>
      </c>
      <c r="D588" s="550">
        <v>7.8110451373669925</v>
      </c>
      <c r="E588" s="551">
        <v>0</v>
      </c>
      <c r="F588" s="560">
        <v>10.482777621852748</v>
      </c>
      <c r="G588" s="566">
        <v>142.91549745084768</v>
      </c>
      <c r="H588" s="1057">
        <v>63.553503617667808</v>
      </c>
      <c r="I588" s="1058">
        <v>5.0327984010080513</v>
      </c>
      <c r="J588" s="569">
        <v>0</v>
      </c>
      <c r="K588" s="560">
        <v>0</v>
      </c>
      <c r="L588" s="571"/>
      <c r="M588" s="223">
        <f t="shared" si="70"/>
        <v>211.50179946952355</v>
      </c>
    </row>
    <row r="589" spans="1:13" ht="15.75" hidden="1" x14ac:dyDescent="0.25">
      <c r="A589" s="479" t="s">
        <v>115</v>
      </c>
      <c r="B589" s="805" t="s">
        <v>1076</v>
      </c>
      <c r="C589" s="549">
        <v>90.537114092208327</v>
      </c>
      <c r="D589" s="550">
        <v>14.485938254753332</v>
      </c>
      <c r="E589" s="551">
        <v>0</v>
      </c>
      <c r="F589" s="560">
        <v>8.3436163967329247</v>
      </c>
      <c r="G589" s="566">
        <v>113.36666874369459</v>
      </c>
      <c r="H589" s="1057">
        <v>92.028313618432932</v>
      </c>
      <c r="I589" s="1058">
        <v>7.3139786286254571</v>
      </c>
      <c r="J589" s="569">
        <v>0</v>
      </c>
      <c r="K589" s="560">
        <v>0</v>
      </c>
      <c r="L589" s="571"/>
      <c r="M589" s="223">
        <f t="shared" si="70"/>
        <v>212.70896099075296</v>
      </c>
    </row>
    <row r="590" spans="1:13" ht="15.75" hidden="1" x14ac:dyDescent="0.25">
      <c r="A590" s="791" t="s">
        <v>861</v>
      </c>
      <c r="B590" s="804" t="s">
        <v>1118</v>
      </c>
      <c r="C590" s="549">
        <v>0</v>
      </c>
      <c r="D590" s="550">
        <v>100.08129997633038</v>
      </c>
      <c r="E590" s="551">
        <v>0</v>
      </c>
      <c r="F590" s="560">
        <v>9.0073169978697347</v>
      </c>
      <c r="G590" s="566">
        <v>109.08861697420012</v>
      </c>
      <c r="H590" s="1057">
        <v>88.24649329532474</v>
      </c>
      <c r="I590" s="1058">
        <v>16.766833726111702</v>
      </c>
      <c r="J590" s="569">
        <v>0</v>
      </c>
      <c r="K590" s="560">
        <v>0</v>
      </c>
      <c r="L590" s="571"/>
      <c r="M590" s="223">
        <f t="shared" si="70"/>
        <v>214.10194399563659</v>
      </c>
    </row>
    <row r="591" spans="1:13" ht="15.75" hidden="1" x14ac:dyDescent="0.25">
      <c r="A591" s="479" t="s">
        <v>104</v>
      </c>
      <c r="B591" s="805" t="s">
        <v>1066</v>
      </c>
      <c r="C591" s="549">
        <v>0</v>
      </c>
      <c r="D591" s="550">
        <v>96.234586174089173</v>
      </c>
      <c r="E591" s="551">
        <v>0</v>
      </c>
      <c r="F591" s="560">
        <v>25.983338267004079</v>
      </c>
      <c r="G591" s="566">
        <v>122.21792444109326</v>
      </c>
      <c r="H591" s="1057">
        <v>74.018581634622777</v>
      </c>
      <c r="I591" s="1058">
        <v>19.985017041348154</v>
      </c>
      <c r="J591" s="569">
        <v>0</v>
      </c>
      <c r="K591" s="560">
        <v>0</v>
      </c>
      <c r="L591" s="571"/>
      <c r="M591" s="223">
        <f t="shared" si="70"/>
        <v>216.22152311706418</v>
      </c>
    </row>
    <row r="592" spans="1:13" ht="15.75" hidden="1" x14ac:dyDescent="0.25">
      <c r="A592" s="479" t="s">
        <v>135</v>
      </c>
      <c r="B592" s="805" t="s">
        <v>1116</v>
      </c>
      <c r="C592" s="549">
        <v>49.963385793687948</v>
      </c>
      <c r="D592" s="550">
        <v>94.704745441231196</v>
      </c>
      <c r="E592" s="551">
        <v>2.4489501926747579</v>
      </c>
      <c r="F592" s="560">
        <v>8.8234234883134643</v>
      </c>
      <c r="G592" s="566">
        <v>155.94050491590738</v>
      </c>
      <c r="H592" s="1057">
        <v>57.034129242145951</v>
      </c>
      <c r="I592" s="1058">
        <v>3.4213274750603233</v>
      </c>
      <c r="J592" s="569">
        <v>0</v>
      </c>
      <c r="K592" s="560">
        <v>0</v>
      </c>
      <c r="L592" s="571"/>
      <c r="M592" s="223">
        <f t="shared" si="70"/>
        <v>216.39596163311364</v>
      </c>
    </row>
    <row r="593" spans="1:13" ht="15.75" hidden="1" x14ac:dyDescent="0.25">
      <c r="A593" s="791" t="s">
        <v>874</v>
      </c>
      <c r="B593" s="804" t="s">
        <v>1118</v>
      </c>
      <c r="C593" s="549">
        <v>0</v>
      </c>
      <c r="D593" s="550">
        <v>98.023072727459848</v>
      </c>
      <c r="E593" s="551">
        <v>0</v>
      </c>
      <c r="F593" s="560">
        <v>8.8220765454713863</v>
      </c>
      <c r="G593" s="566">
        <v>106.84514927293124</v>
      </c>
      <c r="H593" s="1057">
        <v>92.362947793065842</v>
      </c>
      <c r="I593" s="1058">
        <v>17.548960080682509</v>
      </c>
      <c r="J593" s="569">
        <v>0</v>
      </c>
      <c r="K593" s="560">
        <v>0</v>
      </c>
      <c r="L593" s="571"/>
      <c r="M593" s="223">
        <f t="shared" si="70"/>
        <v>216.75705714667961</v>
      </c>
    </row>
    <row r="594" spans="1:13" ht="15.75" hidden="1" x14ac:dyDescent="0.25">
      <c r="A594" s="502" t="s">
        <v>598</v>
      </c>
      <c r="B594" s="804" t="s">
        <v>1118</v>
      </c>
      <c r="C594" s="549">
        <v>0</v>
      </c>
      <c r="D594" s="550">
        <v>94.42117504193638</v>
      </c>
      <c r="E594" s="551">
        <v>0</v>
      </c>
      <c r="F594" s="560">
        <v>8.4979057537742744</v>
      </c>
      <c r="G594" s="566">
        <v>102.91908079571066</v>
      </c>
      <c r="H594" s="1057">
        <v>97.508515915242199</v>
      </c>
      <c r="I594" s="1058">
        <v>18.52661802389602</v>
      </c>
      <c r="J594" s="569">
        <v>0</v>
      </c>
      <c r="K594" s="560">
        <v>0</v>
      </c>
      <c r="L594" s="571"/>
      <c r="M594" s="223">
        <f t="shared" si="70"/>
        <v>218.95421473484888</v>
      </c>
    </row>
    <row r="595" spans="1:13" ht="15.75" hidden="1" x14ac:dyDescent="0.25">
      <c r="A595" s="1087" t="s">
        <v>116</v>
      </c>
      <c r="B595" s="805" t="s">
        <v>1076</v>
      </c>
      <c r="C595" s="549">
        <v>140.59881247260589</v>
      </c>
      <c r="D595" s="550">
        <v>0</v>
      </c>
      <c r="E595" s="551">
        <v>0</v>
      </c>
      <c r="F595" s="560">
        <v>11.201748821996755</v>
      </c>
      <c r="G595" s="566">
        <v>151.80056129460263</v>
      </c>
      <c r="H595" s="1057">
        <v>63.908551123911757</v>
      </c>
      <c r="I595" s="1058">
        <v>5.0949317146007429</v>
      </c>
      <c r="J595" s="569">
        <v>0</v>
      </c>
      <c r="K595" s="560">
        <v>0</v>
      </c>
      <c r="L595" s="571"/>
      <c r="M595" s="223">
        <f t="shared" si="70"/>
        <v>220.80404413311513</v>
      </c>
    </row>
    <row r="596" spans="1:13" ht="15.75" hidden="1" x14ac:dyDescent="0.25">
      <c r="A596" s="1087" t="s">
        <v>152</v>
      </c>
      <c r="B596" s="805" t="s">
        <v>1133</v>
      </c>
      <c r="C596" s="549">
        <v>0</v>
      </c>
      <c r="D596" s="550">
        <v>105.28084896940013</v>
      </c>
      <c r="E596" s="551">
        <v>0</v>
      </c>
      <c r="F596" s="560">
        <v>10.528084896940012</v>
      </c>
      <c r="G596" s="566">
        <v>115.80893386634014</v>
      </c>
      <c r="H596" s="1057">
        <v>97.153695633905954</v>
      </c>
      <c r="I596" s="1058">
        <v>9.7117681660484259</v>
      </c>
      <c r="J596" s="569">
        <v>0</v>
      </c>
      <c r="K596" s="560">
        <v>0</v>
      </c>
      <c r="L596" s="571"/>
      <c r="M596" s="223">
        <f t="shared" si="70"/>
        <v>222.67439766629451</v>
      </c>
    </row>
    <row r="597" spans="1:13" ht="15.75" hidden="1" x14ac:dyDescent="0.25">
      <c r="A597" s="502" t="s">
        <v>513</v>
      </c>
      <c r="B597" s="804" t="s">
        <v>1118</v>
      </c>
      <c r="C597" s="549">
        <v>0</v>
      </c>
      <c r="D597" s="550">
        <v>105.22686809850676</v>
      </c>
      <c r="E597" s="551">
        <v>0</v>
      </c>
      <c r="F597" s="560">
        <v>9.4704181288656084</v>
      </c>
      <c r="G597" s="566">
        <v>114.69728622737236</v>
      </c>
      <c r="H597" s="1057">
        <v>93.392061417501111</v>
      </c>
      <c r="I597" s="1058">
        <v>17.74449166932521</v>
      </c>
      <c r="J597" s="569">
        <v>0</v>
      </c>
      <c r="K597" s="560">
        <v>0</v>
      </c>
      <c r="L597" s="571"/>
      <c r="M597" s="223">
        <f t="shared" si="70"/>
        <v>225.83383931419868</v>
      </c>
    </row>
    <row r="598" spans="1:13" ht="15.75" hidden="1" x14ac:dyDescent="0.25">
      <c r="A598" s="1087" t="s">
        <v>153</v>
      </c>
      <c r="B598" s="805" t="s">
        <v>1133</v>
      </c>
      <c r="C598" s="549">
        <v>0</v>
      </c>
      <c r="D598" s="550">
        <v>125.11254366694277</v>
      </c>
      <c r="E598" s="551">
        <v>0</v>
      </c>
      <c r="F598" s="560">
        <v>12.508853435132831</v>
      </c>
      <c r="G598" s="566">
        <v>137.6213971020756</v>
      </c>
      <c r="H598" s="1057">
        <v>80.827361016074235</v>
      </c>
      <c r="I598" s="1058">
        <v>8.0911393620724841</v>
      </c>
      <c r="J598" s="569">
        <v>0</v>
      </c>
      <c r="K598" s="560">
        <v>0</v>
      </c>
      <c r="L598" s="571"/>
      <c r="M598" s="223">
        <f t="shared" si="70"/>
        <v>226.53989748022232</v>
      </c>
    </row>
    <row r="599" spans="1:13" ht="15.75" hidden="1" x14ac:dyDescent="0.25">
      <c r="A599" s="1087" t="s">
        <v>103</v>
      </c>
      <c r="B599" s="805" t="s">
        <v>1066</v>
      </c>
      <c r="C599" s="549">
        <v>4.7553297840520141</v>
      </c>
      <c r="D599" s="550">
        <v>94.604408132765101</v>
      </c>
      <c r="E599" s="551">
        <v>0</v>
      </c>
      <c r="F599" s="560">
        <v>26.827129237540621</v>
      </c>
      <c r="G599" s="566">
        <v>126.18686715435773</v>
      </c>
      <c r="H599" s="1057">
        <v>76.8617357540885</v>
      </c>
      <c r="I599" s="1058">
        <v>20.752668653603891</v>
      </c>
      <c r="J599" s="569">
        <v>4.7553297840520141</v>
      </c>
      <c r="K599" s="560">
        <v>1.2839390416940439</v>
      </c>
      <c r="L599" s="571"/>
      <c r="M599" s="223">
        <f t="shared" si="70"/>
        <v>229.84054038779621</v>
      </c>
    </row>
    <row r="600" spans="1:13" ht="15.75" hidden="1" x14ac:dyDescent="0.25">
      <c r="A600" s="1087" t="s">
        <v>132</v>
      </c>
      <c r="B600" s="805" t="s">
        <v>1114</v>
      </c>
      <c r="C600" s="549">
        <v>0</v>
      </c>
      <c r="D600" s="550">
        <v>84.80666954146902</v>
      </c>
      <c r="E600" s="551">
        <v>0</v>
      </c>
      <c r="F600" s="560">
        <v>6.7845335633175221</v>
      </c>
      <c r="G600" s="566">
        <v>91.591203104786544</v>
      </c>
      <c r="H600" s="1057">
        <v>129.65358631594077</v>
      </c>
      <c r="I600" s="1058">
        <v>10.372286905275262</v>
      </c>
      <c r="J600" s="569">
        <v>0</v>
      </c>
      <c r="K600" s="560">
        <v>0</v>
      </c>
      <c r="L600" s="571"/>
      <c r="M600" s="223">
        <f t="shared" si="70"/>
        <v>231.6170763260026</v>
      </c>
    </row>
    <row r="601" spans="1:13" ht="15.75" hidden="1" x14ac:dyDescent="0.25">
      <c r="A601" s="1087" t="s">
        <v>102</v>
      </c>
      <c r="B601" s="805" t="s">
        <v>1066</v>
      </c>
      <c r="C601" s="549">
        <v>6.5670679389832856</v>
      </c>
      <c r="D601" s="550">
        <v>66.597794863571664</v>
      </c>
      <c r="E601" s="551">
        <v>0</v>
      </c>
      <c r="F601" s="560">
        <v>19.75451295668984</v>
      </c>
      <c r="G601" s="566">
        <v>92.919375759244787</v>
      </c>
      <c r="H601" s="1057">
        <v>115.9782827835854</v>
      </c>
      <c r="I601" s="1058">
        <v>31.31413635156806</v>
      </c>
      <c r="J601" s="569">
        <v>0</v>
      </c>
      <c r="K601" s="560">
        <v>0</v>
      </c>
      <c r="L601" s="571"/>
      <c r="M601" s="223">
        <f t="shared" si="70"/>
        <v>240.21179489439825</v>
      </c>
    </row>
    <row r="602" spans="1:13" ht="15.75" hidden="1" x14ac:dyDescent="0.25">
      <c r="A602" s="781" t="s">
        <v>1306</v>
      </c>
      <c r="B602" s="1083" t="s">
        <v>1088</v>
      </c>
      <c r="C602" s="549">
        <v>70.827481062652311</v>
      </c>
      <c r="D602" s="550">
        <v>172.13478829785956</v>
      </c>
      <c r="E602" s="551">
        <v>0</v>
      </c>
      <c r="F602" s="560">
        <v>0</v>
      </c>
      <c r="G602" s="566">
        <v>242.96226936051187</v>
      </c>
      <c r="H602" s="1057">
        <v>0</v>
      </c>
      <c r="I602" s="1058">
        <v>0</v>
      </c>
      <c r="J602" s="569">
        <v>0</v>
      </c>
      <c r="K602" s="560">
        <v>0</v>
      </c>
      <c r="L602" s="571"/>
      <c r="M602" s="223">
        <f t="shared" si="70"/>
        <v>242.96226936051187</v>
      </c>
    </row>
    <row r="603" spans="1:13" ht="15.75" hidden="1" x14ac:dyDescent="0.25">
      <c r="A603" s="1087" t="s">
        <v>133</v>
      </c>
      <c r="B603" s="805" t="s">
        <v>1116</v>
      </c>
      <c r="C603" s="549">
        <v>68.426549501206466</v>
      </c>
      <c r="D603" s="550">
        <v>62.244150730483426</v>
      </c>
      <c r="E603" s="551">
        <v>2.7130526644337998</v>
      </c>
      <c r="F603" s="560">
        <v>8.0071067574218802</v>
      </c>
      <c r="G603" s="566">
        <v>141.39085965354559</v>
      </c>
      <c r="H603" s="1057">
        <v>85.569200849929771</v>
      </c>
      <c r="I603" s="1058">
        <v>0</v>
      </c>
      <c r="J603" s="569">
        <v>17.442767793904032</v>
      </c>
      <c r="K603" s="560">
        <v>0</v>
      </c>
      <c r="L603" s="571"/>
      <c r="M603" s="223">
        <f t="shared" si="70"/>
        <v>244.40282829737939</v>
      </c>
    </row>
    <row r="604" spans="1:13" ht="15.75" hidden="1" x14ac:dyDescent="0.25">
      <c r="A604" s="1087" t="s">
        <v>139</v>
      </c>
      <c r="B604" s="805" t="s">
        <v>1116</v>
      </c>
      <c r="C604" s="549">
        <v>40.743808597735921</v>
      </c>
      <c r="D604" s="550">
        <v>66.733892750387156</v>
      </c>
      <c r="E604" s="551">
        <v>3.2172482923374268</v>
      </c>
      <c r="F604" s="560">
        <v>6.6385757673977501</v>
      </c>
      <c r="G604" s="566">
        <v>117.33352540785826</v>
      </c>
      <c r="H604" s="1057">
        <v>137.65741107549729</v>
      </c>
      <c r="I604" s="1058">
        <v>0</v>
      </c>
      <c r="J604" s="569">
        <v>0</v>
      </c>
      <c r="K604" s="560">
        <v>0</v>
      </c>
      <c r="L604" s="571"/>
      <c r="M604" s="223">
        <f t="shared" si="70"/>
        <v>254.99093648335554</v>
      </c>
    </row>
    <row r="605" spans="1:13" ht="15.75" hidden="1" x14ac:dyDescent="0.25">
      <c r="A605" s="1087" t="s">
        <v>138</v>
      </c>
      <c r="B605" s="805" t="s">
        <v>1116</v>
      </c>
      <c r="C605" s="549">
        <v>56.181798537832677</v>
      </c>
      <c r="D605" s="550">
        <v>81.631673089158596</v>
      </c>
      <c r="E605" s="551">
        <v>2.9171318471566967</v>
      </c>
      <c r="F605" s="560">
        <v>8.4392744384821317</v>
      </c>
      <c r="G605" s="566">
        <v>149.16987791263008</v>
      </c>
      <c r="H605" s="1057">
        <v>101.27129326178557</v>
      </c>
      <c r="I605" s="1058">
        <v>6.0743568504579768</v>
      </c>
      <c r="J605" s="569">
        <v>0</v>
      </c>
      <c r="K605" s="560">
        <v>0</v>
      </c>
      <c r="L605" s="571"/>
      <c r="M605" s="223">
        <f t="shared" si="70"/>
        <v>256.51552802487367</v>
      </c>
    </row>
    <row r="606" spans="1:13" ht="15.75" hidden="1" x14ac:dyDescent="0.25">
      <c r="A606" s="479" t="s">
        <v>214</v>
      </c>
      <c r="B606" s="805" t="s">
        <v>1133</v>
      </c>
      <c r="C606" s="549">
        <v>0</v>
      </c>
      <c r="D606" s="550">
        <v>104.74063936807481</v>
      </c>
      <c r="E606" s="551">
        <v>0</v>
      </c>
      <c r="F606" s="560">
        <v>10.480066265711097</v>
      </c>
      <c r="G606" s="566">
        <v>115.22070563378591</v>
      </c>
      <c r="H606" s="1057">
        <v>137.68142039111177</v>
      </c>
      <c r="I606" s="1058">
        <v>13.769342504891899</v>
      </c>
      <c r="J606" s="569">
        <v>0</v>
      </c>
      <c r="K606" s="560">
        <v>0</v>
      </c>
      <c r="L606" s="571"/>
      <c r="M606" s="223">
        <f t="shared" si="70"/>
        <v>266.67146852978959</v>
      </c>
    </row>
    <row r="607" spans="1:13" ht="15.75" hidden="1" x14ac:dyDescent="0.25">
      <c r="A607" s="479" t="s">
        <v>130</v>
      </c>
      <c r="B607" s="805" t="s">
        <v>1114</v>
      </c>
      <c r="C607" s="549">
        <v>0</v>
      </c>
      <c r="D607" s="550">
        <v>96.018398735086961</v>
      </c>
      <c r="E607" s="551">
        <v>0</v>
      </c>
      <c r="F607" s="560">
        <v>7.681471898806957</v>
      </c>
      <c r="G607" s="566">
        <v>103.69987063389392</v>
      </c>
      <c r="H607" s="1057">
        <v>159.55153083225528</v>
      </c>
      <c r="I607" s="1058">
        <v>12.764122466580423</v>
      </c>
      <c r="J607" s="569">
        <v>0</v>
      </c>
      <c r="K607" s="560">
        <v>0</v>
      </c>
      <c r="L607" s="571"/>
      <c r="M607" s="223">
        <f t="shared" si="70"/>
        <v>276.01552393272965</v>
      </c>
    </row>
    <row r="608" spans="1:13" ht="15.75" hidden="1" x14ac:dyDescent="0.25">
      <c r="A608" s="479" t="s">
        <v>136</v>
      </c>
      <c r="B608" s="805" t="s">
        <v>1116</v>
      </c>
      <c r="C608" s="549">
        <v>45.749750903350495</v>
      </c>
      <c r="D608" s="550">
        <v>105.42490486308687</v>
      </c>
      <c r="E608" s="551">
        <v>3.0011644518073011</v>
      </c>
      <c r="F608" s="560">
        <v>9.2555911693737158</v>
      </c>
      <c r="G608" s="566">
        <v>163.43141138761837</v>
      </c>
      <c r="H608" s="1057">
        <v>123.50391952077405</v>
      </c>
      <c r="I608" s="1058">
        <v>0</v>
      </c>
      <c r="J608" s="569">
        <v>0</v>
      </c>
      <c r="K608" s="560">
        <v>0</v>
      </c>
      <c r="L608" s="571"/>
      <c r="M608" s="223">
        <f t="shared" si="70"/>
        <v>286.93533090839242</v>
      </c>
    </row>
    <row r="609" spans="1:13" ht="15.75" hidden="1" x14ac:dyDescent="0.25">
      <c r="A609" s="479" t="s">
        <v>105</v>
      </c>
      <c r="B609" s="805" t="s">
        <v>1066</v>
      </c>
      <c r="C609" s="549">
        <v>0</v>
      </c>
      <c r="D609" s="550">
        <v>131.34135877966571</v>
      </c>
      <c r="E609" s="551">
        <v>0</v>
      </c>
      <c r="F609" s="560">
        <v>35.462166870509741</v>
      </c>
      <c r="G609" s="566">
        <v>166.80352565017546</v>
      </c>
      <c r="H609" s="1057">
        <v>97.347124742575758</v>
      </c>
      <c r="I609" s="1058">
        <v>26.283723680495456</v>
      </c>
      <c r="J609" s="569">
        <v>0</v>
      </c>
      <c r="K609" s="560">
        <v>0</v>
      </c>
      <c r="L609" s="571"/>
      <c r="M609" s="223">
        <f t="shared" si="70"/>
        <v>290.43437407324666</v>
      </c>
    </row>
    <row r="610" spans="1:13" ht="15.75" hidden="1" x14ac:dyDescent="0.25">
      <c r="A610" s="479" t="s">
        <v>134</v>
      </c>
      <c r="B610" s="805" t="s">
        <v>1116</v>
      </c>
      <c r="C610" s="549">
        <v>58.630748730507442</v>
      </c>
      <c r="D610" s="550">
        <v>90.431087261857598</v>
      </c>
      <c r="E610" s="551">
        <v>2.7250573222410295</v>
      </c>
      <c r="F610" s="560">
        <v>9.1115352756869665</v>
      </c>
      <c r="G610" s="566">
        <v>160.89842859029307</v>
      </c>
      <c r="H610" s="1057">
        <v>131.95519861706342</v>
      </c>
      <c r="I610" s="1058">
        <v>0</v>
      </c>
      <c r="J610" s="569">
        <v>0</v>
      </c>
      <c r="K610" s="560">
        <v>0</v>
      </c>
      <c r="L610" s="571"/>
      <c r="M610" s="223">
        <f t="shared" si="70"/>
        <v>292.85362720735645</v>
      </c>
    </row>
    <row r="611" spans="1:13" ht="15.75" hidden="1" x14ac:dyDescent="0.25">
      <c r="A611" s="479" t="s">
        <v>151</v>
      </c>
      <c r="B611" s="805" t="s">
        <v>1133</v>
      </c>
      <c r="C611" s="549">
        <v>0</v>
      </c>
      <c r="D611" s="550">
        <v>192.62673917479984</v>
      </c>
      <c r="E611" s="551">
        <v>0</v>
      </c>
      <c r="F611" s="560">
        <v>19.267475780602876</v>
      </c>
      <c r="G611" s="566">
        <v>211.8942149554027</v>
      </c>
      <c r="H611" s="1057">
        <v>76.73377270380908</v>
      </c>
      <c r="I611" s="1058">
        <v>7.6709763388194618</v>
      </c>
      <c r="J611" s="569">
        <v>0</v>
      </c>
      <c r="K611" s="560">
        <v>0</v>
      </c>
      <c r="L611" s="571"/>
      <c r="M611" s="223">
        <f t="shared" si="70"/>
        <v>296.29896399803124</v>
      </c>
    </row>
    <row r="612" spans="1:13" ht="15.75" hidden="1" x14ac:dyDescent="0.25">
      <c r="A612" s="479" t="s">
        <v>128</v>
      </c>
      <c r="B612" s="805" t="s">
        <v>1114</v>
      </c>
      <c r="C612" s="549">
        <v>0</v>
      </c>
      <c r="D612" s="550">
        <v>137.1280724450194</v>
      </c>
      <c r="E612" s="551">
        <v>0</v>
      </c>
      <c r="F612" s="560">
        <v>10.970245795601551</v>
      </c>
      <c r="G612" s="566">
        <v>148.09831824062096</v>
      </c>
      <c r="H612" s="1057">
        <v>140.29035503809112</v>
      </c>
      <c r="I612" s="1058">
        <v>11.22322840304729</v>
      </c>
      <c r="J612" s="569">
        <v>0</v>
      </c>
      <c r="K612" s="560">
        <v>0</v>
      </c>
      <c r="L612" s="571"/>
      <c r="M612" s="223">
        <f t="shared" si="70"/>
        <v>299.61190168175938</v>
      </c>
    </row>
    <row r="613" spans="1:13" ht="15.75" hidden="1" x14ac:dyDescent="0.25">
      <c r="A613" s="479" t="s">
        <v>117</v>
      </c>
      <c r="B613" s="805" t="s">
        <v>1076</v>
      </c>
      <c r="C613" s="549">
        <v>133.14281484148285</v>
      </c>
      <c r="D613" s="550">
        <v>70.725463243795687</v>
      </c>
      <c r="E613" s="551">
        <v>0</v>
      </c>
      <c r="F613" s="560">
        <v>16.2789281612853</v>
      </c>
      <c r="G613" s="566">
        <v>220.14720624656383</v>
      </c>
      <c r="H613" s="1057">
        <v>74.879519066849952</v>
      </c>
      <c r="I613" s="1058">
        <v>5.9825504802106284</v>
      </c>
      <c r="J613" s="569">
        <v>0</v>
      </c>
      <c r="K613" s="560">
        <v>0</v>
      </c>
      <c r="L613" s="571"/>
      <c r="M613" s="223">
        <f t="shared" si="70"/>
        <v>301.0092757936244</v>
      </c>
    </row>
    <row r="614" spans="1:13" ht="15.75" hidden="1" x14ac:dyDescent="0.25">
      <c r="A614" s="479" t="s">
        <v>129</v>
      </c>
      <c r="B614" s="805" t="s">
        <v>1114</v>
      </c>
      <c r="C614" s="549">
        <v>0</v>
      </c>
      <c r="D614" s="550">
        <v>128.79114560873941</v>
      </c>
      <c r="E614" s="551">
        <v>0</v>
      </c>
      <c r="F614" s="560">
        <v>10.303291648699153</v>
      </c>
      <c r="G614" s="566">
        <v>139.09443725743856</v>
      </c>
      <c r="H614" s="1057">
        <v>158.4016098893201</v>
      </c>
      <c r="I614" s="1058">
        <v>12.672128791145608</v>
      </c>
      <c r="J614" s="569">
        <v>0</v>
      </c>
      <c r="K614" s="560">
        <v>0</v>
      </c>
      <c r="L614" s="571"/>
      <c r="M614" s="223">
        <f t="shared" si="70"/>
        <v>310.16817593790427</v>
      </c>
    </row>
    <row r="615" spans="1:13" ht="15.75" hidden="1" x14ac:dyDescent="0.25">
      <c r="A615" s="1087" t="s">
        <v>154</v>
      </c>
      <c r="B615" s="805" t="s">
        <v>1133</v>
      </c>
      <c r="C615" s="549">
        <v>0</v>
      </c>
      <c r="D615" s="550">
        <v>153.34749882954586</v>
      </c>
      <c r="E615" s="551">
        <v>0</v>
      </c>
      <c r="F615" s="560">
        <v>15.329948019831694</v>
      </c>
      <c r="G615" s="566">
        <v>168.67744684937756</v>
      </c>
      <c r="H615" s="1057">
        <v>143.11953037778659</v>
      </c>
      <c r="I615" s="1058">
        <v>14.309552106217211</v>
      </c>
      <c r="J615" s="569">
        <v>0</v>
      </c>
      <c r="K615" s="560">
        <v>0</v>
      </c>
      <c r="L615" s="571"/>
      <c r="M615" s="223">
        <f t="shared" si="70"/>
        <v>326.10652933338133</v>
      </c>
    </row>
    <row r="616" spans="1:13" ht="15.75" hidden="1" x14ac:dyDescent="0.25">
      <c r="A616" s="1087" t="s">
        <v>891</v>
      </c>
      <c r="B616" s="805" t="s">
        <v>1114</v>
      </c>
      <c r="C616" s="549">
        <v>0</v>
      </c>
      <c r="D616" s="550">
        <v>120.74169900819319</v>
      </c>
      <c r="E616" s="551">
        <v>0</v>
      </c>
      <c r="F616" s="560">
        <v>9.6593359206554563</v>
      </c>
      <c r="G616" s="566">
        <v>130.40103492884865</v>
      </c>
      <c r="H616" s="1057">
        <v>184.5623113410953</v>
      </c>
      <c r="I616" s="1058">
        <v>14.764984907287625</v>
      </c>
      <c r="J616" s="569">
        <v>0</v>
      </c>
      <c r="K616" s="560">
        <v>0</v>
      </c>
      <c r="L616" s="571"/>
      <c r="M616" s="223">
        <f t="shared" si="70"/>
        <v>329.72833117723155</v>
      </c>
    </row>
    <row r="617" spans="1:13" ht="15.75" hidden="1" x14ac:dyDescent="0.25">
      <c r="A617" s="1087" t="s">
        <v>912</v>
      </c>
      <c r="B617" s="805" t="s">
        <v>1052</v>
      </c>
      <c r="C617" s="549">
        <v>0</v>
      </c>
      <c r="D617" s="593">
        <v>151.53594654503681</v>
      </c>
      <c r="E617" s="594">
        <v>0</v>
      </c>
      <c r="F617" s="595">
        <v>22.749192967679225</v>
      </c>
      <c r="G617" s="566">
        <v>174.28513951271603</v>
      </c>
      <c r="H617" s="1057">
        <v>158.02228668871393</v>
      </c>
      <c r="I617" s="1058">
        <v>23.689242263864315</v>
      </c>
      <c r="J617" s="597">
        <v>0</v>
      </c>
      <c r="K617" s="595">
        <v>0</v>
      </c>
      <c r="L617" s="571"/>
      <c r="M617" s="223">
        <f t="shared" si="70"/>
        <v>355.99666846529431</v>
      </c>
    </row>
    <row r="618" spans="1:13" ht="15.75" hidden="1" x14ac:dyDescent="0.25">
      <c r="A618" s="1087" t="s">
        <v>913</v>
      </c>
      <c r="B618" s="805" t="s">
        <v>1052</v>
      </c>
      <c r="C618" s="549">
        <v>0</v>
      </c>
      <c r="D618" s="593">
        <v>152.52299830603116</v>
      </c>
      <c r="E618" s="594">
        <v>0</v>
      </c>
      <c r="F618" s="595">
        <v>22.890200362106988</v>
      </c>
      <c r="G618" s="566">
        <v>175.41319866813814</v>
      </c>
      <c r="H618" s="1057">
        <v>160.60742225322295</v>
      </c>
      <c r="I618" s="1058">
        <v>24.112264447147606</v>
      </c>
      <c r="J618" s="597">
        <v>0</v>
      </c>
      <c r="K618" s="595">
        <v>0</v>
      </c>
      <c r="L618" s="571"/>
      <c r="M618" s="223">
        <f t="shared" si="70"/>
        <v>360.13288536850871</v>
      </c>
    </row>
    <row r="619" spans="1:13" ht="15.75" hidden="1" x14ac:dyDescent="0.25">
      <c r="A619" s="1087" t="s">
        <v>155</v>
      </c>
      <c r="B619" s="805" t="s">
        <v>1135</v>
      </c>
      <c r="C619" s="549">
        <v>206.24267029725661</v>
      </c>
      <c r="D619" s="550">
        <v>44.728802530302232</v>
      </c>
      <c r="E619" s="551">
        <v>0</v>
      </c>
      <c r="F619" s="560">
        <v>62.74286820688971</v>
      </c>
      <c r="G619" s="566">
        <v>313.71434103444858</v>
      </c>
      <c r="H619" s="1057">
        <v>39.827015951638977</v>
      </c>
      <c r="I619" s="1058">
        <v>9.9567539879097442</v>
      </c>
      <c r="J619" s="569">
        <v>0</v>
      </c>
      <c r="K619" s="560">
        <v>0</v>
      </c>
      <c r="L619" s="571"/>
      <c r="M619" s="223">
        <f t="shared" si="70"/>
        <v>363.49811097399731</v>
      </c>
    </row>
    <row r="620" spans="1:13" ht="15.75" hidden="1" x14ac:dyDescent="0.25">
      <c r="A620" s="1087" t="s">
        <v>162</v>
      </c>
      <c r="B620" s="805" t="s">
        <v>1137</v>
      </c>
      <c r="C620" s="549">
        <v>71.837605960468792</v>
      </c>
      <c r="D620" s="550">
        <v>149.83272100326349</v>
      </c>
      <c r="E620" s="551">
        <v>0</v>
      </c>
      <c r="F620" s="560">
        <v>17.733626157098584</v>
      </c>
      <c r="G620" s="566">
        <v>239.40395312083086</v>
      </c>
      <c r="H620" s="1057">
        <v>123.15018164651794</v>
      </c>
      <c r="I620" s="1058">
        <v>3.0787545411629482</v>
      </c>
      <c r="J620" s="569">
        <v>0</v>
      </c>
      <c r="K620" s="560">
        <v>0</v>
      </c>
      <c r="L620" s="571"/>
      <c r="M620" s="223">
        <f t="shared" si="70"/>
        <v>365.63288930851172</v>
      </c>
    </row>
    <row r="621" spans="1:13" ht="15.75" hidden="1" x14ac:dyDescent="0.25">
      <c r="A621" s="1088" t="s">
        <v>212</v>
      </c>
      <c r="B621" s="805" t="s">
        <v>1151</v>
      </c>
      <c r="C621" s="549">
        <v>48</v>
      </c>
      <c r="D621" s="550">
        <v>124.66</v>
      </c>
      <c r="E621" s="551" t="s">
        <v>5</v>
      </c>
      <c r="F621" s="560" t="s">
        <v>5</v>
      </c>
      <c r="G621" s="566">
        <v>172.66</v>
      </c>
      <c r="H621" s="1057">
        <v>182.97</v>
      </c>
      <c r="I621" s="1077" t="s">
        <v>5</v>
      </c>
      <c r="J621" s="569">
        <v>12.36</v>
      </c>
      <c r="K621" s="560" t="s">
        <v>5</v>
      </c>
      <c r="L621" s="571"/>
      <c r="M621" s="223">
        <f>G621+H621+J621</f>
        <v>367.99</v>
      </c>
    </row>
    <row r="622" spans="1:13" ht="15.75" hidden="1" x14ac:dyDescent="0.25">
      <c r="A622" s="1087" t="s">
        <v>172</v>
      </c>
      <c r="B622" s="1089" t="s">
        <v>1151</v>
      </c>
      <c r="C622" s="549" t="s">
        <v>5</v>
      </c>
      <c r="D622" s="550">
        <v>204.17</v>
      </c>
      <c r="E622" s="551" t="s">
        <v>5</v>
      </c>
      <c r="F622" s="560" t="s">
        <v>5</v>
      </c>
      <c r="G622" s="566">
        <v>204.17</v>
      </c>
      <c r="H622" s="1057">
        <v>166.12</v>
      </c>
      <c r="I622" s="1077" t="s">
        <v>5</v>
      </c>
      <c r="J622" s="569" t="s">
        <v>5</v>
      </c>
      <c r="K622" s="560" t="s">
        <v>5</v>
      </c>
      <c r="L622" s="571"/>
      <c r="M622" s="223">
        <f>G622+H622</f>
        <v>370.28999999999996</v>
      </c>
    </row>
    <row r="623" spans="1:13" ht="15.75" hidden="1" x14ac:dyDescent="0.25">
      <c r="A623" s="1087" t="s">
        <v>878</v>
      </c>
      <c r="B623" s="1089" t="s">
        <v>1050</v>
      </c>
      <c r="C623" s="549">
        <v>50.419562790362662</v>
      </c>
      <c r="D623" s="593">
        <v>115.24471494940036</v>
      </c>
      <c r="E623" s="594">
        <v>0</v>
      </c>
      <c r="F623" s="595">
        <v>8.2832138869881522</v>
      </c>
      <c r="G623" s="566">
        <v>173.94749162675117</v>
      </c>
      <c r="H623" s="1057">
        <v>197.47662092892043</v>
      </c>
      <c r="I623" s="1058">
        <v>0</v>
      </c>
      <c r="J623" s="597">
        <v>0</v>
      </c>
      <c r="K623" s="595">
        <v>0</v>
      </c>
      <c r="L623" s="571"/>
      <c r="M623" s="223">
        <f t="shared" ref="M623:M641" si="71">G623+H623+I623+J623+K623</f>
        <v>371.42411255567163</v>
      </c>
    </row>
    <row r="624" spans="1:13" ht="15.75" hidden="1" x14ac:dyDescent="0.25">
      <c r="A624" s="1087" t="s">
        <v>630</v>
      </c>
      <c r="B624" s="1089" t="s">
        <v>1058</v>
      </c>
      <c r="C624" s="549">
        <v>32.040431687494745</v>
      </c>
      <c r="D624" s="593">
        <v>120.04657807229205</v>
      </c>
      <c r="E624" s="594">
        <v>42.016302325302213</v>
      </c>
      <c r="F624" s="595">
        <v>10.672140790626763</v>
      </c>
      <c r="G624" s="566">
        <v>204.77545287571576</v>
      </c>
      <c r="H624" s="1057">
        <v>116.44518073012328</v>
      </c>
      <c r="I624" s="1058">
        <v>15.82213898992809</v>
      </c>
      <c r="J624" s="597">
        <v>42.016302325302213</v>
      </c>
      <c r="K624" s="595">
        <v>0</v>
      </c>
      <c r="L624" s="571"/>
      <c r="M624" s="223">
        <f t="shared" si="71"/>
        <v>379.05907492106934</v>
      </c>
    </row>
    <row r="625" spans="1:13" ht="15.75" hidden="1" x14ac:dyDescent="0.25">
      <c r="A625" s="1087" t="s">
        <v>631</v>
      </c>
      <c r="B625" s="1089" t="s">
        <v>1058</v>
      </c>
      <c r="C625" s="549">
        <v>13.145100298915978</v>
      </c>
      <c r="D625" s="593">
        <v>111.64331760723161</v>
      </c>
      <c r="E625" s="594">
        <v>52.820494351808499</v>
      </c>
      <c r="F625" s="595">
        <v>9.7597867972773447</v>
      </c>
      <c r="G625" s="566">
        <v>187.36869905523344</v>
      </c>
      <c r="H625" s="1057">
        <v>139.25403056385875</v>
      </c>
      <c r="I625" s="1058">
        <v>17.526800398554638</v>
      </c>
      <c r="J625" s="597">
        <v>36.013973421687616</v>
      </c>
      <c r="K625" s="595">
        <v>0</v>
      </c>
      <c r="L625" s="571"/>
      <c r="M625" s="223">
        <f t="shared" si="71"/>
        <v>380.16350343933448</v>
      </c>
    </row>
    <row r="626" spans="1:13" ht="15.75" hidden="1" x14ac:dyDescent="0.25">
      <c r="A626" s="1087" t="s">
        <v>167</v>
      </c>
      <c r="B626" s="1089" t="s">
        <v>1149</v>
      </c>
      <c r="C626" s="549">
        <v>42.301870472483515</v>
      </c>
      <c r="D626" s="550">
        <v>173.49172883554979</v>
      </c>
      <c r="E626" s="551">
        <v>0</v>
      </c>
      <c r="F626" s="560">
        <v>0</v>
      </c>
      <c r="G626" s="566">
        <v>215.79359930803332</v>
      </c>
      <c r="H626" s="1057">
        <v>169.55887122932208</v>
      </c>
      <c r="I626" s="1058">
        <v>0</v>
      </c>
      <c r="J626" s="569">
        <v>0</v>
      </c>
      <c r="K626" s="560">
        <v>0</v>
      </c>
      <c r="L626" s="571"/>
      <c r="M626" s="223">
        <f t="shared" si="71"/>
        <v>385.35247053735543</v>
      </c>
    </row>
    <row r="627" spans="1:13" ht="15.75" hidden="1" x14ac:dyDescent="0.25">
      <c r="A627" s="479" t="s">
        <v>100</v>
      </c>
      <c r="B627" s="1089" t="s">
        <v>1058</v>
      </c>
      <c r="C627" s="549">
        <v>49.447185507977089</v>
      </c>
      <c r="D627" s="593">
        <v>123.6479754144608</v>
      </c>
      <c r="E627" s="594">
        <v>42.016302325302213</v>
      </c>
      <c r="F627" s="595">
        <v>11.800578624506308</v>
      </c>
      <c r="G627" s="566">
        <v>226.91204187224639</v>
      </c>
      <c r="H627" s="1057">
        <v>117.64564651084621</v>
      </c>
      <c r="I627" s="1058">
        <v>14.645682524819629</v>
      </c>
      <c r="J627" s="597">
        <v>28.968439754624793</v>
      </c>
      <c r="K627" s="595">
        <v>0</v>
      </c>
      <c r="L627" s="571"/>
      <c r="M627" s="223">
        <f t="shared" si="71"/>
        <v>388.17181066253698</v>
      </c>
    </row>
    <row r="628" spans="1:13" ht="15.75" hidden="1" x14ac:dyDescent="0.25">
      <c r="A628" s="479" t="s">
        <v>127</v>
      </c>
      <c r="B628" s="1089" t="s">
        <v>1112</v>
      </c>
      <c r="C628" s="549">
        <v>38.609050458665287</v>
      </c>
      <c r="D628" s="550">
        <v>106.51613036891874</v>
      </c>
      <c r="E628" s="551">
        <v>11.894707464538293</v>
      </c>
      <c r="F628" s="560">
        <v>39.254972073030579</v>
      </c>
      <c r="G628" s="566">
        <v>196.2748603651529</v>
      </c>
      <c r="H628" s="1057">
        <v>162.65037481734433</v>
      </c>
      <c r="I628" s="1058">
        <v>40.662593704336082</v>
      </c>
      <c r="J628" s="569">
        <v>0</v>
      </c>
      <c r="K628" s="560">
        <v>0</v>
      </c>
      <c r="L628" s="571"/>
      <c r="M628" s="223">
        <f t="shared" si="71"/>
        <v>399.58782888683328</v>
      </c>
    </row>
    <row r="629" spans="1:13" ht="15.75" hidden="1" x14ac:dyDescent="0.25">
      <c r="A629" s="479" t="s">
        <v>85</v>
      </c>
      <c r="B629" s="1089" t="s">
        <v>1050</v>
      </c>
      <c r="C629" s="549">
        <v>79.230741527712752</v>
      </c>
      <c r="D629" s="593">
        <v>112.84378338795452</v>
      </c>
      <c r="E629" s="594">
        <v>0</v>
      </c>
      <c r="F629" s="595">
        <v>9.6037262457833634</v>
      </c>
      <c r="G629" s="566">
        <v>201.67825116145065</v>
      </c>
      <c r="H629" s="1057">
        <v>167.58502298891969</v>
      </c>
      <c r="I629" s="1058">
        <v>0</v>
      </c>
      <c r="J629" s="597">
        <v>30.731923986506764</v>
      </c>
      <c r="K629" s="595">
        <v>0</v>
      </c>
      <c r="L629" s="571"/>
      <c r="M629" s="223">
        <f t="shared" si="71"/>
        <v>399.99519813687709</v>
      </c>
    </row>
    <row r="630" spans="1:13" ht="15.75" hidden="1" x14ac:dyDescent="0.25">
      <c r="A630" s="479" t="s">
        <v>911</v>
      </c>
      <c r="B630" s="1089" t="s">
        <v>1052</v>
      </c>
      <c r="C630" s="549">
        <v>0</v>
      </c>
      <c r="D630" s="593">
        <v>189.74895043496079</v>
      </c>
      <c r="E630" s="594">
        <v>0</v>
      </c>
      <c r="F630" s="595">
        <v>28.483493674408283</v>
      </c>
      <c r="G630" s="566">
        <v>218.23244410936908</v>
      </c>
      <c r="H630" s="1057">
        <v>159.38535816818234</v>
      </c>
      <c r="I630" s="1058">
        <v>23.877252123101332</v>
      </c>
      <c r="J630" s="597">
        <v>0</v>
      </c>
      <c r="K630" s="595">
        <v>0</v>
      </c>
      <c r="L630" s="571"/>
      <c r="M630" s="223">
        <f t="shared" si="71"/>
        <v>401.49505440065275</v>
      </c>
    </row>
    <row r="631" spans="1:13" ht="15.75" hidden="1" x14ac:dyDescent="0.25">
      <c r="A631" s="479" t="s">
        <v>914</v>
      </c>
      <c r="B631" s="1089" t="s">
        <v>1052</v>
      </c>
      <c r="C631" s="549">
        <v>0</v>
      </c>
      <c r="D631" s="593">
        <v>211.79310643050121</v>
      </c>
      <c r="E631" s="594">
        <v>0</v>
      </c>
      <c r="F631" s="595">
        <v>31.773666211056106</v>
      </c>
      <c r="G631" s="566">
        <v>243.56677264155732</v>
      </c>
      <c r="H631" s="1057">
        <v>140.2553549908157</v>
      </c>
      <c r="I631" s="1058">
        <v>21.057104234546056</v>
      </c>
      <c r="J631" s="597">
        <v>0</v>
      </c>
      <c r="K631" s="595">
        <v>0</v>
      </c>
      <c r="L631" s="571"/>
      <c r="M631" s="223">
        <f t="shared" si="71"/>
        <v>404.8792318669191</v>
      </c>
    </row>
    <row r="632" spans="1:13" ht="15.75" hidden="1" x14ac:dyDescent="0.25">
      <c r="A632" s="479" t="s">
        <v>157</v>
      </c>
      <c r="B632" s="1089" t="s">
        <v>1135</v>
      </c>
      <c r="C632" s="549">
        <v>202.56633036325914</v>
      </c>
      <c r="D632" s="550">
        <v>59.311617601825425</v>
      </c>
      <c r="E632" s="551">
        <v>0</v>
      </c>
      <c r="F632" s="560">
        <v>65.46948699127114</v>
      </c>
      <c r="G632" s="566">
        <v>327.3474349563557</v>
      </c>
      <c r="H632" s="1057">
        <v>62.987957535822872</v>
      </c>
      <c r="I632" s="1058">
        <v>15.746989383955718</v>
      </c>
      <c r="J632" s="569">
        <v>0</v>
      </c>
      <c r="K632" s="560">
        <v>0</v>
      </c>
      <c r="L632" s="571"/>
      <c r="M632" s="223">
        <f t="shared" si="71"/>
        <v>406.08238187613432</v>
      </c>
    </row>
    <row r="633" spans="1:13" ht="15.75" hidden="1" x14ac:dyDescent="0.25">
      <c r="A633" s="479" t="s">
        <v>126</v>
      </c>
      <c r="B633" s="1089" t="s">
        <v>1112</v>
      </c>
      <c r="C633" s="549">
        <v>37.536576834813467</v>
      </c>
      <c r="D633" s="550">
        <v>119.06894664809337</v>
      </c>
      <c r="E633" s="551">
        <v>0</v>
      </c>
      <c r="F633" s="560">
        <v>34.459308766375024</v>
      </c>
      <c r="G633" s="566">
        <v>191.06483224928186</v>
      </c>
      <c r="H633" s="1057">
        <v>178.66435597349528</v>
      </c>
      <c r="I633" s="1058">
        <v>49.3581610977255</v>
      </c>
      <c r="J633" s="569">
        <v>0</v>
      </c>
      <c r="K633" s="560">
        <v>0</v>
      </c>
      <c r="L633" s="571"/>
      <c r="M633" s="223">
        <f t="shared" si="71"/>
        <v>419.0873493205026</v>
      </c>
    </row>
    <row r="634" spans="1:13" ht="15.75" hidden="1" x14ac:dyDescent="0.25">
      <c r="A634" s="479" t="s">
        <v>634</v>
      </c>
      <c r="B634" s="805" t="s">
        <v>1058</v>
      </c>
      <c r="C634" s="549">
        <v>11.356406285638828</v>
      </c>
      <c r="D634" s="593">
        <v>169.26567508193179</v>
      </c>
      <c r="E634" s="594">
        <v>44.417233886748058</v>
      </c>
      <c r="F634" s="595">
        <v>12.364797541446082</v>
      </c>
      <c r="G634" s="566">
        <v>237.40411279576475</v>
      </c>
      <c r="H634" s="1057">
        <v>154.86008571325675</v>
      </c>
      <c r="I634" s="1058">
        <v>17.430763136096804</v>
      </c>
      <c r="J634" s="597">
        <v>19.207452491566727</v>
      </c>
      <c r="K634" s="595">
        <v>0</v>
      </c>
      <c r="L634" s="571"/>
      <c r="M634" s="223">
        <f t="shared" si="71"/>
        <v>428.90241413668502</v>
      </c>
    </row>
    <row r="635" spans="1:13" ht="15.75" hidden="1" x14ac:dyDescent="0.25">
      <c r="A635" s="479" t="s">
        <v>632</v>
      </c>
      <c r="B635" s="805" t="s">
        <v>1058</v>
      </c>
      <c r="C635" s="549">
        <v>49.147069062796362</v>
      </c>
      <c r="D635" s="593">
        <v>171.66660664337763</v>
      </c>
      <c r="E635" s="594">
        <v>49.219097009639739</v>
      </c>
      <c r="F635" s="595">
        <v>14.873771023156985</v>
      </c>
      <c r="G635" s="566">
        <v>284.9065437389707</v>
      </c>
      <c r="H635" s="1057">
        <v>109.24238604578576</v>
      </c>
      <c r="I635" s="1058">
        <v>13.481230717518397</v>
      </c>
      <c r="J635" s="597">
        <v>25.173767421759642</v>
      </c>
      <c r="K635" s="595">
        <v>0</v>
      </c>
      <c r="L635" s="571"/>
      <c r="M635" s="223">
        <f t="shared" si="71"/>
        <v>432.80392792403444</v>
      </c>
    </row>
    <row r="636" spans="1:13" ht="15.75" hidden="1" x14ac:dyDescent="0.25">
      <c r="A636" s="479" t="s">
        <v>97</v>
      </c>
      <c r="B636" s="805" t="s">
        <v>1058</v>
      </c>
      <c r="C636" s="549">
        <v>66.409766989591958</v>
      </c>
      <c r="D636" s="593">
        <v>129.6503043180754</v>
      </c>
      <c r="E636" s="594">
        <v>46.818165448193895</v>
      </c>
      <c r="F636" s="595">
        <v>13.313165508217187</v>
      </c>
      <c r="G636" s="566">
        <v>256.19140226407842</v>
      </c>
      <c r="H636" s="1057">
        <v>132.05123587952127</v>
      </c>
      <c r="I636" s="1058">
        <v>16.038222830458217</v>
      </c>
      <c r="J636" s="597">
        <v>28.81117873735009</v>
      </c>
      <c r="K636" s="595">
        <v>0</v>
      </c>
      <c r="L636" s="571"/>
      <c r="M636" s="223">
        <f t="shared" si="71"/>
        <v>433.09203971140801</v>
      </c>
    </row>
    <row r="637" spans="1:13" ht="15.75" hidden="1" x14ac:dyDescent="0.25">
      <c r="A637" s="479" t="s">
        <v>101</v>
      </c>
      <c r="B637" s="805" t="s">
        <v>1058</v>
      </c>
      <c r="C637" s="549">
        <v>24.741599740699389</v>
      </c>
      <c r="D637" s="593">
        <v>122.44750963373788</v>
      </c>
      <c r="E637" s="594">
        <v>57.622357474700181</v>
      </c>
      <c r="F637" s="595">
        <v>11.308387654409911</v>
      </c>
      <c r="G637" s="566">
        <v>216.11985450354734</v>
      </c>
      <c r="H637" s="1057">
        <v>162.06288039759426</v>
      </c>
      <c r="I637" s="1058">
        <v>19.843699355349877</v>
      </c>
      <c r="J637" s="597">
        <v>36.013973421687616</v>
      </c>
      <c r="K637" s="595">
        <v>0</v>
      </c>
      <c r="L637" s="571"/>
      <c r="M637" s="223">
        <f t="shared" si="71"/>
        <v>434.04040767817912</v>
      </c>
    </row>
    <row r="638" spans="1:13" ht="15.75" hidden="1" x14ac:dyDescent="0.25">
      <c r="A638" s="479" t="s">
        <v>125</v>
      </c>
      <c r="B638" s="805" t="s">
        <v>1112</v>
      </c>
      <c r="C638" s="549">
        <v>149.78069133112257</v>
      </c>
      <c r="D638" s="550">
        <v>0</v>
      </c>
      <c r="E638" s="551">
        <v>0</v>
      </c>
      <c r="F638" s="560">
        <v>37.445172832780642</v>
      </c>
      <c r="G638" s="566">
        <v>187.22586416390322</v>
      </c>
      <c r="H638" s="1057">
        <v>208.88861264568274</v>
      </c>
      <c r="I638" s="1058">
        <v>52.222153161420685</v>
      </c>
      <c r="J638" s="569">
        <v>0</v>
      </c>
      <c r="K638" s="560">
        <v>0</v>
      </c>
      <c r="L638" s="571"/>
      <c r="M638" s="223">
        <f t="shared" si="71"/>
        <v>448.33662997100669</v>
      </c>
    </row>
    <row r="639" spans="1:13" ht="15.75" hidden="1" x14ac:dyDescent="0.25">
      <c r="A639" s="479" t="s">
        <v>86</v>
      </c>
      <c r="B639" s="805" t="s">
        <v>1050</v>
      </c>
      <c r="C639" s="549">
        <v>57.622357474700181</v>
      </c>
      <c r="D639" s="593">
        <v>101.55940504915907</v>
      </c>
      <c r="E639" s="594">
        <v>0</v>
      </c>
      <c r="F639" s="595">
        <v>7.9590881261929622</v>
      </c>
      <c r="G639" s="566">
        <v>167.14085065005222</v>
      </c>
      <c r="H639" s="1057">
        <v>240.35725861634313</v>
      </c>
      <c r="I639" s="1058">
        <v>0</v>
      </c>
      <c r="J639" s="597">
        <v>42.016302325302213</v>
      </c>
      <c r="K639" s="595">
        <v>0</v>
      </c>
      <c r="L639" s="571"/>
      <c r="M639" s="223">
        <f t="shared" si="71"/>
        <v>449.51441159169752</v>
      </c>
    </row>
    <row r="640" spans="1:13" ht="15.75" hidden="1" x14ac:dyDescent="0.25">
      <c r="A640" s="1085" t="s">
        <v>552</v>
      </c>
      <c r="B640" s="805" t="s">
        <v>1040</v>
      </c>
      <c r="C640" s="549">
        <v>167.65400488235434</v>
      </c>
      <c r="D640" s="593">
        <v>82.825086077338398</v>
      </c>
      <c r="E640" s="594">
        <v>0</v>
      </c>
      <c r="F640" s="595">
        <v>0</v>
      </c>
      <c r="G640" s="566">
        <v>250.47909095969274</v>
      </c>
      <c r="H640" s="1057">
        <v>199.58810105042184</v>
      </c>
      <c r="I640" s="1058">
        <v>0</v>
      </c>
      <c r="J640" s="597">
        <v>0</v>
      </c>
      <c r="K640" s="595">
        <v>0</v>
      </c>
      <c r="L640" s="571"/>
      <c r="M640" s="223">
        <f t="shared" si="71"/>
        <v>450.06719201011458</v>
      </c>
    </row>
    <row r="641" spans="1:13" ht="15.75" hidden="1" x14ac:dyDescent="0.25">
      <c r="A641" s="479" t="s">
        <v>915</v>
      </c>
      <c r="B641" s="805" t="s">
        <v>1052</v>
      </c>
      <c r="C641" s="549">
        <v>0</v>
      </c>
      <c r="D641" s="593">
        <v>204.27271206102046</v>
      </c>
      <c r="E641" s="594">
        <v>0</v>
      </c>
      <c r="F641" s="595">
        <v>30.645607055633995</v>
      </c>
      <c r="G641" s="566">
        <v>234.91831911665446</v>
      </c>
      <c r="H641" s="1057">
        <v>197.50435712848781</v>
      </c>
      <c r="I641" s="1058">
        <v>29.611552829830394</v>
      </c>
      <c r="J641" s="597">
        <v>0</v>
      </c>
      <c r="K641" s="595">
        <v>0</v>
      </c>
      <c r="L641" s="571"/>
      <c r="M641" s="223">
        <f t="shared" si="71"/>
        <v>462.03422907497264</v>
      </c>
    </row>
    <row r="642" spans="1:13" ht="15.75" hidden="1" x14ac:dyDescent="0.25">
      <c r="A642" s="479" t="s">
        <v>170</v>
      </c>
      <c r="B642" s="805" t="s">
        <v>1151</v>
      </c>
      <c r="C642" s="549" t="s">
        <v>5</v>
      </c>
      <c r="D642" s="550">
        <v>178.85</v>
      </c>
      <c r="E642" s="551" t="s">
        <v>5</v>
      </c>
      <c r="F642" s="560" t="s">
        <v>5</v>
      </c>
      <c r="G642" s="566">
        <v>178.85</v>
      </c>
      <c r="H642" s="1057">
        <v>284.37</v>
      </c>
      <c r="I642" s="1077" t="s">
        <v>5</v>
      </c>
      <c r="J642" s="569" t="s">
        <v>5</v>
      </c>
      <c r="K642" s="560" t="s">
        <v>5</v>
      </c>
      <c r="L642" s="571"/>
      <c r="M642" s="223">
        <f>G642+H642</f>
        <v>463.22</v>
      </c>
    </row>
    <row r="643" spans="1:13" ht="15.75" hidden="1" x14ac:dyDescent="0.25">
      <c r="A643" s="479" t="s">
        <v>165</v>
      </c>
      <c r="B643" s="805" t="s">
        <v>1149</v>
      </c>
      <c r="C643" s="549">
        <v>35.247053735538977</v>
      </c>
      <c r="D643" s="550">
        <v>205.33300897394312</v>
      </c>
      <c r="E643" s="551">
        <v>0</v>
      </c>
      <c r="F643" s="560">
        <v>0</v>
      </c>
      <c r="G643" s="566">
        <v>240.58006270948209</v>
      </c>
      <c r="H643" s="1057">
        <v>230.57898151151477</v>
      </c>
      <c r="I643" s="1058">
        <v>0</v>
      </c>
      <c r="J643" s="569">
        <v>0</v>
      </c>
      <c r="K643" s="560">
        <v>0</v>
      </c>
      <c r="L643" s="571"/>
      <c r="M643" s="223">
        <f>G643+H643+I643+J643+K643</f>
        <v>471.15904422099686</v>
      </c>
    </row>
    <row r="644" spans="1:13" ht="15.75" hidden="1" x14ac:dyDescent="0.25">
      <c r="A644" s="479" t="s">
        <v>158</v>
      </c>
      <c r="B644" s="805" t="s">
        <v>1135</v>
      </c>
      <c r="C644" s="549">
        <v>0</v>
      </c>
      <c r="D644" s="550">
        <v>151.3426606162281</v>
      </c>
      <c r="E644" s="551">
        <v>0</v>
      </c>
      <c r="F644" s="560">
        <v>37.835665154057025</v>
      </c>
      <c r="G644" s="566">
        <v>189.17832577028514</v>
      </c>
      <c r="H644" s="1057">
        <v>227.07526325657545</v>
      </c>
      <c r="I644" s="1058">
        <v>56.768815814143863</v>
      </c>
      <c r="J644" s="569">
        <v>0</v>
      </c>
      <c r="K644" s="560">
        <v>0</v>
      </c>
      <c r="L644" s="571"/>
      <c r="M644" s="223">
        <f>G644+H644+I644+J644+K644</f>
        <v>473.02240484100446</v>
      </c>
    </row>
    <row r="645" spans="1:13" ht="15.75" hidden="1" x14ac:dyDescent="0.25">
      <c r="A645" s="479" t="s">
        <v>99</v>
      </c>
      <c r="B645" s="805" t="s">
        <v>1058</v>
      </c>
      <c r="C645" s="549">
        <v>44.801382936579394</v>
      </c>
      <c r="D645" s="593">
        <v>136.8530990024129</v>
      </c>
      <c r="E645" s="594">
        <v>55.221425913254343</v>
      </c>
      <c r="F645" s="595">
        <v>13.013049063036458</v>
      </c>
      <c r="G645" s="566">
        <v>249.88895691528307</v>
      </c>
      <c r="H645" s="1057">
        <v>175.26800398554639</v>
      </c>
      <c r="I645" s="1058">
        <v>20.756053348699293</v>
      </c>
      <c r="J645" s="597">
        <v>31.932389767229687</v>
      </c>
      <c r="K645" s="595">
        <v>0</v>
      </c>
      <c r="L645" s="571"/>
      <c r="M645" s="223">
        <f>G645+H645+I645+J645+K645</f>
        <v>477.84540401675844</v>
      </c>
    </row>
    <row r="646" spans="1:13" ht="15.75" hidden="1" x14ac:dyDescent="0.25">
      <c r="A646" s="479" t="s">
        <v>174</v>
      </c>
      <c r="B646" s="805" t="s">
        <v>1151</v>
      </c>
      <c r="C646" s="549">
        <v>142.32</v>
      </c>
      <c r="D646" s="550">
        <v>67.36</v>
      </c>
      <c r="E646" s="551" t="s">
        <v>5</v>
      </c>
      <c r="F646" s="560" t="s">
        <v>5</v>
      </c>
      <c r="G646" s="566">
        <v>209.68</v>
      </c>
      <c r="H646" s="1057">
        <v>252.36</v>
      </c>
      <c r="I646" s="1077" t="s">
        <v>5</v>
      </c>
      <c r="J646" s="569">
        <v>16.670000000000002</v>
      </c>
      <c r="K646" s="560" t="s">
        <v>5</v>
      </c>
      <c r="L646" s="571"/>
      <c r="M646" s="223">
        <f>G646+H646+J646</f>
        <v>478.71000000000004</v>
      </c>
    </row>
    <row r="647" spans="1:13" ht="15.75" hidden="1" x14ac:dyDescent="0.25">
      <c r="A647" s="1085" t="s">
        <v>71</v>
      </c>
      <c r="B647" s="805" t="s">
        <v>1032</v>
      </c>
      <c r="C647" s="549">
        <v>31.212110298795931</v>
      </c>
      <c r="D647" s="593">
        <v>170.98234114836558</v>
      </c>
      <c r="E647" s="594">
        <v>0</v>
      </c>
      <c r="F647" s="595">
        <v>12.136709043108725</v>
      </c>
      <c r="G647" s="566">
        <v>214.33116049027024</v>
      </c>
      <c r="H647" s="1057">
        <v>249.90096157309034</v>
      </c>
      <c r="I647" s="1058">
        <v>15.005822259036506</v>
      </c>
      <c r="J647" s="597">
        <v>0</v>
      </c>
      <c r="K647" s="595">
        <v>0</v>
      </c>
      <c r="L647" s="571"/>
      <c r="M647" s="223">
        <f t="shared" ref="M647:M690" si="72">G647+H647+I647+J647+K647</f>
        <v>479.23794432239708</v>
      </c>
    </row>
    <row r="648" spans="1:13" ht="15.75" hidden="1" x14ac:dyDescent="0.25">
      <c r="A648" s="1085" t="s">
        <v>549</v>
      </c>
      <c r="B648" s="805" t="s">
        <v>1040</v>
      </c>
      <c r="C648" s="549">
        <v>142.60609578638508</v>
      </c>
      <c r="D648" s="593">
        <v>141.27020730126671</v>
      </c>
      <c r="E648" s="594">
        <v>0</v>
      </c>
      <c r="F648" s="595">
        <v>0</v>
      </c>
      <c r="G648" s="566">
        <v>283.87630308765176</v>
      </c>
      <c r="H648" s="1057">
        <v>201.97361620241892</v>
      </c>
      <c r="I648" s="1058">
        <v>0</v>
      </c>
      <c r="J648" s="597">
        <v>0</v>
      </c>
      <c r="K648" s="595">
        <v>0</v>
      </c>
      <c r="L648" s="571"/>
      <c r="M648" s="223">
        <f t="shared" si="72"/>
        <v>485.84991929007072</v>
      </c>
    </row>
    <row r="649" spans="1:13" ht="15.75" hidden="1" x14ac:dyDescent="0.25">
      <c r="A649" s="1085" t="s">
        <v>68</v>
      </c>
      <c r="B649" s="805" t="s">
        <v>1032</v>
      </c>
      <c r="C649" s="549">
        <v>28.81117873735009</v>
      </c>
      <c r="D649" s="593">
        <v>243.33441375253597</v>
      </c>
      <c r="E649" s="594">
        <v>0</v>
      </c>
      <c r="F649" s="595">
        <v>16.326334617831719</v>
      </c>
      <c r="G649" s="566">
        <v>288.47192710771776</v>
      </c>
      <c r="H649" s="1057">
        <v>187.81287139410091</v>
      </c>
      <c r="I649" s="1058">
        <v>11.272373680988222</v>
      </c>
      <c r="J649" s="597">
        <v>0</v>
      </c>
      <c r="K649" s="595">
        <v>0</v>
      </c>
      <c r="L649" s="571"/>
      <c r="M649" s="223">
        <f t="shared" si="72"/>
        <v>487.55717218280688</v>
      </c>
    </row>
    <row r="650" spans="1:13" ht="15.75" hidden="1" x14ac:dyDescent="0.25">
      <c r="A650" s="1085" t="s">
        <v>940</v>
      </c>
      <c r="B650" s="805" t="s">
        <v>1040</v>
      </c>
      <c r="C650" s="549">
        <v>87.214433957013028</v>
      </c>
      <c r="D650" s="593">
        <v>149.74673780802965</v>
      </c>
      <c r="E650" s="594">
        <v>0</v>
      </c>
      <c r="F650" s="595">
        <v>0</v>
      </c>
      <c r="G650" s="566">
        <v>236.96117176504268</v>
      </c>
      <c r="H650" s="1057">
        <v>252.06943439435747</v>
      </c>
      <c r="I650" s="1058">
        <v>0</v>
      </c>
      <c r="J650" s="597">
        <v>0</v>
      </c>
      <c r="K650" s="595">
        <v>0</v>
      </c>
      <c r="L650" s="571"/>
      <c r="M650" s="223">
        <f t="shared" si="72"/>
        <v>489.03060615940012</v>
      </c>
    </row>
    <row r="651" spans="1:13" ht="15.75" hidden="1" x14ac:dyDescent="0.25">
      <c r="A651" s="479" t="s">
        <v>91</v>
      </c>
      <c r="B651" s="805" t="s">
        <v>1056</v>
      </c>
      <c r="C651" s="549">
        <v>47.44240765416982</v>
      </c>
      <c r="D651" s="593">
        <v>135.65263322169002</v>
      </c>
      <c r="E651" s="594">
        <v>0</v>
      </c>
      <c r="F651" s="595">
        <v>43.937047574458887</v>
      </c>
      <c r="G651" s="566">
        <v>227.03208845031872</v>
      </c>
      <c r="H651" s="1057">
        <v>166.86474352048594</v>
      </c>
      <c r="I651" s="1058">
        <v>40.047538444916626</v>
      </c>
      <c r="J651" s="597">
        <v>47.44240765416982</v>
      </c>
      <c r="K651" s="595">
        <v>11.380415601253286</v>
      </c>
      <c r="L651" s="571"/>
      <c r="M651" s="223">
        <f t="shared" si="72"/>
        <v>492.76719367114441</v>
      </c>
    </row>
    <row r="652" spans="1:13" ht="15.75" hidden="1" x14ac:dyDescent="0.25">
      <c r="A652" s="479" t="s">
        <v>92</v>
      </c>
      <c r="B652" s="805" t="s">
        <v>1056</v>
      </c>
      <c r="C652" s="549">
        <v>47.44240765416982</v>
      </c>
      <c r="D652" s="593">
        <v>135.65263322169002</v>
      </c>
      <c r="E652" s="594">
        <v>0</v>
      </c>
      <c r="F652" s="595">
        <v>43.937047574458887</v>
      </c>
      <c r="G652" s="566">
        <v>227.03208845031872</v>
      </c>
      <c r="H652" s="1057">
        <v>166.86474352048594</v>
      </c>
      <c r="I652" s="1058">
        <v>40.047538444916626</v>
      </c>
      <c r="J652" s="597">
        <v>47.44240765416982</v>
      </c>
      <c r="K652" s="595">
        <v>11.380415601253286</v>
      </c>
      <c r="L652" s="571"/>
      <c r="M652" s="223">
        <f t="shared" si="72"/>
        <v>492.76719367114441</v>
      </c>
    </row>
    <row r="653" spans="1:13" ht="15.75" hidden="1" x14ac:dyDescent="0.25">
      <c r="A653" s="797" t="s">
        <v>195</v>
      </c>
      <c r="B653" s="805" t="s">
        <v>1056</v>
      </c>
      <c r="C653" s="549">
        <v>47.44240765416982</v>
      </c>
      <c r="D653" s="593">
        <v>135.65263322169002</v>
      </c>
      <c r="E653" s="594">
        <v>0</v>
      </c>
      <c r="F653" s="595">
        <v>43.937047574458887</v>
      </c>
      <c r="G653" s="566">
        <v>227.03208845031872</v>
      </c>
      <c r="H653" s="1057">
        <v>166.86474352048594</v>
      </c>
      <c r="I653" s="1058">
        <v>40.047538444916626</v>
      </c>
      <c r="J653" s="597">
        <v>47.44240765416982</v>
      </c>
      <c r="K653" s="595">
        <v>11.380415601253286</v>
      </c>
      <c r="L653" s="571"/>
      <c r="M653" s="223">
        <f t="shared" si="72"/>
        <v>492.76719367114441</v>
      </c>
    </row>
    <row r="654" spans="1:13" ht="15.75" hidden="1" x14ac:dyDescent="0.25">
      <c r="A654" s="1090" t="s">
        <v>547</v>
      </c>
      <c r="B654" s="805" t="s">
        <v>1030</v>
      </c>
      <c r="C654" s="549">
        <v>44.417233886748058</v>
      </c>
      <c r="D654" s="593">
        <v>178.86940132771514</v>
      </c>
      <c r="E654" s="594">
        <v>0</v>
      </c>
      <c r="F654" s="595">
        <v>22.244630916795717</v>
      </c>
      <c r="G654" s="566">
        <v>245.53126613125892</v>
      </c>
      <c r="H654" s="1057">
        <v>231.68989567952366</v>
      </c>
      <c r="I654" s="1058">
        <v>23.192998883566823</v>
      </c>
      <c r="J654" s="597">
        <v>0</v>
      </c>
      <c r="K654" s="595">
        <v>0</v>
      </c>
      <c r="L654" s="571"/>
      <c r="M654" s="223">
        <f t="shared" si="72"/>
        <v>500.41416069434939</v>
      </c>
    </row>
    <row r="655" spans="1:13" ht="15.75" hidden="1" x14ac:dyDescent="0.25">
      <c r="A655" s="1087" t="s">
        <v>939</v>
      </c>
      <c r="B655" s="805" t="s">
        <v>1062</v>
      </c>
      <c r="C655" s="549">
        <v>19.723652777277582</v>
      </c>
      <c r="D655" s="550">
        <v>203.35890325446272</v>
      </c>
      <c r="E655" s="551">
        <v>0</v>
      </c>
      <c r="F655" s="560">
        <v>15.606055149397966</v>
      </c>
      <c r="G655" s="566">
        <v>238.68861118113827</v>
      </c>
      <c r="H655" s="1057">
        <v>265.30293753976542</v>
      </c>
      <c r="I655" s="1058">
        <v>0</v>
      </c>
      <c r="J655" s="569">
        <v>0</v>
      </c>
      <c r="K655" s="560">
        <v>0</v>
      </c>
      <c r="L655" s="571"/>
      <c r="M655" s="223">
        <f t="shared" si="72"/>
        <v>503.99154872090367</v>
      </c>
    </row>
    <row r="656" spans="1:13" ht="15.75" hidden="1" x14ac:dyDescent="0.25">
      <c r="A656" s="1087" t="s">
        <v>879</v>
      </c>
      <c r="B656" s="805" t="s">
        <v>1050</v>
      </c>
      <c r="C656" s="549">
        <v>79.230741527712752</v>
      </c>
      <c r="D656" s="593">
        <v>108.04192026506284</v>
      </c>
      <c r="E656" s="594">
        <v>0</v>
      </c>
      <c r="F656" s="595">
        <v>9.36363308963878</v>
      </c>
      <c r="G656" s="566">
        <v>196.63629488241435</v>
      </c>
      <c r="H656" s="1057">
        <v>265.36296082880159</v>
      </c>
      <c r="I656" s="1058">
        <v>0</v>
      </c>
      <c r="J656" s="597">
        <v>43.216768106025135</v>
      </c>
      <c r="K656" s="595">
        <v>0</v>
      </c>
      <c r="L656" s="571"/>
      <c r="M656" s="223">
        <f t="shared" si="72"/>
        <v>505.21602381724108</v>
      </c>
    </row>
    <row r="657" spans="1:13" ht="15.75" hidden="1" x14ac:dyDescent="0.25">
      <c r="A657" s="1087" t="s">
        <v>161</v>
      </c>
      <c r="B657" s="805" t="s">
        <v>1137</v>
      </c>
      <c r="C657" s="549">
        <v>28.735042384187519</v>
      </c>
      <c r="D657" s="550">
        <v>210.38156031280147</v>
      </c>
      <c r="E657" s="551">
        <v>0</v>
      </c>
      <c r="F657" s="560">
        <v>19.12932821575912</v>
      </c>
      <c r="G657" s="566">
        <v>258.24593091274812</v>
      </c>
      <c r="H657" s="1057">
        <v>246.30036329303587</v>
      </c>
      <c r="I657" s="1058">
        <v>6.1575090823258964</v>
      </c>
      <c r="J657" s="569">
        <v>0</v>
      </c>
      <c r="K657" s="560">
        <v>0</v>
      </c>
      <c r="L657" s="571"/>
      <c r="M657" s="223">
        <f t="shared" si="72"/>
        <v>510.70380328810984</v>
      </c>
    </row>
    <row r="658" spans="1:13" ht="15.75" hidden="1" x14ac:dyDescent="0.25">
      <c r="A658" s="1087" t="s">
        <v>169</v>
      </c>
      <c r="B658" s="805" t="s">
        <v>1149</v>
      </c>
      <c r="C658" s="549">
        <v>32.530543842577572</v>
      </c>
      <c r="D658" s="550">
        <v>182.18185749810792</v>
      </c>
      <c r="E658" s="551">
        <v>0</v>
      </c>
      <c r="F658" s="560">
        <v>0</v>
      </c>
      <c r="G658" s="566">
        <v>214.71240134068549</v>
      </c>
      <c r="H658" s="1057">
        <v>301.15417883014379</v>
      </c>
      <c r="I658" s="1058">
        <v>0</v>
      </c>
      <c r="J658" s="569">
        <v>0</v>
      </c>
      <c r="K658" s="560">
        <v>0</v>
      </c>
      <c r="L658" s="571"/>
      <c r="M658" s="223">
        <f t="shared" si="72"/>
        <v>515.86658017082925</v>
      </c>
    </row>
    <row r="659" spans="1:13" ht="15.75" hidden="1" x14ac:dyDescent="0.25">
      <c r="A659" s="1087" t="s">
        <v>160</v>
      </c>
      <c r="B659" s="805" t="s">
        <v>1137</v>
      </c>
      <c r="C659" s="549">
        <v>114.94016953675008</v>
      </c>
      <c r="D659" s="550">
        <v>110.83516348186615</v>
      </c>
      <c r="E659" s="551">
        <v>0</v>
      </c>
      <c r="F659" s="560">
        <v>18.0620266414893</v>
      </c>
      <c r="G659" s="566">
        <v>243.83735966010551</v>
      </c>
      <c r="H659" s="1057">
        <v>271.95665113606043</v>
      </c>
      <c r="I659" s="1058">
        <v>6.804047535970116</v>
      </c>
      <c r="J659" s="569">
        <v>0</v>
      </c>
      <c r="K659" s="560">
        <v>0</v>
      </c>
      <c r="L659" s="571"/>
      <c r="M659" s="223">
        <f t="shared" si="72"/>
        <v>522.59805833213602</v>
      </c>
    </row>
    <row r="660" spans="1:13" ht="15.75" hidden="1" x14ac:dyDescent="0.25">
      <c r="A660" s="1087" t="s">
        <v>94</v>
      </c>
      <c r="B660" s="805" t="s">
        <v>1056</v>
      </c>
      <c r="C660" s="549">
        <v>96.817565215303546</v>
      </c>
      <c r="D660" s="593">
        <v>138.05356478313584</v>
      </c>
      <c r="E660" s="594">
        <v>0</v>
      </c>
      <c r="F660" s="595">
        <v>56.373873062748345</v>
      </c>
      <c r="G660" s="566">
        <v>291.24500306118773</v>
      </c>
      <c r="H660" s="1057">
        <v>199.2773196000048</v>
      </c>
      <c r="I660" s="1058">
        <v>47.826556704001156</v>
      </c>
      <c r="J660" s="597">
        <v>0</v>
      </c>
      <c r="K660" s="595">
        <v>0</v>
      </c>
      <c r="L660" s="571"/>
      <c r="M660" s="223">
        <f t="shared" si="72"/>
        <v>538.34887936519374</v>
      </c>
    </row>
    <row r="661" spans="1:13" ht="15.75" hidden="1" x14ac:dyDescent="0.25">
      <c r="A661" s="502" t="s">
        <v>186</v>
      </c>
      <c r="B661" s="804" t="s">
        <v>1106</v>
      </c>
      <c r="C661" s="549">
        <v>84.560809594122517</v>
      </c>
      <c r="D661" s="550">
        <v>55.401495780362779</v>
      </c>
      <c r="E661" s="551">
        <v>0</v>
      </c>
      <c r="F661" s="560">
        <v>8.403260465060443</v>
      </c>
      <c r="G661" s="566">
        <v>148.36556583954575</v>
      </c>
      <c r="H661" s="1057">
        <v>347.46281557244208</v>
      </c>
      <c r="I661" s="1058">
        <v>0</v>
      </c>
      <c r="J661" s="569">
        <v>40.335650232290128</v>
      </c>
      <c r="K661" s="560">
        <v>2.4249408770602994</v>
      </c>
      <c r="L661" s="571"/>
      <c r="M661" s="223">
        <f t="shared" si="72"/>
        <v>538.58897252133829</v>
      </c>
    </row>
    <row r="662" spans="1:13" ht="15.75" hidden="1" x14ac:dyDescent="0.25">
      <c r="A662" s="1087" t="s">
        <v>93</v>
      </c>
      <c r="B662" s="805" t="s">
        <v>1056</v>
      </c>
      <c r="C662" s="549">
        <v>50.347534843519284</v>
      </c>
      <c r="D662" s="593">
        <v>147.65729102891922</v>
      </c>
      <c r="E662" s="594">
        <v>0</v>
      </c>
      <c r="F662" s="595">
        <v>47.526440258820422</v>
      </c>
      <c r="G662" s="566">
        <v>245.53126613125895</v>
      </c>
      <c r="H662" s="1057">
        <v>192.07452491566727</v>
      </c>
      <c r="I662" s="1058">
        <v>46.097885979760143</v>
      </c>
      <c r="J662" s="597">
        <v>50.347534843519284</v>
      </c>
      <c r="K662" s="595">
        <v>12.08869041187981</v>
      </c>
      <c r="L662" s="571"/>
      <c r="M662" s="223">
        <f t="shared" si="72"/>
        <v>546.13990228208547</v>
      </c>
    </row>
    <row r="663" spans="1:13" ht="15.75" hidden="1" x14ac:dyDescent="0.25">
      <c r="A663" s="1087" t="s">
        <v>166</v>
      </c>
      <c r="B663" s="805" t="s">
        <v>1149</v>
      </c>
      <c r="C663" s="549">
        <v>46.559087468915564</v>
      </c>
      <c r="D663" s="550">
        <v>173.11330954697806</v>
      </c>
      <c r="E663" s="551">
        <v>0</v>
      </c>
      <c r="F663" s="560">
        <v>0</v>
      </c>
      <c r="G663" s="566">
        <v>219.67239701589364</v>
      </c>
      <c r="H663" s="1057">
        <v>332.88733917180235</v>
      </c>
      <c r="I663" s="1058">
        <v>0</v>
      </c>
      <c r="J663" s="569">
        <v>0</v>
      </c>
      <c r="K663" s="560">
        <v>0</v>
      </c>
      <c r="L663" s="571"/>
      <c r="M663" s="223">
        <f t="shared" si="72"/>
        <v>552.55973618769599</v>
      </c>
    </row>
    <row r="664" spans="1:13" ht="15.75" hidden="1" x14ac:dyDescent="0.25">
      <c r="A664" s="1090" t="s">
        <v>67</v>
      </c>
      <c r="B664" s="805" t="s">
        <v>1032</v>
      </c>
      <c r="C664" s="549">
        <v>24.009315614458409</v>
      </c>
      <c r="D664" s="593">
        <v>207.12836580593267</v>
      </c>
      <c r="E664" s="594">
        <v>0</v>
      </c>
      <c r="F664" s="595">
        <v>13.865379767349731</v>
      </c>
      <c r="G664" s="566">
        <v>245.00306118774083</v>
      </c>
      <c r="H664" s="1057">
        <v>296.97122483523606</v>
      </c>
      <c r="I664" s="1058">
        <v>17.81491218592814</v>
      </c>
      <c r="J664" s="597">
        <v>0</v>
      </c>
      <c r="K664" s="595">
        <v>0</v>
      </c>
      <c r="L664" s="571"/>
      <c r="M664" s="223">
        <f t="shared" si="72"/>
        <v>559.78919820890508</v>
      </c>
    </row>
    <row r="665" spans="1:13" ht="15.75" hidden="1" x14ac:dyDescent="0.25">
      <c r="A665" s="1090" t="s">
        <v>69</v>
      </c>
      <c r="B665" s="805" t="s">
        <v>1032</v>
      </c>
      <c r="C665" s="549">
        <v>24.009315614458409</v>
      </c>
      <c r="D665" s="593">
        <v>207.12836580593267</v>
      </c>
      <c r="E665" s="594">
        <v>0</v>
      </c>
      <c r="F665" s="595">
        <v>13.865379767349731</v>
      </c>
      <c r="G665" s="566">
        <v>245.00306118774083</v>
      </c>
      <c r="H665" s="1057">
        <v>296.97122483523606</v>
      </c>
      <c r="I665" s="1058">
        <v>17.81491218592814</v>
      </c>
      <c r="J665" s="597">
        <v>0</v>
      </c>
      <c r="K665" s="595">
        <v>0</v>
      </c>
      <c r="L665" s="571"/>
      <c r="M665" s="223">
        <f t="shared" si="72"/>
        <v>559.78919820890508</v>
      </c>
    </row>
    <row r="666" spans="1:13" ht="15.75" hidden="1" x14ac:dyDescent="0.25">
      <c r="A666" s="1090" t="s">
        <v>70</v>
      </c>
      <c r="B666" s="805" t="s">
        <v>1032</v>
      </c>
      <c r="C666" s="549">
        <v>24.009315614458409</v>
      </c>
      <c r="D666" s="593">
        <v>207.12836580593267</v>
      </c>
      <c r="E666" s="594">
        <v>0</v>
      </c>
      <c r="F666" s="595">
        <v>13.865379767349731</v>
      </c>
      <c r="G666" s="566">
        <v>245.00306118774083</v>
      </c>
      <c r="H666" s="1057">
        <v>296.97122483523606</v>
      </c>
      <c r="I666" s="1058">
        <v>17.81491218592814</v>
      </c>
      <c r="J666" s="597">
        <v>0</v>
      </c>
      <c r="K666" s="595">
        <v>0</v>
      </c>
      <c r="L666" s="571"/>
      <c r="M666" s="223">
        <f t="shared" si="72"/>
        <v>559.78919820890508</v>
      </c>
    </row>
    <row r="667" spans="1:13" ht="15.75" hidden="1" x14ac:dyDescent="0.25">
      <c r="A667" s="1087" t="s">
        <v>635</v>
      </c>
      <c r="B667" s="805" t="s">
        <v>1058</v>
      </c>
      <c r="C667" s="549">
        <v>14.837757049735297</v>
      </c>
      <c r="D667" s="593">
        <v>194.47545647711311</v>
      </c>
      <c r="E667" s="594">
        <v>45.61769966747098</v>
      </c>
      <c r="F667" s="595">
        <v>14.021440318843711</v>
      </c>
      <c r="G667" s="566">
        <v>268.95235351316313</v>
      </c>
      <c r="H667" s="1057">
        <v>244.89501926747576</v>
      </c>
      <c r="I667" s="1058">
        <v>26.986470750651254</v>
      </c>
      <c r="J667" s="597">
        <v>25.089734817109036</v>
      </c>
      <c r="K667" s="595">
        <v>0</v>
      </c>
      <c r="L667" s="571"/>
      <c r="M667" s="223">
        <f t="shared" si="72"/>
        <v>565.92357834839925</v>
      </c>
    </row>
    <row r="668" spans="1:13" ht="15.75" hidden="1" x14ac:dyDescent="0.25">
      <c r="A668" s="1087" t="s">
        <v>168</v>
      </c>
      <c r="B668" s="805" t="s">
        <v>1149</v>
      </c>
      <c r="C668" s="549">
        <v>43.031679100443291</v>
      </c>
      <c r="D668" s="550">
        <v>238.13385230835763</v>
      </c>
      <c r="E668" s="551">
        <v>0</v>
      </c>
      <c r="F668" s="560">
        <v>0</v>
      </c>
      <c r="G668" s="566">
        <v>281.16553140880092</v>
      </c>
      <c r="H668" s="1057">
        <v>291.50448697156446</v>
      </c>
      <c r="I668" s="1058">
        <v>0</v>
      </c>
      <c r="J668" s="569">
        <v>0</v>
      </c>
      <c r="K668" s="560">
        <v>0</v>
      </c>
      <c r="L668" s="571"/>
      <c r="M668" s="223">
        <f t="shared" si="72"/>
        <v>572.67001838036538</v>
      </c>
    </row>
    <row r="669" spans="1:13" ht="15.75" hidden="1" x14ac:dyDescent="0.25">
      <c r="A669" s="1087" t="s">
        <v>159</v>
      </c>
      <c r="B669" s="805" t="s">
        <v>1135</v>
      </c>
      <c r="C669" s="549">
        <v>285.5290682071348</v>
      </c>
      <c r="D669" s="550">
        <v>77.815861936279234</v>
      </c>
      <c r="E669" s="551">
        <v>0</v>
      </c>
      <c r="F669" s="560">
        <v>90.836232535853512</v>
      </c>
      <c r="G669" s="566">
        <v>454.18116267926757</v>
      </c>
      <c r="H669" s="1057">
        <v>104.77568811892715</v>
      </c>
      <c r="I669" s="1058">
        <v>26.193922029731787</v>
      </c>
      <c r="J669" s="569">
        <v>0</v>
      </c>
      <c r="K669" s="560">
        <v>0</v>
      </c>
      <c r="L669" s="571"/>
      <c r="M669" s="223">
        <f t="shared" si="72"/>
        <v>585.15077282792652</v>
      </c>
    </row>
    <row r="670" spans="1:13" ht="15.75" hidden="1" x14ac:dyDescent="0.25">
      <c r="A670" s="1087" t="s">
        <v>163</v>
      </c>
      <c r="B670" s="805" t="s">
        <v>1137</v>
      </c>
      <c r="C670" s="549">
        <v>55.417581740933073</v>
      </c>
      <c r="D670" s="550">
        <v>238.09035118326801</v>
      </c>
      <c r="E670" s="551">
        <v>0</v>
      </c>
      <c r="F670" s="560">
        <v>23.480634633936084</v>
      </c>
      <c r="G670" s="566">
        <v>316.98856755813716</v>
      </c>
      <c r="H670" s="1057">
        <v>262.54592475523901</v>
      </c>
      <c r="I670" s="1058">
        <v>6.56800968781429</v>
      </c>
      <c r="J670" s="569">
        <v>0</v>
      </c>
      <c r="K670" s="560">
        <v>0</v>
      </c>
      <c r="L670" s="571"/>
      <c r="M670" s="223">
        <f t="shared" si="72"/>
        <v>586.10250200119049</v>
      </c>
    </row>
    <row r="671" spans="1:13" ht="15.75" hidden="1" x14ac:dyDescent="0.25">
      <c r="A671" s="502" t="s">
        <v>182</v>
      </c>
      <c r="B671" s="804" t="s">
        <v>1106</v>
      </c>
      <c r="C671" s="549">
        <v>50.599632657471098</v>
      </c>
      <c r="D671" s="550">
        <v>141.65496212530462</v>
      </c>
      <c r="E671" s="551">
        <v>0</v>
      </c>
      <c r="F671" s="560">
        <v>11.536476152747264</v>
      </c>
      <c r="G671" s="566">
        <v>203.79107093552298</v>
      </c>
      <c r="H671" s="1057">
        <v>343.2731899977191</v>
      </c>
      <c r="I671" s="1058">
        <v>0</v>
      </c>
      <c r="J671" s="569">
        <v>40.335650232290128</v>
      </c>
      <c r="K671" s="560">
        <v>2.4249408770602994</v>
      </c>
      <c r="L671" s="571"/>
      <c r="M671" s="223">
        <f t="shared" si="72"/>
        <v>589.82485204259251</v>
      </c>
    </row>
    <row r="672" spans="1:13" ht="15.75" hidden="1" x14ac:dyDescent="0.25">
      <c r="A672" s="1087" t="s">
        <v>156</v>
      </c>
      <c r="B672" s="805" t="s">
        <v>1135</v>
      </c>
      <c r="C672" s="549">
        <v>299.37661529185851</v>
      </c>
      <c r="D672" s="550">
        <v>88.109613751472068</v>
      </c>
      <c r="E672" s="551">
        <v>0</v>
      </c>
      <c r="F672" s="560">
        <v>96.871557260832645</v>
      </c>
      <c r="G672" s="566">
        <v>484.35778630416326</v>
      </c>
      <c r="H672" s="1057">
        <v>90.805596369736861</v>
      </c>
      <c r="I672" s="1058">
        <v>22.701399092434215</v>
      </c>
      <c r="J672" s="569">
        <v>0</v>
      </c>
      <c r="K672" s="560">
        <v>0</v>
      </c>
      <c r="L672" s="571"/>
      <c r="M672" s="223">
        <f t="shared" si="72"/>
        <v>597.86478176633432</v>
      </c>
    </row>
    <row r="673" spans="1:13" ht="15.75" hidden="1" x14ac:dyDescent="0.25">
      <c r="A673" s="479" t="s">
        <v>633</v>
      </c>
      <c r="B673" s="805" t="s">
        <v>1058</v>
      </c>
      <c r="C673" s="549">
        <v>36.458145760555098</v>
      </c>
      <c r="D673" s="593">
        <v>181.27033288916098</v>
      </c>
      <c r="E673" s="594">
        <v>62.424220597591862</v>
      </c>
      <c r="F673" s="595">
        <v>15.401975966675069</v>
      </c>
      <c r="G673" s="566">
        <v>295.55467521398299</v>
      </c>
      <c r="H673" s="1057">
        <v>241.29362192530698</v>
      </c>
      <c r="I673" s="1058">
        <v>27.766773508121148</v>
      </c>
      <c r="J673" s="597">
        <v>36.013973421687616</v>
      </c>
      <c r="K673" s="595">
        <v>0</v>
      </c>
      <c r="L673" s="571"/>
      <c r="M673" s="223">
        <f t="shared" si="72"/>
        <v>600.62904406909877</v>
      </c>
    </row>
    <row r="674" spans="1:13" ht="15.75" hidden="1" x14ac:dyDescent="0.25">
      <c r="A674" s="479" t="s">
        <v>95</v>
      </c>
      <c r="B674" s="805" t="s">
        <v>1056</v>
      </c>
      <c r="C674" s="549">
        <v>129.72233226491878</v>
      </c>
      <c r="D674" s="593">
        <v>169.42173563342575</v>
      </c>
      <c r="E674" s="594">
        <v>0</v>
      </c>
      <c r="F674" s="595">
        <v>71.799858345037876</v>
      </c>
      <c r="G674" s="566">
        <v>370.94392624338241</v>
      </c>
      <c r="H674" s="1057">
        <v>185.88012148713702</v>
      </c>
      <c r="I674" s="1058">
        <v>44.609308411663719</v>
      </c>
      <c r="J674" s="597">
        <v>0</v>
      </c>
      <c r="K674" s="595">
        <v>0</v>
      </c>
      <c r="L674" s="571"/>
      <c r="M674" s="223">
        <f t="shared" si="72"/>
        <v>601.43335614218313</v>
      </c>
    </row>
    <row r="675" spans="1:13" ht="15.75" hidden="1" x14ac:dyDescent="0.25">
      <c r="A675" s="1085" t="s">
        <v>216</v>
      </c>
      <c r="B675" s="805" t="s">
        <v>1032</v>
      </c>
      <c r="C675" s="549">
        <v>31.212110298795931</v>
      </c>
      <c r="D675" s="593">
        <v>249.60084512790959</v>
      </c>
      <c r="E675" s="594">
        <v>0</v>
      </c>
      <c r="F675" s="595">
        <v>16.842534903542575</v>
      </c>
      <c r="G675" s="566">
        <v>297.65549033024809</v>
      </c>
      <c r="H675" s="1057">
        <v>289.33626246983829</v>
      </c>
      <c r="I675" s="1058">
        <v>17.370739847060658</v>
      </c>
      <c r="J675" s="597">
        <v>0</v>
      </c>
      <c r="K675" s="595">
        <v>0</v>
      </c>
      <c r="L675" s="571"/>
      <c r="M675" s="223">
        <f t="shared" si="72"/>
        <v>604.36249264714706</v>
      </c>
    </row>
    <row r="676" spans="1:13" ht="15.75" hidden="1" x14ac:dyDescent="0.25">
      <c r="A676" s="1085" t="s">
        <v>629</v>
      </c>
      <c r="B676" s="805" t="s">
        <v>1032</v>
      </c>
      <c r="C676" s="549">
        <v>62.904406909881033</v>
      </c>
      <c r="D676" s="593">
        <v>267.34372936699435</v>
      </c>
      <c r="E676" s="594">
        <v>3.1092063720723639</v>
      </c>
      <c r="F676" s="595">
        <v>0</v>
      </c>
      <c r="G676" s="566">
        <v>333.35734264894774</v>
      </c>
      <c r="H676" s="1057">
        <v>268.90433488193418</v>
      </c>
      <c r="I676" s="1058">
        <v>16.134260092916051</v>
      </c>
      <c r="J676" s="597">
        <v>0</v>
      </c>
      <c r="K676" s="595">
        <v>0</v>
      </c>
      <c r="L676" s="571"/>
      <c r="M676" s="223">
        <f t="shared" si="72"/>
        <v>618.39593762379798</v>
      </c>
    </row>
    <row r="677" spans="1:13" ht="15.75" hidden="1" x14ac:dyDescent="0.25">
      <c r="A677" s="1085" t="s">
        <v>548</v>
      </c>
      <c r="B677" s="805" t="s">
        <v>1040</v>
      </c>
      <c r="C677" s="549">
        <v>148.76072487853753</v>
      </c>
      <c r="D677" s="593">
        <v>138.29626507844367</v>
      </c>
      <c r="E677" s="594">
        <v>0</v>
      </c>
      <c r="F677" s="595">
        <v>0</v>
      </c>
      <c r="G677" s="566">
        <v>287.05698995698117</v>
      </c>
      <c r="H677" s="1057">
        <v>346.69486875690808</v>
      </c>
      <c r="I677" s="1058">
        <v>0</v>
      </c>
      <c r="J677" s="597">
        <v>0</v>
      </c>
      <c r="K677" s="595">
        <v>0</v>
      </c>
      <c r="L677" s="571"/>
      <c r="M677" s="223">
        <f t="shared" si="72"/>
        <v>633.75185871388931</v>
      </c>
    </row>
    <row r="678" spans="1:13" ht="15.75" hidden="1" x14ac:dyDescent="0.25">
      <c r="A678" s="1090" t="s">
        <v>72</v>
      </c>
      <c r="B678" s="805" t="s">
        <v>1032</v>
      </c>
      <c r="C678" s="549">
        <v>67.430162903206437</v>
      </c>
      <c r="D678" s="593">
        <v>286.5871958319828</v>
      </c>
      <c r="E678" s="594">
        <v>3.1092063720723639</v>
      </c>
      <c r="F678" s="595">
        <v>0</v>
      </c>
      <c r="G678" s="566">
        <v>357.12656510726163</v>
      </c>
      <c r="H678" s="1057">
        <v>268.90433488193418</v>
      </c>
      <c r="I678" s="1058">
        <v>16.134260092916051</v>
      </c>
      <c r="J678" s="597">
        <v>0</v>
      </c>
      <c r="K678" s="595">
        <v>0</v>
      </c>
      <c r="L678" s="571"/>
      <c r="M678" s="223">
        <f t="shared" si="72"/>
        <v>642.16516008211192</v>
      </c>
    </row>
    <row r="679" spans="1:13" ht="15.75" hidden="1" x14ac:dyDescent="0.25">
      <c r="A679" s="1087" t="s">
        <v>98</v>
      </c>
      <c r="B679" s="805" t="s">
        <v>1058</v>
      </c>
      <c r="C679" s="549">
        <v>27.178545275566918</v>
      </c>
      <c r="D679" s="593">
        <v>141.65496212530462</v>
      </c>
      <c r="E679" s="594">
        <v>60.023289036146025</v>
      </c>
      <c r="F679" s="595">
        <v>12.604890697590665</v>
      </c>
      <c r="G679" s="566">
        <v>241.46168713460824</v>
      </c>
      <c r="H679" s="1057">
        <v>340.93228172530939</v>
      </c>
      <c r="I679" s="1058">
        <v>37.670616199085245</v>
      </c>
      <c r="J679" s="597">
        <v>36.013973421687616</v>
      </c>
      <c r="K679" s="595">
        <v>0</v>
      </c>
      <c r="L679" s="571"/>
      <c r="M679" s="223">
        <f t="shared" si="72"/>
        <v>656.0785584806905</v>
      </c>
    </row>
    <row r="680" spans="1:13" ht="15.75" hidden="1" x14ac:dyDescent="0.25">
      <c r="A680" s="502" t="s">
        <v>183</v>
      </c>
      <c r="B680" s="804" t="s">
        <v>1106</v>
      </c>
      <c r="C680" s="549">
        <v>70.827481062652311</v>
      </c>
      <c r="D680" s="550">
        <v>108.04192026506284</v>
      </c>
      <c r="E680" s="551">
        <v>9.4116517208676953</v>
      </c>
      <c r="F680" s="560">
        <v>11.296382996602681</v>
      </c>
      <c r="G680" s="566">
        <v>199.57743604518552</v>
      </c>
      <c r="H680" s="1057">
        <v>420.03097201714263</v>
      </c>
      <c r="I680" s="1058">
        <v>0</v>
      </c>
      <c r="J680" s="569">
        <v>40.335650232290128</v>
      </c>
      <c r="K680" s="560">
        <v>2.4249408770602994</v>
      </c>
      <c r="L680" s="571"/>
      <c r="M680" s="223">
        <f t="shared" si="72"/>
        <v>662.36899917167864</v>
      </c>
    </row>
    <row r="681" spans="1:13" ht="15.75" hidden="1" x14ac:dyDescent="0.25">
      <c r="A681" s="1087" t="s">
        <v>603</v>
      </c>
      <c r="B681" s="805" t="s">
        <v>1137</v>
      </c>
      <c r="C681" s="549">
        <v>139.57020586605367</v>
      </c>
      <c r="D681" s="550">
        <v>197.04029063442869</v>
      </c>
      <c r="E681" s="551">
        <v>0</v>
      </c>
      <c r="F681" s="560">
        <v>26.928839720038585</v>
      </c>
      <c r="G681" s="566">
        <v>363.53933622052091</v>
      </c>
      <c r="H681" s="1057">
        <v>299.27546643131302</v>
      </c>
      <c r="I681" s="1058">
        <v>7.4813735350259645</v>
      </c>
      <c r="J681" s="569">
        <v>0</v>
      </c>
      <c r="K681" s="560">
        <v>0</v>
      </c>
      <c r="L681" s="571"/>
      <c r="M681" s="223">
        <f t="shared" si="72"/>
        <v>670.29617618685984</v>
      </c>
    </row>
    <row r="682" spans="1:13" ht="15.75" hidden="1" x14ac:dyDescent="0.25">
      <c r="A682" s="1090" t="s">
        <v>722</v>
      </c>
      <c r="B682" s="805" t="s">
        <v>1040</v>
      </c>
      <c r="C682" s="549">
        <v>190.84121215976592</v>
      </c>
      <c r="D682" s="593">
        <v>284.67147480498414</v>
      </c>
      <c r="E682" s="594">
        <v>0</v>
      </c>
      <c r="F682" s="595">
        <v>0</v>
      </c>
      <c r="G682" s="566">
        <v>475.51268696475006</v>
      </c>
      <c r="H682" s="1057">
        <v>196.40741418109241</v>
      </c>
      <c r="I682" s="1058">
        <v>0</v>
      </c>
      <c r="J682" s="597">
        <v>0</v>
      </c>
      <c r="K682" s="595">
        <v>0</v>
      </c>
      <c r="L682" s="571"/>
      <c r="M682" s="223">
        <f t="shared" si="72"/>
        <v>671.92010114584241</v>
      </c>
    </row>
    <row r="683" spans="1:13" ht="15.75" hidden="1" x14ac:dyDescent="0.25">
      <c r="A683" s="502" t="s">
        <v>185</v>
      </c>
      <c r="B683" s="804" t="s">
        <v>1106</v>
      </c>
      <c r="C683" s="549">
        <v>54.020960132531421</v>
      </c>
      <c r="D683" s="550">
        <v>75.629344185543985</v>
      </c>
      <c r="E683" s="551">
        <v>0</v>
      </c>
      <c r="F683" s="560">
        <v>7.7790182590845252</v>
      </c>
      <c r="G683" s="566">
        <v>137.42932257715992</v>
      </c>
      <c r="H683" s="1057">
        <v>494.88001344521672</v>
      </c>
      <c r="I683" s="1058">
        <v>0</v>
      </c>
      <c r="J683" s="569">
        <v>40.335650232290128</v>
      </c>
      <c r="K683" s="560">
        <v>2.4249408770602994</v>
      </c>
      <c r="L683" s="571"/>
      <c r="M683" s="223">
        <f t="shared" si="72"/>
        <v>675.06992713172713</v>
      </c>
    </row>
    <row r="684" spans="1:13" ht="15.75" hidden="1" x14ac:dyDescent="0.25">
      <c r="A684" s="502" t="s">
        <v>180</v>
      </c>
      <c r="B684" s="804" t="s">
        <v>1028</v>
      </c>
      <c r="C684" s="549">
        <v>70.200070200070201</v>
      </c>
      <c r="D684" s="593">
        <v>156.00015600015601</v>
      </c>
      <c r="E684" s="594">
        <v>0</v>
      </c>
      <c r="F684" s="595">
        <v>0</v>
      </c>
      <c r="G684" s="566">
        <v>226.20022620022621</v>
      </c>
      <c r="H684" s="1057">
        <v>455.52045552045553</v>
      </c>
      <c r="I684" s="1058">
        <v>0</v>
      </c>
      <c r="J684" s="597">
        <v>0</v>
      </c>
      <c r="K684" s="595">
        <v>0</v>
      </c>
      <c r="L684" s="571"/>
      <c r="M684" s="223">
        <f t="shared" si="72"/>
        <v>681.7206817206818</v>
      </c>
    </row>
    <row r="685" spans="1:13" ht="15.75" hidden="1" x14ac:dyDescent="0.25">
      <c r="A685" s="791" t="s">
        <v>544</v>
      </c>
      <c r="B685" s="804" t="s">
        <v>1028</v>
      </c>
      <c r="C685" s="549">
        <v>79.154479154479162</v>
      </c>
      <c r="D685" s="593">
        <v>203.5802035802036</v>
      </c>
      <c r="E685" s="594">
        <v>0</v>
      </c>
      <c r="F685" s="595">
        <v>0</v>
      </c>
      <c r="G685" s="566">
        <v>282.73468273468279</v>
      </c>
      <c r="H685" s="1057">
        <v>412.62041262041265</v>
      </c>
      <c r="I685" s="1058">
        <v>0</v>
      </c>
      <c r="J685" s="597">
        <v>0</v>
      </c>
      <c r="K685" s="595">
        <v>0</v>
      </c>
      <c r="L685" s="571"/>
      <c r="M685" s="223">
        <f t="shared" si="72"/>
        <v>695.3550953550955</v>
      </c>
    </row>
    <row r="686" spans="1:13" ht="15.75" hidden="1" x14ac:dyDescent="0.25">
      <c r="A686" s="479" t="s">
        <v>88</v>
      </c>
      <c r="B686" s="805" t="s">
        <v>1054</v>
      </c>
      <c r="C686" s="549">
        <v>61.898145312343843</v>
      </c>
      <c r="D686" s="593">
        <v>134.33831849819626</v>
      </c>
      <c r="E686" s="594">
        <v>100.74567921930965</v>
      </c>
      <c r="F686" s="595">
        <v>74.245535757462434</v>
      </c>
      <c r="G686" s="566">
        <v>371.22767878731219</v>
      </c>
      <c r="H686" s="1057">
        <v>250.56175790732689</v>
      </c>
      <c r="I686" s="1058">
        <v>62.639633511397967</v>
      </c>
      <c r="J686" s="597">
        <v>11.215814976127303</v>
      </c>
      <c r="K686" s="595">
        <v>2.8047597094655803</v>
      </c>
      <c r="L686" s="571"/>
      <c r="M686" s="223">
        <f t="shared" si="72"/>
        <v>698.44964489162987</v>
      </c>
    </row>
    <row r="687" spans="1:13" ht="15.75" hidden="1" x14ac:dyDescent="0.25">
      <c r="A687" s="791" t="s">
        <v>184</v>
      </c>
      <c r="B687" s="804" t="s">
        <v>1106</v>
      </c>
      <c r="C687" s="549">
        <v>73.444496464628273</v>
      </c>
      <c r="D687" s="550">
        <v>122.44750963373788</v>
      </c>
      <c r="E687" s="551">
        <v>22.088570365301734</v>
      </c>
      <c r="F687" s="560">
        <v>13.073072352072604</v>
      </c>
      <c r="G687" s="566">
        <v>231.0536488157405</v>
      </c>
      <c r="H687" s="1057">
        <v>501.19446345181927</v>
      </c>
      <c r="I687" s="1058">
        <v>0</v>
      </c>
      <c r="J687" s="569">
        <v>40.335650232290128</v>
      </c>
      <c r="K687" s="560">
        <v>2.4249408770602994</v>
      </c>
      <c r="L687" s="571"/>
      <c r="M687" s="223">
        <f t="shared" si="72"/>
        <v>775.00870337691026</v>
      </c>
    </row>
    <row r="688" spans="1:13" ht="15.75" hidden="1" x14ac:dyDescent="0.25">
      <c r="A688" s="791" t="s">
        <v>178</v>
      </c>
      <c r="B688" s="804" t="s">
        <v>1028</v>
      </c>
      <c r="C688" s="549">
        <v>129.72192972192974</v>
      </c>
      <c r="D688" s="593">
        <v>168.08236808236811</v>
      </c>
      <c r="E688" s="594">
        <v>0</v>
      </c>
      <c r="F688" s="595">
        <v>0</v>
      </c>
      <c r="G688" s="566">
        <v>297.80429780429785</v>
      </c>
      <c r="H688" s="1057">
        <v>485.28528528528528</v>
      </c>
      <c r="I688" s="1058">
        <v>0</v>
      </c>
      <c r="J688" s="597">
        <v>0</v>
      </c>
      <c r="K688" s="595">
        <v>0</v>
      </c>
      <c r="L688" s="571"/>
      <c r="M688" s="223">
        <f t="shared" si="72"/>
        <v>783.08958308958313</v>
      </c>
    </row>
    <row r="689" spans="1:13" ht="15.75" hidden="1" x14ac:dyDescent="0.25">
      <c r="A689" s="1085" t="s">
        <v>723</v>
      </c>
      <c r="B689" s="805" t="s">
        <v>1040</v>
      </c>
      <c r="C689" s="549">
        <v>489.8257778767325</v>
      </c>
      <c r="D689" s="593">
        <v>0</v>
      </c>
      <c r="E689" s="594">
        <v>0</v>
      </c>
      <c r="F689" s="595">
        <v>0</v>
      </c>
      <c r="G689" s="566">
        <v>489.8257778767325</v>
      </c>
      <c r="H689" s="1057">
        <v>305.34593945562546</v>
      </c>
      <c r="I689" s="1058">
        <v>0</v>
      </c>
      <c r="J689" s="597">
        <v>0</v>
      </c>
      <c r="K689" s="595">
        <v>0</v>
      </c>
      <c r="L689" s="571"/>
      <c r="M689" s="223">
        <f t="shared" si="72"/>
        <v>795.17171733235796</v>
      </c>
    </row>
    <row r="690" spans="1:13" ht="15.75" hidden="1" x14ac:dyDescent="0.25">
      <c r="A690" s="502" t="s">
        <v>176</v>
      </c>
      <c r="B690" s="804" t="s">
        <v>1028</v>
      </c>
      <c r="C690" s="549">
        <v>149.97854997854998</v>
      </c>
      <c r="D690" s="593">
        <v>274.37307437307436</v>
      </c>
      <c r="E690" s="594">
        <v>0</v>
      </c>
      <c r="F690" s="595">
        <v>0</v>
      </c>
      <c r="G690" s="566">
        <v>424.35162435162431</v>
      </c>
      <c r="H690" s="1057">
        <v>407.1604071604072</v>
      </c>
      <c r="I690" s="1058">
        <v>0</v>
      </c>
      <c r="J690" s="597">
        <v>0</v>
      </c>
      <c r="K690" s="595">
        <v>0</v>
      </c>
      <c r="L690" s="571"/>
      <c r="M690" s="223">
        <f t="shared" si="72"/>
        <v>831.51203151203151</v>
      </c>
    </row>
    <row r="691" spans="1:13" ht="15.75" hidden="1" x14ac:dyDescent="0.25">
      <c r="A691" s="1087" t="s">
        <v>171</v>
      </c>
      <c r="B691" s="805" t="s">
        <v>1151</v>
      </c>
      <c r="C691" s="549">
        <v>121.92</v>
      </c>
      <c r="D691" s="550">
        <v>119.72</v>
      </c>
      <c r="E691" s="551">
        <v>23.66</v>
      </c>
      <c r="F691" s="560" t="s">
        <v>5</v>
      </c>
      <c r="G691" s="566">
        <v>265.3</v>
      </c>
      <c r="H691" s="1057">
        <v>294.17</v>
      </c>
      <c r="I691" s="1077" t="s">
        <v>5</v>
      </c>
      <c r="J691" s="569">
        <v>334.2</v>
      </c>
      <c r="K691" s="560" t="s">
        <v>5</v>
      </c>
      <c r="L691" s="571"/>
      <c r="M691" s="223">
        <f>G691+H691+J691</f>
        <v>893.67000000000007</v>
      </c>
    </row>
    <row r="692" spans="1:13" ht="15.75" hidden="1" x14ac:dyDescent="0.25">
      <c r="A692" s="502" t="s">
        <v>179</v>
      </c>
      <c r="B692" s="804" t="s">
        <v>1028</v>
      </c>
      <c r="C692" s="549">
        <v>184.32978432978433</v>
      </c>
      <c r="D692" s="593">
        <v>133.61413361413364</v>
      </c>
      <c r="E692" s="594">
        <v>0</v>
      </c>
      <c r="F692" s="595">
        <v>0</v>
      </c>
      <c r="G692" s="566">
        <v>317.943917943918</v>
      </c>
      <c r="H692" s="1057">
        <v>591.24059124059124</v>
      </c>
      <c r="I692" s="1058">
        <v>0</v>
      </c>
      <c r="J692" s="597">
        <v>0</v>
      </c>
      <c r="K692" s="595">
        <v>0</v>
      </c>
      <c r="L692" s="571"/>
      <c r="M692" s="223">
        <f>G692+H692+I692+J692+K692</f>
        <v>909.18450918450924</v>
      </c>
    </row>
    <row r="693" spans="1:13" ht="15.75" hidden="1" x14ac:dyDescent="0.25">
      <c r="A693" s="1087" t="s">
        <v>89</v>
      </c>
      <c r="B693" s="805" t="s">
        <v>1054</v>
      </c>
      <c r="C693" s="549">
        <v>106.77430066379313</v>
      </c>
      <c r="D693" s="593">
        <v>78.243124308884646</v>
      </c>
      <c r="E693" s="594">
        <v>100.74567921930965</v>
      </c>
      <c r="F693" s="595">
        <v>71.440776047996849</v>
      </c>
      <c r="G693" s="566">
        <v>357.20388023998424</v>
      </c>
      <c r="H693" s="1057">
        <v>465.52563453658598</v>
      </c>
      <c r="I693" s="1058">
        <v>116.3814086341465</v>
      </c>
      <c r="J693" s="597">
        <v>8.1241315722451297</v>
      </c>
      <c r="K693" s="595">
        <v>2.0310328930612824</v>
      </c>
      <c r="L693" s="571"/>
      <c r="M693" s="223">
        <f>G693+H693+I693+J693+K693</f>
        <v>949.26608787602311</v>
      </c>
    </row>
    <row r="694" spans="1:13" ht="15.75" hidden="1" x14ac:dyDescent="0.25">
      <c r="A694" s="1087" t="s">
        <v>213</v>
      </c>
      <c r="B694" s="805" t="s">
        <v>1054</v>
      </c>
      <c r="C694" s="549">
        <v>88.720674947692842</v>
      </c>
      <c r="D694" s="593">
        <v>136.53054447800844</v>
      </c>
      <c r="E694" s="594">
        <v>100.74567921930965</v>
      </c>
      <c r="F694" s="595">
        <v>81.49922466125274</v>
      </c>
      <c r="G694" s="566">
        <v>407.49612330626366</v>
      </c>
      <c r="H694" s="1057">
        <v>440.34405052436114</v>
      </c>
      <c r="I694" s="1058">
        <v>110.08681859652404</v>
      </c>
      <c r="J694" s="597">
        <v>9.1912298065360574</v>
      </c>
      <c r="K694" s="595">
        <v>2.2970014862002599</v>
      </c>
      <c r="L694" s="571"/>
      <c r="M694" s="223">
        <f>G694+H694+I694+J694+K694</f>
        <v>969.41522371988515</v>
      </c>
    </row>
    <row r="695" spans="1:13" ht="15.75" hidden="1" x14ac:dyDescent="0.25">
      <c r="A695" s="1087" t="s">
        <v>87</v>
      </c>
      <c r="B695" s="805" t="s">
        <v>1054</v>
      </c>
      <c r="C695" s="549">
        <v>161.19308675089545</v>
      </c>
      <c r="D695" s="593">
        <v>82.240712860306843</v>
      </c>
      <c r="E695" s="594">
        <v>100.74567921930965</v>
      </c>
      <c r="F695" s="595">
        <v>86.044869707627981</v>
      </c>
      <c r="G695" s="566">
        <v>430.22434853813991</v>
      </c>
      <c r="H695" s="1057">
        <v>430.7611215170204</v>
      </c>
      <c r="I695" s="1058">
        <v>107.68987739653822</v>
      </c>
      <c r="J695" s="597">
        <v>12.326435343840974</v>
      </c>
      <c r="K695" s="595">
        <v>3.0820118186771208</v>
      </c>
      <c r="L695" s="571"/>
      <c r="M695" s="223">
        <f>G695+H695+I695+J695+K695</f>
        <v>984.08379461421657</v>
      </c>
    </row>
    <row r="696" spans="1:13" ht="16.5" hidden="1" thickBot="1" x14ac:dyDescent="0.3">
      <c r="A696" s="798" t="s">
        <v>90</v>
      </c>
      <c r="B696" s="1092" t="s">
        <v>1054</v>
      </c>
      <c r="C696" s="716">
        <v>77.372681640429803</v>
      </c>
      <c r="D696" s="717">
        <v>153.16567103070085</v>
      </c>
      <c r="E696" s="718">
        <v>100.74567921930965</v>
      </c>
      <c r="F696" s="595">
        <v>82.821007972610062</v>
      </c>
      <c r="G696" s="566">
        <v>414.10503986305037</v>
      </c>
      <c r="H696" s="1057">
        <v>592.64572661007719</v>
      </c>
      <c r="I696" s="1058">
        <v>148.16223761795305</v>
      </c>
      <c r="J696" s="721">
        <v>8.6689642054631566</v>
      </c>
      <c r="K696" s="719">
        <v>2.1664350859320347</v>
      </c>
      <c r="L696" s="571"/>
      <c r="M696" s="223">
        <f>G696+H696+I696+J696+K696</f>
        <v>1165.748403382476</v>
      </c>
    </row>
  </sheetData>
  <autoFilter ref="B1:B696">
    <filterColumn colId="0">
      <filters>
        <filter val="ARG"/>
      </filters>
    </filterColumn>
  </autoFilter>
  <sortState ref="A499:M696">
    <sortCondition ref="M499:M696"/>
  </sortState>
  <mergeCells count="586">
    <mergeCell ref="U4:AG4"/>
    <mergeCell ref="AI4:AO4"/>
    <mergeCell ref="A7:A13"/>
    <mergeCell ref="E7:E13"/>
    <mergeCell ref="U7:U13"/>
    <mergeCell ref="V7:V13"/>
    <mergeCell ref="W7:W13"/>
    <mergeCell ref="X7:X13"/>
    <mergeCell ref="Y7:Y13"/>
    <mergeCell ref="Z7:Z13"/>
    <mergeCell ref="AB15:AB23"/>
    <mergeCell ref="AC15:AC23"/>
    <mergeCell ref="AD15:AD23"/>
    <mergeCell ref="AE15:AE23"/>
    <mergeCell ref="AF15:AF23"/>
    <mergeCell ref="AG15:AG23"/>
    <mergeCell ref="AG7:AG13"/>
    <mergeCell ref="A15:A23"/>
    <mergeCell ref="E15:E23"/>
    <mergeCell ref="U15:U23"/>
    <mergeCell ref="V15:V23"/>
    <mergeCell ref="W15:W23"/>
    <mergeCell ref="X15:X23"/>
    <mergeCell ref="Y15:Y23"/>
    <mergeCell ref="Z15:Z23"/>
    <mergeCell ref="AA15:AA23"/>
    <mergeCell ref="AA7:AA13"/>
    <mergeCell ref="AB7:AB13"/>
    <mergeCell ref="AC7:AC13"/>
    <mergeCell ref="AD7:AD13"/>
    <mergeCell ref="AE7:AE13"/>
    <mergeCell ref="AF7:AF13"/>
    <mergeCell ref="AE24:AE28"/>
    <mergeCell ref="AF24:AF28"/>
    <mergeCell ref="AG24:AG28"/>
    <mergeCell ref="A29:A36"/>
    <mergeCell ref="E29:E36"/>
    <mergeCell ref="U29:U36"/>
    <mergeCell ref="V29:V36"/>
    <mergeCell ref="W29:W36"/>
    <mergeCell ref="X29:X36"/>
    <mergeCell ref="Y29:Y36"/>
    <mergeCell ref="Y24:Y28"/>
    <mergeCell ref="Z24:Z28"/>
    <mergeCell ref="AA24:AA28"/>
    <mergeCell ref="AB24:AB28"/>
    <mergeCell ref="AC24:AC28"/>
    <mergeCell ref="AD24:AD28"/>
    <mergeCell ref="A24:A28"/>
    <mergeCell ref="E24:E28"/>
    <mergeCell ref="U24:U28"/>
    <mergeCell ref="V24:V28"/>
    <mergeCell ref="W24:W28"/>
    <mergeCell ref="X24:X28"/>
    <mergeCell ref="AF29:AF36"/>
    <mergeCell ref="AG29:AG36"/>
    <mergeCell ref="AC29:AC36"/>
    <mergeCell ref="AD29:AD36"/>
    <mergeCell ref="AE29:AE36"/>
    <mergeCell ref="AG37:AG39"/>
    <mergeCell ref="A40:A44"/>
    <mergeCell ref="E40:E44"/>
    <mergeCell ref="U40:U44"/>
    <mergeCell ref="V40:V44"/>
    <mergeCell ref="W40:W44"/>
    <mergeCell ref="Y40:Y44"/>
    <mergeCell ref="Z40:Z44"/>
    <mergeCell ref="AB40:AB44"/>
    <mergeCell ref="AD40:AD44"/>
    <mergeCell ref="AA37:AA39"/>
    <mergeCell ref="AB37:AB39"/>
    <mergeCell ref="AC37:AC39"/>
    <mergeCell ref="AD37:AD39"/>
    <mergeCell ref="AE37:AE39"/>
    <mergeCell ref="AF37:AF39"/>
    <mergeCell ref="AF40:AF44"/>
    <mergeCell ref="AG40:AG44"/>
    <mergeCell ref="A37:A39"/>
    <mergeCell ref="E37:E39"/>
    <mergeCell ref="U37:U39"/>
    <mergeCell ref="E45:E49"/>
    <mergeCell ref="U45:U49"/>
    <mergeCell ref="V45:V49"/>
    <mergeCell ref="W45:W49"/>
    <mergeCell ref="X45:X49"/>
    <mergeCell ref="Y45:Y49"/>
    <mergeCell ref="Z45:Z49"/>
    <mergeCell ref="AB51:AB56"/>
    <mergeCell ref="AA29:AA36"/>
    <mergeCell ref="AB29:AB36"/>
    <mergeCell ref="V37:V39"/>
    <mergeCell ref="W37:W39"/>
    <mergeCell ref="X37:X39"/>
    <mergeCell ref="Y37:Y39"/>
    <mergeCell ref="Z37:Z39"/>
    <mergeCell ref="Z29:Z36"/>
    <mergeCell ref="AB63:AB67"/>
    <mergeCell ref="AC63:AC67"/>
    <mergeCell ref="AC51:AC56"/>
    <mergeCell ref="AD51:AD56"/>
    <mergeCell ref="AE51:AE56"/>
    <mergeCell ref="AF51:AF56"/>
    <mergeCell ref="AG51:AG56"/>
    <mergeCell ref="AG45:AG49"/>
    <mergeCell ref="A51:A56"/>
    <mergeCell ref="E51:E56"/>
    <mergeCell ref="U51:U56"/>
    <mergeCell ref="V51:V56"/>
    <mergeCell ref="W51:W56"/>
    <mergeCell ref="X51:X56"/>
    <mergeCell ref="Y51:Y56"/>
    <mergeCell ref="Z51:Z56"/>
    <mergeCell ref="AA51:AA56"/>
    <mergeCell ref="AA45:AA49"/>
    <mergeCell ref="AB45:AB49"/>
    <mergeCell ref="AC45:AC49"/>
    <mergeCell ref="AD45:AD49"/>
    <mergeCell ref="AE45:AE49"/>
    <mergeCell ref="AF45:AF49"/>
    <mergeCell ref="A45:A49"/>
    <mergeCell ref="X63:X67"/>
    <mergeCell ref="Y63:Y67"/>
    <mergeCell ref="Z63:Z67"/>
    <mergeCell ref="Z57:Z62"/>
    <mergeCell ref="AB57:AB62"/>
    <mergeCell ref="AD57:AD62"/>
    <mergeCell ref="AF57:AF62"/>
    <mergeCell ref="AG57:AG62"/>
    <mergeCell ref="A63:A67"/>
    <mergeCell ref="E63:E67"/>
    <mergeCell ref="U63:U67"/>
    <mergeCell ref="V63:V67"/>
    <mergeCell ref="W63:W67"/>
    <mergeCell ref="A57:A62"/>
    <mergeCell ref="E57:E62"/>
    <mergeCell ref="U57:U62"/>
    <mergeCell ref="V57:V62"/>
    <mergeCell ref="W57:W62"/>
    <mergeCell ref="Y57:Y62"/>
    <mergeCell ref="AD63:AD67"/>
    <mergeCell ref="AE63:AE67"/>
    <mergeCell ref="AF63:AF67"/>
    <mergeCell ref="AG63:AG67"/>
    <mergeCell ref="AA63:AA67"/>
    <mergeCell ref="AG69:AG70"/>
    <mergeCell ref="A71:A74"/>
    <mergeCell ref="E71:E74"/>
    <mergeCell ref="U71:U74"/>
    <mergeCell ref="V71:V74"/>
    <mergeCell ref="W71:W74"/>
    <mergeCell ref="X71:X74"/>
    <mergeCell ref="Y71:Y74"/>
    <mergeCell ref="Y69:Y70"/>
    <mergeCell ref="Z69:Z70"/>
    <mergeCell ref="AA69:AA70"/>
    <mergeCell ref="AB69:AB70"/>
    <mergeCell ref="AC69:AC70"/>
    <mergeCell ref="AD69:AD70"/>
    <mergeCell ref="AF71:AF74"/>
    <mergeCell ref="AG71:AG74"/>
    <mergeCell ref="AA71:AA74"/>
    <mergeCell ref="AB71:AB74"/>
    <mergeCell ref="AC71:AC74"/>
    <mergeCell ref="AD71:AD74"/>
    <mergeCell ref="AE71:AE74"/>
    <mergeCell ref="A69:A70"/>
    <mergeCell ref="E69:E70"/>
    <mergeCell ref="U69:U70"/>
    <mergeCell ref="U75:U79"/>
    <mergeCell ref="V75:V79"/>
    <mergeCell ref="W75:W79"/>
    <mergeCell ref="X75:X79"/>
    <mergeCell ref="Y75:Y79"/>
    <mergeCell ref="Z75:Z79"/>
    <mergeCell ref="Z71:Z74"/>
    <mergeCell ref="AE69:AE70"/>
    <mergeCell ref="AF69:AF70"/>
    <mergeCell ref="V69:V70"/>
    <mergeCell ref="W69:W70"/>
    <mergeCell ref="X69:X70"/>
    <mergeCell ref="AB80:AB84"/>
    <mergeCell ref="AC80:AC84"/>
    <mergeCell ref="AD80:AD84"/>
    <mergeCell ref="AE80:AE84"/>
    <mergeCell ref="AF80:AF84"/>
    <mergeCell ref="AG80:AG84"/>
    <mergeCell ref="AG75:AG79"/>
    <mergeCell ref="A80:A84"/>
    <mergeCell ref="E80:E84"/>
    <mergeCell ref="U80:U84"/>
    <mergeCell ref="V80:V84"/>
    <mergeCell ref="W80:W84"/>
    <mergeCell ref="X80:X84"/>
    <mergeCell ref="Y80:Y84"/>
    <mergeCell ref="Z80:Z84"/>
    <mergeCell ref="AA80:AA84"/>
    <mergeCell ref="AA75:AA79"/>
    <mergeCell ref="AB75:AB79"/>
    <mergeCell ref="AC75:AC79"/>
    <mergeCell ref="AD75:AD79"/>
    <mergeCell ref="AE75:AE79"/>
    <mergeCell ref="AF75:AF79"/>
    <mergeCell ref="A75:A79"/>
    <mergeCell ref="E75:E79"/>
    <mergeCell ref="AE85:AE90"/>
    <mergeCell ref="AF85:AF90"/>
    <mergeCell ref="AG85:AG90"/>
    <mergeCell ref="A91:A101"/>
    <mergeCell ref="E91:E101"/>
    <mergeCell ref="U91:U101"/>
    <mergeCell ref="V91:V101"/>
    <mergeCell ref="W91:W101"/>
    <mergeCell ref="X91:X101"/>
    <mergeCell ref="Y91:Y101"/>
    <mergeCell ref="Y85:Y90"/>
    <mergeCell ref="Z85:Z90"/>
    <mergeCell ref="AA85:AA90"/>
    <mergeCell ref="AB85:AB90"/>
    <mergeCell ref="AC85:AC90"/>
    <mergeCell ref="AD85:AD90"/>
    <mergeCell ref="A85:A90"/>
    <mergeCell ref="E85:E90"/>
    <mergeCell ref="U85:U90"/>
    <mergeCell ref="V85:V90"/>
    <mergeCell ref="W85:W90"/>
    <mergeCell ref="X85:X90"/>
    <mergeCell ref="AF91:AF101"/>
    <mergeCell ref="AG91:AG101"/>
    <mergeCell ref="AF104:AF108"/>
    <mergeCell ref="AG104:AG108"/>
    <mergeCell ref="A109:A113"/>
    <mergeCell ref="E109:E113"/>
    <mergeCell ref="U109:U113"/>
    <mergeCell ref="V109:V113"/>
    <mergeCell ref="W109:W113"/>
    <mergeCell ref="X109:X113"/>
    <mergeCell ref="Y109:Y113"/>
    <mergeCell ref="AF109:AF113"/>
    <mergeCell ref="AG109:AG113"/>
    <mergeCell ref="AC109:AC113"/>
    <mergeCell ref="AD109:AD113"/>
    <mergeCell ref="AE109:AE113"/>
    <mergeCell ref="A104:A108"/>
    <mergeCell ref="E104:E108"/>
    <mergeCell ref="U104:U108"/>
    <mergeCell ref="V104:V108"/>
    <mergeCell ref="W104:W108"/>
    <mergeCell ref="Y104:Y108"/>
    <mergeCell ref="Z104:Z108"/>
    <mergeCell ref="AB104:AB108"/>
    <mergeCell ref="Z115:Z119"/>
    <mergeCell ref="AB115:AB119"/>
    <mergeCell ref="Z109:Z113"/>
    <mergeCell ref="AA109:AA113"/>
    <mergeCell ref="AB109:AB113"/>
    <mergeCell ref="AC91:AC101"/>
    <mergeCell ref="AD91:AD101"/>
    <mergeCell ref="AE91:AE101"/>
    <mergeCell ref="AD104:AD108"/>
    <mergeCell ref="Z91:Z101"/>
    <mergeCell ref="AA91:AA101"/>
    <mergeCell ref="AB91:AB101"/>
    <mergeCell ref="Z121:Z125"/>
    <mergeCell ref="AD115:AD119"/>
    <mergeCell ref="AF115:AF119"/>
    <mergeCell ref="AG115:AG119"/>
    <mergeCell ref="A121:A125"/>
    <mergeCell ref="E121:E125"/>
    <mergeCell ref="U121:U125"/>
    <mergeCell ref="V121:V125"/>
    <mergeCell ref="W121:W125"/>
    <mergeCell ref="X121:X125"/>
    <mergeCell ref="Y121:Y125"/>
    <mergeCell ref="AF121:AF125"/>
    <mergeCell ref="AG121:AG125"/>
    <mergeCell ref="AA121:AA125"/>
    <mergeCell ref="AB121:AB125"/>
    <mergeCell ref="AC121:AC125"/>
    <mergeCell ref="AD121:AD125"/>
    <mergeCell ref="AE121:AE125"/>
    <mergeCell ref="A115:A119"/>
    <mergeCell ref="E115:E119"/>
    <mergeCell ref="U115:U119"/>
    <mergeCell ref="V115:V119"/>
    <mergeCell ref="W115:W119"/>
    <mergeCell ref="Y115:Y119"/>
    <mergeCell ref="AG135:AG139"/>
    <mergeCell ref="A126:A133"/>
    <mergeCell ref="E126:E133"/>
    <mergeCell ref="U126:U133"/>
    <mergeCell ref="V126:V133"/>
    <mergeCell ref="W126:W133"/>
    <mergeCell ref="X126:X133"/>
    <mergeCell ref="Y126:Y133"/>
    <mergeCell ref="Z126:Z133"/>
    <mergeCell ref="AG145:AG150"/>
    <mergeCell ref="AA145:AA150"/>
    <mergeCell ref="AB145:AB150"/>
    <mergeCell ref="AC145:AC150"/>
    <mergeCell ref="AD145:AD150"/>
    <mergeCell ref="AE145:AE150"/>
    <mergeCell ref="AF145:AF150"/>
    <mergeCell ref="AG126:AG133"/>
    <mergeCell ref="A135:A139"/>
    <mergeCell ref="E135:E139"/>
    <mergeCell ref="U135:U139"/>
    <mergeCell ref="V135:V139"/>
    <mergeCell ref="W135:W139"/>
    <mergeCell ref="Y135:Y139"/>
    <mergeCell ref="Z135:Z139"/>
    <mergeCell ref="AB135:AB139"/>
    <mergeCell ref="AD135:AD139"/>
    <mergeCell ref="AA126:AA133"/>
    <mergeCell ref="AB126:AB133"/>
    <mergeCell ref="AC126:AC133"/>
    <mergeCell ref="AD126:AD133"/>
    <mergeCell ref="AE126:AE133"/>
    <mergeCell ref="AF126:AF133"/>
    <mergeCell ref="AF135:AF139"/>
    <mergeCell ref="AB151:AB155"/>
    <mergeCell ref="AD151:AD155"/>
    <mergeCell ref="A145:A150"/>
    <mergeCell ref="E145:E150"/>
    <mergeCell ref="U145:U150"/>
    <mergeCell ref="V145:V150"/>
    <mergeCell ref="W145:W150"/>
    <mergeCell ref="X145:X150"/>
    <mergeCell ref="Y145:Y150"/>
    <mergeCell ref="Z145:Z150"/>
    <mergeCell ref="AF151:AF155"/>
    <mergeCell ref="AG151:AG155"/>
    <mergeCell ref="A157:A161"/>
    <mergeCell ref="E157:E161"/>
    <mergeCell ref="U157:U161"/>
    <mergeCell ref="V157:V161"/>
    <mergeCell ref="W157:W161"/>
    <mergeCell ref="X157:X161"/>
    <mergeCell ref="Y157:Y161"/>
    <mergeCell ref="Z157:Z161"/>
    <mergeCell ref="AG157:AG161"/>
    <mergeCell ref="AA157:AA161"/>
    <mergeCell ref="AB157:AB161"/>
    <mergeCell ref="AC157:AC161"/>
    <mergeCell ref="AD157:AD161"/>
    <mergeCell ref="AE157:AE161"/>
    <mergeCell ref="AF157:AF161"/>
    <mergeCell ref="A151:A155"/>
    <mergeCell ref="E151:E155"/>
    <mergeCell ref="U151:U155"/>
    <mergeCell ref="V151:V155"/>
    <mergeCell ref="W151:W155"/>
    <mergeCell ref="Y151:Y155"/>
    <mergeCell ref="Z151:Z155"/>
    <mergeCell ref="AF162:AF166"/>
    <mergeCell ref="AG162:AG166"/>
    <mergeCell ref="A168:A170"/>
    <mergeCell ref="E168:E170"/>
    <mergeCell ref="U168:U170"/>
    <mergeCell ref="V168:V170"/>
    <mergeCell ref="W168:W170"/>
    <mergeCell ref="X168:X170"/>
    <mergeCell ref="Y168:Y170"/>
    <mergeCell ref="Z168:Z170"/>
    <mergeCell ref="A162:A166"/>
    <mergeCell ref="E162:E166"/>
    <mergeCell ref="U162:U166"/>
    <mergeCell ref="V162:V166"/>
    <mergeCell ref="W162:W166"/>
    <mergeCell ref="Y162:Y166"/>
    <mergeCell ref="Z162:Z166"/>
    <mergeCell ref="AB162:AB166"/>
    <mergeCell ref="AD162:AD166"/>
    <mergeCell ref="AB171:AB176"/>
    <mergeCell ref="AC171:AC176"/>
    <mergeCell ref="AD171:AD176"/>
    <mergeCell ref="AE171:AE176"/>
    <mergeCell ref="AF171:AF176"/>
    <mergeCell ref="AG171:AG176"/>
    <mergeCell ref="AG168:AG170"/>
    <mergeCell ref="A171:A176"/>
    <mergeCell ref="E171:E176"/>
    <mergeCell ref="U171:U176"/>
    <mergeCell ref="V171:V176"/>
    <mergeCell ref="W171:W176"/>
    <mergeCell ref="X171:X176"/>
    <mergeCell ref="Y171:Y176"/>
    <mergeCell ref="Z171:Z176"/>
    <mergeCell ref="AA171:AA176"/>
    <mergeCell ref="AA168:AA170"/>
    <mergeCell ref="AB168:AB170"/>
    <mergeCell ref="AC168:AC170"/>
    <mergeCell ref="AD168:AD170"/>
    <mergeCell ref="AE168:AE170"/>
    <mergeCell ref="AF168:AF170"/>
    <mergeCell ref="A184:A224"/>
    <mergeCell ref="E184:E224"/>
    <mergeCell ref="U184:U224"/>
    <mergeCell ref="V184:V224"/>
    <mergeCell ref="W184:W224"/>
    <mergeCell ref="X184:X224"/>
    <mergeCell ref="Y184:Y224"/>
    <mergeCell ref="Y177:Y183"/>
    <mergeCell ref="Z177:Z183"/>
    <mergeCell ref="A177:A183"/>
    <mergeCell ref="E177:E183"/>
    <mergeCell ref="U177:U183"/>
    <mergeCell ref="V177:V183"/>
    <mergeCell ref="W177:W183"/>
    <mergeCell ref="X177:X183"/>
    <mergeCell ref="V225:V226"/>
    <mergeCell ref="W225:W226"/>
    <mergeCell ref="X225:X226"/>
    <mergeCell ref="Y225:Y226"/>
    <mergeCell ref="Z225:Z226"/>
    <mergeCell ref="Z184:Z224"/>
    <mergeCell ref="AE177:AE183"/>
    <mergeCell ref="AF177:AF183"/>
    <mergeCell ref="AG177:AG183"/>
    <mergeCell ref="AA177:AA183"/>
    <mergeCell ref="AB177:AB183"/>
    <mergeCell ref="AC177:AC183"/>
    <mergeCell ref="AD177:AD183"/>
    <mergeCell ref="AF184:AF224"/>
    <mergeCell ref="AG184:AG224"/>
    <mergeCell ref="AA184:AA224"/>
    <mergeCell ref="AB184:AB224"/>
    <mergeCell ref="AC184:AC224"/>
    <mergeCell ref="AD184:AD224"/>
    <mergeCell ref="AE184:AE224"/>
    <mergeCell ref="AG225:AG226"/>
    <mergeCell ref="AA225:AA226"/>
    <mergeCell ref="AB225:AB226"/>
    <mergeCell ref="AC225:AC226"/>
    <mergeCell ref="Y240:Y242"/>
    <mergeCell ref="Z240:Z242"/>
    <mergeCell ref="AB240:AB242"/>
    <mergeCell ref="AD240:AD242"/>
    <mergeCell ref="X245:X252"/>
    <mergeCell ref="AF253:AF257"/>
    <mergeCell ref="AG253:AG257"/>
    <mergeCell ref="AF240:AF242"/>
    <mergeCell ref="AG240:AG242"/>
    <mergeCell ref="AG245:AG252"/>
    <mergeCell ref="AE253:AE257"/>
    <mergeCell ref="A227:A235"/>
    <mergeCell ref="E227:E235"/>
    <mergeCell ref="A236:A238"/>
    <mergeCell ref="E236:E238"/>
    <mergeCell ref="A240:A242"/>
    <mergeCell ref="E240:E242"/>
    <mergeCell ref="U240:U242"/>
    <mergeCell ref="V240:V242"/>
    <mergeCell ref="W240:W242"/>
    <mergeCell ref="AD225:AD226"/>
    <mergeCell ref="AE225:AE226"/>
    <mergeCell ref="AF225:AF226"/>
    <mergeCell ref="A225:A226"/>
    <mergeCell ref="E225:E226"/>
    <mergeCell ref="U225:U226"/>
    <mergeCell ref="Y258:Y262"/>
    <mergeCell ref="Z258:Z262"/>
    <mergeCell ref="Z253:Z257"/>
    <mergeCell ref="AE245:AE252"/>
    <mergeCell ref="AF245:AF252"/>
    <mergeCell ref="A253:A257"/>
    <mergeCell ref="E253:E257"/>
    <mergeCell ref="U253:U257"/>
    <mergeCell ref="V253:V257"/>
    <mergeCell ref="W253:W257"/>
    <mergeCell ref="X253:X257"/>
    <mergeCell ref="Y253:Y257"/>
    <mergeCell ref="Y245:Y252"/>
    <mergeCell ref="Z245:Z252"/>
    <mergeCell ref="AA245:AA252"/>
    <mergeCell ref="AB245:AB252"/>
    <mergeCell ref="AC245:AC252"/>
    <mergeCell ref="AD245:AD252"/>
    <mergeCell ref="A245:A252"/>
    <mergeCell ref="E245:E252"/>
    <mergeCell ref="U245:U252"/>
    <mergeCell ref="V245:V252"/>
    <mergeCell ref="W245:W252"/>
    <mergeCell ref="AA253:AA257"/>
    <mergeCell ref="AB253:AB257"/>
    <mergeCell ref="AC253:AC257"/>
    <mergeCell ref="AD253:AD257"/>
    <mergeCell ref="AB263:AB267"/>
    <mergeCell ref="AC263:AC267"/>
    <mergeCell ref="AD263:AD267"/>
    <mergeCell ref="AE263:AE267"/>
    <mergeCell ref="AF263:AF267"/>
    <mergeCell ref="AG263:AG267"/>
    <mergeCell ref="AG258:AG262"/>
    <mergeCell ref="A263:A267"/>
    <mergeCell ref="E263:E267"/>
    <mergeCell ref="U263:U267"/>
    <mergeCell ref="V263:V267"/>
    <mergeCell ref="W263:W267"/>
    <mergeCell ref="X263:X267"/>
    <mergeCell ref="Y263:Y267"/>
    <mergeCell ref="Z263:Z267"/>
    <mergeCell ref="AA263:AA267"/>
    <mergeCell ref="AA258:AA262"/>
    <mergeCell ref="AB258:AB262"/>
    <mergeCell ref="AC258:AC262"/>
    <mergeCell ref="AD258:AD262"/>
    <mergeCell ref="AE258:AE262"/>
    <mergeCell ref="AF258:AF262"/>
    <mergeCell ref="A258:A262"/>
    <mergeCell ref="E258:E262"/>
    <mergeCell ref="U258:U262"/>
    <mergeCell ref="V258:V262"/>
    <mergeCell ref="W258:W262"/>
    <mergeCell ref="X258:X262"/>
    <mergeCell ref="A274:A277"/>
    <mergeCell ref="E274:E277"/>
    <mergeCell ref="U274:U277"/>
    <mergeCell ref="V274:V277"/>
    <mergeCell ref="W274:W277"/>
    <mergeCell ref="X274:X277"/>
    <mergeCell ref="Y274:Y277"/>
    <mergeCell ref="Y271:Y273"/>
    <mergeCell ref="Z271:Z273"/>
    <mergeCell ref="A271:A273"/>
    <mergeCell ref="E271:E273"/>
    <mergeCell ref="U271:U273"/>
    <mergeCell ref="V271:V273"/>
    <mergeCell ref="W271:W273"/>
    <mergeCell ref="X271:X273"/>
    <mergeCell ref="Z274:Z277"/>
    <mergeCell ref="AE271:AE273"/>
    <mergeCell ref="AF271:AF273"/>
    <mergeCell ref="AG271:AG273"/>
    <mergeCell ref="AA271:AA273"/>
    <mergeCell ref="AB271:AB273"/>
    <mergeCell ref="AC271:AC273"/>
    <mergeCell ref="AD271:AD273"/>
    <mergeCell ref="AF274:AF277"/>
    <mergeCell ref="AG274:AG277"/>
    <mergeCell ref="AA274:AA277"/>
    <mergeCell ref="AB274:AB277"/>
    <mergeCell ref="AC274:AC277"/>
    <mergeCell ref="AD274:AD277"/>
    <mergeCell ref="AE274:AE277"/>
    <mergeCell ref="AP278:AP282"/>
    <mergeCell ref="A283:A289"/>
    <mergeCell ref="E283:E289"/>
    <mergeCell ref="U283:U289"/>
    <mergeCell ref="V283:V289"/>
    <mergeCell ref="W283:W289"/>
    <mergeCell ref="X283:X289"/>
    <mergeCell ref="Y283:Y289"/>
    <mergeCell ref="Z283:Z289"/>
    <mergeCell ref="AA278:AA282"/>
    <mergeCell ref="AB278:AB282"/>
    <mergeCell ref="AC278:AC282"/>
    <mergeCell ref="AD278:AD282"/>
    <mergeCell ref="AE278:AE282"/>
    <mergeCell ref="AF278:AF282"/>
    <mergeCell ref="A278:A282"/>
    <mergeCell ref="E278:E282"/>
    <mergeCell ref="U278:U282"/>
    <mergeCell ref="V278:V282"/>
    <mergeCell ref="W278:W282"/>
    <mergeCell ref="X278:X282"/>
    <mergeCell ref="Y278:Y282"/>
    <mergeCell ref="Z278:Z282"/>
    <mergeCell ref="AG278:AG282"/>
    <mergeCell ref="AF290:AF293"/>
    <mergeCell ref="AG290:AG293"/>
    <mergeCell ref="AG283:AG289"/>
    <mergeCell ref="A290:A293"/>
    <mergeCell ref="E290:E293"/>
    <mergeCell ref="U290:U293"/>
    <mergeCell ref="V290:V293"/>
    <mergeCell ref="W290:W293"/>
    <mergeCell ref="Y290:Y293"/>
    <mergeCell ref="Z290:Z293"/>
    <mergeCell ref="AB290:AB293"/>
    <mergeCell ref="AD290:AD293"/>
    <mergeCell ref="AA283:AA289"/>
    <mergeCell ref="AB283:AB289"/>
    <mergeCell ref="AC283:AC289"/>
    <mergeCell ref="AD283:AD289"/>
    <mergeCell ref="AE283:AE289"/>
    <mergeCell ref="AF283:AF289"/>
  </mergeCells>
  <pageMargins left="0.7" right="0.7" top="0.75" bottom="0.75" header="0.3" footer="0.3"/>
  <pageSetup paperSize="9" orientation="portrait" r:id="rId1"/>
  <drawing r:id="rId2"/>
  <legacyDrawing r:id="rId3"/>
  <tableParts count="1">
    <tablePart r:id="rId4"/>
  </tablePar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Z605"/>
  <sheetViews>
    <sheetView topLeftCell="A456" workbookViewId="0">
      <selection activeCell="B438" sqref="B438"/>
    </sheetView>
  </sheetViews>
  <sheetFormatPr defaultRowHeight="15" x14ac:dyDescent="0.25"/>
  <cols>
    <col min="1" max="1" width="24.42578125" bestFit="1" customWidth="1"/>
    <col min="2" max="2" width="11.28515625" bestFit="1" customWidth="1"/>
    <col min="3" max="3" width="29" customWidth="1"/>
    <col min="4" max="4" width="15.42578125" customWidth="1"/>
    <col min="5" max="5" width="16.140625" customWidth="1"/>
    <col min="6" max="6" width="16.28515625" customWidth="1"/>
    <col min="7" max="7" width="19.140625" bestFit="1" customWidth="1"/>
    <col min="8" max="9" width="19.28515625" customWidth="1"/>
    <col min="10" max="10" width="13.140625" customWidth="1"/>
    <col min="11" max="11" width="17.5703125" customWidth="1"/>
    <col min="12" max="13" width="15.7109375" customWidth="1"/>
    <col min="14" max="14" width="13.7109375" customWidth="1"/>
    <col min="15" max="15" width="15.85546875" customWidth="1"/>
    <col min="16" max="16" width="19.140625" customWidth="1"/>
    <col min="17" max="17" width="4" customWidth="1"/>
    <col min="18" max="18" width="12" customWidth="1"/>
    <col min="19" max="19" width="11.140625" customWidth="1"/>
    <col min="21" max="21" width="12.140625" customWidth="1"/>
    <col min="22" max="22" width="11.7109375" customWidth="1"/>
    <col min="25" max="25" width="12.42578125" customWidth="1"/>
    <col min="26" max="26" width="19.85546875" customWidth="1"/>
  </cols>
  <sheetData>
    <row r="1" spans="1:26" ht="18.75" x14ac:dyDescent="0.3">
      <c r="A1" s="1481" t="s">
        <v>1368</v>
      </c>
      <c r="B1" s="1615"/>
      <c r="C1" s="1482"/>
      <c r="D1" s="24"/>
    </row>
    <row r="2" spans="1:26" ht="16.5" thickBot="1" x14ac:dyDescent="0.3">
      <c r="A2" s="530" t="s">
        <v>1215</v>
      </c>
      <c r="B2" s="854"/>
      <c r="C2" s="531"/>
      <c r="D2" s="25"/>
    </row>
    <row r="3" spans="1:26" x14ac:dyDescent="0.25">
      <c r="P3" s="223"/>
    </row>
    <row r="4" spans="1:26" ht="20.45" customHeight="1" x14ac:dyDescent="0.35">
      <c r="R4" s="1754"/>
      <c r="S4" s="1754"/>
      <c r="T4" s="1754"/>
      <c r="U4" s="1754"/>
      <c r="V4" s="1754"/>
      <c r="W4" s="1754"/>
      <c r="X4" s="1754"/>
      <c r="Y4" s="1754"/>
      <c r="Z4" s="1754"/>
    </row>
    <row r="5" spans="1:26" ht="50.45" hidden="1" customHeight="1" x14ac:dyDescent="0.3">
      <c r="D5" s="89" t="s">
        <v>215</v>
      </c>
      <c r="E5" s="90" t="s">
        <v>1369</v>
      </c>
      <c r="F5" s="849" t="s">
        <v>196</v>
      </c>
      <c r="G5" s="846" t="s">
        <v>197</v>
      </c>
      <c r="H5" s="1483" t="s">
        <v>198</v>
      </c>
      <c r="I5" s="1484" t="s">
        <v>200</v>
      </c>
      <c r="J5" s="1485" t="s">
        <v>1316</v>
      </c>
      <c r="K5" s="1486" t="s">
        <v>201</v>
      </c>
      <c r="L5" s="1486"/>
      <c r="M5" s="1486"/>
      <c r="N5" s="1487" t="s">
        <v>199</v>
      </c>
      <c r="O5" s="1488" t="s">
        <v>1318</v>
      </c>
      <c r="P5" s="1489" t="s">
        <v>203</v>
      </c>
      <c r="R5" s="110" t="s">
        <v>240</v>
      </c>
      <c r="S5" s="109" t="s">
        <v>241</v>
      </c>
      <c r="T5" s="108" t="s">
        <v>242</v>
      </c>
      <c r="U5" s="107" t="s">
        <v>243</v>
      </c>
      <c r="V5" s="106" t="s">
        <v>244</v>
      </c>
      <c r="W5" s="105" t="s">
        <v>245</v>
      </c>
      <c r="X5" s="104" t="s">
        <v>246</v>
      </c>
      <c r="Y5" s="103" t="s">
        <v>1319</v>
      </c>
      <c r="Z5" s="102" t="s">
        <v>642</v>
      </c>
    </row>
    <row r="6" spans="1:26" ht="16.5" hidden="1" thickBot="1" x14ac:dyDescent="0.3">
      <c r="A6" s="42" t="s">
        <v>3</v>
      </c>
      <c r="B6" s="45"/>
      <c r="C6" s="45" t="s">
        <v>58</v>
      </c>
      <c r="D6" s="91" t="s">
        <v>1320</v>
      </c>
      <c r="E6" s="92" t="s">
        <v>1321</v>
      </c>
      <c r="F6" s="7" t="s">
        <v>1322</v>
      </c>
      <c r="G6" s="3" t="s">
        <v>1323</v>
      </c>
      <c r="H6" s="33" t="s">
        <v>1324</v>
      </c>
      <c r="I6" s="68" t="s">
        <v>1325</v>
      </c>
      <c r="J6" s="34" t="s">
        <v>1326</v>
      </c>
      <c r="K6" s="69" t="s">
        <v>1327</v>
      </c>
      <c r="L6" s="69" t="s">
        <v>1328</v>
      </c>
      <c r="M6" s="69" t="s">
        <v>816</v>
      </c>
      <c r="N6" s="66" t="s">
        <v>1329</v>
      </c>
      <c r="O6" s="67" t="s">
        <v>1331</v>
      </c>
      <c r="P6" s="1490" t="s">
        <v>1332</v>
      </c>
      <c r="R6" s="93" t="s">
        <v>1370</v>
      </c>
      <c r="S6" s="94" t="s">
        <v>1371</v>
      </c>
      <c r="T6" s="95" t="s">
        <v>1372</v>
      </c>
      <c r="U6" s="96" t="s">
        <v>1373</v>
      </c>
      <c r="V6" s="97" t="s">
        <v>1374</v>
      </c>
      <c r="W6" s="98" t="s">
        <v>1375</v>
      </c>
      <c r="X6" s="99" t="s">
        <v>1376</v>
      </c>
      <c r="Y6" s="100" t="s">
        <v>1377</v>
      </c>
      <c r="Z6" s="101" t="s">
        <v>1378</v>
      </c>
    </row>
    <row r="7" spans="1:26" ht="19.5" hidden="1" thickBot="1" x14ac:dyDescent="0.35">
      <c r="A7" s="270" t="s">
        <v>33</v>
      </c>
      <c r="B7" s="1616"/>
      <c r="C7" s="1049" t="s">
        <v>217</v>
      </c>
      <c r="D7" s="1226">
        <v>17400</v>
      </c>
      <c r="E7" s="305">
        <v>4.3089700000000004</v>
      </c>
      <c r="F7" s="310">
        <f>159.6/E7</f>
        <v>37.039013963893922</v>
      </c>
      <c r="G7" s="311">
        <v>0</v>
      </c>
      <c r="H7" s="312">
        <v>0</v>
      </c>
      <c r="I7" s="313" t="e">
        <f>[1]!Tabel6689[[#This Row],[Fix.ch. 2015]]+[1]!Tabel6689[[#This Row],[Var. ch. 2015]]+[1]!Tabel6689[[#This Row],[Oth. ch. DW 2015]]</f>
        <v>#REF!</v>
      </c>
      <c r="J7" s="314">
        <v>0</v>
      </c>
      <c r="K7" s="315">
        <v>0</v>
      </c>
      <c r="L7" s="315"/>
      <c r="M7" s="315"/>
      <c r="N7" s="316">
        <v>0</v>
      </c>
      <c r="O7" s="317">
        <f>35.56/E7</f>
        <v>8.252552234060575</v>
      </c>
      <c r="P7" s="1491" t="e">
        <f>[1]!Tabel6689[[#This Row],[Total. ch. DW 2015]]+[1]!Tabel6689[[#This Row],[Sew. 2015]]+[1]!Tabel6689[[#This Row],[WW 2015]]+[1]!Tabel6689[[#This Row],[Other ch. 2015]]+[1]!Tabel6689[[#This Row],[VAT 2015]]</f>
        <v>#REF!</v>
      </c>
      <c r="Q7" s="397"/>
      <c r="R7" s="1228" t="e">
        <f>[1]!Tabel6689[[#This Row],[Fix.ch. 2015]]</f>
        <v>#REF!</v>
      </c>
      <c r="S7" s="1229">
        <v>0</v>
      </c>
      <c r="T7" s="1230">
        <v>0</v>
      </c>
      <c r="U7" s="1231" t="e">
        <f>[1]!Tabel6689[[#This Row],[Total. ch. DW 2015]]</f>
        <v>#REF!</v>
      </c>
      <c r="V7" s="1232">
        <v>0</v>
      </c>
      <c r="W7" s="1233">
        <v>0</v>
      </c>
      <c r="X7" s="1234">
        <v>0</v>
      </c>
      <c r="Y7" s="1235" t="e">
        <f>[1]!Tabel6689[[#This Row],[VAT 2015]]</f>
        <v>#REF!</v>
      </c>
      <c r="Z7" s="1236" t="e">
        <f>[1]!Tabel6689[[#This Row],[total charge 2015]]</f>
        <v>#REF!</v>
      </c>
    </row>
    <row r="8" spans="1:26" ht="15.75" hidden="1" x14ac:dyDescent="0.25">
      <c r="A8" s="2004" t="s">
        <v>524</v>
      </c>
      <c r="B8" s="1617"/>
      <c r="C8" s="1492" t="s">
        <v>526</v>
      </c>
      <c r="D8" s="2372">
        <v>5400</v>
      </c>
      <c r="E8" s="305">
        <v>385.82</v>
      </c>
      <c r="F8" s="1493">
        <f>0</f>
        <v>0</v>
      </c>
      <c r="G8" s="311">
        <f>12873/E8</f>
        <v>33.365299880773421</v>
      </c>
      <c r="H8" s="312">
        <v>0</v>
      </c>
      <c r="I8" s="313">
        <f>Tabel668910192832[[#This Row],[Fix.ch. 2015]]+Tabel668910192832[[#This Row],[Var. ch. 2015]]+Tabel668910192832[[#This Row],[Oth. ch. DW 2015]]</f>
        <v>33.365299880773421</v>
      </c>
      <c r="J8" s="314">
        <f>1750/E8</f>
        <v>4.5357938935254785</v>
      </c>
      <c r="K8" s="315">
        <f>970/E8</f>
        <v>2.5141257581255507</v>
      </c>
      <c r="L8" s="315"/>
      <c r="M8" s="315"/>
      <c r="N8" s="316">
        <v>0</v>
      </c>
      <c r="O8" s="317">
        <f>3119/E8</f>
        <v>8.0840806593748376</v>
      </c>
      <c r="P8" s="1491">
        <f>Tabel668910192832[[#This Row],[Total. ch. DW 2015]]+Tabel668910192832[[#This Row],[Sew. 2015]]+Tabel668910192832[[#This Row],[WW 2015]]+Tabel668910192832[[#This Row],[Other ch. 2015]]+Tabel668910192832[[#This Row],[VAT 2015]]</f>
        <v>48.499300191799293</v>
      </c>
      <c r="Q8" s="397"/>
      <c r="R8" s="2362">
        <f t="shared" ref="R8:W8" si="0">SUM(F8:F11)/4</f>
        <v>0</v>
      </c>
      <c r="S8" s="2363">
        <f t="shared" si="0"/>
        <v>28.473122181328083</v>
      </c>
      <c r="T8" s="2364">
        <f t="shared" si="0"/>
        <v>0</v>
      </c>
      <c r="U8" s="2365">
        <f t="shared" si="0"/>
        <v>28.473122181328083</v>
      </c>
      <c r="V8" s="2354">
        <f t="shared" si="0"/>
        <v>4.9848374889845006</v>
      </c>
      <c r="W8" s="2355">
        <f t="shared" si="0"/>
        <v>0.62853143953138768</v>
      </c>
      <c r="X8" s="2356">
        <f t="shared" ref="X8:Z8" si="1">SUM(N8:N11)/4</f>
        <v>0</v>
      </c>
      <c r="Y8" s="2357">
        <f t="shared" si="1"/>
        <v>6.8179461925250111</v>
      </c>
      <c r="Z8" s="2358">
        <f t="shared" si="1"/>
        <v>40.904437302368983</v>
      </c>
    </row>
    <row r="9" spans="1:26" ht="15.75" hidden="1" x14ac:dyDescent="0.25">
      <c r="A9" s="2005"/>
      <c r="B9" s="1617"/>
      <c r="C9" s="764" t="s">
        <v>1342</v>
      </c>
      <c r="D9" s="1837"/>
      <c r="E9" s="305">
        <v>385.82</v>
      </c>
      <c r="F9" s="1493">
        <f>0</f>
        <v>0</v>
      </c>
      <c r="G9" s="311">
        <f>10160/E9</f>
        <v>26.333523404696493</v>
      </c>
      <c r="H9" s="312">
        <v>0</v>
      </c>
      <c r="I9" s="313">
        <f>Tabel668910192832[[#This Row],[Fix.ch. 2015]]+Tabel668910192832[[#This Row],[Var. ch. 2015]]+Tabel668910192832[[#This Row],[Oth. ch. DW 2015]]</f>
        <v>26.333523404696493</v>
      </c>
      <c r="J9" s="314">
        <f>1799/E9</f>
        <v>4.6627961225441918</v>
      </c>
      <c r="K9" s="315">
        <v>0</v>
      </c>
      <c r="L9" s="315"/>
      <c r="M9" s="315"/>
      <c r="N9" s="316">
        <v>0</v>
      </c>
      <c r="O9" s="317">
        <f>2392/E9</f>
        <v>6.1997822818931105</v>
      </c>
      <c r="P9" s="1491">
        <f>Tabel668910192832[[#This Row],[Total. ch. DW 2015]]+Tabel668910192832[[#This Row],[Sew. 2015]]+Tabel668910192832[[#This Row],[WW 2015]]+Tabel668910192832[[#This Row],[Other ch. 2015]]+Tabel668910192832[[#This Row],[VAT 2015]]</f>
        <v>37.196101809133793</v>
      </c>
      <c r="Q9" s="397"/>
      <c r="R9" s="1840"/>
      <c r="S9" s="1843"/>
      <c r="T9" s="1846"/>
      <c r="U9" s="1849"/>
      <c r="V9" s="1852"/>
      <c r="W9" s="1855"/>
      <c r="X9" s="1858"/>
      <c r="Y9" s="1873"/>
      <c r="Z9" s="1876"/>
    </row>
    <row r="10" spans="1:26" ht="15.75" hidden="1" x14ac:dyDescent="0.25">
      <c r="A10" s="2005"/>
      <c r="B10" s="1617"/>
      <c r="C10" s="764" t="s">
        <v>1343</v>
      </c>
      <c r="D10" s="1837"/>
      <c r="E10" s="305">
        <v>385.82</v>
      </c>
      <c r="F10" s="1493">
        <f>0</f>
        <v>0</v>
      </c>
      <c r="G10" s="311">
        <f>10182/E10</f>
        <v>26.390544813643668</v>
      </c>
      <c r="H10" s="312">
        <v>0</v>
      </c>
      <c r="I10" s="313">
        <f>Tabel668910192832[[#This Row],[Fix.ch. 2015]]+Tabel668910192832[[#This Row],[Var. ch. 2015]]+Tabel668910192832[[#This Row],[Oth. ch. DW 2015]]</f>
        <v>26.390544813643668</v>
      </c>
      <c r="J10" s="314">
        <f>2386/E10</f>
        <v>6.1842309885438809</v>
      </c>
      <c r="K10" s="315">
        <v>0</v>
      </c>
      <c r="L10" s="315"/>
      <c r="M10" s="315"/>
      <c r="N10" s="316">
        <v>0</v>
      </c>
      <c r="O10" s="317">
        <f>2514/E10</f>
        <v>6.5159919133274586</v>
      </c>
      <c r="P10" s="1491">
        <f>Tabel668910192832[[#This Row],[Total. ch. DW 2015]]+Tabel668910192832[[#This Row],[Sew. 2015]]+Tabel668910192832[[#This Row],[WW 2015]]+Tabel668910192832[[#This Row],[Other ch. 2015]]+Tabel668910192832[[#This Row],[VAT 2015]]</f>
        <v>39.090767715515007</v>
      </c>
      <c r="Q10" s="397"/>
      <c r="R10" s="1840"/>
      <c r="S10" s="1843"/>
      <c r="T10" s="1846"/>
      <c r="U10" s="1849"/>
      <c r="V10" s="1852"/>
      <c r="W10" s="1855"/>
      <c r="X10" s="1858"/>
      <c r="Y10" s="1873"/>
      <c r="Z10" s="1876"/>
    </row>
    <row r="11" spans="1:26" ht="16.5" hidden="1" thickBot="1" x14ac:dyDescent="0.3">
      <c r="A11" s="2006"/>
      <c r="B11" s="1617"/>
      <c r="C11" s="1052" t="s">
        <v>1344</v>
      </c>
      <c r="D11" s="2221"/>
      <c r="E11" s="305">
        <v>385.82</v>
      </c>
      <c r="F11" s="1493">
        <f>0</f>
        <v>0</v>
      </c>
      <c r="G11" s="311">
        <f>10727/E11</f>
        <v>27.803120626198744</v>
      </c>
      <c r="H11" s="312">
        <v>0</v>
      </c>
      <c r="I11" s="313">
        <f>Tabel668910192832[[#This Row],[Fix.ch. 2015]]+Tabel668910192832[[#This Row],[Var. ch. 2015]]+Tabel668910192832[[#This Row],[Oth. ch. DW 2015]]</f>
        <v>27.803120626198744</v>
      </c>
      <c r="J11" s="314">
        <f>1758/E11</f>
        <v>4.5565289513244522</v>
      </c>
      <c r="K11" s="315">
        <v>0</v>
      </c>
      <c r="L11" s="315"/>
      <c r="M11" s="315"/>
      <c r="N11" s="316">
        <v>0</v>
      </c>
      <c r="O11" s="317">
        <f>2497/E11</f>
        <v>6.4719299155046395</v>
      </c>
      <c r="P11" s="1491">
        <f>Tabel668910192832[[#This Row],[Total. ch. DW 2015]]+Tabel668910192832[[#This Row],[Sew. 2015]]+Tabel668910192832[[#This Row],[WW 2015]]+Tabel668910192832[[#This Row],[Other ch. 2015]]+Tabel668910192832[[#This Row],[VAT 2015]]</f>
        <v>38.831579493027839</v>
      </c>
      <c r="Q11" s="397"/>
      <c r="R11" s="2223"/>
      <c r="S11" s="2225"/>
      <c r="T11" s="2227"/>
      <c r="U11" s="2234"/>
      <c r="V11" s="2236"/>
      <c r="W11" s="2238"/>
      <c r="X11" s="2240"/>
      <c r="Y11" s="2242"/>
      <c r="Z11" s="2244"/>
    </row>
    <row r="12" spans="1:26" ht="15.75" hidden="1" customHeight="1" x14ac:dyDescent="0.25">
      <c r="A12" s="1795" t="s">
        <v>34</v>
      </c>
      <c r="B12" s="1618"/>
      <c r="C12" s="1494" t="s">
        <v>176</v>
      </c>
      <c r="D12" s="2343">
        <v>65400</v>
      </c>
      <c r="E12" s="616">
        <f>'[1]exchange rates'!$M$5</f>
        <v>1.36829</v>
      </c>
      <c r="F12" s="1493"/>
      <c r="G12" s="311"/>
      <c r="H12" s="312"/>
      <c r="I12" s="313"/>
      <c r="J12" s="314"/>
      <c r="K12" s="315"/>
      <c r="L12" s="315"/>
      <c r="M12" s="315"/>
      <c r="N12" s="316"/>
      <c r="O12" s="317"/>
      <c r="P12" s="1491"/>
      <c r="Q12" s="397"/>
      <c r="R12" s="2362"/>
      <c r="S12" s="2363"/>
      <c r="T12" s="2364"/>
      <c r="U12" s="2365"/>
      <c r="V12" s="2354"/>
      <c r="W12" s="2355"/>
      <c r="X12" s="2356"/>
      <c r="Y12" s="2357"/>
      <c r="Z12" s="2358"/>
    </row>
    <row r="13" spans="1:26" ht="15.75" hidden="1" customHeight="1" x14ac:dyDescent="0.25">
      <c r="A13" s="2301"/>
      <c r="B13" s="1618"/>
      <c r="C13" s="261" t="s">
        <v>177</v>
      </c>
      <c r="D13" s="1760"/>
      <c r="E13" s="616">
        <f>'[1]exchange rates'!$M$5</f>
        <v>1.36829</v>
      </c>
      <c r="F13" s="1493"/>
      <c r="G13" s="311"/>
      <c r="H13" s="312"/>
      <c r="I13" s="313"/>
      <c r="J13" s="314"/>
      <c r="K13" s="315"/>
      <c r="L13" s="315"/>
      <c r="M13" s="315"/>
      <c r="N13" s="316"/>
      <c r="O13" s="317"/>
      <c r="P13" s="1491"/>
      <c r="Q13" s="397"/>
      <c r="R13" s="1840"/>
      <c r="S13" s="1843"/>
      <c r="T13" s="1846"/>
      <c r="U13" s="1849"/>
      <c r="V13" s="1852"/>
      <c r="W13" s="1855"/>
      <c r="X13" s="1858"/>
      <c r="Y13" s="1873"/>
      <c r="Z13" s="1876"/>
    </row>
    <row r="14" spans="1:26" ht="15.75" hidden="1" customHeight="1" x14ac:dyDescent="0.25">
      <c r="A14" s="2301"/>
      <c r="B14" s="1618"/>
      <c r="C14" s="261" t="s">
        <v>178</v>
      </c>
      <c r="D14" s="1760"/>
      <c r="E14" s="616">
        <f>'[1]exchange rates'!$M$5</f>
        <v>1.36829</v>
      </c>
      <c r="F14" s="1493"/>
      <c r="G14" s="311"/>
      <c r="H14" s="312"/>
      <c r="I14" s="313"/>
      <c r="J14" s="314"/>
      <c r="K14" s="315"/>
      <c r="L14" s="315"/>
      <c r="M14" s="315"/>
      <c r="N14" s="316"/>
      <c r="O14" s="317"/>
      <c r="P14" s="1491"/>
      <c r="Q14" s="397"/>
      <c r="R14" s="1840"/>
      <c r="S14" s="1843"/>
      <c r="T14" s="1846"/>
      <c r="U14" s="1849"/>
      <c r="V14" s="1852"/>
      <c r="W14" s="1855"/>
      <c r="X14" s="1858"/>
      <c r="Y14" s="1873"/>
      <c r="Z14" s="1876"/>
    </row>
    <row r="15" spans="1:26" ht="15.75" hidden="1" customHeight="1" x14ac:dyDescent="0.25">
      <c r="A15" s="2301"/>
      <c r="B15" s="1618"/>
      <c r="C15" s="261" t="s">
        <v>179</v>
      </c>
      <c r="D15" s="1760"/>
      <c r="E15" s="616">
        <f>'[1]exchange rates'!$M$5</f>
        <v>1.36829</v>
      </c>
      <c r="F15" s="1493"/>
      <c r="G15" s="311"/>
      <c r="H15" s="312"/>
      <c r="I15" s="313"/>
      <c r="J15" s="314"/>
      <c r="K15" s="315"/>
      <c r="L15" s="315"/>
      <c r="M15" s="315"/>
      <c r="N15" s="316"/>
      <c r="O15" s="317"/>
      <c r="P15" s="1491"/>
      <c r="Q15" s="397"/>
      <c r="R15" s="1840"/>
      <c r="S15" s="1843"/>
      <c r="T15" s="1846"/>
      <c r="U15" s="1849"/>
      <c r="V15" s="1852"/>
      <c r="W15" s="1855"/>
      <c r="X15" s="1858"/>
      <c r="Y15" s="1873"/>
      <c r="Z15" s="1876"/>
    </row>
    <row r="16" spans="1:26" ht="15.75" hidden="1" customHeight="1" x14ac:dyDescent="0.25">
      <c r="A16" s="2301"/>
      <c r="B16" s="1618"/>
      <c r="C16" s="261" t="s">
        <v>180</v>
      </c>
      <c r="D16" s="1760"/>
      <c r="E16" s="616">
        <f>'[1]exchange rates'!$M$5</f>
        <v>1.36829</v>
      </c>
      <c r="F16" s="1493"/>
      <c r="G16" s="311"/>
      <c r="H16" s="312"/>
      <c r="I16" s="313"/>
      <c r="J16" s="314"/>
      <c r="K16" s="315"/>
      <c r="L16" s="315"/>
      <c r="M16" s="315"/>
      <c r="N16" s="316"/>
      <c r="O16" s="317"/>
      <c r="P16" s="1491"/>
      <c r="Q16" s="397"/>
      <c r="R16" s="1840"/>
      <c r="S16" s="1843"/>
      <c r="T16" s="1846"/>
      <c r="U16" s="1849"/>
      <c r="V16" s="1852"/>
      <c r="W16" s="1855"/>
      <c r="X16" s="1858"/>
      <c r="Y16" s="1873"/>
      <c r="Z16" s="1876"/>
    </row>
    <row r="17" spans="1:26" ht="15.75" hidden="1" customHeight="1" x14ac:dyDescent="0.25">
      <c r="A17" s="2301"/>
      <c r="B17" s="1618"/>
      <c r="C17" s="261" t="s">
        <v>544</v>
      </c>
      <c r="D17" s="1760"/>
      <c r="E17" s="616">
        <f>'[1]exchange rates'!$M$5</f>
        <v>1.36829</v>
      </c>
      <c r="F17" s="1493"/>
      <c r="G17" s="311"/>
      <c r="H17" s="312"/>
      <c r="I17" s="313"/>
      <c r="J17" s="314"/>
      <c r="K17" s="315"/>
      <c r="L17" s="315"/>
      <c r="M17" s="315"/>
      <c r="N17" s="316"/>
      <c r="O17" s="317"/>
      <c r="P17" s="1491"/>
      <c r="Q17" s="397"/>
      <c r="R17" s="1840"/>
      <c r="S17" s="1843"/>
      <c r="T17" s="1846"/>
      <c r="U17" s="1849"/>
      <c r="V17" s="1852"/>
      <c r="W17" s="1855"/>
      <c r="X17" s="1858"/>
      <c r="Y17" s="1873"/>
      <c r="Z17" s="1876"/>
    </row>
    <row r="18" spans="1:26" ht="15.75" hidden="1" customHeight="1" x14ac:dyDescent="0.25">
      <c r="A18" s="2301"/>
      <c r="B18" s="1618"/>
      <c r="C18" s="261" t="s">
        <v>545</v>
      </c>
      <c r="D18" s="1760"/>
      <c r="E18" s="616">
        <f>'[1]exchange rates'!$M$5</f>
        <v>1.36829</v>
      </c>
      <c r="F18" s="1493"/>
      <c r="G18" s="311"/>
      <c r="H18" s="312"/>
      <c r="I18" s="313"/>
      <c r="J18" s="314"/>
      <c r="K18" s="315"/>
      <c r="L18" s="315"/>
      <c r="M18" s="315"/>
      <c r="N18" s="316"/>
      <c r="O18" s="317"/>
      <c r="P18" s="1491"/>
      <c r="Q18" s="397"/>
      <c r="R18" s="1840"/>
      <c r="S18" s="1843"/>
      <c r="T18" s="1846"/>
      <c r="U18" s="1849"/>
      <c r="V18" s="1852"/>
      <c r="W18" s="1855"/>
      <c r="X18" s="1858"/>
      <c r="Y18" s="1873"/>
      <c r="Z18" s="1876"/>
    </row>
    <row r="19" spans="1:26" ht="15.75" hidden="1" customHeight="1" x14ac:dyDescent="0.25">
      <c r="A19" s="2301"/>
      <c r="B19" s="1618"/>
      <c r="C19" s="261" t="s">
        <v>779</v>
      </c>
      <c r="D19" s="1760"/>
      <c r="E19" s="616">
        <f>'[1]exchange rates'!$M$5</f>
        <v>1.36829</v>
      </c>
      <c r="F19" s="1493"/>
      <c r="G19" s="311"/>
      <c r="H19" s="312"/>
      <c r="I19" s="313"/>
      <c r="J19" s="314"/>
      <c r="K19" s="315"/>
      <c r="L19" s="315"/>
      <c r="M19" s="315"/>
      <c r="N19" s="316"/>
      <c r="O19" s="317"/>
      <c r="P19" s="1495"/>
      <c r="Q19" s="397"/>
      <c r="R19" s="1840"/>
      <c r="S19" s="1843"/>
      <c r="T19" s="1846"/>
      <c r="U19" s="1849"/>
      <c r="V19" s="1852"/>
      <c r="W19" s="1855"/>
      <c r="X19" s="1858"/>
      <c r="Y19" s="1873"/>
      <c r="Z19" s="1876"/>
    </row>
    <row r="20" spans="1:26" ht="16.5" hidden="1" customHeight="1" x14ac:dyDescent="0.25">
      <c r="A20" s="2302"/>
      <c r="B20" s="1618"/>
      <c r="C20" s="800" t="s">
        <v>546</v>
      </c>
      <c r="D20" s="1761"/>
      <c r="E20" s="616">
        <f>'[1]exchange rates'!$M$5</f>
        <v>1.36829</v>
      </c>
      <c r="F20" s="1493"/>
      <c r="G20" s="311"/>
      <c r="H20" s="312"/>
      <c r="I20" s="313"/>
      <c r="J20" s="314"/>
      <c r="K20" s="315"/>
      <c r="L20" s="315"/>
      <c r="M20" s="315"/>
      <c r="N20" s="316"/>
      <c r="O20" s="317"/>
      <c r="P20" s="1491"/>
      <c r="Q20" s="397"/>
      <c r="R20" s="2223"/>
      <c r="S20" s="2225"/>
      <c r="T20" s="2227"/>
      <c r="U20" s="2234"/>
      <c r="V20" s="2236"/>
      <c r="W20" s="2238"/>
      <c r="X20" s="2240"/>
      <c r="Y20" s="2242"/>
      <c r="Z20" s="2244"/>
    </row>
    <row r="21" spans="1:26" ht="15.75" hidden="1" x14ac:dyDescent="0.25">
      <c r="A21" s="2004" t="s">
        <v>4</v>
      </c>
      <c r="B21" s="1617"/>
      <c r="C21" s="452" t="s">
        <v>59</v>
      </c>
      <c r="D21" s="1837">
        <v>42600</v>
      </c>
      <c r="E21" s="306">
        <f>'[1]exchange rates'!K6</f>
        <v>0.72762000000000004</v>
      </c>
      <c r="F21" s="1493">
        <f>61.2/E21</f>
        <v>84.109837552568649</v>
      </c>
      <c r="G21" s="311">
        <f>162.8/E21</f>
        <v>223.74316263983948</v>
      </c>
      <c r="H21" s="312">
        <f>0</f>
        <v>0</v>
      </c>
      <c r="I21" s="313">
        <f>Tabel668910192832[[#This Row],[Fix.ch. 2015]]+Tabel668910192832[[#This Row],[Var. ch. 2015]]+Tabel668910192832[[#This Row],[Oth. ch. DW 2015]]</f>
        <v>307.8530001924081</v>
      </c>
      <c r="J21" s="314">
        <v>0</v>
      </c>
      <c r="K21" s="315">
        <f>178/E21</f>
        <v>244.63318765289571</v>
      </c>
      <c r="L21" s="315"/>
      <c r="M21" s="315"/>
      <c r="N21" s="316">
        <v>0</v>
      </c>
      <c r="O21" s="317">
        <f>40.2/E21</f>
        <v>55.248618784530386</v>
      </c>
      <c r="P21" s="1491">
        <f>Tabel668910192832[[#This Row],[Total. ch. DW 2015]]+Tabel668910192832[[#This Row],[Sew. 2015]]+Tabel668910192832[[#This Row],[WW 2015]]+Tabel668910192832[[#This Row],[Other ch. 2015]]+Tabel668910192832[[#This Row],[VAT 2015]]</f>
        <v>607.73480662983422</v>
      </c>
      <c r="Q21" s="397"/>
      <c r="R21" s="2362">
        <f t="shared" ref="R21:W21" si="2">SUM(F21:F25)/5</f>
        <v>51.243781094527364</v>
      </c>
      <c r="S21" s="2363">
        <f t="shared" si="2"/>
        <v>186.66336824166461</v>
      </c>
      <c r="T21" s="2364">
        <f t="shared" si="2"/>
        <v>0</v>
      </c>
      <c r="U21" s="2365">
        <f t="shared" si="2"/>
        <v>237.90714933619196</v>
      </c>
      <c r="V21" s="2354">
        <f t="shared" si="2"/>
        <v>0</v>
      </c>
      <c r="W21" s="2355">
        <f t="shared" si="2"/>
        <v>261.68604491355376</v>
      </c>
      <c r="X21" s="2356">
        <f t="shared" ref="X21:Z21" si="3">SUM(N21:N25)/5</f>
        <v>0</v>
      </c>
      <c r="Y21" s="2357">
        <f t="shared" si="3"/>
        <v>49.95739534372337</v>
      </c>
      <c r="Z21" s="2358">
        <f t="shared" si="3"/>
        <v>549.55058959346911</v>
      </c>
    </row>
    <row r="22" spans="1:26" ht="15.75" hidden="1" x14ac:dyDescent="0.25">
      <c r="A22" s="2005"/>
      <c r="B22" s="1617"/>
      <c r="C22" s="452" t="s">
        <v>60</v>
      </c>
      <c r="D22" s="1837"/>
      <c r="E22" s="306">
        <f>'[1]exchange rates'!K6</f>
        <v>0.72762000000000004</v>
      </c>
      <c r="F22" s="1493">
        <f>17.52/E22</f>
        <v>24.078502515049063</v>
      </c>
      <c r="G22" s="311">
        <f>131/E22</f>
        <v>180.03903136252438</v>
      </c>
      <c r="H22" s="312">
        <v>0</v>
      </c>
      <c r="I22" s="313">
        <f>Tabel668910192832[[#This Row],[Fix.ch. 2015]]+Tabel668910192832[[#This Row],[Var. ch. 2015]]+Tabel668910192832[[#This Row],[Oth. ch. DW 2015]]</f>
        <v>204.11753387757344</v>
      </c>
      <c r="J22" s="314">
        <v>0</v>
      </c>
      <c r="K22" s="315">
        <f>191.3/E22</f>
        <v>262.91195953931998</v>
      </c>
      <c r="L22" s="315"/>
      <c r="M22" s="315"/>
      <c r="N22" s="316">
        <v>0</v>
      </c>
      <c r="O22" s="317">
        <f>33.98/E22</f>
        <v>46.700200654187618</v>
      </c>
      <c r="P22" s="1491">
        <f>Tabel668910192832[[#This Row],[Total. ch. DW 2015]]+Tabel668910192832[[#This Row],[Sew. 2015]]+Tabel668910192832[[#This Row],[WW 2015]]+Tabel668910192832[[#This Row],[Other ch. 2015]]+Tabel668910192832[[#This Row],[VAT 2015]]</f>
        <v>513.72969407108098</v>
      </c>
      <c r="Q22" s="397"/>
      <c r="R22" s="1840"/>
      <c r="S22" s="1843"/>
      <c r="T22" s="1846"/>
      <c r="U22" s="1849"/>
      <c r="V22" s="1852"/>
      <c r="W22" s="1855"/>
      <c r="X22" s="1858"/>
      <c r="Y22" s="1873"/>
      <c r="Z22" s="1876"/>
    </row>
    <row r="23" spans="1:26" ht="15.75" hidden="1" x14ac:dyDescent="0.25">
      <c r="A23" s="2005"/>
      <c r="B23" s="1617"/>
      <c r="C23" s="452" t="s">
        <v>61</v>
      </c>
      <c r="D23" s="1837"/>
      <c r="E23" s="306">
        <f>'[1]exchange rates'!K6</f>
        <v>0.72762000000000004</v>
      </c>
      <c r="F23" s="1493">
        <f>62.59/E23</f>
        <v>86.020175366262606</v>
      </c>
      <c r="G23" s="311">
        <f>82.79/E23</f>
        <v>113.7819191336137</v>
      </c>
      <c r="H23" s="312">
        <v>0</v>
      </c>
      <c r="I23" s="313">
        <f>Tabel668910192832[[#This Row],[Fix.ch. 2015]]+Tabel668910192832[[#This Row],[Var. ch. 2015]]+Tabel668910192832[[#This Row],[Oth. ch. DW 2015]]</f>
        <v>199.80209449987632</v>
      </c>
      <c r="J23" s="314">
        <v>0</v>
      </c>
      <c r="K23" s="315">
        <f>157.44/E23</f>
        <v>216.3766801352354</v>
      </c>
      <c r="L23" s="315"/>
      <c r="M23" s="315"/>
      <c r="N23" s="316">
        <v>0</v>
      </c>
      <c r="O23" s="317">
        <f>30.28/E23</f>
        <v>41.615128776009456</v>
      </c>
      <c r="P23" s="1491">
        <f>Tabel668910192832[[#This Row],[Total. ch. DW 2015]]+Tabel668910192832[[#This Row],[Sew. 2015]]+Tabel668910192832[[#This Row],[WW 2015]]+Tabel668910192832[[#This Row],[Other ch. 2015]]+Tabel668910192832[[#This Row],[VAT 2015]]</f>
        <v>457.79390341112116</v>
      </c>
      <c r="Q23" s="397"/>
      <c r="R23" s="1840"/>
      <c r="S23" s="1843"/>
      <c r="T23" s="1846"/>
      <c r="U23" s="1849"/>
      <c r="V23" s="1852"/>
      <c r="W23" s="1855"/>
      <c r="X23" s="1858"/>
      <c r="Y23" s="1873"/>
      <c r="Z23" s="1876"/>
    </row>
    <row r="24" spans="1:26" ht="15.75" hidden="1" x14ac:dyDescent="0.25">
      <c r="A24" s="2005"/>
      <c r="B24" s="1617"/>
      <c r="C24" s="452" t="s">
        <v>62</v>
      </c>
      <c r="D24" s="1837"/>
      <c r="E24" s="306">
        <f>'[1]exchange rates'!K6</f>
        <v>0.72762000000000004</v>
      </c>
      <c r="F24" s="1493">
        <f>23.4/E24</f>
        <v>32.159643770099777</v>
      </c>
      <c r="G24" s="311">
        <f>146.81/E24</f>
        <v>201.76740606360462</v>
      </c>
      <c r="H24" s="312">
        <v>0</v>
      </c>
      <c r="I24" s="313">
        <f>Tabel668910192832[[#This Row],[Fix.ch. 2015]]+Tabel668910192832[[#This Row],[Var. ch. 2015]]+Tabel668910192832[[#This Row],[Oth. ch. DW 2015]]</f>
        <v>233.92704983370442</v>
      </c>
      <c r="J24" s="314">
        <v>0</v>
      </c>
      <c r="K24" s="315">
        <f>248/E24</f>
        <v>340.83725021302325</v>
      </c>
      <c r="L24" s="315"/>
      <c r="M24" s="315"/>
      <c r="N24" s="316">
        <v>0</v>
      </c>
      <c r="O24" s="317">
        <f>41.82/E24</f>
        <v>57.475055660921903</v>
      </c>
      <c r="P24" s="1491">
        <f>Tabel668910192832[[#This Row],[Total. ch. DW 2015]]+Tabel668910192832[[#This Row],[Sew. 2015]]+Tabel668910192832[[#This Row],[WW 2015]]+Tabel668910192832[[#This Row],[Other ch. 2015]]+Tabel668910192832[[#This Row],[VAT 2015]]</f>
        <v>632.23935570764957</v>
      </c>
      <c r="Q24" s="397"/>
      <c r="R24" s="1840"/>
      <c r="S24" s="1843"/>
      <c r="T24" s="1846"/>
      <c r="U24" s="1849"/>
      <c r="V24" s="1852"/>
      <c r="W24" s="1855"/>
      <c r="X24" s="1858"/>
      <c r="Y24" s="1873"/>
      <c r="Z24" s="1876"/>
    </row>
    <row r="25" spans="1:26" ht="16.5" hidden="1" thickBot="1" x14ac:dyDescent="0.3">
      <c r="A25" s="2005"/>
      <c r="B25" s="1617"/>
      <c r="C25" s="801" t="s">
        <v>63</v>
      </c>
      <c r="D25" s="2221"/>
      <c r="E25" s="306">
        <f>'[1]exchange rates'!K6</f>
        <v>0.72762000000000004</v>
      </c>
      <c r="F25" s="1493">
        <f>21.72/E25</f>
        <v>29.850746268656714</v>
      </c>
      <c r="G25" s="311">
        <f>155.7/E25</f>
        <v>213.98532200874081</v>
      </c>
      <c r="H25" s="312">
        <v>0</v>
      </c>
      <c r="I25" s="313">
        <f>Tabel668910192832[[#This Row],[Fix.ch. 2015]]+Tabel668910192832[[#This Row],[Var. ch. 2015]]+Tabel668910192832[[#This Row],[Oth. ch. DW 2015]]</f>
        <v>243.83606827739752</v>
      </c>
      <c r="J25" s="314">
        <v>0</v>
      </c>
      <c r="K25" s="315">
        <f>177.3/E25</f>
        <v>243.67114702729447</v>
      </c>
      <c r="L25" s="315"/>
      <c r="M25" s="315"/>
      <c r="N25" s="316">
        <v>0</v>
      </c>
      <c r="O25" s="317">
        <f>35.47/E25</f>
        <v>48.747972842967478</v>
      </c>
      <c r="P25" s="1491">
        <f>Tabel668910192832[[#This Row],[Total. ch. DW 2015]]+Tabel668910192832[[#This Row],[Sew. 2015]]+Tabel668910192832[[#This Row],[WW 2015]]+Tabel668910192832[[#This Row],[Other ch. 2015]]+Tabel668910192832[[#This Row],[VAT 2015]]</f>
        <v>536.2551881476594</v>
      </c>
      <c r="Q25" s="397"/>
      <c r="R25" s="2223"/>
      <c r="S25" s="2225"/>
      <c r="T25" s="2227"/>
      <c r="U25" s="2234"/>
      <c r="V25" s="2236"/>
      <c r="W25" s="2238"/>
      <c r="X25" s="2240"/>
      <c r="Y25" s="2242"/>
      <c r="Z25" s="2244"/>
    </row>
    <row r="26" spans="1:26" ht="15.75" hidden="1" customHeight="1" x14ac:dyDescent="0.25">
      <c r="A26" s="2294" t="s">
        <v>6</v>
      </c>
      <c r="B26" s="1213"/>
      <c r="C26" s="735" t="s">
        <v>67</v>
      </c>
      <c r="D26" s="2418">
        <v>44100</v>
      </c>
      <c r="E26" s="616">
        <f>'[1]exchange rates'!$M$7</f>
        <v>0.92093999999999998</v>
      </c>
      <c r="F26" s="686">
        <f>53.19/E26</f>
        <v>57.75620561600104</v>
      </c>
      <c r="G26" s="593">
        <f>127.5/E26</f>
        <v>138.4455013355919</v>
      </c>
      <c r="H26" s="594">
        <v>0</v>
      </c>
      <c r="I26" s="566">
        <f>Tabel668910192832[[#This Row],[Fix.ch. 2015]]+Tabel668910192832[[#This Row],[Var. ch. 2015]]+Tabel668910192832[[#This Row],[Oth. ch. DW 2015]]</f>
        <v>196.20170695159294</v>
      </c>
      <c r="J26" s="596">
        <f>169.23/E26</f>
        <v>183.75789953742915</v>
      </c>
      <c r="K26" s="626">
        <f>120.88/E26</f>
        <v>131.2571937368341</v>
      </c>
      <c r="L26" s="626"/>
      <c r="M26" s="626"/>
      <c r="N26" s="597">
        <v>0</v>
      </c>
      <c r="O26" s="570">
        <f>28.25/E26</f>
        <v>30.675179707689971</v>
      </c>
      <c r="P26" s="1496">
        <f>Tabel668910192832[[#This Row],[Total. ch. DW 2015]]+Tabel668910192832[[#This Row],[Sew. 2015]]+Tabel668910192832[[#This Row],[WW 2015]]+Tabel668910192832[[#This Row],[Other ch. 2015]]+Tabel668910192832[[#This Row],[VAT 2015]]</f>
        <v>541.89197993354617</v>
      </c>
      <c r="Q26" s="397"/>
      <c r="R26" s="2344">
        <f t="shared" ref="R26:W26" si="4">SUM(F26:F33)/7</f>
        <v>71.516990404214326</v>
      </c>
      <c r="S26" s="2345">
        <f t="shared" si="4"/>
        <v>168.25355459794187</v>
      </c>
      <c r="T26" s="2350">
        <f t="shared" si="4"/>
        <v>0</v>
      </c>
      <c r="U26" s="2361">
        <f t="shared" si="4"/>
        <v>239.77054500215618</v>
      </c>
      <c r="V26" s="2351">
        <f t="shared" si="4"/>
        <v>108.24654312829439</v>
      </c>
      <c r="W26" s="2352">
        <f t="shared" si="4"/>
        <v>138.98222002984528</v>
      </c>
      <c r="X26" s="2341">
        <f t="shared" ref="X26:Z26" si="5">SUM(N26:N33)/7</f>
        <v>0.38780252474955718</v>
      </c>
      <c r="Y26" s="2342">
        <f t="shared" si="5"/>
        <v>29.243412786314604</v>
      </c>
      <c r="Z26" s="2353">
        <f t="shared" si="5"/>
        <v>516.63052347136011</v>
      </c>
    </row>
    <row r="27" spans="1:26" ht="15.75" hidden="1" customHeight="1" x14ac:dyDescent="0.25">
      <c r="A27" s="2294"/>
      <c r="B27" s="1213"/>
      <c r="C27" s="735" t="s">
        <v>71</v>
      </c>
      <c r="D27" s="1822"/>
      <c r="E27" s="616">
        <f>'[1]exchange rates'!$M$7</f>
        <v>0.92093999999999998</v>
      </c>
      <c r="F27" s="686">
        <f>67.84/E27</f>
        <v>73.663865181227877</v>
      </c>
      <c r="G27" s="593">
        <f>89.93/E27</f>
        <v>97.650226942037492</v>
      </c>
      <c r="H27" s="594">
        <v>0</v>
      </c>
      <c r="I27" s="566">
        <f>Tabel668910192832[[#This Row],[Fix.ch. 2015]]+Tabel668910192832[[#This Row],[Var. ch. 2015]]+Tabel668910192832[[#This Row],[Oth. ch. DW 2015]]</f>
        <v>171.31409212326537</v>
      </c>
      <c r="J27" s="596">
        <f>96/E27</f>
        <v>104.24131865268096</v>
      </c>
      <c r="K27" s="626">
        <f>133.32/E27</f>
        <v>144.76513127891067</v>
      </c>
      <c r="L27" s="626"/>
      <c r="M27" s="626"/>
      <c r="N27" s="597">
        <v>0</v>
      </c>
      <c r="O27" s="570">
        <f>23.23/E27</f>
        <v>25.224227419810195</v>
      </c>
      <c r="P27" s="1496">
        <f>Tabel668910192832[[#This Row],[Total. ch. DW 2015]]+Tabel668910192832[[#This Row],[Sew. 2015]]+Tabel668910192832[[#This Row],[WW 2015]]+Tabel668910192832[[#This Row],[Other ch. 2015]]+Tabel668910192832[[#This Row],[VAT 2015]]</f>
        <v>445.54476947466719</v>
      </c>
      <c r="Q27" s="397"/>
      <c r="R27" s="1763"/>
      <c r="S27" s="1766"/>
      <c r="T27" s="1769"/>
      <c r="U27" s="2419"/>
      <c r="V27" s="1778"/>
      <c r="W27" s="1781"/>
      <c r="X27" s="1785"/>
      <c r="Y27" s="1788"/>
      <c r="Z27" s="1990"/>
    </row>
    <row r="28" spans="1:26" ht="15.75" hidden="1" customHeight="1" x14ac:dyDescent="0.25">
      <c r="A28" s="2294"/>
      <c r="B28" s="1213"/>
      <c r="C28" s="735" t="s">
        <v>68</v>
      </c>
      <c r="D28" s="1822"/>
      <c r="E28" s="616">
        <f>'[1]exchange rates'!$M$7</f>
        <v>0.92093999999999998</v>
      </c>
      <c r="F28" s="686">
        <f>23.8/E28</f>
        <v>25.84316024931049</v>
      </c>
      <c r="G28" s="593">
        <f>187.29/E28</f>
        <v>203.36829760896475</v>
      </c>
      <c r="H28" s="594">
        <v>0</v>
      </c>
      <c r="I28" s="566">
        <f>Tabel668910192832[[#This Row],[Fix.ch. 2015]]+Tabel668910192832[[#This Row],[Var. ch. 2015]]+Tabel668910192832[[#This Row],[Oth. ch. DW 2015]]</f>
        <v>229.21145785827525</v>
      </c>
      <c r="J28" s="596">
        <f>94.13/E28</f>
        <v>102.21078463309227</v>
      </c>
      <c r="K28" s="626">
        <f>51/E28</f>
        <v>55.378200534236761</v>
      </c>
      <c r="L28" s="626"/>
      <c r="M28" s="626"/>
      <c r="N28" s="597">
        <v>0</v>
      </c>
      <c r="O28" s="570">
        <f>21.37/E28</f>
        <v>23.204551870914504</v>
      </c>
      <c r="P28" s="1496">
        <f>Tabel668910192832[[#This Row],[Total. ch. DW 2015]]+Tabel668910192832[[#This Row],[Sew. 2015]]+Tabel668910192832[[#This Row],[WW 2015]]+Tabel668910192832[[#This Row],[Other ch. 2015]]+Tabel668910192832[[#This Row],[VAT 2015]]</f>
        <v>410.00499489651878</v>
      </c>
      <c r="Q28" s="397"/>
      <c r="R28" s="1763"/>
      <c r="S28" s="1766"/>
      <c r="T28" s="1769"/>
      <c r="U28" s="2419"/>
      <c r="V28" s="1778"/>
      <c r="W28" s="1781"/>
      <c r="X28" s="1785"/>
      <c r="Y28" s="1788"/>
      <c r="Z28" s="1990"/>
    </row>
    <row r="29" spans="1:26" ht="15.75" hidden="1" customHeight="1" x14ac:dyDescent="0.25">
      <c r="A29" s="2294"/>
      <c r="B29" s="1213"/>
      <c r="C29" s="735" t="s">
        <v>72</v>
      </c>
      <c r="D29" s="1822"/>
      <c r="E29" s="616">
        <f>'[1]exchange rates'!$M$7</f>
        <v>0.92093999999999998</v>
      </c>
      <c r="F29" s="686">
        <f>105.08/E29</f>
        <v>114.1008100419137</v>
      </c>
      <c r="G29" s="593">
        <f>224.11/E29</f>
        <v>243.34918670054512</v>
      </c>
      <c r="H29" s="594">
        <v>0</v>
      </c>
      <c r="I29" s="566">
        <f>Tabel668910192832[[#This Row],[Fix.ch. 2015]]+Tabel668910192832[[#This Row],[Var. ch. 2015]]+Tabel668910192832[[#This Row],[Oth. ch. DW 2015]]</f>
        <v>357.44999674245884</v>
      </c>
      <c r="J29" s="596">
        <v>0</v>
      </c>
      <c r="K29" s="626">
        <f>174.5/E29</f>
        <v>189.48031359263362</v>
      </c>
      <c r="L29" s="626"/>
      <c r="M29" s="626"/>
      <c r="N29" s="597">
        <f>1.25/E29</f>
        <v>1.35730883662345</v>
      </c>
      <c r="O29" s="570">
        <f>30.3/E29</f>
        <v>32.901166199752431</v>
      </c>
      <c r="P29" s="1496">
        <f>Tabel668910192832[[#This Row],[Total. ch. DW 2015]]+Tabel668910192832[[#This Row],[Sew. 2015]]+Tabel668910192832[[#This Row],[WW 2015]]+Tabel668910192832[[#This Row],[Other ch. 2015]]+Tabel668910192832[[#This Row],[VAT 2015]]</f>
        <v>581.18878537146838</v>
      </c>
      <c r="Q29" s="397"/>
      <c r="R29" s="1763"/>
      <c r="S29" s="1766"/>
      <c r="T29" s="1769"/>
      <c r="U29" s="2419"/>
      <c r="V29" s="1778"/>
      <c r="W29" s="1781"/>
      <c r="X29" s="1785"/>
      <c r="Y29" s="1788"/>
      <c r="Z29" s="1990"/>
    </row>
    <row r="30" spans="1:26" ht="15.75" hidden="1" customHeight="1" x14ac:dyDescent="0.25">
      <c r="A30" s="2294"/>
      <c r="B30" s="1213"/>
      <c r="C30" s="735" t="s">
        <v>69</v>
      </c>
      <c r="D30" s="1822"/>
      <c r="E30" s="616">
        <f>'[1]exchange rates'!$M$7</f>
        <v>0.92093999999999998</v>
      </c>
      <c r="F30" s="686">
        <f>53.19/E30</f>
        <v>57.75620561600104</v>
      </c>
      <c r="G30" s="593">
        <f>134.38/E30</f>
        <v>145.91612917236736</v>
      </c>
      <c r="H30" s="594">
        <v>0</v>
      </c>
      <c r="I30" s="566">
        <f>Tabel668910192832[[#This Row],[Fix.ch. 2015]]+Tabel668910192832[[#This Row],[Var. ch. 2015]]+Tabel668910192832[[#This Row],[Oth. ch. DW 2015]]</f>
        <v>203.6723347883684</v>
      </c>
      <c r="J30" s="596">
        <f>169.23/E30</f>
        <v>183.75789953742915</v>
      </c>
      <c r="K30" s="626">
        <f>120.88/E30</f>
        <v>131.2571937368341</v>
      </c>
      <c r="L30" s="626"/>
      <c r="M30" s="626"/>
      <c r="N30" s="597">
        <v>0</v>
      </c>
      <c r="O30" s="570">
        <f>28.66/E30</f>
        <v>31.120377006102462</v>
      </c>
      <c r="P30" s="1496">
        <f>Tabel668910192832[[#This Row],[Total. ch. DW 2015]]+Tabel668910192832[[#This Row],[Sew. 2015]]+Tabel668910192832[[#This Row],[WW 2015]]+Tabel668910192832[[#This Row],[Other ch. 2015]]+Tabel668910192832[[#This Row],[VAT 2015]]</f>
        <v>549.80780506873407</v>
      </c>
      <c r="Q30" s="397"/>
      <c r="R30" s="1763"/>
      <c r="S30" s="1766"/>
      <c r="T30" s="1769"/>
      <c r="U30" s="2419"/>
      <c r="V30" s="1778"/>
      <c r="W30" s="1781"/>
      <c r="X30" s="1785"/>
      <c r="Y30" s="1788"/>
      <c r="Z30" s="1990"/>
    </row>
    <row r="31" spans="1:26" ht="15.75" hidden="1" customHeight="1" x14ac:dyDescent="0.25">
      <c r="A31" s="2294"/>
      <c r="B31" s="1213"/>
      <c r="C31" s="735" t="s">
        <v>70</v>
      </c>
      <c r="D31" s="1822"/>
      <c r="E31" s="616">
        <f>'[1]exchange rates'!$M$7</f>
        <v>0.92093999999999998</v>
      </c>
      <c r="F31" s="686">
        <f>53.19/E31</f>
        <v>57.75620561600104</v>
      </c>
      <c r="G31" s="593">
        <f>98.75/E31</f>
        <v>107.22739809325255</v>
      </c>
      <c r="H31" s="594">
        <v>0</v>
      </c>
      <c r="I31" s="566">
        <f>Tabel668910192832[[#This Row],[Fix.ch. 2015]]+Tabel668910192832[[#This Row],[Var. ch. 2015]]+Tabel668910192832[[#This Row],[Oth. ch. DW 2015]]</f>
        <v>164.9836037092536</v>
      </c>
      <c r="J31" s="596">
        <f>169.23/E31</f>
        <v>183.75789953742915</v>
      </c>
      <c r="K31" s="626">
        <f>120.88/E31</f>
        <v>131.2571937368341</v>
      </c>
      <c r="L31" s="626"/>
      <c r="M31" s="626"/>
      <c r="N31" s="597">
        <v>0</v>
      </c>
      <c r="O31" s="570">
        <f>26.52/E31</f>
        <v>28.796664277803114</v>
      </c>
      <c r="P31" s="1496">
        <f>Tabel668910192832[[#This Row],[Total. ch. DW 2015]]+Tabel668910192832[[#This Row],[Sew. 2015]]+Tabel668910192832[[#This Row],[WW 2015]]+Tabel668910192832[[#This Row],[Other ch. 2015]]+Tabel668910192832[[#This Row],[VAT 2015]]</f>
        <v>508.79536126132001</v>
      </c>
      <c r="Q31" s="397"/>
      <c r="R31" s="1763"/>
      <c r="S31" s="1766"/>
      <c r="T31" s="1769"/>
      <c r="U31" s="2419"/>
      <c r="V31" s="1778"/>
      <c r="W31" s="1781"/>
      <c r="X31" s="1785"/>
      <c r="Y31" s="1788"/>
      <c r="Z31" s="1990"/>
    </row>
    <row r="32" spans="1:26" ht="16.5" hidden="1" customHeight="1" x14ac:dyDescent="0.25">
      <c r="A32" s="2294"/>
      <c r="B32" s="1213"/>
      <c r="C32" s="735" t="s">
        <v>216</v>
      </c>
      <c r="D32" s="1822"/>
      <c r="E32" s="616">
        <f>'[1]exchange rates'!$M$7</f>
        <v>0.92093999999999998</v>
      </c>
      <c r="F32" s="686"/>
      <c r="G32" s="593"/>
      <c r="H32" s="594"/>
      <c r="I32" s="566"/>
      <c r="J32" s="596"/>
      <c r="K32" s="626"/>
      <c r="L32" s="626"/>
      <c r="M32" s="626"/>
      <c r="N32" s="597"/>
      <c r="O32" s="570"/>
      <c r="P32" s="1496"/>
      <c r="Q32" s="397"/>
      <c r="R32" s="1763"/>
      <c r="S32" s="1766"/>
      <c r="T32" s="1769"/>
      <c r="U32" s="2419"/>
      <c r="V32" s="1778"/>
      <c r="W32" s="1781"/>
      <c r="X32" s="1785"/>
      <c r="Y32" s="1788"/>
      <c r="Z32" s="1990"/>
    </row>
    <row r="33" spans="1:26" ht="17.25" hidden="1" customHeight="1" x14ac:dyDescent="0.25">
      <c r="A33" s="2295"/>
      <c r="B33" s="1213"/>
      <c r="C33" s="736" t="s">
        <v>629</v>
      </c>
      <c r="D33" s="1823"/>
      <c r="E33" s="616">
        <f>'[1]exchange rates'!$M$7</f>
        <v>0.92093999999999998</v>
      </c>
      <c r="F33" s="686">
        <f>104.75/E33</f>
        <v>113.74248050904511</v>
      </c>
      <c r="G33" s="593">
        <f>222.7/E33</f>
        <v>241.81814233283384</v>
      </c>
      <c r="H33" s="594">
        <v>0</v>
      </c>
      <c r="I33" s="566">
        <f>Tabel668910192832[[#This Row],[Fix.ch. 2015]]+Tabel668910192832[[#This Row],[Var. ch. 2015]]+Tabel668910192832[[#This Row],[Oth. ch. DW 2015]]</f>
        <v>355.56062284187897</v>
      </c>
      <c r="J33" s="596">
        <v>0</v>
      </c>
      <c r="K33" s="626">
        <f>174.5/E33</f>
        <v>189.48031359263362</v>
      </c>
      <c r="L33" s="626"/>
      <c r="M33" s="626"/>
      <c r="N33" s="597">
        <f>1.25/E33</f>
        <v>1.35730883662345</v>
      </c>
      <c r="O33" s="570">
        <f>30.19/E33</f>
        <v>32.781723022129569</v>
      </c>
      <c r="P33" s="1496">
        <f>Tabel668910192832[[#This Row],[Total. ch. DW 2015]]+Tabel668910192832[[#This Row],[Sew. 2015]]+Tabel668910192832[[#This Row],[WW 2015]]+Tabel668910192832[[#This Row],[Other ch. 2015]]+Tabel668910192832[[#This Row],[VAT 2015]]</f>
        <v>579.17996829326557</v>
      </c>
      <c r="Q33" s="397"/>
      <c r="R33" s="1764"/>
      <c r="S33" s="1767"/>
      <c r="T33" s="1770"/>
      <c r="U33" s="2371"/>
      <c r="V33" s="1779"/>
      <c r="W33" s="1811"/>
      <c r="X33" s="1813"/>
      <c r="Y33" s="1815"/>
      <c r="Z33" s="1991"/>
    </row>
    <row r="34" spans="1:26" ht="15.75" hidden="1" x14ac:dyDescent="0.25">
      <c r="A34" s="1818" t="s">
        <v>1345</v>
      </c>
      <c r="B34" s="1213"/>
      <c r="C34" s="1497" t="s">
        <v>459</v>
      </c>
      <c r="D34" s="2401">
        <v>15800</v>
      </c>
      <c r="E34" s="616">
        <f>'[1]exchange rates'!$M$8</f>
        <v>3.9608599999999998</v>
      </c>
      <c r="F34" s="686" t="s">
        <v>5</v>
      </c>
      <c r="G34" s="593" t="s">
        <v>5</v>
      </c>
      <c r="H34" s="594" t="s">
        <v>5</v>
      </c>
      <c r="I34" s="566" t="s">
        <v>5</v>
      </c>
      <c r="J34" s="596" t="s">
        <v>5</v>
      </c>
      <c r="K34" s="626" t="s">
        <v>5</v>
      </c>
      <c r="L34" s="626"/>
      <c r="M34" s="626"/>
      <c r="N34" s="597" t="s">
        <v>5</v>
      </c>
      <c r="O34" s="570" t="s">
        <v>5</v>
      </c>
      <c r="P34" s="1496">
        <f>268/E34</f>
        <v>67.662073388102584</v>
      </c>
      <c r="Q34" s="397"/>
      <c r="R34" s="2415" t="s">
        <v>5</v>
      </c>
      <c r="S34" s="2416" t="s">
        <v>5</v>
      </c>
      <c r="T34" s="2417" t="s">
        <v>5</v>
      </c>
      <c r="U34" s="2420" t="s">
        <v>5</v>
      </c>
      <c r="V34" s="2421" t="s">
        <v>5</v>
      </c>
      <c r="W34" s="2422" t="s">
        <v>5</v>
      </c>
      <c r="X34" s="2423" t="s">
        <v>5</v>
      </c>
      <c r="Y34" s="2424" t="s">
        <v>5</v>
      </c>
      <c r="Z34" s="2396">
        <f>Tabel668910192832[[#This Row],[total charge 2015]]</f>
        <v>67.662073388102584</v>
      </c>
    </row>
    <row r="35" spans="1:26" ht="15.75" hidden="1" x14ac:dyDescent="0.25">
      <c r="A35" s="2294"/>
      <c r="B35" s="1213"/>
      <c r="C35" s="633" t="s">
        <v>462</v>
      </c>
      <c r="D35" s="1880"/>
      <c r="E35" s="616">
        <f>'[1]exchange rates'!$M$8</f>
        <v>3.9608599999999998</v>
      </c>
      <c r="F35" s="686" t="s">
        <v>5</v>
      </c>
      <c r="G35" s="593" t="s">
        <v>5</v>
      </c>
      <c r="H35" s="594" t="s">
        <v>5</v>
      </c>
      <c r="I35" s="566" t="s">
        <v>5</v>
      </c>
      <c r="J35" s="596" t="s">
        <v>5</v>
      </c>
      <c r="K35" s="626" t="s">
        <v>5</v>
      </c>
      <c r="L35" s="626"/>
      <c r="M35" s="626"/>
      <c r="N35" s="597" t="s">
        <v>5</v>
      </c>
      <c r="O35" s="570" t="s">
        <v>5</v>
      </c>
      <c r="P35" s="1496">
        <f>218/E35</f>
        <v>55.038552233605834</v>
      </c>
      <c r="Q35" s="397"/>
      <c r="R35" s="1882"/>
      <c r="S35" s="1896"/>
      <c r="T35" s="1899"/>
      <c r="U35" s="1902"/>
      <c r="V35" s="1905"/>
      <c r="W35" s="1864"/>
      <c r="X35" s="1867"/>
      <c r="Y35" s="1870"/>
      <c r="Z35" s="1832"/>
    </row>
    <row r="36" spans="1:26" ht="16.5" hidden="1" thickBot="1" x14ac:dyDescent="0.3">
      <c r="A36" s="2295"/>
      <c r="B36" s="1213"/>
      <c r="C36" s="634" t="s">
        <v>1346</v>
      </c>
      <c r="D36" s="1761"/>
      <c r="E36" s="616">
        <f>'[1]exchange rates'!$M$8</f>
        <v>3.9608599999999998</v>
      </c>
      <c r="F36" s="686" t="s">
        <v>5</v>
      </c>
      <c r="G36" s="593" t="s">
        <v>5</v>
      </c>
      <c r="H36" s="594" t="s">
        <v>5</v>
      </c>
      <c r="I36" s="566" t="s">
        <v>5</v>
      </c>
      <c r="J36" s="596" t="s">
        <v>5</v>
      </c>
      <c r="K36" s="626" t="s">
        <v>5</v>
      </c>
      <c r="L36" s="626"/>
      <c r="M36" s="626"/>
      <c r="N36" s="597" t="s">
        <v>5</v>
      </c>
      <c r="O36" s="570" t="s">
        <v>5</v>
      </c>
      <c r="P36" s="1496">
        <f>421/E36</f>
        <v>106.29004812086265</v>
      </c>
      <c r="Q36" s="397"/>
      <c r="R36" s="2189"/>
      <c r="S36" s="2230"/>
      <c r="T36" s="2232"/>
      <c r="U36" s="2255"/>
      <c r="V36" s="2246"/>
      <c r="W36" s="2248"/>
      <c r="X36" s="2250"/>
      <c r="Y36" s="2252"/>
      <c r="Z36" s="1794"/>
    </row>
    <row r="37" spans="1:26" ht="18.75" hidden="1" customHeight="1" x14ac:dyDescent="0.25">
      <c r="A37" s="1833" t="s">
        <v>487</v>
      </c>
      <c r="B37" s="1617"/>
      <c r="C37" s="503" t="s">
        <v>481</v>
      </c>
      <c r="D37" s="2405">
        <v>11600</v>
      </c>
      <c r="E37" s="306">
        <v>1.86534</v>
      </c>
      <c r="F37" s="1493">
        <f>61.68/E37</f>
        <v>33.066357875775999</v>
      </c>
      <c r="G37" s="311">
        <v>0</v>
      </c>
      <c r="H37" s="312">
        <v>0</v>
      </c>
      <c r="I37" s="313">
        <f>Tabel668910192832[[#This Row],[Fix.ch. 2015]]+Tabel668910192832[[#This Row],[Var. ch. 2015]]+Tabel668910192832[[#This Row],[Oth. ch. DW 2015]]</f>
        <v>33.066357875775999</v>
      </c>
      <c r="J37" s="314">
        <f>61.68/E37</f>
        <v>33.066357875775999</v>
      </c>
      <c r="K37" s="315">
        <v>0</v>
      </c>
      <c r="L37" s="315"/>
      <c r="M37" s="315"/>
      <c r="N37" s="316">
        <v>0</v>
      </c>
      <c r="O37" s="317">
        <v>0</v>
      </c>
      <c r="P37" s="1491">
        <f>Tabel668910192832[[#This Row],[Total. ch. DW 2015]]+Tabel668910192832[[#This Row],[Sew. 2015]]+Tabel668910192832[[#This Row],[WW 2015]]+Tabel668910192832[[#This Row],[Other ch. 2015]]+Tabel668910192832[[#This Row],[VAT 2015]]</f>
        <v>66.132715751551999</v>
      </c>
      <c r="Q37" s="397"/>
      <c r="R37" s="2406">
        <f t="shared" ref="R37:W37" si="6">SUM(F37:F41)/5</f>
        <v>89.883881758821445</v>
      </c>
      <c r="S37" s="2407">
        <f t="shared" si="6"/>
        <v>0</v>
      </c>
      <c r="T37" s="2408">
        <f t="shared" si="6"/>
        <v>0</v>
      </c>
      <c r="U37" s="2414">
        <f t="shared" si="6"/>
        <v>89.883881758821445</v>
      </c>
      <c r="V37" s="2409">
        <f t="shared" si="6"/>
        <v>89.883881758821445</v>
      </c>
      <c r="W37" s="2410">
        <f t="shared" si="6"/>
        <v>0</v>
      </c>
      <c r="X37" s="2411">
        <f t="shared" ref="X37:Z37" si="7">SUM(N37:N41)/5</f>
        <v>0</v>
      </c>
      <c r="Y37" s="2412">
        <f t="shared" si="7"/>
        <v>0</v>
      </c>
      <c r="Z37" s="2413">
        <f t="shared" si="7"/>
        <v>179.76776351764289</v>
      </c>
    </row>
    <row r="38" spans="1:26" ht="18.75" hidden="1" customHeight="1" x14ac:dyDescent="0.25">
      <c r="A38" s="2297"/>
      <c r="B38" s="1617"/>
      <c r="C38" s="503" t="s">
        <v>482</v>
      </c>
      <c r="D38" s="1837"/>
      <c r="E38" s="306">
        <v>1.86534</v>
      </c>
      <c r="F38" s="1493">
        <f>47.04/E38</f>
        <v>25.217922737945898</v>
      </c>
      <c r="G38" s="311">
        <v>0</v>
      </c>
      <c r="H38" s="312">
        <v>0</v>
      </c>
      <c r="I38" s="313">
        <f>Tabel668910192832[[#This Row],[Fix.ch. 2015]]+Tabel668910192832[[#This Row],[Var. ch. 2015]]+Tabel668910192832[[#This Row],[Oth. ch. DW 2015]]</f>
        <v>25.217922737945898</v>
      </c>
      <c r="J38" s="314">
        <f>47.04/E38</f>
        <v>25.217922737945898</v>
      </c>
      <c r="K38" s="315">
        <v>0</v>
      </c>
      <c r="L38" s="315"/>
      <c r="M38" s="315"/>
      <c r="N38" s="316">
        <v>0</v>
      </c>
      <c r="O38" s="317">
        <v>0</v>
      </c>
      <c r="P38" s="1491">
        <f>Tabel668910192832[[#This Row],[Total. ch. DW 2015]]+Tabel668910192832[[#This Row],[Sew. 2015]]+Tabel668910192832[[#This Row],[WW 2015]]+Tabel668910192832[[#This Row],[Other ch. 2015]]+Tabel668910192832[[#This Row],[VAT 2015]]</f>
        <v>50.435845475891796</v>
      </c>
      <c r="Q38" s="397"/>
      <c r="R38" s="1840"/>
      <c r="S38" s="1843"/>
      <c r="T38" s="1846"/>
      <c r="U38" s="1849"/>
      <c r="V38" s="1852"/>
      <c r="W38" s="1855"/>
      <c r="X38" s="1858"/>
      <c r="Y38" s="1873"/>
      <c r="Z38" s="1876"/>
    </row>
    <row r="39" spans="1:26" ht="18.75" hidden="1" customHeight="1" x14ac:dyDescent="0.25">
      <c r="A39" s="2297"/>
      <c r="B39" s="1617"/>
      <c r="C39" s="503" t="s">
        <v>483</v>
      </c>
      <c r="D39" s="1837"/>
      <c r="E39" s="306">
        <v>1.86534</v>
      </c>
      <c r="F39" s="1493">
        <f>181.92/E39</f>
        <v>97.52645630287239</v>
      </c>
      <c r="G39" s="311">
        <v>0</v>
      </c>
      <c r="H39" s="312">
        <v>0</v>
      </c>
      <c r="I39" s="313">
        <f>Tabel668910192832[[#This Row],[Fix.ch. 2015]]+Tabel668910192832[[#This Row],[Var. ch. 2015]]+Tabel668910192832[[#This Row],[Oth. ch. DW 2015]]</f>
        <v>97.52645630287239</v>
      </c>
      <c r="J39" s="314">
        <f>181.92/E39</f>
        <v>97.52645630287239</v>
      </c>
      <c r="K39" s="315">
        <v>0</v>
      </c>
      <c r="L39" s="315"/>
      <c r="M39" s="315"/>
      <c r="N39" s="316">
        <v>0</v>
      </c>
      <c r="O39" s="317">
        <v>0</v>
      </c>
      <c r="P39" s="1491">
        <f>Tabel668910192832[[#This Row],[Total. ch. DW 2015]]+Tabel668910192832[[#This Row],[Sew. 2015]]+Tabel668910192832[[#This Row],[WW 2015]]+Tabel668910192832[[#This Row],[Other ch. 2015]]+Tabel668910192832[[#This Row],[VAT 2015]]</f>
        <v>195.05291260574478</v>
      </c>
      <c r="Q39" s="397"/>
      <c r="R39" s="1840"/>
      <c r="S39" s="1843"/>
      <c r="T39" s="1846"/>
      <c r="U39" s="1849"/>
      <c r="V39" s="1852"/>
      <c r="W39" s="1855"/>
      <c r="X39" s="1858"/>
      <c r="Y39" s="1873"/>
      <c r="Z39" s="1876"/>
    </row>
    <row r="40" spans="1:26" ht="18.75" hidden="1" customHeight="1" x14ac:dyDescent="0.25">
      <c r="A40" s="2297"/>
      <c r="B40" s="1617"/>
      <c r="C40" s="503" t="s">
        <v>484</v>
      </c>
      <c r="D40" s="1837"/>
      <c r="E40" s="306">
        <v>1.86534</v>
      </c>
      <c r="F40" s="1493">
        <f>182.52/E40</f>
        <v>97.84811348065233</v>
      </c>
      <c r="G40" s="311">
        <v>0</v>
      </c>
      <c r="H40" s="312">
        <v>0</v>
      </c>
      <c r="I40" s="313">
        <f>Tabel668910192832[[#This Row],[Fix.ch. 2015]]+Tabel668910192832[[#This Row],[Var. ch. 2015]]+Tabel668910192832[[#This Row],[Oth. ch. DW 2015]]</f>
        <v>97.84811348065233</v>
      </c>
      <c r="J40" s="314">
        <f>182.52/E40</f>
        <v>97.84811348065233</v>
      </c>
      <c r="K40" s="315">
        <v>0</v>
      </c>
      <c r="L40" s="315"/>
      <c r="M40" s="315"/>
      <c r="N40" s="316">
        <v>0</v>
      </c>
      <c r="O40" s="317">
        <v>0</v>
      </c>
      <c r="P40" s="1491">
        <f>Tabel668910192832[[#This Row],[Total. ch. DW 2015]]+Tabel668910192832[[#This Row],[Sew. 2015]]+Tabel668910192832[[#This Row],[WW 2015]]+Tabel668910192832[[#This Row],[Other ch. 2015]]+Tabel668910192832[[#This Row],[VAT 2015]]</f>
        <v>195.69622696130466</v>
      </c>
      <c r="Q40" s="397"/>
      <c r="R40" s="1840"/>
      <c r="S40" s="1843"/>
      <c r="T40" s="1846"/>
      <c r="U40" s="1849"/>
      <c r="V40" s="1852"/>
      <c r="W40" s="1855"/>
      <c r="X40" s="1858"/>
      <c r="Y40" s="1873"/>
      <c r="Z40" s="1876"/>
    </row>
    <row r="41" spans="1:26" ht="19.5" hidden="1" customHeight="1" x14ac:dyDescent="0.25">
      <c r="A41" s="2298"/>
      <c r="B41" s="1617"/>
      <c r="C41" s="503" t="s">
        <v>485</v>
      </c>
      <c r="D41" s="2221"/>
      <c r="E41" s="306">
        <v>1.86534</v>
      </c>
      <c r="F41" s="1493">
        <f>365.16/E41</f>
        <v>195.76055839686063</v>
      </c>
      <c r="G41" s="311">
        <v>0</v>
      </c>
      <c r="H41" s="312">
        <v>0</v>
      </c>
      <c r="I41" s="313">
        <f>Tabel668910192832[[#This Row],[Fix.ch. 2015]]+Tabel668910192832[[#This Row],[Var. ch. 2015]]+Tabel668910192832[[#This Row],[Oth. ch. DW 2015]]</f>
        <v>195.76055839686063</v>
      </c>
      <c r="J41" s="314">
        <f>365.16/E41</f>
        <v>195.76055839686063</v>
      </c>
      <c r="K41" s="315">
        <v>0</v>
      </c>
      <c r="L41" s="315"/>
      <c r="M41" s="315"/>
      <c r="N41" s="316">
        <v>0</v>
      </c>
      <c r="O41" s="317">
        <v>0</v>
      </c>
      <c r="P41" s="1491">
        <f>Tabel668910192832[[#This Row],[Total. ch. DW 2015]]+Tabel668910192832[[#This Row],[Sew. 2015]]+Tabel668910192832[[#This Row],[WW 2015]]+Tabel668910192832[[#This Row],[Other ch. 2015]]+Tabel668910192832[[#This Row],[VAT 2015]]</f>
        <v>391.52111679372126</v>
      </c>
      <c r="Q41" s="397"/>
      <c r="R41" s="2223"/>
      <c r="S41" s="2225"/>
      <c r="T41" s="2227"/>
      <c r="U41" s="2234"/>
      <c r="V41" s="2236"/>
      <c r="W41" s="2238"/>
      <c r="X41" s="2240"/>
      <c r="Y41" s="2242"/>
      <c r="Z41" s="2244"/>
    </row>
    <row r="42" spans="1:26" ht="15.75" hidden="1" x14ac:dyDescent="0.25">
      <c r="A42" s="1833" t="s">
        <v>7</v>
      </c>
      <c r="B42" s="1617"/>
      <c r="C42" s="1498" t="s">
        <v>73</v>
      </c>
      <c r="D42" s="2372">
        <v>14400</v>
      </c>
      <c r="E42" s="305">
        <f>'[1]exchange rates'!K9</f>
        <v>1.423</v>
      </c>
      <c r="F42" s="1493">
        <v>0</v>
      </c>
      <c r="G42" s="311">
        <f>116/E42</f>
        <v>81.51791988756149</v>
      </c>
      <c r="H42" s="312">
        <v>0</v>
      </c>
      <c r="I42" s="313">
        <f>Tabel668910192832[[#This Row],[Fix.ch. 2015]]+Tabel668910192832[[#This Row],[Var. ch. 2015]]+Tabel668910192832[[#This Row],[Oth. ch. DW 2015]]</f>
        <v>81.51791988756149</v>
      </c>
      <c r="J42" s="314">
        <f>23/E42</f>
        <v>16.163035839775123</v>
      </c>
      <c r="K42" s="315">
        <f>34/E42</f>
        <v>23.893183415319747</v>
      </c>
      <c r="L42" s="315"/>
      <c r="M42" s="315"/>
      <c r="N42" s="316">
        <v>0</v>
      </c>
      <c r="O42" s="317">
        <f>34.6/E42</f>
        <v>24.314827828531271</v>
      </c>
      <c r="P42" s="1491">
        <f>Tabel668910192832[[#This Row],[Total. ch. DW 2015]]+Tabel668910192832[[#This Row],[Sew. 2015]]+Tabel668910192832[[#This Row],[WW 2015]]+Tabel668910192832[[#This Row],[Other ch. 2015]]+Tabel668910192832[[#This Row],[VAT 2015]]</f>
        <v>145.88896697118761</v>
      </c>
      <c r="Q42" s="397"/>
      <c r="R42" s="2362">
        <f t="shared" ref="R42:W42" si="8">SUM(F42:F46)/5</f>
        <v>0</v>
      </c>
      <c r="S42" s="2363">
        <f t="shared" si="8"/>
        <v>120.59030217849613</v>
      </c>
      <c r="T42" s="2364">
        <f t="shared" si="8"/>
        <v>0</v>
      </c>
      <c r="U42" s="2365">
        <f t="shared" si="8"/>
        <v>120.59030217849613</v>
      </c>
      <c r="V42" s="2354">
        <f t="shared" si="8"/>
        <v>11.806043569922698</v>
      </c>
      <c r="W42" s="2355">
        <f t="shared" si="8"/>
        <v>23.893183415319744</v>
      </c>
      <c r="X42" s="2356">
        <f t="shared" ref="X42:Z42" si="9">SUM(N42:N46)/5</f>
        <v>0</v>
      </c>
      <c r="Y42" s="2357">
        <f t="shared" si="9"/>
        <v>31.539002108222064</v>
      </c>
      <c r="Z42" s="2358">
        <f t="shared" si="9"/>
        <v>187.82853127196063</v>
      </c>
    </row>
    <row r="43" spans="1:26" ht="15.75" hidden="1" x14ac:dyDescent="0.25">
      <c r="A43" s="2297"/>
      <c r="B43" s="1617"/>
      <c r="C43" s="1242" t="s">
        <v>74</v>
      </c>
      <c r="D43" s="2157"/>
      <c r="E43" s="305">
        <f>'[1]exchange rates'!K9</f>
        <v>1.423</v>
      </c>
      <c r="F43" s="1493">
        <v>0</v>
      </c>
      <c r="G43" s="311">
        <f>127/E43</f>
        <v>89.248067463106111</v>
      </c>
      <c r="H43" s="312">
        <v>0</v>
      </c>
      <c r="I43" s="313">
        <f>Tabel668910192832[[#This Row],[Fix.ch. 2015]]+Tabel668910192832[[#This Row],[Var. ch. 2015]]+Tabel668910192832[[#This Row],[Oth. ch. DW 2015]]</f>
        <v>89.248067463106111</v>
      </c>
      <c r="J43" s="314">
        <f>24/E43</f>
        <v>16.865776528460998</v>
      </c>
      <c r="K43" s="315">
        <f>61/E43</f>
        <v>42.867182009838366</v>
      </c>
      <c r="L43" s="315"/>
      <c r="M43" s="315"/>
      <c r="N43" s="316">
        <v>0</v>
      </c>
      <c r="O43" s="317">
        <f>42.4/E43</f>
        <v>29.796205200281094</v>
      </c>
      <c r="P43" s="1491">
        <f>Tabel668910192832[[#This Row],[Total. ch. DW 2015]]+Tabel668910192832[[#This Row],[Sew. 2015]]+Tabel668910192832[[#This Row],[WW 2015]]+Tabel668910192832[[#This Row],[Other ch. 2015]]+Tabel668910192832[[#This Row],[VAT 2015]]</f>
        <v>178.77723120168656</v>
      </c>
      <c r="Q43" s="397"/>
      <c r="R43" s="2158"/>
      <c r="S43" s="2159"/>
      <c r="T43" s="2160"/>
      <c r="U43" s="2141"/>
      <c r="V43" s="2142"/>
      <c r="W43" s="2143"/>
      <c r="X43" s="2144"/>
      <c r="Y43" s="2145"/>
      <c r="Z43" s="2146"/>
    </row>
    <row r="44" spans="1:26" ht="15.75" hidden="1" x14ac:dyDescent="0.25">
      <c r="A44" s="2297"/>
      <c r="B44" s="1617"/>
      <c r="C44" s="1242" t="s">
        <v>75</v>
      </c>
      <c r="D44" s="2157"/>
      <c r="E44" s="305">
        <f>'[1]exchange rates'!K9</f>
        <v>1.423</v>
      </c>
      <c r="F44" s="1493">
        <v>0</v>
      </c>
      <c r="G44" s="311">
        <f>167/E44</f>
        <v>117.35769501054111</v>
      </c>
      <c r="H44" s="312">
        <v>0</v>
      </c>
      <c r="I44" s="313">
        <f>Tabel668910192832[[#This Row],[Fix.ch. 2015]]+Tabel668910192832[[#This Row],[Var. ch. 2015]]+Tabel668910192832[[#This Row],[Oth. ch. DW 2015]]</f>
        <v>117.35769501054111</v>
      </c>
      <c r="J44" s="314">
        <f>12/E44</f>
        <v>8.432888264230499</v>
      </c>
      <c r="K44" s="315">
        <f>19/E44</f>
        <v>13.352073085031623</v>
      </c>
      <c r="L44" s="315"/>
      <c r="M44" s="315"/>
      <c r="N44" s="316">
        <v>0</v>
      </c>
      <c r="O44" s="317">
        <f>39.6/E44</f>
        <v>27.828531271960646</v>
      </c>
      <c r="P44" s="1491">
        <f>Tabel668910192832[[#This Row],[Total. ch. DW 2015]]+Tabel668910192832[[#This Row],[Sew. 2015]]+Tabel668910192832[[#This Row],[WW 2015]]+Tabel668910192832[[#This Row],[Other ch. 2015]]+Tabel668910192832[[#This Row],[VAT 2015]]</f>
        <v>166.97118763176388</v>
      </c>
      <c r="Q44" s="397"/>
      <c r="R44" s="2158"/>
      <c r="S44" s="2159"/>
      <c r="T44" s="2160"/>
      <c r="U44" s="2141"/>
      <c r="V44" s="2142"/>
      <c r="W44" s="2143"/>
      <c r="X44" s="2144"/>
      <c r="Y44" s="2145"/>
      <c r="Z44" s="2146"/>
    </row>
    <row r="45" spans="1:26" ht="15.75" hidden="1" x14ac:dyDescent="0.25">
      <c r="A45" s="2297"/>
      <c r="B45" s="1617"/>
      <c r="C45" s="1242" t="s">
        <v>76</v>
      </c>
      <c r="D45" s="2157"/>
      <c r="E45" s="305">
        <f>'[1]exchange rates'!K9</f>
        <v>1.423</v>
      </c>
      <c r="F45" s="1493">
        <v>0</v>
      </c>
      <c r="G45" s="311">
        <f>238/E45</f>
        <v>167.25228390723822</v>
      </c>
      <c r="H45" s="312">
        <v>0</v>
      </c>
      <c r="I45" s="313">
        <f>Tabel668910192832[[#This Row],[Fix.ch. 2015]]+Tabel668910192832[[#This Row],[Var. ch. 2015]]+Tabel668910192832[[#This Row],[Oth. ch. DW 2015]]</f>
        <v>167.25228390723822</v>
      </c>
      <c r="J45" s="314">
        <f>13/E45</f>
        <v>9.1356289529163739</v>
      </c>
      <c r="K45" s="315">
        <f>18/E45</f>
        <v>12.649332396345748</v>
      </c>
      <c r="L45" s="315"/>
      <c r="M45" s="315"/>
      <c r="N45" s="316">
        <v>0</v>
      </c>
      <c r="O45" s="317">
        <f>53.8/E45</f>
        <v>37.807449051300068</v>
      </c>
      <c r="P45" s="1491">
        <f>Tabel668910192832[[#This Row],[Total. ch. DW 2015]]+Tabel668910192832[[#This Row],[Sew. 2015]]+Tabel668910192832[[#This Row],[WW 2015]]+Tabel668910192832[[#This Row],[Other ch. 2015]]+Tabel668910192832[[#This Row],[VAT 2015]]</f>
        <v>226.84469430780041</v>
      </c>
      <c r="Q45" s="397"/>
      <c r="R45" s="2158"/>
      <c r="S45" s="2159"/>
      <c r="T45" s="2160"/>
      <c r="U45" s="2141"/>
      <c r="V45" s="2142"/>
      <c r="W45" s="2143"/>
      <c r="X45" s="2144"/>
      <c r="Y45" s="2145"/>
      <c r="Z45" s="2146"/>
    </row>
    <row r="46" spans="1:26" ht="16.5" hidden="1" thickBot="1" x14ac:dyDescent="0.3">
      <c r="A46" s="2298"/>
      <c r="B46" s="1617"/>
      <c r="C46" s="1499" t="s">
        <v>77</v>
      </c>
      <c r="D46" s="2221"/>
      <c r="E46" s="305">
        <f>'[1]exchange rates'!K9</f>
        <v>1.423</v>
      </c>
      <c r="F46" s="1493">
        <v>0</v>
      </c>
      <c r="G46" s="311">
        <f>210/E46</f>
        <v>147.57554462403374</v>
      </c>
      <c r="H46" s="312">
        <v>0</v>
      </c>
      <c r="I46" s="313">
        <f>Tabel668910192832[[#This Row],[Fix.ch. 2015]]+Tabel668910192832[[#This Row],[Var. ch. 2015]]+Tabel668910192832[[#This Row],[Oth. ch. DW 2015]]</f>
        <v>147.57554462403374</v>
      </c>
      <c r="J46" s="314">
        <f>12/E46</f>
        <v>8.432888264230499</v>
      </c>
      <c r="K46" s="315">
        <f>38/E46</f>
        <v>26.704146170063247</v>
      </c>
      <c r="L46" s="315"/>
      <c r="M46" s="315"/>
      <c r="N46" s="316">
        <v>0</v>
      </c>
      <c r="O46" s="317">
        <f>54/E46</f>
        <v>37.947997189037245</v>
      </c>
      <c r="P46" s="1491">
        <f>Tabel668910192832[[#This Row],[Total. ch. DW 2015]]+Tabel668910192832[[#This Row],[Sew. 2015]]+Tabel668910192832[[#This Row],[WW 2015]]+Tabel668910192832[[#This Row],[Other ch. 2015]]+Tabel668910192832[[#This Row],[VAT 2015]]</f>
        <v>220.6605762473647</v>
      </c>
      <c r="Q46" s="397"/>
      <c r="R46" s="2223"/>
      <c r="S46" s="2225"/>
      <c r="T46" s="2227"/>
      <c r="U46" s="2234"/>
      <c r="V46" s="2236"/>
      <c r="W46" s="2238"/>
      <c r="X46" s="2240"/>
      <c r="Y46" s="2242"/>
      <c r="Z46" s="2244"/>
    </row>
    <row r="47" spans="1:26" ht="19.5" hidden="1" thickBot="1" x14ac:dyDescent="0.3">
      <c r="A47" s="1205" t="s">
        <v>501</v>
      </c>
      <c r="B47" s="1617"/>
      <c r="C47" s="811" t="s">
        <v>504</v>
      </c>
      <c r="D47" s="1243">
        <v>1500</v>
      </c>
      <c r="E47" s="305">
        <v>506.17869999999999</v>
      </c>
      <c r="F47" s="1493">
        <f>12000/E47</f>
        <v>23.707042591875162</v>
      </c>
      <c r="G47" s="311">
        <f>19768/E47</f>
        <v>39.053401496349018</v>
      </c>
      <c r="H47" s="312">
        <v>0</v>
      </c>
      <c r="I47" s="313">
        <f>Tabel668910192832[[#This Row],[Fix.ch. 2015]]+Tabel668910192832[[#This Row],[Var. ch. 2015]]+Tabel668910192832[[#This Row],[Oth. ch. DW 2015]]</f>
        <v>62.760444088224176</v>
      </c>
      <c r="J47" s="314">
        <f>6000/E47</f>
        <v>11.853521295937581</v>
      </c>
      <c r="K47" s="315">
        <v>0</v>
      </c>
      <c r="L47" s="315"/>
      <c r="M47" s="315"/>
      <c r="N47" s="316">
        <v>0</v>
      </c>
      <c r="O47" s="317">
        <f>6798/E47</f>
        <v>13.43003962829728</v>
      </c>
      <c r="P47" s="1491">
        <f>Tabel668910192832[[#This Row],[Total. ch. DW 2015]]+Tabel668910192832[[#This Row],[Sew. 2015]]+Tabel668910192832[[#This Row],[WW 2015]]+Tabel668910192832[[#This Row],[Other ch. 2015]]+Tabel668910192832[[#This Row],[VAT 2015]]</f>
        <v>88.044005012459039</v>
      </c>
      <c r="Q47" s="397"/>
      <c r="R47" s="1214">
        <f>Tabel668910192832[[#This Row],[Fix.ch. 2015]]</f>
        <v>23.707042591875162</v>
      </c>
      <c r="S47" s="1215">
        <f>Tabel668910192832[[#This Row],[Var. ch. 2015]]</f>
        <v>39.053401496349018</v>
      </c>
      <c r="T47" s="1216">
        <v>0</v>
      </c>
      <c r="U47" s="1207">
        <f>Tabel668910192832[[#This Row],[Total. ch. DW 2015]]</f>
        <v>62.760444088224176</v>
      </c>
      <c r="V47" s="1208">
        <f>Tabel668910192832[[#This Row],[Sew. 2015]]</f>
        <v>11.853521295937581</v>
      </c>
      <c r="W47" s="1209">
        <v>0</v>
      </c>
      <c r="X47" s="1210">
        <v>0</v>
      </c>
      <c r="Y47" s="1211">
        <f>Tabel668910192832[[#This Row],[VAT 2015]]</f>
        <v>13.43003962829728</v>
      </c>
      <c r="Z47" s="1212">
        <f>Tabel668910192832[[#This Row],[total charge 2015]]</f>
        <v>88.044005012459039</v>
      </c>
    </row>
    <row r="48" spans="1:26" ht="18.75" hidden="1" customHeight="1" x14ac:dyDescent="0.25">
      <c r="A48" s="1878" t="s">
        <v>343</v>
      </c>
      <c r="B48" s="1213"/>
      <c r="C48" s="1500" t="s">
        <v>548</v>
      </c>
      <c r="D48" s="2343">
        <v>45900</v>
      </c>
      <c r="E48" s="647">
        <f>'[1]exchange rates'!$M$11</f>
        <v>1.39011</v>
      </c>
      <c r="F48" s="686">
        <f>189.6/E48</f>
        <v>136.39208407967715</v>
      </c>
      <c r="G48" s="593">
        <f>176.98/E48</f>
        <v>127.31366582500665</v>
      </c>
      <c r="H48" s="594">
        <v>0</v>
      </c>
      <c r="I48" s="566">
        <f>Tabel668910192832[[#This Row],[Fix.ch. 2015]]+Tabel668910192832[[#This Row],[Var. ch. 2015]]+Tabel668910192832[[#This Row],[Oth. ch. DW 2015]]</f>
        <v>263.70574990468378</v>
      </c>
      <c r="J48" s="596">
        <f>0</f>
        <v>0</v>
      </c>
      <c r="K48" s="626">
        <f>357.5/E48</f>
        <v>257.1738927135263</v>
      </c>
      <c r="L48" s="626"/>
      <c r="M48" s="626"/>
      <c r="N48" s="597">
        <v>0</v>
      </c>
      <c r="O48" s="570">
        <v>0</v>
      </c>
      <c r="P48" s="1496">
        <f>Tabel668910192832[[#This Row],[Total. ch. DW 2015]]+Tabel668910192832[[#This Row],[Sew. 2015]]+Tabel668910192832[[#This Row],[WW 2015]]+Tabel668910192832[[#This Row],[Other ch. 2015]]+Tabel668910192832[[#This Row],[VAT 2015]]</f>
        <v>520.87964261821003</v>
      </c>
      <c r="Q48" s="397"/>
      <c r="R48" s="2344">
        <f t="shared" ref="R48:W48" si="10">SUM(F48:F52)/5</f>
        <v>170.30594701138756</v>
      </c>
      <c r="S48" s="2345">
        <f t="shared" si="10"/>
        <v>80.76770903022063</v>
      </c>
      <c r="T48" s="2350">
        <f t="shared" si="10"/>
        <v>0</v>
      </c>
      <c r="U48" s="2340">
        <f t="shared" si="10"/>
        <v>251.07365604160822</v>
      </c>
      <c r="V48" s="2351">
        <f t="shared" si="10"/>
        <v>0</v>
      </c>
      <c r="W48" s="2352">
        <f t="shared" si="10"/>
        <v>191.46110739437887</v>
      </c>
      <c r="X48" s="2341">
        <f t="shared" ref="X48:Z48" si="11">SUM(N48:N52)/5</f>
        <v>0</v>
      </c>
      <c r="Y48" s="2342">
        <f t="shared" si="11"/>
        <v>0</v>
      </c>
      <c r="Z48" s="2339">
        <f t="shared" si="11"/>
        <v>442.53476343598703</v>
      </c>
    </row>
    <row r="49" spans="1:26" ht="18.75" hidden="1" customHeight="1" x14ac:dyDescent="0.25">
      <c r="A49" s="1757"/>
      <c r="B49" s="1213"/>
      <c r="C49" s="733" t="s">
        <v>549</v>
      </c>
      <c r="D49" s="1880"/>
      <c r="E49" s="647">
        <f>'[1]exchange rates'!$M$11</f>
        <v>1.39011</v>
      </c>
      <c r="F49" s="686">
        <f>130.2/E49</f>
        <v>93.661652674968167</v>
      </c>
      <c r="G49" s="593">
        <f>145/E49</f>
        <v>104.30829214954213</v>
      </c>
      <c r="H49" s="594">
        <v>0</v>
      </c>
      <c r="I49" s="566">
        <f>Tabel668910192832[[#This Row],[Fix.ch. 2015]]+Tabel668910192832[[#This Row],[Var. ch. 2015]]+Tabel668910192832[[#This Row],[Oth. ch. DW 2015]]</f>
        <v>197.96994482451029</v>
      </c>
      <c r="J49" s="596">
        <v>0</v>
      </c>
      <c r="K49" s="626">
        <f>228/E49</f>
        <v>164.01579731100418</v>
      </c>
      <c r="L49" s="626"/>
      <c r="M49" s="626"/>
      <c r="N49" s="597">
        <v>0</v>
      </c>
      <c r="O49" s="570">
        <v>0</v>
      </c>
      <c r="P49" s="1496">
        <f>Tabel668910192832[[#This Row],[Total. ch. DW 2015]]+Tabel668910192832[[#This Row],[Sew. 2015]]+Tabel668910192832[[#This Row],[WW 2015]]+Tabel668910192832[[#This Row],[Other ch. 2015]]+Tabel668910192832[[#This Row],[VAT 2015]]</f>
        <v>361.98574213551444</v>
      </c>
      <c r="Q49" s="397"/>
      <c r="R49" s="1886"/>
      <c r="S49" s="1888"/>
      <c r="T49" s="1890"/>
      <c r="U49" s="1892"/>
      <c r="V49" s="1894"/>
      <c r="W49" s="1911"/>
      <c r="X49" s="1913"/>
      <c r="Y49" s="1915"/>
      <c r="Z49" s="1832"/>
    </row>
    <row r="50" spans="1:26" ht="18.75" hidden="1" customHeight="1" x14ac:dyDescent="0.25">
      <c r="A50" s="1757"/>
      <c r="B50" s="1213"/>
      <c r="C50" s="733" t="s">
        <v>722</v>
      </c>
      <c r="D50" s="1880"/>
      <c r="E50" s="647">
        <f>'[1]exchange rates'!$M$11</f>
        <v>1.39011</v>
      </c>
      <c r="F50" s="686">
        <f>105.6/E50</f>
        <v>75.965211386149292</v>
      </c>
      <c r="G50" s="593">
        <f>145/E50</f>
        <v>104.30829214954213</v>
      </c>
      <c r="H50" s="594">
        <v>0</v>
      </c>
      <c r="I50" s="566">
        <f>Tabel668910192832[[#This Row],[Fix.ch. 2015]]+Tabel668910192832[[#This Row],[Var. ch. 2015]]+Tabel668910192832[[#This Row],[Oth. ch. DW 2015]]</f>
        <v>180.27350353569142</v>
      </c>
      <c r="J50" s="596">
        <v>0</v>
      </c>
      <c r="K50" s="626">
        <f>195.6/E50</f>
        <v>140.70828927207199</v>
      </c>
      <c r="L50" s="626"/>
      <c r="M50" s="626"/>
      <c r="N50" s="597">
        <v>0</v>
      </c>
      <c r="O50" s="570">
        <v>0</v>
      </c>
      <c r="P50" s="1496">
        <f>Tabel668910192832[[#This Row],[Total. ch. DW 2015]]+Tabel668910192832[[#This Row],[Sew. 2015]]+Tabel668910192832[[#This Row],[WW 2015]]+Tabel668910192832[[#This Row],[Other ch. 2015]]+Tabel668910192832[[#This Row],[VAT 2015]]</f>
        <v>320.98179280776344</v>
      </c>
      <c r="Q50" s="397"/>
      <c r="R50" s="1886"/>
      <c r="S50" s="1888"/>
      <c r="T50" s="1890"/>
      <c r="U50" s="1892"/>
      <c r="V50" s="1894"/>
      <c r="W50" s="1911"/>
      <c r="X50" s="1913"/>
      <c r="Y50" s="1915"/>
      <c r="Z50" s="1832"/>
    </row>
    <row r="51" spans="1:26" ht="18.75" hidden="1" customHeight="1" x14ac:dyDescent="0.25">
      <c r="A51" s="1757"/>
      <c r="B51" s="1213"/>
      <c r="C51" s="733" t="s">
        <v>723</v>
      </c>
      <c r="D51" s="1880"/>
      <c r="E51" s="647">
        <f>'[1]exchange rates'!$M$11</f>
        <v>1.39011</v>
      </c>
      <c r="F51" s="686">
        <f>568/E51</f>
        <v>408.60075821337881</v>
      </c>
      <c r="G51" s="593">
        <f>0</f>
        <v>0</v>
      </c>
      <c r="H51" s="594">
        <v>0</v>
      </c>
      <c r="I51" s="566">
        <f>Tabel668910192832[[#This Row],[Fix.ch. 2015]]+Tabel668910192832[[#This Row],[Var. ch. 2015]]+Tabel668910192832[[#This Row],[Oth. ch. DW 2015]]</f>
        <v>408.60075821337881</v>
      </c>
      <c r="J51" s="596">
        <v>0</v>
      </c>
      <c r="K51" s="626">
        <f>314/E51</f>
        <v>225.88140506866364</v>
      </c>
      <c r="L51" s="626"/>
      <c r="M51" s="626"/>
      <c r="N51" s="597">
        <v>0</v>
      </c>
      <c r="O51" s="570">
        <v>0</v>
      </c>
      <c r="P51" s="1496">
        <f>Tabel668910192832[[#This Row],[Total. ch. DW 2015]]+Tabel668910192832[[#This Row],[Sew. 2015]]+Tabel668910192832[[#This Row],[WW 2015]]+Tabel668910192832[[#This Row],[Other ch. 2015]]+Tabel668910192832[[#This Row],[VAT 2015]]</f>
        <v>634.48216328204239</v>
      </c>
      <c r="Q51" s="397"/>
      <c r="R51" s="1886"/>
      <c r="S51" s="1888"/>
      <c r="T51" s="1890"/>
      <c r="U51" s="1892"/>
      <c r="V51" s="1894"/>
      <c r="W51" s="1911"/>
      <c r="X51" s="1913"/>
      <c r="Y51" s="1915"/>
      <c r="Z51" s="1832"/>
    </row>
    <row r="52" spans="1:26" ht="19.5" hidden="1" customHeight="1" x14ac:dyDescent="0.25">
      <c r="A52" s="1758"/>
      <c r="B52" s="1213"/>
      <c r="C52" s="807" t="s">
        <v>552</v>
      </c>
      <c r="D52" s="1761"/>
      <c r="E52" s="647">
        <f>'[1]exchange rates'!$M$11</f>
        <v>1.39011</v>
      </c>
      <c r="F52" s="686">
        <f>190.32/E52</f>
        <v>136.91002870276452</v>
      </c>
      <c r="G52" s="593">
        <f>94.4/E52</f>
        <v>67.908295027012258</v>
      </c>
      <c r="H52" s="594">
        <v>0</v>
      </c>
      <c r="I52" s="566">
        <f>Tabel668910192832[[#This Row],[Fix.ch. 2015]]+Tabel668910192832[[#This Row],[Var. ch. 2015]]+Tabel668910192832[[#This Row],[Oth. ch. DW 2015]]</f>
        <v>204.81832372977678</v>
      </c>
      <c r="J52" s="596">
        <v>0</v>
      </c>
      <c r="K52" s="626">
        <f>235.66/E52</f>
        <v>169.52615260662824</v>
      </c>
      <c r="L52" s="626"/>
      <c r="M52" s="626"/>
      <c r="N52" s="597">
        <v>0</v>
      </c>
      <c r="O52" s="570">
        <v>0</v>
      </c>
      <c r="P52" s="1496">
        <f>Tabel668910192832[[#This Row],[Total. ch. DW 2015]]+Tabel668910192832[[#This Row],[Sew. 2015]]+Tabel668910192832[[#This Row],[WW 2015]]+Tabel668910192832[[#This Row],[Other ch. 2015]]+Tabel668910192832[[#This Row],[VAT 2015]]</f>
        <v>374.34447633640502</v>
      </c>
      <c r="Q52" s="397"/>
      <c r="R52" s="1764"/>
      <c r="S52" s="1767"/>
      <c r="T52" s="1770"/>
      <c r="U52" s="1776"/>
      <c r="V52" s="1779"/>
      <c r="W52" s="1811"/>
      <c r="X52" s="1813"/>
      <c r="Y52" s="1815"/>
      <c r="Z52" s="1794"/>
    </row>
    <row r="53" spans="1:26" ht="18.75" hidden="1" customHeight="1" x14ac:dyDescent="0.25">
      <c r="A53" s="1818" t="s">
        <v>489</v>
      </c>
      <c r="B53" s="1213"/>
      <c r="C53" s="735" t="s">
        <v>728</v>
      </c>
      <c r="D53" s="1760">
        <v>23800</v>
      </c>
      <c r="E53" s="616">
        <f>'[1]exchange rates'!$M$12</f>
        <v>711.02919999999995</v>
      </c>
      <c r="F53" s="686">
        <f>10990/E53</f>
        <v>15.456467891895299</v>
      </c>
      <c r="G53" s="593">
        <f>142168/E53</f>
        <v>199.94678136987906</v>
      </c>
      <c r="H53" s="594">
        <v>0</v>
      </c>
      <c r="I53" s="566">
        <f>Tabel668910192832[[#This Row],[Fix.ch. 2015]]+Tabel668910192832[[#This Row],[Var. ch. 2015]]+Tabel668910192832[[#This Row],[Oth. ch. DW 2015]]</f>
        <v>215.40324926177436</v>
      </c>
      <c r="J53" s="596">
        <f>32380/E53</f>
        <v>45.539620595047296</v>
      </c>
      <c r="K53" s="626">
        <v>0</v>
      </c>
      <c r="L53" s="626"/>
      <c r="M53" s="626"/>
      <c r="N53" s="597">
        <v>0</v>
      </c>
      <c r="O53" s="570">
        <v>0</v>
      </c>
      <c r="P53" s="1496">
        <f>Tabel668910192832[[#This Row],[Total. ch. DW 2015]]+Tabel668910192832[[#This Row],[Sew. 2015]]+Tabel668910192832[[#This Row],[WW 2015]]+Tabel668910192832[[#This Row],[Other ch. 2015]]+Tabel668910192832[[#This Row],[VAT 2015]]</f>
        <v>260.94286985682163</v>
      </c>
      <c r="Q53" s="397"/>
      <c r="R53" s="2344">
        <f t="shared" ref="R53:W53" si="12">SUM(F53:F58)/6</f>
        <v>15.079549475605225</v>
      </c>
      <c r="S53" s="2345">
        <f t="shared" si="12"/>
        <v>92.492216447182003</v>
      </c>
      <c r="T53" s="2350">
        <f t="shared" si="12"/>
        <v>0</v>
      </c>
      <c r="U53" s="2340">
        <f t="shared" si="12"/>
        <v>107.57176592278724</v>
      </c>
      <c r="V53" s="2351">
        <f t="shared" si="12"/>
        <v>70.104247007952225</v>
      </c>
      <c r="W53" s="2352">
        <f t="shared" si="12"/>
        <v>0</v>
      </c>
      <c r="X53" s="2341">
        <f t="shared" ref="X53:Z53" si="13">SUM(N53:N58)/6</f>
        <v>0</v>
      </c>
      <c r="Y53" s="2342">
        <f t="shared" si="13"/>
        <v>0</v>
      </c>
      <c r="Z53" s="2339">
        <f t="shared" si="13"/>
        <v>177.67601293073946</v>
      </c>
    </row>
    <row r="54" spans="1:26" ht="18.75" hidden="1" customHeight="1" x14ac:dyDescent="0.25">
      <c r="A54" s="2294"/>
      <c r="B54" s="1213"/>
      <c r="C54" s="735" t="s">
        <v>492</v>
      </c>
      <c r="D54" s="1760"/>
      <c r="E54" s="616">
        <f>'[1]exchange rates'!$M$12</f>
        <v>711.02919999999995</v>
      </c>
      <c r="F54" s="686">
        <f>12717/E54</f>
        <v>17.885341417764561</v>
      </c>
      <c r="G54" s="593">
        <f>67564/E54</f>
        <v>95.022820441129568</v>
      </c>
      <c r="H54" s="594">
        <v>0</v>
      </c>
      <c r="I54" s="566">
        <f>Tabel668910192832[[#This Row],[Fix.ch. 2015]]+Tabel668910192832[[#This Row],[Var. ch. 2015]]+Tabel668910192832[[#This Row],[Oth. ch. DW 2015]]</f>
        <v>112.90816185889413</v>
      </c>
      <c r="J54" s="596">
        <f>49730/E54</f>
        <v>69.940868813826498</v>
      </c>
      <c r="K54" s="626">
        <v>0</v>
      </c>
      <c r="L54" s="626"/>
      <c r="M54" s="626"/>
      <c r="N54" s="597">
        <v>0</v>
      </c>
      <c r="O54" s="570">
        <v>0</v>
      </c>
      <c r="P54" s="1496">
        <f>Tabel668910192832[[#This Row],[Total. ch. DW 2015]]+Tabel668910192832[[#This Row],[Sew. 2015]]+Tabel668910192832[[#This Row],[WW 2015]]+Tabel668910192832[[#This Row],[Other ch. 2015]]+Tabel668910192832[[#This Row],[VAT 2015]]</f>
        <v>182.84903067272063</v>
      </c>
      <c r="Q54" s="397"/>
      <c r="R54" s="1763"/>
      <c r="S54" s="1766"/>
      <c r="T54" s="1769"/>
      <c r="U54" s="1775"/>
      <c r="V54" s="1778"/>
      <c r="W54" s="1781"/>
      <c r="X54" s="1785"/>
      <c r="Y54" s="1788"/>
      <c r="Z54" s="1791"/>
    </row>
    <row r="55" spans="1:26" ht="18.75" hidden="1" customHeight="1" x14ac:dyDescent="0.25">
      <c r="A55" s="2294"/>
      <c r="B55" s="1213"/>
      <c r="C55" s="735" t="s">
        <v>729</v>
      </c>
      <c r="D55" s="1760"/>
      <c r="E55" s="616">
        <f>'[1]exchange rates'!$M$12</f>
        <v>711.02919999999995</v>
      </c>
      <c r="F55" s="686">
        <f>12717/E55</f>
        <v>17.885341417764561</v>
      </c>
      <c r="G55" s="593">
        <f>67564/E55</f>
        <v>95.022820441129568</v>
      </c>
      <c r="H55" s="594">
        <v>0</v>
      </c>
      <c r="I55" s="566">
        <f>Tabel668910192832[[#This Row],[Fix.ch. 2015]]+Tabel668910192832[[#This Row],[Var. ch. 2015]]+Tabel668910192832[[#This Row],[Oth. ch. DW 2015]]</f>
        <v>112.90816185889413</v>
      </c>
      <c r="J55" s="596">
        <f>49730/E55</f>
        <v>69.940868813826498</v>
      </c>
      <c r="K55" s="626">
        <v>0</v>
      </c>
      <c r="L55" s="626"/>
      <c r="M55" s="626"/>
      <c r="N55" s="597">
        <v>0</v>
      </c>
      <c r="O55" s="570">
        <v>0</v>
      </c>
      <c r="P55" s="1496">
        <f>Tabel668910192832[[#This Row],[Total. ch. DW 2015]]+Tabel668910192832[[#This Row],[Sew. 2015]]+Tabel668910192832[[#This Row],[WW 2015]]+Tabel668910192832[[#This Row],[Other ch. 2015]]+Tabel668910192832[[#This Row],[VAT 2015]]</f>
        <v>182.84903067272063</v>
      </c>
      <c r="Q55" s="397"/>
      <c r="R55" s="1763"/>
      <c r="S55" s="1766"/>
      <c r="T55" s="1769"/>
      <c r="U55" s="1775"/>
      <c r="V55" s="1778"/>
      <c r="W55" s="1781"/>
      <c r="X55" s="1785"/>
      <c r="Y55" s="1788"/>
      <c r="Z55" s="1791"/>
    </row>
    <row r="56" spans="1:26" ht="18.75" hidden="1" customHeight="1" x14ac:dyDescent="0.25">
      <c r="A56" s="2294"/>
      <c r="B56" s="1213"/>
      <c r="C56" s="735" t="s">
        <v>493</v>
      </c>
      <c r="D56" s="1760"/>
      <c r="E56" s="616">
        <f>'[1]exchange rates'!$M$12</f>
        <v>711.02919999999995</v>
      </c>
      <c r="F56" s="686">
        <f>7685/E56</f>
        <v>10.80827622831805</v>
      </c>
      <c r="G56" s="593">
        <f>40952/E56</f>
        <v>57.595384268325411</v>
      </c>
      <c r="H56" s="594">
        <v>0</v>
      </c>
      <c r="I56" s="566">
        <f>Tabel668910192832[[#This Row],[Fix.ch. 2015]]+Tabel668910192832[[#This Row],[Var. ch. 2015]]+Tabel668910192832[[#This Row],[Oth. ch. DW 2015]]</f>
        <v>68.403660496643454</v>
      </c>
      <c r="J56" s="596">
        <f>52018/E56</f>
        <v>73.158739472302969</v>
      </c>
      <c r="K56" s="626">
        <v>0</v>
      </c>
      <c r="L56" s="626"/>
      <c r="M56" s="626"/>
      <c r="N56" s="597">
        <v>0</v>
      </c>
      <c r="O56" s="570">
        <v>0</v>
      </c>
      <c r="P56" s="1496">
        <f>Tabel668910192832[[#This Row],[Total. ch. DW 2015]]+Tabel668910192832[[#This Row],[Sew. 2015]]+Tabel668910192832[[#This Row],[WW 2015]]+Tabel668910192832[[#This Row],[Other ch. 2015]]+Tabel668910192832[[#This Row],[VAT 2015]]</f>
        <v>141.56239996894641</v>
      </c>
      <c r="Q56" s="397"/>
      <c r="R56" s="1763"/>
      <c r="S56" s="1766"/>
      <c r="T56" s="1769"/>
      <c r="U56" s="1775"/>
      <c r="V56" s="1778"/>
      <c r="W56" s="1781"/>
      <c r="X56" s="1785"/>
      <c r="Y56" s="1788"/>
      <c r="Z56" s="1791"/>
    </row>
    <row r="57" spans="1:26" ht="18.75" hidden="1" customHeight="1" x14ac:dyDescent="0.25">
      <c r="A57" s="2294"/>
      <c r="B57" s="1213"/>
      <c r="C57" s="735" t="s">
        <v>730</v>
      </c>
      <c r="D57" s="1760"/>
      <c r="E57" s="616">
        <f>'[1]exchange rates'!$M$12</f>
        <v>711.02919999999995</v>
      </c>
      <c r="F57" s="686">
        <f>12923/E57</f>
        <v>18.17506228998753</v>
      </c>
      <c r="G57" s="593">
        <f>42737/E57</f>
        <v>60.105829690257451</v>
      </c>
      <c r="H57" s="594">
        <v>0</v>
      </c>
      <c r="I57" s="566">
        <f>Tabel668910192832[[#This Row],[Fix.ch. 2015]]+Tabel668910192832[[#This Row],[Var. ch. 2015]]+Tabel668910192832[[#This Row],[Oth. ch. DW 2015]]</f>
        <v>78.280891980244974</v>
      </c>
      <c r="J57" s="596">
        <f>69971/E57</f>
        <v>98.408054127734843</v>
      </c>
      <c r="K57" s="626">
        <v>0</v>
      </c>
      <c r="L57" s="626"/>
      <c r="M57" s="626"/>
      <c r="N57" s="597">
        <v>0</v>
      </c>
      <c r="O57" s="570">
        <v>0</v>
      </c>
      <c r="P57" s="1496">
        <f>Tabel668910192832[[#This Row],[Total. ch. DW 2015]]+Tabel668910192832[[#This Row],[Sew. 2015]]+Tabel668910192832[[#This Row],[WW 2015]]+Tabel668910192832[[#This Row],[Other ch. 2015]]+Tabel668910192832[[#This Row],[VAT 2015]]</f>
        <v>176.6889461079798</v>
      </c>
      <c r="Q57" s="397"/>
      <c r="R57" s="1763"/>
      <c r="S57" s="1766"/>
      <c r="T57" s="1769"/>
      <c r="U57" s="1775"/>
      <c r="V57" s="1778"/>
      <c r="W57" s="1781"/>
      <c r="X57" s="1785"/>
      <c r="Y57" s="1788"/>
      <c r="Z57" s="1791"/>
    </row>
    <row r="58" spans="1:26" ht="19.5" hidden="1" customHeight="1" x14ac:dyDescent="0.25">
      <c r="A58" s="2295"/>
      <c r="B58" s="1213"/>
      <c r="C58" s="735" t="s">
        <v>731</v>
      </c>
      <c r="D58" s="1761"/>
      <c r="E58" s="616">
        <f>'[1]exchange rates'!$M$12</f>
        <v>711.02919999999995</v>
      </c>
      <c r="F58" s="686">
        <f>7300/E58</f>
        <v>10.266807607901336</v>
      </c>
      <c r="G58" s="593">
        <f>33603/E58</f>
        <v>47.259662472371041</v>
      </c>
      <c r="H58" s="594">
        <v>0</v>
      </c>
      <c r="I58" s="566">
        <f>Tabel668910192832[[#This Row],[Fix.ch. 2015]]+Tabel668910192832[[#This Row],[Var. ch. 2015]]+Tabel668910192832[[#This Row],[Oth. ch. DW 2015]]</f>
        <v>57.526470080272375</v>
      </c>
      <c r="J58" s="596">
        <f>45248/E58</f>
        <v>63.637330224975294</v>
      </c>
      <c r="K58" s="626">
        <v>0</v>
      </c>
      <c r="L58" s="626"/>
      <c r="M58" s="626"/>
      <c r="N58" s="597">
        <v>0</v>
      </c>
      <c r="O58" s="570">
        <v>0</v>
      </c>
      <c r="P58" s="1496">
        <f>Tabel668910192832[[#This Row],[Total. ch. DW 2015]]+Tabel668910192832[[#This Row],[Sew. 2015]]+Tabel668910192832[[#This Row],[WW 2015]]+Tabel668910192832[[#This Row],[Other ch. 2015]]+Tabel668910192832[[#This Row],[VAT 2015]]</f>
        <v>121.16380030524766</v>
      </c>
      <c r="Q58" s="397"/>
      <c r="R58" s="1764"/>
      <c r="S58" s="1767"/>
      <c r="T58" s="1770"/>
      <c r="U58" s="1776"/>
      <c r="V58" s="1779"/>
      <c r="W58" s="1811"/>
      <c r="X58" s="1813"/>
      <c r="Y58" s="1815"/>
      <c r="Z58" s="1794"/>
    </row>
    <row r="59" spans="1:26" ht="18.75" hidden="1" customHeight="1" x14ac:dyDescent="0.25">
      <c r="A59" s="2398" t="s">
        <v>8</v>
      </c>
      <c r="B59" s="1650"/>
      <c r="C59" s="1497" t="s">
        <v>78</v>
      </c>
      <c r="D59" s="2401">
        <v>14300</v>
      </c>
      <c r="E59" s="647">
        <f>'[1]exchange rates'!$M$13</f>
        <v>6.5138100000000003</v>
      </c>
      <c r="F59" s="686">
        <f>(2.07*100)/E59</f>
        <v>31.77863646621562</v>
      </c>
      <c r="G59" s="593">
        <v>0</v>
      </c>
      <c r="H59" s="594">
        <f>(1.57*100)/E59</f>
        <v>24.10263731978673</v>
      </c>
      <c r="I59" s="566">
        <f>Tabel668910192832[[#This Row],[Fix.ch. 2015]]+Tabel668910192832[[#This Row],[Var. ch. 2015]]+Tabel668910192832[[#This Row],[Oth. ch. DW 2015]]</f>
        <v>55.881273786002353</v>
      </c>
      <c r="J59" s="596">
        <v>0</v>
      </c>
      <c r="K59" s="626">
        <f>(1.36*100)/E59</f>
        <v>20.878717678286595</v>
      </c>
      <c r="L59" s="626"/>
      <c r="M59" s="626"/>
      <c r="N59" s="597">
        <v>0</v>
      </c>
      <c r="O59" s="570">
        <v>0</v>
      </c>
      <c r="P59" s="1496">
        <f>Tabel668910192832[[#This Row],[Total. ch. DW 2015]]+Tabel668910192832[[#This Row],[Sew. 2015]]+Tabel668910192832[[#This Row],[WW 2015]]+Tabel668910192832[[#This Row],[Other ch. 2015]]+Tabel668910192832[[#This Row],[VAT 2015]]</f>
        <v>76.759991464288944</v>
      </c>
      <c r="Q59" s="397"/>
      <c r="R59" s="2402">
        <f t="shared" ref="R59:W59" si="14">SUM(F59:F63)/5</f>
        <v>33.405948285258553</v>
      </c>
      <c r="S59" s="2403">
        <f t="shared" si="14"/>
        <v>0</v>
      </c>
      <c r="T59" s="2404">
        <f t="shared" si="14"/>
        <v>9.0883829893718122</v>
      </c>
      <c r="U59" s="2397">
        <f t="shared" si="14"/>
        <v>42.494331274630369</v>
      </c>
      <c r="V59" s="2392">
        <f t="shared" si="14"/>
        <v>0</v>
      </c>
      <c r="W59" s="2393">
        <f t="shared" si="14"/>
        <v>17.685502033372174</v>
      </c>
      <c r="X59" s="2394">
        <f t="shared" ref="X59:Z59" si="15">SUM(N59:N63)/5</f>
        <v>0</v>
      </c>
      <c r="Y59" s="2395">
        <f t="shared" si="15"/>
        <v>0</v>
      </c>
      <c r="Z59" s="2396">
        <f t="shared" si="15"/>
        <v>60.179833308002529</v>
      </c>
    </row>
    <row r="60" spans="1:26" ht="15.75" hidden="1" x14ac:dyDescent="0.25">
      <c r="A60" s="2399"/>
      <c r="B60" s="1650"/>
      <c r="C60" s="633" t="s">
        <v>79</v>
      </c>
      <c r="D60" s="1880"/>
      <c r="E60" s="647">
        <f>'[1]exchange rates'!$M$13</f>
        <v>6.5138100000000003</v>
      </c>
      <c r="F60" s="686">
        <f>(1.92*100)/E60</f>
        <v>29.475836722286957</v>
      </c>
      <c r="G60" s="593">
        <v>0</v>
      </c>
      <c r="H60" s="594">
        <v>0</v>
      </c>
      <c r="I60" s="566">
        <f>Tabel668910192832[[#This Row],[Fix.ch. 2015]]+Tabel668910192832[[#This Row],[Var. ch. 2015]]+Tabel668910192832[[#This Row],[Oth. ch. DW 2015]]</f>
        <v>29.475836722286957</v>
      </c>
      <c r="J60" s="596">
        <v>0</v>
      </c>
      <c r="K60" s="626">
        <f>(1.7*100)/E60</f>
        <v>26.098397097858243</v>
      </c>
      <c r="L60" s="626"/>
      <c r="M60" s="626"/>
      <c r="N60" s="597">
        <v>0</v>
      </c>
      <c r="O60" s="570">
        <v>0</v>
      </c>
      <c r="P60" s="1496">
        <f>Tabel668910192832[[#This Row],[Total. ch. DW 2015]]+Tabel668910192832[[#This Row],[Sew. 2015]]+Tabel668910192832[[#This Row],[WW 2015]]+Tabel668910192832[[#This Row],[Other ch. 2015]]+Tabel668910192832[[#This Row],[VAT 2015]]</f>
        <v>55.574233820145196</v>
      </c>
      <c r="Q60" s="397"/>
      <c r="R60" s="1886"/>
      <c r="S60" s="1888"/>
      <c r="T60" s="1890"/>
      <c r="U60" s="1892"/>
      <c r="V60" s="1894"/>
      <c r="W60" s="1911"/>
      <c r="X60" s="1913"/>
      <c r="Y60" s="1915"/>
      <c r="Z60" s="1832"/>
    </row>
    <row r="61" spans="1:26" ht="15.75" hidden="1" x14ac:dyDescent="0.25">
      <c r="A61" s="2399"/>
      <c r="B61" s="1650"/>
      <c r="C61" s="633" t="s">
        <v>80</v>
      </c>
      <c r="D61" s="1880"/>
      <c r="E61" s="647">
        <f>'[1]exchange rates'!$M$13</f>
        <v>6.5138100000000003</v>
      </c>
      <c r="F61" s="686">
        <f>(2.61*100)/E61</f>
        <v>40.068715544358831</v>
      </c>
      <c r="G61" s="593">
        <v>0</v>
      </c>
      <c r="H61" s="594">
        <f>(1.39*100)/E61</f>
        <v>21.339277627072327</v>
      </c>
      <c r="I61" s="566">
        <f>Tabel668910192832[[#This Row],[Fix.ch. 2015]]+Tabel668910192832[[#This Row],[Var. ch. 2015]]+Tabel668910192832[[#This Row],[Oth. ch. DW 2015]]</f>
        <v>61.407993171431158</v>
      </c>
      <c r="J61" s="596">
        <v>0</v>
      </c>
      <c r="K61" s="626">
        <f>(0.9*100)/E61</f>
        <v>13.81679846357201</v>
      </c>
      <c r="L61" s="626"/>
      <c r="M61" s="626"/>
      <c r="N61" s="597">
        <v>0</v>
      </c>
      <c r="O61" s="570">
        <v>0</v>
      </c>
      <c r="P61" s="1496">
        <f>Tabel668910192832[[#This Row],[Total. ch. DW 2015]]+Tabel668910192832[[#This Row],[Sew. 2015]]+Tabel668910192832[[#This Row],[WW 2015]]+Tabel668910192832[[#This Row],[Other ch. 2015]]+Tabel668910192832[[#This Row],[VAT 2015]]</f>
        <v>75.224791635003172</v>
      </c>
      <c r="Q61" s="397"/>
      <c r="R61" s="1886"/>
      <c r="S61" s="1888"/>
      <c r="T61" s="1890"/>
      <c r="U61" s="1892"/>
      <c r="V61" s="1894"/>
      <c r="W61" s="1911"/>
      <c r="X61" s="1913"/>
      <c r="Y61" s="1915"/>
      <c r="Z61" s="1832"/>
    </row>
    <row r="62" spans="1:26" ht="15.75" hidden="1" x14ac:dyDescent="0.25">
      <c r="A62" s="2399"/>
      <c r="B62" s="1650"/>
      <c r="C62" s="633" t="s">
        <v>81</v>
      </c>
      <c r="D62" s="1880"/>
      <c r="E62" s="647">
        <f>'[1]exchange rates'!$M$13</f>
        <v>6.5138100000000003</v>
      </c>
      <c r="F62" s="686">
        <f>(2.3*100)/E62</f>
        <v>35.309596073572912</v>
      </c>
      <c r="G62" s="593">
        <v>0</v>
      </c>
      <c r="H62" s="594">
        <v>0</v>
      </c>
      <c r="I62" s="566">
        <f>Tabel668910192832[[#This Row],[Fix.ch. 2015]]+Tabel668910192832[[#This Row],[Var. ch. 2015]]+Tabel668910192832[[#This Row],[Oth. ch. DW 2015]]</f>
        <v>35.309596073572912</v>
      </c>
      <c r="J62" s="596">
        <v>0</v>
      </c>
      <c r="K62" s="626">
        <f>(0.9*100)/E62</f>
        <v>13.81679846357201</v>
      </c>
      <c r="L62" s="626"/>
      <c r="M62" s="626"/>
      <c r="N62" s="597">
        <v>0</v>
      </c>
      <c r="O62" s="570">
        <v>0</v>
      </c>
      <c r="P62" s="1496">
        <f>Tabel668910192832[[#This Row],[Total. ch. DW 2015]]+Tabel668910192832[[#This Row],[Sew. 2015]]+Tabel668910192832[[#This Row],[WW 2015]]+Tabel668910192832[[#This Row],[Other ch. 2015]]+Tabel668910192832[[#This Row],[VAT 2015]]</f>
        <v>49.126394537144918</v>
      </c>
      <c r="Q62" s="397"/>
      <c r="R62" s="1886"/>
      <c r="S62" s="1888"/>
      <c r="T62" s="1890"/>
      <c r="U62" s="1892"/>
      <c r="V62" s="1894"/>
      <c r="W62" s="1911"/>
      <c r="X62" s="1913"/>
      <c r="Y62" s="1915"/>
      <c r="Z62" s="1832"/>
    </row>
    <row r="63" spans="1:26" ht="16.5" hidden="1" thickBot="1" x14ac:dyDescent="0.3">
      <c r="A63" s="2400"/>
      <c r="B63" s="1650"/>
      <c r="C63" s="634" t="s">
        <v>468</v>
      </c>
      <c r="D63" s="1923"/>
      <c r="E63" s="647">
        <f>'[1]exchange rates'!$M$13</f>
        <v>6.5138100000000003</v>
      </c>
      <c r="F63" s="686">
        <f>(1.98*100)/E63</f>
        <v>30.396956619858422</v>
      </c>
      <c r="G63" s="593">
        <v>0</v>
      </c>
      <c r="H63" s="594">
        <v>0</v>
      </c>
      <c r="I63" s="566">
        <f>Tabel668910192832[[#This Row],[Fix.ch. 2015]]+Tabel668910192832[[#This Row],[Var. ch. 2015]]+Tabel668910192832[[#This Row],[Oth. ch. DW 2015]]</f>
        <v>30.396956619858422</v>
      </c>
      <c r="J63" s="596">
        <v>0</v>
      </c>
      <c r="K63" s="626">
        <f>(0.9*100)/E63</f>
        <v>13.81679846357201</v>
      </c>
      <c r="L63" s="626"/>
      <c r="M63" s="626"/>
      <c r="N63" s="597">
        <v>0</v>
      </c>
      <c r="O63" s="570">
        <v>0</v>
      </c>
      <c r="P63" s="1496">
        <f>Tabel668910192832[[#This Row],[Total. ch. DW 2015]]+Tabel668910192832[[#This Row],[Sew. 2015]]+Tabel668910192832[[#This Row],[WW 2015]]+Tabel668910192832[[#This Row],[Other ch. 2015]]+Tabel668910192832[[#This Row],[VAT 2015]]</f>
        <v>44.213755083430428</v>
      </c>
      <c r="Q63" s="397"/>
      <c r="R63" s="1970"/>
      <c r="S63" s="1973"/>
      <c r="T63" s="1976"/>
      <c r="U63" s="1979"/>
      <c r="V63" s="1982"/>
      <c r="W63" s="1956"/>
      <c r="X63" s="1959"/>
      <c r="Y63" s="1962"/>
      <c r="Z63" s="1965"/>
    </row>
    <row r="64" spans="1:26" ht="19.5" hidden="1" thickBot="1" x14ac:dyDescent="0.35">
      <c r="A64" s="694" t="s">
        <v>585</v>
      </c>
      <c r="B64" s="1620"/>
      <c r="C64" s="735" t="s">
        <v>84</v>
      </c>
      <c r="D64" s="1501">
        <v>57000</v>
      </c>
      <c r="E64" s="616">
        <f>'[1]exchange rates'!M14</f>
        <v>7.77562</v>
      </c>
      <c r="F64" s="686">
        <v>0</v>
      </c>
      <c r="G64" s="593">
        <f>262.08/E64</f>
        <v>33.705350827329525</v>
      </c>
      <c r="H64" s="594">
        <v>0</v>
      </c>
      <c r="I64" s="566">
        <f>Tabel668910192832[[#This Row],[Fix.ch. 2015]]+Tabel668910192832[[#This Row],[Var. ch. 2015]]+Tabel668910192832[[#This Row],[Oth. ch. DW 2015]]</f>
        <v>33.705350827329525</v>
      </c>
      <c r="J64" s="596">
        <v>0</v>
      </c>
      <c r="K64" s="626">
        <f>217/E64</f>
        <v>27.907742405107246</v>
      </c>
      <c r="L64" s="626"/>
      <c r="M64" s="626"/>
      <c r="N64" s="597">
        <v>0</v>
      </c>
      <c r="O64" s="570">
        <v>0</v>
      </c>
      <c r="P64" s="1496">
        <f>Tabel668910192832[[#This Row],[Total. ch. DW 2015]]+Tabel668910192832[[#This Row],[Sew. 2015]]+Tabel668910192832[[#This Row],[WW 2015]]+Tabel668910192832[[#This Row],[Other ch. 2015]]+Tabel668910192832[[#This Row],[VAT 2015]]</f>
        <v>61.613093232436768</v>
      </c>
      <c r="Q64" s="397"/>
      <c r="R64" s="1502">
        <v>0</v>
      </c>
      <c r="S64" s="1503">
        <f>Tabel668910192832[[#This Row],[Var. ch. 2015]]</f>
        <v>33.705350827329525</v>
      </c>
      <c r="T64" s="1504">
        <v>0</v>
      </c>
      <c r="U64" s="1505">
        <f>SUM(R64:T64)</f>
        <v>33.705350827329525</v>
      </c>
      <c r="V64" s="1506">
        <v>0</v>
      </c>
      <c r="W64" s="1507">
        <f>Tabel668910192832[[#This Row],[WW 2015]]</f>
        <v>27.907742405107246</v>
      </c>
      <c r="X64" s="1508">
        <v>0</v>
      </c>
      <c r="Y64" s="1509">
        <v>0</v>
      </c>
      <c r="Z64" s="1510">
        <f>SUM(U64:Y64)</f>
        <v>61.613093232436768</v>
      </c>
    </row>
    <row r="65" spans="1:26" ht="15.75" hidden="1" x14ac:dyDescent="0.25">
      <c r="A65" s="1818" t="s">
        <v>9</v>
      </c>
      <c r="B65" s="1213"/>
      <c r="C65" s="1511" t="s">
        <v>82</v>
      </c>
      <c r="D65" s="2343">
        <v>47500</v>
      </c>
      <c r="E65" s="616">
        <f>'[1]exchange rates'!M15</f>
        <v>33.06664</v>
      </c>
      <c r="F65" s="686">
        <f>780/E65</f>
        <v>23.588728700587662</v>
      </c>
      <c r="G65" s="593">
        <f>478/E65</f>
        <v>14.455656819078079</v>
      </c>
      <c r="H65" s="594">
        <v>0</v>
      </c>
      <c r="I65" s="566">
        <f>Tabel668910192832[[#This Row],[Fix.ch. 2015]]+Tabel668910192832[[#This Row],[Var. ch. 2015]]+Tabel668910192832[[#This Row],[Oth. ch. DW 2015]]</f>
        <v>38.044385519665738</v>
      </c>
      <c r="J65" s="596">
        <f>500/E65</f>
        <v>15.120979936274143</v>
      </c>
      <c r="K65" s="626">
        <v>0</v>
      </c>
      <c r="L65" s="626"/>
      <c r="M65" s="626"/>
      <c r="N65" s="597">
        <f>20/E65</f>
        <v>0.6048391974509657</v>
      </c>
      <c r="O65" s="570">
        <f>63/E65</f>
        <v>1.905243471970542</v>
      </c>
      <c r="P65" s="1496">
        <f>Tabel668910192832[[#This Row],[Total. ch. DW 2015]]+Tabel668910192832[[#This Row],[Sew. 2015]]+Tabel668910192832[[#This Row],[WW 2015]]+Tabel668910192832[[#This Row],[Other ch. 2015]]+Tabel668910192832[[#This Row],[VAT 2015]]</f>
        <v>55.675448125361385</v>
      </c>
      <c r="Q65" s="397"/>
      <c r="R65" s="2344">
        <f>MEDIAN(F65:F66)</f>
        <v>18.931466880215226</v>
      </c>
      <c r="S65" s="2345">
        <f>MEDIAN(G65:G66)</f>
        <v>17.812514364930941</v>
      </c>
      <c r="T65" s="2350">
        <f>MEDIAN(H65:H66)</f>
        <v>0.52923429776959496</v>
      </c>
      <c r="U65" s="2340">
        <f>SUM(R65:T66)</f>
        <v>37.273215542915764</v>
      </c>
      <c r="V65" s="2351">
        <f>MEDIAN(J65:J66)</f>
        <v>15.120979936274143</v>
      </c>
      <c r="W65" s="2352">
        <f>MEDIAN(K65:K66)</f>
        <v>0</v>
      </c>
      <c r="X65" s="2341">
        <f>MEDIAN(N65:N66)</f>
        <v>6.3508115732351396</v>
      </c>
      <c r="Y65" s="2342">
        <f>MEDIAN(O65:O66)</f>
        <v>1.7842756324803488</v>
      </c>
      <c r="Z65" s="2339">
        <f>SUM(U65:Y66)</f>
        <v>60.529282684905397</v>
      </c>
    </row>
    <row r="66" spans="1:26" ht="16.5" hidden="1" thickBot="1" x14ac:dyDescent="0.3">
      <c r="A66" s="2295"/>
      <c r="B66" s="1213"/>
      <c r="C66" s="735" t="s">
        <v>83</v>
      </c>
      <c r="D66" s="1923"/>
      <c r="E66" s="616">
        <f>'[1]exchange rates'!M15</f>
        <v>33.06664</v>
      </c>
      <c r="F66" s="686">
        <f>472/E66</f>
        <v>14.274205059842791</v>
      </c>
      <c r="G66" s="593">
        <f>700/E66</f>
        <v>21.169371910783799</v>
      </c>
      <c r="H66" s="594">
        <f>35/E66</f>
        <v>1.0584685955391899</v>
      </c>
      <c r="I66" s="566">
        <f>Tabel668910192832[[#This Row],[Fix.ch. 2015]]+Tabel668910192832[[#This Row],[Var. ch. 2015]]+Tabel668910192832[[#This Row],[Oth. ch. DW 2015]]</f>
        <v>36.502045566165776</v>
      </c>
      <c r="J66" s="596">
        <f>500/E66</f>
        <v>15.120979936274143</v>
      </c>
      <c r="K66" s="626">
        <v>0</v>
      </c>
      <c r="L66" s="626"/>
      <c r="M66" s="626"/>
      <c r="N66" s="597">
        <f>400/E66</f>
        <v>12.096783949019313</v>
      </c>
      <c r="O66" s="570">
        <f>55/E66</f>
        <v>1.6633077929901556</v>
      </c>
      <c r="P66" s="1496">
        <f>Tabel668910192832[[#This Row],[Total. ch. DW 2015]]+Tabel668910192832[[#This Row],[Sew. 2015]]+Tabel668910192832[[#This Row],[WW 2015]]+Tabel668910192832[[#This Row],[Other ch. 2015]]+Tabel668910192832[[#This Row],[VAT 2015]]</f>
        <v>65.38311724444938</v>
      </c>
      <c r="Q66" s="397"/>
      <c r="R66" s="1970"/>
      <c r="S66" s="1973"/>
      <c r="T66" s="1976"/>
      <c r="U66" s="1979"/>
      <c r="V66" s="1982"/>
      <c r="W66" s="1956"/>
      <c r="X66" s="1959"/>
      <c r="Y66" s="1962"/>
      <c r="Z66" s="1965"/>
    </row>
    <row r="67" spans="1:26" ht="15.75" hidden="1" x14ac:dyDescent="0.25">
      <c r="A67" s="1878" t="s">
        <v>10</v>
      </c>
      <c r="B67" s="1213"/>
      <c r="C67" s="1512" t="s">
        <v>85</v>
      </c>
      <c r="D67" s="2343">
        <v>31000</v>
      </c>
      <c r="E67" s="617">
        <f>'[1]exchange rates'!$M$16</f>
        <v>0.92093999999999998</v>
      </c>
      <c r="F67" s="686">
        <f>66/E67</f>
        <v>71.665906573718161</v>
      </c>
      <c r="G67" s="593">
        <f>94/E67</f>
        <v>102.06962451408344</v>
      </c>
      <c r="H67" s="594">
        <v>0</v>
      </c>
      <c r="I67" s="566">
        <f>Tabel668910192832[[#This Row],[Fix.ch. 2015]]+Tabel668910192832[[#This Row],[Var. ch. 2015]]+Tabel668910192832[[#This Row],[Oth. ch. DW 2015]]</f>
        <v>173.7355310878016</v>
      </c>
      <c r="J67" s="596">
        <f>50/E67</f>
        <v>54.292353464937996</v>
      </c>
      <c r="K67" s="626">
        <f>160/E67</f>
        <v>173.7355310878016</v>
      </c>
      <c r="L67" s="626"/>
      <c r="M67" s="626"/>
      <c r="N67" s="597">
        <f>40/E67</f>
        <v>43.433882771950401</v>
      </c>
      <c r="O67" s="570">
        <f>8/E67</f>
        <v>8.6867765543900806</v>
      </c>
      <c r="P67" s="1496">
        <f>Tabel668910192832[[#This Row],[Total. ch. DW 2015]]+Tabel668910192832[[#This Row],[Sew. 2015]]+Tabel668910192832[[#This Row],[WW 2015]]+Tabel668910192832[[#This Row],[Other ch. 2015]]+Tabel668910192832[[#This Row],[VAT 2015]]</f>
        <v>453.88407496688166</v>
      </c>
      <c r="Q67" s="397"/>
      <c r="R67" s="2344">
        <f t="shared" ref="R67:W67" si="16">SUM(F67:F70)/4</f>
        <v>60.264512346081176</v>
      </c>
      <c r="S67" s="2345">
        <f t="shared" si="16"/>
        <v>98.974960366581968</v>
      </c>
      <c r="T67" s="2350">
        <f t="shared" si="16"/>
        <v>0</v>
      </c>
      <c r="U67" s="2340">
        <f t="shared" si="16"/>
        <v>159.23947271266314</v>
      </c>
      <c r="V67" s="2351">
        <f t="shared" si="16"/>
        <v>56.464047603535519</v>
      </c>
      <c r="W67" s="2352">
        <f t="shared" si="16"/>
        <v>183.0113796772863</v>
      </c>
      <c r="X67" s="2341">
        <f t="shared" ref="X67:Z67" si="17">SUM(N67:N70)/4</f>
        <v>29.589332638391209</v>
      </c>
      <c r="Y67" s="2342">
        <f t="shared" si="17"/>
        <v>7.9619736356331581</v>
      </c>
      <c r="Z67" s="2339">
        <f t="shared" si="17"/>
        <v>436.26620626750935</v>
      </c>
    </row>
    <row r="68" spans="1:26" ht="15.75" hidden="1" x14ac:dyDescent="0.25">
      <c r="A68" s="1757"/>
      <c r="B68" s="1213"/>
      <c r="C68" s="639" t="s">
        <v>1347</v>
      </c>
      <c r="D68" s="1760"/>
      <c r="E68" s="617">
        <f>'[1]exchange rates'!$M$16</f>
        <v>0.92093999999999998</v>
      </c>
      <c r="F68" s="686">
        <f>42/E68</f>
        <v>45.605576910547917</v>
      </c>
      <c r="G68" s="593">
        <f>96/E68</f>
        <v>104.24131865268096</v>
      </c>
      <c r="H68" s="594">
        <v>0</v>
      </c>
      <c r="I68" s="566">
        <f>Tabel668910192832[[#This Row],[Fix.ch. 2015]]+Tabel668910192832[[#This Row],[Var. ch. 2015]]+Tabel668910192832[[#This Row],[Oth. ch. DW 2015]]</f>
        <v>149.84689556322888</v>
      </c>
      <c r="J68" s="596">
        <f>55/E68</f>
        <v>59.721588811431801</v>
      </c>
      <c r="K68" s="626">
        <f>225.12/E68</f>
        <v>244.44589224053686</v>
      </c>
      <c r="L68" s="626"/>
      <c r="M68" s="626"/>
      <c r="N68" s="597">
        <v>0</v>
      </c>
      <c r="O68" s="570">
        <f>6.9/E68</f>
        <v>7.4923447781614438</v>
      </c>
      <c r="P68" s="1496">
        <f>Tabel668910192832[[#This Row],[Total. ch. DW 2015]]+Tabel668910192832[[#This Row],[Sew. 2015]]+Tabel668910192832[[#This Row],[WW 2015]]+Tabel668910192832[[#This Row],[Other ch. 2015]]+Tabel668910192832[[#This Row],[VAT 2015]]</f>
        <v>461.50672139335899</v>
      </c>
      <c r="Q68" s="397"/>
      <c r="R68" s="1763"/>
      <c r="S68" s="1766"/>
      <c r="T68" s="1769"/>
      <c r="U68" s="1775"/>
      <c r="V68" s="1778"/>
      <c r="W68" s="1781"/>
      <c r="X68" s="1785"/>
      <c r="Y68" s="1788"/>
      <c r="Z68" s="1791"/>
    </row>
    <row r="69" spans="1:26" ht="15.75" hidden="1" x14ac:dyDescent="0.25">
      <c r="A69" s="1757"/>
      <c r="B69" s="1213"/>
      <c r="C69" s="639" t="s">
        <v>1348</v>
      </c>
      <c r="D69" s="1760"/>
      <c r="E69" s="617">
        <f>'[1]exchange rates'!$M$16</f>
        <v>0.92093999999999998</v>
      </c>
      <c r="F69" s="686">
        <f>66/E69</f>
        <v>71.665906573718161</v>
      </c>
      <c r="G69" s="593">
        <f>90/E69</f>
        <v>97.726236236888397</v>
      </c>
      <c r="H69" s="594">
        <v>0</v>
      </c>
      <c r="I69" s="566">
        <f>Tabel668910192832[[#This Row],[Fix.ch. 2015]]+Tabel668910192832[[#This Row],[Var. ch. 2015]]+Tabel668910192832[[#This Row],[Oth. ch. DW 2015]]</f>
        <v>169.39214281060657</v>
      </c>
      <c r="J69" s="596">
        <f>60/E69</f>
        <v>65.150824157925598</v>
      </c>
      <c r="K69" s="626">
        <f>157.05/E69</f>
        <v>170.53228223337027</v>
      </c>
      <c r="L69" s="626"/>
      <c r="M69" s="626"/>
      <c r="N69" s="597">
        <f>36/E69</f>
        <v>39.090494494755362</v>
      </c>
      <c r="O69" s="570">
        <f>7.8/E69</f>
        <v>8.4696071405303268</v>
      </c>
      <c r="P69" s="1496">
        <f>Tabel668910192832[[#This Row],[Total. ch. DW 2015]]+Tabel668910192832[[#This Row],[Sew. 2015]]+Tabel668910192832[[#This Row],[WW 2015]]+Tabel668910192832[[#This Row],[Other ch. 2015]]+Tabel668910192832[[#This Row],[VAT 2015]]</f>
        <v>452.63535083718818</v>
      </c>
      <c r="Q69" s="397"/>
      <c r="R69" s="1763"/>
      <c r="S69" s="1766"/>
      <c r="T69" s="1769"/>
      <c r="U69" s="1775"/>
      <c r="V69" s="1778"/>
      <c r="W69" s="1781"/>
      <c r="X69" s="1785"/>
      <c r="Y69" s="1788"/>
      <c r="Z69" s="1791"/>
    </row>
    <row r="70" spans="1:26" ht="16.5" hidden="1" thickBot="1" x14ac:dyDescent="0.3">
      <c r="A70" s="1758"/>
      <c r="B70" s="1213"/>
      <c r="C70" s="1168" t="s">
        <v>86</v>
      </c>
      <c r="D70" s="1923"/>
      <c r="E70" s="617">
        <f>'[1]exchange rates'!$M$16</f>
        <v>0.92093999999999998</v>
      </c>
      <c r="F70" s="686">
        <f>48/E70</f>
        <v>52.12065932634048</v>
      </c>
      <c r="G70" s="593">
        <f>84.6/E70</f>
        <v>91.862662062675085</v>
      </c>
      <c r="H70" s="594">
        <v>0</v>
      </c>
      <c r="I70" s="566">
        <f>Tabel668910192832[[#This Row],[Fix.ch. 2015]]+Tabel668910192832[[#This Row],[Var. ch. 2015]]+Tabel668910192832[[#This Row],[Oth. ch. DW 2015]]</f>
        <v>143.98332138901557</v>
      </c>
      <c r="J70" s="596">
        <f>43/E70</f>
        <v>46.691423979846682</v>
      </c>
      <c r="K70" s="626">
        <f>132/E70</f>
        <v>143.33181314743632</v>
      </c>
      <c r="L70" s="626"/>
      <c r="M70" s="626"/>
      <c r="N70" s="597">
        <f>33/E70</f>
        <v>35.83295328685908</v>
      </c>
      <c r="O70" s="570">
        <f>6.63/E70</f>
        <v>7.1991660694507784</v>
      </c>
      <c r="P70" s="1496">
        <f>Tabel668910192832[[#This Row],[Total. ch. DW 2015]]+Tabel668910192832[[#This Row],[Sew. 2015]]+Tabel668910192832[[#This Row],[WW 2015]]+Tabel668910192832[[#This Row],[Other ch. 2015]]+Tabel668910192832[[#This Row],[VAT 2015]]</f>
        <v>377.03867787260845</v>
      </c>
      <c r="Q70" s="397"/>
      <c r="R70" s="1970"/>
      <c r="S70" s="1973"/>
      <c r="T70" s="1976"/>
      <c r="U70" s="1979"/>
      <c r="V70" s="1982"/>
      <c r="W70" s="1956"/>
      <c r="X70" s="1959"/>
      <c r="Y70" s="1962"/>
      <c r="Z70" s="1965"/>
    </row>
    <row r="71" spans="1:26" ht="15.75" hidden="1" x14ac:dyDescent="0.25">
      <c r="A71" s="1818" t="s">
        <v>11</v>
      </c>
      <c r="B71" s="1213"/>
      <c r="C71" s="543" t="s">
        <v>87</v>
      </c>
      <c r="D71" s="2343">
        <v>45800</v>
      </c>
      <c r="E71" s="661">
        <f>'[1]exchange rates'!$M$17</f>
        <v>6.8727499999999999</v>
      </c>
      <c r="F71" s="686">
        <f>975.04/E71</f>
        <v>141.87043032265103</v>
      </c>
      <c r="G71" s="593">
        <f>439.8/E71</f>
        <v>63.991851878796702</v>
      </c>
      <c r="H71" s="594">
        <f>653/E71</f>
        <v>95.012913317085591</v>
      </c>
      <c r="I71" s="566">
        <f>Tabel668910192832[[#This Row],[Fix.ch. 2015]]+Tabel668910192832[[#This Row],[Var. ch. 2015]]+Tabel668910192832[[#This Row],[Oth. ch. DW 2015]]</f>
        <v>300.8751955185333</v>
      </c>
      <c r="J71" s="596">
        <v>0</v>
      </c>
      <c r="K71" s="626">
        <f>2558/E71</f>
        <v>372.19453639372887</v>
      </c>
      <c r="L71" s="626"/>
      <c r="M71" s="626"/>
      <c r="N71" s="597">
        <f>58/E71</f>
        <v>8.4391255319922891</v>
      </c>
      <c r="O71" s="570">
        <f>1170.96/E71</f>
        <v>170.37721436106364</v>
      </c>
      <c r="P71" s="1496">
        <f>Tabel668910192832[[#This Row],[Total. ch. DW 2015]]+Tabel668910192832[[#This Row],[Sew. 2015]]+Tabel668910192832[[#This Row],[WW 2015]]+Tabel668910192832[[#This Row],[Other ch. 2015]]+Tabel668910192832[[#This Row],[VAT 2015]]</f>
        <v>851.88607180531812</v>
      </c>
      <c r="Q71" s="397"/>
      <c r="R71" s="2344">
        <f t="shared" ref="R71:W71" si="18">SUM(F71:F75)/5</f>
        <v>88.78658470044742</v>
      </c>
      <c r="S71" s="2345">
        <f t="shared" si="18"/>
        <v>108.78323815066749</v>
      </c>
      <c r="T71" s="2350">
        <f t="shared" si="18"/>
        <v>95.012913317085591</v>
      </c>
      <c r="U71" s="2340">
        <f t="shared" si="18"/>
        <v>292.58273616820054</v>
      </c>
      <c r="V71" s="2351">
        <f t="shared" si="18"/>
        <v>0</v>
      </c>
      <c r="W71" s="2352">
        <f t="shared" si="18"/>
        <v>383.74275217343859</v>
      </c>
      <c r="X71" s="2341">
        <f t="shared" ref="X71:Z71" si="19">SUM(N71:N75)/5</f>
        <v>7.59521297879306</v>
      </c>
      <c r="Y71" s="2342">
        <f t="shared" si="19"/>
        <v>170.98017533010804</v>
      </c>
      <c r="Z71" s="2339">
        <f t="shared" si="19"/>
        <v>854.90087665054011</v>
      </c>
    </row>
    <row r="72" spans="1:26" ht="15.75" hidden="1" x14ac:dyDescent="0.25">
      <c r="A72" s="2294"/>
      <c r="B72" s="1213"/>
      <c r="C72" s="543" t="s">
        <v>213</v>
      </c>
      <c r="D72" s="1880"/>
      <c r="E72" s="661">
        <f>'[1]exchange rates'!$M$17</f>
        <v>6.8727499999999999</v>
      </c>
      <c r="F72" s="686">
        <f>550/E72</f>
        <v>80.026190389582041</v>
      </c>
      <c r="G72" s="593">
        <f>1071/E72</f>
        <v>155.83281801316795</v>
      </c>
      <c r="H72" s="594">
        <f t="shared" ref="H72:H75" si="20">653/E72</f>
        <v>95.012913317085591</v>
      </c>
      <c r="I72" s="566">
        <f>Tabel668910192832[[#This Row],[Fix.ch. 2015]]+Tabel668910192832[[#This Row],[Var. ch. 2015]]+Tabel668910192832[[#This Row],[Oth. ch. DW 2015]]</f>
        <v>330.8719217198356</v>
      </c>
      <c r="J72" s="596">
        <v>0</v>
      </c>
      <c r="K72" s="626">
        <f>2937.2/E72</f>
        <v>427.36895711323706</v>
      </c>
      <c r="L72" s="626"/>
      <c r="M72" s="626"/>
      <c r="N72" s="597">
        <f>50/E72</f>
        <v>7.2751082172347319</v>
      </c>
      <c r="O72" s="570">
        <f>1315.3/E72</f>
        <v>191.37899676257683</v>
      </c>
      <c r="P72" s="1496">
        <f>Tabel668910192832[[#This Row],[Total. ch. DW 2015]]+Tabel668910192832[[#This Row],[Sew. 2015]]+Tabel668910192832[[#This Row],[WW 2015]]+Tabel668910192832[[#This Row],[Other ch. 2015]]+Tabel668910192832[[#This Row],[VAT 2015]]</f>
        <v>956.89498381288422</v>
      </c>
      <c r="Q72" s="397"/>
      <c r="R72" s="1886"/>
      <c r="S72" s="1888"/>
      <c r="T72" s="1890"/>
      <c r="U72" s="1892"/>
      <c r="V72" s="1894"/>
      <c r="W72" s="1911"/>
      <c r="X72" s="1913"/>
      <c r="Y72" s="1915"/>
      <c r="Z72" s="1832"/>
    </row>
    <row r="73" spans="1:26" ht="15.75" hidden="1" x14ac:dyDescent="0.25">
      <c r="A73" s="2294"/>
      <c r="B73" s="1213"/>
      <c r="C73" s="543" t="s">
        <v>88</v>
      </c>
      <c r="D73" s="1880"/>
      <c r="E73" s="661">
        <f>'[1]exchange rates'!$M$17</f>
        <v>6.8727499999999999</v>
      </c>
      <c r="F73" s="686">
        <f>384/E73</f>
        <v>55.872831108362739</v>
      </c>
      <c r="G73" s="593">
        <f>867/E73</f>
        <v>126.15037648685025</v>
      </c>
      <c r="H73" s="594">
        <f t="shared" si="20"/>
        <v>95.012913317085591</v>
      </c>
      <c r="I73" s="566">
        <f>Tabel668910192832[[#This Row],[Fix.ch. 2015]]+Tabel668910192832[[#This Row],[Var. ch. 2015]]+Tabel668910192832[[#This Row],[Oth. ch. DW 2015]]</f>
        <v>277.0361209122986</v>
      </c>
      <c r="J73" s="596">
        <v>0</v>
      </c>
      <c r="K73" s="626">
        <f>1423.2/E73</f>
        <v>207.0786802953694</v>
      </c>
      <c r="L73" s="626"/>
      <c r="M73" s="626"/>
      <c r="N73" s="597">
        <f>56/E73</f>
        <v>8.1481212033028996</v>
      </c>
      <c r="O73" s="570">
        <f>845.8/E73</f>
        <v>123.0657306027427</v>
      </c>
      <c r="P73" s="1496">
        <f>Tabel668910192832[[#This Row],[Total. ch. DW 2015]]+Tabel668910192832[[#This Row],[Sew. 2015]]+Tabel668910192832[[#This Row],[WW 2015]]+Tabel668910192832[[#This Row],[Other ch. 2015]]+Tabel668910192832[[#This Row],[VAT 2015]]</f>
        <v>615.32865301371362</v>
      </c>
      <c r="Q73" s="397"/>
      <c r="R73" s="1886"/>
      <c r="S73" s="1888"/>
      <c r="T73" s="1890"/>
      <c r="U73" s="1892"/>
      <c r="V73" s="1894"/>
      <c r="W73" s="1911"/>
      <c r="X73" s="1913"/>
      <c r="Y73" s="1915"/>
      <c r="Z73" s="1832"/>
    </row>
    <row r="74" spans="1:26" ht="15.75" hidden="1" x14ac:dyDescent="0.25">
      <c r="A74" s="2294"/>
      <c r="B74" s="1213"/>
      <c r="C74" s="543" t="s">
        <v>89</v>
      </c>
      <c r="D74" s="1880"/>
      <c r="E74" s="661">
        <f>'[1]exchange rates'!$M$17</f>
        <v>6.8727499999999999</v>
      </c>
      <c r="F74" s="686">
        <f>662/E74</f>
        <v>96.32243279618784</v>
      </c>
      <c r="G74" s="593">
        <f>485.4/E74</f>
        <v>70.626750572914773</v>
      </c>
      <c r="H74" s="594">
        <f t="shared" si="20"/>
        <v>95.012913317085591</v>
      </c>
      <c r="I74" s="566">
        <f>Tabel668910192832[[#This Row],[Fix.ch. 2015]]+Tabel668910192832[[#This Row],[Var. ch. 2015]]+Tabel668910192832[[#This Row],[Oth. ch. DW 2015]]</f>
        <v>261.9620966861882</v>
      </c>
      <c r="J74" s="596">
        <v>0</v>
      </c>
      <c r="K74" s="626">
        <f>2879.04/E74</f>
        <v>418.90655123494963</v>
      </c>
      <c r="L74" s="626"/>
      <c r="M74" s="626"/>
      <c r="N74" s="597">
        <f>46/E74</f>
        <v>6.6930995598559528</v>
      </c>
      <c r="O74" s="570">
        <f>1181.36/E74</f>
        <v>171.89043687024844</v>
      </c>
      <c r="P74" s="1496">
        <f>Tabel668910192832[[#This Row],[Total. ch. DW 2015]]+Tabel668910192832[[#This Row],[Sew. 2015]]+Tabel668910192832[[#This Row],[WW 2015]]+Tabel668910192832[[#This Row],[Other ch. 2015]]+Tabel668910192832[[#This Row],[VAT 2015]]</f>
        <v>859.45218435124218</v>
      </c>
      <c r="Q74" s="397"/>
      <c r="R74" s="1886"/>
      <c r="S74" s="1888"/>
      <c r="T74" s="1890"/>
      <c r="U74" s="1892"/>
      <c r="V74" s="1894"/>
      <c r="W74" s="1911"/>
      <c r="X74" s="1913"/>
      <c r="Y74" s="1915"/>
      <c r="Z74" s="1832"/>
    </row>
    <row r="75" spans="1:26" ht="16.5" hidden="1" thickBot="1" x14ac:dyDescent="0.3">
      <c r="A75" s="2295"/>
      <c r="B75" s="1213"/>
      <c r="C75" s="544" t="s">
        <v>90</v>
      </c>
      <c r="D75" s="1923"/>
      <c r="E75" s="661">
        <f>'[1]exchange rates'!$M$17</f>
        <v>6.8727499999999999</v>
      </c>
      <c r="F75" s="686">
        <f>480/E75</f>
        <v>69.841038885453429</v>
      </c>
      <c r="G75" s="593">
        <f>875/E75</f>
        <v>127.31439380160781</v>
      </c>
      <c r="H75" s="594">
        <f t="shared" si="20"/>
        <v>95.012913317085591</v>
      </c>
      <c r="I75" s="566">
        <f>Tabel668910192832[[#This Row],[Fix.ch. 2015]]+Tabel668910192832[[#This Row],[Var. ch. 2015]]+Tabel668910192832[[#This Row],[Oth. ch. DW 2015]]</f>
        <v>292.16834600414683</v>
      </c>
      <c r="J75" s="596">
        <v>0</v>
      </c>
      <c r="K75" s="626">
        <f>3389.4/E75</f>
        <v>493.16503582990799</v>
      </c>
      <c r="L75" s="626"/>
      <c r="M75" s="626"/>
      <c r="N75" s="597">
        <f>51/E75</f>
        <v>7.4206103815794258</v>
      </c>
      <c r="O75" s="570">
        <f>1362.1/E75</f>
        <v>198.18849805390855</v>
      </c>
      <c r="P75" s="1496">
        <f>Tabel668910192832[[#This Row],[Total. ch. DW 2015]]+Tabel668910192832[[#This Row],[Sew. 2015]]+Tabel668910192832[[#This Row],[WW 2015]]+Tabel668910192832[[#This Row],[Other ch. 2015]]+Tabel668910192832[[#This Row],[VAT 2015]]</f>
        <v>990.94249026954276</v>
      </c>
      <c r="Q75" s="397"/>
      <c r="R75" s="1970"/>
      <c r="S75" s="1973"/>
      <c r="T75" s="1976"/>
      <c r="U75" s="1979"/>
      <c r="V75" s="1982"/>
      <c r="W75" s="1956"/>
      <c r="X75" s="1959"/>
      <c r="Y75" s="1962"/>
      <c r="Z75" s="1965"/>
    </row>
    <row r="76" spans="1:26" ht="15.75" hidden="1" x14ac:dyDescent="0.25">
      <c r="A76" s="1818" t="s">
        <v>12</v>
      </c>
      <c r="B76" s="1213"/>
      <c r="C76" s="1513" t="s">
        <v>91</v>
      </c>
      <c r="D76" s="2343">
        <v>41200</v>
      </c>
      <c r="E76" s="616">
        <f>'[1]exchange rates'!$M$18</f>
        <v>0.92093999999999998</v>
      </c>
      <c r="F76" s="686">
        <f>38.59/E76</f>
        <v>41.902838404239155</v>
      </c>
      <c r="G76" s="593">
        <f>108/E76</f>
        <v>117.27148348426608</v>
      </c>
      <c r="H76" s="594">
        <v>0</v>
      </c>
      <c r="I76" s="566">
        <f>Tabel668910192832[[#This Row],[Fix.ch. 2015]]+Tabel668910192832[[#This Row],[Var. ch. 2015]]+Tabel668910192832[[#This Row],[Oth. ch. DW 2015]]</f>
        <v>159.17432188850523</v>
      </c>
      <c r="J76" s="596">
        <v>0</v>
      </c>
      <c r="K76" s="626">
        <f>134/E76</f>
        <v>145.50350728603385</v>
      </c>
      <c r="L76" s="626"/>
      <c r="M76" s="626"/>
      <c r="N76" s="597">
        <f>57.89/E76</f>
        <v>62.859686841705219</v>
      </c>
      <c r="O76" s="570">
        <f>81.24/E76</f>
        <v>88.214215909831253</v>
      </c>
      <c r="P76" s="1496">
        <f>Tabel668910192832[[#This Row],[Total. ch. DW 2015]]+Tabel668910192832[[#This Row],[Sew. 2015]]+Tabel668910192832[[#This Row],[WW 2015]]+Tabel668910192832[[#This Row],[Other ch. 2015]]+Tabel668910192832[[#This Row],[VAT 2015]]</f>
        <v>455.75173192607554</v>
      </c>
      <c r="Q76" s="397"/>
      <c r="R76" s="2344">
        <f t="shared" ref="R76:W76" si="21">SUM(F76:F81)/6</f>
        <v>62.007296892305696</v>
      </c>
      <c r="S76" s="2345">
        <f t="shared" si="21"/>
        <v>123.60559138850886</v>
      </c>
      <c r="T76" s="2350">
        <f t="shared" si="21"/>
        <v>0</v>
      </c>
      <c r="U76" s="2340">
        <f t="shared" si="21"/>
        <v>185.61288828081456</v>
      </c>
      <c r="V76" s="2351">
        <f t="shared" si="21"/>
        <v>0</v>
      </c>
      <c r="W76" s="2352">
        <f t="shared" si="21"/>
        <v>160.70536625621648</v>
      </c>
      <c r="X76" s="2341">
        <f t="shared" ref="X76:Z76" si="22">SUM(N76:N81)/6</f>
        <v>63.798944556648649</v>
      </c>
      <c r="Y76" s="2342">
        <f t="shared" si="22"/>
        <v>98.430227086817084</v>
      </c>
      <c r="Z76" s="2339">
        <f t="shared" si="22"/>
        <v>508.54742618049676</v>
      </c>
    </row>
    <row r="77" spans="1:26" ht="15.75" hidden="1" x14ac:dyDescent="0.25">
      <c r="A77" s="2294"/>
      <c r="B77" s="1213"/>
      <c r="C77" s="543" t="s">
        <v>92</v>
      </c>
      <c r="D77" s="1880"/>
      <c r="E77" s="616">
        <f>'[1]exchange rates'!$M$18</f>
        <v>0.92093999999999998</v>
      </c>
      <c r="F77" s="686">
        <f>38.59/E77</f>
        <v>41.902838404239155</v>
      </c>
      <c r="G77" s="593">
        <f>108/E77</f>
        <v>117.27148348426608</v>
      </c>
      <c r="H77" s="594">
        <v>0</v>
      </c>
      <c r="I77" s="566">
        <f>Tabel668910192832[[#This Row],[Fix.ch. 2015]]+Tabel668910192832[[#This Row],[Var. ch. 2015]]+Tabel668910192832[[#This Row],[Oth. ch. DW 2015]]</f>
        <v>159.17432188850523</v>
      </c>
      <c r="J77" s="596">
        <v>0</v>
      </c>
      <c r="K77" s="626">
        <f>134/E77</f>
        <v>145.50350728603385</v>
      </c>
      <c r="L77" s="626"/>
      <c r="M77" s="626"/>
      <c r="N77" s="597">
        <f>57.89/E77</f>
        <v>62.859686841705219</v>
      </c>
      <c r="O77" s="570">
        <f>81.24/E77</f>
        <v>88.214215909831253</v>
      </c>
      <c r="P77" s="1496">
        <f>Tabel668910192832[[#This Row],[Total. ch. DW 2015]]+Tabel668910192832[[#This Row],[Sew. 2015]]+Tabel668910192832[[#This Row],[WW 2015]]+Tabel668910192832[[#This Row],[Other ch. 2015]]+Tabel668910192832[[#This Row],[VAT 2015]]</f>
        <v>455.75173192607554</v>
      </c>
      <c r="Q77" s="397"/>
      <c r="R77" s="1886"/>
      <c r="S77" s="1888"/>
      <c r="T77" s="1890"/>
      <c r="U77" s="1892"/>
      <c r="V77" s="1894"/>
      <c r="W77" s="1911"/>
      <c r="X77" s="1913"/>
      <c r="Y77" s="1915"/>
      <c r="Z77" s="1832"/>
    </row>
    <row r="78" spans="1:26" ht="15.75" hidden="1" x14ac:dyDescent="0.25">
      <c r="A78" s="2294"/>
      <c r="B78" s="1213"/>
      <c r="C78" s="543" t="s">
        <v>93</v>
      </c>
      <c r="D78" s="1880"/>
      <c r="E78" s="616">
        <f>'[1]exchange rates'!$M$18</f>
        <v>0.92093999999999998</v>
      </c>
      <c r="F78" s="686">
        <f>41.94/E78</f>
        <v>45.540426086389992</v>
      </c>
      <c r="G78" s="593">
        <f>123/E78</f>
        <v>133.55918952374748</v>
      </c>
      <c r="H78" s="594">
        <v>0</v>
      </c>
      <c r="I78" s="566">
        <f>Tabel668910192832[[#This Row],[Fix.ch. 2015]]+Tabel668910192832[[#This Row],[Var. ch. 2015]]+Tabel668910192832[[#This Row],[Oth. ch. DW 2015]]</f>
        <v>179.09961561013748</v>
      </c>
      <c r="J78" s="596">
        <v>0</v>
      </c>
      <c r="K78" s="626">
        <f>168/E78</f>
        <v>182.42230764219167</v>
      </c>
      <c r="L78" s="626"/>
      <c r="M78" s="626"/>
      <c r="N78" s="597">
        <f>41.94/E78</f>
        <v>45.540426086389992</v>
      </c>
      <c r="O78" s="570">
        <f>89.97/E78</f>
        <v>97.693660824809442</v>
      </c>
      <c r="P78" s="1496">
        <f>Tabel668910192832[[#This Row],[Total. ch. DW 2015]]+Tabel668910192832[[#This Row],[Sew. 2015]]+Tabel668910192832[[#This Row],[WW 2015]]+Tabel668910192832[[#This Row],[Other ch. 2015]]+Tabel668910192832[[#This Row],[VAT 2015]]</f>
        <v>504.75601016352857</v>
      </c>
      <c r="Q78" s="397"/>
      <c r="R78" s="1886"/>
      <c r="S78" s="1888"/>
      <c r="T78" s="1890"/>
      <c r="U78" s="1892"/>
      <c r="V78" s="1894"/>
      <c r="W78" s="1911"/>
      <c r="X78" s="1913"/>
      <c r="Y78" s="1915"/>
      <c r="Z78" s="1832"/>
    </row>
    <row r="79" spans="1:26" ht="15.75" hidden="1" x14ac:dyDescent="0.25">
      <c r="A79" s="2294"/>
      <c r="B79" s="1213"/>
      <c r="C79" s="543" t="s">
        <v>94</v>
      </c>
      <c r="D79" s="1880"/>
      <c r="E79" s="616">
        <f>'[1]exchange rates'!$M$18</f>
        <v>0.92093999999999998</v>
      </c>
      <c r="F79" s="686">
        <f>76.92/E79</f>
        <v>83.523356570460621</v>
      </c>
      <c r="G79" s="593">
        <f>109/E79</f>
        <v>118.35733055356484</v>
      </c>
      <c r="H79" s="594">
        <v>0</v>
      </c>
      <c r="I79" s="566">
        <f>Tabel668910192832[[#This Row],[Fix.ch. 2015]]+Tabel668910192832[[#This Row],[Var. ch. 2015]]+Tabel668910192832[[#This Row],[Oth. ch. DW 2015]]</f>
        <v>201.88068712402546</v>
      </c>
      <c r="J79" s="596">
        <v>0</v>
      </c>
      <c r="K79" s="626">
        <f>160/E79</f>
        <v>173.7355310878016</v>
      </c>
      <c r="L79" s="626"/>
      <c r="M79" s="626"/>
      <c r="N79" s="597">
        <f>76.92/E79</f>
        <v>83.523356570460621</v>
      </c>
      <c r="O79" s="570">
        <f>101.48/E79</f>
        <v>110.19176059243817</v>
      </c>
      <c r="P79" s="1496">
        <f>Tabel668910192832[[#This Row],[Total. ch. DW 2015]]+Tabel668910192832[[#This Row],[Sew. 2015]]+Tabel668910192832[[#This Row],[WW 2015]]+Tabel668910192832[[#This Row],[Other ch. 2015]]+Tabel668910192832[[#This Row],[VAT 2015]]</f>
        <v>569.33133537472588</v>
      </c>
      <c r="Q79" s="397"/>
      <c r="R79" s="1886"/>
      <c r="S79" s="1888"/>
      <c r="T79" s="1890"/>
      <c r="U79" s="1892"/>
      <c r="V79" s="1894"/>
      <c r="W79" s="1911"/>
      <c r="X79" s="1913"/>
      <c r="Y79" s="1915"/>
      <c r="Z79" s="1832"/>
    </row>
    <row r="80" spans="1:26" ht="15.75" hidden="1" x14ac:dyDescent="0.25">
      <c r="A80" s="2294"/>
      <c r="B80" s="1213"/>
      <c r="C80" s="543" t="s">
        <v>95</v>
      </c>
      <c r="D80" s="1880"/>
      <c r="E80" s="616">
        <f>'[1]exchange rates'!$M$18</f>
        <v>0.92093999999999998</v>
      </c>
      <c r="F80" s="686">
        <f>108/E80</f>
        <v>117.27148348426608</v>
      </c>
      <c r="G80" s="593">
        <f>127/E80</f>
        <v>137.90257780094251</v>
      </c>
      <c r="H80" s="594">
        <v>0</v>
      </c>
      <c r="I80" s="566">
        <f>Tabel668910192832[[#This Row],[Fix.ch. 2015]]+Tabel668910192832[[#This Row],[Var. ch. 2015]]+Tabel668910192832[[#This Row],[Oth. ch. DW 2015]]</f>
        <v>255.17406128520861</v>
      </c>
      <c r="J80" s="596">
        <v>0</v>
      </c>
      <c r="K80" s="626">
        <f>158/E80</f>
        <v>171.56383694920407</v>
      </c>
      <c r="L80" s="626"/>
      <c r="M80" s="626"/>
      <c r="N80" s="597">
        <f>60/E80</f>
        <v>65.150824157925598</v>
      </c>
      <c r="O80" s="570">
        <f>108.72/E80</f>
        <v>118.05329337416119</v>
      </c>
      <c r="P80" s="1496">
        <f>Tabel668910192832[[#This Row],[Total. ch. DW 2015]]+Tabel668910192832[[#This Row],[Sew. 2015]]+Tabel668910192832[[#This Row],[WW 2015]]+Tabel668910192832[[#This Row],[Other ch. 2015]]+Tabel668910192832[[#This Row],[VAT 2015]]</f>
        <v>609.94201576649948</v>
      </c>
      <c r="Q80" s="397"/>
      <c r="R80" s="1886"/>
      <c r="S80" s="1888"/>
      <c r="T80" s="1890"/>
      <c r="U80" s="1892"/>
      <c r="V80" s="1894"/>
      <c r="W80" s="1911"/>
      <c r="X80" s="1913"/>
      <c r="Y80" s="1915"/>
      <c r="Z80" s="1832"/>
    </row>
    <row r="81" spans="1:26" ht="16.5" hidden="1" thickBot="1" x14ac:dyDescent="0.3">
      <c r="A81" s="2295"/>
      <c r="B81" s="1213"/>
      <c r="C81" s="544" t="s">
        <v>195</v>
      </c>
      <c r="D81" s="1923"/>
      <c r="E81" s="616">
        <f>'[1]exchange rates'!$M$18</f>
        <v>0.92093999999999998</v>
      </c>
      <c r="F81" s="686">
        <f>38.59/E81</f>
        <v>41.902838404239155</v>
      </c>
      <c r="G81" s="593">
        <f>108/E81</f>
        <v>117.27148348426608</v>
      </c>
      <c r="H81" s="594">
        <v>0</v>
      </c>
      <c r="I81" s="566">
        <f>Tabel668910192832[[#This Row],[Fix.ch. 2015]]+Tabel668910192832[[#This Row],[Var. ch. 2015]]+Tabel668910192832[[#This Row],[Oth. ch. DW 2015]]</f>
        <v>159.17432188850523</v>
      </c>
      <c r="J81" s="596">
        <v>0</v>
      </c>
      <c r="K81" s="626">
        <f>134/E81</f>
        <v>145.50350728603385</v>
      </c>
      <c r="L81" s="626"/>
      <c r="M81" s="626"/>
      <c r="N81" s="597">
        <f>57.89/E81</f>
        <v>62.859686841705219</v>
      </c>
      <c r="O81" s="570">
        <f>81.24/E81</f>
        <v>88.214215909831253</v>
      </c>
      <c r="P81" s="1496">
        <f>Tabel668910192832[[#This Row],[Total. ch. DW 2015]]+Tabel668910192832[[#This Row],[Sew. 2015]]+Tabel668910192832[[#This Row],[WW 2015]]+Tabel668910192832[[#This Row],[Other ch. 2015]]+Tabel668910192832[[#This Row],[VAT 2015]]</f>
        <v>455.75173192607554</v>
      </c>
      <c r="Q81" s="397"/>
      <c r="R81" s="1970"/>
      <c r="S81" s="1973"/>
      <c r="T81" s="1976"/>
      <c r="U81" s="1979"/>
      <c r="V81" s="1982"/>
      <c r="W81" s="1956"/>
      <c r="X81" s="1959"/>
      <c r="Y81" s="1962"/>
      <c r="Z81" s="1965"/>
    </row>
    <row r="82" spans="1:26" ht="15.75" hidden="1" customHeight="1" x14ac:dyDescent="0.25">
      <c r="A82" s="1878" t="s">
        <v>13</v>
      </c>
      <c r="B82" s="1213"/>
      <c r="C82" s="1513" t="s">
        <v>97</v>
      </c>
      <c r="D82" s="2343">
        <v>41400</v>
      </c>
      <c r="E82" s="616">
        <f>'[1]exchange rates'!$M$19</f>
        <v>0.92093999999999998</v>
      </c>
      <c r="F82" s="686">
        <f>54.91/E82</f>
        <v>59.623862575194906</v>
      </c>
      <c r="G82" s="593">
        <f>(1.07*100)/E82</f>
        <v>116.18563641496732</v>
      </c>
      <c r="H82" s="594">
        <f>(0.4*100)/E82</f>
        <v>43.433882771950401</v>
      </c>
      <c r="I82" s="566">
        <f>Tabel668910192832[[#This Row],[Fix.ch. 2015]]+Tabel668910192832[[#This Row],[Var. ch. 2015]]+Tabel668910192832[[#This Row],[Oth. ch. DW 2015]]</f>
        <v>219.24338176211265</v>
      </c>
      <c r="J82" s="596">
        <f>(1.1*100)/E82</f>
        <v>119.44317762286362</v>
      </c>
      <c r="K82" s="626">
        <f>(0*100)/E82</f>
        <v>0</v>
      </c>
      <c r="L82" s="626"/>
      <c r="M82" s="626"/>
      <c r="N82" s="597">
        <f>(0.235*100)/E82</f>
        <v>25.517406128520861</v>
      </c>
      <c r="O82" s="570">
        <f>(11.07+13.31)/E82</f>
        <v>26.472951549503772</v>
      </c>
      <c r="P82" s="1496">
        <f>Tabel668910192832[[#This Row],[Total. ch. DW 2015]]+Tabel668910192832[[#This Row],[Sew. 2015]]+Tabel668910192832[[#This Row],[WW 2015]]+Tabel668910192832[[#This Row],[Other ch. 2015]]+Tabel668910192832[[#This Row],[VAT 2015]]</f>
        <v>390.67691706300087</v>
      </c>
      <c r="Q82" s="397"/>
      <c r="R82" s="2344">
        <f t="shared" ref="R82:W82" si="23">SUM(F82:F92)/11</f>
        <v>27.913179616873666</v>
      </c>
      <c r="S82" s="2345">
        <f t="shared" si="23"/>
        <v>133.26304941393872</v>
      </c>
      <c r="T82" s="2350">
        <f t="shared" si="23"/>
        <v>46.493997239974171</v>
      </c>
      <c r="U82" s="2340">
        <f t="shared" si="23"/>
        <v>207.67022627078657</v>
      </c>
      <c r="V82" s="2351">
        <f t="shared" si="23"/>
        <v>133.75661626361997</v>
      </c>
      <c r="W82" s="2352">
        <f t="shared" si="23"/>
        <v>14.116011900883878</v>
      </c>
      <c r="X82" s="2341">
        <f t="shared" ref="X82:Z82" si="24">SUM(N82:N92)/11</f>
        <v>30.735394863351086</v>
      </c>
      <c r="Y82" s="2342">
        <f t="shared" si="24"/>
        <v>29.2527200469086</v>
      </c>
      <c r="Z82" s="2339">
        <f t="shared" si="24"/>
        <v>415.53096934555009</v>
      </c>
    </row>
    <row r="83" spans="1:26" ht="15.75" hidden="1" customHeight="1" x14ac:dyDescent="0.25">
      <c r="A83" s="1757"/>
      <c r="B83" s="1213"/>
      <c r="C83" s="543" t="s">
        <v>98</v>
      </c>
      <c r="D83" s="1880"/>
      <c r="E83" s="616">
        <f>'[1]exchange rates'!$M$19</f>
        <v>0.92093999999999998</v>
      </c>
      <c r="F83" s="686">
        <f>0/E83</f>
        <v>0</v>
      </c>
      <c r="G83" s="593">
        <f>(1.48*100)/E83</f>
        <v>160.70536625621648</v>
      </c>
      <c r="H83" s="594">
        <f>(0.48*100)/E83</f>
        <v>52.12065932634048</v>
      </c>
      <c r="I83" s="566">
        <f>Tabel668910192832[[#This Row],[Fix.ch. 2015]]+Tabel668910192832[[#This Row],[Var. ch. 2015]]+Tabel668910192832[[#This Row],[Oth. ch. DW 2015]]</f>
        <v>212.82602558255695</v>
      </c>
      <c r="J83" s="596">
        <f>(1.78*100)/E83</f>
        <v>193.28077833517926</v>
      </c>
      <c r="K83" s="626">
        <f>(0*100)/E83</f>
        <v>0</v>
      </c>
      <c r="L83" s="626"/>
      <c r="M83" s="626"/>
      <c r="N83" s="597">
        <f>(0.48*100)/E83</f>
        <v>52.12065932634048</v>
      </c>
      <c r="O83" s="570">
        <f>(10.73+22.59)/E83</f>
        <v>36.180424349034681</v>
      </c>
      <c r="P83" s="1496">
        <f>Tabel668910192832[[#This Row],[Total. ch. DW 2015]]+Tabel668910192832[[#This Row],[Sew. 2015]]+Tabel668910192832[[#This Row],[WW 2015]]+Tabel668910192832[[#This Row],[Other ch. 2015]]+Tabel668910192832[[#This Row],[VAT 2015]]</f>
        <v>494.40788759311141</v>
      </c>
      <c r="Q83" s="397"/>
      <c r="R83" s="1886"/>
      <c r="S83" s="1888"/>
      <c r="T83" s="1890"/>
      <c r="U83" s="1892"/>
      <c r="V83" s="1894"/>
      <c r="W83" s="1911"/>
      <c r="X83" s="1913"/>
      <c r="Y83" s="1915"/>
      <c r="Z83" s="1832"/>
    </row>
    <row r="84" spans="1:26" ht="15.75" hidden="1" customHeight="1" x14ac:dyDescent="0.25">
      <c r="A84" s="1757"/>
      <c r="B84" s="1213"/>
      <c r="C84" s="543" t="s">
        <v>99</v>
      </c>
      <c r="D84" s="1880"/>
      <c r="E84" s="616">
        <f>'[1]exchange rates'!$M$19</f>
        <v>0.92093999999999998</v>
      </c>
      <c r="F84" s="686">
        <f>18.41/E84</f>
        <v>19.990444545790172</v>
      </c>
      <c r="G84" s="593">
        <f>(1.12*100)/E84</f>
        <v>121.61487176146113</v>
      </c>
      <c r="H84" s="594">
        <f>(0.45*100)/E84</f>
        <v>48.863118118444199</v>
      </c>
      <c r="I84" s="566">
        <f>Tabel668910192832[[#This Row],[Fix.ch. 2015]]+Tabel668910192832[[#This Row],[Var. ch. 2015]]+Tabel668910192832[[#This Row],[Oth. ch. DW 2015]]</f>
        <v>190.46843442569551</v>
      </c>
      <c r="J84" s="596">
        <f>(1.46*100)/E84</f>
        <v>158.53367211761895</v>
      </c>
      <c r="K84" s="626">
        <f>(0*100)/E84</f>
        <v>0</v>
      </c>
      <c r="L84" s="626"/>
      <c r="M84" s="626"/>
      <c r="N84" s="597">
        <f>(0.2616*100)/E84</f>
        <v>28.40575933285556</v>
      </c>
      <c r="O84" s="570">
        <f>(9.66+17.24)/E84</f>
        <v>29.209286164136643</v>
      </c>
      <c r="P84" s="1496">
        <f>Tabel668910192832[[#This Row],[Total. ch. DW 2015]]+Tabel668910192832[[#This Row],[Sew. 2015]]+Tabel668910192832[[#This Row],[WW 2015]]+Tabel668910192832[[#This Row],[Other ch. 2015]]+Tabel668910192832[[#This Row],[VAT 2015]]</f>
        <v>406.61715204030662</v>
      </c>
      <c r="Q84" s="397"/>
      <c r="R84" s="1886"/>
      <c r="S84" s="1888"/>
      <c r="T84" s="1890"/>
      <c r="U84" s="1892"/>
      <c r="V84" s="1894"/>
      <c r="W84" s="1911"/>
      <c r="X84" s="1913"/>
      <c r="Y84" s="1915"/>
      <c r="Z84" s="1832"/>
    </row>
    <row r="85" spans="1:26" ht="15.75" hidden="1" customHeight="1" x14ac:dyDescent="0.25">
      <c r="A85" s="1757"/>
      <c r="B85" s="1213"/>
      <c r="C85" s="543" t="s">
        <v>100</v>
      </c>
      <c r="D85" s="1880"/>
      <c r="E85" s="616">
        <f>'[1]exchange rates'!$M$19</f>
        <v>0.92093999999999998</v>
      </c>
      <c r="F85" s="686">
        <f>60.96/E85</f>
        <v>66.193237344452413</v>
      </c>
      <c r="G85" s="593">
        <f>(1.18*100)/E85</f>
        <v>128.12995417725367</v>
      </c>
      <c r="H85" s="594">
        <f>(0.35*100)/E85</f>
        <v>38.004647425456596</v>
      </c>
      <c r="I85" s="566">
        <f>Tabel668910192832[[#This Row],[Fix.ch. 2015]]+Tabel668910192832[[#This Row],[Var. ch. 2015]]+Tabel668910192832[[#This Row],[Oth. ch. DW 2015]]</f>
        <v>232.32783894716266</v>
      </c>
      <c r="J85" s="596">
        <f>(0.96*100)/E85</f>
        <v>104.24131865268096</v>
      </c>
      <c r="K85" s="626">
        <v>0</v>
      </c>
      <c r="L85" s="626"/>
      <c r="M85" s="626"/>
      <c r="N85" s="597">
        <f>(0.1764*100)/E85</f>
        <v>19.154342302430127</v>
      </c>
      <c r="O85" s="570">
        <f>(11.77+11.39)/E85</f>
        <v>25.148218124959282</v>
      </c>
      <c r="P85" s="1496">
        <f>Tabel668910192832[[#This Row],[Total. ch. DW 2015]]+Tabel668910192832[[#This Row],[Sew. 2015]]+Tabel668910192832[[#This Row],[WW 2015]]+Tabel668910192832[[#This Row],[Other ch. 2015]]+Tabel668910192832[[#This Row],[VAT 2015]]</f>
        <v>380.87171802723299</v>
      </c>
      <c r="Q85" s="397"/>
      <c r="R85" s="1886"/>
      <c r="S85" s="1888"/>
      <c r="T85" s="1890"/>
      <c r="U85" s="1892"/>
      <c r="V85" s="1894"/>
      <c r="W85" s="1911"/>
      <c r="X85" s="1913"/>
      <c r="Y85" s="1915"/>
      <c r="Z85" s="1832"/>
    </row>
    <row r="86" spans="1:26" ht="16.5" hidden="1" customHeight="1" x14ac:dyDescent="0.25">
      <c r="A86" s="1757"/>
      <c r="B86" s="1213"/>
      <c r="C86" s="543" t="s">
        <v>101</v>
      </c>
      <c r="D86" s="1880"/>
      <c r="E86" s="616">
        <f>'[1]exchange rates'!$M$19</f>
        <v>0.92093999999999998</v>
      </c>
      <c r="F86" s="686">
        <f>21.02/E86</f>
        <v>22.824505396659934</v>
      </c>
      <c r="G86" s="593">
        <f>(0.99*100)/E86</f>
        <v>107.49885986057724</v>
      </c>
      <c r="H86" s="594">
        <f>(0.49*100)/E86</f>
        <v>53.206506395639238</v>
      </c>
      <c r="I86" s="566">
        <f>Tabel668910192832[[#This Row],[Fix.ch. 2015]]+Tabel668910192832[[#This Row],[Var. ch. 2015]]+Tabel668910192832[[#This Row],[Oth. ch. DW 2015]]</f>
        <v>183.52987165287641</v>
      </c>
      <c r="J86" s="596">
        <f>(0.29*100)/E86</f>
        <v>31.489565009664037</v>
      </c>
      <c r="K86" s="626">
        <f>(0.97*100)/E86</f>
        <v>105.32716572197972</v>
      </c>
      <c r="L86" s="626"/>
      <c r="M86" s="626"/>
      <c r="N86" s="597">
        <f>(0.3*100)/E86</f>
        <v>32.575412078962799</v>
      </c>
      <c r="O86" s="570">
        <f>(9.28+15.54)/E86</f>
        <v>26.950724259995223</v>
      </c>
      <c r="P86" s="1496">
        <f>Tabel668910192832[[#This Row],[Total. ch. DW 2015]]+Tabel668910192832[[#This Row],[Sew. 2015]]+Tabel668910192832[[#This Row],[WW 2015]]+Tabel668910192832[[#This Row],[Other ch. 2015]]+Tabel668910192832[[#This Row],[VAT 2015]]</f>
        <v>379.87273872347822</v>
      </c>
      <c r="Q86" s="397"/>
      <c r="R86" s="1886"/>
      <c r="S86" s="1888"/>
      <c r="T86" s="1890"/>
      <c r="U86" s="1892"/>
      <c r="V86" s="1894"/>
      <c r="W86" s="1911"/>
      <c r="X86" s="1913"/>
      <c r="Y86" s="1915"/>
      <c r="Z86" s="1832"/>
    </row>
    <row r="87" spans="1:26" ht="15.75" hidden="1" x14ac:dyDescent="0.25">
      <c r="A87" s="1757"/>
      <c r="B87" s="1213"/>
      <c r="C87" s="543" t="s">
        <v>630</v>
      </c>
      <c r="D87" s="1880"/>
      <c r="E87" s="616">
        <f>'[1]exchange rates'!$M$19</f>
        <v>0.92093999999999998</v>
      </c>
      <c r="F87" s="686">
        <f>28.36/E87</f>
        <v>30.794622885312833</v>
      </c>
      <c r="G87" s="593">
        <f>(1*100)/E87</f>
        <v>108.58470692987599</v>
      </c>
      <c r="H87" s="594">
        <f>(0.4*100)/E87</f>
        <v>43.433882771950401</v>
      </c>
      <c r="I87" s="566">
        <f>Tabel668910192832[[#This Row],[Fix.ch. 2015]]+Tabel668910192832[[#This Row],[Var. ch. 2015]]+Tabel668910192832[[#This Row],[Oth. ch. DW 2015]]</f>
        <v>182.81321258713925</v>
      </c>
      <c r="J87" s="596">
        <f>(0.5*100)/E87</f>
        <v>54.292353464937996</v>
      </c>
      <c r="K87" s="626">
        <f>(0.46*100)/E87</f>
        <v>49.948965187742957</v>
      </c>
      <c r="L87" s="626"/>
      <c r="M87" s="626"/>
      <c r="N87" s="597">
        <f>(0.4*100)/E87</f>
        <v>43.433882771950401</v>
      </c>
      <c r="O87" s="570">
        <f>(9.23+13.59)/E87</f>
        <v>24.779030121397703</v>
      </c>
      <c r="P87" s="1496">
        <f>Tabel668910192832[[#This Row],[Total. ch. DW 2015]]+Tabel668910192832[[#This Row],[Sew. 2015]]+Tabel668910192832[[#This Row],[WW 2015]]+Tabel668910192832[[#This Row],[Other ch. 2015]]+Tabel668910192832[[#This Row],[VAT 2015]]</f>
        <v>355.26744413316828</v>
      </c>
      <c r="Q87" s="397"/>
      <c r="R87" s="1886"/>
      <c r="S87" s="1888"/>
      <c r="T87" s="1890"/>
      <c r="U87" s="1892"/>
      <c r="V87" s="1894"/>
      <c r="W87" s="1911"/>
      <c r="X87" s="1913"/>
      <c r="Y87" s="1915"/>
      <c r="Z87" s="1832"/>
    </row>
    <row r="88" spans="1:26" ht="15.75" hidden="1" x14ac:dyDescent="0.25">
      <c r="A88" s="1757"/>
      <c r="B88" s="1213"/>
      <c r="C88" s="543" t="s">
        <v>631</v>
      </c>
      <c r="D88" s="1880"/>
      <c r="E88" s="616">
        <f>'[1]exchange rates'!$M$19</f>
        <v>0.92093999999999998</v>
      </c>
      <c r="F88" s="686">
        <f>10.95/E88</f>
        <v>11.890025408821421</v>
      </c>
      <c r="G88" s="593">
        <f>(0.93*100)/E88</f>
        <v>100.98377744478468</v>
      </c>
      <c r="H88" s="594">
        <f>(0.44*100)/E88</f>
        <v>47.77727104914544</v>
      </c>
      <c r="I88" s="566">
        <f>Tabel668910192832[[#This Row],[Fix.ch. 2015]]+Tabel668910192832[[#This Row],[Var. ch. 2015]]+Tabel668910192832[[#This Row],[Oth. ch. DW 2015]]</f>
        <v>160.65107390275153</v>
      </c>
      <c r="J88" s="596">
        <f>(1.16*100)/E88</f>
        <v>125.95826003865615</v>
      </c>
      <c r="K88" s="626">
        <f>(0*100)/E88</f>
        <v>0</v>
      </c>
      <c r="L88" s="626"/>
      <c r="M88" s="626"/>
      <c r="N88" s="597">
        <f>(0.3*100)/E88</f>
        <v>32.575412078962799</v>
      </c>
      <c r="O88" s="570">
        <f>(8.13+14.6)/E88</f>
        <v>24.681303885160816</v>
      </c>
      <c r="P88" s="1496">
        <f>Tabel668910192832[[#This Row],[Total. ch. DW 2015]]+Tabel668910192832[[#This Row],[Sew. 2015]]+Tabel668910192832[[#This Row],[WW 2015]]+Tabel668910192832[[#This Row],[Other ch. 2015]]+Tabel668910192832[[#This Row],[VAT 2015]]</f>
        <v>343.86604990553133</v>
      </c>
      <c r="Q88" s="397"/>
      <c r="R88" s="1886"/>
      <c r="S88" s="1888"/>
      <c r="T88" s="1890"/>
      <c r="U88" s="1892"/>
      <c r="V88" s="1894"/>
      <c r="W88" s="1911"/>
      <c r="X88" s="1913"/>
      <c r="Y88" s="1915"/>
      <c r="Z88" s="1832"/>
    </row>
    <row r="89" spans="1:26" ht="15.75" hidden="1" x14ac:dyDescent="0.25">
      <c r="A89" s="1757"/>
      <c r="B89" s="1213"/>
      <c r="C89" s="543" t="s">
        <v>632</v>
      </c>
      <c r="D89" s="1880"/>
      <c r="E89" s="616">
        <f>'[1]exchange rates'!$M$19</f>
        <v>0.92093999999999998</v>
      </c>
      <c r="F89" s="686">
        <f>42.15/E89</f>
        <v>45.76845397094273</v>
      </c>
      <c r="G89" s="593">
        <f>(1.48*100)/E89</f>
        <v>160.70536625621648</v>
      </c>
      <c r="H89" s="594">
        <f>(0.46*100)/E89</f>
        <v>49.948965187742957</v>
      </c>
      <c r="I89" s="566">
        <f>Tabel668910192832[[#This Row],[Fix.ch. 2015]]+Tabel668910192832[[#This Row],[Var. ch. 2015]]+Tabel668910192832[[#This Row],[Oth. ch. DW 2015]]</f>
        <v>256.42278541490214</v>
      </c>
      <c r="J89" s="596">
        <f>(1*100)/E89</f>
        <v>108.58470692987599</v>
      </c>
      <c r="K89" s="626">
        <v>0</v>
      </c>
      <c r="L89" s="626"/>
      <c r="M89" s="626"/>
      <c r="N89" s="597">
        <f>(0.2966*100)/E89</f>
        <v>32.206224075401217</v>
      </c>
      <c r="O89" s="570">
        <f>(12.96+12.92)/E89</f>
        <v>28.101722153451909</v>
      </c>
      <c r="P89" s="1496">
        <f>Tabel668910192832[[#This Row],[Total. ch. DW 2015]]+Tabel668910192832[[#This Row],[Sew. 2015]]+Tabel668910192832[[#This Row],[WW 2015]]+Tabel668910192832[[#This Row],[Other ch. 2015]]+Tabel668910192832[[#This Row],[VAT 2015]]</f>
        <v>425.3154385736313</v>
      </c>
      <c r="Q89" s="397"/>
      <c r="R89" s="1886"/>
      <c r="S89" s="1888"/>
      <c r="T89" s="1890"/>
      <c r="U89" s="1892"/>
      <c r="V89" s="1894"/>
      <c r="W89" s="1911"/>
      <c r="X89" s="1913"/>
      <c r="Y89" s="1915"/>
      <c r="Z89" s="1832"/>
    </row>
    <row r="90" spans="1:26" ht="15.75" hidden="1" x14ac:dyDescent="0.25">
      <c r="A90" s="1757"/>
      <c r="B90" s="1213"/>
      <c r="C90" s="543" t="s">
        <v>633</v>
      </c>
      <c r="D90" s="1880"/>
      <c r="E90" s="616">
        <f>'[1]exchange rates'!$M$19</f>
        <v>0.92093999999999998</v>
      </c>
      <c r="F90" s="686">
        <f>30.37/E90</f>
        <v>32.977175494603344</v>
      </c>
      <c r="G90" s="593">
        <f>(1.51*100)/E90</f>
        <v>163.96290746411276</v>
      </c>
      <c r="H90" s="594">
        <f>(0.52*100)/E90</f>
        <v>56.464047603535519</v>
      </c>
      <c r="I90" s="566">
        <f>Tabel668910192832[[#This Row],[Fix.ch. 2015]]+Tabel668910192832[[#This Row],[Var. ch. 2015]]+Tabel668910192832[[#This Row],[Oth. ch. DW 2015]]</f>
        <v>253.40413056225162</v>
      </c>
      <c r="J90" s="596">
        <f>(2.01*100)/E90</f>
        <v>218.25526092905073</v>
      </c>
      <c r="K90" s="626">
        <f>(0*100)/E90</f>
        <v>0</v>
      </c>
      <c r="L90" s="626"/>
      <c r="M90" s="626"/>
      <c r="N90" s="597">
        <f>(0.3*100)/E90</f>
        <v>32.575412078962799</v>
      </c>
      <c r="O90" s="570">
        <f>(12.83+23.13)/E90</f>
        <v>39.047060611983412</v>
      </c>
      <c r="P90" s="1496">
        <f>Tabel668910192832[[#This Row],[Total. ch. DW 2015]]+Tabel668910192832[[#This Row],[Sew. 2015]]+Tabel668910192832[[#This Row],[WW 2015]]+Tabel668910192832[[#This Row],[Other ch. 2015]]+Tabel668910192832[[#This Row],[VAT 2015]]</f>
        <v>543.28186418224857</v>
      </c>
      <c r="Q90" s="397"/>
      <c r="R90" s="1886"/>
      <c r="S90" s="1888"/>
      <c r="T90" s="1890"/>
      <c r="U90" s="1892"/>
      <c r="V90" s="1894"/>
      <c r="W90" s="1911"/>
      <c r="X90" s="1913"/>
      <c r="Y90" s="1915"/>
      <c r="Z90" s="1832"/>
    </row>
    <row r="91" spans="1:26" ht="15.75" hidden="1" x14ac:dyDescent="0.25">
      <c r="A91" s="1757"/>
      <c r="B91" s="1213"/>
      <c r="C91" s="543" t="s">
        <v>634</v>
      </c>
      <c r="D91" s="1880"/>
      <c r="E91" s="616">
        <f>'[1]exchange rates'!$M$19</f>
        <v>0.92093999999999998</v>
      </c>
      <c r="F91" s="686">
        <f>9.5/E91</f>
        <v>10.315547158338219</v>
      </c>
      <c r="G91" s="593">
        <f>(1.42*100)/E91</f>
        <v>154.19028384042392</v>
      </c>
      <c r="H91" s="594">
        <f>(0.34*100)/E91</f>
        <v>36.918800356157838</v>
      </c>
      <c r="I91" s="566">
        <f>Tabel668910192832[[#This Row],[Fix.ch. 2015]]+Tabel668910192832[[#This Row],[Var. ch. 2015]]+Tabel668910192832[[#This Row],[Oth. ch. DW 2015]]</f>
        <v>201.42463135491997</v>
      </c>
      <c r="J91" s="596">
        <f>(1.25*100)/E91</f>
        <v>135.73088366234501</v>
      </c>
      <c r="K91" s="626">
        <f>(0*100)/E91</f>
        <v>0</v>
      </c>
      <c r="L91" s="626"/>
      <c r="M91" s="626"/>
      <c r="N91" s="597">
        <f>(0.155*100)/E91</f>
        <v>16.830629574130779</v>
      </c>
      <c r="O91" s="570">
        <f>(10.2+14.04)/E91</f>
        <v>26.32093295980194</v>
      </c>
      <c r="P91" s="1496">
        <f>Tabel668910192832[[#This Row],[Total. ch. DW 2015]]+Tabel668910192832[[#This Row],[Sew. 2015]]+Tabel668910192832[[#This Row],[WW 2015]]+Tabel668910192832[[#This Row],[Other ch. 2015]]+Tabel668910192832[[#This Row],[VAT 2015]]</f>
        <v>380.30707755119772</v>
      </c>
      <c r="Q91" s="397"/>
      <c r="R91" s="1886"/>
      <c r="S91" s="1888"/>
      <c r="T91" s="1890"/>
      <c r="U91" s="1892"/>
      <c r="V91" s="1894"/>
      <c r="W91" s="1911"/>
      <c r="X91" s="1913"/>
      <c r="Y91" s="1915"/>
      <c r="Z91" s="1832"/>
    </row>
    <row r="92" spans="1:26" ht="16.5" hidden="1" thickBot="1" x14ac:dyDescent="0.3">
      <c r="A92" s="1758"/>
      <c r="B92" s="1213"/>
      <c r="C92" s="543" t="s">
        <v>635</v>
      </c>
      <c r="D92" s="1923"/>
      <c r="E92" s="616">
        <f>'[1]exchange rates'!$M$19</f>
        <v>0.92093999999999998</v>
      </c>
      <c r="F92" s="686">
        <f>6.14/E92</f>
        <v>6.667101005494386</v>
      </c>
      <c r="G92" s="593">
        <f>(1.32*100)/E92</f>
        <v>143.33181314743632</v>
      </c>
      <c r="H92" s="594">
        <f>(0.38*100)/E92</f>
        <v>41.262188633352878</v>
      </c>
      <c r="I92" s="566">
        <f>Tabel668910192832[[#This Row],[Fix.ch. 2015]]+Tabel668910192832[[#This Row],[Var. ch. 2015]]+Tabel668910192832[[#This Row],[Oth. ch. DW 2015]]</f>
        <v>191.26110278628357</v>
      </c>
      <c r="J92" s="596">
        <f>(2.04*100)/E92</f>
        <v>221.51280213694704</v>
      </c>
      <c r="K92" s="626">
        <f>(0*100)/E92</f>
        <v>0</v>
      </c>
      <c r="L92" s="626"/>
      <c r="M92" s="626"/>
      <c r="N92" s="597">
        <f>(0.209*100)/E92</f>
        <v>22.694203748344083</v>
      </c>
      <c r="O92" s="570">
        <f>(9.65+22.48)/E92</f>
        <v>34.88826633656916</v>
      </c>
      <c r="P92" s="1496">
        <f>Tabel668910192832[[#This Row],[Total. ch. DW 2015]]+Tabel668910192832[[#This Row],[Sew. 2015]]+Tabel668910192832[[#This Row],[WW 2015]]+Tabel668910192832[[#This Row],[Other ch. 2015]]+Tabel668910192832[[#This Row],[VAT 2015]]</f>
        <v>470.3563750081438</v>
      </c>
      <c r="Q92" s="397"/>
      <c r="R92" s="1970"/>
      <c r="S92" s="1973"/>
      <c r="T92" s="1976"/>
      <c r="U92" s="1979"/>
      <c r="V92" s="1982"/>
      <c r="W92" s="1956"/>
      <c r="X92" s="1959"/>
      <c r="Y92" s="1962"/>
      <c r="Z92" s="1965"/>
    </row>
    <row r="93" spans="1:26" ht="19.5" hidden="1" thickBot="1" x14ac:dyDescent="0.3">
      <c r="A93" s="1206" t="s">
        <v>521</v>
      </c>
      <c r="B93" s="1617"/>
      <c r="C93" s="1047" t="s">
        <v>522</v>
      </c>
      <c r="D93" s="1256">
        <v>16000</v>
      </c>
      <c r="E93" s="308">
        <v>506.17869999999999</v>
      </c>
      <c r="F93" s="319">
        <f>3396/E93</f>
        <v>6.7090930535006708</v>
      </c>
      <c r="G93" s="320">
        <f>19013/E93</f>
        <v>37.561833399943538</v>
      </c>
      <c r="H93" s="321">
        <v>0</v>
      </c>
      <c r="I93" s="313">
        <f>Tabel668910192832[[#This Row],[Fix.ch. 2015]]+Tabel668910192832[[#This Row],[Var. ch. 2015]]+Tabel668910192832[[#This Row],[Oth. ch. DW 2015]]</f>
        <v>44.270926453444211</v>
      </c>
      <c r="J93" s="322">
        <v>0</v>
      </c>
      <c r="K93" s="323">
        <v>0</v>
      </c>
      <c r="L93" s="323"/>
      <c r="M93" s="323"/>
      <c r="N93" s="324">
        <v>0</v>
      </c>
      <c r="O93" s="1258">
        <f>2241/E93</f>
        <v>4.4272902040326869</v>
      </c>
      <c r="P93" s="1491">
        <f>Tabel668910192832[[#This Row],[Total. ch. DW 2015]]+Tabel668910192832[[#This Row],[Sew. 2015]]+Tabel668910192832[[#This Row],[WW 2015]]+Tabel668910192832[[#This Row],[Other ch. 2015]]+Tabel668910192832[[#This Row],[VAT 2015]]</f>
        <v>48.698216657476898</v>
      </c>
      <c r="Q93" s="397"/>
      <c r="R93" s="1259">
        <f>Tabel668910192832[[#This Row],[Fix.ch. 2015]]</f>
        <v>6.7090930535006708</v>
      </c>
      <c r="S93" s="1260">
        <f>Tabel668910192832[[#This Row],[Var. ch. 2015]]</f>
        <v>37.561833399943538</v>
      </c>
      <c r="T93" s="1261">
        <v>0</v>
      </c>
      <c r="U93" s="1262">
        <f>Tabel668910192832[[#This Row],[Total. ch. DW 2015]]</f>
        <v>44.270926453444211</v>
      </c>
      <c r="V93" s="1263">
        <v>0</v>
      </c>
      <c r="W93" s="1264">
        <v>0</v>
      </c>
      <c r="X93" s="1265">
        <v>0</v>
      </c>
      <c r="Y93" s="1266">
        <f>Tabel668910192832[[#This Row],[VAT 2015]]</f>
        <v>4.4272902040326869</v>
      </c>
      <c r="Z93" s="1267">
        <f>Tabel668910192832[[#This Row],[total charge 2015]]</f>
        <v>48.698216657476898</v>
      </c>
    </row>
    <row r="94" spans="1:26" ht="19.5" hidden="1" thickBot="1" x14ac:dyDescent="0.35">
      <c r="A94" s="669" t="s">
        <v>14</v>
      </c>
      <c r="B94" s="1621"/>
      <c r="C94" s="1514" t="s">
        <v>96</v>
      </c>
      <c r="D94" s="1268">
        <v>47400</v>
      </c>
      <c r="E94" s="617">
        <f>'[1]exchange rates'!M21</f>
        <v>0.92093999999999998</v>
      </c>
      <c r="F94" s="319"/>
      <c r="G94" s="320"/>
      <c r="H94" s="321"/>
      <c r="I94" s="313"/>
      <c r="J94" s="322"/>
      <c r="K94" s="323"/>
      <c r="L94" s="323"/>
      <c r="M94" s="323"/>
      <c r="N94" s="324"/>
      <c r="O94" s="1258"/>
      <c r="P94" s="1491"/>
      <c r="Q94" s="397"/>
      <c r="R94" s="1228"/>
      <c r="S94" s="1229"/>
      <c r="T94" s="1230"/>
      <c r="U94" s="1231"/>
      <c r="V94" s="1232"/>
      <c r="W94" s="1233"/>
      <c r="X94" s="1234"/>
      <c r="Y94" s="1235"/>
      <c r="Z94" s="1236"/>
    </row>
    <row r="95" spans="1:26" ht="15.75" hidden="1" x14ac:dyDescent="0.25">
      <c r="A95" s="1878" t="s">
        <v>35</v>
      </c>
      <c r="B95" s="1213"/>
      <c r="C95" s="1269" t="s">
        <v>712</v>
      </c>
      <c r="D95" s="2343">
        <v>25600</v>
      </c>
      <c r="E95" s="617">
        <f>'[1]exchange rates'!$M$22</f>
        <v>0.92093999999999998</v>
      </c>
      <c r="F95" s="549">
        <f>79.5/E95</f>
        <v>86.324842009251412</v>
      </c>
      <c r="G95" s="550">
        <f>22.67/E95</f>
        <v>24.61615306100289</v>
      </c>
      <c r="H95" s="551">
        <f>18.13/E95</f>
        <v>19.686407366386518</v>
      </c>
      <c r="I95" s="566">
        <f>Tabel668910192832[[#This Row],[Fix.ch. 2015]]+Tabel668910192832[[#This Row],[Var. ch. 2015]]+Tabel668910192832[[#This Row],[Oth. ch. DW 2015]]</f>
        <v>130.62740243664081</v>
      </c>
      <c r="J95" s="567">
        <f>20.4/E95</f>
        <v>22.151280213694701</v>
      </c>
      <c r="K95" s="568">
        <f>0</f>
        <v>0</v>
      </c>
      <c r="L95" s="568"/>
      <c r="M95" s="568"/>
      <c r="N95" s="569">
        <f>13.25/E95</f>
        <v>14.387473668208569</v>
      </c>
      <c r="O95" s="1271">
        <f>33.15/E95</f>
        <v>35.995830347253893</v>
      </c>
      <c r="P95" s="1496">
        <f>Tabel668910192832[[#This Row],[Total. ch. DW 2015]]+Tabel668910192832[[#This Row],[Sew. 2015]]+Tabel668910192832[[#This Row],[WW 2015]]+Tabel668910192832[[#This Row],[Other ch. 2015]]+Tabel668910192832[[#This Row],[VAT 2015]]</f>
        <v>203.16198666579797</v>
      </c>
      <c r="Q95" s="397"/>
      <c r="R95" s="2344">
        <f t="shared" ref="R95:W95" si="25">SUM(F95:F99)/5</f>
        <v>46.756574804004607</v>
      </c>
      <c r="S95" s="2345">
        <f t="shared" si="25"/>
        <v>70.577887810280799</v>
      </c>
      <c r="T95" s="2350">
        <f t="shared" si="25"/>
        <v>10.886702716789369</v>
      </c>
      <c r="U95" s="2340">
        <f t="shared" si="25"/>
        <v>128.22116533107476</v>
      </c>
      <c r="V95" s="2351">
        <f t="shared" si="25"/>
        <v>55.584511477403524</v>
      </c>
      <c r="W95" s="2352">
        <f t="shared" si="25"/>
        <v>0</v>
      </c>
      <c r="X95" s="2341">
        <f t="shared" ref="X95:Z95" si="26">SUM(N95:N99)/5</f>
        <v>7.0037135969770024</v>
      </c>
      <c r="Y95" s="2342">
        <f t="shared" si="26"/>
        <v>36.677742306773517</v>
      </c>
      <c r="Z95" s="2339">
        <f t="shared" si="26"/>
        <v>227.48713271222877</v>
      </c>
    </row>
    <row r="96" spans="1:26" ht="15.75" hidden="1" x14ac:dyDescent="0.25">
      <c r="A96" s="1757"/>
      <c r="B96" s="1213"/>
      <c r="C96" s="783" t="s">
        <v>713</v>
      </c>
      <c r="D96" s="1880"/>
      <c r="E96" s="617">
        <f>'[1]exchange rates'!$M$22</f>
        <v>0.92093999999999998</v>
      </c>
      <c r="F96" s="549">
        <f>51/E96</f>
        <v>55.378200534236761</v>
      </c>
      <c r="G96" s="550">
        <f>85/E96</f>
        <v>92.2970008903946</v>
      </c>
      <c r="H96" s="551">
        <f>0/E96</f>
        <v>0</v>
      </c>
      <c r="I96" s="566">
        <f>Tabel668910192832[[#This Row],[Fix.ch. 2015]]+Tabel668910192832[[#This Row],[Var. ch. 2015]]+Tabel668910192832[[#This Row],[Oth. ch. DW 2015]]</f>
        <v>147.67520142463135</v>
      </c>
      <c r="J96" s="567">
        <f>46.75/E96</f>
        <v>50.763350489717027</v>
      </c>
      <c r="K96" s="568">
        <f>0</f>
        <v>0</v>
      </c>
      <c r="L96" s="568"/>
      <c r="M96" s="568"/>
      <c r="N96" s="569">
        <f>12/E96</f>
        <v>13.03016483158512</v>
      </c>
      <c r="O96" s="1271">
        <f>36.29/E96</f>
        <v>39.405390144851999</v>
      </c>
      <c r="P96" s="1496">
        <f>Tabel668910192832[[#This Row],[Total. ch. DW 2015]]+Tabel668910192832[[#This Row],[Sew. 2015]]+Tabel668910192832[[#This Row],[WW 2015]]+Tabel668910192832[[#This Row],[Other ch. 2015]]+Tabel668910192832[[#This Row],[VAT 2015]]</f>
        <v>250.8741068907855</v>
      </c>
      <c r="Q96" s="397"/>
      <c r="R96" s="1886"/>
      <c r="S96" s="1888"/>
      <c r="T96" s="1890"/>
      <c r="U96" s="1892"/>
      <c r="V96" s="1894"/>
      <c r="W96" s="1911"/>
      <c r="X96" s="1913"/>
      <c r="Y96" s="1915"/>
      <c r="Z96" s="1832"/>
    </row>
    <row r="97" spans="1:26" ht="15.75" hidden="1" x14ac:dyDescent="0.25">
      <c r="A97" s="1757"/>
      <c r="B97" s="1213"/>
      <c r="C97" s="783" t="s">
        <v>714</v>
      </c>
      <c r="D97" s="1880"/>
      <c r="E97" s="617">
        <f>'[1]exchange rates'!$M$22</f>
        <v>0.92093999999999998</v>
      </c>
      <c r="F97" s="549">
        <f>48.8/E97</f>
        <v>52.989336981779488</v>
      </c>
      <c r="G97" s="550">
        <f>40/E97</f>
        <v>43.433882771950401</v>
      </c>
      <c r="H97" s="551">
        <f>32/E97</f>
        <v>34.747106217560322</v>
      </c>
      <c r="I97" s="566">
        <f>Tabel668910192832[[#This Row],[Fix.ch. 2015]]+Tabel668910192832[[#This Row],[Var. ch. 2015]]+Tabel668910192832[[#This Row],[Oth. ch. DW 2015]]</f>
        <v>131.1703259712902</v>
      </c>
      <c r="J97" s="567">
        <f>53/E97</f>
        <v>57.549894672834277</v>
      </c>
      <c r="K97" s="568">
        <f>0</f>
        <v>0</v>
      </c>
      <c r="L97" s="568"/>
      <c r="M97" s="568"/>
      <c r="N97" s="569">
        <f>0/E97</f>
        <v>0</v>
      </c>
      <c r="O97" s="1271">
        <f>35.97/E97</f>
        <v>39.057919082676392</v>
      </c>
      <c r="P97" s="1496">
        <f>Tabel668910192832[[#This Row],[Total. ch. DW 2015]]+Tabel668910192832[[#This Row],[Sew. 2015]]+Tabel668910192832[[#This Row],[WW 2015]]+Tabel668910192832[[#This Row],[Other ch. 2015]]+Tabel668910192832[[#This Row],[VAT 2015]]</f>
        <v>227.77813972680087</v>
      </c>
      <c r="Q97" s="397"/>
      <c r="R97" s="1886"/>
      <c r="S97" s="1888"/>
      <c r="T97" s="1890"/>
      <c r="U97" s="1892"/>
      <c r="V97" s="1894"/>
      <c r="W97" s="1911"/>
      <c r="X97" s="1913"/>
      <c r="Y97" s="1915"/>
      <c r="Z97" s="1832"/>
    </row>
    <row r="98" spans="1:26" ht="15.75" hidden="1" x14ac:dyDescent="0.25">
      <c r="A98" s="1757"/>
      <c r="B98" s="1213"/>
      <c r="C98" s="783" t="s">
        <v>715</v>
      </c>
      <c r="D98" s="1880"/>
      <c r="E98" s="617">
        <f>'[1]exchange rates'!$M$22</f>
        <v>0.92093999999999998</v>
      </c>
      <c r="F98" s="549">
        <f>12/E98</f>
        <v>13.03016483158512</v>
      </c>
      <c r="G98" s="550">
        <f>121.12/E98</f>
        <v>131.51779703346583</v>
      </c>
      <c r="H98" s="551">
        <f>0/E98</f>
        <v>0</v>
      </c>
      <c r="I98" s="566">
        <f>Tabel668910192832[[#This Row],[Fix.ch. 2015]]+Tabel668910192832[[#This Row],[Var. ch. 2015]]+Tabel668910192832[[#This Row],[Oth. ch. DW 2015]]</f>
        <v>144.54796186505095</v>
      </c>
      <c r="J98" s="567">
        <f>90.84/E98</f>
        <v>98.638347775099362</v>
      </c>
      <c r="K98" s="568">
        <f>0</f>
        <v>0</v>
      </c>
      <c r="L98" s="568"/>
      <c r="M98" s="568"/>
      <c r="N98" s="569">
        <f>0/E98</f>
        <v>0</v>
      </c>
      <c r="O98" s="1271">
        <f>39.4/E98</f>
        <v>42.782374530371143</v>
      </c>
      <c r="P98" s="1496">
        <f>Tabel668910192832[[#This Row],[Total. ch. DW 2015]]+Tabel668910192832[[#This Row],[Sew. 2015]]+Tabel668910192832[[#This Row],[WW 2015]]+Tabel668910192832[[#This Row],[Other ch. 2015]]+Tabel668910192832[[#This Row],[VAT 2015]]</f>
        <v>285.96868417052144</v>
      </c>
      <c r="Q98" s="397"/>
      <c r="R98" s="1886"/>
      <c r="S98" s="1888"/>
      <c r="T98" s="1890"/>
      <c r="U98" s="1892"/>
      <c r="V98" s="1894"/>
      <c r="W98" s="1911"/>
      <c r="X98" s="1913"/>
      <c r="Y98" s="1915"/>
      <c r="Z98" s="1832"/>
    </row>
    <row r="99" spans="1:26" ht="16.5" hidden="1" thickBot="1" x14ac:dyDescent="0.3">
      <c r="A99" s="1758"/>
      <c r="B99" s="1213"/>
      <c r="C99" s="1272" t="s">
        <v>716</v>
      </c>
      <c r="D99" s="1923"/>
      <c r="E99" s="617">
        <f>'[1]exchange rates'!$M$22</f>
        <v>0.92093999999999998</v>
      </c>
      <c r="F99" s="549">
        <f>24/E99</f>
        <v>26.06032966317024</v>
      </c>
      <c r="G99" s="550">
        <f>56.2/E99</f>
        <v>61.024605294590316</v>
      </c>
      <c r="H99" s="551">
        <f>0/E99</f>
        <v>0</v>
      </c>
      <c r="I99" s="566">
        <f>Tabel668910192832[[#This Row],[Fix.ch. 2015]]+Tabel668910192832[[#This Row],[Var. ch. 2015]]+Tabel668910192832[[#This Row],[Oth. ch. DW 2015]]</f>
        <v>87.084934957760552</v>
      </c>
      <c r="J99" s="567">
        <f>44.96/E99</f>
        <v>48.819684235672248</v>
      </c>
      <c r="K99" s="568">
        <f>0</f>
        <v>0</v>
      </c>
      <c r="L99" s="568"/>
      <c r="M99" s="568"/>
      <c r="N99" s="569">
        <f>7/E99</f>
        <v>7.6009294850913198</v>
      </c>
      <c r="O99" s="1271">
        <f>24.08/E99</f>
        <v>26.14719742871414</v>
      </c>
      <c r="P99" s="1496">
        <f>Tabel668910192832[[#This Row],[Total. ch. DW 2015]]+Tabel668910192832[[#This Row],[Sew. 2015]]+Tabel668910192832[[#This Row],[WW 2015]]+Tabel668910192832[[#This Row],[Other ch. 2015]]+Tabel668910192832[[#This Row],[VAT 2015]]</f>
        <v>169.65274610723827</v>
      </c>
      <c r="Q99" s="397"/>
      <c r="R99" s="1970"/>
      <c r="S99" s="1973"/>
      <c r="T99" s="1976"/>
      <c r="U99" s="1979"/>
      <c r="V99" s="1982"/>
      <c r="W99" s="1956"/>
      <c r="X99" s="1959"/>
      <c r="Y99" s="1962"/>
      <c r="Z99" s="1965"/>
    </row>
    <row r="100" spans="1:26" ht="15.75" hidden="1" customHeight="1" x14ac:dyDescent="0.25">
      <c r="A100" s="1818" t="s">
        <v>45</v>
      </c>
      <c r="B100" s="1213"/>
      <c r="C100" s="1513" t="s">
        <v>102</v>
      </c>
      <c r="D100" s="2343">
        <v>26000</v>
      </c>
      <c r="E100" s="617">
        <f>'[1]exchange rates'!$M$23</f>
        <v>290.45296999999999</v>
      </c>
      <c r="F100" s="549">
        <f>1700/E100</f>
        <v>5.8529268955314864</v>
      </c>
      <c r="G100" s="550">
        <f>17240/E100</f>
        <v>59.35556451703696</v>
      </c>
      <c r="H100" s="551">
        <v>0</v>
      </c>
      <c r="I100" s="566">
        <f>Tabel668910192832[[#This Row],[Fix.ch. 2015]]+Tabel668910192832[[#This Row],[Var. ch. 2015]]+Tabel668910192832[[#This Row],[Oth. ch. DW 2015]]</f>
        <v>65.208491412568449</v>
      </c>
      <c r="J100" s="567">
        <f>457/E100</f>
        <v>1.5734044654458172</v>
      </c>
      <c r="K100" s="568">
        <f>29566/E100</f>
        <v>101.79272740781408</v>
      </c>
      <c r="L100" s="568"/>
      <c r="M100" s="568"/>
      <c r="N100" s="569">
        <v>0</v>
      </c>
      <c r="O100" s="1271">
        <f>13220/E100</f>
        <v>45.515113858191917</v>
      </c>
      <c r="P100" s="1496">
        <f>Tabel668910192832[[#This Row],[Total. ch. DW 2015]]+Tabel668910192832[[#This Row],[Sew. 2015]]+Tabel668910192832[[#This Row],[WW 2015]]+Tabel668910192832[[#This Row],[Other ch. 2015]]+Tabel668910192832[[#This Row],[VAT 2015]]</f>
        <v>214.08973714402026</v>
      </c>
      <c r="Q100" s="397"/>
      <c r="R100" s="2344">
        <f t="shared" ref="R100:W100" si="27">SUM(F100:F104)/5</f>
        <v>2.0182269095062102</v>
      </c>
      <c r="S100" s="2345">
        <f t="shared" si="27"/>
        <v>84.297296047618318</v>
      </c>
      <c r="T100" s="2350">
        <f t="shared" si="27"/>
        <v>0</v>
      </c>
      <c r="U100" s="2340">
        <f t="shared" si="27"/>
        <v>86.315522957124529</v>
      </c>
      <c r="V100" s="2351">
        <f t="shared" si="27"/>
        <v>1.3179414209467371</v>
      </c>
      <c r="W100" s="2352">
        <f t="shared" si="27"/>
        <v>73.145748862543911</v>
      </c>
      <c r="X100" s="2341">
        <f t="shared" ref="X100:Z100" si="28">SUM(N100:N104)/5</f>
        <v>0.84764153039991297</v>
      </c>
      <c r="Y100" s="2342">
        <f t="shared" si="28"/>
        <v>43.639422933082763</v>
      </c>
      <c r="Z100" s="2353">
        <f t="shared" si="28"/>
        <v>205.26627770409786</v>
      </c>
    </row>
    <row r="101" spans="1:26" ht="15.75" hidden="1" customHeight="1" x14ac:dyDescent="0.25">
      <c r="A101" s="2294"/>
      <c r="B101" s="1213"/>
      <c r="C101" s="543" t="s">
        <v>103</v>
      </c>
      <c r="D101" s="1760"/>
      <c r="E101" s="617">
        <f>'[1]exchange rates'!$M$23</f>
        <v>290.45296999999999</v>
      </c>
      <c r="F101" s="549">
        <f>1231/E101</f>
        <v>4.2382076519995646</v>
      </c>
      <c r="G101" s="550">
        <f>24490/E101</f>
        <v>84.316576277391832</v>
      </c>
      <c r="H101" s="551">
        <v>0</v>
      </c>
      <c r="I101" s="566">
        <f>Tabel668910192832[[#This Row],[Fix.ch. 2015]]+Tabel668910192832[[#This Row],[Var. ch. 2015]]+Tabel668910192832[[#This Row],[Oth. ch. DW 2015]]</f>
        <v>88.554783929391391</v>
      </c>
      <c r="J101" s="567">
        <f>427/E101</f>
        <v>1.4701175202305559</v>
      </c>
      <c r="K101" s="568">
        <f>19470/E101</f>
        <v>67.033227444704735</v>
      </c>
      <c r="L101" s="568"/>
      <c r="M101" s="568"/>
      <c r="N101" s="569">
        <f>1231/E101</f>
        <v>4.2382076519995646</v>
      </c>
      <c r="O101" s="1271">
        <f>12649/E101</f>
        <v>43.549219000928105</v>
      </c>
      <c r="P101" s="1496">
        <f>Tabel668910192832[[#This Row],[Total. ch. DW 2015]]+Tabel668910192832[[#This Row],[Sew. 2015]]+Tabel668910192832[[#This Row],[WW 2015]]+Tabel668910192832[[#This Row],[Other ch. 2015]]+Tabel668910192832[[#This Row],[VAT 2015]]</f>
        <v>204.84555554725435</v>
      </c>
      <c r="Q101" s="397"/>
      <c r="R101" s="1763"/>
      <c r="S101" s="1766"/>
      <c r="T101" s="1769"/>
      <c r="U101" s="1775"/>
      <c r="V101" s="1778"/>
      <c r="W101" s="1781"/>
      <c r="X101" s="1785"/>
      <c r="Y101" s="1788"/>
      <c r="Z101" s="1990"/>
    </row>
    <row r="102" spans="1:26" ht="15.75" hidden="1" customHeight="1" x14ac:dyDescent="0.25">
      <c r="A102" s="2294"/>
      <c r="B102" s="1213"/>
      <c r="C102" s="543" t="s">
        <v>104</v>
      </c>
      <c r="D102" s="1760"/>
      <c r="E102" s="617">
        <f>'[1]exchange rates'!$M$23</f>
        <v>290.45296999999999</v>
      </c>
      <c r="F102" s="549">
        <v>0</v>
      </c>
      <c r="G102" s="550">
        <f>24912/E102</f>
        <v>85.769479306753169</v>
      </c>
      <c r="H102" s="551">
        <v>0</v>
      </c>
      <c r="I102" s="566">
        <f>Tabel668910192832[[#This Row],[Fix.ch. 2015]]+Tabel668910192832[[#This Row],[Var. ch. 2015]]+Tabel668910192832[[#This Row],[Oth. ch. DW 2015]]</f>
        <v>85.769479306753169</v>
      </c>
      <c r="J102" s="567">
        <v>0</v>
      </c>
      <c r="K102" s="568">
        <f>19161/E102</f>
        <v>65.96937190898754</v>
      </c>
      <c r="L102" s="568"/>
      <c r="M102" s="568"/>
      <c r="N102" s="569">
        <v>0</v>
      </c>
      <c r="O102" s="1271">
        <f>11900/E102</f>
        <v>40.970488268720409</v>
      </c>
      <c r="P102" s="1496">
        <f>Tabel668910192832[[#This Row],[Total. ch. DW 2015]]+Tabel668910192832[[#This Row],[Sew. 2015]]+Tabel668910192832[[#This Row],[WW 2015]]+Tabel668910192832[[#This Row],[Other ch. 2015]]+Tabel668910192832[[#This Row],[VAT 2015]]</f>
        <v>192.70933948446111</v>
      </c>
      <c r="Q102" s="397"/>
      <c r="R102" s="1763"/>
      <c r="S102" s="1766"/>
      <c r="T102" s="1769"/>
      <c r="U102" s="1775"/>
      <c r="V102" s="1778"/>
      <c r="W102" s="1781"/>
      <c r="X102" s="1785"/>
      <c r="Y102" s="1788"/>
      <c r="Z102" s="1990"/>
    </row>
    <row r="103" spans="1:26" ht="16.5" hidden="1" customHeight="1" x14ac:dyDescent="0.25">
      <c r="A103" s="2294"/>
      <c r="B103" s="1213"/>
      <c r="C103" s="543" t="s">
        <v>105</v>
      </c>
      <c r="D103" s="1760"/>
      <c r="E103" s="617">
        <f>'[1]exchange rates'!$M$23</f>
        <v>290.45296999999999</v>
      </c>
      <c r="F103" s="549">
        <v>0</v>
      </c>
      <c r="G103" s="550">
        <f>34000/E103</f>
        <v>117.05853791062974</v>
      </c>
      <c r="H103" s="551">
        <v>0</v>
      </c>
      <c r="I103" s="566">
        <f>Tabel668910192832[[#This Row],[Fix.ch. 2015]]+Tabel668910192832[[#This Row],[Var. ch. 2015]]+Tabel668910192832[[#This Row],[Oth. ch. DW 2015]]</f>
        <v>117.05853791062974</v>
      </c>
      <c r="J103" s="567">
        <f>400/E103</f>
        <v>1.3771592695368204</v>
      </c>
      <c r="K103" s="568">
        <f>24800/E103</f>
        <v>85.383874711282871</v>
      </c>
      <c r="L103" s="568"/>
      <c r="M103" s="568"/>
      <c r="N103" s="569">
        <v>0</v>
      </c>
      <c r="O103" s="1271">
        <f>15984/E103</f>
        <v>55.031284410691342</v>
      </c>
      <c r="P103" s="1496">
        <f>Tabel668910192832[[#This Row],[Total. ch. DW 2015]]+Tabel668910192832[[#This Row],[Sew. 2015]]+Tabel668910192832[[#This Row],[WW 2015]]+Tabel668910192832[[#This Row],[Other ch. 2015]]+Tabel668910192832[[#This Row],[VAT 2015]]</f>
        <v>258.85085630214076</v>
      </c>
      <c r="Q103" s="397"/>
      <c r="R103" s="1763"/>
      <c r="S103" s="1766"/>
      <c r="T103" s="1769"/>
      <c r="U103" s="1775"/>
      <c r="V103" s="1778"/>
      <c r="W103" s="1781"/>
      <c r="X103" s="1785"/>
      <c r="Y103" s="1788"/>
      <c r="Z103" s="1990"/>
    </row>
    <row r="104" spans="1:26" ht="14.25" hidden="1" customHeight="1" x14ac:dyDescent="0.25">
      <c r="A104" s="2295"/>
      <c r="B104" s="1213"/>
      <c r="C104" s="544" t="s">
        <v>613</v>
      </c>
      <c r="D104" s="1761"/>
      <c r="E104" s="617">
        <f>'[1]exchange rates'!$M$23</f>
        <v>290.45296999999999</v>
      </c>
      <c r="F104" s="549">
        <v>0</v>
      </c>
      <c r="G104" s="550">
        <f>21780/E104</f>
        <v>74.986322226279867</v>
      </c>
      <c r="H104" s="551">
        <v>0</v>
      </c>
      <c r="I104" s="566">
        <f>Tabel668910192832[[#This Row],[Fix.ch. 2015]]+Tabel668910192832[[#This Row],[Var. ch. 2015]]+Tabel668910192832[[#This Row],[Oth. ch. DW 2015]]</f>
        <v>74.986322226279867</v>
      </c>
      <c r="J104" s="567">
        <f>630/E104</f>
        <v>2.1690258495204922</v>
      </c>
      <c r="K104" s="568">
        <f>13230/E104</f>
        <v>45.549542839930332</v>
      </c>
      <c r="L104" s="568"/>
      <c r="M104" s="568"/>
      <c r="N104" s="569">
        <v>0</v>
      </c>
      <c r="O104" s="1271">
        <f>9623/E104</f>
        <v>33.131009126882056</v>
      </c>
      <c r="P104" s="1496">
        <f>Tabel668910192832[[#This Row],[Total. ch. DW 2015]]+Tabel668910192832[[#This Row],[Sew. 2015]]+Tabel668910192832[[#This Row],[WW 2015]]+Tabel668910192832[[#This Row],[Other ch. 2015]]+Tabel668910192832[[#This Row],[VAT 2015]]</f>
        <v>155.83590004261274</v>
      </c>
      <c r="Q104" s="397"/>
      <c r="R104" s="1764"/>
      <c r="S104" s="1767"/>
      <c r="T104" s="1770"/>
      <c r="U104" s="1776"/>
      <c r="V104" s="1779"/>
      <c r="W104" s="1811"/>
      <c r="X104" s="1813"/>
      <c r="Y104" s="1815"/>
      <c r="Z104" s="1991"/>
    </row>
    <row r="105" spans="1:26" ht="14.25" hidden="1" customHeight="1" x14ac:dyDescent="0.25">
      <c r="A105" s="1447" t="s">
        <v>754</v>
      </c>
      <c r="B105" s="1213"/>
      <c r="C105" s="543" t="s">
        <v>755</v>
      </c>
      <c r="D105" s="1171">
        <v>46600</v>
      </c>
      <c r="E105" s="616">
        <f>'[1]exchange rates'!M24</f>
        <v>130.32431</v>
      </c>
      <c r="F105" s="549"/>
      <c r="G105" s="550"/>
      <c r="H105" s="551"/>
      <c r="I105" s="566">
        <f>Tabel668910192832[[#This Row],[Fix.ch. 2015]]+Tabel668910192832[[#This Row],[Var. ch. 2015]]+Tabel668910192832[[#This Row],[Oth. ch. DW 2015]]</f>
        <v>0</v>
      </c>
      <c r="J105" s="567"/>
      <c r="K105" s="568"/>
      <c r="L105" s="568"/>
      <c r="M105" s="568"/>
      <c r="N105" s="569"/>
      <c r="O105" s="1271"/>
      <c r="P105" s="1496">
        <f>Tabel668910192832[[#This Row],[Total. ch. DW 2015]]+Tabel668910192832[[#This Row],[Sew. 2015]]+Tabel668910192832[[#This Row],[WW 2015]]+Tabel668910192832[[#This Row],[Other ch. 2015]]+Tabel668910192832[[#This Row],[VAT 2015]]</f>
        <v>0</v>
      </c>
      <c r="Q105" s="397"/>
      <c r="R105" s="1173"/>
      <c r="S105" s="1174"/>
      <c r="T105" s="1175"/>
      <c r="U105" s="1176"/>
      <c r="V105" s="1177"/>
      <c r="W105" s="1178"/>
      <c r="X105" s="1179"/>
      <c r="Y105" s="1180"/>
      <c r="Z105" s="1204"/>
    </row>
    <row r="106" spans="1:26" ht="19.5" hidden="1" customHeight="1" x14ac:dyDescent="0.25">
      <c r="A106" s="1833" t="s">
        <v>466</v>
      </c>
      <c r="B106" s="1617"/>
      <c r="C106" s="1515" t="s">
        <v>606</v>
      </c>
      <c r="D106" s="2372">
        <v>12800</v>
      </c>
      <c r="E106" s="307">
        <f>'[1]exchange rates'!K27</f>
        <v>11241.536700000001</v>
      </c>
      <c r="F106" s="319">
        <v>0</v>
      </c>
      <c r="G106" s="320">
        <f>177252/E106</f>
        <v>15.767595190077527</v>
      </c>
      <c r="H106" s="321">
        <v>0</v>
      </c>
      <c r="I106" s="313">
        <f>Tabel668910192832[[#This Row],[Fix.ch. 2015]]+Tabel668910192832[[#This Row],[Var. ch. 2015]]+Tabel668910192832[[#This Row],[Oth. ch. DW 2015]]</f>
        <v>15.767595190077527</v>
      </c>
      <c r="J106" s="322">
        <f>29796/E106</f>
        <v>2.6505273073564752</v>
      </c>
      <c r="K106" s="323">
        <v>0</v>
      </c>
      <c r="L106" s="323"/>
      <c r="M106" s="323"/>
      <c r="N106" s="324">
        <v>0</v>
      </c>
      <c r="O106" s="1258">
        <f>12432/E106</f>
        <v>1.1058986268309741</v>
      </c>
      <c r="P106" s="1491">
        <f>Tabel668910192832[[#This Row],[Total. ch. DW 2015]]+Tabel668910192832[[#This Row],[Sew. 2015]]+Tabel668910192832[[#This Row],[WW 2015]]+Tabel668910192832[[#This Row],[Other ch. 2015]]+Tabel668910192832[[#This Row],[VAT 2015]]</f>
        <v>19.524021124264976</v>
      </c>
      <c r="Q106" s="397"/>
      <c r="R106" s="2362">
        <f t="shared" ref="R106:W106" si="29">SUM(F106:F110)/5</f>
        <v>0</v>
      </c>
      <c r="S106" s="2363">
        <f t="shared" si="29"/>
        <v>14.071172315792021</v>
      </c>
      <c r="T106" s="2364">
        <f t="shared" si="29"/>
        <v>0</v>
      </c>
      <c r="U106" s="2365">
        <f t="shared" si="29"/>
        <v>14.071172315792021</v>
      </c>
      <c r="V106" s="2354">
        <f t="shared" si="29"/>
        <v>2.6505273073564752</v>
      </c>
      <c r="W106" s="2355">
        <f t="shared" si="29"/>
        <v>0</v>
      </c>
      <c r="X106" s="2356">
        <f t="shared" ref="X106:Z106" si="30">SUM(N106:N110)/5</f>
        <v>0</v>
      </c>
      <c r="Y106" s="2357">
        <f t="shared" si="30"/>
        <v>1.0034215339972159</v>
      </c>
      <c r="Z106" s="2358">
        <f t="shared" si="30"/>
        <v>17.725121157145711</v>
      </c>
    </row>
    <row r="107" spans="1:26" ht="15.75" hidden="1" x14ac:dyDescent="0.25">
      <c r="A107" s="2297"/>
      <c r="B107" s="1617"/>
      <c r="C107" s="298" t="s">
        <v>607</v>
      </c>
      <c r="D107" s="1837"/>
      <c r="E107" s="307">
        <f>'[1]exchange rates'!K27</f>
        <v>11241.536700000001</v>
      </c>
      <c r="F107" s="319">
        <v>0</v>
      </c>
      <c r="G107" s="320">
        <f>155244/E107</f>
        <v>13.809855729065937</v>
      </c>
      <c r="H107" s="321">
        <v>0</v>
      </c>
      <c r="I107" s="313">
        <f>Tabel668910192832[[#This Row],[Fix.ch. 2015]]+Tabel668910192832[[#This Row],[Var. ch. 2015]]+Tabel668910192832[[#This Row],[Oth. ch. DW 2015]]</f>
        <v>13.809855729065937</v>
      </c>
      <c r="J107" s="322">
        <f>29796/E107</f>
        <v>2.6505273073564752</v>
      </c>
      <c r="K107" s="323">
        <v>0</v>
      </c>
      <c r="L107" s="323"/>
      <c r="M107" s="323"/>
      <c r="N107" s="324">
        <v>0</v>
      </c>
      <c r="O107" s="1258">
        <f>11100/E107</f>
        <v>0.98740948824194108</v>
      </c>
      <c r="P107" s="1491">
        <f>Tabel668910192832[[#This Row],[Total. ch. DW 2015]]+Tabel668910192832[[#This Row],[Sew. 2015]]+Tabel668910192832[[#This Row],[WW 2015]]+Tabel668910192832[[#This Row],[Other ch. 2015]]+Tabel668910192832[[#This Row],[VAT 2015]]</f>
        <v>17.447792524664354</v>
      </c>
      <c r="Q107" s="397"/>
      <c r="R107" s="1840"/>
      <c r="S107" s="1843"/>
      <c r="T107" s="1846"/>
      <c r="U107" s="1849"/>
      <c r="V107" s="1852"/>
      <c r="W107" s="1855"/>
      <c r="X107" s="1858"/>
      <c r="Y107" s="1873"/>
      <c r="Z107" s="1876"/>
    </row>
    <row r="108" spans="1:26" ht="15.75" hidden="1" x14ac:dyDescent="0.25">
      <c r="A108" s="2297"/>
      <c r="B108" s="1617"/>
      <c r="C108" s="298" t="s">
        <v>608</v>
      </c>
      <c r="D108" s="1837"/>
      <c r="E108" s="307">
        <f>'[1]exchange rates'!K27</f>
        <v>11241.536700000001</v>
      </c>
      <c r="F108" s="319">
        <v>0</v>
      </c>
      <c r="G108" s="320">
        <f>139356/E108</f>
        <v>12.396525823733688</v>
      </c>
      <c r="H108" s="321">
        <v>0</v>
      </c>
      <c r="I108" s="313">
        <f>Tabel668910192832[[#This Row],[Fix.ch. 2015]]+Tabel668910192832[[#This Row],[Var. ch. 2015]]+Tabel668910192832[[#This Row],[Oth. ch. DW 2015]]</f>
        <v>12.396525823733688</v>
      </c>
      <c r="J108" s="322">
        <f>29796/E108</f>
        <v>2.6505273073564752</v>
      </c>
      <c r="K108" s="323">
        <v>0</v>
      </c>
      <c r="L108" s="323"/>
      <c r="M108" s="323"/>
      <c r="N108" s="324">
        <v>0</v>
      </c>
      <c r="O108" s="1258">
        <f>10152/E108</f>
        <v>0.90307938059749426</v>
      </c>
      <c r="P108" s="1491">
        <f>Tabel668910192832[[#This Row],[Total. ch. DW 2015]]+Tabel668910192832[[#This Row],[Sew. 2015]]+Tabel668910192832[[#This Row],[WW 2015]]+Tabel668910192832[[#This Row],[Other ch. 2015]]+Tabel668910192832[[#This Row],[VAT 2015]]</f>
        <v>15.950132511687658</v>
      </c>
      <c r="Q108" s="397"/>
      <c r="R108" s="1840"/>
      <c r="S108" s="1843"/>
      <c r="T108" s="1846"/>
      <c r="U108" s="1849"/>
      <c r="V108" s="1852"/>
      <c r="W108" s="1855"/>
      <c r="X108" s="1858"/>
      <c r="Y108" s="1873"/>
      <c r="Z108" s="1876"/>
    </row>
    <row r="109" spans="1:26" ht="15.75" hidden="1" x14ac:dyDescent="0.25">
      <c r="A109" s="2297"/>
      <c r="B109" s="1617"/>
      <c r="C109" s="298" t="s">
        <v>609</v>
      </c>
      <c r="D109" s="1837"/>
      <c r="E109" s="307">
        <f>'[1]exchange rates'!K27</f>
        <v>11241.536700000001</v>
      </c>
      <c r="F109" s="319">
        <v>0</v>
      </c>
      <c r="G109" s="320">
        <f>158916/E109</f>
        <v>14.136501462473541</v>
      </c>
      <c r="H109" s="321">
        <v>0</v>
      </c>
      <c r="I109" s="313">
        <f>Tabel668910192832[[#This Row],[Fix.ch. 2015]]+Tabel668910192832[[#This Row],[Var. ch. 2015]]+Tabel668910192832[[#This Row],[Oth. ch. DW 2015]]</f>
        <v>14.136501462473541</v>
      </c>
      <c r="J109" s="322">
        <f>29796/E109</f>
        <v>2.6505273073564752</v>
      </c>
      <c r="K109" s="323">
        <v>0</v>
      </c>
      <c r="L109" s="323"/>
      <c r="M109" s="323"/>
      <c r="N109" s="324">
        <v>0</v>
      </c>
      <c r="O109" s="1258">
        <f>11328/E109</f>
        <v>1.0076914128652892</v>
      </c>
      <c r="P109" s="1491">
        <f>Tabel668910192832[[#This Row],[Total. ch. DW 2015]]+Tabel668910192832[[#This Row],[Sew. 2015]]+Tabel668910192832[[#This Row],[WW 2015]]+Tabel668910192832[[#This Row],[Other ch. 2015]]+Tabel668910192832[[#This Row],[VAT 2015]]</f>
        <v>17.794720182695304</v>
      </c>
      <c r="Q109" s="397"/>
      <c r="R109" s="1840"/>
      <c r="S109" s="1843"/>
      <c r="T109" s="1846"/>
      <c r="U109" s="1849"/>
      <c r="V109" s="1852"/>
      <c r="W109" s="1855"/>
      <c r="X109" s="1858"/>
      <c r="Y109" s="1873"/>
      <c r="Z109" s="1876"/>
    </row>
    <row r="110" spans="1:26" ht="16.5" hidden="1" thickBot="1" x14ac:dyDescent="0.3">
      <c r="A110" s="2298"/>
      <c r="B110" s="1617"/>
      <c r="C110" s="293" t="s">
        <v>610</v>
      </c>
      <c r="D110" s="2008"/>
      <c r="E110" s="307">
        <f>'[1]exchange rates'!K27</f>
        <v>11241.536700000001</v>
      </c>
      <c r="F110" s="319">
        <v>0</v>
      </c>
      <c r="G110" s="320">
        <f>160140/E110</f>
        <v>14.24538337360941</v>
      </c>
      <c r="H110" s="321">
        <v>0</v>
      </c>
      <c r="I110" s="313">
        <f>Tabel668910192832[[#This Row],[Fix.ch. 2015]]+Tabel668910192832[[#This Row],[Var. ch. 2015]]+Tabel668910192832[[#This Row],[Oth. ch. DW 2015]]</f>
        <v>14.24538337360941</v>
      </c>
      <c r="J110" s="322">
        <f>29796/E110</f>
        <v>2.6505273073564752</v>
      </c>
      <c r="K110" s="323">
        <v>0</v>
      </c>
      <c r="L110" s="323"/>
      <c r="M110" s="323"/>
      <c r="N110" s="324">
        <v>0</v>
      </c>
      <c r="O110" s="1258">
        <f>11388/E110</f>
        <v>1.0130287614503806</v>
      </c>
      <c r="P110" s="1491">
        <f>Tabel668910192832[[#This Row],[Total. ch. DW 2015]]+Tabel668910192832[[#This Row],[Sew. 2015]]+Tabel668910192832[[#This Row],[WW 2015]]+Tabel668910192832[[#This Row],[Other ch. 2015]]+Tabel668910192832[[#This Row],[VAT 2015]]</f>
        <v>17.908939442416269</v>
      </c>
      <c r="Q110" s="397"/>
      <c r="R110" s="2088"/>
      <c r="S110" s="2013"/>
      <c r="T110" s="2015"/>
      <c r="U110" s="2017"/>
      <c r="V110" s="2019"/>
      <c r="W110" s="2021"/>
      <c r="X110" s="2030"/>
      <c r="Y110" s="1993"/>
      <c r="Z110" s="1995"/>
    </row>
    <row r="111" spans="1:26" ht="19.5" hidden="1" thickBot="1" x14ac:dyDescent="0.35">
      <c r="A111" s="267" t="s">
        <v>16</v>
      </c>
      <c r="B111" s="1616"/>
      <c r="C111" s="1516" t="s">
        <v>106</v>
      </c>
      <c r="D111" s="1256">
        <v>34900</v>
      </c>
      <c r="E111" s="308">
        <f>'[1]exchange rates'!K28</f>
        <v>3.4691000000000001</v>
      </c>
      <c r="F111" s="319">
        <v>0</v>
      </c>
      <c r="G111" s="320">
        <f>743.6/E111</f>
        <v>214.34954310916376</v>
      </c>
      <c r="H111" s="321">
        <v>0</v>
      </c>
      <c r="I111" s="313">
        <f>Tabel668910192832[[#This Row],[Fix.ch. 2015]]+Tabel668910192832[[#This Row],[Var. ch. 2015]]+Tabel668910192832[[#This Row],[Oth. ch. DW 2015]]</f>
        <v>214.34954310916376</v>
      </c>
      <c r="J111" s="322">
        <v>0</v>
      </c>
      <c r="K111" s="323">
        <v>0</v>
      </c>
      <c r="L111" s="323"/>
      <c r="M111" s="323"/>
      <c r="N111" s="324">
        <v>0</v>
      </c>
      <c r="O111" s="1258">
        <f>128.87/E111</f>
        <v>37.147963448733101</v>
      </c>
      <c r="P111" s="1491">
        <f>Tabel668910192832[[#This Row],[Total. ch. DW 2015]]+Tabel668910192832[[#This Row],[Sew. 2015]]+Tabel668910192832[[#This Row],[WW 2015]]+Tabel668910192832[[#This Row],[Other ch. 2015]]+Tabel668910192832[[#This Row],[VAT 2015]]</f>
        <v>251.49750655789686</v>
      </c>
      <c r="Q111" s="397"/>
      <c r="R111" s="1228">
        <v>0</v>
      </c>
      <c r="S111" s="1229">
        <f>Tabel668910192832[[#This Row],[Var. ch. 2015]]</f>
        <v>214.34954310916376</v>
      </c>
      <c r="T111" s="1230">
        <v>0</v>
      </c>
      <c r="U111" s="1231">
        <f>Tabel668910192832[[#This Row],[Total. ch. DW 2015]]</f>
        <v>214.34954310916376</v>
      </c>
      <c r="V111" s="1232">
        <v>0</v>
      </c>
      <c r="W111" s="1233">
        <v>0</v>
      </c>
      <c r="X111" s="1234">
        <v>0</v>
      </c>
      <c r="Y111" s="1235">
        <f>Tabel668910192832[[#This Row],[VAT 2015]]</f>
        <v>37.147963448733101</v>
      </c>
      <c r="Z111" s="1517">
        <f>Tabel668910192832[[#This Row],[total charge 2015]]</f>
        <v>251.49750655789686</v>
      </c>
    </row>
    <row r="112" spans="1:26" ht="15.75" hidden="1" customHeight="1" x14ac:dyDescent="0.25">
      <c r="A112" s="1833" t="s">
        <v>17</v>
      </c>
      <c r="B112" s="1617"/>
      <c r="C112" s="1515" t="s">
        <v>107</v>
      </c>
      <c r="D112" s="2372">
        <v>29600</v>
      </c>
      <c r="E112" s="306">
        <f>'[1]exchange rates'!K29</f>
        <v>0.72762000000000004</v>
      </c>
      <c r="F112" s="319">
        <f>17.62/E112</f>
        <v>24.215936890134959</v>
      </c>
      <c r="G112" s="320">
        <f>32.7/E112</f>
        <v>44.941040653088152</v>
      </c>
      <c r="H112" s="321">
        <f>0</f>
        <v>0</v>
      </c>
      <c r="I112" s="313">
        <f>Tabel668910192832[[#This Row],[Fix.ch. 2015]]+Tabel668910192832[[#This Row],[Var. ch. 2015]]+Tabel668910192832[[#This Row],[Oth. ch. DW 2015]]</f>
        <v>69.156977543223107</v>
      </c>
      <c r="J112" s="322">
        <f>17.15/E112</f>
        <v>23.569995327231243</v>
      </c>
      <c r="K112" s="323">
        <f>46.21/E112</f>
        <v>63.508424727192761</v>
      </c>
      <c r="L112" s="323"/>
      <c r="M112" s="323"/>
      <c r="N112" s="324">
        <v>0</v>
      </c>
      <c r="O112" s="1258">
        <f>11.37/E112</f>
        <v>15.626288447266429</v>
      </c>
      <c r="P112" s="1491">
        <f>Tabel668910192832[[#This Row],[Total. ch. DW 2015]]+Tabel668910192832[[#This Row],[Sew. 2015]]+Tabel668910192832[[#This Row],[WW 2015]]+Tabel668910192832[[#This Row],[Other ch. 2015]]+Tabel668910192832[[#This Row],[VAT 2015]]</f>
        <v>171.86168604491354</v>
      </c>
      <c r="Q112" s="397"/>
      <c r="R112" s="2362">
        <f t="shared" ref="R112:W112" si="31">SUM(F112:F116)/5</f>
        <v>16.250240510156399</v>
      </c>
      <c r="S112" s="2363">
        <f t="shared" si="31"/>
        <v>41.83502377614689</v>
      </c>
      <c r="T112" s="2364">
        <f t="shared" si="31"/>
        <v>0.34633462521645908</v>
      </c>
      <c r="U112" s="2365">
        <f t="shared" si="31"/>
        <v>58.431598911519743</v>
      </c>
      <c r="V112" s="2354">
        <f t="shared" si="31"/>
        <v>21.305076825815672</v>
      </c>
      <c r="W112" s="2355">
        <f t="shared" si="31"/>
        <v>58.228196036392617</v>
      </c>
      <c r="X112" s="2356">
        <f t="shared" ref="X112:Z112" si="32">SUM(N112:N116)/5</f>
        <v>0</v>
      </c>
      <c r="Y112" s="2357">
        <f t="shared" si="32"/>
        <v>13.798411258624009</v>
      </c>
      <c r="Z112" s="2382">
        <f t="shared" si="32"/>
        <v>151.76328303235204</v>
      </c>
    </row>
    <row r="113" spans="1:26" ht="15.75" hidden="1" customHeight="1" x14ac:dyDescent="0.25">
      <c r="A113" s="2297"/>
      <c r="B113" s="1617"/>
      <c r="C113" s="298" t="s">
        <v>108</v>
      </c>
      <c r="D113" s="1837"/>
      <c r="E113" s="306">
        <f>'[1]exchange rates'!K29</f>
        <v>0.72762000000000004</v>
      </c>
      <c r="F113" s="319">
        <f>2.79/E113</f>
        <v>3.8344190648965117</v>
      </c>
      <c r="G113" s="320">
        <f>11/E113</f>
        <v>15.117781259448613</v>
      </c>
      <c r="H113" s="321">
        <v>0</v>
      </c>
      <c r="I113" s="313">
        <f>Tabel668910192832[[#This Row],[Fix.ch. 2015]]+Tabel668910192832[[#This Row],[Var. ch. 2015]]+Tabel668910192832[[#This Row],[Oth. ch. DW 2015]]</f>
        <v>18.952200324345124</v>
      </c>
      <c r="J113" s="322">
        <f>10.8/E113</f>
        <v>14.84291250927682</v>
      </c>
      <c r="K113" s="323">
        <f>27.7/E113</f>
        <v>38.069321898793326</v>
      </c>
      <c r="L113" s="323"/>
      <c r="M113" s="323"/>
      <c r="N113" s="324">
        <v>0</v>
      </c>
      <c r="O113" s="1258">
        <f>5.23/E113</f>
        <v>7.1878178169923865</v>
      </c>
      <c r="P113" s="1491">
        <f>Tabel668910192832[[#This Row],[Total. ch. DW 2015]]+Tabel668910192832[[#This Row],[Sew. 2015]]+Tabel668910192832[[#This Row],[WW 2015]]+Tabel668910192832[[#This Row],[Other ch. 2015]]+Tabel668910192832[[#This Row],[VAT 2015]]</f>
        <v>79.052252549407669</v>
      </c>
      <c r="Q113" s="397"/>
      <c r="R113" s="1840"/>
      <c r="S113" s="1843"/>
      <c r="T113" s="1846"/>
      <c r="U113" s="1849"/>
      <c r="V113" s="1852"/>
      <c r="W113" s="1855"/>
      <c r="X113" s="1858"/>
      <c r="Y113" s="1873"/>
      <c r="Z113" s="2390"/>
    </row>
    <row r="114" spans="1:26" ht="15.75" hidden="1" customHeight="1" x14ac:dyDescent="0.25">
      <c r="A114" s="2297"/>
      <c r="B114" s="1617"/>
      <c r="C114" s="298" t="s">
        <v>109</v>
      </c>
      <c r="D114" s="1837"/>
      <c r="E114" s="306">
        <f>'[1]exchange rates'!K29</f>
        <v>0.72762000000000004</v>
      </c>
      <c r="F114" s="319">
        <f>8.79/E114</f>
        <v>12.080481570050299</v>
      </c>
      <c r="G114" s="320">
        <f>49.92/E114</f>
        <v>68.607240042879525</v>
      </c>
      <c r="H114" s="321">
        <v>0</v>
      </c>
      <c r="I114" s="313">
        <f>Tabel668910192832[[#This Row],[Fix.ch. 2015]]+Tabel668910192832[[#This Row],[Var. ch. 2015]]+Tabel668910192832[[#This Row],[Oth. ch. DW 2015]]</f>
        <v>80.68772161292982</v>
      </c>
      <c r="J114" s="322">
        <f>10.25/E114</f>
        <v>14.087023446304389</v>
      </c>
      <c r="K114" s="323">
        <f>29.37/E114</f>
        <v>40.364475962727795</v>
      </c>
      <c r="L114" s="323"/>
      <c r="M114" s="323"/>
      <c r="N114" s="324">
        <v>0</v>
      </c>
      <c r="O114" s="1258">
        <f>9.83/E114</f>
        <v>13.509799070943624</v>
      </c>
      <c r="P114" s="1491">
        <f>Tabel668910192832[[#This Row],[Total. ch. DW 2015]]+Tabel668910192832[[#This Row],[Sew. 2015]]+Tabel668910192832[[#This Row],[WW 2015]]+Tabel668910192832[[#This Row],[Other ch. 2015]]+Tabel668910192832[[#This Row],[VAT 2015]]</f>
        <v>148.6490200929056</v>
      </c>
      <c r="Q114" s="397"/>
      <c r="R114" s="1840"/>
      <c r="S114" s="1843"/>
      <c r="T114" s="1846"/>
      <c r="U114" s="1849"/>
      <c r="V114" s="1852"/>
      <c r="W114" s="1855"/>
      <c r="X114" s="1858"/>
      <c r="Y114" s="1873"/>
      <c r="Z114" s="2390"/>
    </row>
    <row r="115" spans="1:26" ht="15.75" hidden="1" customHeight="1" x14ac:dyDescent="0.25">
      <c r="A115" s="2297"/>
      <c r="B115" s="1617"/>
      <c r="C115" s="298" t="s">
        <v>110</v>
      </c>
      <c r="D115" s="1837"/>
      <c r="E115" s="306">
        <f>'[1]exchange rates'!K29</f>
        <v>0.72762000000000004</v>
      </c>
      <c r="F115" s="319">
        <f>22.66/E115</f>
        <v>31.142629394464141</v>
      </c>
      <c r="G115" s="320">
        <f>20.6/E115</f>
        <v>28.311481267694678</v>
      </c>
      <c r="H115" s="321">
        <f>1.26/E115</f>
        <v>1.7316731260822955</v>
      </c>
      <c r="I115" s="313">
        <f>Tabel668910192832[[#This Row],[Fix.ch. 2015]]+Tabel668910192832[[#This Row],[Var. ch. 2015]]+Tabel668910192832[[#This Row],[Oth. ch. DW 2015]]</f>
        <v>61.18578378824111</v>
      </c>
      <c r="J115" s="322">
        <f>16.23/E115</f>
        <v>22.305599076440998</v>
      </c>
      <c r="K115" s="323">
        <f>46.82/E115</f>
        <v>64.346774415216728</v>
      </c>
      <c r="L115" s="323"/>
      <c r="M115" s="323"/>
      <c r="N115" s="324">
        <v>0</v>
      </c>
      <c r="O115" s="1258">
        <f>10.76/E115</f>
        <v>14.787938759242461</v>
      </c>
      <c r="P115" s="1491">
        <f>Tabel668910192832[[#This Row],[Total. ch. DW 2015]]+Tabel668910192832[[#This Row],[Sew. 2015]]+Tabel668910192832[[#This Row],[WW 2015]]+Tabel668910192832[[#This Row],[Other ch. 2015]]+Tabel668910192832[[#This Row],[VAT 2015]]</f>
        <v>162.62609603914129</v>
      </c>
      <c r="Q115" s="397"/>
      <c r="R115" s="1840"/>
      <c r="S115" s="1843"/>
      <c r="T115" s="1846"/>
      <c r="U115" s="1849"/>
      <c r="V115" s="1852"/>
      <c r="W115" s="1855"/>
      <c r="X115" s="1858"/>
      <c r="Y115" s="1873"/>
      <c r="Z115" s="2390"/>
    </row>
    <row r="116" spans="1:26" ht="16.5" hidden="1" customHeight="1" x14ac:dyDescent="0.25">
      <c r="A116" s="2298"/>
      <c r="B116" s="1617"/>
      <c r="C116" s="293" t="s">
        <v>111</v>
      </c>
      <c r="D116" s="2221"/>
      <c r="E116" s="306">
        <f>'[1]exchange rates'!K29</f>
        <v>0.72762000000000004</v>
      </c>
      <c r="F116" s="319">
        <f>7.26/E116</f>
        <v>9.977735631236083</v>
      </c>
      <c r="G116" s="320">
        <f>37.98/E116</f>
        <v>52.197575657623474</v>
      </c>
      <c r="H116" s="321">
        <v>0</v>
      </c>
      <c r="I116" s="313">
        <f>Tabel668910192832[[#This Row],[Fix.ch. 2015]]+Tabel668910192832[[#This Row],[Var. ch. 2015]]+Tabel668910192832[[#This Row],[Oth. ch. DW 2015]]</f>
        <v>62.175311288859561</v>
      </c>
      <c r="J116" s="322">
        <f>23.08/E116</f>
        <v>31.719853769824905</v>
      </c>
      <c r="K116" s="323">
        <f>61.74/E116</f>
        <v>84.851983178032484</v>
      </c>
      <c r="L116" s="323"/>
      <c r="M116" s="323"/>
      <c r="N116" s="324">
        <v>0</v>
      </c>
      <c r="O116" s="1258">
        <f>13.01/E116</f>
        <v>17.880212198675132</v>
      </c>
      <c r="P116" s="1491">
        <f>Tabel668910192832[[#This Row],[Total. ch. DW 2015]]+Tabel668910192832[[#This Row],[Sew. 2015]]+Tabel668910192832[[#This Row],[WW 2015]]+Tabel668910192832[[#This Row],[Other ch. 2015]]+Tabel668910192832[[#This Row],[VAT 2015]]</f>
        <v>196.62736043539209</v>
      </c>
      <c r="Q116" s="397"/>
      <c r="R116" s="2223"/>
      <c r="S116" s="2225"/>
      <c r="T116" s="2227"/>
      <c r="U116" s="2234"/>
      <c r="V116" s="2236"/>
      <c r="W116" s="2238"/>
      <c r="X116" s="2240"/>
      <c r="Y116" s="2242"/>
      <c r="Z116" s="2391"/>
    </row>
    <row r="117" spans="1:26" ht="15.75" hidden="1" x14ac:dyDescent="0.25">
      <c r="A117" s="1818" t="s">
        <v>18</v>
      </c>
      <c r="B117" s="1213"/>
      <c r="C117" s="1513" t="s">
        <v>112</v>
      </c>
      <c r="D117" s="2343">
        <v>38200</v>
      </c>
      <c r="E117" s="617">
        <f>'[1]exchange rates'!$M$30</f>
        <v>120.30594000000001</v>
      </c>
      <c r="F117" s="549">
        <f>7500/E117</f>
        <v>62.341061463798042</v>
      </c>
      <c r="G117" s="550">
        <f>240/E117</f>
        <v>1.9949139668415374</v>
      </c>
      <c r="H117" s="551">
        <v>0</v>
      </c>
      <c r="I117" s="566">
        <f>Tabel668910192832[[#This Row],[Fix.ch. 2015]]+Tabel668910192832[[#This Row],[Var. ch. 2015]]+Tabel668910192832[[#This Row],[Oth. ch. DW 2015]]</f>
        <v>64.335975430639579</v>
      </c>
      <c r="J117" s="567">
        <f>6720/E117</f>
        <v>55.85759107156305</v>
      </c>
      <c r="K117" s="568">
        <v>0</v>
      </c>
      <c r="L117" s="568"/>
      <c r="M117" s="568"/>
      <c r="N117" s="569">
        <v>0</v>
      </c>
      <c r="O117" s="1271">
        <f>1152/E117</f>
        <v>9.5755870408393786</v>
      </c>
      <c r="P117" s="1496">
        <f>Tabel668910192832[[#This Row],[Total. ch. DW 2015]]+Tabel668910192832[[#This Row],[Sew. 2015]]+Tabel668910192832[[#This Row],[WW 2015]]+Tabel668910192832[[#This Row],[Other ch. 2015]]+Tabel668910192832[[#This Row],[VAT 2015]]</f>
        <v>129.76915354304199</v>
      </c>
      <c r="Q117" s="397"/>
      <c r="R117" s="2344">
        <f t="shared" ref="R117:W117" si="33">SUM(F117:F124)/8</f>
        <v>95.568847224002397</v>
      </c>
      <c r="S117" s="2345">
        <f t="shared" si="33"/>
        <v>12.875507227656422</v>
      </c>
      <c r="T117" s="2389">
        <f t="shared" si="33"/>
        <v>0</v>
      </c>
      <c r="U117" s="2361">
        <f t="shared" si="33"/>
        <v>108.44435445165882</v>
      </c>
      <c r="V117" s="2351">
        <f t="shared" si="33"/>
        <v>65.046663531326885</v>
      </c>
      <c r="W117" s="2383">
        <f t="shared" si="33"/>
        <v>0</v>
      </c>
      <c r="X117" s="2384">
        <f t="shared" ref="X117:Z117" si="34">SUM(N117:N124)/8</f>
        <v>0</v>
      </c>
      <c r="Y117" s="2342">
        <f t="shared" si="34"/>
        <v>13.814779220377648</v>
      </c>
      <c r="Z117" s="2353">
        <f t="shared" si="34"/>
        <v>187.30579720336334</v>
      </c>
    </row>
    <row r="118" spans="1:26" ht="15.75" hidden="1" x14ac:dyDescent="0.25">
      <c r="A118" s="2294"/>
      <c r="B118" s="1213"/>
      <c r="C118" s="543" t="s">
        <v>113</v>
      </c>
      <c r="D118" s="1880"/>
      <c r="E118" s="617">
        <f>'[1]exchange rates'!$M$30</f>
        <v>120.30594000000001</v>
      </c>
      <c r="F118" s="549">
        <f>10200/E118</f>
        <v>84.783843590765343</v>
      </c>
      <c r="G118" s="550">
        <f>1000/E118</f>
        <v>8.3121415285064053</v>
      </c>
      <c r="H118" s="551">
        <v>0</v>
      </c>
      <c r="I118" s="566">
        <f>Tabel668910192832[[#This Row],[Fix.ch. 2015]]+Tabel668910192832[[#This Row],[Var. ch. 2015]]+Tabel668910192832[[#This Row],[Oth. ch. DW 2015]]</f>
        <v>93.095985119271745</v>
      </c>
      <c r="J118" s="567">
        <f>6600/E118</f>
        <v>54.860134088142281</v>
      </c>
      <c r="K118" s="568">
        <v>0</v>
      </c>
      <c r="L118" s="568"/>
      <c r="M118" s="568"/>
      <c r="N118" s="569">
        <v>0</v>
      </c>
      <c r="O118" s="1271">
        <f>1420/E118</f>
        <v>11.803240970479097</v>
      </c>
      <c r="P118" s="1496">
        <f>Tabel668910192832[[#This Row],[Total. ch. DW 2015]]+Tabel668910192832[[#This Row],[Sew. 2015]]+Tabel668910192832[[#This Row],[WW 2015]]+Tabel668910192832[[#This Row],[Other ch. 2015]]+Tabel668910192832[[#This Row],[VAT 2015]]</f>
        <v>159.75936017789311</v>
      </c>
      <c r="Q118" s="397"/>
      <c r="R118" s="1886"/>
      <c r="S118" s="1888"/>
      <c r="T118" s="1899"/>
      <c r="U118" s="1902"/>
      <c r="V118" s="1894"/>
      <c r="W118" s="1864"/>
      <c r="X118" s="1867"/>
      <c r="Y118" s="1915"/>
      <c r="Z118" s="2291"/>
    </row>
    <row r="119" spans="1:26" ht="15.75" hidden="1" x14ac:dyDescent="0.25">
      <c r="A119" s="2294"/>
      <c r="B119" s="1213"/>
      <c r="C119" s="543" t="s">
        <v>114</v>
      </c>
      <c r="D119" s="1880"/>
      <c r="E119" s="617">
        <f>'[1]exchange rates'!$M$30</f>
        <v>120.30594000000001</v>
      </c>
      <c r="F119" s="549">
        <f>9720/E119</f>
        <v>80.794015657082269</v>
      </c>
      <c r="G119" s="550">
        <f>500/E119</f>
        <v>4.1560707642532027</v>
      </c>
      <c r="H119" s="551">
        <v>0</v>
      </c>
      <c r="I119" s="566">
        <f>Tabel668910192832[[#This Row],[Fix.ch. 2015]]+Tabel668910192832[[#This Row],[Var. ch. 2015]]+Tabel668910192832[[#This Row],[Oth. ch. DW 2015]]</f>
        <v>84.95008642133547</v>
      </c>
      <c r="J119" s="567">
        <f>8480/E119</f>
        <v>70.486960161734316</v>
      </c>
      <c r="K119" s="568">
        <v>0</v>
      </c>
      <c r="L119" s="568"/>
      <c r="M119" s="568"/>
      <c r="N119" s="569">
        <v>0</v>
      </c>
      <c r="O119" s="1271">
        <f>1492/E119</f>
        <v>12.401715160531557</v>
      </c>
      <c r="P119" s="1496">
        <f>Tabel668910192832[[#This Row],[Total. ch. DW 2015]]+Tabel668910192832[[#This Row],[Sew. 2015]]+Tabel668910192832[[#This Row],[WW 2015]]+Tabel668910192832[[#This Row],[Other ch. 2015]]+Tabel668910192832[[#This Row],[VAT 2015]]</f>
        <v>167.83876174360134</v>
      </c>
      <c r="Q119" s="397"/>
      <c r="R119" s="1886"/>
      <c r="S119" s="1888"/>
      <c r="T119" s="1899"/>
      <c r="U119" s="1902"/>
      <c r="V119" s="1894"/>
      <c r="W119" s="1864"/>
      <c r="X119" s="1867"/>
      <c r="Y119" s="1915"/>
      <c r="Z119" s="2291"/>
    </row>
    <row r="120" spans="1:26" ht="15.75" hidden="1" x14ac:dyDescent="0.25">
      <c r="A120" s="2294"/>
      <c r="B120" s="1213"/>
      <c r="C120" s="543" t="s">
        <v>115</v>
      </c>
      <c r="D120" s="1880"/>
      <c r="E120" s="617">
        <f>'[1]exchange rates'!$M$30</f>
        <v>120.30594000000001</v>
      </c>
      <c r="F120" s="549">
        <f>10200/E120</f>
        <v>84.783843590765343</v>
      </c>
      <c r="G120" s="550">
        <f>1632/E120</f>
        <v>13.565414974522454</v>
      </c>
      <c r="H120" s="551">
        <v>0</v>
      </c>
      <c r="I120" s="566">
        <f>Tabel668910192832[[#This Row],[Fix.ch. 2015]]+Tabel668910192832[[#This Row],[Var. ch. 2015]]+Tabel668910192832[[#This Row],[Oth. ch. DW 2015]]</f>
        <v>98.349258565287798</v>
      </c>
      <c r="J120" s="567">
        <f>10368/E120</f>
        <v>86.180283367554409</v>
      </c>
      <c r="K120" s="568">
        <v>0</v>
      </c>
      <c r="L120" s="568"/>
      <c r="M120" s="568"/>
      <c r="N120" s="569">
        <v>0</v>
      </c>
      <c r="O120" s="1271">
        <f>1764/E120</f>
        <v>14.662617656285299</v>
      </c>
      <c r="P120" s="1496">
        <f>Tabel668910192832[[#This Row],[Total. ch. DW 2015]]+Tabel668910192832[[#This Row],[Sew. 2015]]+Tabel668910192832[[#This Row],[WW 2015]]+Tabel668910192832[[#This Row],[Other ch. 2015]]+Tabel668910192832[[#This Row],[VAT 2015]]</f>
        <v>199.19215958912753</v>
      </c>
      <c r="Q120" s="397"/>
      <c r="R120" s="1886"/>
      <c r="S120" s="1888"/>
      <c r="T120" s="1899"/>
      <c r="U120" s="1902"/>
      <c r="V120" s="1894"/>
      <c r="W120" s="1864"/>
      <c r="X120" s="1867"/>
      <c r="Y120" s="1915"/>
      <c r="Z120" s="2291"/>
    </row>
    <row r="121" spans="1:26" ht="15.75" hidden="1" x14ac:dyDescent="0.25">
      <c r="A121" s="2294"/>
      <c r="B121" s="1213"/>
      <c r="C121" s="543" t="s">
        <v>116</v>
      </c>
      <c r="D121" s="1880"/>
      <c r="E121" s="617">
        <f>'[1]exchange rates'!$M$30</f>
        <v>120.30594000000001</v>
      </c>
      <c r="F121" s="549">
        <f>15840/E121</f>
        <v>131.66432181154147</v>
      </c>
      <c r="G121" s="550">
        <v>0</v>
      </c>
      <c r="H121" s="551">
        <v>0</v>
      </c>
      <c r="I121" s="566">
        <f>Tabel668910192832[[#This Row],[Fix.ch. 2015]]+Tabel668910192832[[#This Row],[Var. ch. 2015]]+Tabel668910192832[[#This Row],[Oth. ch. DW 2015]]</f>
        <v>131.66432181154147</v>
      </c>
      <c r="J121" s="567">
        <f>7200/E121</f>
        <v>59.847419005246124</v>
      </c>
      <c r="K121" s="568">
        <v>0</v>
      </c>
      <c r="L121" s="568"/>
      <c r="M121" s="568"/>
      <c r="N121" s="569">
        <v>0</v>
      </c>
      <c r="O121" s="1271">
        <f>1836/E121</f>
        <v>15.261091846337761</v>
      </c>
      <c r="P121" s="1496">
        <f>Tabel668910192832[[#This Row],[Total. ch. DW 2015]]+Tabel668910192832[[#This Row],[Sew. 2015]]+Tabel668910192832[[#This Row],[WW 2015]]+Tabel668910192832[[#This Row],[Other ch. 2015]]+Tabel668910192832[[#This Row],[VAT 2015]]</f>
        <v>206.77283266312537</v>
      </c>
      <c r="Q121" s="397"/>
      <c r="R121" s="1886"/>
      <c r="S121" s="1888"/>
      <c r="T121" s="1899"/>
      <c r="U121" s="1902"/>
      <c r="V121" s="1894"/>
      <c r="W121" s="1864"/>
      <c r="X121" s="1867"/>
      <c r="Y121" s="1915"/>
      <c r="Z121" s="2291"/>
    </row>
    <row r="122" spans="1:26" ht="15.75" hidden="1" x14ac:dyDescent="0.25">
      <c r="A122" s="2294"/>
      <c r="B122" s="1213"/>
      <c r="C122" s="543" t="s">
        <v>117</v>
      </c>
      <c r="D122" s="1880"/>
      <c r="E122" s="617">
        <f>'[1]exchange rates'!$M$30</f>
        <v>120.30594000000001</v>
      </c>
      <c r="F122" s="549">
        <f>15000/E122</f>
        <v>124.68212292759608</v>
      </c>
      <c r="G122" s="550">
        <f>7968/E122</f>
        <v>66.231143699139039</v>
      </c>
      <c r="H122" s="551">
        <v>0</v>
      </c>
      <c r="I122" s="566">
        <f>Tabel668910192832[[#This Row],[Fix.ch. 2015]]+Tabel668910192832[[#This Row],[Var. ch. 2015]]+Tabel668910192832[[#This Row],[Oth. ch. DW 2015]]</f>
        <v>190.91326662673512</v>
      </c>
      <c r="J122" s="567">
        <f>8436/E122</f>
        <v>70.121225934480037</v>
      </c>
      <c r="K122" s="568">
        <v>0</v>
      </c>
      <c r="L122" s="568"/>
      <c r="M122" s="568"/>
      <c r="N122" s="569">
        <v>0</v>
      </c>
      <c r="O122" s="1271">
        <f>2508/E122</f>
        <v>20.846850953494066</v>
      </c>
      <c r="P122" s="1496">
        <f>Tabel668910192832[[#This Row],[Total. ch. DW 2015]]+Tabel668910192832[[#This Row],[Sew. 2015]]+Tabel668910192832[[#This Row],[WW 2015]]+Tabel668910192832[[#This Row],[Other ch. 2015]]+Tabel668910192832[[#This Row],[VAT 2015]]</f>
        <v>281.88134351470927</v>
      </c>
      <c r="Q122" s="397"/>
      <c r="R122" s="1886"/>
      <c r="S122" s="1888"/>
      <c r="T122" s="1899"/>
      <c r="U122" s="1902"/>
      <c r="V122" s="1894"/>
      <c r="W122" s="1864"/>
      <c r="X122" s="1867"/>
      <c r="Y122" s="1915"/>
      <c r="Z122" s="2291"/>
    </row>
    <row r="123" spans="1:26" ht="15.75" hidden="1" x14ac:dyDescent="0.25">
      <c r="A123" s="2294"/>
      <c r="B123" s="1213"/>
      <c r="C123" s="543" t="s">
        <v>118</v>
      </c>
      <c r="D123" s="1880"/>
      <c r="E123" s="617">
        <f>'[1]exchange rates'!$M$30</f>
        <v>120.30594000000001</v>
      </c>
      <c r="F123" s="549">
        <f>14040/E123</f>
        <v>116.70246706022994</v>
      </c>
      <c r="G123" s="550">
        <f>880/E123</f>
        <v>7.3146845450856368</v>
      </c>
      <c r="H123" s="551">
        <v>0</v>
      </c>
      <c r="I123" s="566">
        <f>Tabel668910192832[[#This Row],[Fix.ch. 2015]]+Tabel668910192832[[#This Row],[Var. ch. 2015]]+Tabel668910192832[[#This Row],[Oth. ch. DW 2015]]</f>
        <v>124.01715160531558</v>
      </c>
      <c r="J123" s="567">
        <f>7160/E123</f>
        <v>59.514933344105863</v>
      </c>
      <c r="K123" s="568">
        <v>0</v>
      </c>
      <c r="L123" s="568"/>
      <c r="M123" s="568"/>
      <c r="N123" s="569">
        <v>0</v>
      </c>
      <c r="O123" s="1271">
        <f>1748/E123</f>
        <v>14.529623391829197</v>
      </c>
      <c r="P123" s="1496">
        <f>Tabel668910192832[[#This Row],[Total. ch. DW 2015]]+Tabel668910192832[[#This Row],[Sew. 2015]]+Tabel668910192832[[#This Row],[WW 2015]]+Tabel668910192832[[#This Row],[Other ch. 2015]]+Tabel668910192832[[#This Row],[VAT 2015]]</f>
        <v>198.06170834125064</v>
      </c>
      <c r="Q123" s="397"/>
      <c r="R123" s="1886"/>
      <c r="S123" s="1888"/>
      <c r="T123" s="1899"/>
      <c r="U123" s="1902"/>
      <c r="V123" s="1894"/>
      <c r="W123" s="1864"/>
      <c r="X123" s="1867"/>
      <c r="Y123" s="1915"/>
      <c r="Z123" s="2291"/>
    </row>
    <row r="124" spans="1:26" ht="16.5" hidden="1" thickBot="1" x14ac:dyDescent="0.3">
      <c r="A124" s="2295"/>
      <c r="B124" s="1213"/>
      <c r="C124" s="544" t="s">
        <v>119</v>
      </c>
      <c r="D124" s="1761"/>
      <c r="E124" s="617">
        <f>'[1]exchange rates'!$M$30</f>
        <v>120.30594000000001</v>
      </c>
      <c r="F124" s="549">
        <f>9480/E124</f>
        <v>78.799101690240732</v>
      </c>
      <c r="G124" s="550">
        <f>172/E124</f>
        <v>1.4296883429031018</v>
      </c>
      <c r="H124" s="551">
        <v>0</v>
      </c>
      <c r="I124" s="566">
        <f>Tabel668910192832[[#This Row],[Fix.ch. 2015]]+Tabel668910192832[[#This Row],[Var. ch. 2015]]+Tabel668910192832[[#This Row],[Oth. ch. DW 2015]]</f>
        <v>80.228790033143838</v>
      </c>
      <c r="J124" s="567">
        <f>7640/E124</f>
        <v>63.504761277788937</v>
      </c>
      <c r="K124" s="568">
        <v>0</v>
      </c>
      <c r="L124" s="568"/>
      <c r="M124" s="568"/>
      <c r="N124" s="569">
        <v>0</v>
      </c>
      <c r="O124" s="1271">
        <f>1376/E124</f>
        <v>11.437506743224814</v>
      </c>
      <c r="P124" s="1496">
        <f>Tabel668910192832[[#This Row],[Total. ch. DW 2015]]+Tabel668910192832[[#This Row],[Sew. 2015]]+Tabel668910192832[[#This Row],[WW 2015]]+Tabel668910192832[[#This Row],[Other ch. 2015]]+Tabel668910192832[[#This Row],[VAT 2015]]</f>
        <v>155.17105805415758</v>
      </c>
      <c r="Q124" s="397"/>
      <c r="R124" s="1764"/>
      <c r="S124" s="1767"/>
      <c r="T124" s="2232"/>
      <c r="U124" s="2255"/>
      <c r="V124" s="1779"/>
      <c r="W124" s="2248"/>
      <c r="X124" s="2250"/>
      <c r="Y124" s="1815"/>
      <c r="Z124" s="2292"/>
    </row>
    <row r="125" spans="1:26" ht="19.5" hidden="1" thickBot="1" x14ac:dyDescent="0.3">
      <c r="A125" s="1447" t="s">
        <v>742</v>
      </c>
      <c r="B125" s="1213"/>
      <c r="C125" s="751" t="s">
        <v>743</v>
      </c>
      <c r="D125" s="1194">
        <v>3300</v>
      </c>
      <c r="E125" s="617">
        <f>'[1]exchange rates'!M31</f>
        <v>102.86302000000001</v>
      </c>
      <c r="F125" s="549">
        <f>600/E125</f>
        <v>5.8330000421920332</v>
      </c>
      <c r="G125" s="550">
        <f>2245.2/E125</f>
        <v>21.827086157882587</v>
      </c>
      <c r="H125" s="551">
        <v>0</v>
      </c>
      <c r="I125" s="566">
        <f>Tabel668910192832[[#This Row],[Fix.ch. 2015]]+Tabel668910192832[[#This Row],[Var. ch. 2015]]+Tabel668910192832[[#This Row],[Oth. ch. DW 2015]]</f>
        <v>27.66008620007462</v>
      </c>
      <c r="J125" s="567">
        <v>0</v>
      </c>
      <c r="K125" s="568">
        <f>1683.9/E125</f>
        <v>16.370314618411943</v>
      </c>
      <c r="L125" s="568"/>
      <c r="M125" s="568"/>
      <c r="N125" s="569">
        <v>0</v>
      </c>
      <c r="O125" s="1271">
        <v>0</v>
      </c>
      <c r="P125" s="1496">
        <f>Tabel668910192832[[#This Row],[Total. ch. DW 2015]]+Tabel668910192832[[#This Row],[Sew. 2015]]+Tabel668910192832[[#This Row],[WW 2015]]+Tabel668910192832[[#This Row],[Other ch. 2015]]+Tabel668910192832[[#This Row],[VAT 2015]]</f>
        <v>44.030400818486562</v>
      </c>
      <c r="Q125" s="397"/>
      <c r="R125" s="1195">
        <f>Tabel668910192832[[#This Row],[Fix.ch. 2015]]</f>
        <v>5.8330000421920332</v>
      </c>
      <c r="S125" s="1196">
        <f>Tabel668910192832[[#This Row],[Var. ch. 2015]]</f>
        <v>21.827086157882587</v>
      </c>
      <c r="T125" s="1200">
        <f>Tabel668910192832[[#This Row],[Oth. ch. DW 2015]]</f>
        <v>0</v>
      </c>
      <c r="U125" s="1518">
        <f>SUM(R125:T125)</f>
        <v>27.66008620007462</v>
      </c>
      <c r="V125" s="1199">
        <f>Tabel668910192832[[#This Row],[Sew. 2015]]</f>
        <v>0</v>
      </c>
      <c r="W125" s="1190">
        <f>Tabel668910192832[[#This Row],[WW 2015]]</f>
        <v>16.370314618411943</v>
      </c>
      <c r="X125" s="1191">
        <f>Tabel668910192832[[#This Row],[Other ch. 2015]]</f>
        <v>0</v>
      </c>
      <c r="Y125" s="1203">
        <f>Tabel668910192832[[#This Row],[VAT 2015]]</f>
        <v>0</v>
      </c>
      <c r="Z125" s="1519">
        <f>SUM(U125:Y125)</f>
        <v>44.030400818486562</v>
      </c>
    </row>
    <row r="126" spans="1:26" ht="15.75" hidden="1" x14ac:dyDescent="0.25">
      <c r="A126" s="1833" t="s">
        <v>19</v>
      </c>
      <c r="B126" s="1617"/>
      <c r="C126" s="1515" t="s">
        <v>120</v>
      </c>
      <c r="D126" s="2385">
        <v>18700</v>
      </c>
      <c r="E126" s="307">
        <v>2.6644800000000002</v>
      </c>
      <c r="F126" s="319">
        <f>39/E126</f>
        <v>14.637002341920374</v>
      </c>
      <c r="G126" s="320">
        <f>182/E126</f>
        <v>68.30601092896174</v>
      </c>
      <c r="H126" s="321">
        <v>0</v>
      </c>
      <c r="I126" s="313">
        <f>Tabel668910192832[[#This Row],[Fix.ch. 2015]]+Tabel668910192832[[#This Row],[Var. ch. 2015]]+Tabel668910192832[[#This Row],[Oth. ch. DW 2015]]</f>
        <v>82.943013270882119</v>
      </c>
      <c r="J126" s="322">
        <f>199/E126</f>
        <v>74.686242719029593</v>
      </c>
      <c r="K126" s="323">
        <v>0</v>
      </c>
      <c r="L126" s="323"/>
      <c r="M126" s="323"/>
      <c r="N126" s="324">
        <v>0</v>
      </c>
      <c r="O126" s="1258">
        <f>88.2/E126</f>
        <v>33.102143757881464</v>
      </c>
      <c r="P126" s="1491">
        <f>Tabel668910192832[[#This Row],[Total. ch. DW 2015]]+Tabel668910192832[[#This Row],[Sew. 2015]]+Tabel668910192832[[#This Row],[WW 2015]]+Tabel668910192832[[#This Row],[Other ch. 2015]]+Tabel668910192832[[#This Row],[VAT 2015]]</f>
        <v>190.73139974779318</v>
      </c>
      <c r="Q126" s="397"/>
      <c r="R126" s="2362">
        <f t="shared" ref="R126:W126" si="35">SUM(F126:F130)/5</f>
        <v>14.29472167177085</v>
      </c>
      <c r="S126" s="2363">
        <f t="shared" si="35"/>
        <v>72.584519305830767</v>
      </c>
      <c r="T126" s="2386">
        <f t="shared" si="35"/>
        <v>0</v>
      </c>
      <c r="U126" s="2373">
        <f t="shared" si="35"/>
        <v>86.879240977601626</v>
      </c>
      <c r="V126" s="2354">
        <f t="shared" si="35"/>
        <v>90.599291418963546</v>
      </c>
      <c r="W126" s="2376">
        <f t="shared" si="35"/>
        <v>0</v>
      </c>
      <c r="X126" s="2379">
        <f t="shared" ref="X126:Z126" si="36">SUM(N126:N130)/5</f>
        <v>0</v>
      </c>
      <c r="Y126" s="2357">
        <f t="shared" si="36"/>
        <v>37.270311655557556</v>
      </c>
      <c r="Z126" s="2382">
        <f t="shared" si="36"/>
        <v>214.74884405212273</v>
      </c>
    </row>
    <row r="127" spans="1:26" ht="15.75" hidden="1" x14ac:dyDescent="0.25">
      <c r="A127" s="2297"/>
      <c r="B127" s="1617"/>
      <c r="C127" s="298" t="s">
        <v>121</v>
      </c>
      <c r="D127" s="2263"/>
      <c r="E127" s="307">
        <v>2.6644800000000002</v>
      </c>
      <c r="F127" s="319">
        <f>47.04/E127</f>
        <v>17.65447667087011</v>
      </c>
      <c r="G127" s="320">
        <f>165/E127</f>
        <v>61.925779138893887</v>
      </c>
      <c r="H127" s="321">
        <v>0</v>
      </c>
      <c r="I127" s="313">
        <f>Tabel668910192832[[#This Row],[Fix.ch. 2015]]+Tabel668910192832[[#This Row],[Var. ch. 2015]]+Tabel668910192832[[#This Row],[Oth. ch. DW 2015]]</f>
        <v>79.580255809763997</v>
      </c>
      <c r="J127" s="322">
        <f>234/E127</f>
        <v>87.822014051522245</v>
      </c>
      <c r="K127" s="323">
        <v>0</v>
      </c>
      <c r="L127" s="323"/>
      <c r="M127" s="323"/>
      <c r="N127" s="324">
        <v>0</v>
      </c>
      <c r="O127" s="1258">
        <f>93.67/E127</f>
        <v>35.15507716327388</v>
      </c>
      <c r="P127" s="1491">
        <f>Tabel668910192832[[#This Row],[Total. ch. DW 2015]]+Tabel668910192832[[#This Row],[Sew. 2015]]+Tabel668910192832[[#This Row],[WW 2015]]+Tabel668910192832[[#This Row],[Other ch. 2015]]+Tabel668910192832[[#This Row],[VAT 2015]]</f>
        <v>202.55734702456013</v>
      </c>
      <c r="Q127" s="397"/>
      <c r="R127" s="2158"/>
      <c r="S127" s="2159"/>
      <c r="T127" s="2387"/>
      <c r="U127" s="2374"/>
      <c r="V127" s="2142"/>
      <c r="W127" s="2377"/>
      <c r="X127" s="2380"/>
      <c r="Y127" s="2145"/>
      <c r="Z127" s="2266"/>
    </row>
    <row r="128" spans="1:26" ht="15.75" hidden="1" x14ac:dyDescent="0.25">
      <c r="A128" s="2297"/>
      <c r="B128" s="1617"/>
      <c r="C128" s="298" t="s">
        <v>122</v>
      </c>
      <c r="D128" s="2263"/>
      <c r="E128" s="307">
        <v>2.6644800000000002</v>
      </c>
      <c r="F128" s="319">
        <f>30.84/E128</f>
        <v>11.574491082687803</v>
      </c>
      <c r="G128" s="320">
        <f>167/E128</f>
        <v>62.676394643607757</v>
      </c>
      <c r="H128" s="321">
        <v>0</v>
      </c>
      <c r="I128" s="313">
        <f>Tabel668910192832[[#This Row],[Fix.ch. 2015]]+Tabel668910192832[[#This Row],[Var. ch. 2015]]+Tabel668910192832[[#This Row],[Oth. ch. DW 2015]]</f>
        <v>74.250885726295564</v>
      </c>
      <c r="J128" s="322">
        <f>318/E128</f>
        <v>119.34786524950458</v>
      </c>
      <c r="K128" s="323">
        <v>0</v>
      </c>
      <c r="L128" s="323"/>
      <c r="M128" s="323"/>
      <c r="N128" s="324">
        <v>0</v>
      </c>
      <c r="O128" s="1258">
        <f>108.33/E128</f>
        <v>40.657088812826515</v>
      </c>
      <c r="P128" s="1491">
        <f>Tabel668910192832[[#This Row],[Total. ch. DW 2015]]+Tabel668910192832[[#This Row],[Sew. 2015]]+Tabel668910192832[[#This Row],[WW 2015]]+Tabel668910192832[[#This Row],[Other ch. 2015]]+Tabel668910192832[[#This Row],[VAT 2015]]</f>
        <v>234.25583978862667</v>
      </c>
      <c r="Q128" s="397"/>
      <c r="R128" s="2158"/>
      <c r="S128" s="2159"/>
      <c r="T128" s="2387"/>
      <c r="U128" s="2374"/>
      <c r="V128" s="2142"/>
      <c r="W128" s="2377"/>
      <c r="X128" s="2380"/>
      <c r="Y128" s="2145"/>
      <c r="Z128" s="2266"/>
    </row>
    <row r="129" spans="1:26" ht="15.75" hidden="1" x14ac:dyDescent="0.25">
      <c r="A129" s="2297"/>
      <c r="B129" s="1617"/>
      <c r="C129" s="298" t="s">
        <v>123</v>
      </c>
      <c r="D129" s="2263"/>
      <c r="E129" s="307">
        <v>2.6644800000000002</v>
      </c>
      <c r="F129" s="319">
        <f>34.68/E129</f>
        <v>13.015672851738424</v>
      </c>
      <c r="G129" s="320">
        <f>285/E129</f>
        <v>106.9627094217258</v>
      </c>
      <c r="H129" s="321">
        <v>0</v>
      </c>
      <c r="I129" s="313">
        <f>Tabel668910192832[[#This Row],[Fix.ch. 2015]]+Tabel668910192832[[#This Row],[Var. ch. 2015]]+Tabel668910192832[[#This Row],[Oth. ch. DW 2015]]</f>
        <v>119.97838227346423</v>
      </c>
      <c r="J129" s="322">
        <f>263/E129</f>
        <v>98.705938869873293</v>
      </c>
      <c r="K129" s="323">
        <v>0</v>
      </c>
      <c r="L129" s="323"/>
      <c r="M129" s="323"/>
      <c r="N129" s="324">
        <v>0</v>
      </c>
      <c r="O129" s="1258">
        <f>122.36/E129</f>
        <v>45.922656578394282</v>
      </c>
      <c r="P129" s="1491">
        <f>Tabel668910192832[[#This Row],[Total. ch. DW 2015]]+Tabel668910192832[[#This Row],[Sew. 2015]]+Tabel668910192832[[#This Row],[WW 2015]]+Tabel668910192832[[#This Row],[Other ch. 2015]]+Tabel668910192832[[#This Row],[VAT 2015]]</f>
        <v>264.60697772173182</v>
      </c>
      <c r="Q129" s="397"/>
      <c r="R129" s="2158"/>
      <c r="S129" s="2159"/>
      <c r="T129" s="2387"/>
      <c r="U129" s="2374"/>
      <c r="V129" s="2142"/>
      <c r="W129" s="2377"/>
      <c r="X129" s="2380"/>
      <c r="Y129" s="2145"/>
      <c r="Z129" s="2266"/>
    </row>
    <row r="130" spans="1:26" ht="16.5" hidden="1" thickBot="1" x14ac:dyDescent="0.3">
      <c r="A130" s="2298"/>
      <c r="B130" s="1617"/>
      <c r="C130" s="293" t="s">
        <v>124</v>
      </c>
      <c r="D130" s="2264"/>
      <c r="E130" s="307">
        <v>2.6644800000000002</v>
      </c>
      <c r="F130" s="319">
        <f>38.88/E130</f>
        <v>14.591965411637542</v>
      </c>
      <c r="G130" s="320">
        <f>168/E130</f>
        <v>63.051702395964689</v>
      </c>
      <c r="H130" s="321">
        <v>0</v>
      </c>
      <c r="I130" s="313">
        <f>Tabel668910192832[[#This Row],[Fix.ch. 2015]]+Tabel668910192832[[#This Row],[Var. ch. 2015]]+Tabel668910192832[[#This Row],[Oth. ch. DW 2015]]</f>
        <v>77.643667807602228</v>
      </c>
      <c r="J130" s="322">
        <f>193/E130</f>
        <v>72.434396204888003</v>
      </c>
      <c r="K130" s="323">
        <v>0</v>
      </c>
      <c r="L130" s="323"/>
      <c r="M130" s="323"/>
      <c r="N130" s="324">
        <v>0</v>
      </c>
      <c r="O130" s="1258">
        <f>83.97/E130</f>
        <v>31.514591965411636</v>
      </c>
      <c r="P130" s="1491">
        <f>Tabel668910192832[[#This Row],[Total. ch. DW 2015]]+Tabel668910192832[[#This Row],[Sew. 2015]]+Tabel668910192832[[#This Row],[WW 2015]]+Tabel668910192832[[#This Row],[Other ch. 2015]]+Tabel668910192832[[#This Row],[VAT 2015]]</f>
        <v>181.59265597790187</v>
      </c>
      <c r="Q130" s="397"/>
      <c r="R130" s="2223"/>
      <c r="S130" s="2225"/>
      <c r="T130" s="2388"/>
      <c r="U130" s="2375"/>
      <c r="V130" s="2236"/>
      <c r="W130" s="2378"/>
      <c r="X130" s="2381"/>
      <c r="Y130" s="2242"/>
      <c r="Z130" s="2267"/>
    </row>
    <row r="131" spans="1:26" ht="16.5" hidden="1" thickBot="1" x14ac:dyDescent="0.3">
      <c r="A131" s="270" t="s">
        <v>50</v>
      </c>
      <c r="B131" s="1616"/>
      <c r="C131" s="1520"/>
      <c r="D131" s="1276"/>
      <c r="E131" s="307"/>
      <c r="F131" s="319"/>
      <c r="G131" s="320"/>
      <c r="H131" s="321"/>
      <c r="I131" s="313">
        <f>Tabel668910192832[[#This Row],[Fix.ch. 2015]]+Tabel668910192832[[#This Row],[Var. ch. 2015]]+Tabel668910192832[[#This Row],[Oth. ch. DW 2015]]</f>
        <v>0</v>
      </c>
      <c r="J131" s="322"/>
      <c r="K131" s="323"/>
      <c r="L131" s="323"/>
      <c r="M131" s="323"/>
      <c r="N131" s="324"/>
      <c r="O131" s="1258"/>
      <c r="P131" s="1491">
        <f>Tabel668910192832[[#This Row],[Total. ch. DW 2015]]+Tabel668910192832[[#This Row],[Sew. 2015]]+Tabel668910192832[[#This Row],[WW 2015]]+Tabel668910192832[[#This Row],[Other ch. 2015]]+Tabel668910192832[[#This Row],[VAT 2015]]</f>
        <v>0</v>
      </c>
      <c r="Q131" s="397"/>
      <c r="R131" s="349"/>
      <c r="S131" s="350"/>
      <c r="T131" s="351"/>
      <c r="U131" s="352"/>
      <c r="V131" s="353"/>
      <c r="W131" s="354"/>
      <c r="X131" s="355"/>
      <c r="Y131" s="356"/>
      <c r="Z131" s="357"/>
    </row>
    <row r="132" spans="1:26" ht="19.5" hidden="1" thickBot="1" x14ac:dyDescent="0.35">
      <c r="A132" s="695" t="s">
        <v>586</v>
      </c>
      <c r="B132" s="1621"/>
      <c r="C132" s="1521" t="s">
        <v>587</v>
      </c>
      <c r="D132" s="1279">
        <v>88700</v>
      </c>
      <c r="E132" s="616">
        <f>'[1]exchange rates'!M36</f>
        <v>8.0490899999999996</v>
      </c>
      <c r="F132" s="549">
        <v>0</v>
      </c>
      <c r="G132" s="550">
        <f>671.65/E132</f>
        <v>83.444215433048953</v>
      </c>
      <c r="H132" s="551">
        <v>0</v>
      </c>
      <c r="I132" s="566">
        <f>Tabel668910192832[[#This Row],[Fix.ch. 2015]]+Tabel668910192832[[#This Row],[Var. ch. 2015]]+Tabel668910192832[[#This Row],[Oth. ch. DW 2015]]</f>
        <v>83.444215433048953</v>
      </c>
      <c r="J132" s="567">
        <v>0</v>
      </c>
      <c r="K132" s="568">
        <v>0</v>
      </c>
      <c r="L132" s="568"/>
      <c r="M132" s="568"/>
      <c r="N132" s="569">
        <v>0</v>
      </c>
      <c r="O132" s="1271">
        <v>0</v>
      </c>
      <c r="P132" s="1496">
        <f>Tabel668910192832[[#This Row],[Total. ch. DW 2015]]+Tabel668910192832[[#This Row],[Sew. 2015]]+Tabel668910192832[[#This Row],[WW 2015]]+Tabel668910192832[[#This Row],[Other ch. 2015]]+Tabel668910192832[[#This Row],[VAT 2015]]</f>
        <v>83.444215433048953</v>
      </c>
      <c r="Q132" s="430"/>
      <c r="R132" s="1280">
        <v>0</v>
      </c>
      <c r="S132" s="1281">
        <f>Tabel668910192832[[#This Row],[Var. ch. 2015]]</f>
        <v>83.444215433048953</v>
      </c>
      <c r="T132" s="1282">
        <v>0</v>
      </c>
      <c r="U132" s="1283">
        <f>Tabel668910192832[[#This Row],[Total. ch. DW 2015]]</f>
        <v>83.444215433048953</v>
      </c>
      <c r="V132" s="1284">
        <v>0</v>
      </c>
      <c r="W132" s="1285">
        <v>0</v>
      </c>
      <c r="X132" s="1286">
        <v>0</v>
      </c>
      <c r="Y132" s="1287">
        <v>0</v>
      </c>
      <c r="Z132" s="1288">
        <f>Tabel668910192832[[#This Row],[total charge 2015]]</f>
        <v>83.444215433048953</v>
      </c>
    </row>
    <row r="133" spans="1:26" ht="19.5" hidden="1" thickBot="1" x14ac:dyDescent="0.35">
      <c r="A133" s="267" t="s">
        <v>36</v>
      </c>
      <c r="B133" s="1616"/>
      <c r="C133" s="294" t="s">
        <v>181</v>
      </c>
      <c r="D133" s="1256">
        <v>900</v>
      </c>
      <c r="E133" s="306">
        <v>163.83132000000001</v>
      </c>
      <c r="F133" s="319">
        <f>363/E133</f>
        <v>2.2156935560306783</v>
      </c>
      <c r="G133" s="320">
        <f>(124*100)/E133</f>
        <v>75.687603566888185</v>
      </c>
      <c r="H133" s="321">
        <v>0</v>
      </c>
      <c r="I133" s="313">
        <f>Tabel668910192832[[#This Row],[Fix.ch. 2015]]+Tabel668910192832[[#This Row],[Var. ch. 2015]]+Tabel668910192832[[#This Row],[Oth. ch. DW 2015]]</f>
        <v>77.903297122918858</v>
      </c>
      <c r="J133" s="322">
        <v>0</v>
      </c>
      <c r="K133" s="323">
        <v>0</v>
      </c>
      <c r="L133" s="323"/>
      <c r="M133" s="323"/>
      <c r="N133" s="324">
        <v>0</v>
      </c>
      <c r="O133" s="1258">
        <v>0</v>
      </c>
      <c r="P133" s="1491">
        <f>Tabel668910192832[[#This Row],[Total. ch. DW 2015]]+Tabel668910192832[[#This Row],[Sew. 2015]]+Tabel668910192832[[#This Row],[WW 2015]]+Tabel668910192832[[#This Row],[Other ch. 2015]]+Tabel668910192832[[#This Row],[VAT 2015]]</f>
        <v>77.903297122918858</v>
      </c>
      <c r="Q133" s="397"/>
      <c r="R133" s="1228">
        <f>Tabel668910192832[[#This Row],[Fix.ch. 2015]]</f>
        <v>2.2156935560306783</v>
      </c>
      <c r="S133" s="1229">
        <f>Tabel668910192832[[#This Row],[Var. ch. 2015]]</f>
        <v>75.687603566888185</v>
      </c>
      <c r="T133" s="1230">
        <v>0</v>
      </c>
      <c r="U133" s="1231">
        <f>Tabel668910192832[[#This Row],[Total. ch. DW 2015]]</f>
        <v>77.903297122918858</v>
      </c>
      <c r="V133" s="1232">
        <v>0</v>
      </c>
      <c r="W133" s="1233">
        <v>0</v>
      </c>
      <c r="X133" s="1234">
        <v>0</v>
      </c>
      <c r="Y133" s="1235">
        <v>0</v>
      </c>
      <c r="Z133" s="1236">
        <f>Tabel668910192832[[#This Row],[total charge 2015]]</f>
        <v>77.903297122918858</v>
      </c>
    </row>
    <row r="134" spans="1:26" ht="19.5" hidden="1" thickBot="1" x14ac:dyDescent="0.35">
      <c r="A134" s="669" t="s">
        <v>774</v>
      </c>
      <c r="B134" s="1621"/>
      <c r="C134" s="751" t="s">
        <v>775</v>
      </c>
      <c r="D134" s="1268">
        <v>34700</v>
      </c>
      <c r="E134" s="616">
        <f>'[1]exchange rates'!M38</f>
        <v>0.92093999999999998</v>
      </c>
      <c r="F134" s="549">
        <f>59/E134</f>
        <v>64.064977088626833</v>
      </c>
      <c r="G134" s="550">
        <f>143.39/E134</f>
        <v>155.69961126674917</v>
      </c>
      <c r="H134" s="551">
        <v>0</v>
      </c>
      <c r="I134" s="566" t="e">
        <f>[1]!Tabel668910[[#This Row],[Fix.ch. 2015]]+[1]!Tabel668910[[#This Row],[Var. ch. 2015]]+[1]!Tabel668910[[#This Row],[Oth. ch. DW 2015]]</f>
        <v>#REF!</v>
      </c>
      <c r="J134" s="567">
        <v>0</v>
      </c>
      <c r="K134" s="568">
        <v>0</v>
      </c>
      <c r="L134" s="568"/>
      <c r="M134" s="568"/>
      <c r="N134" s="569">
        <v>0</v>
      </c>
      <c r="O134" s="1271">
        <v>0</v>
      </c>
      <c r="P134" s="1496" t="e">
        <f>[1]!Tabel668910[[#This Row],[Total. ch. DW 2015]]+[1]!Tabel668910[[#This Row],[Sew. 2015]]+[1]!Tabel668910[[#This Row],[WW 2015]]+[1]!Tabel668910[[#This Row],[Other ch. 2015]]+[1]!Tabel668910[[#This Row],[VAT 2015]]</f>
        <v>#REF!</v>
      </c>
      <c r="Q134" s="397"/>
      <c r="R134" s="1522" t="e">
        <f>[1]!Tabel668910[[#This Row],[Fix.ch. 2015]]</f>
        <v>#REF!</v>
      </c>
      <c r="S134" s="1523" t="e">
        <f>[1]!Tabel668910[[#This Row],[Var. ch. 2015]]</f>
        <v>#REF!</v>
      </c>
      <c r="T134" s="1524" t="e">
        <f>[1]!Tabel668910[[#This Row],[Oth. ch. DW 2015]]</f>
        <v>#REF!</v>
      </c>
      <c r="U134" s="1525" t="e">
        <f>[1]!Tabel668910[[#This Row],[Total. ch. DW 2015]]</f>
        <v>#REF!</v>
      </c>
      <c r="V134" s="1526" t="e">
        <f>[1]!Tabel668910[[#This Row],[Sew. 2015]]</f>
        <v>#REF!</v>
      </c>
      <c r="W134" s="1527" t="e">
        <f>[1]!Tabel668910[[#This Row],[WW 2015]]</f>
        <v>#REF!</v>
      </c>
      <c r="X134" s="1528" t="e">
        <f>[1]!Tabel668910[[#This Row],[Other ch. 2015]]</f>
        <v>#REF!</v>
      </c>
      <c r="Y134" s="1529" t="e">
        <f>[1]!Tabel668910[[#This Row],[VAT 2015]]</f>
        <v>#REF!</v>
      </c>
      <c r="Z134" s="1530" t="e">
        <f>[1]!Tabel668910[[#This Row],[total charge 2015]]</f>
        <v>#REF!</v>
      </c>
    </row>
    <row r="135" spans="1:26" ht="19.5" hidden="1" thickBot="1" x14ac:dyDescent="0.35">
      <c r="A135" s="669" t="s">
        <v>37</v>
      </c>
      <c r="B135" s="1621"/>
      <c r="C135" s="1531" t="s">
        <v>37</v>
      </c>
      <c r="D135" s="1268">
        <v>19500</v>
      </c>
      <c r="E135" s="616">
        <f>'[1]exchange rates'!M39</f>
        <v>35.849890000000002</v>
      </c>
      <c r="F135" s="549">
        <f>660/E135</f>
        <v>18.410098329450939</v>
      </c>
      <c r="G135" s="550">
        <f>0/E135</f>
        <v>0</v>
      </c>
      <c r="H135" s="551">
        <v>0</v>
      </c>
      <c r="I135" s="566">
        <f>Tabel668910192832[[#This Row],[Fix.ch. 2015]]+Tabel668910192832[[#This Row],[Var. ch. 2015]]+Tabel668910192832[[#This Row],[Oth. ch. DW 2015]]</f>
        <v>18.410098329450939</v>
      </c>
      <c r="J135" s="567">
        <f>3.015/E135</f>
        <v>8.4100676459537255E-2</v>
      </c>
      <c r="K135" s="568">
        <f>660/E135</f>
        <v>18.410098329450939</v>
      </c>
      <c r="L135" s="568"/>
      <c r="M135" s="568"/>
      <c r="N135" s="569">
        <v>0</v>
      </c>
      <c r="O135" s="1271">
        <v>0</v>
      </c>
      <c r="P135" s="1496">
        <f>Tabel668910192832[[#This Row],[Total. ch. DW 2015]]+Tabel668910192832[[#This Row],[Sew. 2015]]+Tabel668910192832[[#This Row],[WW 2015]]+Tabel668910192832[[#This Row],[Other ch. 2015]]+Tabel668910192832[[#This Row],[VAT 2015]]</f>
        <v>36.90429733536142</v>
      </c>
      <c r="Q135" s="397"/>
      <c r="R135" s="1532">
        <f>Tabel668910192832[[#This Row],[Fix.ch. 2015]]</f>
        <v>18.410098329450939</v>
      </c>
      <c r="S135" s="1533">
        <f>Tabel668910192832[[#This Row],[Var. ch. 2015]]</f>
        <v>0</v>
      </c>
      <c r="T135" s="1534">
        <f>Tabel668910192832[[#This Row],[Oth. ch. DW 2015]]</f>
        <v>0</v>
      </c>
      <c r="U135" s="1535">
        <f>Tabel668910192832[[#This Row],[Total. ch. DW 2015]]</f>
        <v>18.410098329450939</v>
      </c>
      <c r="V135" s="1536">
        <f>Tabel668910192832[[#This Row],[Sew. 2015]]</f>
        <v>8.4100676459537255E-2</v>
      </c>
      <c r="W135" s="1537">
        <f>Tabel668910192832[[#This Row],[WW 2015]]</f>
        <v>18.410098329450939</v>
      </c>
      <c r="X135" s="1538">
        <f>Tabel668910192832[[#This Row],[Other ch. 2015]]</f>
        <v>0</v>
      </c>
      <c r="Y135" s="1539">
        <f>Tabel668910192832[[#This Row],[VAT 2015]]</f>
        <v>0</v>
      </c>
      <c r="Z135" s="1540">
        <f>Tabel668910192832[[#This Row],[total charge 2015]]</f>
        <v>36.90429733536142</v>
      </c>
    </row>
    <row r="136" spans="1:26" ht="15.75" hidden="1" customHeight="1" x14ac:dyDescent="0.25">
      <c r="A136" s="1795" t="s">
        <v>38</v>
      </c>
      <c r="B136" s="1618"/>
      <c r="C136" s="1541" t="s">
        <v>620</v>
      </c>
      <c r="D136" s="2343">
        <v>18500</v>
      </c>
      <c r="E136" s="616">
        <f>'[1]exchange rates'!$M$40</f>
        <v>17.273230000000002</v>
      </c>
      <c r="F136" s="549">
        <f>1.1/E136</f>
        <v>6.3682357034555784E-2</v>
      </c>
      <c r="G136" s="550">
        <f>8.4/E136</f>
        <v>0.48630163553660777</v>
      </c>
      <c r="H136" s="551">
        <v>0</v>
      </c>
      <c r="I136" s="566">
        <f>Tabel668910192832[[#This Row],[Fix.ch. 2015]]+Tabel668910192832[[#This Row],[Var. ch. 2015]]+Tabel668910192832[[#This Row],[Oth. ch. DW 2015]]</f>
        <v>0.54998399257116359</v>
      </c>
      <c r="J136" s="567">
        <f>3/E136</f>
        <v>0.17367915554878849</v>
      </c>
      <c r="K136" s="568">
        <v>0</v>
      </c>
      <c r="L136" s="568"/>
      <c r="M136" s="568"/>
      <c r="N136" s="569">
        <v>0</v>
      </c>
      <c r="O136" s="1271">
        <f>0.16/E136</f>
        <v>9.2628882959353859E-3</v>
      </c>
      <c r="P136" s="1496">
        <f>Tabel668910192832[[#This Row],[Total. ch. DW 2015]]+Tabel668910192832[[#This Row],[Sew. 2015]]+Tabel668910192832[[#This Row],[WW 2015]]+Tabel668910192832[[#This Row],[Other ch. 2015]]+Tabel668910192832[[#This Row],[VAT 2015]]</f>
        <v>0.73292603641588738</v>
      </c>
      <c r="Q136" s="397"/>
      <c r="R136" s="2344">
        <f t="shared" ref="R136:W136" si="37">SUM(F136:F140)/5</f>
        <v>9.9576049181305401E-2</v>
      </c>
      <c r="S136" s="2345">
        <f t="shared" si="37"/>
        <v>0.6379814313825497</v>
      </c>
      <c r="T136" s="2350">
        <f t="shared" si="37"/>
        <v>0</v>
      </c>
      <c r="U136" s="2340">
        <f t="shared" si="37"/>
        <v>0.73755748056385517</v>
      </c>
      <c r="V136" s="2351">
        <f t="shared" si="37"/>
        <v>0.13315401925407117</v>
      </c>
      <c r="W136" s="2352">
        <f t="shared" si="37"/>
        <v>0</v>
      </c>
      <c r="X136" s="2341">
        <f t="shared" ref="X136:Z136" si="38">SUM(N136:N140)/5</f>
        <v>0</v>
      </c>
      <c r="Y136" s="2342">
        <f t="shared" si="38"/>
        <v>9.2628882959353859E-3</v>
      </c>
      <c r="Z136" s="2353">
        <f t="shared" si="38"/>
        <v>0.87997438811386153</v>
      </c>
    </row>
    <row r="137" spans="1:26" ht="15.75" hidden="1" customHeight="1" x14ac:dyDescent="0.25">
      <c r="A137" s="2301"/>
      <c r="B137" s="1618"/>
      <c r="C137" s="657" t="s">
        <v>621</v>
      </c>
      <c r="D137" s="1880"/>
      <c r="E137" s="616">
        <f>'[1]exchange rates'!$M$40</f>
        <v>17.273230000000002</v>
      </c>
      <c r="F137" s="549">
        <f>0/E137</f>
        <v>0</v>
      </c>
      <c r="G137" s="550">
        <f>8.6/E137</f>
        <v>0.49788024590652696</v>
      </c>
      <c r="H137" s="551">
        <v>0</v>
      </c>
      <c r="I137" s="566">
        <f>Tabel668910192832[[#This Row],[Fix.ch. 2015]]+Tabel668910192832[[#This Row],[Var. ch. 2015]]+Tabel668910192832[[#This Row],[Oth. ch. DW 2015]]</f>
        <v>0.49788024590652696</v>
      </c>
      <c r="J137" s="567">
        <f>0.4/E137</f>
        <v>2.3157220739838467E-2</v>
      </c>
      <c r="K137" s="568">
        <v>0</v>
      </c>
      <c r="L137" s="568"/>
      <c r="M137" s="568"/>
      <c r="N137" s="569">
        <v>0</v>
      </c>
      <c r="O137" s="1271">
        <f t="shared" ref="O137:O140" si="39">0.16/E137</f>
        <v>9.2628882959353859E-3</v>
      </c>
      <c r="P137" s="1496">
        <f>Tabel668910192832[[#This Row],[Total. ch. DW 2015]]+Tabel668910192832[[#This Row],[Sew. 2015]]+Tabel668910192832[[#This Row],[WW 2015]]+Tabel668910192832[[#This Row],[Other ch. 2015]]+Tabel668910192832[[#This Row],[VAT 2015]]</f>
        <v>0.53030035494230077</v>
      </c>
      <c r="Q137" s="397"/>
      <c r="R137" s="1886"/>
      <c r="S137" s="1888"/>
      <c r="T137" s="1890"/>
      <c r="U137" s="1892"/>
      <c r="V137" s="1894"/>
      <c r="W137" s="1911"/>
      <c r="X137" s="1913"/>
      <c r="Y137" s="1915"/>
      <c r="Z137" s="2053"/>
    </row>
    <row r="138" spans="1:26" ht="15.75" hidden="1" customHeight="1" x14ac:dyDescent="0.25">
      <c r="A138" s="2301"/>
      <c r="B138" s="1618"/>
      <c r="C138" s="657" t="s">
        <v>622</v>
      </c>
      <c r="D138" s="1880"/>
      <c r="E138" s="616">
        <f>'[1]exchange rates'!$M$40</f>
        <v>17.273230000000002</v>
      </c>
      <c r="F138" s="549">
        <f>3.2/E138</f>
        <v>0.18525776591870774</v>
      </c>
      <c r="G138" s="550">
        <f>18.3/E138</f>
        <v>1.0594428488476098</v>
      </c>
      <c r="H138" s="551">
        <v>0</v>
      </c>
      <c r="I138" s="566">
        <f>Tabel668910192832[[#This Row],[Fix.ch. 2015]]+Tabel668910192832[[#This Row],[Var. ch. 2015]]+Tabel668910192832[[#This Row],[Oth. ch. DW 2015]]</f>
        <v>1.2447006147663175</v>
      </c>
      <c r="J138" s="567">
        <f>2.4/E138</f>
        <v>0.13894332443903079</v>
      </c>
      <c r="K138" s="568">
        <v>0</v>
      </c>
      <c r="L138" s="568"/>
      <c r="M138" s="568"/>
      <c r="N138" s="569">
        <v>0</v>
      </c>
      <c r="O138" s="1271">
        <f t="shared" si="39"/>
        <v>9.2628882959353859E-3</v>
      </c>
      <c r="P138" s="1496">
        <f>Tabel668910192832[[#This Row],[Total. ch. DW 2015]]+Tabel668910192832[[#This Row],[Sew. 2015]]+Tabel668910192832[[#This Row],[WW 2015]]+Tabel668910192832[[#This Row],[Other ch. 2015]]+Tabel668910192832[[#This Row],[VAT 2015]]</f>
        <v>1.3929068275012837</v>
      </c>
      <c r="Q138" s="397"/>
      <c r="R138" s="1886"/>
      <c r="S138" s="1888"/>
      <c r="T138" s="1890"/>
      <c r="U138" s="1892"/>
      <c r="V138" s="1894"/>
      <c r="W138" s="1911"/>
      <c r="X138" s="1913"/>
      <c r="Y138" s="1915"/>
      <c r="Z138" s="2053"/>
    </row>
    <row r="139" spans="1:26" ht="15.75" hidden="1" customHeight="1" x14ac:dyDescent="0.25">
      <c r="A139" s="2301"/>
      <c r="B139" s="1618"/>
      <c r="C139" s="657" t="s">
        <v>623</v>
      </c>
      <c r="D139" s="1880"/>
      <c r="E139" s="616">
        <f>'[1]exchange rates'!$M$40</f>
        <v>17.273230000000002</v>
      </c>
      <c r="F139" s="549">
        <f>1.9/E139</f>
        <v>0.1099967985142327</v>
      </c>
      <c r="G139" s="550">
        <f>8.9/E139</f>
        <v>0.51524816146140584</v>
      </c>
      <c r="H139" s="551">
        <v>0</v>
      </c>
      <c r="I139" s="566">
        <f>Tabel668910192832[[#This Row],[Fix.ch. 2015]]+Tabel668910192832[[#This Row],[Var. ch. 2015]]+Tabel668910192832[[#This Row],[Oth. ch. DW 2015]]</f>
        <v>0.62524495997563856</v>
      </c>
      <c r="J139" s="567">
        <f>2.3/E139</f>
        <v>0.13315401925407117</v>
      </c>
      <c r="K139" s="568">
        <v>0</v>
      </c>
      <c r="L139" s="568"/>
      <c r="M139" s="568"/>
      <c r="N139" s="569">
        <v>0</v>
      </c>
      <c r="O139" s="1271">
        <f t="shared" si="39"/>
        <v>9.2628882959353859E-3</v>
      </c>
      <c r="P139" s="1496">
        <f>Tabel668910192832[[#This Row],[Total. ch. DW 2015]]+Tabel668910192832[[#This Row],[Sew. 2015]]+Tabel668910192832[[#This Row],[WW 2015]]+Tabel668910192832[[#This Row],[Other ch. 2015]]+Tabel668910192832[[#This Row],[VAT 2015]]</f>
        <v>0.76766186752564503</v>
      </c>
      <c r="Q139" s="397"/>
      <c r="R139" s="1886"/>
      <c r="S139" s="1888"/>
      <c r="T139" s="1890"/>
      <c r="U139" s="1892"/>
      <c r="V139" s="1894"/>
      <c r="W139" s="1911"/>
      <c r="X139" s="1913"/>
      <c r="Y139" s="1915"/>
      <c r="Z139" s="2053"/>
    </row>
    <row r="140" spans="1:26" ht="16.5" hidden="1" customHeight="1" x14ac:dyDescent="0.25">
      <c r="A140" s="2302"/>
      <c r="B140" s="1618"/>
      <c r="C140" s="657" t="s">
        <v>624</v>
      </c>
      <c r="D140" s="1761"/>
      <c r="E140" s="616">
        <f>'[1]exchange rates'!$M$40</f>
        <v>17.273230000000002</v>
      </c>
      <c r="F140" s="549">
        <f>2.4/E140</f>
        <v>0.13894332443903079</v>
      </c>
      <c r="G140" s="550">
        <f>10.9/E140</f>
        <v>0.63103426516059813</v>
      </c>
      <c r="H140" s="551">
        <v>0</v>
      </c>
      <c r="I140" s="566">
        <f>Tabel668910192832[[#This Row],[Fix.ch. 2015]]+Tabel668910192832[[#This Row],[Var. ch. 2015]]+Tabel668910192832[[#This Row],[Oth. ch. DW 2015]]</f>
        <v>0.76997758959962892</v>
      </c>
      <c r="J140" s="567">
        <f>3.4/E140</f>
        <v>0.19683637628862694</v>
      </c>
      <c r="K140" s="568">
        <v>0</v>
      </c>
      <c r="L140" s="568"/>
      <c r="M140" s="568"/>
      <c r="N140" s="569">
        <v>0</v>
      </c>
      <c r="O140" s="1271">
        <f t="shared" si="39"/>
        <v>9.2628882959353859E-3</v>
      </c>
      <c r="P140" s="1496">
        <f>Tabel668910192832[[#This Row],[Total. ch. DW 2015]]+Tabel668910192832[[#This Row],[Sew. 2015]]+Tabel668910192832[[#This Row],[WW 2015]]+Tabel668910192832[[#This Row],[Other ch. 2015]]+Tabel668910192832[[#This Row],[VAT 2015]]</f>
        <v>0.97607685418419121</v>
      </c>
      <c r="Q140" s="397"/>
      <c r="R140" s="1764"/>
      <c r="S140" s="1767"/>
      <c r="T140" s="1770"/>
      <c r="U140" s="1776"/>
      <c r="V140" s="1779"/>
      <c r="W140" s="1811"/>
      <c r="X140" s="1813"/>
      <c r="Y140" s="1815"/>
      <c r="Z140" s="1991"/>
    </row>
    <row r="141" spans="1:26" ht="15.75" hidden="1" x14ac:dyDescent="0.25">
      <c r="A141" s="2082" t="s">
        <v>39</v>
      </c>
      <c r="B141" s="1619"/>
      <c r="C141" s="1492" t="s">
        <v>494</v>
      </c>
      <c r="D141" s="2372">
        <v>5100</v>
      </c>
      <c r="E141" s="306">
        <v>8.5832200000000007</v>
      </c>
      <c r="F141" s="319">
        <f>84/E141</f>
        <v>9.7865369872844923</v>
      </c>
      <c r="G141" s="320">
        <f>332.08/E141</f>
        <v>38.689442889731353</v>
      </c>
      <c r="H141" s="321">
        <v>0</v>
      </c>
      <c r="I141" s="313">
        <f>Tabel668910192832[[#This Row],[Fix.ch. 2015]]+Tabel668910192832[[#This Row],[Var. ch. 2015]]+Tabel668910192832[[#This Row],[Oth. ch. DW 2015]]</f>
        <v>48.475979877015845</v>
      </c>
      <c r="J141" s="322">
        <f>166.44/E141</f>
        <v>19.391324001947986</v>
      </c>
      <c r="K141" s="323">
        <v>0</v>
      </c>
      <c r="L141" s="323"/>
      <c r="M141" s="323"/>
      <c r="N141" s="324">
        <v>0</v>
      </c>
      <c r="O141" s="1258">
        <f>40.78/E141</f>
        <v>4.7511306945412093</v>
      </c>
      <c r="P141" s="1491">
        <f>Tabel668910192832[[#This Row],[Total. ch. DW 2015]]+Tabel668910192832[[#This Row],[Sew. 2015]]+Tabel668910192832[[#This Row],[WW 2015]]+Tabel668910192832[[#This Row],[Other ch. 2015]]+Tabel668910192832[[#This Row],[VAT 2015]]</f>
        <v>72.618434573505041</v>
      </c>
      <c r="Q141" s="397"/>
      <c r="R141" s="2362">
        <f t="shared" ref="R141:W141" si="40">SUM(F141:F145)/5</f>
        <v>9.38109474066842</v>
      </c>
      <c r="S141" s="2363">
        <f t="shared" si="40"/>
        <v>41.623539883633413</v>
      </c>
      <c r="T141" s="2364">
        <f t="shared" si="40"/>
        <v>0</v>
      </c>
      <c r="U141" s="2365">
        <f t="shared" si="40"/>
        <v>51.004634624301829</v>
      </c>
      <c r="V141" s="2354">
        <f t="shared" si="40"/>
        <v>16.377070609864365</v>
      </c>
      <c r="W141" s="2355">
        <f t="shared" si="40"/>
        <v>0</v>
      </c>
      <c r="X141" s="2356">
        <f t="shared" ref="X141:Z141" si="41">SUM(N141:N145)/5</f>
        <v>0</v>
      </c>
      <c r="Y141" s="2357">
        <f t="shared" si="41"/>
        <v>4.7166448023003031</v>
      </c>
      <c r="Z141" s="2358">
        <f t="shared" si="41"/>
        <v>72.098350036466499</v>
      </c>
    </row>
    <row r="142" spans="1:26" ht="15.75" hidden="1" x14ac:dyDescent="0.25">
      <c r="A142" s="2299"/>
      <c r="B142" s="1619"/>
      <c r="C142" s="1291" t="s">
        <v>495</v>
      </c>
      <c r="D142" s="2157"/>
      <c r="E142" s="306">
        <v>8.5832200000000007</v>
      </c>
      <c r="F142" s="319">
        <f>102.6/E142</f>
        <v>11.953555891611771</v>
      </c>
      <c r="G142" s="320">
        <f>381.04/E142</f>
        <v>44.393595876605751</v>
      </c>
      <c r="H142" s="321">
        <v>0</v>
      </c>
      <c r="I142" s="313">
        <f>Tabel668910192832[[#This Row],[Fix.ch. 2015]]+Tabel668910192832[[#This Row],[Var. ch. 2015]]+Tabel668910192832[[#This Row],[Oth. ch. DW 2015]]</f>
        <v>56.347151768217522</v>
      </c>
      <c r="J142" s="322">
        <f>163.8/E142</f>
        <v>19.083747125204759</v>
      </c>
      <c r="K142" s="323">
        <v>0</v>
      </c>
      <c r="L142" s="323"/>
      <c r="M142" s="323"/>
      <c r="N142" s="324">
        <v>0</v>
      </c>
      <c r="O142" s="1258">
        <f>45.32/E142</f>
        <v>5.2800697174253948</v>
      </c>
      <c r="P142" s="1491">
        <f>Tabel668910192832[[#This Row],[Total. ch. DW 2015]]+Tabel668910192832[[#This Row],[Sew. 2015]]+Tabel668910192832[[#This Row],[WW 2015]]+Tabel668910192832[[#This Row],[Other ch. 2015]]+Tabel668910192832[[#This Row],[VAT 2015]]</f>
        <v>80.710968610847672</v>
      </c>
      <c r="Q142" s="397"/>
      <c r="R142" s="2158"/>
      <c r="S142" s="2159"/>
      <c r="T142" s="2160"/>
      <c r="U142" s="2141"/>
      <c r="V142" s="2142"/>
      <c r="W142" s="2143"/>
      <c r="X142" s="2144"/>
      <c r="Y142" s="2145"/>
      <c r="Z142" s="2146"/>
    </row>
    <row r="143" spans="1:26" ht="15.75" hidden="1" x14ac:dyDescent="0.25">
      <c r="A143" s="2299"/>
      <c r="B143" s="1619"/>
      <c r="C143" s="1291" t="s">
        <v>496</v>
      </c>
      <c r="D143" s="2157"/>
      <c r="E143" s="306">
        <v>8.5832200000000007</v>
      </c>
      <c r="F143" s="319">
        <f>72/E143</f>
        <v>8.3884602748152783</v>
      </c>
      <c r="G143" s="320">
        <f>382.2/E143</f>
        <v>44.528743292144433</v>
      </c>
      <c r="H143" s="321">
        <v>0</v>
      </c>
      <c r="I143" s="313">
        <f>Tabel668910192832[[#This Row],[Fix.ch. 2015]]+Tabel668910192832[[#This Row],[Var. ch. 2015]]+Tabel668910192832[[#This Row],[Oth. ch. DW 2015]]</f>
        <v>52.917203566959714</v>
      </c>
      <c r="J143" s="322">
        <f>108.4/E143</f>
        <v>12.629292969305226</v>
      </c>
      <c r="K143" s="323">
        <v>0</v>
      </c>
      <c r="L143" s="323"/>
      <c r="M143" s="323"/>
      <c r="N143" s="324">
        <v>0</v>
      </c>
      <c r="O143" s="1258">
        <f>39.38/E143</f>
        <v>4.5880217447531342</v>
      </c>
      <c r="P143" s="1491">
        <f>Tabel668910192832[[#This Row],[Total. ch. DW 2015]]+Tabel668910192832[[#This Row],[Sew. 2015]]+Tabel668910192832[[#This Row],[WW 2015]]+Tabel668910192832[[#This Row],[Other ch. 2015]]+Tabel668910192832[[#This Row],[VAT 2015]]</f>
        <v>70.134518281018075</v>
      </c>
      <c r="Q143" s="397"/>
      <c r="R143" s="2158"/>
      <c r="S143" s="2159"/>
      <c r="T143" s="2160"/>
      <c r="U143" s="2141"/>
      <c r="V143" s="2142"/>
      <c r="W143" s="2143"/>
      <c r="X143" s="2144"/>
      <c r="Y143" s="2145"/>
      <c r="Z143" s="2146"/>
    </row>
    <row r="144" spans="1:26" ht="15.75" hidden="1" x14ac:dyDescent="0.25">
      <c r="A144" s="2299"/>
      <c r="B144" s="1619"/>
      <c r="C144" s="1291" t="s">
        <v>497</v>
      </c>
      <c r="D144" s="2157"/>
      <c r="E144" s="306">
        <v>8.5832200000000007</v>
      </c>
      <c r="F144" s="319">
        <f>72/E144</f>
        <v>8.3884602748152783</v>
      </c>
      <c r="G144" s="320">
        <f>390.24/E144</f>
        <v>45.465454689498813</v>
      </c>
      <c r="H144" s="321">
        <v>0</v>
      </c>
      <c r="I144" s="313">
        <f>Tabel668910192832[[#This Row],[Fix.ch. 2015]]+Tabel668910192832[[#This Row],[Var. ch. 2015]]+Tabel668910192832[[#This Row],[Oth. ch. DW 2015]]</f>
        <v>53.853914964314093</v>
      </c>
      <c r="J144" s="322">
        <f>111.08/E144</f>
        <v>12.941530101756682</v>
      </c>
      <c r="K144" s="323">
        <v>0</v>
      </c>
      <c r="L144" s="323"/>
      <c r="M144" s="323"/>
      <c r="N144" s="324">
        <v>0</v>
      </c>
      <c r="O144" s="1258">
        <f>40.13/E144</f>
        <v>4.6754015392824604</v>
      </c>
      <c r="P144" s="1491">
        <f>Tabel668910192832[[#This Row],[Total. ch. DW 2015]]+Tabel668910192832[[#This Row],[Sew. 2015]]+Tabel668910192832[[#This Row],[WW 2015]]+Tabel668910192832[[#This Row],[Other ch. 2015]]+Tabel668910192832[[#This Row],[VAT 2015]]</f>
        <v>71.470846605353231</v>
      </c>
      <c r="Q144" s="397"/>
      <c r="R144" s="2158"/>
      <c r="S144" s="2159"/>
      <c r="T144" s="2160"/>
      <c r="U144" s="2141"/>
      <c r="V144" s="2142"/>
      <c r="W144" s="2143"/>
      <c r="X144" s="2144"/>
      <c r="Y144" s="2145"/>
      <c r="Z144" s="2146"/>
    </row>
    <row r="145" spans="1:26" ht="16.5" hidden="1" thickBot="1" x14ac:dyDescent="0.3">
      <c r="A145" s="2300"/>
      <c r="B145" s="1619"/>
      <c r="C145" s="1052" t="s">
        <v>498</v>
      </c>
      <c r="D145" s="2221"/>
      <c r="E145" s="306">
        <v>8.5832200000000007</v>
      </c>
      <c r="F145" s="319">
        <f>72/E145</f>
        <v>8.3884602748152783</v>
      </c>
      <c r="G145" s="320">
        <f>300.76/E145</f>
        <v>35.040462670186706</v>
      </c>
      <c r="H145" s="321">
        <v>0</v>
      </c>
      <c r="I145" s="313">
        <f>Tabel668910192832[[#This Row],[Fix.ch. 2015]]+Tabel668910192832[[#This Row],[Var. ch. 2015]]+Tabel668910192832[[#This Row],[Oth. ch. DW 2015]]</f>
        <v>43.428922945001986</v>
      </c>
      <c r="J145" s="322">
        <f>153.12/E145</f>
        <v>17.83945885110716</v>
      </c>
      <c r="K145" s="323">
        <v>0</v>
      </c>
      <c r="L145" s="323"/>
      <c r="M145" s="323"/>
      <c r="N145" s="324">
        <v>0</v>
      </c>
      <c r="O145" s="1258">
        <f>36.81/E145</f>
        <v>4.2886003154993118</v>
      </c>
      <c r="P145" s="1491">
        <f>Tabel668910192832[[#This Row],[Total. ch. DW 2015]]+Tabel668910192832[[#This Row],[Sew. 2015]]+Tabel668910192832[[#This Row],[WW 2015]]+Tabel668910192832[[#This Row],[Other ch. 2015]]+Tabel668910192832[[#This Row],[VAT 2015]]</f>
        <v>65.556982111608463</v>
      </c>
      <c r="Q145" s="397"/>
      <c r="R145" s="2223"/>
      <c r="S145" s="2225"/>
      <c r="T145" s="2227"/>
      <c r="U145" s="2234"/>
      <c r="V145" s="2236"/>
      <c r="W145" s="2238"/>
      <c r="X145" s="2240"/>
      <c r="Y145" s="2242"/>
      <c r="Z145" s="2244"/>
    </row>
    <row r="146" spans="1:26" ht="19.5" hidden="1" thickBot="1" x14ac:dyDescent="0.3">
      <c r="A146" s="1169" t="s">
        <v>734</v>
      </c>
      <c r="B146" s="1213"/>
      <c r="C146" s="751" t="s">
        <v>735</v>
      </c>
      <c r="D146" s="1194">
        <v>11300</v>
      </c>
      <c r="E146" s="616">
        <f>'[1]exchange rates'!M42</f>
        <v>15.682219999999999</v>
      </c>
      <c r="F146" s="319"/>
      <c r="G146" s="320"/>
      <c r="H146" s="321"/>
      <c r="I146" s="313">
        <f>Tabel668910192832[[#This Row],[Fix.ch. 2015]]+Tabel668910192832[[#This Row],[Var. ch. 2015]]+Tabel668910192832[[#This Row],[Oth. ch. DW 2015]]</f>
        <v>0</v>
      </c>
      <c r="J146" s="322"/>
      <c r="K146" s="323"/>
      <c r="L146" s="323"/>
      <c r="M146" s="323"/>
      <c r="N146" s="324"/>
      <c r="O146" s="1258"/>
      <c r="P146" s="1491">
        <f>Tabel668910192832[[#This Row],[Total. ch. DW 2015]]+Tabel668910192832[[#This Row],[Sew. 2015]]+Tabel668910192832[[#This Row],[WW 2015]]+Tabel668910192832[[#This Row],[Other ch. 2015]]+Tabel668910192832[[#This Row],[VAT 2015]]</f>
        <v>0</v>
      </c>
      <c r="Q146" s="397"/>
      <c r="R146" s="1214"/>
      <c r="S146" s="1215"/>
      <c r="T146" s="1216"/>
      <c r="U146" s="1207"/>
      <c r="V146" s="1208"/>
      <c r="W146" s="1209"/>
      <c r="X146" s="1210"/>
      <c r="Y146" s="1211"/>
      <c r="Z146" s="1212"/>
    </row>
    <row r="147" spans="1:26" ht="15.75" hidden="1" customHeight="1" x14ac:dyDescent="0.25">
      <c r="A147" s="2078" t="s">
        <v>20</v>
      </c>
      <c r="B147" s="1213"/>
      <c r="C147" s="727" t="s">
        <v>182</v>
      </c>
      <c r="D147" s="2343">
        <v>49300</v>
      </c>
      <c r="E147" s="616">
        <f>'[1]exchange rates'!$M$43</f>
        <v>0.92093999999999998</v>
      </c>
      <c r="F147" s="549">
        <f>42.15/E147</f>
        <v>45.76845397094273</v>
      </c>
      <c r="G147" s="550">
        <f>124/E147</f>
        <v>134.64503659304623</v>
      </c>
      <c r="H147" s="551">
        <v>0</v>
      </c>
      <c r="I147" s="566">
        <f>Tabel668910192832[[#This Row],[Fix.ch. 2015]]+Tabel668910192832[[#This Row],[Var. ch. 2015]]+Tabel668910192832[[#This Row],[Oth. ch. DW 2015]]</f>
        <v>180.41349056398894</v>
      </c>
      <c r="J147" s="567">
        <f>149/E147</f>
        <v>161.79121332551523</v>
      </c>
      <c r="K147" s="323">
        <f>165/E147</f>
        <v>179.16476643429539</v>
      </c>
      <c r="L147" s="323"/>
      <c r="M147" s="323"/>
      <c r="N147" s="569">
        <f>33.3/E147</f>
        <v>36.158707407648706</v>
      </c>
      <c r="O147" s="1271">
        <f>11.97/E147</f>
        <v>12.997589419506157</v>
      </c>
      <c r="P147" s="1496">
        <f>Tabel668910192832[[#This Row],[Total. ch. DW 2015]]+Tabel668910192832[[#This Row],[Sew. 2015]]+Tabel668910192832[[#This Row],[WW 2015]]+Tabel668910192832[[#This Row],[Other ch. 2015]]+Tabel668910192832[[#This Row],[VAT 2015]]</f>
        <v>570.52576715095449</v>
      </c>
      <c r="Q147" s="397"/>
      <c r="R147" s="2344">
        <f t="shared" ref="R147:W147" si="42">SUM(F147:F151)/5</f>
        <v>60.488196842356714</v>
      </c>
      <c r="S147" s="2345">
        <f t="shared" si="42"/>
        <v>94.588138206614971</v>
      </c>
      <c r="T147" s="2350">
        <f t="shared" si="42"/>
        <v>5.8961495862922657</v>
      </c>
      <c r="U147" s="2361">
        <f t="shared" si="42"/>
        <v>160.97248463526395</v>
      </c>
      <c r="V147" s="2351">
        <f t="shared" si="42"/>
        <v>218.90676917063001</v>
      </c>
      <c r="W147" s="2352">
        <f t="shared" si="42"/>
        <v>197.62416661237432</v>
      </c>
      <c r="X147" s="2341">
        <f t="shared" ref="X147:Z147" si="43">SUM(N147:N151)/5</f>
        <v>36.158707407648706</v>
      </c>
      <c r="Y147" s="2342">
        <f t="shared" si="43"/>
        <v>11.475231828349294</v>
      </c>
      <c r="Z147" s="2353">
        <f t="shared" si="43"/>
        <v>625.13735965426633</v>
      </c>
    </row>
    <row r="148" spans="1:26" ht="15.75" hidden="1" customHeight="1" x14ac:dyDescent="0.25">
      <c r="A148" s="2079"/>
      <c r="B148" s="1213"/>
      <c r="C148" s="727" t="s">
        <v>183</v>
      </c>
      <c r="D148" s="1880"/>
      <c r="E148" s="616">
        <f>'[1]exchange rates'!$M$43</f>
        <v>0.92093999999999998</v>
      </c>
      <c r="F148" s="549">
        <f>59.76/E148</f>
        <v>64.890220861293898</v>
      </c>
      <c r="G148" s="550">
        <f>91.4/E148</f>
        <v>99.246422133906663</v>
      </c>
      <c r="H148" s="551">
        <f>8.45/E148</f>
        <v>9.1754077355745203</v>
      </c>
      <c r="I148" s="566">
        <f>Tabel668910192832[[#This Row],[Fix.ch. 2015]]+Tabel668910192832[[#This Row],[Var. ch. 2015]]+Tabel668910192832[[#This Row],[Oth. ch. DW 2015]]</f>
        <v>173.31205073077507</v>
      </c>
      <c r="J148" s="567">
        <f>351/E148</f>
        <v>381.13232132386474</v>
      </c>
      <c r="K148" s="323">
        <f>190/E148</f>
        <v>206.31094316676439</v>
      </c>
      <c r="L148" s="323"/>
      <c r="M148" s="323"/>
      <c r="N148" s="569">
        <f>33.3/E148</f>
        <v>36.158707407648706</v>
      </c>
      <c r="O148" s="1271">
        <f>11.07/E148</f>
        <v>12.020327057137273</v>
      </c>
      <c r="P148" s="1496">
        <f>Tabel668910192832[[#This Row],[Total. ch. DW 2015]]+Tabel668910192832[[#This Row],[Sew. 2015]]+Tabel668910192832[[#This Row],[WW 2015]]+Tabel668910192832[[#This Row],[Other ch. 2015]]+Tabel668910192832[[#This Row],[VAT 2015]]</f>
        <v>808.93434968619033</v>
      </c>
      <c r="Q148" s="397"/>
      <c r="R148" s="1886"/>
      <c r="S148" s="1888"/>
      <c r="T148" s="1890"/>
      <c r="U148" s="2370"/>
      <c r="V148" s="1894"/>
      <c r="W148" s="1911"/>
      <c r="X148" s="1913"/>
      <c r="Y148" s="1915"/>
      <c r="Z148" s="2053"/>
    </row>
    <row r="149" spans="1:26" ht="15.75" hidden="1" customHeight="1" x14ac:dyDescent="0.25">
      <c r="A149" s="2079"/>
      <c r="B149" s="1213"/>
      <c r="C149" s="727" t="s">
        <v>184</v>
      </c>
      <c r="D149" s="1880"/>
      <c r="E149" s="616">
        <f>'[1]exchange rates'!$M$43</f>
        <v>0.92093999999999998</v>
      </c>
      <c r="F149" s="549">
        <f>61.18/E149</f>
        <v>66.432123699698138</v>
      </c>
      <c r="G149" s="550">
        <f>106/E149</f>
        <v>115.09978934566855</v>
      </c>
      <c r="H149" s="551">
        <f>18.7/E149</f>
        <v>20.30534019588681</v>
      </c>
      <c r="I149" s="566">
        <f>Tabel668910192832[[#This Row],[Fix.ch. 2015]]+Tabel668910192832[[#This Row],[Var. ch. 2015]]+Tabel668910192832[[#This Row],[Oth. ch. DW 2015]]</f>
        <v>201.83725324125351</v>
      </c>
      <c r="J149" s="567">
        <f>133/E149</f>
        <v>144.41766021673507</v>
      </c>
      <c r="K149" s="323">
        <f>255/E149</f>
        <v>276.8910026711838</v>
      </c>
      <c r="L149" s="323"/>
      <c r="M149" s="323"/>
      <c r="N149" s="569">
        <f>33.3/E149</f>
        <v>36.158707407648706</v>
      </c>
      <c r="O149" s="1271">
        <f>12.03/E149</f>
        <v>13.062740243664082</v>
      </c>
      <c r="P149" s="1496">
        <f>Tabel668910192832[[#This Row],[Total. ch. DW 2015]]+Tabel668910192832[[#This Row],[Sew. 2015]]+Tabel668910192832[[#This Row],[WW 2015]]+Tabel668910192832[[#This Row],[Other ch. 2015]]+Tabel668910192832[[#This Row],[VAT 2015]]</f>
        <v>672.36736378048511</v>
      </c>
      <c r="Q149" s="397"/>
      <c r="R149" s="1886"/>
      <c r="S149" s="1888"/>
      <c r="T149" s="1890"/>
      <c r="U149" s="2370"/>
      <c r="V149" s="1894"/>
      <c r="W149" s="1911"/>
      <c r="X149" s="1913"/>
      <c r="Y149" s="1915"/>
      <c r="Z149" s="2053"/>
    </row>
    <row r="150" spans="1:26" ht="15.75" hidden="1" customHeight="1" x14ac:dyDescent="0.25">
      <c r="A150" s="2079"/>
      <c r="B150" s="1213"/>
      <c r="C150" s="727" t="s">
        <v>185</v>
      </c>
      <c r="D150" s="1880"/>
      <c r="E150" s="616">
        <f>'[1]exchange rates'!$M$43</f>
        <v>0.92093999999999998</v>
      </c>
      <c r="F150" s="549">
        <f>45/E150</f>
        <v>48.863118118444199</v>
      </c>
      <c r="G150" s="550">
        <f>68/E150</f>
        <v>73.837600712315677</v>
      </c>
      <c r="H150" s="551">
        <v>0</v>
      </c>
      <c r="I150" s="566">
        <f>Tabel668910192832[[#This Row],[Fix.ch. 2015]]+Tabel668910192832[[#This Row],[Var. ch. 2015]]+Tabel668910192832[[#This Row],[Oth. ch. DW 2015]]</f>
        <v>122.70071883075988</v>
      </c>
      <c r="J150" s="567">
        <f>231/E150</f>
        <v>250.83067300801355</v>
      </c>
      <c r="K150" s="323">
        <f>165/E150</f>
        <v>179.16476643429539</v>
      </c>
      <c r="L150" s="323"/>
      <c r="M150" s="323"/>
      <c r="N150" s="569">
        <f>33.3/E150</f>
        <v>36.158707407648706</v>
      </c>
      <c r="O150" s="1271">
        <f>8.78/E150</f>
        <v>9.5337372684431116</v>
      </c>
      <c r="P150" s="1496">
        <f>Tabel668910192832[[#This Row],[Total. ch. DW 2015]]+Tabel668910192832[[#This Row],[Sew. 2015]]+Tabel668910192832[[#This Row],[WW 2015]]+Tabel668910192832[[#This Row],[Other ch. 2015]]+Tabel668910192832[[#This Row],[VAT 2015]]</f>
        <v>598.3886029491606</v>
      </c>
      <c r="Q150" s="397"/>
      <c r="R150" s="1886"/>
      <c r="S150" s="1888"/>
      <c r="T150" s="1890"/>
      <c r="U150" s="2370"/>
      <c r="V150" s="1894"/>
      <c r="W150" s="1911"/>
      <c r="X150" s="1913"/>
      <c r="Y150" s="1915"/>
      <c r="Z150" s="2053"/>
    </row>
    <row r="151" spans="1:26" ht="16.5" hidden="1" customHeight="1" x14ac:dyDescent="0.25">
      <c r="A151" s="2079"/>
      <c r="B151" s="1213"/>
      <c r="C151" s="727" t="s">
        <v>186</v>
      </c>
      <c r="D151" s="1880"/>
      <c r="E151" s="616">
        <f>'[1]exchange rates'!$M$43</f>
        <v>0.92093999999999998</v>
      </c>
      <c r="F151" s="549">
        <f>70.44/E151</f>
        <v>76.487067561404658</v>
      </c>
      <c r="G151" s="550">
        <f>46.15/E151</f>
        <v>50.111842248137769</v>
      </c>
      <c r="H151" s="551">
        <v>0</v>
      </c>
      <c r="I151" s="566">
        <f>Tabel668910192832[[#This Row],[Fix.ch. 2015]]+Tabel668910192832[[#This Row],[Var. ch. 2015]]+Tabel668910192832[[#This Row],[Oth. ch. DW 2015]]</f>
        <v>126.59890980954242</v>
      </c>
      <c r="J151" s="567">
        <f>144/E151</f>
        <v>156.36197797902145</v>
      </c>
      <c r="K151" s="323">
        <f>135/E151</f>
        <v>146.5893543553326</v>
      </c>
      <c r="L151" s="323"/>
      <c r="M151" s="323"/>
      <c r="N151" s="569">
        <f>33.3/E151</f>
        <v>36.158707407648706</v>
      </c>
      <c r="O151" s="1271">
        <f>8.99/E151</f>
        <v>9.7617651529958529</v>
      </c>
      <c r="P151" s="1496">
        <f>Tabel668910192832[[#This Row],[Total. ch. DW 2015]]+Tabel668910192832[[#This Row],[Sew. 2015]]+Tabel668910192832[[#This Row],[WW 2015]]+Tabel668910192832[[#This Row],[Other ch. 2015]]+Tabel668910192832[[#This Row],[VAT 2015]]</f>
        <v>475.47071470454102</v>
      </c>
      <c r="Q151" s="397"/>
      <c r="R151" s="1886"/>
      <c r="S151" s="1888"/>
      <c r="T151" s="1890"/>
      <c r="U151" s="2370"/>
      <c r="V151" s="1894"/>
      <c r="W151" s="1911"/>
      <c r="X151" s="1913"/>
      <c r="Y151" s="1915"/>
      <c r="Z151" s="2053"/>
    </row>
    <row r="152" spans="1:26" ht="16.5" hidden="1" thickBot="1" x14ac:dyDescent="0.3">
      <c r="A152" s="2268"/>
      <c r="B152" s="1213"/>
      <c r="C152" s="294" t="s">
        <v>187</v>
      </c>
      <c r="D152" s="1761"/>
      <c r="E152" s="616">
        <f>'[1]exchange rates'!$M$43</f>
        <v>0.92093999999999998</v>
      </c>
      <c r="F152" s="319"/>
      <c r="G152" s="320"/>
      <c r="H152" s="321"/>
      <c r="I152" s="313">
        <f>Tabel668910192832[[#This Row],[Fix.ch. 2015]]+Tabel668910192832[[#This Row],[Var. ch. 2015]]+Tabel668910192832[[#This Row],[Oth. ch. DW 2015]]</f>
        <v>0</v>
      </c>
      <c r="J152" s="322"/>
      <c r="K152" s="323"/>
      <c r="L152" s="323"/>
      <c r="M152" s="323"/>
      <c r="N152" s="324"/>
      <c r="O152" s="1258"/>
      <c r="P152" s="1491">
        <f>Tabel668910192832[[#This Row],[Total. ch. DW 2015]]+Tabel668910192832[[#This Row],[Sew. 2015]]+Tabel668910192832[[#This Row],[WW 2015]]+Tabel668910192832[[#This Row],[Other ch. 2015]]+Tabel668910192832[[#This Row],[VAT 2015]]</f>
        <v>0</v>
      </c>
      <c r="Q152" s="397"/>
      <c r="R152" s="1764"/>
      <c r="S152" s="1767"/>
      <c r="T152" s="1770"/>
      <c r="U152" s="2371"/>
      <c r="V152" s="1779"/>
      <c r="W152" s="1811"/>
      <c r="X152" s="1813"/>
      <c r="Y152" s="1815"/>
      <c r="Z152" s="1991"/>
    </row>
    <row r="153" spans="1:26" ht="19.5" hidden="1" thickBot="1" x14ac:dyDescent="0.35">
      <c r="A153" s="267" t="s">
        <v>46</v>
      </c>
      <c r="B153" s="1616"/>
      <c r="C153" s="293" t="s">
        <v>477</v>
      </c>
      <c r="D153" s="1542"/>
      <c r="E153" s="306">
        <v>0.64417999999999997</v>
      </c>
      <c r="F153" s="319">
        <f>94/E153</f>
        <v>145.92194728181565</v>
      </c>
      <c r="G153" s="320">
        <f>104/E153</f>
        <v>161.44555869477475</v>
      </c>
      <c r="H153" s="321">
        <v>0</v>
      </c>
      <c r="I153" s="313">
        <f>Tabel668910192832[[#This Row],[Fix.ch. 2015]]+Tabel668910192832[[#This Row],[Var. ch. 2015]]+Tabel668910192832[[#This Row],[Oth. ch. DW 2015]]</f>
        <v>307.36750597659039</v>
      </c>
      <c r="J153" s="322">
        <v>0</v>
      </c>
      <c r="K153" s="323">
        <f>298/E153</f>
        <v>462.60362010618149</v>
      </c>
      <c r="L153" s="323"/>
      <c r="M153" s="323"/>
      <c r="N153" s="324">
        <v>0</v>
      </c>
      <c r="O153" s="1258">
        <f>40/E153</f>
        <v>62.094445651836445</v>
      </c>
      <c r="P153" s="1491">
        <f>Tabel668910192832[[#This Row],[Total. ch. DW 2015]]+Tabel668910192832[[#This Row],[Sew. 2015]]+Tabel668910192832[[#This Row],[WW 2015]]+Tabel668910192832[[#This Row],[Other ch. 2015]]+Tabel668910192832[[#This Row],[VAT 2015]]</f>
        <v>832.06557173460828</v>
      </c>
      <c r="Q153" s="397"/>
      <c r="R153" s="1228">
        <f>Tabel668910192832[[#This Row],[Fix.ch. 2015]]</f>
        <v>145.92194728181565</v>
      </c>
      <c r="S153" s="1229">
        <f>Tabel668910192832[[#This Row],[Var. ch. 2015]]</f>
        <v>161.44555869477475</v>
      </c>
      <c r="T153" s="1230">
        <v>0</v>
      </c>
      <c r="U153" s="1231">
        <f>Tabel668910192832[[#This Row],[Total. ch. DW 2015]]</f>
        <v>307.36750597659039</v>
      </c>
      <c r="V153" s="1232">
        <v>0</v>
      </c>
      <c r="W153" s="1233">
        <f>Tabel668910192832[[#This Row],[WW 2015]]</f>
        <v>462.60362010618149</v>
      </c>
      <c r="X153" s="1234">
        <v>0</v>
      </c>
      <c r="Y153" s="1235">
        <f>Tabel668910192832[[#This Row],[VAT 2015]]</f>
        <v>62.094445651836445</v>
      </c>
      <c r="Z153" s="1236">
        <f>Tabel668910192832[[#This Row],[total charge 2015]]</f>
        <v>832.06557173460828</v>
      </c>
    </row>
    <row r="154" spans="1:26" ht="15.75" hidden="1" customHeight="1" x14ac:dyDescent="0.25">
      <c r="A154" s="1818" t="s">
        <v>21</v>
      </c>
      <c r="B154" s="1213"/>
      <c r="C154" s="1513" t="s">
        <v>125</v>
      </c>
      <c r="D154" s="2347">
        <v>68400</v>
      </c>
      <c r="E154" s="617">
        <f>'[1]exchange rates'!$M$46</f>
        <v>8.8603000000000005</v>
      </c>
      <c r="F154" s="549">
        <f>1229/E154</f>
        <v>138.70862160423462</v>
      </c>
      <c r="G154" s="550">
        <f>0/E154</f>
        <v>0</v>
      </c>
      <c r="H154" s="551">
        <v>0</v>
      </c>
      <c r="I154" s="566">
        <f>Tabel668910192832[[#This Row],[Fix.ch. 2015]]+Tabel668910192832[[#This Row],[Var. ch. 2015]]+Tabel668910192832[[#This Row],[Oth. ch. DW 2015]]</f>
        <v>138.70862160423462</v>
      </c>
      <c r="J154" s="567">
        <f>1599/E154</f>
        <v>180.4679299797975</v>
      </c>
      <c r="K154" s="568">
        <v>0</v>
      </c>
      <c r="L154" s="568"/>
      <c r="M154" s="568"/>
      <c r="N154" s="569">
        <v>0</v>
      </c>
      <c r="O154" s="1271">
        <f>707/E154</f>
        <v>79.794137896008024</v>
      </c>
      <c r="P154" s="1496">
        <f>Tabel668910192832[[#This Row],[Total. ch. DW 2015]]+Tabel668910192832[[#This Row],[Sew. 2015]]+Tabel668910192832[[#This Row],[WW 2015]]+Tabel668910192832[[#This Row],[Other ch. 2015]]+Tabel668910192832[[#This Row],[VAT 2015]]</f>
        <v>398.97068948004016</v>
      </c>
      <c r="Q154" s="397"/>
      <c r="R154" s="2344">
        <f t="shared" ref="R154:W154" si="44">SUM(F154:F156)/3</f>
        <v>69.335500302849042</v>
      </c>
      <c r="S154" s="2345">
        <f t="shared" si="44"/>
        <v>68.583080332118172</v>
      </c>
      <c r="T154" s="2350">
        <f t="shared" si="44"/>
        <v>6.9448363298458666</v>
      </c>
      <c r="U154" s="2340">
        <f t="shared" si="44"/>
        <v>144.86341696481307</v>
      </c>
      <c r="V154" s="2351">
        <f t="shared" si="44"/>
        <v>174.60657840780405</v>
      </c>
      <c r="W154" s="2352">
        <f t="shared" si="44"/>
        <v>0</v>
      </c>
      <c r="X154" s="2341">
        <f t="shared" ref="X154:Y154" si="45">SUM(N154:N156)/3</f>
        <v>0</v>
      </c>
      <c r="Y154" s="2342">
        <f t="shared" si="45"/>
        <v>79.867498843154294</v>
      </c>
      <c r="Z154" s="2339">
        <f>SUM(P154:P156)/3</f>
        <v>399.33749421577141</v>
      </c>
    </row>
    <row r="155" spans="1:26" ht="16.5" hidden="1" customHeight="1" x14ac:dyDescent="0.25">
      <c r="A155" s="2294"/>
      <c r="B155" s="1213"/>
      <c r="C155" s="543" t="s">
        <v>126</v>
      </c>
      <c r="D155" s="2348"/>
      <c r="E155" s="617">
        <f>'[1]exchange rates'!$M$46</f>
        <v>8.8603000000000005</v>
      </c>
      <c r="F155" s="549">
        <f>314/E155</f>
        <v>35.438980621423653</v>
      </c>
      <c r="G155" s="550">
        <f>997/E155</f>
        <v>112.52440662280057</v>
      </c>
      <c r="H155" s="551">
        <v>0</v>
      </c>
      <c r="I155" s="566">
        <f>Tabel668910192832[[#This Row],[Fix.ch. 2015]]+Tabel668910192832[[#This Row],[Var. ch. 2015]]+Tabel668910192832[[#This Row],[Oth. ch. DW 2015]]</f>
        <v>147.96338724422424</v>
      </c>
      <c r="J155" s="567">
        <f>1496/E155</f>
        <v>168.84304143200569</v>
      </c>
      <c r="K155" s="568">
        <v>0</v>
      </c>
      <c r="L155" s="568"/>
      <c r="M155" s="568"/>
      <c r="N155" s="569">
        <v>0</v>
      </c>
      <c r="O155" s="1271">
        <f>701.75/E155</f>
        <v>79.201607169057482</v>
      </c>
      <c r="P155" s="1496">
        <f>Tabel668910192832[[#This Row],[Total. ch. DW 2015]]+Tabel668910192832[[#This Row],[Sew. 2015]]+Tabel668910192832[[#This Row],[WW 2015]]+Tabel668910192832[[#This Row],[Other ch. 2015]]+Tabel668910192832[[#This Row],[VAT 2015]]</f>
        <v>396.0080358452874</v>
      </c>
      <c r="Q155" s="397"/>
      <c r="R155" s="1763"/>
      <c r="S155" s="1766"/>
      <c r="T155" s="1769"/>
      <c r="U155" s="1775"/>
      <c r="V155" s="1778"/>
      <c r="W155" s="1781"/>
      <c r="X155" s="1785"/>
      <c r="Y155" s="1788"/>
      <c r="Z155" s="1791"/>
    </row>
    <row r="156" spans="1:26" ht="18" hidden="1" customHeight="1" x14ac:dyDescent="0.25">
      <c r="A156" s="2295"/>
      <c r="B156" s="1213"/>
      <c r="C156" s="543" t="s">
        <v>127</v>
      </c>
      <c r="D156" s="2349"/>
      <c r="E156" s="617">
        <f>'[1]exchange rates'!$M$46</f>
        <v>8.8603000000000005</v>
      </c>
      <c r="F156" s="549">
        <f>300/E156</f>
        <v>33.858898682888842</v>
      </c>
      <c r="G156" s="550">
        <f>826/E156</f>
        <v>93.224834373553932</v>
      </c>
      <c r="H156" s="551">
        <f>184.6/E156</f>
        <v>20.8345089895376</v>
      </c>
      <c r="I156" s="566">
        <f>Tabel668910192832[[#This Row],[Fix.ch. 2015]]+Tabel668910192832[[#This Row],[Var. ch. 2015]]+Tabel668910192832[[#This Row],[Oth. ch. DW 2015]]</f>
        <v>147.91824204598038</v>
      </c>
      <c r="J156" s="567">
        <f>1546.2/E156</f>
        <v>174.50876381160907</v>
      </c>
      <c r="K156" s="568">
        <v>0</v>
      </c>
      <c r="L156" s="568"/>
      <c r="M156" s="568"/>
      <c r="N156" s="569">
        <v>0</v>
      </c>
      <c r="O156" s="1271">
        <f>714.2/E156</f>
        <v>80.606751464397362</v>
      </c>
      <c r="P156" s="1496">
        <f>Tabel668910192832[[#This Row],[Total. ch. DW 2015]]+Tabel668910192832[[#This Row],[Sew. 2015]]+Tabel668910192832[[#This Row],[WW 2015]]+Tabel668910192832[[#This Row],[Other ch. 2015]]+Tabel668910192832[[#This Row],[VAT 2015]]</f>
        <v>403.0337573219868</v>
      </c>
      <c r="Q156" s="397"/>
      <c r="R156" s="1764"/>
      <c r="S156" s="1767"/>
      <c r="T156" s="1770"/>
      <c r="U156" s="1776"/>
      <c r="V156" s="1779"/>
      <c r="W156" s="1811"/>
      <c r="X156" s="1813"/>
      <c r="Y156" s="1815"/>
      <c r="Z156" s="1794"/>
    </row>
    <row r="157" spans="1:26" ht="15.75" hidden="1" x14ac:dyDescent="0.25">
      <c r="A157" s="1818" t="s">
        <v>22</v>
      </c>
      <c r="B157" s="1213"/>
      <c r="C157" s="1513" t="s">
        <v>128</v>
      </c>
      <c r="D157" s="2347">
        <v>26400</v>
      </c>
      <c r="E157" s="661">
        <f>'[1]exchange rates'!$M$47</f>
        <v>3.9519899999999999</v>
      </c>
      <c r="F157" s="549">
        <v>0</v>
      </c>
      <c r="G157" s="550">
        <f>551/E157</f>
        <v>139.42342971515617</v>
      </c>
      <c r="H157" s="551">
        <v>0</v>
      </c>
      <c r="I157" s="566">
        <f>Tabel668910192832[[#This Row],[Fix.ch. 2015]]+Tabel668910192832[[#This Row],[Var. ch. 2015]]+Tabel668910192832[[#This Row],[Oth. ch. DW 2015]]</f>
        <v>139.42342971515617</v>
      </c>
      <c r="J157" s="567">
        <v>0</v>
      </c>
      <c r="K157" s="568">
        <f>549/E157</f>
        <v>138.91735556011022</v>
      </c>
      <c r="L157" s="568"/>
      <c r="M157" s="568"/>
      <c r="N157" s="569">
        <v>0</v>
      </c>
      <c r="O157" s="1271">
        <v>0</v>
      </c>
      <c r="P157" s="1496">
        <f>Tabel668910192832[[#This Row],[Total. ch. DW 2015]]+Tabel668910192832[[#This Row],[Sew. 2015]]+Tabel668910192832[[#This Row],[WW 2015]]+Tabel668910192832[[#This Row],[Other ch. 2015]]+Tabel668910192832[[#This Row],[VAT 2015]]</f>
        <v>278.3407852752664</v>
      </c>
      <c r="Q157" s="397"/>
      <c r="R157" s="2344">
        <f t="shared" ref="R157:W157" si="46">SUM(F157:F161)/5</f>
        <v>6.7469806350724566</v>
      </c>
      <c r="S157" s="2345">
        <f t="shared" si="46"/>
        <v>115.53672959698784</v>
      </c>
      <c r="T157" s="2350">
        <f t="shared" si="46"/>
        <v>1.4028375577873426</v>
      </c>
      <c r="U157" s="2340">
        <f t="shared" si="46"/>
        <v>123.68654778984765</v>
      </c>
      <c r="V157" s="2351">
        <f t="shared" si="46"/>
        <v>0</v>
      </c>
      <c r="W157" s="2352">
        <f t="shared" si="46"/>
        <v>132.43960637552223</v>
      </c>
      <c r="X157" s="2341">
        <f t="shared" ref="X157:Z157" si="47">SUM(N157:N161)/5</f>
        <v>6.7469806350724566</v>
      </c>
      <c r="Y157" s="2342">
        <f t="shared" si="47"/>
        <v>0</v>
      </c>
      <c r="Z157" s="2339">
        <f t="shared" si="47"/>
        <v>262.8731348004423</v>
      </c>
    </row>
    <row r="158" spans="1:26" ht="15.75" hidden="1" x14ac:dyDescent="0.25">
      <c r="A158" s="2294"/>
      <c r="B158" s="1213"/>
      <c r="C158" s="543" t="s">
        <v>129</v>
      </c>
      <c r="D158" s="2359"/>
      <c r="E158" s="661">
        <f>'[1]exchange rates'!$M$47</f>
        <v>3.9519899999999999</v>
      </c>
      <c r="F158" s="549">
        <v>0</v>
      </c>
      <c r="G158" s="550">
        <f>429/E158</f>
        <v>108.5529062573539</v>
      </c>
      <c r="H158" s="551">
        <v>0</v>
      </c>
      <c r="I158" s="566">
        <f>Tabel668910192832[[#This Row],[Fix.ch. 2015]]+Tabel668910192832[[#This Row],[Var. ch. 2015]]+Tabel668910192832[[#This Row],[Oth. ch. DW 2015]]</f>
        <v>108.5529062573539</v>
      </c>
      <c r="J158" s="567">
        <v>0</v>
      </c>
      <c r="K158" s="568">
        <f>501/E158</f>
        <v>126.7715758390077</v>
      </c>
      <c r="L158" s="568"/>
      <c r="M158" s="568"/>
      <c r="N158" s="569">
        <v>0</v>
      </c>
      <c r="O158" s="1271">
        <v>0</v>
      </c>
      <c r="P158" s="1496">
        <f>Tabel668910192832[[#This Row],[Total. ch. DW 2015]]+Tabel668910192832[[#This Row],[Sew. 2015]]+Tabel668910192832[[#This Row],[WW 2015]]+Tabel668910192832[[#This Row],[Other ch. 2015]]+Tabel668910192832[[#This Row],[VAT 2015]]</f>
        <v>235.32448209636158</v>
      </c>
      <c r="Q158" s="397"/>
      <c r="R158" s="1886"/>
      <c r="S158" s="1888"/>
      <c r="T158" s="1890"/>
      <c r="U158" s="1892"/>
      <c r="V158" s="1894"/>
      <c r="W158" s="1911"/>
      <c r="X158" s="1913"/>
      <c r="Y158" s="1915"/>
      <c r="Z158" s="1832"/>
    </row>
    <row r="159" spans="1:26" ht="15.75" hidden="1" x14ac:dyDescent="0.25">
      <c r="A159" s="2294"/>
      <c r="B159" s="1213"/>
      <c r="C159" s="543" t="s">
        <v>130</v>
      </c>
      <c r="D159" s="2359"/>
      <c r="E159" s="661">
        <f>'[1]exchange rates'!$M$47</f>
        <v>3.9519899999999999</v>
      </c>
      <c r="F159" s="549">
        <f>(3.57/E159)*12</f>
        <v>10.840108401084009</v>
      </c>
      <c r="G159" s="550">
        <f>646/E159</f>
        <v>163.46195207983826</v>
      </c>
      <c r="H159" s="551">
        <v>0</v>
      </c>
      <c r="I159" s="566">
        <f>Tabel668910192832[[#This Row],[Fix.ch. 2015]]+Tabel668910192832[[#This Row],[Var. ch. 2015]]+Tabel668910192832[[#This Row],[Oth. ch. DW 2015]]</f>
        <v>174.30206048092225</v>
      </c>
      <c r="J159" s="567">
        <v>0</v>
      </c>
      <c r="K159" s="568">
        <f>646/E159</f>
        <v>163.46195207983826</v>
      </c>
      <c r="L159" s="568"/>
      <c r="M159" s="568"/>
      <c r="N159" s="569">
        <f>(3.57/E159)*12</f>
        <v>10.840108401084009</v>
      </c>
      <c r="O159" s="1271">
        <v>0</v>
      </c>
      <c r="P159" s="1496">
        <f>Tabel668910192832[[#This Row],[Total. ch. DW 2015]]+Tabel668910192832[[#This Row],[Sew. 2015]]+Tabel668910192832[[#This Row],[WW 2015]]+Tabel668910192832[[#This Row],[Other ch. 2015]]+Tabel668910192832[[#This Row],[VAT 2015]]</f>
        <v>348.60412096184456</v>
      </c>
      <c r="Q159" s="397"/>
      <c r="R159" s="1886"/>
      <c r="S159" s="1888"/>
      <c r="T159" s="1890"/>
      <c r="U159" s="1892"/>
      <c r="V159" s="1894"/>
      <c r="W159" s="1911"/>
      <c r="X159" s="1913"/>
      <c r="Y159" s="1915"/>
      <c r="Z159" s="1832"/>
    </row>
    <row r="160" spans="1:26" ht="15.75" hidden="1" x14ac:dyDescent="0.25">
      <c r="A160" s="2294"/>
      <c r="B160" s="1213"/>
      <c r="C160" s="543" t="s">
        <v>131</v>
      </c>
      <c r="D160" s="2359"/>
      <c r="E160" s="661">
        <f>'[1]exchange rates'!$M$47</f>
        <v>3.9519899999999999</v>
      </c>
      <c r="F160" s="549">
        <v>0</v>
      </c>
      <c r="G160" s="550">
        <f>342/E160</f>
        <v>86.538680512855549</v>
      </c>
      <c r="H160" s="551">
        <v>0</v>
      </c>
      <c r="I160" s="566">
        <f>Tabel668910192832[[#This Row],[Fix.ch. 2015]]+Tabel668910192832[[#This Row],[Var. ch. 2015]]+Tabel668910192832[[#This Row],[Oth. ch. DW 2015]]</f>
        <v>86.538680512855549</v>
      </c>
      <c r="J160" s="567">
        <v>0</v>
      </c>
      <c r="K160" s="568">
        <f>337/E160</f>
        <v>85.2734951252407</v>
      </c>
      <c r="L160" s="568"/>
      <c r="M160" s="568"/>
      <c r="N160" s="569">
        <v>0</v>
      </c>
      <c r="O160" s="1271">
        <v>0</v>
      </c>
      <c r="P160" s="1496">
        <f>Tabel668910192832[[#This Row],[Total. ch. DW 2015]]+Tabel668910192832[[#This Row],[Sew. 2015]]+Tabel668910192832[[#This Row],[WW 2015]]+Tabel668910192832[[#This Row],[Other ch. 2015]]+Tabel668910192832[[#This Row],[VAT 2015]]</f>
        <v>171.81217563809625</v>
      </c>
      <c r="Q160" s="397"/>
      <c r="R160" s="1886"/>
      <c r="S160" s="1888"/>
      <c r="T160" s="1890"/>
      <c r="U160" s="1892"/>
      <c r="V160" s="1894"/>
      <c r="W160" s="1911"/>
      <c r="X160" s="1913"/>
      <c r="Y160" s="1915"/>
      <c r="Z160" s="1832"/>
    </row>
    <row r="161" spans="1:26" ht="16.5" hidden="1" thickBot="1" x14ac:dyDescent="0.3">
      <c r="A161" s="2295"/>
      <c r="B161" s="1213"/>
      <c r="C161" s="544" t="s">
        <v>132</v>
      </c>
      <c r="D161" s="2349"/>
      <c r="E161" s="661">
        <f>'[1]exchange rates'!$M$47</f>
        <v>3.9519899999999999</v>
      </c>
      <c r="F161" s="549">
        <f>(7.54/E161)*12</f>
        <v>22.894794774278274</v>
      </c>
      <c r="G161" s="550">
        <f>315/E161</f>
        <v>79.70667941973538</v>
      </c>
      <c r="H161" s="551">
        <f>(2.31/E161)*12</f>
        <v>7.014187788936713</v>
      </c>
      <c r="I161" s="566">
        <f>Tabel668910192832[[#This Row],[Fix.ch. 2015]]+Tabel668910192832[[#This Row],[Var. ch. 2015]]+Tabel668910192832[[#This Row],[Oth. ch. DW 2015]]</f>
        <v>109.61566198295037</v>
      </c>
      <c r="J161" s="567">
        <v>0</v>
      </c>
      <c r="K161" s="568">
        <f>584/E161</f>
        <v>147.77365327341417</v>
      </c>
      <c r="L161" s="568"/>
      <c r="M161" s="568"/>
      <c r="N161" s="569">
        <f>(7.54/E161)*12</f>
        <v>22.894794774278274</v>
      </c>
      <c r="O161" s="1271">
        <v>0</v>
      </c>
      <c r="P161" s="1496">
        <f>Tabel668910192832[[#This Row],[Total. ch. DW 2015]]+Tabel668910192832[[#This Row],[Sew. 2015]]+Tabel668910192832[[#This Row],[WW 2015]]+Tabel668910192832[[#This Row],[Other ch. 2015]]+Tabel668910192832[[#This Row],[VAT 2015]]</f>
        <v>280.28411003064281</v>
      </c>
      <c r="Q161" s="397"/>
      <c r="R161" s="1764"/>
      <c r="S161" s="1767"/>
      <c r="T161" s="1770"/>
      <c r="U161" s="1776"/>
      <c r="V161" s="1779"/>
      <c r="W161" s="1811"/>
      <c r="X161" s="1813"/>
      <c r="Y161" s="1815"/>
      <c r="Z161" s="1794"/>
    </row>
    <row r="162" spans="1:26" ht="15.75" hidden="1" x14ac:dyDescent="0.25">
      <c r="A162" s="1818" t="s">
        <v>23</v>
      </c>
      <c r="B162" s="1213"/>
      <c r="C162" s="1513" t="s">
        <v>133</v>
      </c>
      <c r="D162" s="2347">
        <v>27800</v>
      </c>
      <c r="E162" s="616">
        <f>'[1]exchange rates'!$M$48</f>
        <v>0.92093999999999998</v>
      </c>
      <c r="F162" s="549">
        <f>51.48/E162</f>
        <v>55.899407127500162</v>
      </c>
      <c r="G162" s="550">
        <f>40.88/E162</f>
        <v>44.389428192933309</v>
      </c>
      <c r="H162" s="551">
        <f>11.12/E162</f>
        <v>12.07461941060221</v>
      </c>
      <c r="I162" s="566">
        <f>Tabel668910192832[[#This Row],[Fix.ch. 2015]]+Tabel668910192832[[#This Row],[Var. ch. 2015]]+Tabel668910192832[[#This Row],[Oth. ch. DW 2015]]</f>
        <v>112.36345473103567</v>
      </c>
      <c r="J162" s="567">
        <v>0</v>
      </c>
      <c r="K162" s="568">
        <f>37.48/E162</f>
        <v>40.69754815731752</v>
      </c>
      <c r="L162" s="568"/>
      <c r="M162" s="568"/>
      <c r="N162" s="569">
        <f>2.96/E162</f>
        <v>3.2141073251243295</v>
      </c>
      <c r="O162" s="1271">
        <f>5.72/E162</f>
        <v>6.211045236388907</v>
      </c>
      <c r="P162" s="1496">
        <f>Tabel668910192832[[#This Row],[Total. ch. DW 2015]]+Tabel668910192832[[#This Row],[Sew. 2015]]+Tabel668910192832[[#This Row],[WW 2015]]+Tabel668910192832[[#This Row],[Other ch. 2015]]+Tabel668910192832[[#This Row],[VAT 2015]]</f>
        <v>162.48615544986643</v>
      </c>
      <c r="Q162" s="397"/>
      <c r="R162" s="2344">
        <f>MEDIAN(F162:F168)</f>
        <v>50.752492019024046</v>
      </c>
      <c r="S162" s="2363">
        <f>MEDIAN(G162:G168)</f>
        <v>70.93838903728799</v>
      </c>
      <c r="T162" s="2364">
        <f>MEDIAN(H162:H168)</f>
        <v>0</v>
      </c>
      <c r="U162" s="2365">
        <f>SUM(R162:T168)</f>
        <v>121.69088105631204</v>
      </c>
      <c r="V162" s="2354">
        <f>MEDIAN(J162:J168)</f>
        <v>0</v>
      </c>
      <c r="W162" s="2355">
        <f>MEDIAN(K162:K168)</f>
        <v>100.51686320498621</v>
      </c>
      <c r="X162" s="2356">
        <f>MEDIAN(N162:N168)</f>
        <v>3.333550502747193</v>
      </c>
      <c r="Y162" s="2357">
        <f>MEDIAN(O162:O168)</f>
        <v>10.673876691206811</v>
      </c>
      <c r="Z162" s="2358">
        <f>SUM(U162:Y168)</f>
        <v>236.21517145525223</v>
      </c>
    </row>
    <row r="163" spans="1:26" ht="15.75" hidden="1" x14ac:dyDescent="0.25">
      <c r="A163" s="2294"/>
      <c r="B163" s="1213"/>
      <c r="C163" s="543" t="s">
        <v>134</v>
      </c>
      <c r="D163" s="2359"/>
      <c r="E163" s="616">
        <f>'[1]exchange rates'!$M$48</f>
        <v>0.92093999999999998</v>
      </c>
      <c r="F163" s="549">
        <f>48.84/E163</f>
        <v>53.032770864551445</v>
      </c>
      <c r="G163" s="550">
        <f>70.99/E163</f>
        <v>77.084283449518963</v>
      </c>
      <c r="H163" s="551">
        <f>0</f>
        <v>0</v>
      </c>
      <c r="I163" s="566">
        <f>Tabel668910192832[[#This Row],[Fix.ch. 2015]]+Tabel668910192832[[#This Row],[Var. ch. 2015]]+Tabel668910192832[[#This Row],[Oth. ch. DW 2015]]</f>
        <v>130.1170543140704</v>
      </c>
      <c r="J163" s="567">
        <v>0</v>
      </c>
      <c r="K163" s="568">
        <f>105.89/E163</f>
        <v>114.9803461680457</v>
      </c>
      <c r="L163" s="568"/>
      <c r="M163" s="568"/>
      <c r="N163" s="569">
        <f>10.25/E163</f>
        <v>11.12993246031229</v>
      </c>
      <c r="O163" s="1271">
        <f>7.8/E163</f>
        <v>8.4696071405303268</v>
      </c>
      <c r="P163" s="1496">
        <f>Tabel668910192832[[#This Row],[Total. ch. DW 2015]]+Tabel668910192832[[#This Row],[Sew. 2015]]+Tabel668910192832[[#This Row],[WW 2015]]+Tabel668910192832[[#This Row],[Other ch. 2015]]+Tabel668910192832[[#This Row],[VAT 2015]]</f>
        <v>264.69694008295869</v>
      </c>
      <c r="Q163" s="397"/>
      <c r="R163" s="1886"/>
      <c r="S163" s="2159"/>
      <c r="T163" s="2160"/>
      <c r="U163" s="2141"/>
      <c r="V163" s="2142"/>
      <c r="W163" s="2143"/>
      <c r="X163" s="2144"/>
      <c r="Y163" s="2145"/>
      <c r="Z163" s="2146"/>
    </row>
    <row r="164" spans="1:26" ht="15.75" hidden="1" x14ac:dyDescent="0.25">
      <c r="A164" s="2294"/>
      <c r="B164" s="1213"/>
      <c r="C164" s="543" t="s">
        <v>135</v>
      </c>
      <c r="D164" s="2359"/>
      <c r="E164" s="616">
        <f>'[1]exchange rates'!$M$48</f>
        <v>0.92093999999999998</v>
      </c>
      <c r="F164" s="549">
        <f>41.11/E164</f>
        <v>44.639173018872022</v>
      </c>
      <c r="G164" s="550">
        <f>74.53/E164</f>
        <v>80.928182074836585</v>
      </c>
      <c r="H164" s="551">
        <v>0</v>
      </c>
      <c r="I164" s="566">
        <f>Tabel668910192832[[#This Row],[Fix.ch. 2015]]+Tabel668910192832[[#This Row],[Var. ch. 2015]]+Tabel668910192832[[#This Row],[Oth. ch. DW 2015]]</f>
        <v>125.56735509370861</v>
      </c>
      <c r="J164" s="567">
        <v>0</v>
      </c>
      <c r="K164" s="568">
        <f>45.14/E164</f>
        <v>49.015136708146024</v>
      </c>
      <c r="L164" s="568"/>
      <c r="M164" s="568"/>
      <c r="N164" s="569">
        <f>3.07/E164</f>
        <v>3.333550502747193</v>
      </c>
      <c r="O164" s="1271">
        <f>9.83/E164</f>
        <v>10.673876691206811</v>
      </c>
      <c r="P164" s="1496">
        <f>Tabel668910192832[[#This Row],[Total. ch. DW 2015]]+Tabel668910192832[[#This Row],[Sew. 2015]]+Tabel668910192832[[#This Row],[WW 2015]]+Tabel668910192832[[#This Row],[Other ch. 2015]]+Tabel668910192832[[#This Row],[VAT 2015]]</f>
        <v>188.58991899580863</v>
      </c>
      <c r="Q164" s="397"/>
      <c r="R164" s="1763"/>
      <c r="S164" s="1843"/>
      <c r="T164" s="1846"/>
      <c r="U164" s="1849"/>
      <c r="V164" s="1852"/>
      <c r="W164" s="1855"/>
      <c r="X164" s="1858"/>
      <c r="Y164" s="1873"/>
      <c r="Z164" s="1876"/>
    </row>
    <row r="165" spans="1:26" ht="15.75" hidden="1" x14ac:dyDescent="0.25">
      <c r="A165" s="2294"/>
      <c r="B165" s="1213"/>
      <c r="C165" s="543" t="s">
        <v>136</v>
      </c>
      <c r="D165" s="2359"/>
      <c r="E165" s="616">
        <f>'[1]exchange rates'!$M$48</f>
        <v>0.92093999999999998</v>
      </c>
      <c r="F165" s="549">
        <f>37.14/E165</f>
        <v>40.328360153755945</v>
      </c>
      <c r="G165" s="550">
        <f>78.71/E165</f>
        <v>85.467022824505392</v>
      </c>
      <c r="H165" s="551">
        <v>0</v>
      </c>
      <c r="I165" s="566">
        <f>Tabel668910192832[[#This Row],[Fix.ch. 2015]]+Tabel668910192832[[#This Row],[Var. ch. 2015]]+Tabel668910192832[[#This Row],[Oth. ch. DW 2015]]</f>
        <v>125.79538297826133</v>
      </c>
      <c r="J165" s="567">
        <v>0</v>
      </c>
      <c r="K165" s="568">
        <f>93.64/E165</f>
        <v>101.67871956913588</v>
      </c>
      <c r="L165" s="568"/>
      <c r="M165" s="568"/>
      <c r="N165" s="569">
        <f>4.73/E165</f>
        <v>5.1360566377831356</v>
      </c>
      <c r="O165" s="1271">
        <f>7.23/E165</f>
        <v>7.8506743110300352</v>
      </c>
      <c r="P165" s="1496">
        <f>Tabel668910192832[[#This Row],[Total. ch. DW 2015]]+Tabel668910192832[[#This Row],[Sew. 2015]]+Tabel668910192832[[#This Row],[WW 2015]]+Tabel668910192832[[#This Row],[Other ch. 2015]]+Tabel668910192832[[#This Row],[VAT 2015]]</f>
        <v>240.46083349621037</v>
      </c>
      <c r="Q165" s="397"/>
      <c r="R165" s="1886"/>
      <c r="S165" s="2159"/>
      <c r="T165" s="2160"/>
      <c r="U165" s="2141"/>
      <c r="V165" s="2142"/>
      <c r="W165" s="2143"/>
      <c r="X165" s="2144"/>
      <c r="Y165" s="2145"/>
      <c r="Z165" s="2146"/>
    </row>
    <row r="166" spans="1:26" ht="15.75" hidden="1" x14ac:dyDescent="0.25">
      <c r="A166" s="2294"/>
      <c r="B166" s="1213"/>
      <c r="C166" s="543" t="s">
        <v>137</v>
      </c>
      <c r="D166" s="2359"/>
      <c r="E166" s="616">
        <f>'[1]exchange rates'!$M$48</f>
        <v>0.92093999999999998</v>
      </c>
      <c r="F166" s="549">
        <f>56.28/E166</f>
        <v>61.111473060134216</v>
      </c>
      <c r="G166" s="550">
        <f>55/E166</f>
        <v>59.721588811431801</v>
      </c>
      <c r="H166" s="551">
        <v>0</v>
      </c>
      <c r="I166" s="566">
        <f>Tabel668910192832[[#This Row],[Fix.ch. 2015]]+Tabel668910192832[[#This Row],[Var. ch. 2015]]+Tabel668910192832[[#This Row],[Oth. ch. DW 2015]]</f>
        <v>120.83306187156602</v>
      </c>
      <c r="J166" s="567">
        <v>0</v>
      </c>
      <c r="K166" s="568">
        <f>95.32/E166</f>
        <v>103.50294264555779</v>
      </c>
      <c r="L166" s="568"/>
      <c r="M166" s="568"/>
      <c r="N166" s="569">
        <f>3.06/E166</f>
        <v>3.3226920320542055</v>
      </c>
      <c r="O166" s="1271">
        <f>12.58/E166</f>
        <v>13.659956131778401</v>
      </c>
      <c r="P166" s="1496">
        <f>Tabel668910192832[[#This Row],[Total. ch. DW 2015]]+Tabel668910192832[[#This Row],[Sew. 2015]]+Tabel668910192832[[#This Row],[WW 2015]]+Tabel668910192832[[#This Row],[Other ch. 2015]]+Tabel668910192832[[#This Row],[VAT 2015]]</f>
        <v>241.3186526809564</v>
      </c>
      <c r="Q166" s="397"/>
      <c r="R166" s="1886"/>
      <c r="S166" s="2159"/>
      <c r="T166" s="2160"/>
      <c r="U166" s="2141"/>
      <c r="V166" s="2142"/>
      <c r="W166" s="2143"/>
      <c r="X166" s="2144"/>
      <c r="Y166" s="2145"/>
      <c r="Z166" s="2146"/>
    </row>
    <row r="167" spans="1:26" ht="15.75" hidden="1" x14ac:dyDescent="0.25">
      <c r="A167" s="2294"/>
      <c r="B167" s="1213"/>
      <c r="C167" s="543" t="s">
        <v>138</v>
      </c>
      <c r="D167" s="2359"/>
      <c r="E167" s="616">
        <f>'[1]exchange rates'!$M$48</f>
        <v>0.92093999999999998</v>
      </c>
      <c r="F167" s="549">
        <f>46.74/E167</f>
        <v>50.752492019024046</v>
      </c>
      <c r="G167" s="550">
        <f>65.33/E167</f>
        <v>70.93838903728799</v>
      </c>
      <c r="H167" s="551">
        <v>0</v>
      </c>
      <c r="I167" s="566">
        <f>Tabel668910192832[[#This Row],[Fix.ch. 2015]]+Tabel668910192832[[#This Row],[Var. ch. 2015]]+Tabel668910192832[[#This Row],[Oth. ch. DW 2015]]</f>
        <v>121.69088105631204</v>
      </c>
      <c r="J167" s="567">
        <v>0</v>
      </c>
      <c r="K167" s="568">
        <f>82.46/E167</f>
        <v>89.538949334375744</v>
      </c>
      <c r="L167" s="568"/>
      <c r="M167" s="568"/>
      <c r="N167" s="569">
        <f>4.1/E167</f>
        <v>4.4519729841249154</v>
      </c>
      <c r="O167" s="1271">
        <f>11.92/E167</f>
        <v>12.943297066041218</v>
      </c>
      <c r="P167" s="1496">
        <f>Tabel668910192832[[#This Row],[Total. ch. DW 2015]]+Tabel668910192832[[#This Row],[Sew. 2015]]+Tabel668910192832[[#This Row],[WW 2015]]+Tabel668910192832[[#This Row],[Other ch. 2015]]+Tabel668910192832[[#This Row],[VAT 2015]]</f>
        <v>228.62510044085391</v>
      </c>
      <c r="Q167" s="397"/>
      <c r="R167" s="1886"/>
      <c r="S167" s="2159"/>
      <c r="T167" s="2160"/>
      <c r="U167" s="2141"/>
      <c r="V167" s="2142"/>
      <c r="W167" s="2143"/>
      <c r="X167" s="2144"/>
      <c r="Y167" s="2145"/>
      <c r="Z167" s="2146"/>
    </row>
    <row r="168" spans="1:26" ht="16.5" hidden="1" thickBot="1" x14ac:dyDescent="0.3">
      <c r="A168" s="2295"/>
      <c r="B168" s="1213"/>
      <c r="C168" s="543" t="s">
        <v>139</v>
      </c>
      <c r="D168" s="2349"/>
      <c r="E168" s="616">
        <f>'[1]exchange rates'!$M$48</f>
        <v>0.92093999999999998</v>
      </c>
      <c r="F168" s="549">
        <f>32.75/E168</f>
        <v>35.561491519534393</v>
      </c>
      <c r="G168" s="550">
        <f>52.9/E168</f>
        <v>57.441309965904402</v>
      </c>
      <c r="H168" s="551">
        <v>0</v>
      </c>
      <c r="I168" s="566">
        <f>Tabel668910192832[[#This Row],[Fix.ch. 2015]]+Tabel668910192832[[#This Row],[Var. ch. 2015]]+Tabel668910192832[[#This Row],[Oth. ch. DW 2015]]</f>
        <v>93.002801485438795</v>
      </c>
      <c r="J168" s="567">
        <f>0</f>
        <v>0</v>
      </c>
      <c r="K168" s="568">
        <f>92.57/E168</f>
        <v>100.51686320498621</v>
      </c>
      <c r="L168" s="568"/>
      <c r="M168" s="568"/>
      <c r="N168" s="569">
        <f>2.9/E168</f>
        <v>3.148956500966404</v>
      </c>
      <c r="O168" s="1271">
        <f>10.87/E168</f>
        <v>11.803157643277521</v>
      </c>
      <c r="P168" s="1496">
        <f>Tabel668910192832[[#This Row],[Total. ch. DW 2015]]+Tabel668910192832[[#This Row],[Sew. 2015]]+Tabel668910192832[[#This Row],[WW 2015]]+Tabel668910192832[[#This Row],[Other ch. 2015]]+Tabel668910192832[[#This Row],[VAT 2015]]</f>
        <v>208.47177883466892</v>
      </c>
      <c r="Q168" s="397"/>
      <c r="R168" s="1764"/>
      <c r="S168" s="2225"/>
      <c r="T168" s="2227"/>
      <c r="U168" s="2234"/>
      <c r="V168" s="2236"/>
      <c r="W168" s="2238"/>
      <c r="X168" s="2240"/>
      <c r="Y168" s="2242"/>
      <c r="Z168" s="2244"/>
    </row>
    <row r="169" spans="1:26" ht="15.75" hidden="1" customHeight="1" x14ac:dyDescent="0.25">
      <c r="A169" s="2367" t="s">
        <v>40</v>
      </c>
      <c r="B169" s="1651"/>
      <c r="C169" s="502" t="s">
        <v>1351</v>
      </c>
      <c r="D169" s="2347">
        <v>20600</v>
      </c>
      <c r="E169" s="616">
        <f>'[1]exchange rates'!$M$49</f>
        <v>4.1749499999999999</v>
      </c>
      <c r="F169" s="319"/>
      <c r="G169" s="320"/>
      <c r="H169" s="321"/>
      <c r="I169" s="313"/>
      <c r="J169" s="322"/>
      <c r="K169" s="323"/>
      <c r="L169" s="323"/>
      <c r="M169" s="323"/>
      <c r="N169" s="324"/>
      <c r="O169" s="1258"/>
      <c r="P169" s="1491"/>
      <c r="Q169" s="397"/>
      <c r="R169" s="2344">
        <f t="shared" ref="R169:W169" si="48">SUM(F169:F197)/20</f>
        <v>0</v>
      </c>
      <c r="S169" s="2345">
        <f t="shared" si="48"/>
        <v>67.988838189678916</v>
      </c>
      <c r="T169" s="2350">
        <f t="shared" si="48"/>
        <v>0</v>
      </c>
      <c r="U169" s="2340" t="e">
        <f t="shared" si="48"/>
        <v>#REF!</v>
      </c>
      <c r="V169" s="2351">
        <f t="shared" si="48"/>
        <v>0</v>
      </c>
      <c r="W169" s="2352">
        <f t="shared" si="48"/>
        <v>43.437645959831855</v>
      </c>
      <c r="X169" s="2341">
        <f t="shared" ref="X169:Z169" si="49">SUM(N169:N197)/20</f>
        <v>0</v>
      </c>
      <c r="Y169" s="2342">
        <f t="shared" si="49"/>
        <v>26.742356195882586</v>
      </c>
      <c r="Z169" s="2339" t="e">
        <f t="shared" si="49"/>
        <v>#REF!</v>
      </c>
    </row>
    <row r="170" spans="1:26" ht="15.75" hidden="1" customHeight="1" x14ac:dyDescent="0.25">
      <c r="A170" s="2368"/>
      <c r="B170" s="1651"/>
      <c r="C170" s="783" t="s">
        <v>188</v>
      </c>
      <c r="D170" s="2359"/>
      <c r="E170" s="616">
        <f>'[1]exchange rates'!$M$49</f>
        <v>4.1749499999999999</v>
      </c>
      <c r="F170" s="549">
        <v>0</v>
      </c>
      <c r="G170" s="550">
        <f>320/E170</f>
        <v>76.647624522449377</v>
      </c>
      <c r="H170" s="551">
        <v>0</v>
      </c>
      <c r="I170" s="566" t="e">
        <f>[1]!Tabel668910[[#This Row],[Fix.ch. 2015]]+[1]!Tabel668910[[#This Row],[Var. ch. 2015]]+[1]!Tabel668910[[#This Row],[Oth. ch. DW 2015]]</f>
        <v>#REF!</v>
      </c>
      <c r="J170" s="567">
        <v>0</v>
      </c>
      <c r="K170" s="568">
        <f>233/E170</f>
        <v>55.809051605408449</v>
      </c>
      <c r="L170" s="568"/>
      <c r="M170" s="568"/>
      <c r="N170" s="569">
        <v>0</v>
      </c>
      <c r="O170" s="1271">
        <f>132.72/E170</f>
        <v>31.789602270685876</v>
      </c>
      <c r="P170" s="1496" t="e">
        <f>[1]!Tabel668910[[#This Row],[Total. ch. DW 2015]]+[1]!Tabel668910[[#This Row],[Sew. 2015]]+[1]!Tabel668910[[#This Row],[WW 2015]]+[1]!Tabel668910[[#This Row],[Other ch. 2015]]+[1]!Tabel668910[[#This Row],[VAT 2015]]</f>
        <v>#REF!</v>
      </c>
      <c r="Q170" s="397"/>
      <c r="R170" s="1886"/>
      <c r="S170" s="1888"/>
      <c r="T170" s="1890"/>
      <c r="U170" s="1892"/>
      <c r="V170" s="1894"/>
      <c r="W170" s="1911"/>
      <c r="X170" s="1913"/>
      <c r="Y170" s="1915"/>
      <c r="Z170" s="1832"/>
    </row>
    <row r="171" spans="1:26" ht="15.75" hidden="1" customHeight="1" x14ac:dyDescent="0.25">
      <c r="A171" s="2368"/>
      <c r="B171" s="1651"/>
      <c r="C171" s="502" t="s">
        <v>189</v>
      </c>
      <c r="D171" s="2359"/>
      <c r="E171" s="616">
        <f>'[1]exchange rates'!$M$49</f>
        <v>4.1749499999999999</v>
      </c>
      <c r="F171" s="549"/>
      <c r="G171" s="550"/>
      <c r="H171" s="551"/>
      <c r="I171" s="566"/>
      <c r="J171" s="567"/>
      <c r="K171" s="568"/>
      <c r="L171" s="568"/>
      <c r="M171" s="568"/>
      <c r="N171" s="569"/>
      <c r="O171" s="1271"/>
      <c r="P171" s="1496"/>
      <c r="Q171" s="397"/>
      <c r="R171" s="1886"/>
      <c r="S171" s="1888"/>
      <c r="T171" s="1890"/>
      <c r="U171" s="1892"/>
      <c r="V171" s="1894"/>
      <c r="W171" s="1911"/>
      <c r="X171" s="1913"/>
      <c r="Y171" s="1915"/>
      <c r="Z171" s="1832"/>
    </row>
    <row r="172" spans="1:26" ht="15.75" hidden="1" customHeight="1" x14ac:dyDescent="0.25">
      <c r="A172" s="2368"/>
      <c r="B172" s="1651"/>
      <c r="C172" s="783" t="s">
        <v>190</v>
      </c>
      <c r="D172" s="2359"/>
      <c r="E172" s="616">
        <f>'[1]exchange rates'!$M$49</f>
        <v>4.1749499999999999</v>
      </c>
      <c r="F172" s="549">
        <v>0</v>
      </c>
      <c r="G172" s="550">
        <f>352/E172</f>
        <v>84.312386974694306</v>
      </c>
      <c r="H172" s="551">
        <v>0</v>
      </c>
      <c r="I172" s="566" t="e">
        <f>[1]!Tabel668910[[#This Row],[Fix.ch. 2015]]+[1]!Tabel668910[[#This Row],[Var. ch. 2015]]+[1]!Tabel668910[[#This Row],[Oth. ch. DW 2015]]</f>
        <v>#REF!</v>
      </c>
      <c r="J172" s="567">
        <v>0</v>
      </c>
      <c r="K172" s="568">
        <f>243/E172</f>
        <v>58.204289871734993</v>
      </c>
      <c r="L172" s="568"/>
      <c r="M172" s="568"/>
      <c r="N172" s="569">
        <v>0</v>
      </c>
      <c r="O172" s="1271">
        <f>142.8/E172</f>
        <v>34.204002443143033</v>
      </c>
      <c r="P172" s="1496" t="e">
        <f>[1]!Tabel668910[[#This Row],[Total. ch. DW 2015]]+[1]!Tabel668910[[#This Row],[Sew. 2015]]+[1]!Tabel668910[[#This Row],[WW 2015]]+[1]!Tabel668910[[#This Row],[Other ch. 2015]]+[1]!Tabel668910[[#This Row],[VAT 2015]]</f>
        <v>#REF!</v>
      </c>
      <c r="Q172" s="397"/>
      <c r="R172" s="1886"/>
      <c r="S172" s="1888"/>
      <c r="T172" s="1890"/>
      <c r="U172" s="1892"/>
      <c r="V172" s="1894"/>
      <c r="W172" s="1911"/>
      <c r="X172" s="1913"/>
      <c r="Y172" s="1915"/>
      <c r="Z172" s="1832"/>
    </row>
    <row r="173" spans="1:26" ht="15.75" hidden="1" customHeight="1" x14ac:dyDescent="0.25">
      <c r="A173" s="2368"/>
      <c r="B173" s="1651"/>
      <c r="C173" s="1289" t="s">
        <v>191</v>
      </c>
      <c r="D173" s="2359"/>
      <c r="E173" s="616">
        <f>'[1]exchange rates'!$M$49</f>
        <v>4.1749499999999999</v>
      </c>
      <c r="F173" s="549"/>
      <c r="G173" s="550"/>
      <c r="H173" s="551"/>
      <c r="I173" s="566"/>
      <c r="J173" s="567"/>
      <c r="K173" s="568"/>
      <c r="L173" s="568"/>
      <c r="M173" s="568"/>
      <c r="N173" s="569"/>
      <c r="O173" s="1271"/>
      <c r="P173" s="1496"/>
      <c r="Q173" s="397"/>
      <c r="R173" s="1886"/>
      <c r="S173" s="1888"/>
      <c r="T173" s="1890"/>
      <c r="U173" s="1892"/>
      <c r="V173" s="1894"/>
      <c r="W173" s="1911"/>
      <c r="X173" s="1913"/>
      <c r="Y173" s="1915"/>
      <c r="Z173" s="1832"/>
    </row>
    <row r="174" spans="1:26" ht="15.75" hidden="1" customHeight="1" x14ac:dyDescent="0.25">
      <c r="A174" s="2368"/>
      <c r="B174" s="1651"/>
      <c r="C174" s="1289" t="s">
        <v>218</v>
      </c>
      <c r="D174" s="2359"/>
      <c r="E174" s="616">
        <f>'[1]exchange rates'!$M$49</f>
        <v>4.1749499999999999</v>
      </c>
      <c r="F174" s="549"/>
      <c r="G174" s="550"/>
      <c r="H174" s="551"/>
      <c r="I174" s="566"/>
      <c r="J174" s="567"/>
      <c r="K174" s="568"/>
      <c r="L174" s="568"/>
      <c r="M174" s="568"/>
      <c r="N174" s="569"/>
      <c r="O174" s="1271"/>
      <c r="P174" s="1496"/>
      <c r="Q174" s="397"/>
      <c r="R174" s="1886"/>
      <c r="S174" s="1888"/>
      <c r="T174" s="1890"/>
      <c r="U174" s="1892"/>
      <c r="V174" s="1894"/>
      <c r="W174" s="1911"/>
      <c r="X174" s="1913"/>
      <c r="Y174" s="1915"/>
      <c r="Z174" s="1832"/>
    </row>
    <row r="175" spans="1:26" ht="16.5" hidden="1" customHeight="1" x14ac:dyDescent="0.25">
      <c r="A175" s="2368"/>
      <c r="B175" s="1651"/>
      <c r="C175" s="633" t="s">
        <v>219</v>
      </c>
      <c r="D175" s="2359"/>
      <c r="E175" s="616">
        <f>'[1]exchange rates'!$M$49</f>
        <v>4.1749499999999999</v>
      </c>
      <c r="F175" s="549">
        <v>0</v>
      </c>
      <c r="G175" s="550">
        <f>278/E175</f>
        <v>66.587623803877889</v>
      </c>
      <c r="H175" s="551">
        <v>0</v>
      </c>
      <c r="I175" s="566" t="e">
        <f>[1]!Tabel668910[[#This Row],[Fix.ch. 2015]]+[1]!Tabel668910[[#This Row],[Var. ch. 2015]]+[1]!Tabel668910[[#This Row],[Oth. ch. DW 2015]]</f>
        <v>#REF!</v>
      </c>
      <c r="J175" s="567">
        <v>0</v>
      </c>
      <c r="K175" s="568">
        <f>184/E175</f>
        <v>44.072384100408392</v>
      </c>
      <c r="L175" s="568"/>
      <c r="M175" s="568"/>
      <c r="N175" s="569">
        <v>0</v>
      </c>
      <c r="O175" s="1271">
        <f>110.88/E175</f>
        <v>26.558401897028705</v>
      </c>
      <c r="P175" s="1496" t="e">
        <f>[1]!Tabel668910[[#This Row],[Total. ch. DW 2015]]+[1]!Tabel668910[[#This Row],[Sew. 2015]]+[1]!Tabel668910[[#This Row],[WW 2015]]+[1]!Tabel668910[[#This Row],[Other ch. 2015]]+[1]!Tabel668910[[#This Row],[VAT 2015]]</f>
        <v>#REF!</v>
      </c>
      <c r="Q175" s="397"/>
      <c r="R175" s="1886"/>
      <c r="S175" s="1888"/>
      <c r="T175" s="1890"/>
      <c r="U175" s="1892"/>
      <c r="V175" s="1894"/>
      <c r="W175" s="1911"/>
      <c r="X175" s="1913"/>
      <c r="Y175" s="1915"/>
      <c r="Z175" s="1832"/>
    </row>
    <row r="176" spans="1:26" ht="15.75" hidden="1" customHeight="1" x14ac:dyDescent="0.25">
      <c r="A176" s="2368"/>
      <c r="B176" s="1651"/>
      <c r="C176" s="633" t="s">
        <v>513</v>
      </c>
      <c r="D176" s="2359"/>
      <c r="E176" s="616">
        <f>'[1]exchange rates'!$M$49</f>
        <v>4.1749499999999999</v>
      </c>
      <c r="F176" s="549">
        <v>0</v>
      </c>
      <c r="G176" s="550">
        <f>369/E176</f>
        <v>88.384292027449433</v>
      </c>
      <c r="H176" s="551">
        <v>0</v>
      </c>
      <c r="I176" s="566" t="e">
        <f>[1]!Tabel668910[[#This Row],[Fix.ch. 2015]]+[1]!Tabel668910[[#This Row],[Var. ch. 2015]]+[1]!Tabel668910[[#This Row],[Oth. ch. DW 2015]]</f>
        <v>#REF!</v>
      </c>
      <c r="J176" s="567">
        <v>0</v>
      </c>
      <c r="K176" s="568">
        <f>332/E176</f>
        <v>79.521910442041218</v>
      </c>
      <c r="L176" s="568"/>
      <c r="M176" s="568"/>
      <c r="N176" s="569">
        <v>0</v>
      </c>
      <c r="O176" s="1271">
        <f>168.24/E176</f>
        <v>40.297488592677759</v>
      </c>
      <c r="P176" s="1496" t="e">
        <f>[1]!Tabel668910[[#This Row],[Total. ch. DW 2015]]+[1]!Tabel668910[[#This Row],[Sew. 2015]]+[1]!Tabel668910[[#This Row],[WW 2015]]+[1]!Tabel668910[[#This Row],[Other ch. 2015]]+[1]!Tabel668910[[#This Row],[VAT 2015]]</f>
        <v>#REF!</v>
      </c>
      <c r="Q176" s="397"/>
      <c r="R176" s="1886"/>
      <c r="S176" s="1888"/>
      <c r="T176" s="1890"/>
      <c r="U176" s="1892"/>
      <c r="V176" s="1894"/>
      <c r="W176" s="1911"/>
      <c r="X176" s="1913"/>
      <c r="Y176" s="1915"/>
      <c r="Z176" s="1832"/>
    </row>
    <row r="177" spans="1:26" ht="15.75" hidden="1" customHeight="1" x14ac:dyDescent="0.25">
      <c r="A177" s="2368"/>
      <c r="B177" s="1651"/>
      <c r="C177" s="503" t="s">
        <v>514</v>
      </c>
      <c r="D177" s="2359"/>
      <c r="E177" s="616">
        <f>'[1]exchange rates'!$M$49</f>
        <v>4.1749499999999999</v>
      </c>
      <c r="F177" s="549"/>
      <c r="G177" s="550"/>
      <c r="H177" s="551"/>
      <c r="I177" s="566"/>
      <c r="J177" s="567"/>
      <c r="K177" s="568"/>
      <c r="L177" s="568"/>
      <c r="M177" s="568"/>
      <c r="N177" s="569"/>
      <c r="O177" s="1271"/>
      <c r="P177" s="1496"/>
      <c r="Q177" s="397"/>
      <c r="R177" s="1886"/>
      <c r="S177" s="1888"/>
      <c r="T177" s="1890"/>
      <c r="U177" s="1892"/>
      <c r="V177" s="1894"/>
      <c r="W177" s="1911"/>
      <c r="X177" s="1913"/>
      <c r="Y177" s="1915"/>
      <c r="Z177" s="1832"/>
    </row>
    <row r="178" spans="1:26" ht="15.75" hidden="1" customHeight="1" x14ac:dyDescent="0.25">
      <c r="A178" s="2368"/>
      <c r="B178" s="1651"/>
      <c r="C178" s="503" t="s">
        <v>515</v>
      </c>
      <c r="D178" s="2359"/>
      <c r="E178" s="616">
        <f>'[1]exchange rates'!$M$49</f>
        <v>4.1749499999999999</v>
      </c>
      <c r="F178" s="549"/>
      <c r="G178" s="550"/>
      <c r="H178" s="551"/>
      <c r="I178" s="566"/>
      <c r="J178" s="567"/>
      <c r="K178" s="568"/>
      <c r="L178" s="568"/>
      <c r="M178" s="568"/>
      <c r="N178" s="569"/>
      <c r="O178" s="1271"/>
      <c r="P178" s="1496"/>
      <c r="Q178" s="397"/>
      <c r="R178" s="1886"/>
      <c r="S178" s="1888"/>
      <c r="T178" s="1890"/>
      <c r="U178" s="1892"/>
      <c r="V178" s="1894"/>
      <c r="W178" s="1911"/>
      <c r="X178" s="1913"/>
      <c r="Y178" s="1915"/>
      <c r="Z178" s="1832"/>
    </row>
    <row r="179" spans="1:26" ht="15.75" hidden="1" customHeight="1" x14ac:dyDescent="0.25">
      <c r="A179" s="2368"/>
      <c r="B179" s="1651"/>
      <c r="C179" s="633" t="s">
        <v>516</v>
      </c>
      <c r="D179" s="2359"/>
      <c r="E179" s="616">
        <f>'[1]exchange rates'!$M$49</f>
        <v>4.1749499999999999</v>
      </c>
      <c r="F179" s="549">
        <v>0</v>
      </c>
      <c r="G179" s="550">
        <f>440/E179</f>
        <v>105.39048371836789</v>
      </c>
      <c r="H179" s="551">
        <v>0</v>
      </c>
      <c r="I179" s="566" t="e">
        <f>[1]!Tabel668910[[#This Row],[Fix.ch. 2015]]+[1]!Tabel668910[[#This Row],[Var. ch. 2015]]+[1]!Tabel668910[[#This Row],[Oth. ch. DW 2015]]</f>
        <v>#REF!</v>
      </c>
      <c r="J179" s="567">
        <v>0</v>
      </c>
      <c r="K179" s="568">
        <f>251/E179</f>
        <v>60.120480484796225</v>
      </c>
      <c r="L179" s="568"/>
      <c r="M179" s="568"/>
      <c r="N179" s="569">
        <v>0</v>
      </c>
      <c r="O179" s="1271">
        <f>165.84/E179</f>
        <v>39.722631408759391</v>
      </c>
      <c r="P179" s="1496" t="e">
        <f>[1]!Tabel668910[[#This Row],[Total. ch. DW 2015]]+[1]!Tabel668910[[#This Row],[Sew. 2015]]+[1]!Tabel668910[[#This Row],[WW 2015]]+[1]!Tabel668910[[#This Row],[Other ch. 2015]]+[1]!Tabel668910[[#This Row],[VAT 2015]]</f>
        <v>#REF!</v>
      </c>
      <c r="Q179" s="397"/>
      <c r="R179" s="1886"/>
      <c r="S179" s="1888"/>
      <c r="T179" s="1890"/>
      <c r="U179" s="1892"/>
      <c r="V179" s="1894"/>
      <c r="W179" s="1911"/>
      <c r="X179" s="1913"/>
      <c r="Y179" s="1915"/>
      <c r="Z179" s="1832"/>
    </row>
    <row r="180" spans="1:26" ht="15.75" hidden="1" customHeight="1" x14ac:dyDescent="0.25">
      <c r="A180" s="2368"/>
      <c r="B180" s="1651"/>
      <c r="C180" s="503" t="s">
        <v>1352</v>
      </c>
      <c r="D180" s="2359"/>
      <c r="E180" s="616">
        <f>'[1]exchange rates'!$M$49</f>
        <v>4.1749499999999999</v>
      </c>
      <c r="F180" s="549"/>
      <c r="G180" s="550"/>
      <c r="H180" s="551"/>
      <c r="I180" s="566"/>
      <c r="J180" s="567"/>
      <c r="K180" s="568"/>
      <c r="L180" s="568"/>
      <c r="M180" s="568"/>
      <c r="N180" s="569"/>
      <c r="O180" s="1271"/>
      <c r="P180" s="1496"/>
      <c r="Q180" s="397"/>
      <c r="R180" s="1886"/>
      <c r="S180" s="1888"/>
      <c r="T180" s="1890"/>
      <c r="U180" s="1892"/>
      <c r="V180" s="1894"/>
      <c r="W180" s="1911"/>
      <c r="X180" s="1913"/>
      <c r="Y180" s="1915"/>
      <c r="Z180" s="1832"/>
    </row>
    <row r="181" spans="1:26" ht="15.75" hidden="1" customHeight="1" x14ac:dyDescent="0.25">
      <c r="A181" s="2368"/>
      <c r="B181" s="1651"/>
      <c r="C181" s="503" t="s">
        <v>517</v>
      </c>
      <c r="D181" s="2359"/>
      <c r="E181" s="616">
        <f>'[1]exchange rates'!$M$49</f>
        <v>4.1749499999999999</v>
      </c>
      <c r="F181" s="549"/>
      <c r="G181" s="550"/>
      <c r="H181" s="551"/>
      <c r="I181" s="566"/>
      <c r="J181" s="567"/>
      <c r="K181" s="568"/>
      <c r="L181" s="568"/>
      <c r="M181" s="568"/>
      <c r="N181" s="569"/>
      <c r="O181" s="1271"/>
      <c r="P181" s="1496"/>
      <c r="Q181" s="397"/>
      <c r="R181" s="1886"/>
      <c r="S181" s="1888"/>
      <c r="T181" s="1890"/>
      <c r="U181" s="1892"/>
      <c r="V181" s="1894"/>
      <c r="W181" s="1911"/>
      <c r="X181" s="1913"/>
      <c r="Y181" s="1915"/>
      <c r="Z181" s="1832"/>
    </row>
    <row r="182" spans="1:26" ht="15.75" hidden="1" customHeight="1" x14ac:dyDescent="0.25">
      <c r="A182" s="2368"/>
      <c r="B182" s="1651"/>
      <c r="C182" s="503" t="s">
        <v>518</v>
      </c>
      <c r="D182" s="2359"/>
      <c r="E182" s="616">
        <f>'[1]exchange rates'!$M$49</f>
        <v>4.1749499999999999</v>
      </c>
      <c r="F182" s="549"/>
      <c r="G182" s="550"/>
      <c r="H182" s="551"/>
      <c r="I182" s="566"/>
      <c r="J182" s="567"/>
      <c r="K182" s="568"/>
      <c r="L182" s="568"/>
      <c r="M182" s="568"/>
      <c r="N182" s="569"/>
      <c r="O182" s="1271"/>
      <c r="P182" s="1496"/>
      <c r="Q182" s="397"/>
      <c r="R182" s="1886"/>
      <c r="S182" s="1888"/>
      <c r="T182" s="1890"/>
      <c r="U182" s="1892"/>
      <c r="V182" s="1894"/>
      <c r="W182" s="1911"/>
      <c r="X182" s="1913"/>
      <c r="Y182" s="1915"/>
      <c r="Z182" s="1832"/>
    </row>
    <row r="183" spans="1:26" ht="15.75" hidden="1" customHeight="1" x14ac:dyDescent="0.25">
      <c r="A183" s="2368"/>
      <c r="B183" s="1651"/>
      <c r="C183" s="503" t="s">
        <v>519</v>
      </c>
      <c r="D183" s="2359"/>
      <c r="E183" s="616">
        <f>'[1]exchange rates'!$M$49</f>
        <v>4.1749499999999999</v>
      </c>
      <c r="F183" s="549"/>
      <c r="G183" s="550"/>
      <c r="H183" s="551"/>
      <c r="I183" s="566"/>
      <c r="J183" s="567"/>
      <c r="K183" s="568"/>
      <c r="L183" s="568"/>
      <c r="M183" s="568"/>
      <c r="N183" s="569"/>
      <c r="O183" s="1271"/>
      <c r="P183" s="1496"/>
      <c r="Q183" s="397"/>
      <c r="R183" s="1886"/>
      <c r="S183" s="1888"/>
      <c r="T183" s="1890"/>
      <c r="U183" s="1892"/>
      <c r="V183" s="1894"/>
      <c r="W183" s="1911"/>
      <c r="X183" s="1913"/>
      <c r="Y183" s="1915"/>
      <c r="Z183" s="1832"/>
    </row>
    <row r="184" spans="1:26" ht="15.75" hidden="1" customHeight="1" x14ac:dyDescent="0.25">
      <c r="A184" s="2368"/>
      <c r="B184" s="1651"/>
      <c r="C184" s="503" t="s">
        <v>596</v>
      </c>
      <c r="D184" s="2359"/>
      <c r="E184" s="616">
        <f>'[1]exchange rates'!$M$49</f>
        <v>4.1749499999999999</v>
      </c>
      <c r="F184" s="549"/>
      <c r="G184" s="550"/>
      <c r="H184" s="551"/>
      <c r="I184" s="566"/>
      <c r="J184" s="567"/>
      <c r="K184" s="568"/>
      <c r="L184" s="568"/>
      <c r="M184" s="568"/>
      <c r="N184" s="569"/>
      <c r="O184" s="1271"/>
      <c r="P184" s="1496"/>
      <c r="Q184" s="397"/>
      <c r="R184" s="1886"/>
      <c r="S184" s="1888"/>
      <c r="T184" s="1890"/>
      <c r="U184" s="1892"/>
      <c r="V184" s="1894"/>
      <c r="W184" s="1911"/>
      <c r="X184" s="1913"/>
      <c r="Y184" s="1915"/>
      <c r="Z184" s="1832"/>
    </row>
    <row r="185" spans="1:26" ht="15.75" hidden="1" customHeight="1" x14ac:dyDescent="0.25">
      <c r="A185" s="2368"/>
      <c r="B185" s="1651"/>
      <c r="C185" s="633" t="s">
        <v>1353</v>
      </c>
      <c r="D185" s="2359"/>
      <c r="E185" s="616">
        <f>'[1]exchange rates'!$M$49</f>
        <v>4.1749499999999999</v>
      </c>
      <c r="F185" s="549">
        <v>0</v>
      </c>
      <c r="G185" s="550">
        <f>311/E185</f>
        <v>74.491910082755481</v>
      </c>
      <c r="H185" s="551">
        <v>0</v>
      </c>
      <c r="I185" s="566" t="e">
        <f>[1]!Tabel668910[[#This Row],[Fix.ch. 2015]]+[1]!Tabel668910[[#This Row],[Var. ch. 2015]]+[1]!Tabel668910[[#This Row],[Oth. ch. DW 2015]]</f>
        <v>#REF!</v>
      </c>
      <c r="J185" s="567">
        <v>0</v>
      </c>
      <c r="K185" s="568">
        <f>124/E185</f>
        <v>29.700954502449132</v>
      </c>
      <c r="L185" s="568"/>
      <c r="M185" s="568"/>
      <c r="N185" s="569">
        <v>0</v>
      </c>
      <c r="O185" s="1271">
        <f>104.4/E185</f>
        <v>25.006287500449108</v>
      </c>
      <c r="P185" s="1496" t="e">
        <f>[1]!Tabel668910[[#This Row],[Total. ch. DW 2015]]+[1]!Tabel668910[[#This Row],[Sew. 2015]]+[1]!Tabel668910[[#This Row],[WW 2015]]+[1]!Tabel668910[[#This Row],[Other ch. 2015]]+[1]!Tabel668910[[#This Row],[VAT 2015]]</f>
        <v>#REF!</v>
      </c>
      <c r="Q185" s="397"/>
      <c r="R185" s="1886"/>
      <c r="S185" s="1888"/>
      <c r="T185" s="1890"/>
      <c r="U185" s="1892"/>
      <c r="V185" s="1894"/>
      <c r="W185" s="1911"/>
      <c r="X185" s="1913"/>
      <c r="Y185" s="1915"/>
      <c r="Z185" s="1832"/>
    </row>
    <row r="186" spans="1:26" ht="16.5" hidden="1" customHeight="1" x14ac:dyDescent="0.25">
      <c r="A186" s="2368"/>
      <c r="B186" s="1651"/>
      <c r="C186" s="633" t="s">
        <v>520</v>
      </c>
      <c r="D186" s="2359"/>
      <c r="E186" s="616">
        <f>'[1]exchange rates'!$M$49</f>
        <v>4.1749499999999999</v>
      </c>
      <c r="F186" s="549">
        <v>0</v>
      </c>
      <c r="G186" s="550">
        <f>319/E186</f>
        <v>76.408100695816714</v>
      </c>
      <c r="H186" s="551">
        <v>0</v>
      </c>
      <c r="I186" s="566" t="e">
        <f>[1]!Tabel668910[[#This Row],[Fix.ch. 2015]]+[1]!Tabel668910[[#This Row],[Var. ch. 2015]]+[1]!Tabel668910[[#This Row],[Oth. ch. DW 2015]]</f>
        <v>#REF!</v>
      </c>
      <c r="J186" s="567">
        <v>0</v>
      </c>
      <c r="K186" s="568">
        <f>307/E186</f>
        <v>73.533814776224872</v>
      </c>
      <c r="L186" s="568"/>
      <c r="M186" s="568"/>
      <c r="N186" s="569">
        <v>0</v>
      </c>
      <c r="O186" s="1271">
        <f>150.24/E186</f>
        <v>35.986059713289983</v>
      </c>
      <c r="P186" s="1496" t="e">
        <f>[1]!Tabel668910[[#This Row],[Total. ch. DW 2015]]+[1]!Tabel668910[[#This Row],[Sew. 2015]]+[1]!Tabel668910[[#This Row],[WW 2015]]+[1]!Tabel668910[[#This Row],[Other ch. 2015]]+[1]!Tabel668910[[#This Row],[VAT 2015]]</f>
        <v>#REF!</v>
      </c>
      <c r="Q186" s="397"/>
      <c r="R186" s="1886"/>
      <c r="S186" s="1888"/>
      <c r="T186" s="1890"/>
      <c r="U186" s="1892"/>
      <c r="V186" s="1894"/>
      <c r="W186" s="1911"/>
      <c r="X186" s="1913"/>
      <c r="Y186" s="1915"/>
      <c r="Z186" s="1832"/>
    </row>
    <row r="187" spans="1:26" ht="15.75" hidden="1" x14ac:dyDescent="0.25">
      <c r="A187" s="2368"/>
      <c r="B187" s="1651"/>
      <c r="C187" s="633" t="s">
        <v>597</v>
      </c>
      <c r="D187" s="2359"/>
      <c r="E187" s="616">
        <f>'[1]exchange rates'!$M$49</f>
        <v>4.1749499999999999</v>
      </c>
      <c r="F187" s="549">
        <v>0</v>
      </c>
      <c r="G187" s="550">
        <f>351/E187</f>
        <v>84.072863148061657</v>
      </c>
      <c r="H187" s="551">
        <v>0</v>
      </c>
      <c r="I187" s="566" t="e">
        <f>[1]!Tabel668910[[#This Row],[Fix.ch. 2015]]+[1]!Tabel668910[[#This Row],[Var. ch. 2015]]+[1]!Tabel668910[[#This Row],[Oth. ch. DW 2015]]</f>
        <v>#REF!</v>
      </c>
      <c r="J187" s="567">
        <v>0</v>
      </c>
      <c r="K187" s="568">
        <f>253/E187</f>
        <v>60.599528138061537</v>
      </c>
      <c r="L187" s="568"/>
      <c r="M187" s="568"/>
      <c r="N187" s="569">
        <v>0</v>
      </c>
      <c r="O187" s="1271">
        <f>144.96/E187</f>
        <v>34.72137390866957</v>
      </c>
      <c r="P187" s="1496" t="e">
        <f>[1]!Tabel668910[[#This Row],[Total. ch. DW 2015]]+[1]!Tabel668910[[#This Row],[Sew. 2015]]+[1]!Tabel668910[[#This Row],[WW 2015]]+[1]!Tabel668910[[#This Row],[Other ch. 2015]]+[1]!Tabel668910[[#This Row],[VAT 2015]]</f>
        <v>#REF!</v>
      </c>
      <c r="Q187" s="397"/>
      <c r="R187" s="1886"/>
      <c r="S187" s="1888"/>
      <c r="T187" s="1890"/>
      <c r="U187" s="1892"/>
      <c r="V187" s="1894"/>
      <c r="W187" s="1911"/>
      <c r="X187" s="1913"/>
      <c r="Y187" s="1915"/>
      <c r="Z187" s="1832"/>
    </row>
    <row r="188" spans="1:26" ht="15.75" hidden="1" x14ac:dyDescent="0.25">
      <c r="A188" s="2368"/>
      <c r="B188" s="1651"/>
      <c r="C188" s="633" t="s">
        <v>765</v>
      </c>
      <c r="D188" s="2359"/>
      <c r="E188" s="616">
        <f>'[1]exchange rates'!$M$49</f>
        <v>4.1749499999999999</v>
      </c>
      <c r="F188" s="549">
        <v>0</v>
      </c>
      <c r="G188" s="550">
        <f>309/E188</f>
        <v>74.01286242949017</v>
      </c>
      <c r="H188" s="551">
        <v>0</v>
      </c>
      <c r="I188" s="566" t="e">
        <f>[1]!Tabel668910[[#This Row],[Fix.ch. 2015]]+[1]!Tabel668910[[#This Row],[Var. ch. 2015]]+[1]!Tabel668910[[#This Row],[Oth. ch. DW 2015]]</f>
        <v>#REF!</v>
      </c>
      <c r="J188" s="567">
        <v>0</v>
      </c>
      <c r="K188" s="568">
        <f>257/E188</f>
        <v>61.557623444592153</v>
      </c>
      <c r="L188" s="568"/>
      <c r="M188" s="568"/>
      <c r="N188" s="569">
        <v>0</v>
      </c>
      <c r="O188" s="1271">
        <f>135.84/E188</f>
        <v>32.536916609779759</v>
      </c>
      <c r="P188" s="1496" t="e">
        <f>[1]!Tabel668910[[#This Row],[Total. ch. DW 2015]]+[1]!Tabel668910[[#This Row],[Sew. 2015]]+[1]!Tabel668910[[#This Row],[WW 2015]]+[1]!Tabel668910[[#This Row],[Other ch. 2015]]+[1]!Tabel668910[[#This Row],[VAT 2015]]</f>
        <v>#REF!</v>
      </c>
      <c r="Q188" s="397"/>
      <c r="R188" s="1886"/>
      <c r="S188" s="1888"/>
      <c r="T188" s="1890"/>
      <c r="U188" s="1892"/>
      <c r="V188" s="1894"/>
      <c r="W188" s="1911"/>
      <c r="X188" s="1913"/>
      <c r="Y188" s="1915"/>
      <c r="Z188" s="1832"/>
    </row>
    <row r="189" spans="1:26" ht="15.75" hidden="1" x14ac:dyDescent="0.25">
      <c r="A189" s="2368"/>
      <c r="B189" s="1651"/>
      <c r="C189" s="633" t="s">
        <v>1354</v>
      </c>
      <c r="D189" s="2359"/>
      <c r="E189" s="616">
        <f>'[1]exchange rates'!$M$49</f>
        <v>4.1749499999999999</v>
      </c>
      <c r="F189" s="549">
        <v>0</v>
      </c>
      <c r="G189" s="550">
        <f>459/E189</f>
        <v>109.94143642438831</v>
      </c>
      <c r="H189" s="551">
        <v>0</v>
      </c>
      <c r="I189" s="566" t="e">
        <f>[1]!Tabel668910[[#This Row],[Fix.ch. 2015]]+[1]!Tabel668910[[#This Row],[Var. ch. 2015]]+[1]!Tabel668910[[#This Row],[Oth. ch. DW 2015]]</f>
        <v>#REF!</v>
      </c>
      <c r="J189" s="567">
        <v>0</v>
      </c>
      <c r="K189" s="568">
        <f>102/E189</f>
        <v>24.431430316530736</v>
      </c>
      <c r="L189" s="568"/>
      <c r="M189" s="568"/>
      <c r="N189" s="569">
        <v>0</v>
      </c>
      <c r="O189" s="1271">
        <f>134.64/E189</f>
        <v>32.249488017820568</v>
      </c>
      <c r="P189" s="1496" t="e">
        <f>[1]!Tabel668910[[#This Row],[Total. ch. DW 2015]]+[1]!Tabel668910[[#This Row],[Sew. 2015]]+[1]!Tabel668910[[#This Row],[WW 2015]]+[1]!Tabel668910[[#This Row],[Other ch. 2015]]+[1]!Tabel668910[[#This Row],[VAT 2015]]</f>
        <v>#REF!</v>
      </c>
      <c r="Q189" s="397"/>
      <c r="R189" s="1886"/>
      <c r="S189" s="1888"/>
      <c r="T189" s="1890"/>
      <c r="U189" s="1892"/>
      <c r="V189" s="1894"/>
      <c r="W189" s="1911"/>
      <c r="X189" s="1913"/>
      <c r="Y189" s="1915"/>
      <c r="Z189" s="1832"/>
    </row>
    <row r="190" spans="1:26" ht="15.75" hidden="1" x14ac:dyDescent="0.25">
      <c r="A190" s="2368"/>
      <c r="B190" s="1651"/>
      <c r="C190" s="633" t="s">
        <v>766</v>
      </c>
      <c r="D190" s="2359"/>
      <c r="E190" s="616">
        <f>'[1]exchange rates'!$M$49</f>
        <v>4.1749499999999999</v>
      </c>
      <c r="F190" s="549">
        <v>0</v>
      </c>
      <c r="G190" s="550">
        <f>302/E190</f>
        <v>72.3361956430616</v>
      </c>
      <c r="H190" s="551">
        <v>0</v>
      </c>
      <c r="I190" s="566" t="e">
        <f>[1]!Tabel668910[[#This Row],[Fix.ch. 2015]]+[1]!Tabel668910[[#This Row],[Var. ch. 2015]]+[1]!Tabel668910[[#This Row],[Oth. ch. DW 2015]]</f>
        <v>#REF!</v>
      </c>
      <c r="J190" s="567">
        <v>0</v>
      </c>
      <c r="K190" s="568">
        <f>229/E190</f>
        <v>54.850956298877833</v>
      </c>
      <c r="L190" s="568"/>
      <c r="M190" s="568"/>
      <c r="N190" s="569">
        <v>0</v>
      </c>
      <c r="O190" s="1271">
        <f>127.44/E190</f>
        <v>30.524916466065463</v>
      </c>
      <c r="P190" s="1496" t="e">
        <f>[1]!Tabel668910[[#This Row],[Total. ch. DW 2015]]+[1]!Tabel668910[[#This Row],[Sew. 2015]]+[1]!Tabel668910[[#This Row],[WW 2015]]+[1]!Tabel668910[[#This Row],[Other ch. 2015]]+[1]!Tabel668910[[#This Row],[VAT 2015]]</f>
        <v>#REF!</v>
      </c>
      <c r="Q190" s="397"/>
      <c r="R190" s="1886"/>
      <c r="S190" s="1888"/>
      <c r="T190" s="1890"/>
      <c r="U190" s="1892"/>
      <c r="V190" s="1894"/>
      <c r="W190" s="1911"/>
      <c r="X190" s="1913"/>
      <c r="Y190" s="1915"/>
      <c r="Z190" s="1832"/>
    </row>
    <row r="191" spans="1:26" ht="15.75" hidden="1" x14ac:dyDescent="0.25">
      <c r="A191" s="2368"/>
      <c r="B191" s="1651"/>
      <c r="C191" s="633" t="s">
        <v>767</v>
      </c>
      <c r="D191" s="2359"/>
      <c r="E191" s="616">
        <f>'[1]exchange rates'!$M$49</f>
        <v>4.1749499999999999</v>
      </c>
      <c r="F191" s="549">
        <v>0</v>
      </c>
      <c r="G191" s="550">
        <f>270/E191</f>
        <v>64.671433190816657</v>
      </c>
      <c r="H191" s="551">
        <v>0</v>
      </c>
      <c r="I191" s="566" t="e">
        <f>[1]!Tabel668910[[#This Row],[Fix.ch. 2015]]+[1]!Tabel668910[[#This Row],[Var. ch. 2015]]+[1]!Tabel668910[[#This Row],[Oth. ch. DW 2015]]</f>
        <v>#REF!</v>
      </c>
      <c r="J191" s="567">
        <v>0</v>
      </c>
      <c r="K191" s="568">
        <f>254/E191</f>
        <v>60.839051964694185</v>
      </c>
      <c r="L191" s="568"/>
      <c r="M191" s="568"/>
      <c r="N191" s="569">
        <v>0</v>
      </c>
      <c r="O191" s="1271">
        <f>125.76/E191</f>
        <v>30.122516437322606</v>
      </c>
      <c r="P191" s="1496" t="e">
        <f>[1]!Tabel668910[[#This Row],[Total. ch. DW 2015]]+[1]!Tabel668910[[#This Row],[Sew. 2015]]+[1]!Tabel668910[[#This Row],[WW 2015]]+[1]!Tabel668910[[#This Row],[Other ch. 2015]]+[1]!Tabel668910[[#This Row],[VAT 2015]]</f>
        <v>#REF!</v>
      </c>
      <c r="Q191" s="397"/>
      <c r="R191" s="1886"/>
      <c r="S191" s="1888"/>
      <c r="T191" s="1890"/>
      <c r="U191" s="1892"/>
      <c r="V191" s="1894"/>
      <c r="W191" s="1911"/>
      <c r="X191" s="1913"/>
      <c r="Y191" s="1915"/>
      <c r="Z191" s="1832"/>
    </row>
    <row r="192" spans="1:26" ht="15.75" hidden="1" x14ac:dyDescent="0.25">
      <c r="A192" s="2368"/>
      <c r="B192" s="1651"/>
      <c r="C192" s="633" t="s">
        <v>768</v>
      </c>
      <c r="D192" s="2359"/>
      <c r="E192" s="616">
        <f>'[1]exchange rates'!$M$49</f>
        <v>4.1749499999999999</v>
      </c>
      <c r="F192" s="549">
        <v>0</v>
      </c>
      <c r="G192" s="550">
        <f>305/E192</f>
        <v>73.054767122959561</v>
      </c>
      <c r="H192" s="551">
        <v>0</v>
      </c>
      <c r="I192" s="566" t="e">
        <f>[1]!Tabel668910[[#This Row],[Fix.ch. 2015]]+[1]!Tabel668910[[#This Row],[Var. ch. 2015]]+[1]!Tabel668910[[#This Row],[Oth. ch. DW 2015]]</f>
        <v>#REF!</v>
      </c>
      <c r="J192" s="567">
        <v>0</v>
      </c>
      <c r="K192" s="568">
        <f>147/E192</f>
        <v>35.210002515000177</v>
      </c>
      <c r="L192" s="568"/>
      <c r="M192" s="568"/>
      <c r="N192" s="569">
        <v>0</v>
      </c>
      <c r="O192" s="1271">
        <f>108.48/E192</f>
        <v>25.983544713110337</v>
      </c>
      <c r="P192" s="1496" t="e">
        <f>[1]!Tabel668910[[#This Row],[Total. ch. DW 2015]]+[1]!Tabel668910[[#This Row],[Sew. 2015]]+[1]!Tabel668910[[#This Row],[WW 2015]]+[1]!Tabel668910[[#This Row],[Other ch. 2015]]+[1]!Tabel668910[[#This Row],[VAT 2015]]</f>
        <v>#REF!</v>
      </c>
      <c r="Q192" s="397"/>
      <c r="R192" s="1886"/>
      <c r="S192" s="1888"/>
      <c r="T192" s="1890"/>
      <c r="U192" s="1892"/>
      <c r="V192" s="1894"/>
      <c r="W192" s="1911"/>
      <c r="X192" s="1913"/>
      <c r="Y192" s="1915"/>
      <c r="Z192" s="1832"/>
    </row>
    <row r="193" spans="1:26" ht="15.75" hidden="1" x14ac:dyDescent="0.25">
      <c r="A193" s="2368"/>
      <c r="B193" s="1651"/>
      <c r="C193" s="633" t="s">
        <v>769</v>
      </c>
      <c r="D193" s="2359"/>
      <c r="E193" s="616">
        <f>'[1]exchange rates'!$M$49</f>
        <v>4.1749499999999999</v>
      </c>
      <c r="F193" s="549">
        <v>0</v>
      </c>
      <c r="G193" s="550">
        <f>303/E193</f>
        <v>72.575719469694249</v>
      </c>
      <c r="H193" s="551">
        <v>0</v>
      </c>
      <c r="I193" s="566" t="e">
        <f>[1]!Tabel668910[[#This Row],[Fix.ch. 2015]]+[1]!Tabel668910[[#This Row],[Var. ch. 2015]]+[1]!Tabel668910[[#This Row],[Oth. ch. DW 2015]]</f>
        <v>#REF!</v>
      </c>
      <c r="J193" s="567">
        <v>0</v>
      </c>
      <c r="K193" s="568">
        <f>194/E193</f>
        <v>46.467622366734929</v>
      </c>
      <c r="L193" s="568"/>
      <c r="M193" s="568"/>
      <c r="N193" s="569">
        <v>0</v>
      </c>
      <c r="O193" s="1271">
        <f>119.28/E193</f>
        <v>28.570402040743005</v>
      </c>
      <c r="P193" s="1496" t="e">
        <f>[1]!Tabel668910[[#This Row],[Total. ch. DW 2015]]+[1]!Tabel668910[[#This Row],[Sew. 2015]]+[1]!Tabel668910[[#This Row],[WW 2015]]+[1]!Tabel668910[[#This Row],[Other ch. 2015]]+[1]!Tabel668910[[#This Row],[VAT 2015]]</f>
        <v>#REF!</v>
      </c>
      <c r="Q193" s="397"/>
      <c r="R193" s="1886"/>
      <c r="S193" s="1888"/>
      <c r="T193" s="1890"/>
      <c r="U193" s="1892"/>
      <c r="V193" s="1894"/>
      <c r="W193" s="1911"/>
      <c r="X193" s="1913"/>
      <c r="Y193" s="1915"/>
      <c r="Z193" s="1832"/>
    </row>
    <row r="194" spans="1:26" ht="15.75" hidden="1" x14ac:dyDescent="0.25">
      <c r="A194" s="2368"/>
      <c r="B194" s="1651"/>
      <c r="C194" s="633" t="s">
        <v>770</v>
      </c>
      <c r="D194" s="2359"/>
      <c r="E194" s="616">
        <f>'[1]exchange rates'!$M$49</f>
        <v>4.1749499999999999</v>
      </c>
      <c r="F194" s="549">
        <v>0</v>
      </c>
      <c r="G194" s="550">
        <f>298/E194</f>
        <v>71.378100336530977</v>
      </c>
      <c r="H194" s="551">
        <v>0</v>
      </c>
      <c r="I194" s="566" t="e">
        <f>[1]!Tabel668910[[#This Row],[Fix.ch. 2015]]+[1]!Tabel668910[[#This Row],[Var. ch. 2015]]+[1]!Tabel668910[[#This Row],[Oth. ch. DW 2015]]</f>
        <v>#REF!</v>
      </c>
      <c r="J194" s="567">
        <v>0</v>
      </c>
      <c r="K194" s="568">
        <f>138/E194</f>
        <v>33.054288075306289</v>
      </c>
      <c r="L194" s="568"/>
      <c r="M194" s="568"/>
      <c r="N194" s="569">
        <v>0</v>
      </c>
      <c r="O194" s="1271">
        <f>104.64/E194</f>
        <v>25.063773218840943</v>
      </c>
      <c r="P194" s="1496" t="e">
        <f>[1]!Tabel668910[[#This Row],[Total. ch. DW 2015]]+[1]!Tabel668910[[#This Row],[Sew. 2015]]+[1]!Tabel668910[[#This Row],[WW 2015]]+[1]!Tabel668910[[#This Row],[Other ch. 2015]]+[1]!Tabel668910[[#This Row],[VAT 2015]]</f>
        <v>#REF!</v>
      </c>
      <c r="Q194" s="397"/>
      <c r="R194" s="1886"/>
      <c r="S194" s="1888"/>
      <c r="T194" s="1890"/>
      <c r="U194" s="1892"/>
      <c r="V194" s="1894"/>
      <c r="W194" s="1911"/>
      <c r="X194" s="1913"/>
      <c r="Y194" s="1915"/>
      <c r="Z194" s="1832"/>
    </row>
    <row r="195" spans="1:26" ht="15.75" hidden="1" x14ac:dyDescent="0.25">
      <c r="A195" s="2368"/>
      <c r="B195" s="1651"/>
      <c r="C195" s="633" t="s">
        <v>771</v>
      </c>
      <c r="D195" s="2359"/>
      <c r="E195" s="616">
        <f>'[1]exchange rates'!$M$49</f>
        <v>4.1749499999999999</v>
      </c>
      <c r="F195" s="549">
        <v>0</v>
      </c>
      <c r="G195" s="550">
        <f>306/E195</f>
        <v>73.294290949592209</v>
      </c>
      <c r="H195" s="551">
        <v>0</v>
      </c>
      <c r="I195" s="566" t="e">
        <f>[1]!Tabel668910[[#This Row],[Fix.ch. 2015]]+[1]!Tabel668910[[#This Row],[Var. ch. 2015]]+[1]!Tabel668910[[#This Row],[Oth. ch. DW 2015]]</f>
        <v>#REF!</v>
      </c>
      <c r="J195" s="567">
        <v>0</v>
      </c>
      <c r="K195" s="568">
        <f>206/E195</f>
        <v>49.341908286326785</v>
      </c>
      <c r="L195" s="568"/>
      <c r="M195" s="568"/>
      <c r="N195" s="569">
        <v>0</v>
      </c>
      <c r="O195" s="1271">
        <f>122.88/E195</f>
        <v>29.432687816620557</v>
      </c>
      <c r="P195" s="1496" t="e">
        <f>[1]!Tabel668910[[#This Row],[Total. ch. DW 2015]]+[1]!Tabel668910[[#This Row],[Sew. 2015]]+[1]!Tabel668910[[#This Row],[WW 2015]]+[1]!Tabel668910[[#This Row],[Other ch. 2015]]+[1]!Tabel668910[[#This Row],[VAT 2015]]</f>
        <v>#REF!</v>
      </c>
      <c r="Q195" s="397"/>
      <c r="R195" s="1886"/>
      <c r="S195" s="1888"/>
      <c r="T195" s="1890"/>
      <c r="U195" s="1892"/>
      <c r="V195" s="1894"/>
      <c r="W195" s="1911"/>
      <c r="X195" s="1913"/>
      <c r="Y195" s="1915"/>
      <c r="Z195" s="1832"/>
    </row>
    <row r="196" spans="1:26" ht="15.75" hidden="1" x14ac:dyDescent="0.25">
      <c r="A196" s="2368"/>
      <c r="B196" s="1651"/>
      <c r="C196" s="633" t="s">
        <v>772</v>
      </c>
      <c r="D196" s="2359"/>
      <c r="E196" s="616">
        <f>'[1]exchange rates'!$M$49</f>
        <v>4.1749499999999999</v>
      </c>
      <c r="F196" s="549">
        <v>0</v>
      </c>
      <c r="G196" s="550">
        <f>385/E196</f>
        <v>92.216673253571898</v>
      </c>
      <c r="H196" s="551">
        <v>0</v>
      </c>
      <c r="I196" s="566" t="e">
        <f>[1]!Tabel668910[[#This Row],[Fix.ch. 2015]]+[1]!Tabel668910[[#This Row],[Var. ch. 2015]]+[1]!Tabel668910[[#This Row],[Oth. ch. DW 2015]]</f>
        <v>#REF!</v>
      </c>
      <c r="J196" s="567">
        <v>0</v>
      </c>
      <c r="K196" s="568">
        <f>173/E196</f>
        <v>41.437622007449193</v>
      </c>
      <c r="L196" s="568"/>
      <c r="M196" s="568"/>
      <c r="N196" s="569">
        <v>0</v>
      </c>
      <c r="O196" s="1271">
        <f>133.92/E196</f>
        <v>32.07703086264506</v>
      </c>
      <c r="P196" s="1496" t="e">
        <f>[1]!Tabel668910[[#This Row],[Total. ch. DW 2015]]+[1]!Tabel668910[[#This Row],[Sew. 2015]]+[1]!Tabel668910[[#This Row],[WW 2015]]+[1]!Tabel668910[[#This Row],[Other ch. 2015]]+[1]!Tabel668910[[#This Row],[VAT 2015]]</f>
        <v>#REF!</v>
      </c>
      <c r="Q196" s="397"/>
      <c r="R196" s="1886"/>
      <c r="S196" s="1888"/>
      <c r="T196" s="1890"/>
      <c r="U196" s="1892"/>
      <c r="V196" s="1894"/>
      <c r="W196" s="1911"/>
      <c r="X196" s="1913"/>
      <c r="Y196" s="1915"/>
      <c r="Z196" s="1832"/>
    </row>
    <row r="197" spans="1:26" ht="16.5" hidden="1" thickBot="1" x14ac:dyDescent="0.3">
      <c r="A197" s="2369"/>
      <c r="B197" s="1651"/>
      <c r="C197" s="1294" t="s">
        <v>598</v>
      </c>
      <c r="D197" s="2349"/>
      <c r="E197" s="616">
        <f>'[1]exchange rates'!$M$49</f>
        <v>4.1749499999999999</v>
      </c>
      <c r="F197" s="319"/>
      <c r="G197" s="320"/>
      <c r="H197" s="321"/>
      <c r="I197" s="313"/>
      <c r="J197" s="322"/>
      <c r="K197" s="323"/>
      <c r="L197" s="323"/>
      <c r="M197" s="323"/>
      <c r="N197" s="324"/>
      <c r="O197" s="1258"/>
      <c r="P197" s="1491"/>
      <c r="Q197" s="397"/>
      <c r="R197" s="1970"/>
      <c r="S197" s="1973"/>
      <c r="T197" s="1976"/>
      <c r="U197" s="1979"/>
      <c r="V197" s="1982"/>
      <c r="W197" s="1956"/>
      <c r="X197" s="1959"/>
      <c r="Y197" s="1962"/>
      <c r="Z197" s="1965"/>
    </row>
    <row r="198" spans="1:26" ht="19.5" hidden="1" thickBot="1" x14ac:dyDescent="0.3">
      <c r="A198" s="1169" t="s">
        <v>693</v>
      </c>
      <c r="B198" s="1213"/>
      <c r="C198" s="1295" t="s">
        <v>694</v>
      </c>
      <c r="D198" s="1543">
        <v>23700</v>
      </c>
      <c r="E198" s="616">
        <f>'[1]exchange rates'!M50</f>
        <v>72.996619999999993</v>
      </c>
      <c r="F198" s="549">
        <v>0</v>
      </c>
      <c r="G198" s="550">
        <f>2532/E198</f>
        <v>34.686537541053276</v>
      </c>
      <c r="H198" s="551">
        <f>227/E198</f>
        <v>3.1097330259949025</v>
      </c>
      <c r="I198" s="566">
        <f>Tabel668910192832[[#This Row],[Fix.ch. 2015]]+Tabel668910192832[[#This Row],[Var. ch. 2015]]+Tabel668910192832[[#This Row],[Oth. ch. DW 2015]]</f>
        <v>37.796270567048182</v>
      </c>
      <c r="J198" s="567">
        <f>2200/E198</f>
        <v>30.138381749730332</v>
      </c>
      <c r="K198" s="568">
        <v>0</v>
      </c>
      <c r="L198" s="568"/>
      <c r="M198" s="568"/>
      <c r="N198" s="569">
        <f>371/E198</f>
        <v>5.0824271041590698</v>
      </c>
      <c r="O198" s="1271">
        <v>0</v>
      </c>
      <c r="P198" s="1496">
        <f>Tabel668910192832[[#This Row],[Total. ch. DW 2015]]+Tabel668910192832[[#This Row],[Sew. 2015]]+Tabel668910192832[[#This Row],[WW 2015]]+Tabel668910192832[[#This Row],[Other ch. 2015]]+Tabel668910192832[[#This Row],[VAT 2015]]</f>
        <v>73.017079420937577</v>
      </c>
      <c r="Q198" s="397"/>
      <c r="R198" s="1195">
        <f>Tabel668910192832[[#This Row],[Fix.ch. 2015]]</f>
        <v>0</v>
      </c>
      <c r="S198" s="1196">
        <f>Tabel668910192832[[#This Row],[Var. ch. 2015]]</f>
        <v>34.686537541053276</v>
      </c>
      <c r="T198" s="1197">
        <f>Tabel668910192832[[#This Row],[Oth. ch. DW 2015]]</f>
        <v>3.1097330259949025</v>
      </c>
      <c r="U198" s="1198">
        <f>Tabel668910192832[[#This Row],[Total. ch. DW 2015]]</f>
        <v>37.796270567048182</v>
      </c>
      <c r="V198" s="1199">
        <f>Tabel668910192832[[#This Row],[Sew. 2015]]</f>
        <v>30.138381749730332</v>
      </c>
      <c r="W198" s="1201">
        <f>Tabel668910192832[[#This Row],[WW 2015]]</f>
        <v>0</v>
      </c>
      <c r="X198" s="1202">
        <f>Tabel668910192832[[#This Row],[Other ch. 2015]]</f>
        <v>5.0824271041590698</v>
      </c>
      <c r="Y198" s="1203">
        <f>Tabel668910192832[[#This Row],[VAT 2015]]</f>
        <v>0</v>
      </c>
      <c r="Z198" s="1182">
        <f>Tabel668910192832[[#This Row],[total charge 2015]]</f>
        <v>73.017079420937577</v>
      </c>
    </row>
    <row r="199" spans="1:26" ht="18.75" hidden="1" customHeight="1" x14ac:dyDescent="0.25">
      <c r="A199" s="1818" t="s">
        <v>47</v>
      </c>
      <c r="B199" s="1213"/>
      <c r="C199" s="543" t="s">
        <v>204</v>
      </c>
      <c r="D199" s="2347">
        <v>41200</v>
      </c>
      <c r="E199" s="617">
        <f>'[1]exchange rates'!$M$51</f>
        <v>0.67854999999999999</v>
      </c>
      <c r="F199" s="549">
        <v>0</v>
      </c>
      <c r="G199" s="550">
        <v>0</v>
      </c>
      <c r="H199" s="551">
        <f>126.78/E199</f>
        <v>186.83958440792867</v>
      </c>
      <c r="I199" s="566">
        <f>Tabel668910192832[[#This Row],[Fix.ch. 2015]]+Tabel668910192832[[#This Row],[Var. ch. 2015]]+Tabel668910192832[[#This Row],[Oth. ch. DW 2015]]</f>
        <v>186.83958440792867</v>
      </c>
      <c r="J199" s="567">
        <f>0</f>
        <v>0</v>
      </c>
      <c r="K199" s="568">
        <f>147.12/E199</f>
        <v>216.81526785056371</v>
      </c>
      <c r="L199" s="568"/>
      <c r="M199" s="568"/>
      <c r="N199" s="569">
        <v>0</v>
      </c>
      <c r="O199" s="1271">
        <v>0</v>
      </c>
      <c r="P199" s="1496">
        <f>Tabel668910192832[[#This Row],[Total. ch. DW 2015]]+Tabel668910192832[[#This Row],[Sew. 2015]]+Tabel668910192832[[#This Row],[WW 2015]]+Tabel668910192832[[#This Row],[Other ch. 2015]]+Tabel668910192832[[#This Row],[VAT 2015]]</f>
        <v>403.65485225849238</v>
      </c>
      <c r="Q199" s="397"/>
      <c r="R199" s="2344">
        <f t="shared" ref="R199:W199" si="50">SUM(F199:F206)/8</f>
        <v>0</v>
      </c>
      <c r="S199" s="2345">
        <f t="shared" si="50"/>
        <v>0</v>
      </c>
      <c r="T199" s="2350">
        <f t="shared" si="50"/>
        <v>338.64674673937077</v>
      </c>
      <c r="U199" s="2340">
        <f t="shared" si="50"/>
        <v>338.64674673937077</v>
      </c>
      <c r="V199" s="2351">
        <f t="shared" si="50"/>
        <v>0</v>
      </c>
      <c r="W199" s="2352">
        <f t="shared" si="50"/>
        <v>392.97767297914675</v>
      </c>
      <c r="X199" s="2341">
        <f t="shared" ref="X199:Z199" si="51">SUM(N199:N206)/8</f>
        <v>0</v>
      </c>
      <c r="Y199" s="2342">
        <f t="shared" si="51"/>
        <v>0</v>
      </c>
      <c r="Z199" s="2339">
        <f t="shared" si="51"/>
        <v>731.6244197185174</v>
      </c>
    </row>
    <row r="200" spans="1:26" ht="15.75" hidden="1" x14ac:dyDescent="0.25">
      <c r="A200" s="2294"/>
      <c r="B200" s="1213"/>
      <c r="C200" s="1293" t="s">
        <v>205</v>
      </c>
      <c r="D200" s="2359"/>
      <c r="E200" s="617">
        <f>'[1]exchange rates'!$M$51</f>
        <v>0.67854999999999999</v>
      </c>
      <c r="F200" s="549">
        <v>0</v>
      </c>
      <c r="G200" s="550">
        <v>0</v>
      </c>
      <c r="H200" s="551">
        <f>147.91/E200</f>
        <v>217.97951514258344</v>
      </c>
      <c r="I200" s="566">
        <f>Tabel668910192832[[#This Row],[Fix.ch. 2015]]+Tabel668910192832[[#This Row],[Var. ch. 2015]]+Tabel668910192832[[#This Row],[Oth. ch. DW 2015]]</f>
        <v>217.97951514258344</v>
      </c>
      <c r="J200" s="567">
        <f>0</f>
        <v>0</v>
      </c>
      <c r="K200" s="568">
        <f>171.64/E200</f>
        <v>252.95114582565765</v>
      </c>
      <c r="L200" s="568"/>
      <c r="M200" s="568"/>
      <c r="N200" s="569">
        <v>0</v>
      </c>
      <c r="O200" s="1271">
        <v>0</v>
      </c>
      <c r="P200" s="1496">
        <f>Tabel668910192832[[#This Row],[Total. ch. DW 2015]]+Tabel668910192832[[#This Row],[Sew. 2015]]+Tabel668910192832[[#This Row],[WW 2015]]+Tabel668910192832[[#This Row],[Other ch. 2015]]+Tabel668910192832[[#This Row],[VAT 2015]]</f>
        <v>470.93066096824111</v>
      </c>
      <c r="Q200" s="397"/>
      <c r="R200" s="1886"/>
      <c r="S200" s="1888"/>
      <c r="T200" s="1890"/>
      <c r="U200" s="1892"/>
      <c r="V200" s="1894"/>
      <c r="W200" s="1911"/>
      <c r="X200" s="1913"/>
      <c r="Y200" s="1915"/>
      <c r="Z200" s="1832"/>
    </row>
    <row r="201" spans="1:26" ht="15.75" hidden="1" x14ac:dyDescent="0.25">
      <c r="A201" s="2294"/>
      <c r="B201" s="1213"/>
      <c r="C201" s="1293" t="s">
        <v>206</v>
      </c>
      <c r="D201" s="2359"/>
      <c r="E201" s="617">
        <f>'[1]exchange rates'!$M$51</f>
        <v>0.67854999999999999</v>
      </c>
      <c r="F201" s="549">
        <v>0</v>
      </c>
      <c r="G201" s="550">
        <v>0</v>
      </c>
      <c r="H201" s="551">
        <f>169.04/E201</f>
        <v>249.11944587723823</v>
      </c>
      <c r="I201" s="566">
        <f>Tabel668910192832[[#This Row],[Fix.ch. 2015]]+Tabel668910192832[[#This Row],[Var. ch. 2015]]+Tabel668910192832[[#This Row],[Oth. ch. DW 2015]]</f>
        <v>249.11944587723823</v>
      </c>
      <c r="J201" s="567">
        <f>0</f>
        <v>0</v>
      </c>
      <c r="K201" s="568">
        <f>196.16/E201</f>
        <v>289.08702380075158</v>
      </c>
      <c r="L201" s="568"/>
      <c r="M201" s="568"/>
      <c r="N201" s="569">
        <v>0</v>
      </c>
      <c r="O201" s="1271">
        <v>0</v>
      </c>
      <c r="P201" s="1544">
        <f>Tabel668910192832[[#This Row],[Total. ch. DW 2015]]+Tabel668910192832[[#This Row],[Sew. 2015]]+Tabel668910192832[[#This Row],[WW 2015]]+Tabel668910192832[[#This Row],[Other ch. 2015]]+Tabel668910192832[[#This Row],[VAT 2015]]</f>
        <v>538.20646967798984</v>
      </c>
      <c r="Q201" s="397"/>
      <c r="R201" s="1886"/>
      <c r="S201" s="1888"/>
      <c r="T201" s="1890"/>
      <c r="U201" s="1892"/>
      <c r="V201" s="1894"/>
      <c r="W201" s="1911"/>
      <c r="X201" s="1913"/>
      <c r="Y201" s="1915"/>
      <c r="Z201" s="1832"/>
    </row>
    <row r="202" spans="1:26" ht="15.75" hidden="1" x14ac:dyDescent="0.25">
      <c r="A202" s="2294"/>
      <c r="B202" s="1213"/>
      <c r="C202" s="1293" t="s">
        <v>207</v>
      </c>
      <c r="D202" s="2359"/>
      <c r="E202" s="617">
        <f>'[1]exchange rates'!$M$51</f>
        <v>0.67854999999999999</v>
      </c>
      <c r="F202" s="549">
        <v>0</v>
      </c>
      <c r="G202" s="550">
        <v>0</v>
      </c>
      <c r="H202" s="551">
        <f>190.17/E202</f>
        <v>280.259376611893</v>
      </c>
      <c r="I202" s="566">
        <f>Tabel668910192832[[#This Row],[Fix.ch. 2015]]+Tabel668910192832[[#This Row],[Var. ch. 2015]]+Tabel668910192832[[#This Row],[Oth. ch. DW 2015]]</f>
        <v>280.259376611893</v>
      </c>
      <c r="J202" s="567">
        <f>0</f>
        <v>0</v>
      </c>
      <c r="K202" s="568">
        <f>220.68/E202</f>
        <v>325.22290177584557</v>
      </c>
      <c r="L202" s="568"/>
      <c r="M202" s="568"/>
      <c r="N202" s="569">
        <v>0</v>
      </c>
      <c r="O202" s="1271">
        <v>0</v>
      </c>
      <c r="P202" s="1496">
        <f>Tabel668910192832[[#This Row],[Total. ch. DW 2015]]+Tabel668910192832[[#This Row],[Sew. 2015]]+Tabel668910192832[[#This Row],[WW 2015]]+Tabel668910192832[[#This Row],[Other ch. 2015]]+Tabel668910192832[[#This Row],[VAT 2015]]</f>
        <v>605.48227838773857</v>
      </c>
      <c r="Q202" s="397"/>
      <c r="R202" s="1886"/>
      <c r="S202" s="1888"/>
      <c r="T202" s="1890"/>
      <c r="U202" s="1892"/>
      <c r="V202" s="1894"/>
      <c r="W202" s="1911"/>
      <c r="X202" s="1913"/>
      <c r="Y202" s="1915"/>
      <c r="Z202" s="1832"/>
    </row>
    <row r="203" spans="1:26" ht="15.75" hidden="1" x14ac:dyDescent="0.25">
      <c r="A203" s="2294"/>
      <c r="B203" s="1213"/>
      <c r="C203" s="1293" t="s">
        <v>208</v>
      </c>
      <c r="D203" s="2359"/>
      <c r="E203" s="617">
        <f>'[1]exchange rates'!$M$51</f>
        <v>0.67854999999999999</v>
      </c>
      <c r="F203" s="549">
        <v>0</v>
      </c>
      <c r="G203" s="550">
        <v>0</v>
      </c>
      <c r="H203" s="551">
        <f>232.43/E203</f>
        <v>342.5392380812026</v>
      </c>
      <c r="I203" s="566">
        <f>Tabel668910192832[[#This Row],[Fix.ch. 2015]]+Tabel668910192832[[#This Row],[Var. ch. 2015]]+Tabel668910192832[[#This Row],[Oth. ch. DW 2015]]</f>
        <v>342.5392380812026</v>
      </c>
      <c r="J203" s="567">
        <f>0</f>
        <v>0</v>
      </c>
      <c r="K203" s="568">
        <f>269.72/E203</f>
        <v>397.49465772603349</v>
      </c>
      <c r="L203" s="568"/>
      <c r="M203" s="568"/>
      <c r="N203" s="569">
        <v>0</v>
      </c>
      <c r="O203" s="1271">
        <v>0</v>
      </c>
      <c r="P203" s="1496">
        <f>Tabel668910192832[[#This Row],[Total. ch. DW 2015]]+Tabel668910192832[[#This Row],[Sew. 2015]]+Tabel668910192832[[#This Row],[WW 2015]]+Tabel668910192832[[#This Row],[Other ch. 2015]]+Tabel668910192832[[#This Row],[VAT 2015]]</f>
        <v>740.03389580723615</v>
      </c>
      <c r="Q203" s="397"/>
      <c r="R203" s="1886"/>
      <c r="S203" s="1888"/>
      <c r="T203" s="1890"/>
      <c r="U203" s="1892"/>
      <c r="V203" s="1894"/>
      <c r="W203" s="1911"/>
      <c r="X203" s="1913"/>
      <c r="Y203" s="1915"/>
      <c r="Z203" s="1832"/>
    </row>
    <row r="204" spans="1:26" ht="15.75" hidden="1" x14ac:dyDescent="0.25">
      <c r="A204" s="2294"/>
      <c r="B204" s="1213"/>
      <c r="C204" s="1293" t="s">
        <v>209</v>
      </c>
      <c r="D204" s="2359"/>
      <c r="E204" s="617">
        <f>'[1]exchange rates'!$M$51</f>
        <v>0.67854999999999999</v>
      </c>
      <c r="F204" s="549">
        <v>0</v>
      </c>
      <c r="G204" s="550">
        <v>0</v>
      </c>
      <c r="H204" s="551">
        <f>274.69/E204</f>
        <v>404.81909955051214</v>
      </c>
      <c r="I204" s="566">
        <f>Tabel668910192832[[#This Row],[Fix.ch. 2015]]+Tabel668910192832[[#This Row],[Var. ch. 2015]]+Tabel668910192832[[#This Row],[Oth. ch. DW 2015]]</f>
        <v>404.81909955051214</v>
      </c>
      <c r="J204" s="567">
        <f>0</f>
        <v>0</v>
      </c>
      <c r="K204" s="568">
        <f>318.76/E204</f>
        <v>469.76641367622136</v>
      </c>
      <c r="L204" s="568"/>
      <c r="M204" s="568"/>
      <c r="N204" s="569">
        <v>0</v>
      </c>
      <c r="O204" s="1271">
        <v>0</v>
      </c>
      <c r="P204" s="1496">
        <f>Tabel668910192832[[#This Row],[Total. ch. DW 2015]]+Tabel668910192832[[#This Row],[Sew. 2015]]+Tabel668910192832[[#This Row],[WW 2015]]+Tabel668910192832[[#This Row],[Other ch. 2015]]+Tabel668910192832[[#This Row],[VAT 2015]]</f>
        <v>874.5855132267335</v>
      </c>
      <c r="Q204" s="397"/>
      <c r="R204" s="1886"/>
      <c r="S204" s="1888"/>
      <c r="T204" s="1890"/>
      <c r="U204" s="1892"/>
      <c r="V204" s="1894"/>
      <c r="W204" s="1911"/>
      <c r="X204" s="1913"/>
      <c r="Y204" s="1915"/>
      <c r="Z204" s="1832"/>
    </row>
    <row r="205" spans="1:26" ht="15.75" hidden="1" x14ac:dyDescent="0.25">
      <c r="A205" s="2294"/>
      <c r="B205" s="1213"/>
      <c r="C205" s="1293" t="s">
        <v>210</v>
      </c>
      <c r="D205" s="2359"/>
      <c r="E205" s="617">
        <f>'[1]exchange rates'!$M$51</f>
        <v>0.67854999999999999</v>
      </c>
      <c r="F205" s="549">
        <v>0</v>
      </c>
      <c r="G205" s="550">
        <v>0</v>
      </c>
      <c r="H205" s="551">
        <f>316.95/E205</f>
        <v>467.09896101982167</v>
      </c>
      <c r="I205" s="566">
        <f>Tabel668910192832[[#This Row],[Fix.ch. 2015]]+Tabel668910192832[[#This Row],[Var. ch. 2015]]+Tabel668910192832[[#This Row],[Oth. ch. DW 2015]]</f>
        <v>467.09896101982167</v>
      </c>
      <c r="J205" s="567">
        <f>0</f>
        <v>0</v>
      </c>
      <c r="K205" s="568">
        <f>367.8/E205</f>
        <v>542.03816962640929</v>
      </c>
      <c r="L205" s="568"/>
      <c r="M205" s="568"/>
      <c r="N205" s="569">
        <v>0</v>
      </c>
      <c r="O205" s="1271">
        <v>0</v>
      </c>
      <c r="P205" s="1496">
        <f>Tabel668910192832[[#This Row],[Total. ch. DW 2015]]+Tabel668910192832[[#This Row],[Sew. 2015]]+Tabel668910192832[[#This Row],[WW 2015]]+Tabel668910192832[[#This Row],[Other ch. 2015]]+Tabel668910192832[[#This Row],[VAT 2015]]</f>
        <v>1009.137130646231</v>
      </c>
      <c r="Q205" s="397"/>
      <c r="R205" s="1886"/>
      <c r="S205" s="1888"/>
      <c r="T205" s="1890"/>
      <c r="U205" s="1892"/>
      <c r="V205" s="1894"/>
      <c r="W205" s="1911"/>
      <c r="X205" s="1913"/>
      <c r="Y205" s="1915"/>
      <c r="Z205" s="1832"/>
    </row>
    <row r="206" spans="1:26" ht="16.5" hidden="1" thickBot="1" x14ac:dyDescent="0.3">
      <c r="A206" s="2295"/>
      <c r="B206" s="1213"/>
      <c r="C206" s="1305" t="s">
        <v>211</v>
      </c>
      <c r="D206" s="2366"/>
      <c r="E206" s="617">
        <f>'[1]exchange rates'!$M$51</f>
        <v>0.67854999999999999</v>
      </c>
      <c r="F206" s="549">
        <v>0</v>
      </c>
      <c r="G206" s="550">
        <v>0</v>
      </c>
      <c r="H206" s="551">
        <f>380.34/E206</f>
        <v>560.51875322378601</v>
      </c>
      <c r="I206" s="566">
        <f>Tabel668910192832[[#This Row],[Fix.ch. 2015]]+Tabel668910192832[[#This Row],[Var. ch. 2015]]+Tabel668910192832[[#This Row],[Oth. ch. DW 2015]]</f>
        <v>560.51875322378601</v>
      </c>
      <c r="J206" s="567">
        <f>0</f>
        <v>0</v>
      </c>
      <c r="K206" s="568">
        <f>441.36/E206</f>
        <v>650.44580355169114</v>
      </c>
      <c r="L206" s="568"/>
      <c r="M206" s="568"/>
      <c r="N206" s="569">
        <v>0</v>
      </c>
      <c r="O206" s="1271">
        <v>0</v>
      </c>
      <c r="P206" s="1496">
        <f>Tabel668910192832[[#This Row],[Total. ch. DW 2015]]+Tabel668910192832[[#This Row],[Sew. 2015]]+Tabel668910192832[[#This Row],[WW 2015]]+Tabel668910192832[[#This Row],[Other ch. 2015]]+Tabel668910192832[[#This Row],[VAT 2015]]</f>
        <v>1210.9645567754771</v>
      </c>
      <c r="Q206" s="397"/>
      <c r="R206" s="1970"/>
      <c r="S206" s="1973"/>
      <c r="T206" s="1976"/>
      <c r="U206" s="1979"/>
      <c r="V206" s="1982"/>
      <c r="W206" s="1956"/>
      <c r="X206" s="1959"/>
      <c r="Y206" s="1962"/>
      <c r="Z206" s="1965"/>
    </row>
    <row r="207" spans="1:26" ht="15.75" hidden="1" x14ac:dyDescent="0.25">
      <c r="A207" s="2150" t="s">
        <v>41</v>
      </c>
      <c r="B207" s="1617"/>
      <c r="C207" s="1289" t="s">
        <v>192</v>
      </c>
      <c r="D207" s="1545"/>
      <c r="E207" s="306"/>
      <c r="F207" s="319"/>
      <c r="G207" s="320"/>
      <c r="H207" s="321"/>
      <c r="I207" s="313">
        <f>Tabel668910192832[[#This Row],[Fix.ch. 2015]]+Tabel668910192832[[#This Row],[Var. ch. 2015]]+Tabel668910192832[[#This Row],[Oth. ch. DW 2015]]</f>
        <v>0</v>
      </c>
      <c r="J207" s="322"/>
      <c r="K207" s="323"/>
      <c r="L207" s="323"/>
      <c r="M207" s="323"/>
      <c r="N207" s="324"/>
      <c r="O207" s="1258"/>
      <c r="P207" s="1491">
        <f>Tabel668910192832[[#This Row],[Total. ch. DW 2015]]+Tabel668910192832[[#This Row],[Sew. 2015]]+Tabel668910192832[[#This Row],[WW 2015]]+Tabel668910192832[[#This Row],[Other ch. 2015]]+Tabel668910192832[[#This Row],[VAT 2015]]</f>
        <v>0</v>
      </c>
      <c r="Q207" s="397"/>
      <c r="R207" s="349"/>
      <c r="S207" s="350"/>
      <c r="T207" s="351"/>
      <c r="U207" s="352"/>
      <c r="V207" s="353"/>
      <c r="W207" s="354"/>
      <c r="X207" s="355"/>
      <c r="Y207" s="356"/>
      <c r="Z207" s="357"/>
    </row>
    <row r="208" spans="1:26" ht="15.75" hidden="1" x14ac:dyDescent="0.25">
      <c r="A208" s="2151"/>
      <c r="B208" s="1617"/>
      <c r="C208" s="1289" t="s">
        <v>193</v>
      </c>
      <c r="D208" s="1546"/>
      <c r="E208" s="306"/>
      <c r="F208" s="319"/>
      <c r="G208" s="320"/>
      <c r="H208" s="321"/>
      <c r="I208" s="313">
        <f>Tabel668910192832[[#This Row],[Fix.ch. 2015]]+Tabel668910192832[[#This Row],[Var. ch. 2015]]+Tabel668910192832[[#This Row],[Oth. ch. DW 2015]]</f>
        <v>0</v>
      </c>
      <c r="J208" s="322"/>
      <c r="K208" s="323"/>
      <c r="L208" s="323"/>
      <c r="M208" s="323"/>
      <c r="N208" s="324"/>
      <c r="O208" s="1258"/>
      <c r="P208" s="1491">
        <f>Tabel668910192832[[#This Row],[Total. ch. DW 2015]]+Tabel668910192832[[#This Row],[Sew. 2015]]+Tabel668910192832[[#This Row],[WW 2015]]+Tabel668910192832[[#This Row],[Other ch. 2015]]+Tabel668910192832[[#This Row],[VAT 2015]]</f>
        <v>0</v>
      </c>
      <c r="Q208" s="397"/>
      <c r="R208" s="358"/>
      <c r="S208" s="359"/>
      <c r="T208" s="360"/>
      <c r="U208" s="361"/>
      <c r="V208" s="362"/>
      <c r="W208" s="363"/>
      <c r="X208" s="364"/>
      <c r="Y208" s="365"/>
      <c r="Z208" s="366"/>
    </row>
    <row r="209" spans="1:26" ht="16.5" hidden="1" thickBot="1" x14ac:dyDescent="0.3">
      <c r="A209" s="2152"/>
      <c r="B209" s="1617"/>
      <c r="C209" s="294" t="s">
        <v>194</v>
      </c>
      <c r="D209" s="1547"/>
      <c r="E209" s="307"/>
      <c r="F209" s="319"/>
      <c r="G209" s="320"/>
      <c r="H209" s="321"/>
      <c r="I209" s="313">
        <f>Tabel668910192832[[#This Row],[Fix.ch. 2015]]+Tabel668910192832[[#This Row],[Var. ch. 2015]]+Tabel668910192832[[#This Row],[Oth. ch. DW 2015]]</f>
        <v>0</v>
      </c>
      <c r="J209" s="322"/>
      <c r="K209" s="323"/>
      <c r="L209" s="323"/>
      <c r="M209" s="323"/>
      <c r="N209" s="324"/>
      <c r="O209" s="1258"/>
      <c r="P209" s="1491">
        <f>Tabel668910192832[[#This Row],[Total. ch. DW 2015]]+Tabel668910192832[[#This Row],[Sew. 2015]]+Tabel668910192832[[#This Row],[WW 2015]]+Tabel668910192832[[#This Row],[Other ch. 2015]]+Tabel668910192832[[#This Row],[VAT 2015]]</f>
        <v>0</v>
      </c>
      <c r="Q209" s="397"/>
      <c r="R209" s="367"/>
      <c r="S209" s="368"/>
      <c r="T209" s="369"/>
      <c r="U209" s="370"/>
      <c r="V209" s="371"/>
      <c r="W209" s="372"/>
      <c r="X209" s="373"/>
      <c r="Y209" s="374"/>
      <c r="Z209" s="375"/>
    </row>
    <row r="210" spans="1:26" ht="19.5" hidden="1" thickBot="1" x14ac:dyDescent="0.35">
      <c r="A210" s="267" t="s">
        <v>42</v>
      </c>
      <c r="B210" s="1616"/>
      <c r="C210" s="1237" t="s">
        <v>42</v>
      </c>
      <c r="D210" s="1542"/>
      <c r="E210" s="306">
        <v>1.2966299999999999</v>
      </c>
      <c r="F210" s="319">
        <v>0</v>
      </c>
      <c r="G210" s="320">
        <f>117/E210</f>
        <v>90.233914069549527</v>
      </c>
      <c r="H210" s="321">
        <f>35.1/E210</f>
        <v>27.07017422086486</v>
      </c>
      <c r="I210" s="313">
        <f>Tabel668910192832[[#This Row],[Fix.ch. 2015]]+Tabel668910192832[[#This Row],[Var. ch. 2015]]+Tabel668910192832[[#This Row],[Oth. ch. DW 2015]]</f>
        <v>117.30408829041438</v>
      </c>
      <c r="J210" s="322">
        <v>0</v>
      </c>
      <c r="K210" s="323">
        <f>28.03/E210</f>
        <v>21.617577874952765</v>
      </c>
      <c r="L210" s="323"/>
      <c r="M210" s="323"/>
      <c r="N210" s="324">
        <f>67.29/E210</f>
        <v>51.896069040512721</v>
      </c>
      <c r="O210" s="1258">
        <f>17.32/E210</f>
        <v>13.35770420243246</v>
      </c>
      <c r="P210" s="1491">
        <f>Tabel668910192832[[#This Row],[Total. ch. DW 2015]]+Tabel668910192832[[#This Row],[Sew. 2015]]+Tabel668910192832[[#This Row],[WW 2015]]+Tabel668910192832[[#This Row],[Other ch. 2015]]+Tabel668910192832[[#This Row],[VAT 2015]]</f>
        <v>204.17543940831234</v>
      </c>
      <c r="Q210" s="397"/>
      <c r="R210" s="1228">
        <f>Tabel668910192832[[#This Row],[Fix.ch. 2015]]</f>
        <v>0</v>
      </c>
      <c r="S210" s="1229">
        <f>Tabel668910192832[[#This Row],[Var. ch. 2015]]</f>
        <v>90.233914069549527</v>
      </c>
      <c r="T210" s="1230">
        <f>Tabel668910192832[[#This Row],[Oth. ch. DW 2015]]</f>
        <v>27.07017422086486</v>
      </c>
      <c r="U210" s="1231">
        <f>Tabel668910192832[[#This Row],[Total. ch. DW 2015]]</f>
        <v>117.30408829041438</v>
      </c>
      <c r="V210" s="1232">
        <f>Tabel668910192832[[#This Row],[Sew. 2015]]</f>
        <v>0</v>
      </c>
      <c r="W210" s="1233">
        <f>Tabel668910192832[[#This Row],[WW 2015]]</f>
        <v>21.617577874952765</v>
      </c>
      <c r="X210" s="1234">
        <f>Tabel668910192832[[#This Row],[Other ch. 2015]]</f>
        <v>51.896069040512721</v>
      </c>
      <c r="Y210" s="1235">
        <f>Tabel668910192832[[#This Row],[VAT 2015]]</f>
        <v>13.35770420243246</v>
      </c>
      <c r="Z210" s="1236">
        <f>Tabel668910192832[[#This Row],[total charge 2015]]</f>
        <v>204.17543940831234</v>
      </c>
    </row>
    <row r="211" spans="1:26" ht="15.75" hidden="1" x14ac:dyDescent="0.25">
      <c r="A211" s="1833" t="s">
        <v>24</v>
      </c>
      <c r="B211" s="1617"/>
      <c r="C211" s="1515" t="s">
        <v>140</v>
      </c>
      <c r="D211" s="1545"/>
      <c r="E211" s="307">
        <v>0.77166999999999997</v>
      </c>
      <c r="F211" s="319">
        <f>0.83*100/E211</f>
        <v>107.5589306309692</v>
      </c>
      <c r="G211" s="320">
        <v>0</v>
      </c>
      <c r="H211" s="321">
        <v>0</v>
      </c>
      <c r="I211" s="313">
        <f>Tabel668910192832[[#This Row],[Fix.ch. 2015]]+Tabel668910192832[[#This Row],[Var. ch. 2015]]+Tabel668910192832[[#This Row],[Oth. ch. DW 2015]]</f>
        <v>107.5589306309692</v>
      </c>
      <c r="J211" s="322">
        <f>0.83*100/E211</f>
        <v>107.5589306309692</v>
      </c>
      <c r="K211" s="323">
        <v>0</v>
      </c>
      <c r="L211" s="323"/>
      <c r="M211" s="323"/>
      <c r="N211" s="324">
        <v>0</v>
      </c>
      <c r="O211" s="1258">
        <f>0.32*100/E211</f>
        <v>41.468503375795358</v>
      </c>
      <c r="P211" s="1491">
        <f>Tabel668910192832[[#This Row],[Total. ch. DW 2015]]+Tabel668910192832[[#This Row],[Sew. 2015]]+Tabel668910192832[[#This Row],[WW 2015]]+Tabel668910192832[[#This Row],[Other ch. 2015]]+Tabel668910192832[[#This Row],[VAT 2015]]</f>
        <v>256.58636463773377</v>
      </c>
      <c r="Q211" s="397"/>
      <c r="R211" s="2362">
        <f>SUM(F211:F213)/3</f>
        <v>128.29318231886688</v>
      </c>
      <c r="S211" s="2363">
        <v>0</v>
      </c>
      <c r="T211" s="2364">
        <v>0</v>
      </c>
      <c r="U211" s="2365">
        <f>SUM(I211:I213)/3</f>
        <v>128.29318231886688</v>
      </c>
      <c r="V211" s="2354">
        <f>SUM(J211:J213)/3</f>
        <v>102.80733128582598</v>
      </c>
      <c r="W211" s="2355">
        <v>0</v>
      </c>
      <c r="X211" s="2356">
        <v>0</v>
      </c>
      <c r="Y211" s="2357">
        <f>SUM(O211:O213)/3</f>
        <v>46.220102720938577</v>
      </c>
      <c r="Z211" s="2358">
        <f>SUM(P211:P213)/3</f>
        <v>277.32061632563142</v>
      </c>
    </row>
    <row r="212" spans="1:26" ht="15.75" hidden="1" x14ac:dyDescent="0.25">
      <c r="A212" s="2297"/>
      <c r="B212" s="1617"/>
      <c r="C212" s="298" t="s">
        <v>141</v>
      </c>
      <c r="D212" s="1546"/>
      <c r="E212" s="307">
        <v>0.77166999999999997</v>
      </c>
      <c r="F212" s="319">
        <f>0.97*100/E212</f>
        <v>125.70140085787966</v>
      </c>
      <c r="G212" s="320">
        <v>0</v>
      </c>
      <c r="H212" s="321">
        <v>0</v>
      </c>
      <c r="I212" s="313">
        <f>Tabel668910192832[[#This Row],[Fix.ch. 2015]]+Tabel668910192832[[#This Row],[Var. ch. 2015]]+Tabel668910192832[[#This Row],[Oth. ch. DW 2015]]</f>
        <v>125.70140085787966</v>
      </c>
      <c r="J212" s="322">
        <f>0.77*100/E212</f>
        <v>99.783586248007566</v>
      </c>
      <c r="K212" s="323">
        <v>0</v>
      </c>
      <c r="L212" s="323"/>
      <c r="M212" s="323"/>
      <c r="N212" s="324">
        <v>0</v>
      </c>
      <c r="O212" s="1258">
        <f>0.4*100/E212</f>
        <v>51.835629219744192</v>
      </c>
      <c r="P212" s="1491">
        <f>Tabel668910192832[[#This Row],[Total. ch. DW 2015]]+Tabel668910192832[[#This Row],[Sew. 2015]]+Tabel668910192832[[#This Row],[WW 2015]]+Tabel668910192832[[#This Row],[Other ch. 2015]]+Tabel668910192832[[#This Row],[VAT 2015]]</f>
        <v>277.32061632563142</v>
      </c>
      <c r="Q212" s="397"/>
      <c r="R212" s="2158"/>
      <c r="S212" s="2159"/>
      <c r="T212" s="2160"/>
      <c r="U212" s="2141"/>
      <c r="V212" s="2142"/>
      <c r="W212" s="2143"/>
      <c r="X212" s="2144"/>
      <c r="Y212" s="2145"/>
      <c r="Z212" s="2146"/>
    </row>
    <row r="213" spans="1:26" ht="16.5" hidden="1" thickBot="1" x14ac:dyDescent="0.3">
      <c r="A213" s="2298"/>
      <c r="B213" s="1617"/>
      <c r="C213" s="293" t="s">
        <v>142</v>
      </c>
      <c r="D213" s="1548"/>
      <c r="E213" s="307">
        <v>0.77166999999999997</v>
      </c>
      <c r="F213" s="319">
        <f>1.17*100/E213</f>
        <v>151.61921546775176</v>
      </c>
      <c r="G213" s="320">
        <v>0</v>
      </c>
      <c r="H213" s="321">
        <v>0</v>
      </c>
      <c r="I213" s="313">
        <f>Tabel668910192832[[#This Row],[Fix.ch. 2015]]+Tabel668910192832[[#This Row],[Var. ch. 2015]]+Tabel668910192832[[#This Row],[Oth. ch. DW 2015]]</f>
        <v>151.61921546775176</v>
      </c>
      <c r="J213" s="322">
        <f>0.78*100/E213</f>
        <v>101.07947697850118</v>
      </c>
      <c r="K213" s="323">
        <v>0</v>
      </c>
      <c r="L213" s="323"/>
      <c r="M213" s="323"/>
      <c r="N213" s="324">
        <v>0</v>
      </c>
      <c r="O213" s="1258">
        <f>0.35*100/E213</f>
        <v>45.356175567276168</v>
      </c>
      <c r="P213" s="1491">
        <f>Tabel668910192832[[#This Row],[Total. ch. DW 2015]]+Tabel668910192832[[#This Row],[Sew. 2015]]+Tabel668910192832[[#This Row],[WW 2015]]+Tabel668910192832[[#This Row],[Other ch. 2015]]+Tabel668910192832[[#This Row],[VAT 2015]]</f>
        <v>298.05486801352913</v>
      </c>
      <c r="Q213" s="397"/>
      <c r="R213" s="2223"/>
      <c r="S213" s="2225"/>
      <c r="T213" s="2227"/>
      <c r="U213" s="2234"/>
      <c r="V213" s="2236"/>
      <c r="W213" s="2238"/>
      <c r="X213" s="2240"/>
      <c r="Y213" s="2242"/>
      <c r="Z213" s="2244"/>
    </row>
    <row r="214" spans="1:26" ht="19.5" hidden="1" thickBot="1" x14ac:dyDescent="0.35">
      <c r="A214" s="267" t="s">
        <v>43</v>
      </c>
      <c r="B214" s="1616"/>
      <c r="C214" s="294" t="s">
        <v>644</v>
      </c>
      <c r="D214" s="1542"/>
      <c r="E214" s="307">
        <f>'[1]exchange rates'!K55</f>
        <v>10.498559999999999</v>
      </c>
      <c r="F214" s="319">
        <v>0</v>
      </c>
      <c r="G214" s="320">
        <f>163.24/E214</f>
        <v>15.548799073396735</v>
      </c>
      <c r="H214" s="321">
        <v>0</v>
      </c>
      <c r="I214" s="313">
        <f>Tabel668910192832[[#This Row],[Fix.ch. 2015]]+Tabel668910192832[[#This Row],[Var. ch. 2015]]+Tabel668910192832[[#This Row],[Oth. ch. DW 2015]]</f>
        <v>15.548799073396735</v>
      </c>
      <c r="J214" s="322">
        <f>113.88/E214</f>
        <v>10.847201901975128</v>
      </c>
      <c r="K214" s="323">
        <v>0</v>
      </c>
      <c r="L214" s="323"/>
      <c r="M214" s="323"/>
      <c r="N214" s="324">
        <v>0</v>
      </c>
      <c r="O214" s="1258">
        <f>38.8/E214</f>
        <v>3.6957449402584737</v>
      </c>
      <c r="P214" s="1491">
        <f>Tabel668910192832[[#This Row],[Total. ch. DW 2015]]+Tabel668910192832[[#This Row],[Sew. 2015]]+Tabel668910192832[[#This Row],[WW 2015]]+Tabel668910192832[[#This Row],[Other ch. 2015]]+Tabel668910192832[[#This Row],[VAT 2015]]</f>
        <v>30.091745915630337</v>
      </c>
      <c r="Q214" s="397"/>
      <c r="R214" s="1549">
        <f>Tabel668910192832[[#This Row],[Fix.ch. 2015]]</f>
        <v>0</v>
      </c>
      <c r="S214" s="1550">
        <f>Tabel668910192832[[#This Row],[Var. ch. 2015]]</f>
        <v>15.548799073396735</v>
      </c>
      <c r="T214" s="1551">
        <f>Tabel668910192832[[#This Row],[Oth. ch. DW 2015]]</f>
        <v>0</v>
      </c>
      <c r="U214" s="1552">
        <f>Tabel668910192832[[#This Row],[Total. ch. DW 2015]]</f>
        <v>15.548799073396735</v>
      </c>
      <c r="V214" s="1553">
        <f>Tabel668910192832[[#This Row],[Sew. 2015]]</f>
        <v>10.847201901975128</v>
      </c>
      <c r="W214" s="1554">
        <f>Tabel668910192832[[#This Row],[WW 2015]]</f>
        <v>0</v>
      </c>
      <c r="X214" s="1555">
        <f>Tabel668910192832[[#This Row],[Other ch. 2015]]</f>
        <v>0</v>
      </c>
      <c r="Y214" s="1556">
        <f>Tabel668910192832[[#This Row],[VAT 2015]]</f>
        <v>3.6957449402584737</v>
      </c>
      <c r="Z214" s="1267">
        <f>Tabel668910192832[[#This Row],[total charge 2015]]</f>
        <v>30.091745915630337</v>
      </c>
    </row>
    <row r="215" spans="1:26" ht="19.5" hidden="1" thickBot="1" x14ac:dyDescent="0.35">
      <c r="A215" s="267" t="s">
        <v>450</v>
      </c>
      <c r="B215" s="1616"/>
      <c r="C215" s="1289" t="s">
        <v>177</v>
      </c>
      <c r="D215" s="1542"/>
      <c r="E215" s="306">
        <v>0.97958999999999996</v>
      </c>
      <c r="F215" s="319">
        <f>142.4/E215</f>
        <v>145.36693922967774</v>
      </c>
      <c r="G215" s="320">
        <f>128/E215</f>
        <v>130.66691166712604</v>
      </c>
      <c r="H215" s="321">
        <f>36/E215</f>
        <v>36.750068906379198</v>
      </c>
      <c r="I215" s="313">
        <f>Tabel668910192832[[#This Row],[Fix.ch. 2015]]+Tabel668910192832[[#This Row],[Var. ch. 2015]]+Tabel668910192832[[#This Row],[Oth. ch. DW 2015]]</f>
        <v>312.78391980318293</v>
      </c>
      <c r="J215" s="322">
        <f>457.3/E215</f>
        <v>466.82795863575581</v>
      </c>
      <c r="K215" s="323">
        <v>0</v>
      </c>
      <c r="L215" s="323"/>
      <c r="M215" s="323"/>
      <c r="N215" s="324">
        <v>0</v>
      </c>
      <c r="O215" s="1258">
        <v>0</v>
      </c>
      <c r="P215" s="1491">
        <f>Tabel668910192832[[#This Row],[Total. ch. DW 2015]]+Tabel668910192832[[#This Row],[Sew. 2015]]+Tabel668910192832[[#This Row],[WW 2015]]+Tabel668910192832[[#This Row],[Other ch. 2015]]+Tabel668910192832[[#This Row],[VAT 2015]]</f>
        <v>779.61187843893867</v>
      </c>
      <c r="Q215" s="397"/>
      <c r="R215" s="1549">
        <f>Tabel668910192832[[#This Row],[Fix.ch. 2015]]</f>
        <v>145.36693922967774</v>
      </c>
      <c r="S215" s="1550">
        <f>Tabel668910192832[[#This Row],[Var. ch. 2015]]</f>
        <v>130.66691166712604</v>
      </c>
      <c r="T215" s="1551">
        <f>Tabel668910192832[[#This Row],[Oth. ch. DW 2015]]</f>
        <v>36.750068906379198</v>
      </c>
      <c r="U215" s="1552">
        <f>Tabel668910192832[[#This Row],[Total. ch. DW 2015]]</f>
        <v>312.78391980318293</v>
      </c>
      <c r="V215" s="1553">
        <f>Tabel668910192832[[#This Row],[Sew. 2015]]</f>
        <v>466.82795863575581</v>
      </c>
      <c r="W215" s="1554">
        <f>Tabel668910192832[[#This Row],[WW 2015]]</f>
        <v>0</v>
      </c>
      <c r="X215" s="1555">
        <f>Tabel668910192832[[#This Row],[Other ch. 2015]]</f>
        <v>0</v>
      </c>
      <c r="Y215" s="1556">
        <f>Tabel668910192832[[#This Row],[VAT 2015]]</f>
        <v>0</v>
      </c>
      <c r="Z215" s="1267">
        <f>Tabel668910192832[[#This Row],[total charge 2015]]</f>
        <v>779.61187843893867</v>
      </c>
    </row>
    <row r="216" spans="1:26" ht="15.75" hidden="1" x14ac:dyDescent="0.25">
      <c r="A216" s="1878" t="s">
        <v>25</v>
      </c>
      <c r="B216" s="1213"/>
      <c r="C216" s="1512" t="s">
        <v>143</v>
      </c>
      <c r="D216" s="2347">
        <v>36700</v>
      </c>
      <c r="E216" s="617">
        <f>'[1]exchange rates'!$M$56</f>
        <v>1180.2052799999999</v>
      </c>
      <c r="F216" s="549">
        <v>0</v>
      </c>
      <c r="G216" s="550">
        <f>57425/E216</f>
        <v>48.656789605279521</v>
      </c>
      <c r="H216" s="551">
        <v>0</v>
      </c>
      <c r="I216" s="566">
        <f>Tabel668910192832[[#This Row],[Fix.ch. 2015]]+Tabel668910192832[[#This Row],[Var. ch. 2015]]+Tabel668910192832[[#This Row],[Oth. ch. DW 2015]]</f>
        <v>48.656789605279521</v>
      </c>
      <c r="J216" s="567">
        <f>44579/E216</f>
        <v>37.772242469547336</v>
      </c>
      <c r="K216" s="568">
        <v>0</v>
      </c>
      <c r="L216" s="568"/>
      <c r="M216" s="568"/>
      <c r="N216" s="569">
        <v>0</v>
      </c>
      <c r="O216" s="1271">
        <v>0</v>
      </c>
      <c r="P216" s="1496">
        <f>Tabel668910192832[[#This Row],[Total. ch. DW 2015]]+Tabel668910192832[[#This Row],[Sew. 2015]]+Tabel668910192832[[#This Row],[WW 2015]]+Tabel668910192832[[#This Row],[Other ch. 2015]]+Tabel668910192832[[#This Row],[VAT 2015]]</f>
        <v>86.429032074826864</v>
      </c>
      <c r="Q216" s="397"/>
      <c r="R216" s="2344">
        <f t="shared" ref="R216:W216" si="52">SUM(F216:F223)/8</f>
        <v>0</v>
      </c>
      <c r="S216" s="2345">
        <f t="shared" si="52"/>
        <v>53.794137406333249</v>
      </c>
      <c r="T216" s="2350">
        <f t="shared" si="52"/>
        <v>0</v>
      </c>
      <c r="U216" s="2340">
        <f t="shared" si="52"/>
        <v>53.794137406333249</v>
      </c>
      <c r="V216" s="2351">
        <f t="shared" si="52"/>
        <v>33.735762476846404</v>
      </c>
      <c r="W216" s="2352">
        <f t="shared" si="52"/>
        <v>0</v>
      </c>
      <c r="X216" s="2341">
        <f t="shared" ref="X216:Z216" si="53">SUM(N216:N223)/8</f>
        <v>0</v>
      </c>
      <c r="Y216" s="2342">
        <f t="shared" si="53"/>
        <v>0</v>
      </c>
      <c r="Z216" s="2339">
        <f t="shared" si="53"/>
        <v>87.529899883179652</v>
      </c>
    </row>
    <row r="217" spans="1:26" ht="15.75" hidden="1" x14ac:dyDescent="0.25">
      <c r="A217" s="1757"/>
      <c r="B217" s="1213"/>
      <c r="C217" s="1293" t="s">
        <v>144</v>
      </c>
      <c r="D217" s="2359"/>
      <c r="E217" s="617">
        <f>'[1]exchange rates'!$M$56</f>
        <v>1180.2052799999999</v>
      </c>
      <c r="F217" s="549">
        <v>0</v>
      </c>
      <c r="G217" s="550">
        <f>71508/E217</f>
        <v>60.589459487929091</v>
      </c>
      <c r="H217" s="551">
        <v>0</v>
      </c>
      <c r="I217" s="566">
        <f>Tabel668910192832[[#This Row],[Fix.ch. 2015]]+Tabel668910192832[[#This Row],[Var. ch. 2015]]+Tabel668910192832[[#This Row],[Oth. ch. DW 2015]]</f>
        <v>60.589459487929091</v>
      </c>
      <c r="J217" s="567">
        <f>49081/E217</f>
        <v>41.586833097374388</v>
      </c>
      <c r="K217" s="568">
        <v>0</v>
      </c>
      <c r="L217" s="568"/>
      <c r="M217" s="568"/>
      <c r="N217" s="569">
        <v>0</v>
      </c>
      <c r="O217" s="1271">
        <v>0</v>
      </c>
      <c r="P217" s="1496">
        <f>Tabel668910192832[[#This Row],[Total. ch. DW 2015]]+Tabel668910192832[[#This Row],[Sew. 2015]]+Tabel668910192832[[#This Row],[WW 2015]]+Tabel668910192832[[#This Row],[Other ch. 2015]]+Tabel668910192832[[#This Row],[VAT 2015]]</f>
        <v>102.17629258530349</v>
      </c>
      <c r="Q217" s="397"/>
      <c r="R217" s="1886"/>
      <c r="S217" s="1888"/>
      <c r="T217" s="1890"/>
      <c r="U217" s="1892"/>
      <c r="V217" s="1894"/>
      <c r="W217" s="1911"/>
      <c r="X217" s="1913"/>
      <c r="Y217" s="1915"/>
      <c r="Z217" s="1832"/>
    </row>
    <row r="218" spans="1:26" ht="15.75" hidden="1" x14ac:dyDescent="0.25">
      <c r="A218" s="1757"/>
      <c r="B218" s="1213"/>
      <c r="C218" s="1293" t="s">
        <v>145</v>
      </c>
      <c r="D218" s="2359"/>
      <c r="E218" s="617">
        <f>'[1]exchange rates'!$M$56</f>
        <v>1180.2052799999999</v>
      </c>
      <c r="F218" s="549">
        <v>0</v>
      </c>
      <c r="G218" s="550">
        <f>57896/E218</f>
        <v>49.055872720718554</v>
      </c>
      <c r="H218" s="551">
        <v>0</v>
      </c>
      <c r="I218" s="566">
        <f>Tabel668910192832[[#This Row],[Fix.ch. 2015]]+Tabel668910192832[[#This Row],[Var. ch. 2015]]+Tabel668910192832[[#This Row],[Oth. ch. DW 2015]]</f>
        <v>49.055872720718554</v>
      </c>
      <c r="J218" s="567">
        <f>38589/E218</f>
        <v>32.696854228613518</v>
      </c>
      <c r="K218" s="568">
        <v>0</v>
      </c>
      <c r="L218" s="568"/>
      <c r="M218" s="568"/>
      <c r="N218" s="569">
        <v>0</v>
      </c>
      <c r="O218" s="1271">
        <v>0</v>
      </c>
      <c r="P218" s="1496">
        <f>Tabel668910192832[[#This Row],[Total. ch. DW 2015]]+Tabel668910192832[[#This Row],[Sew. 2015]]+Tabel668910192832[[#This Row],[WW 2015]]+Tabel668910192832[[#This Row],[Other ch. 2015]]+Tabel668910192832[[#This Row],[VAT 2015]]</f>
        <v>81.752726949332072</v>
      </c>
      <c r="Q218" s="397"/>
      <c r="R218" s="1886"/>
      <c r="S218" s="1888"/>
      <c r="T218" s="1890"/>
      <c r="U218" s="1892"/>
      <c r="V218" s="1894"/>
      <c r="W218" s="1911"/>
      <c r="X218" s="1913"/>
      <c r="Y218" s="1915"/>
      <c r="Z218" s="1832"/>
    </row>
    <row r="219" spans="1:26" ht="15.75" hidden="1" x14ac:dyDescent="0.25">
      <c r="A219" s="1757"/>
      <c r="B219" s="1213"/>
      <c r="C219" s="1293" t="s">
        <v>146</v>
      </c>
      <c r="D219" s="2359"/>
      <c r="E219" s="617">
        <f>'[1]exchange rates'!$M$56</f>
        <v>1180.2052799999999</v>
      </c>
      <c r="F219" s="549">
        <v>0</v>
      </c>
      <c r="G219" s="550">
        <f>66370/E219</f>
        <v>56.235979557725756</v>
      </c>
      <c r="H219" s="551">
        <v>0</v>
      </c>
      <c r="I219" s="566">
        <f>Tabel668910192832[[#This Row],[Fix.ch. 2015]]+Tabel668910192832[[#This Row],[Var. ch. 2015]]+Tabel668910192832[[#This Row],[Oth. ch. DW 2015]]</f>
        <v>56.235979557725756</v>
      </c>
      <c r="J219" s="567">
        <f>41691/E219</f>
        <v>35.32521054303367</v>
      </c>
      <c r="K219" s="568">
        <v>0</v>
      </c>
      <c r="L219" s="568"/>
      <c r="M219" s="568"/>
      <c r="N219" s="569">
        <v>0</v>
      </c>
      <c r="O219" s="1271">
        <v>0</v>
      </c>
      <c r="P219" s="1496">
        <f>Tabel668910192832[[#This Row],[Total. ch. DW 2015]]+Tabel668910192832[[#This Row],[Sew. 2015]]+Tabel668910192832[[#This Row],[WW 2015]]+Tabel668910192832[[#This Row],[Other ch. 2015]]+Tabel668910192832[[#This Row],[VAT 2015]]</f>
        <v>91.561190100759433</v>
      </c>
      <c r="Q219" s="397"/>
      <c r="R219" s="1886"/>
      <c r="S219" s="1888"/>
      <c r="T219" s="1890"/>
      <c r="U219" s="1892"/>
      <c r="V219" s="1894"/>
      <c r="W219" s="1911"/>
      <c r="X219" s="1913"/>
      <c r="Y219" s="1915"/>
      <c r="Z219" s="1832"/>
    </row>
    <row r="220" spans="1:26" ht="15.75" hidden="1" x14ac:dyDescent="0.25">
      <c r="A220" s="1757"/>
      <c r="B220" s="1213"/>
      <c r="C220" s="1293" t="s">
        <v>147</v>
      </c>
      <c r="D220" s="2359"/>
      <c r="E220" s="617">
        <f>'[1]exchange rates'!$M$56</f>
        <v>1180.2052799999999</v>
      </c>
      <c r="F220" s="549">
        <v>0</v>
      </c>
      <c r="G220" s="550">
        <f>53135/E220</f>
        <v>45.021828744911225</v>
      </c>
      <c r="H220" s="551">
        <v>0</v>
      </c>
      <c r="I220" s="566">
        <f>Tabel668910192832[[#This Row],[Fix.ch. 2015]]+Tabel668910192832[[#This Row],[Var. ch. 2015]]+Tabel668910192832[[#This Row],[Oth. ch. DW 2015]]</f>
        <v>45.021828744911225</v>
      </c>
      <c r="J220" s="567">
        <f>35134/E220</f>
        <v>29.769397405170061</v>
      </c>
      <c r="K220" s="568">
        <v>0</v>
      </c>
      <c r="L220" s="568"/>
      <c r="M220" s="568"/>
      <c r="N220" s="569">
        <v>0</v>
      </c>
      <c r="O220" s="1271">
        <v>0</v>
      </c>
      <c r="P220" s="1496">
        <f>Tabel668910192832[[#This Row],[Total. ch. DW 2015]]+Tabel668910192832[[#This Row],[Sew. 2015]]+Tabel668910192832[[#This Row],[WW 2015]]+Tabel668910192832[[#This Row],[Other ch. 2015]]+Tabel668910192832[[#This Row],[VAT 2015]]</f>
        <v>74.791226150081286</v>
      </c>
      <c r="Q220" s="397"/>
      <c r="R220" s="1886"/>
      <c r="S220" s="1888"/>
      <c r="T220" s="1890"/>
      <c r="U220" s="1892"/>
      <c r="V220" s="1894"/>
      <c r="W220" s="1911"/>
      <c r="X220" s="1913"/>
      <c r="Y220" s="1915"/>
      <c r="Z220" s="1832"/>
    </row>
    <row r="221" spans="1:26" ht="15.75" hidden="1" x14ac:dyDescent="0.25">
      <c r="A221" s="1757"/>
      <c r="B221" s="1213"/>
      <c r="C221" s="1293" t="s">
        <v>148</v>
      </c>
      <c r="D221" s="2359"/>
      <c r="E221" s="617">
        <f>'[1]exchange rates'!$M$56</f>
        <v>1180.2052799999999</v>
      </c>
      <c r="F221" s="549">
        <v>0</v>
      </c>
      <c r="G221" s="550">
        <f>50939/E221</f>
        <v>43.16113549331012</v>
      </c>
      <c r="H221" s="551">
        <v>0</v>
      </c>
      <c r="I221" s="566">
        <f>Tabel668910192832[[#This Row],[Fix.ch. 2015]]+Tabel668910192832[[#This Row],[Var. ch. 2015]]+Tabel668910192832[[#This Row],[Oth. ch. DW 2015]]</f>
        <v>43.16113549331012</v>
      </c>
      <c r="J221" s="567">
        <f>38491/E221</f>
        <v>32.613817826675039</v>
      </c>
      <c r="K221" s="568">
        <v>0</v>
      </c>
      <c r="L221" s="568"/>
      <c r="M221" s="568"/>
      <c r="N221" s="569">
        <v>0</v>
      </c>
      <c r="O221" s="1271">
        <v>0</v>
      </c>
      <c r="P221" s="1496">
        <f>Tabel668910192832[[#This Row],[Total. ch. DW 2015]]+Tabel668910192832[[#This Row],[Sew. 2015]]+Tabel668910192832[[#This Row],[WW 2015]]+Tabel668910192832[[#This Row],[Other ch. 2015]]+Tabel668910192832[[#This Row],[VAT 2015]]</f>
        <v>75.774953319985158</v>
      </c>
      <c r="Q221" s="397"/>
      <c r="R221" s="1886"/>
      <c r="S221" s="1888"/>
      <c r="T221" s="1890"/>
      <c r="U221" s="1892"/>
      <c r="V221" s="1894"/>
      <c r="W221" s="1911"/>
      <c r="X221" s="1913"/>
      <c r="Y221" s="1915"/>
      <c r="Z221" s="1832"/>
    </row>
    <row r="222" spans="1:26" ht="15.75" hidden="1" x14ac:dyDescent="0.25">
      <c r="A222" s="1757"/>
      <c r="B222" s="1213"/>
      <c r="C222" s="1293" t="s">
        <v>149</v>
      </c>
      <c r="D222" s="2359"/>
      <c r="E222" s="617">
        <f>'[1]exchange rates'!$M$56</f>
        <v>1180.2052799999999</v>
      </c>
      <c r="F222" s="549">
        <v>0</v>
      </c>
      <c r="G222" s="550">
        <f>87196/E222</f>
        <v>73.882062279877289</v>
      </c>
      <c r="H222" s="551">
        <v>0</v>
      </c>
      <c r="I222" s="566">
        <f>Tabel668910192832[[#This Row],[Fix.ch. 2015]]+Tabel668910192832[[#This Row],[Var. ch. 2015]]+Tabel668910192832[[#This Row],[Oth. ch. DW 2015]]</f>
        <v>73.882062279877289</v>
      </c>
      <c r="J222" s="567">
        <f>40005/E222</f>
        <v>33.896645505602216</v>
      </c>
      <c r="K222" s="568">
        <v>0</v>
      </c>
      <c r="L222" s="568"/>
      <c r="M222" s="568"/>
      <c r="N222" s="569">
        <v>0</v>
      </c>
      <c r="O222" s="1271">
        <v>0</v>
      </c>
      <c r="P222" s="1496">
        <f>Tabel668910192832[[#This Row],[Total. ch. DW 2015]]+Tabel668910192832[[#This Row],[Sew. 2015]]+Tabel668910192832[[#This Row],[WW 2015]]+Tabel668910192832[[#This Row],[Other ch. 2015]]+Tabel668910192832[[#This Row],[VAT 2015]]</f>
        <v>107.7787077854795</v>
      </c>
      <c r="Q222" s="397"/>
      <c r="R222" s="1886"/>
      <c r="S222" s="1888"/>
      <c r="T222" s="1890"/>
      <c r="U222" s="1892"/>
      <c r="V222" s="1894"/>
      <c r="W222" s="1911"/>
      <c r="X222" s="1913"/>
      <c r="Y222" s="1915"/>
      <c r="Z222" s="1832"/>
    </row>
    <row r="223" spans="1:26" ht="16.5" hidden="1" thickBot="1" x14ac:dyDescent="0.3">
      <c r="A223" s="1758"/>
      <c r="B223" s="1213"/>
      <c r="C223" s="652" t="s">
        <v>150</v>
      </c>
      <c r="D223" s="2349"/>
      <c r="E223" s="617">
        <f>'[1]exchange rates'!$M$56</f>
        <v>1180.2052799999999</v>
      </c>
      <c r="F223" s="549">
        <v>0</v>
      </c>
      <c r="G223" s="550">
        <f>63436/E223</f>
        <v>53.749971360914437</v>
      </c>
      <c r="H223" s="551">
        <v>0</v>
      </c>
      <c r="I223" s="566">
        <f>Tabel668910192832[[#This Row],[Fix.ch. 2015]]+Tabel668910192832[[#This Row],[Var. ch. 2015]]+Tabel668910192832[[#This Row],[Oth. ch. DW 2015]]</f>
        <v>53.749971360914437</v>
      </c>
      <c r="J223" s="567">
        <f>30951/E223</f>
        <v>26.225098738755008</v>
      </c>
      <c r="K223" s="568">
        <v>0</v>
      </c>
      <c r="L223" s="568"/>
      <c r="M223" s="568"/>
      <c r="N223" s="569">
        <v>0</v>
      </c>
      <c r="O223" s="1271">
        <v>0</v>
      </c>
      <c r="P223" s="1496">
        <f>Tabel668910192832[[#This Row],[Total. ch. DW 2015]]+Tabel668910192832[[#This Row],[Sew. 2015]]+Tabel668910192832[[#This Row],[WW 2015]]+Tabel668910192832[[#This Row],[Other ch. 2015]]+Tabel668910192832[[#This Row],[VAT 2015]]</f>
        <v>79.975070099669438</v>
      </c>
      <c r="Q223" s="397"/>
      <c r="R223" s="1764"/>
      <c r="S223" s="1767"/>
      <c r="T223" s="1770"/>
      <c r="U223" s="1776"/>
      <c r="V223" s="1779"/>
      <c r="W223" s="1811"/>
      <c r="X223" s="1813"/>
      <c r="Y223" s="1815"/>
      <c r="Z223" s="1794"/>
    </row>
    <row r="224" spans="1:26" ht="15.75" hidden="1" x14ac:dyDescent="0.25">
      <c r="A224" s="1818" t="s">
        <v>26</v>
      </c>
      <c r="B224" s="1213"/>
      <c r="C224" s="543" t="s">
        <v>151</v>
      </c>
      <c r="D224" s="2347">
        <v>35200</v>
      </c>
      <c r="E224" s="617">
        <f>'[1]exchange rates'!$M$57</f>
        <v>0.92093999999999998</v>
      </c>
      <c r="F224" s="549">
        <f>83.28/E224</f>
        <v>90.429343931200734</v>
      </c>
      <c r="G224" s="550">
        <f>81.16/E224</f>
        <v>88.127348144287353</v>
      </c>
      <c r="H224" s="551">
        <v>0</v>
      </c>
      <c r="I224" s="566">
        <f>Tabel668910192832[[#This Row],[Fix.ch. 2015]]+Tabel668910192832[[#This Row],[Var. ch. 2015]]+Tabel668910192832[[#This Row],[Oth. ch. DW 2015]]</f>
        <v>178.55669207548809</v>
      </c>
      <c r="J224" s="567">
        <f>15.29/E224</f>
        <v>16.602601689578041</v>
      </c>
      <c r="K224" s="568">
        <f>48.63/E224</f>
        <v>52.8047429799987</v>
      </c>
      <c r="L224" s="568"/>
      <c r="M224" s="568"/>
      <c r="N224" s="569">
        <v>0</v>
      </c>
      <c r="O224" s="1271">
        <f>22.84/E224</f>
        <v>24.800747062783678</v>
      </c>
      <c r="P224" s="1496">
        <f>Tabel668910192832[[#This Row],[Total. ch. DW 2015]]+Tabel668910192832[[#This Row],[Sew. 2015]]+Tabel668910192832[[#This Row],[WW 2015]]+Tabel668910192832[[#This Row],[Other ch. 2015]]+Tabel668910192832[[#This Row],[VAT 2015]]</f>
        <v>272.76478380784852</v>
      </c>
      <c r="Q224" s="397"/>
      <c r="R224" s="2344">
        <f t="shared" ref="R224:W224" si="54">SUM(F224:F228)/5</f>
        <v>64.004169652746114</v>
      </c>
      <c r="S224" s="2345">
        <f t="shared" si="54"/>
        <v>59.274219818880717</v>
      </c>
      <c r="T224" s="2350">
        <f t="shared" si="54"/>
        <v>0</v>
      </c>
      <c r="U224" s="2340">
        <f t="shared" si="54"/>
        <v>123.27838947162681</v>
      </c>
      <c r="V224" s="2351">
        <f t="shared" si="54"/>
        <v>21.977544682606901</v>
      </c>
      <c r="W224" s="2352">
        <f t="shared" si="54"/>
        <v>74.204617021738656</v>
      </c>
      <c r="X224" s="2341">
        <f t="shared" ref="X224:Z224" si="55">SUM(N224:N228)/5</f>
        <v>0</v>
      </c>
      <c r="Y224" s="2342">
        <f t="shared" si="55"/>
        <v>21.947140964666538</v>
      </c>
      <c r="Z224" s="2339">
        <f t="shared" si="55"/>
        <v>241.40769214063889</v>
      </c>
    </row>
    <row r="225" spans="1:26" ht="15.75" hidden="1" x14ac:dyDescent="0.25">
      <c r="A225" s="2294"/>
      <c r="B225" s="1213"/>
      <c r="C225" s="543" t="s">
        <v>152</v>
      </c>
      <c r="D225" s="2359"/>
      <c r="E225" s="617">
        <f>'[1]exchange rates'!$M$57</f>
        <v>0.92093999999999998</v>
      </c>
      <c r="F225" s="549">
        <f>32.93/E225</f>
        <v>35.756943992008168</v>
      </c>
      <c r="G225" s="550">
        <f>51.97/E225</f>
        <v>56.431472191456557</v>
      </c>
      <c r="H225" s="551">
        <v>0</v>
      </c>
      <c r="I225" s="566">
        <f>Tabel668910192832[[#This Row],[Fix.ch. 2015]]+Tabel668910192832[[#This Row],[Var. ch. 2015]]+Tabel668910192832[[#This Row],[Oth. ch. DW 2015]]</f>
        <v>92.188416183464724</v>
      </c>
      <c r="J225" s="567">
        <v>0</v>
      </c>
      <c r="K225" s="568">
        <f>78.33/E225</f>
        <v>85.054400938171867</v>
      </c>
      <c r="L225" s="568"/>
      <c r="M225" s="568"/>
      <c r="N225" s="569">
        <v>0</v>
      </c>
      <c r="O225" s="1271">
        <f>16.32/E225</f>
        <v>17.721024170955765</v>
      </c>
      <c r="P225" s="1496">
        <f>Tabel668910192832[[#This Row],[Total. ch. DW 2015]]+Tabel668910192832[[#This Row],[Sew. 2015]]+Tabel668910192832[[#This Row],[WW 2015]]+Tabel668910192832[[#This Row],[Other ch. 2015]]+Tabel668910192832[[#This Row],[VAT 2015]]</f>
        <v>194.96384129259235</v>
      </c>
      <c r="Q225" s="397"/>
      <c r="R225" s="1886"/>
      <c r="S225" s="1888"/>
      <c r="T225" s="1890"/>
      <c r="U225" s="1892"/>
      <c r="V225" s="1894"/>
      <c r="W225" s="1911"/>
      <c r="X225" s="1913"/>
      <c r="Y225" s="1915"/>
      <c r="Z225" s="1832"/>
    </row>
    <row r="226" spans="1:26" ht="15.75" hidden="1" x14ac:dyDescent="0.25">
      <c r="A226" s="2294"/>
      <c r="B226" s="1213"/>
      <c r="C226" s="543" t="s">
        <v>153</v>
      </c>
      <c r="D226" s="2359"/>
      <c r="E226" s="617">
        <f>'[1]exchange rates'!$M$57</f>
        <v>0.92093999999999998</v>
      </c>
      <c r="F226" s="549">
        <f>61.23/E226</f>
        <v>66.486416053163069</v>
      </c>
      <c r="G226" s="550">
        <f>43/E226</f>
        <v>46.691423979846682</v>
      </c>
      <c r="H226" s="551">
        <v>0</v>
      </c>
      <c r="I226" s="566">
        <f>Tabel668910192832[[#This Row],[Fix.ch. 2015]]+Tabel668910192832[[#This Row],[Var. ch. 2015]]+Tabel668910192832[[#This Row],[Oth. ch. DW 2015]]</f>
        <v>113.17784003300974</v>
      </c>
      <c r="J226" s="567">
        <f>17.4/E226</f>
        <v>18.893739005798423</v>
      </c>
      <c r="K226" s="568">
        <f>50/E226</f>
        <v>54.292353464937996</v>
      </c>
      <c r="L226" s="568"/>
      <c r="M226" s="568"/>
      <c r="N226" s="569">
        <v>0</v>
      </c>
      <c r="O226" s="1271">
        <f>17.16/E226</f>
        <v>18.633135709166723</v>
      </c>
      <c r="P226" s="1496">
        <f>Tabel668910192832[[#This Row],[Total. ch. DW 2015]]+Tabel668910192832[[#This Row],[Sew. 2015]]+Tabel668910192832[[#This Row],[WW 2015]]+Tabel668910192832[[#This Row],[Other ch. 2015]]+Tabel668910192832[[#This Row],[VAT 2015]]</f>
        <v>204.99706821291289</v>
      </c>
      <c r="Q226" s="397"/>
      <c r="R226" s="1763"/>
      <c r="S226" s="1766"/>
      <c r="T226" s="1769"/>
      <c r="U226" s="1775"/>
      <c r="V226" s="1778"/>
      <c r="W226" s="1781"/>
      <c r="X226" s="1785"/>
      <c r="Y226" s="1788"/>
      <c r="Z226" s="1791"/>
    </row>
    <row r="227" spans="1:26" ht="15.75" hidden="1" x14ac:dyDescent="0.25">
      <c r="A227" s="2294"/>
      <c r="B227" s="1213"/>
      <c r="C227" s="543" t="s">
        <v>214</v>
      </c>
      <c r="D227" s="2359"/>
      <c r="E227" s="617">
        <f>'[1]exchange rates'!$M$57</f>
        <v>0.92093999999999998</v>
      </c>
      <c r="F227" s="549">
        <f>46.36/E227</f>
        <v>50.339870132690514</v>
      </c>
      <c r="G227" s="550">
        <f>40.9/E227</f>
        <v>44.411145134319284</v>
      </c>
      <c r="H227" s="551">
        <v>0</v>
      </c>
      <c r="I227" s="566">
        <f>Tabel668910192832[[#This Row],[Fix.ch. 2015]]+Tabel668910192832[[#This Row],[Var. ch. 2015]]+Tabel668910192832[[#This Row],[Oth. ch. DW 2015]]</f>
        <v>94.751015267009791</v>
      </c>
      <c r="J227" s="567">
        <f>38.22/E227</f>
        <v>41.501074988598603</v>
      </c>
      <c r="K227" s="568">
        <f>75.8/E227</f>
        <v>82.307207852846005</v>
      </c>
      <c r="L227" s="568"/>
      <c r="M227" s="568"/>
      <c r="N227" s="569">
        <v>0</v>
      </c>
      <c r="O227" s="1271">
        <f>20.13/E227</f>
        <v>21.858101504984038</v>
      </c>
      <c r="P227" s="1496">
        <f>Tabel668910192832[[#This Row],[Total. ch. DW 2015]]+Tabel668910192832[[#This Row],[Sew. 2015]]+Tabel668910192832[[#This Row],[WW 2015]]+Tabel668910192832[[#This Row],[Other ch. 2015]]+Tabel668910192832[[#This Row],[VAT 2015]]</f>
        <v>240.41739961343842</v>
      </c>
      <c r="Q227" s="397"/>
      <c r="R227" s="1886"/>
      <c r="S227" s="1888"/>
      <c r="T227" s="1890"/>
      <c r="U227" s="1892"/>
      <c r="V227" s="1894"/>
      <c r="W227" s="1911"/>
      <c r="X227" s="1913"/>
      <c r="Y227" s="1915"/>
      <c r="Z227" s="1832"/>
    </row>
    <row r="228" spans="1:26" ht="16.5" hidden="1" thickBot="1" x14ac:dyDescent="0.3">
      <c r="A228" s="2295"/>
      <c r="B228" s="1213"/>
      <c r="C228" s="543" t="s">
        <v>154</v>
      </c>
      <c r="D228" s="2349"/>
      <c r="E228" s="617">
        <f>'[1]exchange rates'!$M$57</f>
        <v>0.92093999999999998</v>
      </c>
      <c r="F228" s="549">
        <f>70.92/E228</f>
        <v>77.008274154668058</v>
      </c>
      <c r="G228" s="550">
        <f>55.91/E228</f>
        <v>60.709709644493664</v>
      </c>
      <c r="H228" s="551">
        <v>0</v>
      </c>
      <c r="I228" s="566">
        <f>Tabel668910192832[[#This Row],[Fix.ch. 2015]]+Tabel668910192832[[#This Row],[Var. ch. 2015]]+Tabel668910192832[[#This Row],[Oth. ch. DW 2015]]</f>
        <v>137.71798379916171</v>
      </c>
      <c r="J228" s="567">
        <f>30.29/E228</f>
        <v>32.890307729059437</v>
      </c>
      <c r="K228" s="568">
        <f>88.93/E228</f>
        <v>96.564379872738726</v>
      </c>
      <c r="L228" s="568"/>
      <c r="M228" s="568"/>
      <c r="N228" s="569">
        <v>0</v>
      </c>
      <c r="O228" s="1271">
        <f>24.61/E228</f>
        <v>26.722696375442482</v>
      </c>
      <c r="P228" s="1496">
        <f>Tabel668910192832[[#This Row],[Total. ch. DW 2015]]+Tabel668910192832[[#This Row],[Sew. 2015]]+Tabel668910192832[[#This Row],[WW 2015]]+Tabel668910192832[[#This Row],[Other ch. 2015]]+Tabel668910192832[[#This Row],[VAT 2015]]</f>
        <v>293.89536777640234</v>
      </c>
      <c r="Q228" s="397"/>
      <c r="R228" s="1764"/>
      <c r="S228" s="1767"/>
      <c r="T228" s="1770"/>
      <c r="U228" s="1776"/>
      <c r="V228" s="1779"/>
      <c r="W228" s="1811"/>
      <c r="X228" s="1813"/>
      <c r="Y228" s="1815"/>
      <c r="Z228" s="1794"/>
    </row>
    <row r="229" spans="1:26" ht="15.75" hidden="1" x14ac:dyDescent="0.25">
      <c r="A229" s="2004" t="s">
        <v>48</v>
      </c>
      <c r="B229" s="1617"/>
      <c r="C229" s="1557" t="s">
        <v>155</v>
      </c>
      <c r="D229" s="1545"/>
      <c r="E229" s="307">
        <f>'[1]exchange rates'!K58</f>
        <v>6.4383900000000001</v>
      </c>
      <c r="F229" s="319">
        <f>561.6/E229</f>
        <v>87.226775638008888</v>
      </c>
      <c r="G229" s="320">
        <f>243.2/E229</f>
        <v>37.773418509906975</v>
      </c>
      <c r="H229" s="321">
        <v>0</v>
      </c>
      <c r="I229" s="313">
        <f>Tabel668910192832[[#This Row],[Fix.ch. 2015]]+Tabel668910192832[[#This Row],[Var. ch. 2015]]+Tabel668910192832[[#This Row],[Oth. ch. DW 2015]]</f>
        <v>125.00019414791586</v>
      </c>
      <c r="J229" s="322">
        <f>842.4/E229</f>
        <v>130.84016345701332</v>
      </c>
      <c r="K229" s="323">
        <f>214.4/E229</f>
        <v>33.300250528470627</v>
      </c>
      <c r="L229" s="323"/>
      <c r="M229" s="323"/>
      <c r="N229" s="324">
        <f>277.6/E229</f>
        <v>43.116369154400402</v>
      </c>
      <c r="O229" s="1258">
        <f>534.8/E229</f>
        <v>83.064244321950042</v>
      </c>
      <c r="P229" s="1491">
        <f>Tabel668910192832[[#This Row],[Total. ch. DW 2015]]+Tabel668910192832[[#This Row],[Sew. 2015]]+Tabel668910192832[[#This Row],[WW 2015]]+Tabel668910192832[[#This Row],[Other ch. 2015]]+Tabel668910192832[[#This Row],[VAT 2015]]</f>
        <v>415.3212216097503</v>
      </c>
      <c r="Q229" s="397"/>
      <c r="R229" s="2362">
        <f t="shared" ref="R229:W229" si="56">SUM(F229:F233)/5</f>
        <v>96.108499174483057</v>
      </c>
      <c r="S229" s="2363">
        <f t="shared" si="56"/>
        <v>82.107483392587284</v>
      </c>
      <c r="T229" s="2364">
        <f t="shared" si="56"/>
        <v>0</v>
      </c>
      <c r="U229" s="2365">
        <f t="shared" si="56"/>
        <v>178.21598256707034</v>
      </c>
      <c r="V229" s="2354">
        <f t="shared" si="56"/>
        <v>144.16274876172457</v>
      </c>
      <c r="W229" s="2355">
        <f t="shared" si="56"/>
        <v>107.95245395199731</v>
      </c>
      <c r="X229" s="2356">
        <f t="shared" ref="X229:Z229" si="57">SUM(N229:N233)/5</f>
        <v>25.124293495734186</v>
      </c>
      <c r="Y229" s="2357">
        <f t="shared" si="57"/>
        <v>113.86386969413161</v>
      </c>
      <c r="Z229" s="2358">
        <f t="shared" si="57"/>
        <v>569.31934847065816</v>
      </c>
    </row>
    <row r="230" spans="1:26" ht="15.75" hidden="1" x14ac:dyDescent="0.25">
      <c r="A230" s="2005"/>
      <c r="B230" s="1617"/>
      <c r="C230" s="1308" t="s">
        <v>156</v>
      </c>
      <c r="D230" s="1546"/>
      <c r="E230" s="307">
        <f>'[1]exchange rates'!K58</f>
        <v>6.4383900000000001</v>
      </c>
      <c r="F230" s="319">
        <f>974.72/E230</f>
        <v>151.39188523839036</v>
      </c>
      <c r="G230" s="320">
        <f>504/E230</f>
        <v>78.280439675136179</v>
      </c>
      <c r="H230" s="321">
        <v>0</v>
      </c>
      <c r="I230" s="313">
        <f>Tabel668910192832[[#This Row],[Fix.ch. 2015]]+Tabel668910192832[[#This Row],[Var. ch. 2015]]+Tabel668910192832[[#This Row],[Oth. ch. DW 2015]]</f>
        <v>229.67232491352655</v>
      </c>
      <c r="J230" s="322">
        <f>1462.08/E230</f>
        <v>227.08782785758549</v>
      </c>
      <c r="K230" s="323">
        <f>643.2/E230</f>
        <v>99.900751585411882</v>
      </c>
      <c r="L230" s="323"/>
      <c r="M230" s="323"/>
      <c r="N230" s="324">
        <v>0</v>
      </c>
      <c r="O230" s="1258">
        <f>896/E230</f>
        <v>139.16522608913098</v>
      </c>
      <c r="P230" s="1491">
        <f>Tabel668910192832[[#This Row],[Total. ch. DW 2015]]+Tabel668910192832[[#This Row],[Sew. 2015]]+Tabel668910192832[[#This Row],[WW 2015]]+Tabel668910192832[[#This Row],[Other ch. 2015]]+Tabel668910192832[[#This Row],[VAT 2015]]</f>
        <v>695.82613044565494</v>
      </c>
      <c r="Q230" s="397"/>
      <c r="R230" s="2158"/>
      <c r="S230" s="2159"/>
      <c r="T230" s="2160"/>
      <c r="U230" s="2141"/>
      <c r="V230" s="2142"/>
      <c r="W230" s="2143"/>
      <c r="X230" s="2144"/>
      <c r="Y230" s="2145"/>
      <c r="Z230" s="2146"/>
    </row>
    <row r="231" spans="1:26" ht="15.75" hidden="1" x14ac:dyDescent="0.25">
      <c r="A231" s="2005"/>
      <c r="B231" s="1617"/>
      <c r="C231" s="1308" t="s">
        <v>157</v>
      </c>
      <c r="D231" s="1546"/>
      <c r="E231" s="307">
        <f>'[1]exchange rates'!K58</f>
        <v>6.4383900000000001</v>
      </c>
      <c r="F231" s="319">
        <f>524/E231</f>
        <v>81.386806328911419</v>
      </c>
      <c r="G231" s="320">
        <f>357.6/E231</f>
        <v>55.541835769501382</v>
      </c>
      <c r="H231" s="321">
        <v>0</v>
      </c>
      <c r="I231" s="313">
        <f>Tabel668910192832[[#This Row],[Fix.ch. 2015]]+Tabel668910192832[[#This Row],[Var. ch. 2015]]+Tabel668910192832[[#This Row],[Oth. ch. DW 2015]]</f>
        <v>136.92864209841281</v>
      </c>
      <c r="J231" s="322">
        <f>786/E231</f>
        <v>122.08020949336714</v>
      </c>
      <c r="K231" s="323">
        <f>380/E231</f>
        <v>59.020966421729653</v>
      </c>
      <c r="L231" s="323"/>
      <c r="M231" s="323"/>
      <c r="N231" s="324">
        <f>531.2/E231</f>
        <v>82.50509832427052</v>
      </c>
      <c r="O231" s="1258">
        <f>644.7/E231</f>
        <v>100.13372908444504</v>
      </c>
      <c r="P231" s="1491">
        <f>Tabel668910192832[[#This Row],[Total. ch. DW 2015]]+Tabel668910192832[[#This Row],[Sew. 2015]]+Tabel668910192832[[#This Row],[WW 2015]]+Tabel668910192832[[#This Row],[Other ch. 2015]]+Tabel668910192832[[#This Row],[VAT 2015]]</f>
        <v>500.66864542222515</v>
      </c>
      <c r="Q231" s="397"/>
      <c r="R231" s="2158"/>
      <c r="S231" s="2159"/>
      <c r="T231" s="2160"/>
      <c r="U231" s="2141"/>
      <c r="V231" s="2142"/>
      <c r="W231" s="2143"/>
      <c r="X231" s="2144"/>
      <c r="Y231" s="2145"/>
      <c r="Z231" s="2146"/>
    </row>
    <row r="232" spans="1:26" ht="15.75" hidden="1" x14ac:dyDescent="0.25">
      <c r="A232" s="2005"/>
      <c r="B232" s="1617"/>
      <c r="C232" s="1308" t="s">
        <v>158</v>
      </c>
      <c r="D232" s="1546"/>
      <c r="E232" s="307">
        <f>'[1]exchange rates'!K58</f>
        <v>6.4383900000000001</v>
      </c>
      <c r="F232" s="319">
        <f>0</f>
        <v>0</v>
      </c>
      <c r="G232" s="320">
        <f>1072/E232</f>
        <v>166.50125264235314</v>
      </c>
      <c r="H232" s="321">
        <v>0</v>
      </c>
      <c r="I232" s="313">
        <f>Tabel668910192832[[#This Row],[Fix.ch. 2015]]+Tabel668910192832[[#This Row],[Var. ch. 2015]]+Tabel668910192832[[#This Row],[Oth. ch. DW 2015]]</f>
        <v>166.50125264235314</v>
      </c>
      <c r="J232" s="322">
        <v>0</v>
      </c>
      <c r="K232" s="323">
        <f>1608/E232</f>
        <v>249.75187896352969</v>
      </c>
      <c r="L232" s="323"/>
      <c r="M232" s="323"/>
      <c r="N232" s="324">
        <v>0</v>
      </c>
      <c r="O232" s="1258">
        <f>670/E232</f>
        <v>104.06328290147071</v>
      </c>
      <c r="P232" s="1491">
        <f>Tabel668910192832[[#This Row],[Total. ch. DW 2015]]+Tabel668910192832[[#This Row],[Sew. 2015]]+Tabel668910192832[[#This Row],[WW 2015]]+Tabel668910192832[[#This Row],[Other ch. 2015]]+Tabel668910192832[[#This Row],[VAT 2015]]</f>
        <v>520.31641450735356</v>
      </c>
      <c r="Q232" s="397"/>
      <c r="R232" s="2158"/>
      <c r="S232" s="2159"/>
      <c r="T232" s="2160"/>
      <c r="U232" s="2141"/>
      <c r="V232" s="2142"/>
      <c r="W232" s="2143"/>
      <c r="X232" s="2144"/>
      <c r="Y232" s="2145"/>
      <c r="Z232" s="2146"/>
    </row>
    <row r="233" spans="1:26" ht="16.5" hidden="1" thickBot="1" x14ac:dyDescent="0.3">
      <c r="A233" s="2006"/>
      <c r="B233" s="1617"/>
      <c r="C233" s="835" t="s">
        <v>159</v>
      </c>
      <c r="D233" s="1548"/>
      <c r="E233" s="307">
        <f>'[1]exchange rates'!K58</f>
        <v>6.4383900000000001</v>
      </c>
      <c r="F233" s="319">
        <f>1033.6/E233</f>
        <v>160.53702866710464</v>
      </c>
      <c r="G233" s="320">
        <f>466.4/E233</f>
        <v>72.44047036603871</v>
      </c>
      <c r="H233" s="321">
        <v>0</v>
      </c>
      <c r="I233" s="313">
        <f>Tabel668910192832[[#This Row],[Fix.ch. 2015]]+Tabel668910192832[[#This Row],[Var. ch. 2015]]+Tabel668910192832[[#This Row],[Oth. ch. DW 2015]]</f>
        <v>232.97749903314335</v>
      </c>
      <c r="J233" s="322">
        <f>1550.4/E233</f>
        <v>240.805543000657</v>
      </c>
      <c r="K233" s="323">
        <f>629.6/E233</f>
        <v>97.788422260844712</v>
      </c>
      <c r="L233" s="323"/>
      <c r="M233" s="323"/>
      <c r="N233" s="324">
        <v>0</v>
      </c>
      <c r="O233" s="1258">
        <f>920/E233</f>
        <v>142.89286607366128</v>
      </c>
      <c r="P233" s="1491">
        <f>Tabel668910192832[[#This Row],[Total. ch. DW 2015]]+Tabel668910192832[[#This Row],[Sew. 2015]]+Tabel668910192832[[#This Row],[WW 2015]]+Tabel668910192832[[#This Row],[Other ch. 2015]]+Tabel668910192832[[#This Row],[VAT 2015]]</f>
        <v>714.46433036830638</v>
      </c>
      <c r="Q233" s="397"/>
      <c r="R233" s="2223"/>
      <c r="S233" s="2225"/>
      <c r="T233" s="2227"/>
      <c r="U233" s="2234"/>
      <c r="V233" s="2236"/>
      <c r="W233" s="2238"/>
      <c r="X233" s="2240"/>
      <c r="Y233" s="2242"/>
      <c r="Z233" s="2244"/>
    </row>
    <row r="234" spans="1:26" ht="15.75" hidden="1" x14ac:dyDescent="0.25">
      <c r="A234" s="1818" t="s">
        <v>28</v>
      </c>
      <c r="B234" s="1213"/>
      <c r="C234" s="543" t="s">
        <v>160</v>
      </c>
      <c r="D234" s="2347">
        <v>59300</v>
      </c>
      <c r="E234" s="617">
        <f>'[1]exchange rates'!$M$59</f>
        <v>1.0015000000000001</v>
      </c>
      <c r="F234" s="549">
        <f>198/E234</f>
        <v>197.70344483275088</v>
      </c>
      <c r="G234" s="550">
        <f>129/E234</f>
        <v>128.80678981527709</v>
      </c>
      <c r="H234" s="551">
        <f>0</f>
        <v>0</v>
      </c>
      <c r="I234" s="566">
        <f>Tabel668910192832[[#This Row],[Fix.ch. 2015]]+Tabel668910192832[[#This Row],[Var. ch. 2015]]+Tabel668910192832[[#This Row],[Oth. ch. DW 2015]]</f>
        <v>326.51023464802796</v>
      </c>
      <c r="J234" s="567">
        <f>165.75/E234</f>
        <v>165.50174737893158</v>
      </c>
      <c r="K234" s="568">
        <v>0</v>
      </c>
      <c r="L234" s="568"/>
      <c r="M234" s="568"/>
      <c r="N234" s="569">
        <v>0</v>
      </c>
      <c r="O234" s="1271">
        <f>21.44/E234</f>
        <v>21.407888167748379</v>
      </c>
      <c r="P234" s="1496">
        <f>Tabel668910192832[[#This Row],[Total. ch. DW 2015]]+Tabel668910192832[[#This Row],[Sew. 2015]]+Tabel668910192832[[#This Row],[WW 2015]]+Tabel668910192832[[#This Row],[Other ch. 2015]]+Tabel668910192832[[#This Row],[VAT 2015]]</f>
        <v>513.41987019470798</v>
      </c>
      <c r="Q234" s="397"/>
      <c r="R234" s="2344">
        <f t="shared" ref="R234:W234" si="58">SUM(F234:F238)/5</f>
        <v>103.21118322516227</v>
      </c>
      <c r="S234" s="2345">
        <f t="shared" si="58"/>
        <v>169.14628057913129</v>
      </c>
      <c r="T234" s="2350">
        <f t="shared" si="58"/>
        <v>0</v>
      </c>
      <c r="U234" s="2361">
        <f t="shared" si="58"/>
        <v>272.35746380429356</v>
      </c>
      <c r="V234" s="2351">
        <f t="shared" si="58"/>
        <v>238.78182725911134</v>
      </c>
      <c r="W234" s="2352">
        <f t="shared" si="58"/>
        <v>0</v>
      </c>
      <c r="X234" s="2341">
        <f t="shared" ref="X234:Z234" si="59">SUM(N234:N238)/5</f>
        <v>0</v>
      </c>
      <c r="Y234" s="2342">
        <f t="shared" si="59"/>
        <v>25.913130304543188</v>
      </c>
      <c r="Z234" s="2353">
        <f t="shared" si="59"/>
        <v>537.052421367948</v>
      </c>
    </row>
    <row r="235" spans="1:26" ht="15.75" hidden="1" x14ac:dyDescent="0.25">
      <c r="A235" s="2294"/>
      <c r="B235" s="1213"/>
      <c r="C235" s="543" t="s">
        <v>603</v>
      </c>
      <c r="D235" s="2359"/>
      <c r="E235" s="617">
        <f>'[1]exchange rates'!$M$59</f>
        <v>1.0015000000000001</v>
      </c>
      <c r="F235" s="549">
        <f>108/E235</f>
        <v>107.83824263604592</v>
      </c>
      <c r="G235" s="550">
        <f>120/E235</f>
        <v>119.82026959560659</v>
      </c>
      <c r="H235" s="551">
        <v>0</v>
      </c>
      <c r="I235" s="566">
        <f>Tabel668910192832[[#This Row],[Fix.ch. 2015]]+Tabel668910192832[[#This Row],[Var. ch. 2015]]+Tabel668910192832[[#This Row],[Oth. ch. DW 2015]]</f>
        <v>227.65851223165251</v>
      </c>
      <c r="J235" s="567">
        <f>291.62/E235</f>
        <v>291.18322516225658</v>
      </c>
      <c r="K235" s="568">
        <v>0</v>
      </c>
      <c r="L235" s="568"/>
      <c r="M235" s="568"/>
      <c r="N235" s="569">
        <v>0</v>
      </c>
      <c r="O235" s="1271">
        <f>29.03/E235</f>
        <v>28.986520219670492</v>
      </c>
      <c r="P235" s="1496">
        <f>Tabel668910192832[[#This Row],[Total. ch. DW 2015]]+Tabel668910192832[[#This Row],[Sew. 2015]]+Tabel668910192832[[#This Row],[WW 2015]]+Tabel668910192832[[#This Row],[Other ch. 2015]]+Tabel668910192832[[#This Row],[VAT 2015]]</f>
        <v>547.82825761357958</v>
      </c>
      <c r="Q235" s="397"/>
      <c r="R235" s="1886"/>
      <c r="S235" s="1888"/>
      <c r="T235" s="1890"/>
      <c r="U235" s="1902"/>
      <c r="V235" s="1894"/>
      <c r="W235" s="1911"/>
      <c r="X235" s="1913"/>
      <c r="Y235" s="1915"/>
      <c r="Z235" s="2291"/>
    </row>
    <row r="236" spans="1:26" ht="15.75" hidden="1" x14ac:dyDescent="0.25">
      <c r="A236" s="2294"/>
      <c r="B236" s="1213"/>
      <c r="C236" s="543" t="s">
        <v>162</v>
      </c>
      <c r="D236" s="2359"/>
      <c r="E236" s="617">
        <f>'[1]exchange rates'!$M$59</f>
        <v>1.0015000000000001</v>
      </c>
      <c r="F236" s="549">
        <f>136/E236</f>
        <v>135.79630554168747</v>
      </c>
      <c r="G236" s="550">
        <f>192/E236</f>
        <v>191.71243135297053</v>
      </c>
      <c r="H236" s="551">
        <v>0</v>
      </c>
      <c r="I236" s="566">
        <f>Tabel668910192832[[#This Row],[Fix.ch. 2015]]+Tabel668910192832[[#This Row],[Var. ch. 2015]]+Tabel668910192832[[#This Row],[Oth. ch. DW 2015]]</f>
        <v>327.508736894658</v>
      </c>
      <c r="J236" s="567">
        <f>120/E236</f>
        <v>119.82026959560659</v>
      </c>
      <c r="K236" s="568">
        <v>0</v>
      </c>
      <c r="L236" s="568"/>
      <c r="M236" s="568"/>
      <c r="N236" s="569">
        <v>0</v>
      </c>
      <c r="O236" s="1271">
        <f>17.8/E236</f>
        <v>17.773339990014978</v>
      </c>
      <c r="P236" s="1496">
        <f>Tabel668910192832[[#This Row],[Total. ch. DW 2015]]+Tabel668910192832[[#This Row],[Sew. 2015]]+Tabel668910192832[[#This Row],[WW 2015]]+Tabel668910192832[[#This Row],[Other ch. 2015]]+Tabel668910192832[[#This Row],[VAT 2015]]</f>
        <v>465.10234648027955</v>
      </c>
      <c r="Q236" s="397"/>
      <c r="R236" s="1886"/>
      <c r="S236" s="1888"/>
      <c r="T236" s="1890"/>
      <c r="U236" s="1902"/>
      <c r="V236" s="1894"/>
      <c r="W236" s="1911"/>
      <c r="X236" s="1913"/>
      <c r="Y236" s="1915"/>
      <c r="Z236" s="2291"/>
    </row>
    <row r="237" spans="1:26" ht="15.75" hidden="1" x14ac:dyDescent="0.25">
      <c r="A237" s="2294"/>
      <c r="B237" s="1213"/>
      <c r="C237" s="543" t="s">
        <v>161</v>
      </c>
      <c r="D237" s="2359"/>
      <c r="E237" s="617">
        <f>'[1]exchange rates'!$M$59</f>
        <v>1.0015000000000001</v>
      </c>
      <c r="F237" s="549">
        <f>70/E237</f>
        <v>69.895157264103844</v>
      </c>
      <c r="G237" s="550">
        <f>146/E237</f>
        <v>145.78132800798801</v>
      </c>
      <c r="H237" s="551">
        <v>0</v>
      </c>
      <c r="I237" s="566">
        <f>Tabel668910192832[[#This Row],[Fix.ch. 2015]]+Tabel668910192832[[#This Row],[Var. ch. 2015]]+Tabel668910192832[[#This Row],[Oth. ch. DW 2015]]</f>
        <v>215.67648527209184</v>
      </c>
      <c r="J237" s="567">
        <f>240/E237</f>
        <v>239.64053919121318</v>
      </c>
      <c r="K237" s="568">
        <v>0</v>
      </c>
      <c r="L237" s="568"/>
      <c r="M237" s="568"/>
      <c r="N237" s="569">
        <v>0</v>
      </c>
      <c r="O237" s="1271">
        <f>24.6/E237</f>
        <v>24.563155267099351</v>
      </c>
      <c r="P237" s="1496">
        <f>Tabel668910192832[[#This Row],[Total. ch. DW 2015]]+Tabel668910192832[[#This Row],[Sew. 2015]]+Tabel668910192832[[#This Row],[WW 2015]]+Tabel668910192832[[#This Row],[Other ch. 2015]]+Tabel668910192832[[#This Row],[VAT 2015]]</f>
        <v>479.88017973040439</v>
      </c>
      <c r="Q237" s="397"/>
      <c r="R237" s="1886"/>
      <c r="S237" s="1888"/>
      <c r="T237" s="1890"/>
      <c r="U237" s="1902"/>
      <c r="V237" s="1894"/>
      <c r="W237" s="1911"/>
      <c r="X237" s="1913"/>
      <c r="Y237" s="1915"/>
      <c r="Z237" s="2291"/>
    </row>
    <row r="238" spans="1:26" ht="16.5" hidden="1" thickBot="1" x14ac:dyDescent="0.3">
      <c r="A238" s="2295"/>
      <c r="B238" s="1213"/>
      <c r="C238" s="544" t="s">
        <v>163</v>
      </c>
      <c r="D238" s="2349"/>
      <c r="E238" s="617">
        <f>'[1]exchange rates'!$M$59</f>
        <v>1.0015000000000001</v>
      </c>
      <c r="F238" s="549">
        <f>4.83/E238</f>
        <v>4.8227658512231653</v>
      </c>
      <c r="G238" s="550">
        <f>260/E238</f>
        <v>259.61058412381425</v>
      </c>
      <c r="H238" s="551">
        <v>0</v>
      </c>
      <c r="I238" s="566">
        <f>Tabel668910192832[[#This Row],[Fix.ch. 2015]]+Tabel668910192832[[#This Row],[Var. ch. 2015]]+Tabel668910192832[[#This Row],[Oth. ch. DW 2015]]</f>
        <v>264.4333499750374</v>
      </c>
      <c r="J238" s="567">
        <f>378.33/E238</f>
        <v>377.76335496754865</v>
      </c>
      <c r="K238" s="568">
        <v>0</v>
      </c>
      <c r="L238" s="568"/>
      <c r="M238" s="568"/>
      <c r="N238" s="569">
        <v>0</v>
      </c>
      <c r="O238" s="1271">
        <f>36.89/E238</f>
        <v>36.834747878182725</v>
      </c>
      <c r="P238" s="1496">
        <f>Tabel668910192832[[#This Row],[Total. ch. DW 2015]]+Tabel668910192832[[#This Row],[Sew. 2015]]+Tabel668910192832[[#This Row],[WW 2015]]+Tabel668910192832[[#This Row],[Other ch. 2015]]+Tabel668910192832[[#This Row],[VAT 2015]]</f>
        <v>679.03145282076878</v>
      </c>
      <c r="Q238" s="397"/>
      <c r="R238" s="1764"/>
      <c r="S238" s="1767"/>
      <c r="T238" s="1770"/>
      <c r="U238" s="2255"/>
      <c r="V238" s="1779"/>
      <c r="W238" s="1811"/>
      <c r="X238" s="1813"/>
      <c r="Y238" s="1815"/>
      <c r="Z238" s="2292"/>
    </row>
    <row r="239" spans="1:26" ht="19.5" hidden="1" thickBot="1" x14ac:dyDescent="0.3">
      <c r="A239" s="1170" t="s">
        <v>706</v>
      </c>
      <c r="B239" s="1213"/>
      <c r="C239" s="544" t="s">
        <v>708</v>
      </c>
      <c r="D239" s="1558">
        <v>3000</v>
      </c>
      <c r="E239" s="617">
        <f>'[1]exchange rates'!M60</f>
        <v>2171.8366799999999</v>
      </c>
      <c r="F239" s="549"/>
      <c r="G239" s="550"/>
      <c r="H239" s="551"/>
      <c r="I239" s="566">
        <f>Tabel668910192832[[#This Row],[Fix.ch. 2015]]+Tabel668910192832[[#This Row],[Var. ch. 2015]]+Tabel668910192832[[#This Row],[Oth. ch. DW 2015]]</f>
        <v>0</v>
      </c>
      <c r="J239" s="567"/>
      <c r="K239" s="568"/>
      <c r="L239" s="568"/>
      <c r="M239" s="568"/>
      <c r="N239" s="569"/>
      <c r="O239" s="1271"/>
      <c r="P239" s="1496">
        <f>Tabel668910192832[[#This Row],[Total. ch. DW 2015]]+Tabel668910192832[[#This Row],[Sew. 2015]]+Tabel668910192832[[#This Row],[WW 2015]]+Tabel668910192832[[#This Row],[Other ch. 2015]]+Tabel668910192832[[#This Row],[VAT 2015]]</f>
        <v>0</v>
      </c>
      <c r="Q239" s="397"/>
      <c r="R239" s="1296"/>
      <c r="S239" s="1309"/>
      <c r="T239" s="1298"/>
      <c r="U239" s="1559"/>
      <c r="V239" s="1300"/>
      <c r="W239" s="1301"/>
      <c r="X239" s="1302"/>
      <c r="Y239" s="1312"/>
      <c r="Z239" s="1313"/>
    </row>
    <row r="240" spans="1:26" ht="19.5" hidden="1" thickBot="1" x14ac:dyDescent="0.3">
      <c r="A240" s="1170" t="s">
        <v>737</v>
      </c>
      <c r="B240" s="1213"/>
      <c r="C240" s="544" t="s">
        <v>738</v>
      </c>
      <c r="D240" s="1558">
        <v>16100</v>
      </c>
      <c r="E240" s="617">
        <f>'[1]exchange rates'!M61</f>
        <v>36.151380000000003</v>
      </c>
      <c r="F240" s="549"/>
      <c r="G240" s="550"/>
      <c r="H240" s="551"/>
      <c r="I240" s="566">
        <f>((30*8.5)+(10*10.03)+(10*10.35)+(10*10.68)+(10*11)+(10*11.33)+(10*12.5)+(10*12.82))/E240</f>
        <v>28.826008854986998</v>
      </c>
      <c r="J240" s="567"/>
      <c r="K240" s="568">
        <f>(3.358*100)/E240</f>
        <v>9.2887187155787689</v>
      </c>
      <c r="L240" s="568"/>
      <c r="M240" s="568"/>
      <c r="N240" s="569"/>
      <c r="O240" s="1271"/>
      <c r="P240" s="1496">
        <f>Tabel668910192832[[#This Row],[Total. ch. DW 2015]]+Tabel668910192832[[#This Row],[Sew. 2015]]+Tabel668910192832[[#This Row],[WW 2015]]+Tabel668910192832[[#This Row],[Other ch. 2015]]+Tabel668910192832[[#This Row],[VAT 2015]]</f>
        <v>38.114727570565769</v>
      </c>
      <c r="Q240" s="397"/>
      <c r="R240" s="1296"/>
      <c r="S240" s="1309"/>
      <c r="T240" s="1298"/>
      <c r="U240" s="1560">
        <f>Tabel668910192832[[#This Row],[Total. ch. DW 2015]]</f>
        <v>28.826008854986998</v>
      </c>
      <c r="V240" s="1300"/>
      <c r="W240" s="1301">
        <f>Tabel668910192832[[#This Row],[WW 2015]]</f>
        <v>9.2887187155787689</v>
      </c>
      <c r="X240" s="1302"/>
      <c r="Y240" s="1312"/>
      <c r="Z240" s="1304">
        <f>U240+W240</f>
        <v>38.114727570565769</v>
      </c>
    </row>
    <row r="241" spans="1:26" ht="16.5" hidden="1" thickBot="1" x14ac:dyDescent="0.3">
      <c r="A241" s="267" t="s">
        <v>29</v>
      </c>
      <c r="B241" s="1616"/>
      <c r="C241" s="1516" t="s">
        <v>164</v>
      </c>
      <c r="D241" s="1542"/>
      <c r="E241" s="307"/>
      <c r="F241" s="319"/>
      <c r="G241" s="320"/>
      <c r="H241" s="321"/>
      <c r="I241" s="313">
        <f>Tabel668910192832[[#This Row],[Fix.ch. 2015]]+Tabel668910192832[[#This Row],[Var. ch. 2015]]+Tabel668910192832[[#This Row],[Oth. ch. DW 2015]]</f>
        <v>0</v>
      </c>
      <c r="J241" s="322"/>
      <c r="K241" s="323"/>
      <c r="L241" s="323"/>
      <c r="M241" s="323"/>
      <c r="N241" s="324"/>
      <c r="O241" s="1258"/>
      <c r="P241" s="1491">
        <f>Tabel668910192832[[#This Row],[Total. ch. DW 2015]]+Tabel668910192832[[#This Row],[Sew. 2015]]+Tabel668910192832[[#This Row],[WW 2015]]+Tabel668910192832[[#This Row],[Other ch. 2015]]+Tabel668910192832[[#This Row],[VAT 2015]]</f>
        <v>0</v>
      </c>
      <c r="Q241" s="397"/>
      <c r="R241" s="376"/>
      <c r="S241" s="377"/>
      <c r="T241" s="378"/>
      <c r="U241" s="379"/>
      <c r="V241" s="380"/>
      <c r="W241" s="381"/>
      <c r="X241" s="382"/>
      <c r="Y241" s="383"/>
      <c r="Z241" s="384"/>
    </row>
    <row r="242" spans="1:26" ht="15.75" hidden="1" x14ac:dyDescent="0.25">
      <c r="A242" s="1878" t="s">
        <v>505</v>
      </c>
      <c r="B242" s="1213"/>
      <c r="C242" s="1512" t="s">
        <v>746</v>
      </c>
      <c r="D242" s="2360">
        <v>2100</v>
      </c>
      <c r="E242" s="617">
        <f>'[1]exchange rates'!$M$63</f>
        <v>3401.52324</v>
      </c>
      <c r="F242" s="549">
        <f>10563/E242</f>
        <v>3.1053734620375546</v>
      </c>
      <c r="G242" s="550">
        <f>228613/E242</f>
        <v>67.209007221129553</v>
      </c>
      <c r="H242" s="551">
        <v>0</v>
      </c>
      <c r="I242" s="566">
        <f>Tabel668910192832[[#This Row],[Fix.ch. 2015]]+Tabel668910192832[[#This Row],[Var. ch. 2015]]+Tabel668910192832[[#This Row],[Oth. ch. DW 2015]]</f>
        <v>70.314380683167101</v>
      </c>
      <c r="J242" s="567">
        <v>0</v>
      </c>
      <c r="K242" s="568">
        <f>50028/E242</f>
        <v>14.707528501260512</v>
      </c>
      <c r="L242" s="568"/>
      <c r="M242" s="568"/>
      <c r="N242" s="569">
        <v>0</v>
      </c>
      <c r="O242" s="1271">
        <v>0</v>
      </c>
      <c r="P242" s="1496">
        <f>Tabel668910192832[[#This Row],[Total. ch. DW 2015]]+Tabel668910192832[[#This Row],[Sew. 2015]]+Tabel668910192832[[#This Row],[WW 2015]]+Tabel668910192832[[#This Row],[Other ch. 2015]]+Tabel668910192832[[#This Row],[VAT 2015]]</f>
        <v>85.021909184427614</v>
      </c>
      <c r="Q242" s="397"/>
      <c r="R242" s="2344">
        <f t="shared" ref="R242:W242" si="60">SUM(F242:F245)/4</f>
        <v>3.0994937432795551</v>
      </c>
      <c r="S242" s="2345">
        <f t="shared" si="60"/>
        <v>68.904203635545358</v>
      </c>
      <c r="T242" s="2350">
        <f t="shared" si="60"/>
        <v>0</v>
      </c>
      <c r="U242" s="2340">
        <f t="shared" si="60"/>
        <v>72.00369737882491</v>
      </c>
      <c r="V242" s="2351">
        <f t="shared" si="60"/>
        <v>0</v>
      </c>
      <c r="W242" s="2352">
        <f t="shared" si="60"/>
        <v>14.380910124253628</v>
      </c>
      <c r="X242" s="2341">
        <f t="shared" ref="X242:Z242" si="61">SUM(N242:N245)/4</f>
        <v>0</v>
      </c>
      <c r="Y242" s="2342">
        <f t="shared" si="61"/>
        <v>0</v>
      </c>
      <c r="Z242" s="2339">
        <f t="shared" si="61"/>
        <v>86.384607503078527</v>
      </c>
    </row>
    <row r="243" spans="1:26" ht="15.75" hidden="1" x14ac:dyDescent="0.25">
      <c r="A243" s="1757"/>
      <c r="B243" s="1213"/>
      <c r="C243" s="1293" t="s">
        <v>747</v>
      </c>
      <c r="D243" s="2296"/>
      <c r="E243" s="617">
        <f>'[1]exchange rates'!$M$63</f>
        <v>3401.52324</v>
      </c>
      <c r="F243" s="549">
        <f>9691/E243</f>
        <v>2.8490177241887666</v>
      </c>
      <c r="G243" s="550">
        <f>235864/E243</f>
        <v>69.340699256842356</v>
      </c>
      <c r="H243" s="551">
        <v>0</v>
      </c>
      <c r="I243" s="566">
        <f>Tabel668910192832[[#This Row],[Fix.ch. 2015]]+Tabel668910192832[[#This Row],[Var. ch. 2015]]+Tabel668910192832[[#This Row],[Oth. ch. DW 2015]]</f>
        <v>72.189716981031125</v>
      </c>
      <c r="J243" s="567">
        <v>0</v>
      </c>
      <c r="K243" s="568">
        <f>82721/E243</f>
        <v>24.318810769024761</v>
      </c>
      <c r="L243" s="568"/>
      <c r="M243" s="568"/>
      <c r="N243" s="569">
        <v>0</v>
      </c>
      <c r="O243" s="1271">
        <v>0</v>
      </c>
      <c r="P243" s="1496">
        <f>Tabel668910192832[[#This Row],[Total. ch. DW 2015]]+Tabel668910192832[[#This Row],[Sew. 2015]]+Tabel668910192832[[#This Row],[WW 2015]]+Tabel668910192832[[#This Row],[Other ch. 2015]]+Tabel668910192832[[#This Row],[VAT 2015]]</f>
        <v>96.50852775005589</v>
      </c>
      <c r="Q243" s="397"/>
      <c r="R243" s="1886"/>
      <c r="S243" s="1888"/>
      <c r="T243" s="1890"/>
      <c r="U243" s="1892"/>
      <c r="V243" s="1894"/>
      <c r="W243" s="1911"/>
      <c r="X243" s="1913"/>
      <c r="Y243" s="1915"/>
      <c r="Z243" s="1832"/>
    </row>
    <row r="244" spans="1:26" ht="15.75" hidden="1" x14ac:dyDescent="0.25">
      <c r="A244" s="1757"/>
      <c r="B244" s="1213"/>
      <c r="C244" s="1293" t="s">
        <v>748</v>
      </c>
      <c r="D244" s="2296"/>
      <c r="E244" s="617">
        <f>'[1]exchange rates'!$M$63</f>
        <v>3401.52324</v>
      </c>
      <c r="F244" s="549">
        <f>11566/E244</f>
        <v>3.4002413577512409</v>
      </c>
      <c r="G244" s="550">
        <f>232984/E244</f>
        <v>68.494019755690388</v>
      </c>
      <c r="H244" s="551">
        <v>0</v>
      </c>
      <c r="I244" s="566">
        <f>Tabel668910192832[[#This Row],[Fix.ch. 2015]]+Tabel668910192832[[#This Row],[Var. ch. 2015]]+Tabel668910192832[[#This Row],[Oth. ch. DW 2015]]</f>
        <v>71.89426111344163</v>
      </c>
      <c r="J244" s="567">
        <v>0</v>
      </c>
      <c r="K244" s="568">
        <f>29186/E244</f>
        <v>8.5802735835489994</v>
      </c>
      <c r="L244" s="568"/>
      <c r="M244" s="568"/>
      <c r="N244" s="569">
        <v>0</v>
      </c>
      <c r="O244" s="1271">
        <v>0</v>
      </c>
      <c r="P244" s="1496">
        <f>Tabel668910192832[[#This Row],[Total. ch. DW 2015]]+Tabel668910192832[[#This Row],[Sew. 2015]]+Tabel668910192832[[#This Row],[WW 2015]]+Tabel668910192832[[#This Row],[Other ch. 2015]]+Tabel668910192832[[#This Row],[VAT 2015]]</f>
        <v>80.474534696990631</v>
      </c>
      <c r="Q244" s="397"/>
      <c r="R244" s="1886"/>
      <c r="S244" s="1888"/>
      <c r="T244" s="1890"/>
      <c r="U244" s="1892"/>
      <c r="V244" s="1894"/>
      <c r="W244" s="1911"/>
      <c r="X244" s="1913"/>
      <c r="Y244" s="1915"/>
      <c r="Z244" s="1832"/>
    </row>
    <row r="245" spans="1:26" ht="16.5" hidden="1" thickBot="1" x14ac:dyDescent="0.3">
      <c r="A245" s="1758"/>
      <c r="B245" s="1213"/>
      <c r="C245" s="652" t="s">
        <v>749</v>
      </c>
      <c r="D245" s="2187"/>
      <c r="E245" s="617">
        <f>'[1]exchange rates'!$M$63</f>
        <v>3401.52324</v>
      </c>
      <c r="F245" s="549">
        <f>10352/E245</f>
        <v>3.0433424291406577</v>
      </c>
      <c r="G245" s="550">
        <f>240056/E245</f>
        <v>70.573088308519104</v>
      </c>
      <c r="H245" s="551">
        <v>0</v>
      </c>
      <c r="I245" s="566">
        <f>Tabel668910192832[[#This Row],[Fix.ch. 2015]]+Tabel668910192832[[#This Row],[Var. ch. 2015]]+Tabel668910192832[[#This Row],[Oth. ch. DW 2015]]</f>
        <v>73.616430737659755</v>
      </c>
      <c r="J245" s="567">
        <v>0</v>
      </c>
      <c r="K245" s="568">
        <f>33733/E245</f>
        <v>9.9170276431802353</v>
      </c>
      <c r="L245" s="568"/>
      <c r="M245" s="568"/>
      <c r="N245" s="569">
        <v>0</v>
      </c>
      <c r="O245" s="1271">
        <v>0</v>
      </c>
      <c r="P245" s="1496">
        <f>Tabel668910192832[[#This Row],[Total. ch. DW 2015]]+Tabel668910192832[[#This Row],[Sew. 2015]]+Tabel668910192832[[#This Row],[WW 2015]]+Tabel668910192832[[#This Row],[Other ch. 2015]]+Tabel668910192832[[#This Row],[VAT 2015]]</f>
        <v>83.533458380839988</v>
      </c>
      <c r="Q245" s="397"/>
      <c r="R245" s="1764"/>
      <c r="S245" s="1767"/>
      <c r="T245" s="1770"/>
      <c r="U245" s="1776"/>
      <c r="V245" s="1779"/>
      <c r="W245" s="1811"/>
      <c r="X245" s="1813"/>
      <c r="Y245" s="1815"/>
      <c r="Z245" s="1794"/>
    </row>
    <row r="246" spans="1:26" ht="15.75" hidden="1" x14ac:dyDescent="0.25">
      <c r="A246" s="1818" t="s">
        <v>456</v>
      </c>
      <c r="B246" s="1213"/>
      <c r="C246" s="1513" t="s">
        <v>165</v>
      </c>
      <c r="D246" s="2347">
        <v>41200</v>
      </c>
      <c r="E246" s="617">
        <f>'[1]exchange rates'!$M$64</f>
        <v>0.67854999999999999</v>
      </c>
      <c r="F246" s="549">
        <f>29.52/E246</f>
        <v>43.504531722054381</v>
      </c>
      <c r="G246" s="550">
        <f>148.39/E246</f>
        <v>218.68690590229164</v>
      </c>
      <c r="H246" s="551">
        <f>0</f>
        <v>0</v>
      </c>
      <c r="I246" s="566">
        <f>Tabel668910192832[[#This Row],[Fix.ch. 2015]]+Tabel668910192832[[#This Row],[Var. ch. 2015]]+Tabel668910192832[[#This Row],[Oth. ch. DW 2015]]</f>
        <v>262.19143762434601</v>
      </c>
      <c r="J246" s="567">
        <v>0</v>
      </c>
      <c r="K246" s="568">
        <f>167.83/E246</f>
        <v>247.33623167047384</v>
      </c>
      <c r="L246" s="568"/>
      <c r="M246" s="568"/>
      <c r="N246" s="569">
        <v>0</v>
      </c>
      <c r="O246" s="1271">
        <v>0</v>
      </c>
      <c r="P246" s="1496">
        <f>Tabel668910192832[[#This Row],[Total. ch. DW 2015]]+Tabel668910192832[[#This Row],[Sew. 2015]]+Tabel668910192832[[#This Row],[WW 2015]]+Tabel668910192832[[#This Row],[Other ch. 2015]]+Tabel668910192832[[#This Row],[VAT 2015]]</f>
        <v>509.52766929481982</v>
      </c>
      <c r="Q246" s="397"/>
      <c r="R246" s="2344">
        <f t="shared" ref="R246:W246" si="62">SUM(F246:F250)/5</f>
        <v>41.957114435192693</v>
      </c>
      <c r="S246" s="2345">
        <f t="shared" si="62"/>
        <v>208.40616019453245</v>
      </c>
      <c r="T246" s="2350">
        <f t="shared" si="62"/>
        <v>0</v>
      </c>
      <c r="U246" s="2340">
        <f t="shared" si="62"/>
        <v>250.36327462972517</v>
      </c>
      <c r="V246" s="2351">
        <f t="shared" si="62"/>
        <v>0</v>
      </c>
      <c r="W246" s="2352">
        <f t="shared" si="62"/>
        <v>289.50851079507777</v>
      </c>
      <c r="X246" s="2341">
        <f t="shared" ref="X246:Z246" si="63">SUM(N246:N250)/5</f>
        <v>0</v>
      </c>
      <c r="Y246" s="2342">
        <f t="shared" si="63"/>
        <v>0</v>
      </c>
      <c r="Z246" s="2339">
        <f t="shared" si="63"/>
        <v>539.87178542480285</v>
      </c>
    </row>
    <row r="247" spans="1:26" ht="15.75" hidden="1" x14ac:dyDescent="0.25">
      <c r="A247" s="2294"/>
      <c r="B247" s="1213"/>
      <c r="C247" s="543" t="s">
        <v>166</v>
      </c>
      <c r="D247" s="2359"/>
      <c r="E247" s="617">
        <f>'[1]exchange rates'!$M$64</f>
        <v>0.67854999999999999</v>
      </c>
      <c r="F247" s="549">
        <f>34.4/E247</f>
        <v>50.696337779087763</v>
      </c>
      <c r="G247" s="550">
        <f>130.79/E247</f>
        <v>192.74924471299093</v>
      </c>
      <c r="H247" s="551">
        <v>0</v>
      </c>
      <c r="I247" s="566">
        <f>Tabel668910192832[[#This Row],[Fix.ch. 2015]]+Tabel668910192832[[#This Row],[Var. ch. 2015]]+Tabel668910192832[[#This Row],[Oth. ch. DW 2015]]</f>
        <v>243.4455824920787</v>
      </c>
      <c r="J247" s="567">
        <v>0</v>
      </c>
      <c r="K247" s="568">
        <f>247.53/E247</f>
        <v>364.79257239702309</v>
      </c>
      <c r="L247" s="568"/>
      <c r="M247" s="568"/>
      <c r="N247" s="569">
        <v>0</v>
      </c>
      <c r="O247" s="1271">
        <v>0</v>
      </c>
      <c r="P247" s="1496">
        <f>Tabel668910192832[[#This Row],[Total. ch. DW 2015]]+Tabel668910192832[[#This Row],[Sew. 2015]]+Tabel668910192832[[#This Row],[WW 2015]]+Tabel668910192832[[#This Row],[Other ch. 2015]]+Tabel668910192832[[#This Row],[VAT 2015]]</f>
        <v>608.23815488910179</v>
      </c>
      <c r="Q247" s="397"/>
      <c r="R247" s="1886"/>
      <c r="S247" s="1888"/>
      <c r="T247" s="1890"/>
      <c r="U247" s="1892"/>
      <c r="V247" s="1894"/>
      <c r="W247" s="1911"/>
      <c r="X247" s="1913"/>
      <c r="Y247" s="1915"/>
      <c r="Z247" s="1832"/>
    </row>
    <row r="248" spans="1:26" ht="15.75" hidden="1" x14ac:dyDescent="0.25">
      <c r="A248" s="2294"/>
      <c r="B248" s="1213"/>
      <c r="C248" s="543" t="s">
        <v>167</v>
      </c>
      <c r="D248" s="2359"/>
      <c r="E248" s="617">
        <f>'[1]exchange rates'!$M$64</f>
        <v>0.67854999999999999</v>
      </c>
      <c r="F248" s="549">
        <f>21.25/E248</f>
        <v>31.31677842458183</v>
      </c>
      <c r="G248" s="550">
        <f>126.29/E248</f>
        <v>186.11745634072656</v>
      </c>
      <c r="H248" s="551">
        <v>0</v>
      </c>
      <c r="I248" s="566">
        <f>Tabel668910192832[[#This Row],[Fix.ch. 2015]]+Tabel668910192832[[#This Row],[Var. ch. 2015]]+Tabel668910192832[[#This Row],[Oth. ch. DW 2015]]</f>
        <v>217.43423476530839</v>
      </c>
      <c r="J248" s="567">
        <v>0</v>
      </c>
      <c r="K248" s="568">
        <f>147.58/E248</f>
        <v>217.49318399528408</v>
      </c>
      <c r="L248" s="568"/>
      <c r="M248" s="568"/>
      <c r="N248" s="569">
        <v>0</v>
      </c>
      <c r="O248" s="1271">
        <v>0</v>
      </c>
      <c r="P248" s="1496">
        <f>Tabel668910192832[[#This Row],[Total. ch. DW 2015]]+Tabel668910192832[[#This Row],[Sew. 2015]]+Tabel668910192832[[#This Row],[WW 2015]]+Tabel668910192832[[#This Row],[Other ch. 2015]]+Tabel668910192832[[#This Row],[VAT 2015]]</f>
        <v>434.92741876059245</v>
      </c>
      <c r="Q248" s="397"/>
      <c r="R248" s="1763"/>
      <c r="S248" s="1766"/>
      <c r="T248" s="1769"/>
      <c r="U248" s="1775"/>
      <c r="V248" s="1778"/>
      <c r="W248" s="1781"/>
      <c r="X248" s="1785"/>
      <c r="Y248" s="1788"/>
      <c r="Z248" s="1791"/>
    </row>
    <row r="249" spans="1:26" ht="15.75" hidden="1" x14ac:dyDescent="0.25">
      <c r="A249" s="2294"/>
      <c r="B249" s="1213"/>
      <c r="C249" s="543" t="s">
        <v>168</v>
      </c>
      <c r="D249" s="2359"/>
      <c r="E249" s="617">
        <f>'[1]exchange rates'!$M$64</f>
        <v>0.67854999999999999</v>
      </c>
      <c r="F249" s="549">
        <f>34.79/E249</f>
        <v>51.271092771350673</v>
      </c>
      <c r="G249" s="550">
        <f>175/E249</f>
        <v>257.90288114361505</v>
      </c>
      <c r="H249" s="551">
        <v>0</v>
      </c>
      <c r="I249" s="566">
        <f>Tabel668910192832[[#This Row],[Fix.ch. 2015]]+Tabel668910192832[[#This Row],[Var. ch. 2015]]+Tabel668910192832[[#This Row],[Oth. ch. DW 2015]]</f>
        <v>309.1739739149657</v>
      </c>
      <c r="J249" s="567">
        <v>0</v>
      </c>
      <c r="K249" s="568">
        <f>216.44/E249</f>
        <v>318.9742833984231</v>
      </c>
      <c r="L249" s="568"/>
      <c r="M249" s="568"/>
      <c r="N249" s="569">
        <v>0</v>
      </c>
      <c r="O249" s="1271">
        <v>0</v>
      </c>
      <c r="P249" s="1496">
        <f>Tabel668910192832[[#This Row],[Total. ch. DW 2015]]+Tabel668910192832[[#This Row],[Sew. 2015]]+Tabel668910192832[[#This Row],[WW 2015]]+Tabel668910192832[[#This Row],[Other ch. 2015]]+Tabel668910192832[[#This Row],[VAT 2015]]</f>
        <v>628.14825731338874</v>
      </c>
      <c r="Q249" s="397"/>
      <c r="R249" s="1763"/>
      <c r="S249" s="1766"/>
      <c r="T249" s="1769"/>
      <c r="U249" s="1775"/>
      <c r="V249" s="1778"/>
      <c r="W249" s="1781"/>
      <c r="X249" s="1785"/>
      <c r="Y249" s="1788"/>
      <c r="Z249" s="1791"/>
    </row>
    <row r="250" spans="1:26" ht="16.5" hidden="1" thickBot="1" x14ac:dyDescent="0.3">
      <c r="A250" s="2295"/>
      <c r="B250" s="1213"/>
      <c r="C250" s="543" t="s">
        <v>169</v>
      </c>
      <c r="D250" s="2359"/>
      <c r="E250" s="617">
        <f>'[1]exchange rates'!$M$64</f>
        <v>0.67854999999999999</v>
      </c>
      <c r="F250" s="549">
        <f>22.39/E250</f>
        <v>32.996831478888808</v>
      </c>
      <c r="G250" s="550">
        <f>126.6/E250</f>
        <v>186.57431287303808</v>
      </c>
      <c r="H250" s="551">
        <v>0</v>
      </c>
      <c r="I250" s="566">
        <f>Tabel668910192832[[#This Row],[Fix.ch. 2015]]+Tabel668910192832[[#This Row],[Var. ch. 2015]]+Tabel668910192832[[#This Row],[Oth. ch. DW 2015]]</f>
        <v>219.57114435192688</v>
      </c>
      <c r="J250" s="567">
        <v>0</v>
      </c>
      <c r="K250" s="568">
        <f>202.85/E250</f>
        <v>298.94628251418465</v>
      </c>
      <c r="L250" s="568"/>
      <c r="M250" s="568"/>
      <c r="N250" s="569">
        <v>0</v>
      </c>
      <c r="O250" s="1271">
        <v>0</v>
      </c>
      <c r="P250" s="1496">
        <f>Tabel668910192832[[#This Row],[Total. ch. DW 2015]]+Tabel668910192832[[#This Row],[Sew. 2015]]+Tabel668910192832[[#This Row],[WW 2015]]+Tabel668910192832[[#This Row],[Other ch. 2015]]+Tabel668910192832[[#This Row],[VAT 2015]]</f>
        <v>518.51742686611146</v>
      </c>
      <c r="Q250" s="397"/>
      <c r="R250" s="1764"/>
      <c r="S250" s="1767"/>
      <c r="T250" s="1770"/>
      <c r="U250" s="1776"/>
      <c r="V250" s="1779"/>
      <c r="W250" s="1811"/>
      <c r="X250" s="1813"/>
      <c r="Y250" s="1815"/>
      <c r="Z250" s="1794"/>
    </row>
    <row r="251" spans="1:26" ht="15.75" hidden="1" x14ac:dyDescent="0.25">
      <c r="A251" s="2192" t="s">
        <v>31</v>
      </c>
      <c r="B251" s="1213"/>
      <c r="C251" s="1512" t="s">
        <v>170</v>
      </c>
      <c r="D251" s="2347">
        <v>56300</v>
      </c>
      <c r="E251" s="715">
        <v>1</v>
      </c>
      <c r="F251" s="549">
        <v>178.85</v>
      </c>
      <c r="G251" s="550">
        <v>134.55000000000001</v>
      </c>
      <c r="H251" s="551">
        <v>0</v>
      </c>
      <c r="I251" s="566">
        <f>Tabel668910192832[[#This Row],[Fix.ch. 2015]]+Tabel668910192832[[#This Row],[Var. ch. 2015]]+Tabel668910192832[[#This Row],[Oth. ch. DW 2015]]</f>
        <v>313.39999999999998</v>
      </c>
      <c r="J251" s="567">
        <v>0</v>
      </c>
      <c r="K251" s="568">
        <v>213.93</v>
      </c>
      <c r="L251" s="568"/>
      <c r="M251" s="568"/>
      <c r="N251" s="569">
        <v>0</v>
      </c>
      <c r="O251" s="1271">
        <v>0</v>
      </c>
      <c r="P251" s="1496">
        <f>Tabel668910192832[[#This Row],[Total. ch. DW 2015]]+Tabel668910192832[[#This Row],[Sew. 2015]]+Tabel668910192832[[#This Row],[WW 2015]]+Tabel668910192832[[#This Row],[Other ch. 2015]]+Tabel668910192832[[#This Row],[VAT 2015]]</f>
        <v>527.32999999999993</v>
      </c>
      <c r="Q251" s="397"/>
      <c r="R251" s="2344">
        <f t="shared" ref="R251:W251" si="64">SUM(F251:F257)/7</f>
        <v>58.721428571428568</v>
      </c>
      <c r="S251" s="2345">
        <f t="shared" si="64"/>
        <v>101.71000000000001</v>
      </c>
      <c r="T251" s="2350">
        <f t="shared" si="64"/>
        <v>10.799999999999999</v>
      </c>
      <c r="U251" s="2340">
        <f t="shared" si="64"/>
        <v>171.23142857142855</v>
      </c>
      <c r="V251" s="2351">
        <f t="shared" si="64"/>
        <v>0</v>
      </c>
      <c r="W251" s="2352">
        <f t="shared" si="64"/>
        <v>162.71571428571428</v>
      </c>
      <c r="X251" s="2341">
        <f t="shared" ref="X251:Z251" si="65">SUM(N251:N257)/7</f>
        <v>34.799999999999997</v>
      </c>
      <c r="Y251" s="2342">
        <f t="shared" si="65"/>
        <v>1.8142857142857143</v>
      </c>
      <c r="Z251" s="2339">
        <f t="shared" si="65"/>
        <v>370.56142857142862</v>
      </c>
    </row>
    <row r="252" spans="1:26" ht="15.75" hidden="1" x14ac:dyDescent="0.25">
      <c r="A252" s="2148"/>
      <c r="B252" s="1213"/>
      <c r="C252" s="639" t="s">
        <v>171</v>
      </c>
      <c r="D252" s="2348"/>
      <c r="E252" s="715">
        <v>1</v>
      </c>
      <c r="F252" s="549">
        <v>46.32</v>
      </c>
      <c r="G252" s="550">
        <v>108.79</v>
      </c>
      <c r="H252" s="551">
        <v>75.599999999999994</v>
      </c>
      <c r="I252" s="566">
        <f>Tabel668910192832[[#This Row],[Fix.ch. 2015]]+Tabel668910192832[[#This Row],[Var. ch. 2015]]+Tabel668910192832[[#This Row],[Oth. ch. DW 2015]]</f>
        <v>230.71</v>
      </c>
      <c r="J252" s="567">
        <v>0</v>
      </c>
      <c r="K252" s="568">
        <v>192.14</v>
      </c>
      <c r="L252" s="568"/>
      <c r="M252" s="568"/>
      <c r="N252" s="569">
        <v>243.6</v>
      </c>
      <c r="O252" s="1271">
        <v>0</v>
      </c>
      <c r="P252" s="1496">
        <f>Tabel668910192832[[#This Row],[Total. ch. DW 2015]]+Tabel668910192832[[#This Row],[Sew. 2015]]+Tabel668910192832[[#This Row],[WW 2015]]+Tabel668910192832[[#This Row],[Other ch. 2015]]+Tabel668910192832[[#This Row],[VAT 2015]]</f>
        <v>666.45</v>
      </c>
      <c r="Q252" s="397"/>
      <c r="R252" s="1763"/>
      <c r="S252" s="1766"/>
      <c r="T252" s="1769"/>
      <c r="U252" s="1775"/>
      <c r="V252" s="1778"/>
      <c r="W252" s="1781"/>
      <c r="X252" s="1785"/>
      <c r="Y252" s="1788"/>
      <c r="Z252" s="1791"/>
    </row>
    <row r="253" spans="1:26" ht="15.75" hidden="1" x14ac:dyDescent="0.25">
      <c r="A253" s="2148"/>
      <c r="B253" s="1213"/>
      <c r="C253" s="639" t="s">
        <v>172</v>
      </c>
      <c r="D253" s="2348"/>
      <c r="E253" s="715">
        <v>1</v>
      </c>
      <c r="F253" s="549">
        <v>0</v>
      </c>
      <c r="G253" s="550">
        <v>164.38</v>
      </c>
      <c r="H253" s="551">
        <v>0</v>
      </c>
      <c r="I253" s="566">
        <f>Tabel668910192832[[#This Row],[Fix.ch. 2015]]+Tabel668910192832[[#This Row],[Var. ch. 2015]]+Tabel668910192832[[#This Row],[Oth. ch. DW 2015]]</f>
        <v>164.38</v>
      </c>
      <c r="J253" s="567">
        <v>0</v>
      </c>
      <c r="K253" s="568">
        <v>149.4</v>
      </c>
      <c r="L253" s="568"/>
      <c r="M253" s="568"/>
      <c r="N253" s="569">
        <v>0</v>
      </c>
      <c r="O253" s="1271">
        <v>0</v>
      </c>
      <c r="P253" s="1496">
        <f>Tabel668910192832[[#This Row],[Total. ch. DW 2015]]+Tabel668910192832[[#This Row],[Sew. 2015]]+Tabel668910192832[[#This Row],[WW 2015]]+Tabel668910192832[[#This Row],[Other ch. 2015]]+Tabel668910192832[[#This Row],[VAT 2015]]</f>
        <v>313.77999999999997</v>
      </c>
      <c r="Q253" s="397"/>
      <c r="R253" s="1763"/>
      <c r="S253" s="1766"/>
      <c r="T253" s="1769"/>
      <c r="U253" s="1775"/>
      <c r="V253" s="1778"/>
      <c r="W253" s="1781"/>
      <c r="X253" s="1785"/>
      <c r="Y253" s="1788"/>
      <c r="Z253" s="1791"/>
    </row>
    <row r="254" spans="1:26" ht="15.75" hidden="1" x14ac:dyDescent="0.25">
      <c r="A254" s="2148"/>
      <c r="B254" s="1213"/>
      <c r="C254" s="639" t="s">
        <v>173</v>
      </c>
      <c r="D254" s="2348"/>
      <c r="E254" s="715">
        <v>1</v>
      </c>
      <c r="F254" s="549">
        <v>0</v>
      </c>
      <c r="G254" s="550">
        <v>100.65</v>
      </c>
      <c r="H254" s="551">
        <v>0</v>
      </c>
      <c r="I254" s="566">
        <f>Tabel668910192832[[#This Row],[Fix.ch. 2015]]+Tabel668910192832[[#This Row],[Var. ch. 2015]]+Tabel668910192832[[#This Row],[Oth. ch. DW 2015]]</f>
        <v>100.65</v>
      </c>
      <c r="J254" s="567">
        <v>0</v>
      </c>
      <c r="K254" s="568">
        <v>100.65</v>
      </c>
      <c r="L254" s="568"/>
      <c r="M254" s="568"/>
      <c r="N254" s="569">
        <v>0</v>
      </c>
      <c r="O254" s="1271">
        <v>0</v>
      </c>
      <c r="P254" s="1496">
        <f>Tabel668910192832[[#This Row],[Total. ch. DW 2015]]+Tabel668910192832[[#This Row],[Sew. 2015]]+Tabel668910192832[[#This Row],[WW 2015]]+Tabel668910192832[[#This Row],[Other ch. 2015]]+Tabel668910192832[[#This Row],[VAT 2015]]</f>
        <v>201.3</v>
      </c>
      <c r="Q254" s="397"/>
      <c r="R254" s="1763"/>
      <c r="S254" s="1766"/>
      <c r="T254" s="1769"/>
      <c r="U254" s="1775"/>
      <c r="V254" s="1778"/>
      <c r="W254" s="1781"/>
      <c r="X254" s="1785"/>
      <c r="Y254" s="1788"/>
      <c r="Z254" s="1791"/>
    </row>
    <row r="255" spans="1:26" ht="15.75" hidden="1" x14ac:dyDescent="0.25">
      <c r="A255" s="2148"/>
      <c r="B255" s="1213"/>
      <c r="C255" s="639" t="s">
        <v>174</v>
      </c>
      <c r="D255" s="2348"/>
      <c r="E255" s="715">
        <v>1</v>
      </c>
      <c r="F255" s="549">
        <v>105.48</v>
      </c>
      <c r="G255" s="550">
        <v>68.680000000000007</v>
      </c>
      <c r="H255" s="551">
        <v>0</v>
      </c>
      <c r="I255" s="566">
        <f>Tabel668910192832[[#This Row],[Fix.ch. 2015]]+Tabel668910192832[[#This Row],[Var. ch. 2015]]+Tabel668910192832[[#This Row],[Oth. ch. DW 2015]]</f>
        <v>174.16000000000003</v>
      </c>
      <c r="J255" s="567">
        <v>0</v>
      </c>
      <c r="K255" s="568">
        <v>223.82</v>
      </c>
      <c r="L255" s="568"/>
      <c r="M255" s="568"/>
      <c r="N255" s="569">
        <v>0</v>
      </c>
      <c r="O255" s="1271">
        <v>0</v>
      </c>
      <c r="P255" s="1496">
        <f>Tabel668910192832[[#This Row],[Total. ch. DW 2015]]+Tabel668910192832[[#This Row],[Sew. 2015]]+Tabel668910192832[[#This Row],[WW 2015]]+Tabel668910192832[[#This Row],[Other ch. 2015]]+Tabel668910192832[[#This Row],[VAT 2015]]</f>
        <v>397.98</v>
      </c>
      <c r="Q255" s="397"/>
      <c r="R255" s="1763"/>
      <c r="S255" s="1766"/>
      <c r="T255" s="1769"/>
      <c r="U255" s="1775"/>
      <c r="V255" s="1778"/>
      <c r="W255" s="1781"/>
      <c r="X255" s="1785"/>
      <c r="Y255" s="1788"/>
      <c r="Z255" s="1791"/>
    </row>
    <row r="256" spans="1:26" ht="15.75" hidden="1" x14ac:dyDescent="0.25">
      <c r="A256" s="2148"/>
      <c r="B256" s="1213"/>
      <c r="C256" s="639" t="s">
        <v>175</v>
      </c>
      <c r="D256" s="2348"/>
      <c r="E256" s="715">
        <v>1</v>
      </c>
      <c r="F256" s="549">
        <v>38.4</v>
      </c>
      <c r="G256" s="550">
        <v>13.07</v>
      </c>
      <c r="H256" s="551">
        <v>0</v>
      </c>
      <c r="I256" s="566">
        <f>Tabel668910192832[[#This Row],[Fix.ch. 2015]]+Tabel668910192832[[#This Row],[Var. ch. 2015]]+Tabel668910192832[[#This Row],[Oth. ch. DW 2015]]</f>
        <v>51.47</v>
      </c>
      <c r="J256" s="567">
        <v>0</v>
      </c>
      <c r="K256" s="568">
        <v>87.74</v>
      </c>
      <c r="L256" s="568"/>
      <c r="M256" s="568"/>
      <c r="N256" s="569">
        <v>0</v>
      </c>
      <c r="O256" s="1271">
        <v>0</v>
      </c>
      <c r="P256" s="1496">
        <f>Tabel668910192832[[#This Row],[Total. ch. DW 2015]]+Tabel668910192832[[#This Row],[Sew. 2015]]+Tabel668910192832[[#This Row],[WW 2015]]+Tabel668910192832[[#This Row],[Other ch. 2015]]+Tabel668910192832[[#This Row],[VAT 2015]]</f>
        <v>139.20999999999998</v>
      </c>
      <c r="Q256" s="397"/>
      <c r="R256" s="1763"/>
      <c r="S256" s="1766"/>
      <c r="T256" s="1769"/>
      <c r="U256" s="1775"/>
      <c r="V256" s="1778"/>
      <c r="W256" s="1781"/>
      <c r="X256" s="1785"/>
      <c r="Y256" s="1788"/>
      <c r="Z256" s="1791"/>
    </row>
    <row r="257" spans="1:26" ht="16.5" hidden="1" thickBot="1" x14ac:dyDescent="0.3">
      <c r="A257" s="2148"/>
      <c r="B257" s="1213"/>
      <c r="C257" s="1053" t="s">
        <v>212</v>
      </c>
      <c r="D257" s="2349"/>
      <c r="E257" s="715">
        <v>1</v>
      </c>
      <c r="F257" s="549">
        <v>42</v>
      </c>
      <c r="G257" s="550">
        <v>121.85</v>
      </c>
      <c r="H257" s="551">
        <v>0</v>
      </c>
      <c r="I257" s="566">
        <f>Tabel668910192832[[#This Row],[Fix.ch. 2015]]+Tabel668910192832[[#This Row],[Var. ch. 2015]]+Tabel668910192832[[#This Row],[Oth. ch. DW 2015]]</f>
        <v>163.85</v>
      </c>
      <c r="J257" s="567">
        <v>0</v>
      </c>
      <c r="K257" s="568">
        <v>171.33</v>
      </c>
      <c r="L257" s="568"/>
      <c r="M257" s="568"/>
      <c r="N257" s="569">
        <v>0</v>
      </c>
      <c r="O257" s="1271">
        <v>12.7</v>
      </c>
      <c r="P257" s="1496">
        <f>Tabel668910192832[[#This Row],[Total. ch. DW 2015]]+Tabel668910192832[[#This Row],[Sew. 2015]]+Tabel668910192832[[#This Row],[WW 2015]]+Tabel668910192832[[#This Row],[Other ch. 2015]]+Tabel668910192832[[#This Row],[VAT 2015]]</f>
        <v>347.88</v>
      </c>
      <c r="Q257" s="397"/>
      <c r="R257" s="1764"/>
      <c r="S257" s="1767"/>
      <c r="T257" s="1770"/>
      <c r="U257" s="1776"/>
      <c r="V257" s="1779"/>
      <c r="W257" s="1811"/>
      <c r="X257" s="1813"/>
      <c r="Y257" s="1815"/>
      <c r="Z257" s="1794"/>
    </row>
    <row r="258" spans="1:26" ht="16.5" hidden="1" thickBot="1" x14ac:dyDescent="0.3">
      <c r="A258" s="1818" t="s">
        <v>718</v>
      </c>
      <c r="B258" s="1213"/>
      <c r="C258" s="543" t="s">
        <v>761</v>
      </c>
      <c r="D258" s="2343">
        <v>4300</v>
      </c>
      <c r="E258" s="1321">
        <f>'[1]exchange rates'!$M$66</f>
        <v>11.06053</v>
      </c>
      <c r="F258" s="1322">
        <f>8/E258</f>
        <v>0.72329264510832658</v>
      </c>
      <c r="G258" s="1323">
        <f>393/E258</f>
        <v>35.531751190946544</v>
      </c>
      <c r="H258" s="1324">
        <v>0</v>
      </c>
      <c r="I258" s="1325">
        <f>F258+G258+H258</f>
        <v>36.255043836054867</v>
      </c>
      <c r="J258" s="1326">
        <v>0</v>
      </c>
      <c r="K258" s="1327">
        <f>117/E258</f>
        <v>10.578154934709277</v>
      </c>
      <c r="L258" s="1327"/>
      <c r="M258" s="1327"/>
      <c r="N258" s="1328">
        <f>9.82/E258</f>
        <v>0.88784172187047095</v>
      </c>
      <c r="O258" s="1329">
        <v>0</v>
      </c>
      <c r="P258" s="1561">
        <f>I258+J258+K258+N258+O258</f>
        <v>47.721040492634614</v>
      </c>
      <c r="Q258" s="397"/>
      <c r="R258" s="2344">
        <f t="shared" ref="R258:W258" si="66">SUM(F258:F262)/5</f>
        <v>0.53342832576739085</v>
      </c>
      <c r="S258" s="2345">
        <f t="shared" si="66"/>
        <v>37.704522296851962</v>
      </c>
      <c r="T258" s="2346">
        <f t="shared" si="66"/>
        <v>0</v>
      </c>
      <c r="U258" s="2340">
        <f t="shared" si="66"/>
        <v>38.237950622619351</v>
      </c>
      <c r="V258" s="2351">
        <f t="shared" si="66"/>
        <v>0</v>
      </c>
      <c r="W258" s="2352">
        <f t="shared" si="66"/>
        <v>11.090426950607249</v>
      </c>
      <c r="X258" s="2341">
        <f t="shared" ref="X258:Z258" si="67">SUM(N258:N262)/5</f>
        <v>0.69472258562654776</v>
      </c>
      <c r="Y258" s="2342">
        <f t="shared" si="67"/>
        <v>0</v>
      </c>
      <c r="Z258" s="2353">
        <f t="shared" si="67"/>
        <v>50.02310015885314</v>
      </c>
    </row>
    <row r="259" spans="1:26" ht="16.5" hidden="1" thickBot="1" x14ac:dyDescent="0.3">
      <c r="A259" s="2294"/>
      <c r="B259" s="1213"/>
      <c r="C259" s="543" t="s">
        <v>746</v>
      </c>
      <c r="D259" s="1880"/>
      <c r="E259" s="1331">
        <f>'[1]exchange rates'!$M$66</f>
        <v>11.06053</v>
      </c>
      <c r="F259" s="1322">
        <f>5/E259</f>
        <v>0.45205790319270417</v>
      </c>
      <c r="G259" s="1323">
        <f>394.52/E259</f>
        <v>35.669176793517124</v>
      </c>
      <c r="H259" s="1324">
        <v>0</v>
      </c>
      <c r="I259" s="1325">
        <f t="shared" ref="I259:I262" si="68">F259+G259+H259</f>
        <v>36.121234696709827</v>
      </c>
      <c r="J259" s="1326">
        <v>0</v>
      </c>
      <c r="K259" s="1327">
        <f>78.9/E259</f>
        <v>7.133473712380872</v>
      </c>
      <c r="L259" s="1327"/>
      <c r="M259" s="1327"/>
      <c r="N259" s="1328">
        <f>11.85/E259</f>
        <v>1.0713772305667089</v>
      </c>
      <c r="O259" s="1329">
        <v>0</v>
      </c>
      <c r="P259" s="1561">
        <f t="shared" ref="P259:P262" si="69">I259+J259+K259+N259+O259</f>
        <v>44.326085639657407</v>
      </c>
      <c r="Q259" s="397"/>
      <c r="R259" s="1886"/>
      <c r="S259" s="1888"/>
      <c r="T259" s="2290"/>
      <c r="U259" s="1892"/>
      <c r="V259" s="1894"/>
      <c r="W259" s="1864"/>
      <c r="X259" s="1913"/>
      <c r="Y259" s="1915"/>
      <c r="Z259" s="2291"/>
    </row>
    <row r="260" spans="1:26" ht="16.5" hidden="1" thickBot="1" x14ac:dyDescent="0.3">
      <c r="A260" s="2294"/>
      <c r="B260" s="1213"/>
      <c r="C260" s="543" t="s">
        <v>762</v>
      </c>
      <c r="D260" s="1880"/>
      <c r="E260" s="1331">
        <f>'[1]exchange rates'!$M$66</f>
        <v>11.06053</v>
      </c>
      <c r="F260" s="1322">
        <f>5/E260</f>
        <v>0.45205790319270417</v>
      </c>
      <c r="G260" s="1323">
        <f>323.88/E260</f>
        <v>29.282502737210603</v>
      </c>
      <c r="H260" s="1324">
        <v>0</v>
      </c>
      <c r="I260" s="1325">
        <f t="shared" si="68"/>
        <v>29.734560640403306</v>
      </c>
      <c r="J260" s="1326">
        <v>0</v>
      </c>
      <c r="K260" s="1327">
        <f>97.16/E260</f>
        <v>8.7843891748406264</v>
      </c>
      <c r="L260" s="1327"/>
      <c r="M260" s="1327"/>
      <c r="N260" s="1328">
        <f>8.1/E260</f>
        <v>0.73233380317218066</v>
      </c>
      <c r="O260" s="1329">
        <v>0</v>
      </c>
      <c r="P260" s="1561">
        <f t="shared" si="69"/>
        <v>39.25128361841611</v>
      </c>
      <c r="Q260" s="397"/>
      <c r="R260" s="1886"/>
      <c r="S260" s="1888"/>
      <c r="T260" s="2290"/>
      <c r="U260" s="1892"/>
      <c r="V260" s="1894"/>
      <c r="W260" s="1864"/>
      <c r="X260" s="1913"/>
      <c r="Y260" s="1915"/>
      <c r="Z260" s="2291"/>
    </row>
    <row r="261" spans="1:26" ht="16.5" hidden="1" thickBot="1" x14ac:dyDescent="0.3">
      <c r="A261" s="2294"/>
      <c r="B261" s="1213"/>
      <c r="C261" s="543" t="s">
        <v>763</v>
      </c>
      <c r="D261" s="1880"/>
      <c r="E261" s="1331">
        <f>'[1]exchange rates'!$M$66</f>
        <v>11.06053</v>
      </c>
      <c r="F261" s="1322">
        <f>5/E261</f>
        <v>0.45205790319270417</v>
      </c>
      <c r="G261" s="1323">
        <f>346.38/E261</f>
        <v>31.316763301577772</v>
      </c>
      <c r="H261" s="1324">
        <v>0</v>
      </c>
      <c r="I261" s="1325">
        <f t="shared" si="68"/>
        <v>31.768821204770475</v>
      </c>
      <c r="J261" s="1326">
        <v>0</v>
      </c>
      <c r="K261" s="1327">
        <f>69.27/E261</f>
        <v>6.2628101908317229</v>
      </c>
      <c r="L261" s="1327"/>
      <c r="M261" s="1327"/>
      <c r="N261" s="1328">
        <f>8.65/E261</f>
        <v>0.78206017252337823</v>
      </c>
      <c r="O261" s="1329">
        <v>0</v>
      </c>
      <c r="P261" s="1561">
        <f t="shared" si="69"/>
        <v>38.813691568125577</v>
      </c>
      <c r="Q261" s="397"/>
      <c r="R261" s="1886"/>
      <c r="S261" s="1888"/>
      <c r="T261" s="2290"/>
      <c r="U261" s="1892"/>
      <c r="V261" s="1894"/>
      <c r="W261" s="1864"/>
      <c r="X261" s="1913"/>
      <c r="Y261" s="1915"/>
      <c r="Z261" s="2291"/>
    </row>
    <row r="262" spans="1:26" ht="16.5" hidden="1" thickBot="1" x14ac:dyDescent="0.3">
      <c r="A262" s="2295"/>
      <c r="B262" s="1213"/>
      <c r="C262" s="544" t="s">
        <v>764</v>
      </c>
      <c r="D262" s="1761"/>
      <c r="E262" s="1332">
        <f>'[1]exchange rates'!$M$66</f>
        <v>11.06053</v>
      </c>
      <c r="F262" s="1333">
        <f>6.5/E262</f>
        <v>0.58767527415051535</v>
      </c>
      <c r="G262" s="1334">
        <f>627.38/E262</f>
        <v>56.722417461007744</v>
      </c>
      <c r="H262" s="1335">
        <v>0</v>
      </c>
      <c r="I262" s="1325">
        <f t="shared" si="68"/>
        <v>57.310092735158257</v>
      </c>
      <c r="J262" s="1336">
        <v>0</v>
      </c>
      <c r="K262" s="1327">
        <f>251/E262</f>
        <v>22.693306740273748</v>
      </c>
      <c r="L262" s="1327"/>
      <c r="M262" s="1327"/>
      <c r="N262" s="1328">
        <v>0</v>
      </c>
      <c r="O262" s="1337">
        <v>0</v>
      </c>
      <c r="P262" s="1561">
        <f t="shared" si="69"/>
        <v>80.003399475432005</v>
      </c>
      <c r="Q262" s="397"/>
      <c r="R262" s="1764"/>
      <c r="S262" s="1767"/>
      <c r="T262" s="2273"/>
      <c r="U262" s="1776"/>
      <c r="V262" s="1779"/>
      <c r="W262" s="2248"/>
      <c r="X262" s="1813"/>
      <c r="Y262" s="1815"/>
      <c r="Z262" s="2292"/>
    </row>
    <row r="263" spans="1:26" x14ac:dyDescent="0.25">
      <c r="D263" s="1562"/>
      <c r="E263" s="1563"/>
      <c r="R263" s="1564"/>
      <c r="S263" s="1564"/>
      <c r="T263" s="1564"/>
      <c r="U263" s="1564"/>
      <c r="V263" s="1564"/>
      <c r="W263" s="1564"/>
      <c r="X263" s="1564"/>
      <c r="Y263" s="1564"/>
      <c r="Z263" s="1564"/>
    </row>
    <row r="264" spans="1:26" x14ac:dyDescent="0.25">
      <c r="D264" s="1562"/>
      <c r="E264" s="1563"/>
      <c r="R264" s="1564"/>
      <c r="S264" s="1564"/>
      <c r="T264" s="1564"/>
      <c r="U264" s="1564"/>
      <c r="V264" s="1564"/>
      <c r="W264" s="1564"/>
      <c r="X264" s="1564"/>
      <c r="Y264" s="1564"/>
      <c r="Z264" s="1564"/>
    </row>
    <row r="265" spans="1:26" x14ac:dyDescent="0.25">
      <c r="D265" s="1565"/>
      <c r="E265" s="1566"/>
      <c r="R265" s="1564"/>
      <c r="S265" s="1564"/>
      <c r="T265" s="1564"/>
      <c r="U265" s="1564"/>
      <c r="V265" s="1564"/>
      <c r="W265" s="1564"/>
      <c r="X265" s="1564"/>
      <c r="Y265" s="1564"/>
      <c r="Z265" s="1564"/>
    </row>
    <row r="266" spans="1:26" ht="49.9" hidden="1" customHeight="1" x14ac:dyDescent="0.25">
      <c r="A266" s="1338" t="s">
        <v>1355</v>
      </c>
      <c r="B266" s="1567"/>
      <c r="C266" s="1567" t="s">
        <v>1356</v>
      </c>
      <c r="D266" s="1340" t="s">
        <v>1357</v>
      </c>
      <c r="E266" s="1341" t="s">
        <v>1358</v>
      </c>
      <c r="F266" s="1341" t="s">
        <v>1359</v>
      </c>
      <c r="G266" s="1341" t="s">
        <v>1360</v>
      </c>
      <c r="H266" s="1341" t="s">
        <v>1361</v>
      </c>
      <c r="I266" s="1341" t="s">
        <v>1362</v>
      </c>
      <c r="J266" s="1341" t="s">
        <v>1363</v>
      </c>
      <c r="K266" s="1341" t="s">
        <v>1364</v>
      </c>
      <c r="L266" s="618" t="s">
        <v>1203</v>
      </c>
      <c r="R266" s="1564"/>
      <c r="S266" s="1564"/>
      <c r="T266" s="1564"/>
      <c r="U266" s="1564"/>
      <c r="V266" s="1564"/>
      <c r="W266" s="1564"/>
      <c r="X266" s="1564"/>
      <c r="Y266" s="1564"/>
      <c r="Z266" s="1564"/>
    </row>
    <row r="267" spans="1:26" ht="15.75" hidden="1" x14ac:dyDescent="0.25">
      <c r="A267" s="1568" t="s">
        <v>6</v>
      </c>
      <c r="B267" s="1622"/>
      <c r="C267" s="1358" t="s">
        <v>67</v>
      </c>
      <c r="D267" s="1361">
        <v>44100</v>
      </c>
      <c r="E267" s="1569">
        <v>57.75620561600104</v>
      </c>
      <c r="F267" s="1569">
        <v>138.4455013355919</v>
      </c>
      <c r="G267" s="1569">
        <v>0</v>
      </c>
      <c r="H267" s="1569">
        <v>196.20170695159294</v>
      </c>
      <c r="I267" s="1569">
        <v>315.01509327426322</v>
      </c>
      <c r="J267" s="1569">
        <v>30.675179707689971</v>
      </c>
      <c r="K267" s="1569">
        <v>541.89197993354617</v>
      </c>
      <c r="L267" s="1096">
        <f>E267+F267+G267+I267+J267</f>
        <v>541.89197993354617</v>
      </c>
    </row>
    <row r="268" spans="1:26" ht="15.75" hidden="1" x14ac:dyDescent="0.25">
      <c r="A268" s="1456"/>
      <c r="B268" s="1622"/>
      <c r="C268" s="1358" t="s">
        <v>71</v>
      </c>
      <c r="D268" s="1361"/>
      <c r="E268" s="1569">
        <v>73.663865181227877</v>
      </c>
      <c r="F268" s="1569">
        <v>97.650226942037492</v>
      </c>
      <c r="G268" s="1569">
        <v>0</v>
      </c>
      <c r="H268" s="1569">
        <v>171.31409212326537</v>
      </c>
      <c r="I268" s="1569">
        <v>249.00644993159165</v>
      </c>
      <c r="J268" s="1569">
        <v>25.224227419810195</v>
      </c>
      <c r="K268" s="1569">
        <v>445.54476947466719</v>
      </c>
      <c r="L268" s="1096">
        <f t="shared" ref="L268:L331" si="70">E268+F268+G268+I268+J268</f>
        <v>445.54476947466719</v>
      </c>
    </row>
    <row r="269" spans="1:26" ht="15.75" hidden="1" x14ac:dyDescent="0.25">
      <c r="A269" s="1456"/>
      <c r="B269" s="1622"/>
      <c r="C269" s="1358" t="s">
        <v>68</v>
      </c>
      <c r="D269" s="1361"/>
      <c r="E269" s="1569">
        <v>25.84316024931049</v>
      </c>
      <c r="F269" s="1569">
        <v>203.36829760896475</v>
      </c>
      <c r="G269" s="1569">
        <v>0</v>
      </c>
      <c r="H269" s="1569">
        <v>229.21145785827525</v>
      </c>
      <c r="I269" s="1569">
        <v>157.58898516732904</v>
      </c>
      <c r="J269" s="1569">
        <v>23.204551870914504</v>
      </c>
      <c r="K269" s="1569">
        <v>410.00499489651878</v>
      </c>
      <c r="L269" s="1096">
        <f t="shared" si="70"/>
        <v>410.00499489651878</v>
      </c>
    </row>
    <row r="270" spans="1:26" ht="15.75" hidden="1" x14ac:dyDescent="0.25">
      <c r="A270" s="1456"/>
      <c r="B270" s="1622"/>
      <c r="C270" s="1358" t="s">
        <v>72</v>
      </c>
      <c r="D270" s="1361"/>
      <c r="E270" s="1569">
        <v>114.1008100419137</v>
      </c>
      <c r="F270" s="1569">
        <v>243.34918670054512</v>
      </c>
      <c r="G270" s="1569">
        <v>0</v>
      </c>
      <c r="H270" s="1569">
        <v>357.44999674245884</v>
      </c>
      <c r="I270" s="1569">
        <v>190.83762242925707</v>
      </c>
      <c r="J270" s="1569">
        <v>32.901166199752431</v>
      </c>
      <c r="K270" s="1569">
        <v>581.18878537146838</v>
      </c>
      <c r="L270" s="1096">
        <f t="shared" si="70"/>
        <v>581.18878537146838</v>
      </c>
    </row>
    <row r="271" spans="1:26" ht="15.75" hidden="1" x14ac:dyDescent="0.25">
      <c r="A271" s="1456"/>
      <c r="B271" s="1622"/>
      <c r="C271" s="1358" t="s">
        <v>69</v>
      </c>
      <c r="D271" s="1361"/>
      <c r="E271" s="1569">
        <v>57.75620561600104</v>
      </c>
      <c r="F271" s="1569">
        <v>145.91612917236736</v>
      </c>
      <c r="G271" s="1569">
        <v>0</v>
      </c>
      <c r="H271" s="1569">
        <v>203.6723347883684</v>
      </c>
      <c r="I271" s="1569">
        <v>315.01509327426322</v>
      </c>
      <c r="J271" s="1569">
        <v>31.120377006102462</v>
      </c>
      <c r="K271" s="1569">
        <v>549.80780506873407</v>
      </c>
      <c r="L271" s="1096">
        <f t="shared" si="70"/>
        <v>549.80780506873407</v>
      </c>
    </row>
    <row r="272" spans="1:26" ht="15.75" hidden="1" x14ac:dyDescent="0.25">
      <c r="A272" s="1456"/>
      <c r="B272" s="1622"/>
      <c r="C272" s="1358" t="s">
        <v>70</v>
      </c>
      <c r="D272" s="1361"/>
      <c r="E272" s="1569">
        <v>57.75620561600104</v>
      </c>
      <c r="F272" s="1569">
        <v>107.22739809325255</v>
      </c>
      <c r="G272" s="1569">
        <v>0</v>
      </c>
      <c r="H272" s="1569">
        <v>164.9836037092536</v>
      </c>
      <c r="I272" s="1569">
        <v>315.01509327426322</v>
      </c>
      <c r="J272" s="1569">
        <v>28.796664277803114</v>
      </c>
      <c r="K272" s="1569">
        <v>508.79536126132001</v>
      </c>
      <c r="L272" s="1096">
        <f t="shared" si="70"/>
        <v>508.79536126131995</v>
      </c>
    </row>
    <row r="273" spans="1:12" ht="16.5" hidden="1" thickBot="1" x14ac:dyDescent="0.3">
      <c r="A273" s="1457"/>
      <c r="B273" s="1622"/>
      <c r="C273" s="1363" t="s">
        <v>629</v>
      </c>
      <c r="D273" s="1364"/>
      <c r="E273" s="1569">
        <v>113.74248050904511</v>
      </c>
      <c r="F273" s="1569">
        <v>241.81814233283384</v>
      </c>
      <c r="G273" s="1569">
        <v>0</v>
      </c>
      <c r="H273" s="1569">
        <v>355.56062284187897</v>
      </c>
      <c r="I273" s="1569">
        <v>190.83762242925707</v>
      </c>
      <c r="J273" s="1569">
        <v>32.781723022129569</v>
      </c>
      <c r="K273" s="1569">
        <v>579.17996829326557</v>
      </c>
      <c r="L273" s="1096">
        <f t="shared" si="70"/>
        <v>579.17996829326557</v>
      </c>
    </row>
    <row r="274" spans="1:12" ht="15.75" hidden="1" x14ac:dyDescent="0.25">
      <c r="A274" s="1357" t="s">
        <v>49</v>
      </c>
      <c r="B274" s="1622"/>
      <c r="C274" s="1570" t="s">
        <v>459</v>
      </c>
      <c r="D274" s="1468">
        <v>15800</v>
      </c>
      <c r="E274" s="1348" t="s">
        <v>5</v>
      </c>
      <c r="F274" s="1348" t="s">
        <v>5</v>
      </c>
      <c r="G274" s="1348" t="s">
        <v>5</v>
      </c>
      <c r="H274" s="1348" t="s">
        <v>5</v>
      </c>
      <c r="I274" s="1348" t="s">
        <v>5</v>
      </c>
      <c r="J274" s="1348" t="s">
        <v>5</v>
      </c>
      <c r="K274" s="1569">
        <v>67.662073388102584</v>
      </c>
      <c r="L274" s="1096">
        <f>K274</f>
        <v>67.662073388102584</v>
      </c>
    </row>
    <row r="275" spans="1:12" ht="15.75" hidden="1" x14ac:dyDescent="0.25">
      <c r="A275" s="1456"/>
      <c r="B275" s="1622"/>
      <c r="C275" s="1368" t="s">
        <v>462</v>
      </c>
      <c r="D275" s="1369"/>
      <c r="E275" s="1348" t="s">
        <v>5</v>
      </c>
      <c r="F275" s="1348" t="s">
        <v>5</v>
      </c>
      <c r="G275" s="1348" t="s">
        <v>5</v>
      </c>
      <c r="H275" s="1348" t="s">
        <v>5</v>
      </c>
      <c r="I275" s="1348" t="s">
        <v>5</v>
      </c>
      <c r="J275" s="1348" t="s">
        <v>5</v>
      </c>
      <c r="K275" s="1569">
        <v>55.038552233605834</v>
      </c>
      <c r="L275" s="1096">
        <f t="shared" ref="L275:L276" si="71">K275</f>
        <v>55.038552233605834</v>
      </c>
    </row>
    <row r="276" spans="1:12" ht="16.5" hidden="1" thickBot="1" x14ac:dyDescent="0.3">
      <c r="A276" s="1457"/>
      <c r="B276" s="1622"/>
      <c r="C276" s="1370" t="s">
        <v>1346</v>
      </c>
      <c r="D276" s="1356"/>
      <c r="E276" s="1348" t="s">
        <v>5</v>
      </c>
      <c r="F276" s="1348" t="s">
        <v>5</v>
      </c>
      <c r="G276" s="1348" t="s">
        <v>5</v>
      </c>
      <c r="H276" s="1348" t="s">
        <v>5</v>
      </c>
      <c r="I276" s="1348" t="s">
        <v>5</v>
      </c>
      <c r="J276" s="1348" t="s">
        <v>5</v>
      </c>
      <c r="K276" s="1569">
        <v>106.29004812086265</v>
      </c>
      <c r="L276" s="1096">
        <f t="shared" si="71"/>
        <v>106.29004812086265</v>
      </c>
    </row>
    <row r="277" spans="1:12" ht="15.75" hidden="1" x14ac:dyDescent="0.25">
      <c r="A277" s="1371" t="s">
        <v>343</v>
      </c>
      <c r="B277" s="1424"/>
      <c r="C277" s="1571" t="s">
        <v>548</v>
      </c>
      <c r="D277" s="1468">
        <v>45900</v>
      </c>
      <c r="E277" s="1569">
        <v>136.39208407967715</v>
      </c>
      <c r="F277" s="1569">
        <v>127.31366582500665</v>
      </c>
      <c r="G277" s="1569">
        <v>0</v>
      </c>
      <c r="H277" s="1569">
        <v>263.70574990468378</v>
      </c>
      <c r="I277" s="1569">
        <v>257.1738927135263</v>
      </c>
      <c r="J277" s="1569">
        <v>0</v>
      </c>
      <c r="K277" s="1569">
        <v>520.87964261821003</v>
      </c>
      <c r="L277" s="1096">
        <f t="shared" si="70"/>
        <v>520.87964261821003</v>
      </c>
    </row>
    <row r="278" spans="1:12" ht="15.75" hidden="1" x14ac:dyDescent="0.25">
      <c r="A278" s="1572"/>
      <c r="B278" s="1652"/>
      <c r="C278" s="1373" t="s">
        <v>549</v>
      </c>
      <c r="D278" s="1369"/>
      <c r="E278" s="1569">
        <v>93.661652674968167</v>
      </c>
      <c r="F278" s="1569">
        <v>104.30829214954213</v>
      </c>
      <c r="G278" s="1569">
        <v>0</v>
      </c>
      <c r="H278" s="1569">
        <v>197.96994482451029</v>
      </c>
      <c r="I278" s="1569">
        <v>164.01579731100418</v>
      </c>
      <c r="J278" s="1569">
        <v>0</v>
      </c>
      <c r="K278" s="1569">
        <v>361.98574213551444</v>
      </c>
      <c r="L278" s="1096">
        <f t="shared" si="70"/>
        <v>361.98574213551444</v>
      </c>
    </row>
    <row r="279" spans="1:12" ht="15.75" hidden="1" x14ac:dyDescent="0.25">
      <c r="A279" s="1572"/>
      <c r="B279" s="1652"/>
      <c r="C279" s="1373" t="s">
        <v>722</v>
      </c>
      <c r="D279" s="1369"/>
      <c r="E279" s="1569">
        <v>75.965211386149292</v>
      </c>
      <c r="F279" s="1569">
        <v>104.30829214954213</v>
      </c>
      <c r="G279" s="1569">
        <v>0</v>
      </c>
      <c r="H279" s="1569">
        <v>180.27350353569142</v>
      </c>
      <c r="I279" s="1569">
        <v>140.70828927207199</v>
      </c>
      <c r="J279" s="1569">
        <v>0</v>
      </c>
      <c r="K279" s="1569">
        <v>320.98179280776344</v>
      </c>
      <c r="L279" s="1096">
        <f t="shared" si="70"/>
        <v>320.98179280776344</v>
      </c>
    </row>
    <row r="280" spans="1:12" ht="15.75" hidden="1" x14ac:dyDescent="0.25">
      <c r="A280" s="1572"/>
      <c r="B280" s="1652"/>
      <c r="C280" s="1373" t="s">
        <v>723</v>
      </c>
      <c r="D280" s="1369"/>
      <c r="E280" s="1569">
        <v>408.60075821337881</v>
      </c>
      <c r="F280" s="1569">
        <v>0</v>
      </c>
      <c r="G280" s="1569">
        <v>0</v>
      </c>
      <c r="H280" s="1569">
        <v>408.60075821337881</v>
      </c>
      <c r="I280" s="1569">
        <v>225.88140506866364</v>
      </c>
      <c r="J280" s="1569">
        <v>0</v>
      </c>
      <c r="K280" s="1569">
        <v>634.48216328204239</v>
      </c>
      <c r="L280" s="1096">
        <f t="shared" si="70"/>
        <v>634.48216328204239</v>
      </c>
    </row>
    <row r="281" spans="1:12" ht="16.5" hidden="1" thickBot="1" x14ac:dyDescent="0.3">
      <c r="A281" s="1573"/>
      <c r="B281" s="1652"/>
      <c r="C281" s="1375" t="s">
        <v>552</v>
      </c>
      <c r="D281" s="1356"/>
      <c r="E281" s="1569">
        <v>136.91002870276452</v>
      </c>
      <c r="F281" s="1569">
        <v>67.908295027012258</v>
      </c>
      <c r="G281" s="1569">
        <v>0</v>
      </c>
      <c r="H281" s="1569">
        <v>204.81832372977678</v>
      </c>
      <c r="I281" s="1569">
        <v>169.52615260662824</v>
      </c>
      <c r="J281" s="1569">
        <v>0</v>
      </c>
      <c r="K281" s="1569">
        <v>374.34447633640502</v>
      </c>
      <c r="L281" s="1096">
        <f t="shared" si="70"/>
        <v>374.34447633640502</v>
      </c>
    </row>
    <row r="282" spans="1:12" ht="15.75" hidden="1" x14ac:dyDescent="0.25">
      <c r="A282" s="1357" t="s">
        <v>489</v>
      </c>
      <c r="B282" s="1622"/>
      <c r="C282" s="1358" t="s">
        <v>728</v>
      </c>
      <c r="D282" s="1468">
        <v>23800</v>
      </c>
      <c r="E282" s="1569">
        <v>15.456467891895299</v>
      </c>
      <c r="F282" s="1569">
        <v>199.94678136987906</v>
      </c>
      <c r="G282" s="1569">
        <v>0</v>
      </c>
      <c r="H282" s="1569">
        <v>215.40324926177436</v>
      </c>
      <c r="I282" s="1569">
        <v>45.539620595047296</v>
      </c>
      <c r="J282" s="1569">
        <v>0</v>
      </c>
      <c r="K282" s="1569">
        <v>260.94286985682163</v>
      </c>
      <c r="L282" s="1096">
        <f t="shared" si="70"/>
        <v>260.94286985682163</v>
      </c>
    </row>
    <row r="283" spans="1:12" ht="15.75" hidden="1" x14ac:dyDescent="0.25">
      <c r="A283" s="1456"/>
      <c r="B283" s="1622"/>
      <c r="C283" s="1358" t="s">
        <v>492</v>
      </c>
      <c r="D283" s="1369"/>
      <c r="E283" s="1569">
        <v>17.885341417764561</v>
      </c>
      <c r="F283" s="1569">
        <v>95.022820441129568</v>
      </c>
      <c r="G283" s="1569">
        <v>0</v>
      </c>
      <c r="H283" s="1569">
        <v>112.90816185889413</v>
      </c>
      <c r="I283" s="1569">
        <v>69.940868813826498</v>
      </c>
      <c r="J283" s="1569">
        <v>0</v>
      </c>
      <c r="K283" s="1569">
        <v>182.84903067272063</v>
      </c>
      <c r="L283" s="1096">
        <f t="shared" si="70"/>
        <v>182.84903067272063</v>
      </c>
    </row>
    <row r="284" spans="1:12" ht="15.75" hidden="1" x14ac:dyDescent="0.25">
      <c r="A284" s="1456"/>
      <c r="B284" s="1622"/>
      <c r="C284" s="1358" t="s">
        <v>729</v>
      </c>
      <c r="D284" s="1369"/>
      <c r="E284" s="1569">
        <v>17.885341417764561</v>
      </c>
      <c r="F284" s="1569">
        <v>95.022820441129568</v>
      </c>
      <c r="G284" s="1569">
        <v>0</v>
      </c>
      <c r="H284" s="1569">
        <v>112.90816185889413</v>
      </c>
      <c r="I284" s="1569">
        <v>69.940868813826498</v>
      </c>
      <c r="J284" s="1569">
        <v>0</v>
      </c>
      <c r="K284" s="1569">
        <v>182.84903067272063</v>
      </c>
      <c r="L284" s="1096">
        <f t="shared" si="70"/>
        <v>182.84903067272063</v>
      </c>
    </row>
    <row r="285" spans="1:12" ht="15.75" hidden="1" x14ac:dyDescent="0.25">
      <c r="A285" s="1456"/>
      <c r="B285" s="1622"/>
      <c r="C285" s="1358" t="s">
        <v>493</v>
      </c>
      <c r="D285" s="1369"/>
      <c r="E285" s="1569">
        <v>10.80827622831805</v>
      </c>
      <c r="F285" s="1569">
        <v>57.595384268325411</v>
      </c>
      <c r="G285" s="1569">
        <v>0</v>
      </c>
      <c r="H285" s="1569">
        <v>68.403660496643454</v>
      </c>
      <c r="I285" s="1569">
        <v>73.158739472302969</v>
      </c>
      <c r="J285" s="1569">
        <v>0</v>
      </c>
      <c r="K285" s="1569">
        <v>141.56239996894641</v>
      </c>
      <c r="L285" s="1096">
        <f t="shared" si="70"/>
        <v>141.56239996894641</v>
      </c>
    </row>
    <row r="286" spans="1:12" ht="15.75" hidden="1" x14ac:dyDescent="0.25">
      <c r="A286" s="1456"/>
      <c r="B286" s="1622"/>
      <c r="C286" s="1358" t="s">
        <v>730</v>
      </c>
      <c r="D286" s="1369"/>
      <c r="E286" s="1569">
        <v>18.17506228998753</v>
      </c>
      <c r="F286" s="1569">
        <v>60.105829690257451</v>
      </c>
      <c r="G286" s="1569">
        <v>0</v>
      </c>
      <c r="H286" s="1569">
        <v>78.280891980244974</v>
      </c>
      <c r="I286" s="1569">
        <v>98.408054127734843</v>
      </c>
      <c r="J286" s="1569">
        <v>0</v>
      </c>
      <c r="K286" s="1569">
        <v>176.6889461079798</v>
      </c>
      <c r="L286" s="1096">
        <f t="shared" si="70"/>
        <v>176.6889461079798</v>
      </c>
    </row>
    <row r="287" spans="1:12" ht="16.5" hidden="1" thickBot="1" x14ac:dyDescent="0.3">
      <c r="A287" s="1457"/>
      <c r="B287" s="1622"/>
      <c r="C287" s="1358" t="s">
        <v>731</v>
      </c>
      <c r="D287" s="1356"/>
      <c r="E287" s="1569">
        <v>10.266807607901336</v>
      </c>
      <c r="F287" s="1569">
        <v>47.259662472371041</v>
      </c>
      <c r="G287" s="1569">
        <v>0</v>
      </c>
      <c r="H287" s="1569">
        <v>57.526470080272375</v>
      </c>
      <c r="I287" s="1569">
        <v>63.637330224975294</v>
      </c>
      <c r="J287" s="1569">
        <v>0</v>
      </c>
      <c r="K287" s="1569">
        <v>121.16380030524766</v>
      </c>
      <c r="L287" s="1096">
        <f t="shared" si="70"/>
        <v>121.16380030524766</v>
      </c>
    </row>
    <row r="288" spans="1:12" ht="15.75" hidden="1" x14ac:dyDescent="0.25">
      <c r="A288" s="1574" t="s">
        <v>8</v>
      </c>
      <c r="B288" s="1653"/>
      <c r="C288" s="1570" t="s">
        <v>78</v>
      </c>
      <c r="D288" s="1468">
        <v>14300</v>
      </c>
      <c r="E288" s="1569">
        <v>31.77863646621562</v>
      </c>
      <c r="F288" s="1569">
        <v>0</v>
      </c>
      <c r="G288" s="1569">
        <v>24.10263731978673</v>
      </c>
      <c r="H288" s="1569">
        <v>55.881273786002353</v>
      </c>
      <c r="I288" s="1569">
        <v>20.878717678286595</v>
      </c>
      <c r="J288" s="1569">
        <v>0</v>
      </c>
      <c r="K288" s="1569">
        <v>76.759991464288944</v>
      </c>
      <c r="L288" s="1096">
        <f t="shared" si="70"/>
        <v>76.759991464288944</v>
      </c>
    </row>
    <row r="289" spans="1:12" ht="15.75" hidden="1" x14ac:dyDescent="0.25">
      <c r="A289" s="1575"/>
      <c r="B289" s="1653"/>
      <c r="C289" s="1368" t="s">
        <v>79</v>
      </c>
      <c r="D289" s="1369"/>
      <c r="E289" s="1569">
        <v>29.475836722286957</v>
      </c>
      <c r="F289" s="1569">
        <v>0</v>
      </c>
      <c r="G289" s="1569">
        <v>0</v>
      </c>
      <c r="H289" s="1569">
        <v>29.475836722286957</v>
      </c>
      <c r="I289" s="1569">
        <v>26.098397097858243</v>
      </c>
      <c r="J289" s="1569">
        <v>0</v>
      </c>
      <c r="K289" s="1569">
        <v>55.574233820145196</v>
      </c>
      <c r="L289" s="1096">
        <f t="shared" si="70"/>
        <v>55.574233820145196</v>
      </c>
    </row>
    <row r="290" spans="1:12" ht="15.75" hidden="1" x14ac:dyDescent="0.25">
      <c r="A290" s="1575"/>
      <c r="B290" s="1653"/>
      <c r="C290" s="1368" t="s">
        <v>80</v>
      </c>
      <c r="D290" s="1369"/>
      <c r="E290" s="1569">
        <v>40.068715544358831</v>
      </c>
      <c r="F290" s="1569">
        <v>0</v>
      </c>
      <c r="G290" s="1569">
        <v>21.339277627072327</v>
      </c>
      <c r="H290" s="1569">
        <v>61.407993171431158</v>
      </c>
      <c r="I290" s="1569">
        <v>13.81679846357201</v>
      </c>
      <c r="J290" s="1569">
        <v>0</v>
      </c>
      <c r="K290" s="1569">
        <v>75.224791635003172</v>
      </c>
      <c r="L290" s="1096">
        <f t="shared" si="70"/>
        <v>75.224791635003172</v>
      </c>
    </row>
    <row r="291" spans="1:12" ht="15.75" hidden="1" x14ac:dyDescent="0.25">
      <c r="A291" s="1575"/>
      <c r="B291" s="1653"/>
      <c r="C291" s="1368" t="s">
        <v>81</v>
      </c>
      <c r="D291" s="1369"/>
      <c r="E291" s="1569">
        <v>35.309596073572912</v>
      </c>
      <c r="F291" s="1569">
        <v>0</v>
      </c>
      <c r="G291" s="1569">
        <v>0</v>
      </c>
      <c r="H291" s="1569">
        <v>35.309596073572912</v>
      </c>
      <c r="I291" s="1569">
        <v>13.81679846357201</v>
      </c>
      <c r="J291" s="1569">
        <v>0</v>
      </c>
      <c r="K291" s="1569">
        <v>49.126394537144918</v>
      </c>
      <c r="L291" s="1096">
        <f t="shared" si="70"/>
        <v>49.126394537144918</v>
      </c>
    </row>
    <row r="292" spans="1:12" ht="16.5" hidden="1" thickBot="1" x14ac:dyDescent="0.3">
      <c r="A292" s="1576"/>
      <c r="B292" s="1653"/>
      <c r="C292" s="1370" t="s">
        <v>468</v>
      </c>
      <c r="D292" s="1356"/>
      <c r="E292" s="1569">
        <v>30.396956619858422</v>
      </c>
      <c r="F292" s="1569">
        <v>0</v>
      </c>
      <c r="G292" s="1569">
        <v>0</v>
      </c>
      <c r="H292" s="1569">
        <v>30.396956619858422</v>
      </c>
      <c r="I292" s="1569">
        <v>13.81679846357201</v>
      </c>
      <c r="J292" s="1569">
        <v>0</v>
      </c>
      <c r="K292" s="1569">
        <v>44.213755083430428</v>
      </c>
      <c r="L292" s="1096">
        <f t="shared" si="70"/>
        <v>44.213755083430428</v>
      </c>
    </row>
    <row r="293" spans="1:12" ht="16.5" hidden="1" thickBot="1" x14ac:dyDescent="0.3">
      <c r="A293" s="1577" t="s">
        <v>585</v>
      </c>
      <c r="B293" s="1623"/>
      <c r="C293" s="1358" t="s">
        <v>84</v>
      </c>
      <c r="D293" s="1578">
        <v>57000</v>
      </c>
      <c r="E293" s="1569">
        <v>0</v>
      </c>
      <c r="F293" s="1569">
        <v>33.705350827329525</v>
      </c>
      <c r="G293" s="1569">
        <v>0</v>
      </c>
      <c r="H293" s="1569">
        <v>33.705350827329525</v>
      </c>
      <c r="I293" s="1569">
        <v>27.907742405107246</v>
      </c>
      <c r="J293" s="1569">
        <v>0</v>
      </c>
      <c r="K293" s="1569">
        <v>61.613093232436768</v>
      </c>
      <c r="L293" s="1096">
        <f t="shared" si="70"/>
        <v>61.613093232436768</v>
      </c>
    </row>
    <row r="294" spans="1:12" ht="15.75" hidden="1" x14ac:dyDescent="0.25">
      <c r="A294" s="1357" t="s">
        <v>9</v>
      </c>
      <c r="B294" s="1622"/>
      <c r="C294" s="1579" t="s">
        <v>82</v>
      </c>
      <c r="D294" s="1468">
        <v>47500</v>
      </c>
      <c r="E294" s="1569">
        <v>23.588728700587662</v>
      </c>
      <c r="F294" s="1569">
        <v>14.455656819078079</v>
      </c>
      <c r="G294" s="1569">
        <v>0</v>
      </c>
      <c r="H294" s="1569">
        <v>38.044385519665738</v>
      </c>
      <c r="I294" s="1569">
        <v>15.725819133725109</v>
      </c>
      <c r="J294" s="1569">
        <v>1.905243471970542</v>
      </c>
      <c r="K294" s="1569">
        <v>55.675448125361385</v>
      </c>
      <c r="L294" s="1096">
        <f t="shared" si="70"/>
        <v>55.675448125361392</v>
      </c>
    </row>
    <row r="295" spans="1:12" ht="16.5" hidden="1" thickBot="1" x14ac:dyDescent="0.3">
      <c r="A295" s="1457"/>
      <c r="B295" s="1622"/>
      <c r="C295" s="1358" t="s">
        <v>83</v>
      </c>
      <c r="D295" s="1356"/>
      <c r="E295" s="1569">
        <v>14.274205059842791</v>
      </c>
      <c r="F295" s="1569">
        <v>21.169371910783799</v>
      </c>
      <c r="G295" s="1569">
        <v>1.0584685955391899</v>
      </c>
      <c r="H295" s="1569">
        <v>36.502045566165776</v>
      </c>
      <c r="I295" s="1569">
        <v>27.217763885293458</v>
      </c>
      <c r="J295" s="1569">
        <v>1.6633077929901556</v>
      </c>
      <c r="K295" s="1569">
        <v>65.38311724444938</v>
      </c>
      <c r="L295" s="1096">
        <f t="shared" si="70"/>
        <v>65.383117244449394</v>
      </c>
    </row>
    <row r="296" spans="1:12" ht="15.75" hidden="1" x14ac:dyDescent="0.25">
      <c r="A296" s="1371" t="s">
        <v>10</v>
      </c>
      <c r="B296" s="1424"/>
      <c r="C296" s="1473" t="s">
        <v>85</v>
      </c>
      <c r="D296" s="1468">
        <v>31000</v>
      </c>
      <c r="E296" s="1569">
        <v>71.665906573718161</v>
      </c>
      <c r="F296" s="1569">
        <v>102.06962451408344</v>
      </c>
      <c r="G296" s="1569">
        <v>0</v>
      </c>
      <c r="H296" s="1569">
        <v>173.7355310878016</v>
      </c>
      <c r="I296" s="1569">
        <v>271.46176732469002</v>
      </c>
      <c r="J296" s="1569">
        <v>8.6867765543900806</v>
      </c>
      <c r="K296" s="1569">
        <v>453.88407496688166</v>
      </c>
      <c r="L296" s="1096">
        <f t="shared" si="70"/>
        <v>453.88407496688166</v>
      </c>
    </row>
    <row r="297" spans="1:12" ht="15.75" hidden="1" x14ac:dyDescent="0.25">
      <c r="A297" s="1351"/>
      <c r="B297" s="1424"/>
      <c r="C297" s="1380" t="s">
        <v>1347</v>
      </c>
      <c r="D297" s="1369"/>
      <c r="E297" s="1569">
        <v>45.605576910547917</v>
      </c>
      <c r="F297" s="1569">
        <v>104.24131865268096</v>
      </c>
      <c r="G297" s="1569">
        <v>0</v>
      </c>
      <c r="H297" s="1569">
        <v>149.84689556322888</v>
      </c>
      <c r="I297" s="1569">
        <v>304.16748105196865</v>
      </c>
      <c r="J297" s="1569">
        <v>7.4923447781614438</v>
      </c>
      <c r="K297" s="1569">
        <v>461.50672139335899</v>
      </c>
      <c r="L297" s="1096">
        <f t="shared" si="70"/>
        <v>461.50672139335899</v>
      </c>
    </row>
    <row r="298" spans="1:12" ht="15.75" hidden="1" x14ac:dyDescent="0.25">
      <c r="A298" s="1351"/>
      <c r="B298" s="1424"/>
      <c r="C298" s="1380" t="s">
        <v>1348</v>
      </c>
      <c r="D298" s="1369"/>
      <c r="E298" s="1569">
        <v>71.665906573718161</v>
      </c>
      <c r="F298" s="1569">
        <v>97.726236236888397</v>
      </c>
      <c r="G298" s="1569">
        <v>0</v>
      </c>
      <c r="H298" s="1569">
        <v>169.39214281060657</v>
      </c>
      <c r="I298" s="1569">
        <v>274.77360088605121</v>
      </c>
      <c r="J298" s="1569">
        <v>8.4696071405303268</v>
      </c>
      <c r="K298" s="1569">
        <v>452.63535083718818</v>
      </c>
      <c r="L298" s="1096">
        <f t="shared" si="70"/>
        <v>452.63535083718813</v>
      </c>
    </row>
    <row r="299" spans="1:12" ht="16.5" hidden="1" thickBot="1" x14ac:dyDescent="0.3">
      <c r="A299" s="1374"/>
      <c r="B299" s="1424"/>
      <c r="C299" s="1381" t="s">
        <v>86</v>
      </c>
      <c r="D299" s="1356"/>
      <c r="E299" s="1569">
        <v>52.12065932634048</v>
      </c>
      <c r="F299" s="1569">
        <v>91.862662062675085</v>
      </c>
      <c r="G299" s="1569">
        <v>0</v>
      </c>
      <c r="H299" s="1569">
        <v>143.98332138901557</v>
      </c>
      <c r="I299" s="1569">
        <v>225.85619041414208</v>
      </c>
      <c r="J299" s="1569">
        <v>7.1991660694507784</v>
      </c>
      <c r="K299" s="1569">
        <v>377.03867787260845</v>
      </c>
      <c r="L299" s="1096">
        <f t="shared" si="70"/>
        <v>377.03867787260839</v>
      </c>
    </row>
    <row r="300" spans="1:12" ht="15.75" hidden="1" x14ac:dyDescent="0.25">
      <c r="A300" s="1357" t="s">
        <v>11</v>
      </c>
      <c r="B300" s="1622"/>
      <c r="C300" s="1382" t="s">
        <v>87</v>
      </c>
      <c r="D300" s="1468">
        <v>45800</v>
      </c>
      <c r="E300" s="1569">
        <v>141.87043032265103</v>
      </c>
      <c r="F300" s="1569">
        <v>63.991851878796702</v>
      </c>
      <c r="G300" s="1569">
        <v>95.012913317085591</v>
      </c>
      <c r="H300" s="1569">
        <v>300.8751955185333</v>
      </c>
      <c r="I300" s="1569">
        <v>380.63366192572119</v>
      </c>
      <c r="J300" s="1569">
        <v>170.37721436106364</v>
      </c>
      <c r="K300" s="1569">
        <v>851.88607180531812</v>
      </c>
      <c r="L300" s="1096">
        <f t="shared" si="70"/>
        <v>851.88607180531812</v>
      </c>
    </row>
    <row r="301" spans="1:12" ht="15.75" hidden="1" x14ac:dyDescent="0.25">
      <c r="A301" s="1456"/>
      <c r="B301" s="1622"/>
      <c r="C301" s="1382" t="s">
        <v>213</v>
      </c>
      <c r="D301" s="1369"/>
      <c r="E301" s="1569">
        <v>80.026190389582041</v>
      </c>
      <c r="F301" s="1569">
        <v>155.83281801316795</v>
      </c>
      <c r="G301" s="1569">
        <v>95.012913317085591</v>
      </c>
      <c r="H301" s="1569">
        <v>330.8719217198356</v>
      </c>
      <c r="I301" s="1569">
        <v>434.64406533047179</v>
      </c>
      <c r="J301" s="1569">
        <v>191.37899676257683</v>
      </c>
      <c r="K301" s="1569">
        <v>956.89498381288422</v>
      </c>
      <c r="L301" s="1096">
        <f t="shared" si="70"/>
        <v>956.89498381288422</v>
      </c>
    </row>
    <row r="302" spans="1:12" ht="15.75" hidden="1" x14ac:dyDescent="0.25">
      <c r="A302" s="1456"/>
      <c r="B302" s="1622"/>
      <c r="C302" s="1382" t="s">
        <v>88</v>
      </c>
      <c r="D302" s="1369"/>
      <c r="E302" s="1569">
        <v>55.872831108362739</v>
      </c>
      <c r="F302" s="1569">
        <v>126.15037648685025</v>
      </c>
      <c r="G302" s="1569">
        <v>95.012913317085591</v>
      </c>
      <c r="H302" s="1569">
        <v>277.0361209122986</v>
      </c>
      <c r="I302" s="1569">
        <v>215.2268014986723</v>
      </c>
      <c r="J302" s="1569">
        <v>123.0657306027427</v>
      </c>
      <c r="K302" s="1569">
        <v>615.32865301371362</v>
      </c>
      <c r="L302" s="1096">
        <f t="shared" si="70"/>
        <v>615.32865301371362</v>
      </c>
    </row>
    <row r="303" spans="1:12" ht="15.75" hidden="1" x14ac:dyDescent="0.25">
      <c r="A303" s="1456"/>
      <c r="B303" s="1622"/>
      <c r="C303" s="1382" t="s">
        <v>89</v>
      </c>
      <c r="D303" s="1369"/>
      <c r="E303" s="1569">
        <v>96.32243279618784</v>
      </c>
      <c r="F303" s="1569">
        <v>70.626750572914773</v>
      </c>
      <c r="G303" s="1569">
        <v>95.012913317085591</v>
      </c>
      <c r="H303" s="1569">
        <v>261.9620966861882</v>
      </c>
      <c r="I303" s="1569">
        <v>425.5996507948056</v>
      </c>
      <c r="J303" s="1569">
        <v>171.89043687024844</v>
      </c>
      <c r="K303" s="1569">
        <v>859.45218435124218</v>
      </c>
      <c r="L303" s="1096">
        <f t="shared" si="70"/>
        <v>859.45218435124218</v>
      </c>
    </row>
    <row r="304" spans="1:12" ht="16.5" hidden="1" thickBot="1" x14ac:dyDescent="0.3">
      <c r="A304" s="1457"/>
      <c r="B304" s="1622"/>
      <c r="C304" s="1383" t="s">
        <v>90</v>
      </c>
      <c r="D304" s="1356"/>
      <c r="E304" s="1569">
        <v>69.841038885453429</v>
      </c>
      <c r="F304" s="1569">
        <v>127.31439380160781</v>
      </c>
      <c r="G304" s="1569">
        <v>95.012913317085591</v>
      </c>
      <c r="H304" s="1569">
        <v>292.16834600414683</v>
      </c>
      <c r="I304" s="1569">
        <v>500.58564621148741</v>
      </c>
      <c r="J304" s="1569">
        <v>198.18849805390855</v>
      </c>
      <c r="K304" s="1569">
        <v>990.94249026954276</v>
      </c>
      <c r="L304" s="1096">
        <f t="shared" si="70"/>
        <v>990.94249026954287</v>
      </c>
    </row>
    <row r="305" spans="1:12" ht="15.75" hidden="1" x14ac:dyDescent="0.25">
      <c r="A305" s="1357" t="s">
        <v>12</v>
      </c>
      <c r="B305" s="1622"/>
      <c r="C305" s="1472" t="s">
        <v>91</v>
      </c>
      <c r="D305" s="1468">
        <v>41200</v>
      </c>
      <c r="E305" s="1569">
        <v>41.902838404239155</v>
      </c>
      <c r="F305" s="1569">
        <v>117.27148348426608</v>
      </c>
      <c r="G305" s="1569">
        <v>0</v>
      </c>
      <c r="H305" s="1569">
        <v>159.17432188850523</v>
      </c>
      <c r="I305" s="1569">
        <v>208.36319412773906</v>
      </c>
      <c r="J305" s="1569">
        <v>88.214215909831253</v>
      </c>
      <c r="K305" s="1569">
        <v>455.75173192607554</v>
      </c>
      <c r="L305" s="1096">
        <f t="shared" si="70"/>
        <v>455.75173192607554</v>
      </c>
    </row>
    <row r="306" spans="1:12" ht="15.75" hidden="1" x14ac:dyDescent="0.25">
      <c r="A306" s="1456"/>
      <c r="B306" s="1622"/>
      <c r="C306" s="1382" t="s">
        <v>92</v>
      </c>
      <c r="D306" s="1369"/>
      <c r="E306" s="1569">
        <v>41.902838404239155</v>
      </c>
      <c r="F306" s="1569">
        <v>117.27148348426608</v>
      </c>
      <c r="G306" s="1569">
        <v>0</v>
      </c>
      <c r="H306" s="1569">
        <v>159.17432188850523</v>
      </c>
      <c r="I306" s="1569">
        <v>208.36319412773906</v>
      </c>
      <c r="J306" s="1569">
        <v>88.214215909831253</v>
      </c>
      <c r="K306" s="1569">
        <v>455.75173192607554</v>
      </c>
      <c r="L306" s="1096">
        <f t="shared" si="70"/>
        <v>455.75173192607554</v>
      </c>
    </row>
    <row r="307" spans="1:12" ht="15.75" hidden="1" x14ac:dyDescent="0.25">
      <c r="A307" s="1456"/>
      <c r="B307" s="1622"/>
      <c r="C307" s="1382" t="s">
        <v>93</v>
      </c>
      <c r="D307" s="1369"/>
      <c r="E307" s="1569">
        <v>45.540426086389992</v>
      </c>
      <c r="F307" s="1569">
        <v>133.55918952374748</v>
      </c>
      <c r="G307" s="1569">
        <v>0</v>
      </c>
      <c r="H307" s="1569">
        <v>179.09961561013748</v>
      </c>
      <c r="I307" s="1569">
        <v>227.96273372858167</v>
      </c>
      <c r="J307" s="1569">
        <v>97.693660824809442</v>
      </c>
      <c r="K307" s="1569">
        <v>504.75601016352857</v>
      </c>
      <c r="L307" s="1096">
        <f t="shared" si="70"/>
        <v>504.75601016352863</v>
      </c>
    </row>
    <row r="308" spans="1:12" ht="15.75" hidden="1" x14ac:dyDescent="0.25">
      <c r="A308" s="1456"/>
      <c r="B308" s="1622"/>
      <c r="C308" s="1382" t="s">
        <v>94</v>
      </c>
      <c r="D308" s="1369"/>
      <c r="E308" s="1569">
        <v>83.523356570460621</v>
      </c>
      <c r="F308" s="1569">
        <v>118.35733055356484</v>
      </c>
      <c r="G308" s="1569">
        <v>0</v>
      </c>
      <c r="H308" s="1569">
        <v>201.88068712402546</v>
      </c>
      <c r="I308" s="1569">
        <v>257.25888765826221</v>
      </c>
      <c r="J308" s="1569">
        <v>110.19176059243817</v>
      </c>
      <c r="K308" s="1569">
        <v>569.33133537472588</v>
      </c>
      <c r="L308" s="1096">
        <f t="shared" si="70"/>
        <v>569.33133537472588</v>
      </c>
    </row>
    <row r="309" spans="1:12" ht="15.75" hidden="1" x14ac:dyDescent="0.25">
      <c r="A309" s="1456"/>
      <c r="B309" s="1622"/>
      <c r="C309" s="1382" t="s">
        <v>95</v>
      </c>
      <c r="D309" s="1369"/>
      <c r="E309" s="1569">
        <v>117.27148348426608</v>
      </c>
      <c r="F309" s="1569">
        <v>137.90257780094251</v>
      </c>
      <c r="G309" s="1569">
        <v>0</v>
      </c>
      <c r="H309" s="1569">
        <v>255.17406128520861</v>
      </c>
      <c r="I309" s="1569">
        <v>236.71466110712967</v>
      </c>
      <c r="J309" s="1569">
        <v>118.05329337416119</v>
      </c>
      <c r="K309" s="1569">
        <v>609.94201576649948</v>
      </c>
      <c r="L309" s="1096">
        <f t="shared" si="70"/>
        <v>609.94201576649948</v>
      </c>
    </row>
    <row r="310" spans="1:12" ht="16.5" hidden="1" thickBot="1" x14ac:dyDescent="0.3">
      <c r="A310" s="1457"/>
      <c r="B310" s="1622"/>
      <c r="C310" s="1383" t="s">
        <v>195</v>
      </c>
      <c r="D310" s="1356"/>
      <c r="E310" s="1569">
        <v>41.902838404239155</v>
      </c>
      <c r="F310" s="1569">
        <v>117.27148348426608</v>
      </c>
      <c r="G310" s="1569">
        <v>0</v>
      </c>
      <c r="H310" s="1569">
        <v>159.17432188850523</v>
      </c>
      <c r="I310" s="1569">
        <v>208.36319412773906</v>
      </c>
      <c r="J310" s="1569">
        <v>88.214215909831253</v>
      </c>
      <c r="K310" s="1569">
        <v>455.75173192607554</v>
      </c>
      <c r="L310" s="1096">
        <f t="shared" si="70"/>
        <v>455.75173192607554</v>
      </c>
    </row>
    <row r="311" spans="1:12" ht="15.75" hidden="1" x14ac:dyDescent="0.25">
      <c r="A311" s="1357" t="s">
        <v>13</v>
      </c>
      <c r="B311" s="1622"/>
      <c r="C311" s="1472" t="s">
        <v>97</v>
      </c>
      <c r="D311" s="1468">
        <v>41400</v>
      </c>
      <c r="E311" s="1569">
        <v>59.623862575194906</v>
      </c>
      <c r="F311" s="1569">
        <v>116.18563641496732</v>
      </c>
      <c r="G311" s="1569">
        <v>43.433882771950401</v>
      </c>
      <c r="H311" s="1569">
        <v>219.24338176211265</v>
      </c>
      <c r="I311" s="1569">
        <v>144.96058375138449</v>
      </c>
      <c r="J311" s="1569">
        <v>26.472951549503772</v>
      </c>
      <c r="K311" s="1569">
        <v>390.67691706300087</v>
      </c>
      <c r="L311" s="1096">
        <f t="shared" si="70"/>
        <v>390.67691706300087</v>
      </c>
    </row>
    <row r="312" spans="1:12" ht="15.75" hidden="1" x14ac:dyDescent="0.25">
      <c r="A312" s="1456"/>
      <c r="B312" s="1622"/>
      <c r="C312" s="1382" t="s">
        <v>98</v>
      </c>
      <c r="D312" s="1369"/>
      <c r="E312" s="1569">
        <v>0</v>
      </c>
      <c r="F312" s="1569">
        <v>160.70536625621648</v>
      </c>
      <c r="G312" s="1569">
        <v>52.12065932634048</v>
      </c>
      <c r="H312" s="1569">
        <v>212.82602558255695</v>
      </c>
      <c r="I312" s="1569">
        <v>245.40143766151974</v>
      </c>
      <c r="J312" s="1569">
        <v>36.180424349034681</v>
      </c>
      <c r="K312" s="1569">
        <v>494.40788759311141</v>
      </c>
      <c r="L312" s="1096">
        <f t="shared" si="70"/>
        <v>494.40788759311141</v>
      </c>
    </row>
    <row r="313" spans="1:12" ht="15.75" hidden="1" x14ac:dyDescent="0.25">
      <c r="A313" s="1456"/>
      <c r="B313" s="1622"/>
      <c r="C313" s="1382" t="s">
        <v>99</v>
      </c>
      <c r="D313" s="1369"/>
      <c r="E313" s="1569">
        <v>19.990444545790172</v>
      </c>
      <c r="F313" s="1569">
        <v>121.61487176146113</v>
      </c>
      <c r="G313" s="1569">
        <v>48.863118118444199</v>
      </c>
      <c r="H313" s="1569">
        <v>190.46843442569551</v>
      </c>
      <c r="I313" s="1569">
        <v>186.9394314504745</v>
      </c>
      <c r="J313" s="1569">
        <v>29.209286164136643</v>
      </c>
      <c r="K313" s="1569">
        <v>406.61715204030662</v>
      </c>
      <c r="L313" s="1096">
        <f t="shared" si="70"/>
        <v>406.61715204030668</v>
      </c>
    </row>
    <row r="314" spans="1:12" ht="15.75" hidden="1" x14ac:dyDescent="0.25">
      <c r="A314" s="1456"/>
      <c r="B314" s="1622"/>
      <c r="C314" s="1382" t="s">
        <v>100</v>
      </c>
      <c r="D314" s="1369"/>
      <c r="E314" s="1569">
        <v>66.193237344452413</v>
      </c>
      <c r="F314" s="1569">
        <v>128.12995417725367</v>
      </c>
      <c r="G314" s="1569">
        <v>38.004647425456596</v>
      </c>
      <c r="H314" s="1569">
        <v>232.32783894716266</v>
      </c>
      <c r="I314" s="1569">
        <v>123.39566095511108</v>
      </c>
      <c r="J314" s="1569">
        <v>25.148218124959282</v>
      </c>
      <c r="K314" s="1569">
        <v>380.87171802723299</v>
      </c>
      <c r="L314" s="1096">
        <f t="shared" si="70"/>
        <v>380.87171802723299</v>
      </c>
    </row>
    <row r="315" spans="1:12" ht="15.75" hidden="1" x14ac:dyDescent="0.25">
      <c r="A315" s="1456"/>
      <c r="B315" s="1622"/>
      <c r="C315" s="1382" t="s">
        <v>101</v>
      </c>
      <c r="D315" s="1369"/>
      <c r="E315" s="1569">
        <v>22.824505396659934</v>
      </c>
      <c r="F315" s="1569">
        <v>107.49885986057724</v>
      </c>
      <c r="G315" s="1569">
        <v>53.206506395639238</v>
      </c>
      <c r="H315" s="1569">
        <v>183.52987165287641</v>
      </c>
      <c r="I315" s="1569">
        <v>169.39214281060657</v>
      </c>
      <c r="J315" s="1569">
        <v>26.950724259995223</v>
      </c>
      <c r="K315" s="1569">
        <v>379.87273872347822</v>
      </c>
      <c r="L315" s="1096">
        <f t="shared" si="70"/>
        <v>379.87273872347822</v>
      </c>
    </row>
    <row r="316" spans="1:12" ht="15.75" hidden="1" x14ac:dyDescent="0.25">
      <c r="A316" s="1456"/>
      <c r="B316" s="1622"/>
      <c r="C316" s="1382" t="s">
        <v>630</v>
      </c>
      <c r="D316" s="1369"/>
      <c r="E316" s="1569">
        <v>30.794622885312833</v>
      </c>
      <c r="F316" s="1569">
        <v>108.58470692987599</v>
      </c>
      <c r="G316" s="1569">
        <v>43.433882771950401</v>
      </c>
      <c r="H316" s="1569">
        <v>182.81321258713925</v>
      </c>
      <c r="I316" s="1569">
        <v>147.67520142463135</v>
      </c>
      <c r="J316" s="1569">
        <v>24.779030121397703</v>
      </c>
      <c r="K316" s="1569">
        <v>355.26744413316828</v>
      </c>
      <c r="L316" s="1096">
        <f t="shared" si="70"/>
        <v>355.26744413316828</v>
      </c>
    </row>
    <row r="317" spans="1:12" ht="15.75" hidden="1" x14ac:dyDescent="0.25">
      <c r="A317" s="1456"/>
      <c r="B317" s="1622"/>
      <c r="C317" s="1382" t="s">
        <v>631</v>
      </c>
      <c r="D317" s="1369"/>
      <c r="E317" s="1569">
        <v>11.890025408821421</v>
      </c>
      <c r="F317" s="1569">
        <v>100.98377744478468</v>
      </c>
      <c r="G317" s="1569">
        <v>47.77727104914544</v>
      </c>
      <c r="H317" s="1569">
        <v>160.65107390275153</v>
      </c>
      <c r="I317" s="1569">
        <v>158.53367211761895</v>
      </c>
      <c r="J317" s="1569">
        <v>24.681303885160816</v>
      </c>
      <c r="K317" s="1569">
        <v>343.86604990553133</v>
      </c>
      <c r="L317" s="1096">
        <f t="shared" si="70"/>
        <v>343.86604990553133</v>
      </c>
    </row>
    <row r="318" spans="1:12" ht="15.75" hidden="1" x14ac:dyDescent="0.25">
      <c r="A318" s="1456"/>
      <c r="B318" s="1622"/>
      <c r="C318" s="1382" t="s">
        <v>632</v>
      </c>
      <c r="D318" s="1369"/>
      <c r="E318" s="1569">
        <v>45.76845397094273</v>
      </c>
      <c r="F318" s="1569">
        <v>160.70536625621648</v>
      </c>
      <c r="G318" s="1569">
        <v>49.948965187742957</v>
      </c>
      <c r="H318" s="1569">
        <v>256.42278541490214</v>
      </c>
      <c r="I318" s="1569">
        <v>140.7909310052772</v>
      </c>
      <c r="J318" s="1569">
        <v>28.101722153451909</v>
      </c>
      <c r="K318" s="1569">
        <v>425.3154385736313</v>
      </c>
      <c r="L318" s="1096">
        <f t="shared" si="70"/>
        <v>425.3154385736313</v>
      </c>
    </row>
    <row r="319" spans="1:12" ht="15.75" hidden="1" x14ac:dyDescent="0.25">
      <c r="A319" s="1456"/>
      <c r="B319" s="1622"/>
      <c r="C319" s="1382" t="s">
        <v>633</v>
      </c>
      <c r="D319" s="1369"/>
      <c r="E319" s="1569">
        <v>32.977175494603344</v>
      </c>
      <c r="F319" s="1569">
        <v>163.96290746411276</v>
      </c>
      <c r="G319" s="1569">
        <v>56.464047603535519</v>
      </c>
      <c r="H319" s="1569">
        <v>253.40413056225162</v>
      </c>
      <c r="I319" s="1569">
        <v>250.83067300801355</v>
      </c>
      <c r="J319" s="1569">
        <v>39.047060611983412</v>
      </c>
      <c r="K319" s="1569">
        <v>543.28186418224857</v>
      </c>
      <c r="L319" s="1096">
        <f t="shared" si="70"/>
        <v>543.28186418224857</v>
      </c>
    </row>
    <row r="320" spans="1:12" ht="15.75" hidden="1" x14ac:dyDescent="0.25">
      <c r="A320" s="1456"/>
      <c r="B320" s="1622"/>
      <c r="C320" s="1382" t="s">
        <v>634</v>
      </c>
      <c r="D320" s="1369"/>
      <c r="E320" s="1569">
        <v>10.315547158338219</v>
      </c>
      <c r="F320" s="1569">
        <v>154.19028384042392</v>
      </c>
      <c r="G320" s="1569">
        <v>36.918800356157838</v>
      </c>
      <c r="H320" s="1569">
        <v>201.42463135491997</v>
      </c>
      <c r="I320" s="1569">
        <v>152.56151323647578</v>
      </c>
      <c r="J320" s="1569">
        <v>26.32093295980194</v>
      </c>
      <c r="K320" s="1569">
        <v>380.30707755119772</v>
      </c>
      <c r="L320" s="1096">
        <f t="shared" si="70"/>
        <v>380.30707755119766</v>
      </c>
    </row>
    <row r="321" spans="1:12" ht="16.5" hidden="1" thickBot="1" x14ac:dyDescent="0.3">
      <c r="A321" s="1457"/>
      <c r="B321" s="1622"/>
      <c r="C321" s="1382" t="s">
        <v>635</v>
      </c>
      <c r="D321" s="1356"/>
      <c r="E321" s="1569">
        <v>6.667101005494386</v>
      </c>
      <c r="F321" s="1569">
        <v>143.33181314743632</v>
      </c>
      <c r="G321" s="1569">
        <v>41.262188633352878</v>
      </c>
      <c r="H321" s="1569">
        <v>191.26110278628357</v>
      </c>
      <c r="I321" s="1569">
        <v>244.20700588529112</v>
      </c>
      <c r="J321" s="1569">
        <v>34.88826633656916</v>
      </c>
      <c r="K321" s="1569">
        <v>470.3563750081438</v>
      </c>
      <c r="L321" s="1096">
        <f t="shared" si="70"/>
        <v>470.3563750081438</v>
      </c>
    </row>
    <row r="322" spans="1:12" ht="15.75" hidden="1" x14ac:dyDescent="0.25">
      <c r="A322" s="1371" t="s">
        <v>35</v>
      </c>
      <c r="B322" s="1622"/>
      <c r="C322" s="1386" t="s">
        <v>712</v>
      </c>
      <c r="D322" s="1468">
        <v>25600</v>
      </c>
      <c r="E322" s="1569">
        <v>86.324842009251412</v>
      </c>
      <c r="F322" s="1569">
        <v>24.61615306100289</v>
      </c>
      <c r="G322" s="1569">
        <v>19.686407366386518</v>
      </c>
      <c r="H322" s="1569">
        <v>130.62740243664081</v>
      </c>
      <c r="I322" s="1569">
        <v>36.538753881903268</v>
      </c>
      <c r="J322" s="1569">
        <v>35.995830347253893</v>
      </c>
      <c r="K322" s="1569">
        <v>203.16198666579797</v>
      </c>
      <c r="L322" s="1096">
        <f t="shared" si="70"/>
        <v>203.16198666579797</v>
      </c>
    </row>
    <row r="323" spans="1:12" ht="15.75" hidden="1" x14ac:dyDescent="0.25">
      <c r="A323" s="1351"/>
      <c r="B323" s="1622"/>
      <c r="C323" s="1387" t="s">
        <v>713</v>
      </c>
      <c r="D323" s="1369"/>
      <c r="E323" s="1569">
        <v>55.378200534236761</v>
      </c>
      <c r="F323" s="1569">
        <v>92.2970008903946</v>
      </c>
      <c r="G323" s="1569">
        <v>0</v>
      </c>
      <c r="H323" s="1569">
        <v>147.67520142463135</v>
      </c>
      <c r="I323" s="1569">
        <v>63.793515321302145</v>
      </c>
      <c r="J323" s="1569">
        <v>39.405390144851999</v>
      </c>
      <c r="K323" s="1569">
        <v>250.8741068907855</v>
      </c>
      <c r="L323" s="1096">
        <f t="shared" si="70"/>
        <v>250.8741068907855</v>
      </c>
    </row>
    <row r="324" spans="1:12" ht="15.75" hidden="1" x14ac:dyDescent="0.25">
      <c r="A324" s="1351"/>
      <c r="B324" s="1622"/>
      <c r="C324" s="1387" t="s">
        <v>714</v>
      </c>
      <c r="D324" s="1369"/>
      <c r="E324" s="1569">
        <v>52.989336981779488</v>
      </c>
      <c r="F324" s="1569">
        <v>43.433882771950401</v>
      </c>
      <c r="G324" s="1569">
        <v>34.747106217560322</v>
      </c>
      <c r="H324" s="1569">
        <v>131.1703259712902</v>
      </c>
      <c r="I324" s="1569">
        <v>57.549894672834277</v>
      </c>
      <c r="J324" s="1569">
        <v>39.057919082676392</v>
      </c>
      <c r="K324" s="1569">
        <v>227.77813972680087</v>
      </c>
      <c r="L324" s="1096">
        <f t="shared" si="70"/>
        <v>227.77813972680087</v>
      </c>
    </row>
    <row r="325" spans="1:12" ht="15.75" hidden="1" x14ac:dyDescent="0.25">
      <c r="A325" s="1351"/>
      <c r="B325" s="1622"/>
      <c r="C325" s="1387" t="s">
        <v>715</v>
      </c>
      <c r="D325" s="1369"/>
      <c r="E325" s="1569">
        <v>13.03016483158512</v>
      </c>
      <c r="F325" s="1569">
        <v>131.51779703346583</v>
      </c>
      <c r="G325" s="1569">
        <v>0</v>
      </c>
      <c r="H325" s="1569">
        <v>144.54796186505095</v>
      </c>
      <c r="I325" s="1569">
        <v>98.638347775099362</v>
      </c>
      <c r="J325" s="1569">
        <v>42.782374530371143</v>
      </c>
      <c r="K325" s="1569">
        <v>285.96868417052144</v>
      </c>
      <c r="L325" s="1096">
        <f t="shared" si="70"/>
        <v>285.96868417052144</v>
      </c>
    </row>
    <row r="326" spans="1:12" ht="16.5" hidden="1" thickBot="1" x14ac:dyDescent="0.3">
      <c r="A326" s="1374"/>
      <c r="B326" s="1622"/>
      <c r="C326" s="1388" t="s">
        <v>716</v>
      </c>
      <c r="D326" s="1356"/>
      <c r="E326" s="1569">
        <v>26.06032966317024</v>
      </c>
      <c r="F326" s="1569">
        <v>61.024605294590316</v>
      </c>
      <c r="G326" s="1569">
        <v>0</v>
      </c>
      <c r="H326" s="1569">
        <v>87.084934957760552</v>
      </c>
      <c r="I326" s="1569">
        <v>56.420613720763569</v>
      </c>
      <c r="J326" s="1569">
        <v>26.14719742871414</v>
      </c>
      <c r="K326" s="1569">
        <v>169.65274610723827</v>
      </c>
      <c r="L326" s="1096">
        <f t="shared" si="70"/>
        <v>169.65274610723827</v>
      </c>
    </row>
    <row r="327" spans="1:12" ht="15.75" hidden="1" x14ac:dyDescent="0.25">
      <c r="A327" s="1357" t="s">
        <v>45</v>
      </c>
      <c r="B327" s="1622"/>
      <c r="C327" s="1472" t="s">
        <v>102</v>
      </c>
      <c r="D327" s="1468">
        <v>26000</v>
      </c>
      <c r="E327" s="1569">
        <v>5.8529268955314864</v>
      </c>
      <c r="F327" s="1569">
        <v>59.35556451703696</v>
      </c>
      <c r="G327" s="1569">
        <v>0</v>
      </c>
      <c r="H327" s="1569">
        <v>65.208491412568449</v>
      </c>
      <c r="I327" s="1569">
        <v>103.3661318732599</v>
      </c>
      <c r="J327" s="1569">
        <v>45.515113858191917</v>
      </c>
      <c r="K327" s="1569">
        <v>214.08973714402026</v>
      </c>
      <c r="L327" s="1096">
        <f t="shared" si="70"/>
        <v>214.08973714402026</v>
      </c>
    </row>
    <row r="328" spans="1:12" ht="15.75" hidden="1" x14ac:dyDescent="0.25">
      <c r="A328" s="1456"/>
      <c r="B328" s="1622"/>
      <c r="C328" s="1382" t="s">
        <v>103</v>
      </c>
      <c r="D328" s="1369"/>
      <c r="E328" s="1569">
        <v>4.2382076519995646</v>
      </c>
      <c r="F328" s="1569">
        <v>84.316576277391832</v>
      </c>
      <c r="G328" s="1569">
        <v>0</v>
      </c>
      <c r="H328" s="1569">
        <v>88.554783929391391</v>
      </c>
      <c r="I328" s="1569">
        <v>72.741552616934854</v>
      </c>
      <c r="J328" s="1569">
        <v>43.549219000928105</v>
      </c>
      <c r="K328" s="1569">
        <v>204.84555554725435</v>
      </c>
      <c r="L328" s="1096">
        <f t="shared" si="70"/>
        <v>204.84555554725435</v>
      </c>
    </row>
    <row r="329" spans="1:12" ht="15.75" hidden="1" x14ac:dyDescent="0.25">
      <c r="A329" s="1456"/>
      <c r="B329" s="1622"/>
      <c r="C329" s="1382" t="s">
        <v>104</v>
      </c>
      <c r="D329" s="1369"/>
      <c r="E329" s="1569">
        <v>0</v>
      </c>
      <c r="F329" s="1569">
        <v>85.769479306753169</v>
      </c>
      <c r="G329" s="1569">
        <v>0</v>
      </c>
      <c r="H329" s="1569">
        <v>85.769479306753169</v>
      </c>
      <c r="I329" s="1569">
        <v>65.96937190898754</v>
      </c>
      <c r="J329" s="1569">
        <v>40.970488268720409</v>
      </c>
      <c r="K329" s="1569">
        <v>192.70933948446111</v>
      </c>
      <c r="L329" s="1096">
        <f t="shared" si="70"/>
        <v>192.70933948446111</v>
      </c>
    </row>
    <row r="330" spans="1:12" ht="15.75" hidden="1" x14ac:dyDescent="0.25">
      <c r="A330" s="1456"/>
      <c r="B330" s="1622"/>
      <c r="C330" s="1382" t="s">
        <v>105</v>
      </c>
      <c r="D330" s="1369"/>
      <c r="E330" s="1569">
        <v>0</v>
      </c>
      <c r="F330" s="1569">
        <v>117.05853791062974</v>
      </c>
      <c r="G330" s="1569">
        <v>0</v>
      </c>
      <c r="H330" s="1569">
        <v>117.05853791062974</v>
      </c>
      <c r="I330" s="1569">
        <v>86.76103398081969</v>
      </c>
      <c r="J330" s="1569">
        <v>55.031284410691342</v>
      </c>
      <c r="K330" s="1569">
        <v>258.85085630214076</v>
      </c>
      <c r="L330" s="1096">
        <f t="shared" si="70"/>
        <v>258.85085630214076</v>
      </c>
    </row>
    <row r="331" spans="1:12" ht="16.5" hidden="1" thickBot="1" x14ac:dyDescent="0.3">
      <c r="A331" s="1457"/>
      <c r="B331" s="1622"/>
      <c r="C331" s="1383" t="s">
        <v>613</v>
      </c>
      <c r="D331" s="1356"/>
      <c r="E331" s="1569">
        <v>0</v>
      </c>
      <c r="F331" s="1569">
        <v>74.986322226279867</v>
      </c>
      <c r="G331" s="1569">
        <v>0</v>
      </c>
      <c r="H331" s="1569">
        <v>74.986322226279867</v>
      </c>
      <c r="I331" s="1569">
        <v>47.718568689450827</v>
      </c>
      <c r="J331" s="1569">
        <v>33.131009126882056</v>
      </c>
      <c r="K331" s="1569">
        <v>155.83590004261274</v>
      </c>
      <c r="L331" s="1096">
        <f t="shared" si="70"/>
        <v>155.83590004261274</v>
      </c>
    </row>
    <row r="332" spans="1:12" ht="15.75" hidden="1" x14ac:dyDescent="0.25">
      <c r="A332" s="1357" t="s">
        <v>18</v>
      </c>
      <c r="B332" s="1622"/>
      <c r="C332" s="1472" t="s">
        <v>112</v>
      </c>
      <c r="D332" s="1468">
        <v>38200</v>
      </c>
      <c r="E332" s="1569">
        <v>62.341061463798042</v>
      </c>
      <c r="F332" s="1569">
        <v>1.9949139668415374</v>
      </c>
      <c r="G332" s="1569">
        <v>0</v>
      </c>
      <c r="H332" s="1569">
        <v>64.335975430639579</v>
      </c>
      <c r="I332" s="1569">
        <v>55.85759107156305</v>
      </c>
      <c r="J332" s="1569">
        <v>9.5755870408393786</v>
      </c>
      <c r="K332" s="1569">
        <v>129.76915354304199</v>
      </c>
      <c r="L332" s="1096">
        <f t="shared" ref="L332:L395" si="72">E332+F332+G332+I332+J332</f>
        <v>129.76915354304199</v>
      </c>
    </row>
    <row r="333" spans="1:12" ht="15.75" hidden="1" x14ac:dyDescent="0.25">
      <c r="A333" s="1456"/>
      <c r="B333" s="1622"/>
      <c r="C333" s="1382" t="s">
        <v>113</v>
      </c>
      <c r="D333" s="1369"/>
      <c r="E333" s="1569">
        <v>84.783843590765343</v>
      </c>
      <c r="F333" s="1569">
        <v>8.3121415285064053</v>
      </c>
      <c r="G333" s="1569">
        <v>0</v>
      </c>
      <c r="H333" s="1569">
        <v>93.095985119271745</v>
      </c>
      <c r="I333" s="1569">
        <v>54.860134088142281</v>
      </c>
      <c r="J333" s="1569">
        <v>11.803240970479097</v>
      </c>
      <c r="K333" s="1569">
        <v>159.75936017789311</v>
      </c>
      <c r="L333" s="1096">
        <f t="shared" si="72"/>
        <v>159.75936017789311</v>
      </c>
    </row>
    <row r="334" spans="1:12" ht="15.75" hidden="1" x14ac:dyDescent="0.25">
      <c r="A334" s="1456"/>
      <c r="B334" s="1622"/>
      <c r="C334" s="1382" t="s">
        <v>114</v>
      </c>
      <c r="D334" s="1369"/>
      <c r="E334" s="1569">
        <v>80.794015657082269</v>
      </c>
      <c r="F334" s="1569">
        <v>4.1560707642532027</v>
      </c>
      <c r="G334" s="1569">
        <v>0</v>
      </c>
      <c r="H334" s="1569">
        <v>84.95008642133547</v>
      </c>
      <c r="I334" s="1569">
        <v>70.486960161734316</v>
      </c>
      <c r="J334" s="1569">
        <v>12.401715160531557</v>
      </c>
      <c r="K334" s="1569">
        <v>167.83876174360134</v>
      </c>
      <c r="L334" s="1096">
        <f t="shared" si="72"/>
        <v>167.83876174360134</v>
      </c>
    </row>
    <row r="335" spans="1:12" ht="15.75" hidden="1" x14ac:dyDescent="0.25">
      <c r="A335" s="1456"/>
      <c r="B335" s="1622"/>
      <c r="C335" s="1382" t="s">
        <v>115</v>
      </c>
      <c r="D335" s="1369"/>
      <c r="E335" s="1569">
        <v>84.783843590765343</v>
      </c>
      <c r="F335" s="1569">
        <v>13.565414974522454</v>
      </c>
      <c r="G335" s="1569">
        <v>0</v>
      </c>
      <c r="H335" s="1569">
        <v>98.349258565287798</v>
      </c>
      <c r="I335" s="1569">
        <v>86.180283367554409</v>
      </c>
      <c r="J335" s="1569">
        <v>14.662617656285299</v>
      </c>
      <c r="K335" s="1569">
        <v>199.19215958912753</v>
      </c>
      <c r="L335" s="1096">
        <f t="shared" si="72"/>
        <v>199.19215958912753</v>
      </c>
    </row>
    <row r="336" spans="1:12" ht="15.75" hidden="1" x14ac:dyDescent="0.25">
      <c r="A336" s="1456"/>
      <c r="B336" s="1622"/>
      <c r="C336" s="1382" t="s">
        <v>116</v>
      </c>
      <c r="D336" s="1369"/>
      <c r="E336" s="1569">
        <v>131.66432181154147</v>
      </c>
      <c r="F336" s="1569">
        <v>0</v>
      </c>
      <c r="G336" s="1569">
        <v>0</v>
      </c>
      <c r="H336" s="1569">
        <v>131.66432181154147</v>
      </c>
      <c r="I336" s="1569">
        <v>59.847419005246124</v>
      </c>
      <c r="J336" s="1569">
        <v>15.261091846337761</v>
      </c>
      <c r="K336" s="1569">
        <v>206.77283266312537</v>
      </c>
      <c r="L336" s="1096">
        <f t="shared" si="72"/>
        <v>206.77283266312537</v>
      </c>
    </row>
    <row r="337" spans="1:12" ht="15.75" hidden="1" x14ac:dyDescent="0.25">
      <c r="A337" s="1456"/>
      <c r="B337" s="1622"/>
      <c r="C337" s="1382" t="s">
        <v>117</v>
      </c>
      <c r="D337" s="1369"/>
      <c r="E337" s="1569">
        <v>124.68212292759608</v>
      </c>
      <c r="F337" s="1569">
        <v>66.231143699139039</v>
      </c>
      <c r="G337" s="1569">
        <v>0</v>
      </c>
      <c r="H337" s="1569">
        <v>190.91326662673512</v>
      </c>
      <c r="I337" s="1569">
        <v>70.121225934480037</v>
      </c>
      <c r="J337" s="1569">
        <v>20.846850953494066</v>
      </c>
      <c r="K337" s="1569">
        <v>281.88134351470927</v>
      </c>
      <c r="L337" s="1096">
        <f t="shared" si="72"/>
        <v>281.88134351470927</v>
      </c>
    </row>
    <row r="338" spans="1:12" ht="15.75" hidden="1" x14ac:dyDescent="0.25">
      <c r="A338" s="1456"/>
      <c r="B338" s="1622"/>
      <c r="C338" s="1382" t="s">
        <v>118</v>
      </c>
      <c r="D338" s="1369"/>
      <c r="E338" s="1569">
        <v>116.70246706022994</v>
      </c>
      <c r="F338" s="1569">
        <v>7.3146845450856368</v>
      </c>
      <c r="G338" s="1569">
        <v>0</v>
      </c>
      <c r="H338" s="1569">
        <v>124.01715160531558</v>
      </c>
      <c r="I338" s="1569">
        <v>59.514933344105863</v>
      </c>
      <c r="J338" s="1569">
        <v>14.529623391829197</v>
      </c>
      <c r="K338" s="1569">
        <v>198.06170834125064</v>
      </c>
      <c r="L338" s="1096">
        <f t="shared" si="72"/>
        <v>198.06170834125064</v>
      </c>
    </row>
    <row r="339" spans="1:12" ht="16.5" hidden="1" thickBot="1" x14ac:dyDescent="0.3">
      <c r="A339" s="1457"/>
      <c r="B339" s="1622"/>
      <c r="C339" s="1383" t="s">
        <v>119</v>
      </c>
      <c r="D339" s="1356"/>
      <c r="E339" s="1569">
        <v>78.799101690240732</v>
      </c>
      <c r="F339" s="1569">
        <v>1.4296883429031018</v>
      </c>
      <c r="G339" s="1569">
        <v>0</v>
      </c>
      <c r="H339" s="1569">
        <v>80.228790033143838</v>
      </c>
      <c r="I339" s="1569">
        <v>63.504761277788937</v>
      </c>
      <c r="J339" s="1569">
        <v>11.437506743224814</v>
      </c>
      <c r="K339" s="1569">
        <v>155.17105805415758</v>
      </c>
      <c r="L339" s="1096">
        <f t="shared" si="72"/>
        <v>155.17105805415758</v>
      </c>
    </row>
    <row r="340" spans="1:12" ht="16.5" hidden="1" thickBot="1" x14ac:dyDescent="0.3">
      <c r="A340" s="1456" t="s">
        <v>742</v>
      </c>
      <c r="B340" s="1622"/>
      <c r="C340" s="1390" t="s">
        <v>743</v>
      </c>
      <c r="D340" s="1391">
        <v>3300</v>
      </c>
      <c r="E340" s="1569">
        <v>5.8330000421920332</v>
      </c>
      <c r="F340" s="1569">
        <v>21.827086157882587</v>
      </c>
      <c r="G340" s="1569">
        <v>0</v>
      </c>
      <c r="H340" s="1569">
        <v>27.66008620007462</v>
      </c>
      <c r="I340" s="1569">
        <v>16.370314618411943</v>
      </c>
      <c r="J340" s="1569">
        <v>0</v>
      </c>
      <c r="K340" s="1569">
        <v>44.030400818486562</v>
      </c>
      <c r="L340" s="1096">
        <f t="shared" si="72"/>
        <v>44.030400818486562</v>
      </c>
    </row>
    <row r="341" spans="1:12" ht="16.5" hidden="1" thickBot="1" x14ac:dyDescent="0.3">
      <c r="A341" s="1580" t="s">
        <v>586</v>
      </c>
      <c r="B341" s="1624"/>
      <c r="C341" s="1581" t="s">
        <v>587</v>
      </c>
      <c r="D341" s="1582">
        <v>88700</v>
      </c>
      <c r="E341" s="1569">
        <v>0</v>
      </c>
      <c r="F341" s="1569">
        <v>83.444215433048953</v>
      </c>
      <c r="G341" s="1569">
        <v>0</v>
      </c>
      <c r="H341" s="1569">
        <v>83.444215433048953</v>
      </c>
      <c r="I341" s="1569">
        <v>0</v>
      </c>
      <c r="J341" s="1569">
        <v>0</v>
      </c>
      <c r="K341" s="1569">
        <v>83.444215433048953</v>
      </c>
      <c r="L341" s="1096">
        <f t="shared" si="72"/>
        <v>83.444215433048953</v>
      </c>
    </row>
    <row r="342" spans="1:12" ht="16.5" hidden="1" thickBot="1" x14ac:dyDescent="0.3">
      <c r="A342" s="1395" t="s">
        <v>774</v>
      </c>
      <c r="B342" s="1624"/>
      <c r="C342" s="1390" t="s">
        <v>775</v>
      </c>
      <c r="D342" s="1583">
        <v>34700</v>
      </c>
      <c r="E342" s="1569">
        <v>64.064977088626833</v>
      </c>
      <c r="F342" s="1569">
        <v>155.69961126674917</v>
      </c>
      <c r="G342" s="1569">
        <v>0</v>
      </c>
      <c r="H342" s="1569">
        <v>219.76458835537602</v>
      </c>
      <c r="I342" s="1569">
        <v>0</v>
      </c>
      <c r="J342" s="1569">
        <v>0</v>
      </c>
      <c r="K342" s="1569">
        <v>219.76458835537602</v>
      </c>
      <c r="L342" s="1096">
        <f t="shared" si="72"/>
        <v>219.76458835537602</v>
      </c>
    </row>
    <row r="343" spans="1:12" ht="16.5" hidden="1" thickBot="1" x14ac:dyDescent="0.3">
      <c r="A343" s="1395" t="s">
        <v>37</v>
      </c>
      <c r="B343" s="1624"/>
      <c r="C343" s="1584" t="s">
        <v>37</v>
      </c>
      <c r="D343" s="1583">
        <v>19500</v>
      </c>
      <c r="E343" s="1569">
        <v>18.410098329450939</v>
      </c>
      <c r="F343" s="1569">
        <v>0</v>
      </c>
      <c r="G343" s="1569">
        <v>0</v>
      </c>
      <c r="H343" s="1569">
        <v>18.410098329450939</v>
      </c>
      <c r="I343" s="1569">
        <v>18.494199005910477</v>
      </c>
      <c r="J343" s="1569">
        <v>0</v>
      </c>
      <c r="K343" s="1569">
        <v>36.90429733536142</v>
      </c>
      <c r="L343" s="1096">
        <f t="shared" si="72"/>
        <v>36.90429733536142</v>
      </c>
    </row>
    <row r="344" spans="1:12" ht="15.75" hidden="1" x14ac:dyDescent="0.25">
      <c r="A344" s="1422" t="s">
        <v>38</v>
      </c>
      <c r="B344" s="1424"/>
      <c r="C344" s="1585" t="s">
        <v>620</v>
      </c>
      <c r="D344" s="1586">
        <v>18500</v>
      </c>
      <c r="E344" s="1569">
        <v>6.3682357034555784E-2</v>
      </c>
      <c r="F344" s="1569">
        <v>0.48630163553660777</v>
      </c>
      <c r="G344" s="1569">
        <v>0</v>
      </c>
      <c r="H344" s="1569">
        <v>0.54998399257116359</v>
      </c>
      <c r="I344" s="1569">
        <v>0.17367915554878849</v>
      </c>
      <c r="J344" s="1569">
        <v>9.2628882959353859E-3</v>
      </c>
      <c r="K344" s="1569">
        <v>0.73292603641588738</v>
      </c>
      <c r="L344" s="1096">
        <f t="shared" si="72"/>
        <v>0.73292603641588738</v>
      </c>
    </row>
    <row r="345" spans="1:12" ht="15.75" hidden="1" x14ac:dyDescent="0.25">
      <c r="A345" s="1469"/>
      <c r="B345" s="1424"/>
      <c r="C345" s="1408" t="s">
        <v>621</v>
      </c>
      <c r="D345" s="1369"/>
      <c r="E345" s="1569">
        <v>0</v>
      </c>
      <c r="F345" s="1569">
        <v>0.49788024590652696</v>
      </c>
      <c r="G345" s="1569">
        <v>0</v>
      </c>
      <c r="H345" s="1569">
        <v>0.49788024590652696</v>
      </c>
      <c r="I345" s="1569">
        <v>2.3157220739838467E-2</v>
      </c>
      <c r="J345" s="1569">
        <v>9.2628882959353859E-3</v>
      </c>
      <c r="K345" s="1569">
        <v>0.53030035494230077</v>
      </c>
      <c r="L345" s="1096">
        <f t="shared" si="72"/>
        <v>0.53030035494230077</v>
      </c>
    </row>
    <row r="346" spans="1:12" ht="15.75" hidden="1" x14ac:dyDescent="0.25">
      <c r="A346" s="1469"/>
      <c r="B346" s="1424"/>
      <c r="C346" s="1408" t="s">
        <v>622</v>
      </c>
      <c r="D346" s="1369"/>
      <c r="E346" s="1569">
        <v>0.18525776591870774</v>
      </c>
      <c r="F346" s="1569">
        <v>1.0594428488476098</v>
      </c>
      <c r="G346" s="1569">
        <v>0</v>
      </c>
      <c r="H346" s="1569">
        <v>1.2447006147663175</v>
      </c>
      <c r="I346" s="1569">
        <v>0.13894332443903079</v>
      </c>
      <c r="J346" s="1569">
        <v>9.2628882959353859E-3</v>
      </c>
      <c r="K346" s="1569">
        <v>1.3929068275012837</v>
      </c>
      <c r="L346" s="1096">
        <f t="shared" si="72"/>
        <v>1.3929068275012837</v>
      </c>
    </row>
    <row r="347" spans="1:12" ht="15.75" hidden="1" x14ac:dyDescent="0.25">
      <c r="A347" s="1469"/>
      <c r="B347" s="1424"/>
      <c r="C347" s="1408" t="s">
        <v>623</v>
      </c>
      <c r="D347" s="1369"/>
      <c r="E347" s="1569">
        <v>0.1099967985142327</v>
      </c>
      <c r="F347" s="1569">
        <v>0.51524816146140584</v>
      </c>
      <c r="G347" s="1569">
        <v>0</v>
      </c>
      <c r="H347" s="1569">
        <v>0.62524495997563856</v>
      </c>
      <c r="I347" s="1569">
        <v>0.13315401925407117</v>
      </c>
      <c r="J347" s="1569">
        <v>9.2628882959353859E-3</v>
      </c>
      <c r="K347" s="1569">
        <v>0.76766186752564503</v>
      </c>
      <c r="L347" s="1096">
        <f t="shared" si="72"/>
        <v>0.76766186752564503</v>
      </c>
    </row>
    <row r="348" spans="1:12" ht="16.5" hidden="1" thickBot="1" x14ac:dyDescent="0.3">
      <c r="A348" s="1470"/>
      <c r="B348" s="1424"/>
      <c r="C348" s="1428" t="s">
        <v>624</v>
      </c>
      <c r="D348" s="1356"/>
      <c r="E348" s="1569">
        <v>0.13894332443903079</v>
      </c>
      <c r="F348" s="1569">
        <v>0.63103426516059813</v>
      </c>
      <c r="G348" s="1569">
        <v>0</v>
      </c>
      <c r="H348" s="1569">
        <v>0.76997758959962892</v>
      </c>
      <c r="I348" s="1569">
        <v>0.19683637628862694</v>
      </c>
      <c r="J348" s="1569">
        <v>9.2628882959353859E-3</v>
      </c>
      <c r="K348" s="1569">
        <v>0.97607685418419121</v>
      </c>
      <c r="L348" s="1096">
        <f t="shared" si="72"/>
        <v>0.97607685418419121</v>
      </c>
    </row>
    <row r="349" spans="1:12" ht="15.75" hidden="1" x14ac:dyDescent="0.25">
      <c r="A349" s="1422" t="s">
        <v>20</v>
      </c>
      <c r="B349" s="1424"/>
      <c r="C349" s="1411" t="s">
        <v>182</v>
      </c>
      <c r="D349" s="1586">
        <v>49300</v>
      </c>
      <c r="E349" s="1569">
        <v>45.76845397094273</v>
      </c>
      <c r="F349" s="1569">
        <v>134.64503659304623</v>
      </c>
      <c r="G349" s="1569">
        <v>0</v>
      </c>
      <c r="H349" s="1569">
        <v>180.41349056398894</v>
      </c>
      <c r="I349" s="1569">
        <v>377.11468716745929</v>
      </c>
      <c r="J349" s="1569">
        <v>12.997589419506157</v>
      </c>
      <c r="K349" s="1569">
        <v>570.52576715095449</v>
      </c>
      <c r="L349" s="1096">
        <f t="shared" si="72"/>
        <v>570.52576715095449</v>
      </c>
    </row>
    <row r="350" spans="1:12" ht="15.75" hidden="1" x14ac:dyDescent="0.25">
      <c r="A350" s="1469"/>
      <c r="B350" s="1424"/>
      <c r="C350" s="1411" t="s">
        <v>183</v>
      </c>
      <c r="D350" s="1369"/>
      <c r="E350" s="1569">
        <v>64.890220861293898</v>
      </c>
      <c r="F350" s="1569">
        <v>99.246422133906663</v>
      </c>
      <c r="G350" s="1569">
        <v>9.1754077355745203</v>
      </c>
      <c r="H350" s="1569">
        <v>173.31205073077507</v>
      </c>
      <c r="I350" s="1569">
        <v>623.60197189827795</v>
      </c>
      <c r="J350" s="1569">
        <v>12.020327057137273</v>
      </c>
      <c r="K350" s="1569">
        <v>808.93434968619033</v>
      </c>
      <c r="L350" s="1096">
        <f t="shared" si="72"/>
        <v>808.93434968619033</v>
      </c>
    </row>
    <row r="351" spans="1:12" ht="15.75" hidden="1" x14ac:dyDescent="0.25">
      <c r="A351" s="1469"/>
      <c r="B351" s="1424"/>
      <c r="C351" s="1411" t="s">
        <v>184</v>
      </c>
      <c r="D351" s="1369"/>
      <c r="E351" s="1569">
        <v>66.432123699698138</v>
      </c>
      <c r="F351" s="1569">
        <v>115.09978934566855</v>
      </c>
      <c r="G351" s="1569">
        <v>20.30534019588681</v>
      </c>
      <c r="H351" s="1569">
        <v>201.83725324125351</v>
      </c>
      <c r="I351" s="1569">
        <v>457.4673702955676</v>
      </c>
      <c r="J351" s="1569">
        <v>13.062740243664082</v>
      </c>
      <c r="K351" s="1569">
        <v>672.36736378048511</v>
      </c>
      <c r="L351" s="1096">
        <f t="shared" si="72"/>
        <v>672.36736378048511</v>
      </c>
    </row>
    <row r="352" spans="1:12" ht="15.75" hidden="1" x14ac:dyDescent="0.25">
      <c r="A352" s="1469"/>
      <c r="B352" s="1424"/>
      <c r="C352" s="1411" t="s">
        <v>185</v>
      </c>
      <c r="D352" s="1369"/>
      <c r="E352" s="1569">
        <v>48.863118118444199</v>
      </c>
      <c r="F352" s="1569">
        <v>73.837600712315677</v>
      </c>
      <c r="G352" s="1569">
        <v>0</v>
      </c>
      <c r="H352" s="1569">
        <v>122.70071883075988</v>
      </c>
      <c r="I352" s="1569">
        <v>466.15414684995761</v>
      </c>
      <c r="J352" s="1569">
        <v>9.5337372684431116</v>
      </c>
      <c r="K352" s="1569">
        <v>598.3886029491606</v>
      </c>
      <c r="L352" s="1096">
        <f t="shared" si="72"/>
        <v>598.3886029491606</v>
      </c>
    </row>
    <row r="353" spans="1:12" ht="16.5" hidden="1" thickBot="1" x14ac:dyDescent="0.3">
      <c r="A353" s="1470"/>
      <c r="B353" s="1424"/>
      <c r="C353" s="1411" t="s">
        <v>186</v>
      </c>
      <c r="D353" s="1356"/>
      <c r="E353" s="1569">
        <v>76.487067561404658</v>
      </c>
      <c r="F353" s="1569">
        <v>50.111842248137769</v>
      </c>
      <c r="G353" s="1569">
        <v>0</v>
      </c>
      <c r="H353" s="1569">
        <v>126.59890980954242</v>
      </c>
      <c r="I353" s="1569">
        <v>339.11003974200275</v>
      </c>
      <c r="J353" s="1569">
        <v>9.7617651529958529</v>
      </c>
      <c r="K353" s="1569">
        <v>475.47071470454102</v>
      </c>
      <c r="L353" s="1096">
        <f t="shared" si="72"/>
        <v>475.47071470454102</v>
      </c>
    </row>
    <row r="354" spans="1:12" ht="15.75" hidden="1" x14ac:dyDescent="0.25">
      <c r="A354" s="1357" t="s">
        <v>21</v>
      </c>
      <c r="B354" s="1622"/>
      <c r="C354" s="1587" t="s">
        <v>125</v>
      </c>
      <c r="D354" s="1588">
        <v>68400</v>
      </c>
      <c r="E354" s="1569">
        <v>138.70862160423462</v>
      </c>
      <c r="F354" s="1569">
        <v>0</v>
      </c>
      <c r="G354" s="1569">
        <v>0</v>
      </c>
      <c r="H354" s="1569">
        <v>138.70862160423462</v>
      </c>
      <c r="I354" s="1569">
        <v>180.4679299797975</v>
      </c>
      <c r="J354" s="1569">
        <v>79.794137896008024</v>
      </c>
      <c r="K354" s="1569">
        <v>398.97068948004016</v>
      </c>
      <c r="L354" s="1096">
        <f t="shared" si="72"/>
        <v>398.97068948004016</v>
      </c>
    </row>
    <row r="355" spans="1:12" ht="15.75" hidden="1" x14ac:dyDescent="0.25">
      <c r="A355" s="1456"/>
      <c r="B355" s="1622"/>
      <c r="C355" s="1382" t="s">
        <v>126</v>
      </c>
      <c r="D355" s="1589"/>
      <c r="E355" s="1569">
        <v>35.438980621423653</v>
      </c>
      <c r="F355" s="1569">
        <v>112.52440662280057</v>
      </c>
      <c r="G355" s="1569">
        <v>0</v>
      </c>
      <c r="H355" s="1569">
        <v>147.96338724422424</v>
      </c>
      <c r="I355" s="1569">
        <v>168.84304143200569</v>
      </c>
      <c r="J355" s="1569">
        <v>79.201607169057482</v>
      </c>
      <c r="K355" s="1569">
        <v>396.0080358452874</v>
      </c>
      <c r="L355" s="1096">
        <f t="shared" si="72"/>
        <v>396.0080358452874</v>
      </c>
    </row>
    <row r="356" spans="1:12" ht="16.5" hidden="1" thickBot="1" x14ac:dyDescent="0.3">
      <c r="A356" s="1457"/>
      <c r="B356" s="1622"/>
      <c r="C356" s="1382" t="s">
        <v>127</v>
      </c>
      <c r="D356" s="1590"/>
      <c r="E356" s="1569">
        <v>33.858898682888842</v>
      </c>
      <c r="F356" s="1569">
        <v>93.224834373553932</v>
      </c>
      <c r="G356" s="1569">
        <v>20.8345089895376</v>
      </c>
      <c r="H356" s="1569">
        <v>147.91824204598038</v>
      </c>
      <c r="I356" s="1569">
        <v>174.50876381160907</v>
      </c>
      <c r="J356" s="1569">
        <v>80.606751464397362</v>
      </c>
      <c r="K356" s="1569">
        <v>403.0337573219868</v>
      </c>
      <c r="L356" s="1096">
        <f t="shared" si="72"/>
        <v>403.0337573219868</v>
      </c>
    </row>
    <row r="357" spans="1:12" ht="15.75" hidden="1" x14ac:dyDescent="0.25">
      <c r="A357" s="1357" t="s">
        <v>22</v>
      </c>
      <c r="B357" s="1622"/>
      <c r="C357" s="1587" t="s">
        <v>128</v>
      </c>
      <c r="D357" s="1588">
        <v>26400</v>
      </c>
      <c r="E357" s="1569">
        <v>0</v>
      </c>
      <c r="F357" s="1569">
        <v>139.42342971515617</v>
      </c>
      <c r="G357" s="1569">
        <v>0</v>
      </c>
      <c r="H357" s="1569">
        <v>139.42342971515617</v>
      </c>
      <c r="I357" s="1569">
        <v>138.91735556011022</v>
      </c>
      <c r="J357" s="1569">
        <v>0</v>
      </c>
      <c r="K357" s="1569">
        <v>278.3407852752664</v>
      </c>
      <c r="L357" s="1096">
        <f t="shared" si="72"/>
        <v>278.3407852752664</v>
      </c>
    </row>
    <row r="358" spans="1:12" ht="15.75" hidden="1" x14ac:dyDescent="0.25">
      <c r="A358" s="1456"/>
      <c r="B358" s="1622"/>
      <c r="C358" s="1382" t="s">
        <v>129</v>
      </c>
      <c r="D358" s="1589"/>
      <c r="E358" s="1569">
        <v>0</v>
      </c>
      <c r="F358" s="1569">
        <v>108.5529062573539</v>
      </c>
      <c r="G358" s="1569">
        <v>0</v>
      </c>
      <c r="H358" s="1569">
        <v>108.5529062573539</v>
      </c>
      <c r="I358" s="1569">
        <v>126.7715758390077</v>
      </c>
      <c r="J358" s="1569">
        <v>0</v>
      </c>
      <c r="K358" s="1569">
        <v>235.32448209636158</v>
      </c>
      <c r="L358" s="1096">
        <f t="shared" si="72"/>
        <v>235.32448209636158</v>
      </c>
    </row>
    <row r="359" spans="1:12" ht="15.75" hidden="1" x14ac:dyDescent="0.25">
      <c r="A359" s="1456"/>
      <c r="B359" s="1622"/>
      <c r="C359" s="1382" t="s">
        <v>130</v>
      </c>
      <c r="D359" s="1589"/>
      <c r="E359" s="1569">
        <v>10.840108401084009</v>
      </c>
      <c r="F359" s="1569">
        <v>163.46195207983826</v>
      </c>
      <c r="G359" s="1569">
        <v>0</v>
      </c>
      <c r="H359" s="1569">
        <v>174.30206048092225</v>
      </c>
      <c r="I359" s="1569">
        <v>174.30206048092225</v>
      </c>
      <c r="J359" s="1569">
        <v>0</v>
      </c>
      <c r="K359" s="1569">
        <v>348.60412096184456</v>
      </c>
      <c r="L359" s="1096">
        <f t="shared" si="72"/>
        <v>348.6041209618445</v>
      </c>
    </row>
    <row r="360" spans="1:12" ht="15.75" hidden="1" x14ac:dyDescent="0.25">
      <c r="A360" s="1456"/>
      <c r="B360" s="1622"/>
      <c r="C360" s="1382" t="s">
        <v>131</v>
      </c>
      <c r="D360" s="1589"/>
      <c r="E360" s="1569">
        <v>0</v>
      </c>
      <c r="F360" s="1569">
        <v>86.538680512855549</v>
      </c>
      <c r="G360" s="1569">
        <v>0</v>
      </c>
      <c r="H360" s="1569">
        <v>86.538680512855549</v>
      </c>
      <c r="I360" s="1569">
        <v>85.2734951252407</v>
      </c>
      <c r="J360" s="1569">
        <v>0</v>
      </c>
      <c r="K360" s="1569">
        <v>171.81217563809625</v>
      </c>
      <c r="L360" s="1096">
        <f t="shared" si="72"/>
        <v>171.81217563809625</v>
      </c>
    </row>
    <row r="361" spans="1:12" ht="16.5" hidden="1" thickBot="1" x14ac:dyDescent="0.3">
      <c r="A361" s="1457"/>
      <c r="B361" s="1622"/>
      <c r="C361" s="1382" t="s">
        <v>132</v>
      </c>
      <c r="D361" s="1590"/>
      <c r="E361" s="1569">
        <v>22.894794774278274</v>
      </c>
      <c r="F361" s="1569">
        <v>79.70667941973538</v>
      </c>
      <c r="G361" s="1569">
        <v>7.014187788936713</v>
      </c>
      <c r="H361" s="1569">
        <v>109.61566198295037</v>
      </c>
      <c r="I361" s="1569">
        <v>170.66844804769244</v>
      </c>
      <c r="J361" s="1569">
        <v>0</v>
      </c>
      <c r="K361" s="1569">
        <v>280.28411003064281</v>
      </c>
      <c r="L361" s="1096">
        <f t="shared" si="72"/>
        <v>280.28411003064281</v>
      </c>
    </row>
    <row r="362" spans="1:12" ht="15.75" hidden="1" x14ac:dyDescent="0.25">
      <c r="A362" s="1415" t="s">
        <v>23</v>
      </c>
      <c r="B362" s="1622"/>
      <c r="C362" s="1591" t="s">
        <v>133</v>
      </c>
      <c r="D362" s="1588">
        <v>27800</v>
      </c>
      <c r="E362" s="1569">
        <v>55.899407127500162</v>
      </c>
      <c r="F362" s="1569">
        <v>44.389428192933309</v>
      </c>
      <c r="G362" s="1569">
        <v>12.07461941060221</v>
      </c>
      <c r="H362" s="1569">
        <v>112.36345473103567</v>
      </c>
      <c r="I362" s="1569">
        <v>43.911655482441851</v>
      </c>
      <c r="J362" s="1569">
        <v>6.211045236388907</v>
      </c>
      <c r="K362" s="1569">
        <v>162.48615544986643</v>
      </c>
      <c r="L362" s="1096">
        <f t="shared" si="72"/>
        <v>162.48615544986643</v>
      </c>
    </row>
    <row r="363" spans="1:12" ht="15.75" hidden="1" x14ac:dyDescent="0.25">
      <c r="A363" s="1416"/>
      <c r="B363" s="1622"/>
      <c r="C363" s="1380" t="s">
        <v>134</v>
      </c>
      <c r="D363" s="1589"/>
      <c r="E363" s="1569">
        <v>53.032770864551445</v>
      </c>
      <c r="F363" s="1569">
        <v>77.084283449518963</v>
      </c>
      <c r="G363" s="1569">
        <v>0</v>
      </c>
      <c r="H363" s="1569">
        <v>130.1170543140704</v>
      </c>
      <c r="I363" s="1569">
        <v>126.11027862835799</v>
      </c>
      <c r="J363" s="1569">
        <v>8.4696071405303268</v>
      </c>
      <c r="K363" s="1569">
        <v>264.69694008295869</v>
      </c>
      <c r="L363" s="1096">
        <f t="shared" si="72"/>
        <v>264.69694008295875</v>
      </c>
    </row>
    <row r="364" spans="1:12" ht="15.75" hidden="1" x14ac:dyDescent="0.25">
      <c r="A364" s="1416"/>
      <c r="B364" s="1622"/>
      <c r="C364" s="1380" t="s">
        <v>135</v>
      </c>
      <c r="D364" s="1589"/>
      <c r="E364" s="1569">
        <v>44.639173018872022</v>
      </c>
      <c r="F364" s="1569">
        <v>80.928182074836585</v>
      </c>
      <c r="G364" s="1569">
        <v>0</v>
      </c>
      <c r="H364" s="1569">
        <v>125.56735509370861</v>
      </c>
      <c r="I364" s="1569">
        <v>52.348687210893218</v>
      </c>
      <c r="J364" s="1569">
        <v>10.673876691206811</v>
      </c>
      <c r="K364" s="1569">
        <v>188.58991899580863</v>
      </c>
      <c r="L364" s="1096">
        <f t="shared" si="72"/>
        <v>188.58991899580863</v>
      </c>
    </row>
    <row r="365" spans="1:12" ht="15.75" hidden="1" x14ac:dyDescent="0.25">
      <c r="A365" s="1416"/>
      <c r="B365" s="1622"/>
      <c r="C365" s="1380" t="s">
        <v>136</v>
      </c>
      <c r="D365" s="1589"/>
      <c r="E365" s="1569">
        <v>40.328360153755945</v>
      </c>
      <c r="F365" s="1569">
        <v>85.467022824505392</v>
      </c>
      <c r="G365" s="1569">
        <v>0</v>
      </c>
      <c r="H365" s="1569">
        <v>125.79538297826133</v>
      </c>
      <c r="I365" s="1569">
        <v>106.81477620691902</v>
      </c>
      <c r="J365" s="1569">
        <v>7.8506743110300352</v>
      </c>
      <c r="K365" s="1569">
        <v>240.46083349621037</v>
      </c>
      <c r="L365" s="1096">
        <f t="shared" si="72"/>
        <v>240.4608334962104</v>
      </c>
    </row>
    <row r="366" spans="1:12" ht="15.75" hidden="1" x14ac:dyDescent="0.25">
      <c r="A366" s="1416"/>
      <c r="B366" s="1622"/>
      <c r="C366" s="1380" t="s">
        <v>137</v>
      </c>
      <c r="D366" s="1589"/>
      <c r="E366" s="1569">
        <v>61.111473060134216</v>
      </c>
      <c r="F366" s="1569">
        <v>59.721588811431801</v>
      </c>
      <c r="G366" s="1569">
        <v>0</v>
      </c>
      <c r="H366" s="1569">
        <v>120.83306187156602</v>
      </c>
      <c r="I366" s="1569">
        <v>106.825634677612</v>
      </c>
      <c r="J366" s="1569">
        <v>13.659956131778401</v>
      </c>
      <c r="K366" s="1569">
        <v>241.3186526809564</v>
      </c>
      <c r="L366" s="1096">
        <f t="shared" si="72"/>
        <v>241.3186526809564</v>
      </c>
    </row>
    <row r="367" spans="1:12" ht="15.75" hidden="1" x14ac:dyDescent="0.25">
      <c r="A367" s="1416"/>
      <c r="B367" s="1622"/>
      <c r="C367" s="1380" t="s">
        <v>138</v>
      </c>
      <c r="D367" s="1589"/>
      <c r="E367" s="1569">
        <v>50.752492019024046</v>
      </c>
      <c r="F367" s="1569">
        <v>70.93838903728799</v>
      </c>
      <c r="G367" s="1569">
        <v>0</v>
      </c>
      <c r="H367" s="1569">
        <v>121.69088105631204</v>
      </c>
      <c r="I367" s="1569">
        <v>93.990922318500665</v>
      </c>
      <c r="J367" s="1569">
        <v>12.943297066041218</v>
      </c>
      <c r="K367" s="1569">
        <v>228.62510044085391</v>
      </c>
      <c r="L367" s="1096">
        <f t="shared" si="72"/>
        <v>228.62510044085394</v>
      </c>
    </row>
    <row r="368" spans="1:12" ht="16.5" hidden="1" thickBot="1" x14ac:dyDescent="0.3">
      <c r="A368" s="1420"/>
      <c r="B368" s="1622"/>
      <c r="C368" s="1381" t="s">
        <v>139</v>
      </c>
      <c r="D368" s="1590"/>
      <c r="E368" s="1569">
        <v>35.561491519534393</v>
      </c>
      <c r="F368" s="1569">
        <v>57.441309965904402</v>
      </c>
      <c r="G368" s="1569">
        <v>0</v>
      </c>
      <c r="H368" s="1569">
        <v>93.002801485438795</v>
      </c>
      <c r="I368" s="1569">
        <v>103.66581970595261</v>
      </c>
      <c r="J368" s="1569">
        <v>11.803157643277521</v>
      </c>
      <c r="K368" s="1569">
        <v>208.47177883466892</v>
      </c>
      <c r="L368" s="1096">
        <f t="shared" si="72"/>
        <v>208.47177883466895</v>
      </c>
    </row>
    <row r="369" spans="1:12" ht="15.75" hidden="1" x14ac:dyDescent="0.25">
      <c r="A369" s="1592" t="s">
        <v>40</v>
      </c>
      <c r="B369" s="1654"/>
      <c r="C369" s="1387" t="s">
        <v>188</v>
      </c>
      <c r="D369" s="1589">
        <v>20600</v>
      </c>
      <c r="E369" s="1569">
        <v>0</v>
      </c>
      <c r="F369" s="1569">
        <v>76.647624522449377</v>
      </c>
      <c r="G369" s="1569">
        <v>0</v>
      </c>
      <c r="H369" s="1569">
        <v>76.647624522449377</v>
      </c>
      <c r="I369" s="1569">
        <v>55.809051605408449</v>
      </c>
      <c r="J369" s="1569">
        <v>31.789602270685876</v>
      </c>
      <c r="K369" s="1569">
        <v>164.24627839854372</v>
      </c>
      <c r="L369" s="1096">
        <f t="shared" si="72"/>
        <v>164.24627839854372</v>
      </c>
    </row>
    <row r="370" spans="1:12" ht="15.75" hidden="1" x14ac:dyDescent="0.25">
      <c r="A370" s="1593"/>
      <c r="B370" s="1655"/>
      <c r="C370" s="1387" t="s">
        <v>190</v>
      </c>
      <c r="D370" s="1589"/>
      <c r="E370" s="1569">
        <v>0</v>
      </c>
      <c r="F370" s="1569">
        <v>84.312386974694306</v>
      </c>
      <c r="G370" s="1569">
        <v>0</v>
      </c>
      <c r="H370" s="1569">
        <v>84.312386974694306</v>
      </c>
      <c r="I370" s="1569">
        <v>58.204289871734993</v>
      </c>
      <c r="J370" s="1569">
        <v>34.204002443143033</v>
      </c>
      <c r="K370" s="1569">
        <v>176.72067928957233</v>
      </c>
      <c r="L370" s="1096">
        <f t="shared" si="72"/>
        <v>176.72067928957233</v>
      </c>
    </row>
    <row r="371" spans="1:12" ht="15.75" hidden="1" x14ac:dyDescent="0.25">
      <c r="A371" s="1593"/>
      <c r="B371" s="1655"/>
      <c r="C371" s="1368" t="s">
        <v>219</v>
      </c>
      <c r="D371" s="1589"/>
      <c r="E371" s="1569">
        <v>0</v>
      </c>
      <c r="F371" s="1569">
        <v>66.587623803877889</v>
      </c>
      <c r="G371" s="1569">
        <v>0</v>
      </c>
      <c r="H371" s="1569">
        <v>66.587623803877889</v>
      </c>
      <c r="I371" s="1569">
        <v>44.072384100408392</v>
      </c>
      <c r="J371" s="1569">
        <v>26.558401897028705</v>
      </c>
      <c r="K371" s="1569">
        <v>137.218409801315</v>
      </c>
      <c r="L371" s="1096">
        <f t="shared" si="72"/>
        <v>137.218409801315</v>
      </c>
    </row>
    <row r="372" spans="1:12" ht="15.75" hidden="1" x14ac:dyDescent="0.25">
      <c r="A372" s="1593"/>
      <c r="B372" s="1655"/>
      <c r="C372" s="1368" t="s">
        <v>513</v>
      </c>
      <c r="D372" s="1589"/>
      <c r="E372" s="1569">
        <v>0</v>
      </c>
      <c r="F372" s="1569">
        <v>88.384292027449433</v>
      </c>
      <c r="G372" s="1569">
        <v>0</v>
      </c>
      <c r="H372" s="1569">
        <v>88.384292027449433</v>
      </c>
      <c r="I372" s="1569">
        <v>79.521910442041218</v>
      </c>
      <c r="J372" s="1569">
        <v>40.297488592677759</v>
      </c>
      <c r="K372" s="1569">
        <v>208.20369106216842</v>
      </c>
      <c r="L372" s="1096">
        <f t="shared" si="72"/>
        <v>208.20369106216842</v>
      </c>
    </row>
    <row r="373" spans="1:12" ht="15.75" hidden="1" x14ac:dyDescent="0.25">
      <c r="A373" s="1593"/>
      <c r="B373" s="1655"/>
      <c r="C373" s="1368" t="s">
        <v>516</v>
      </c>
      <c r="D373" s="1589"/>
      <c r="E373" s="1569">
        <v>0</v>
      </c>
      <c r="F373" s="1569">
        <v>105.39048371836789</v>
      </c>
      <c r="G373" s="1569">
        <v>0</v>
      </c>
      <c r="H373" s="1569">
        <v>105.39048371836789</v>
      </c>
      <c r="I373" s="1569">
        <v>60.120480484796225</v>
      </c>
      <c r="J373" s="1569">
        <v>39.722631408759391</v>
      </c>
      <c r="K373" s="1569">
        <v>205.2335956119235</v>
      </c>
      <c r="L373" s="1096">
        <f t="shared" si="72"/>
        <v>205.2335956119235</v>
      </c>
    </row>
    <row r="374" spans="1:12" ht="15.75" hidden="1" x14ac:dyDescent="0.25">
      <c r="A374" s="1593"/>
      <c r="B374" s="1655"/>
      <c r="C374" s="1368" t="s">
        <v>1353</v>
      </c>
      <c r="D374" s="1589"/>
      <c r="E374" s="1569">
        <v>0</v>
      </c>
      <c r="F374" s="1569">
        <v>74.491910082755481</v>
      </c>
      <c r="G374" s="1569">
        <v>0</v>
      </c>
      <c r="H374" s="1569">
        <v>74.491910082755481</v>
      </c>
      <c r="I374" s="1569">
        <v>29.700954502449132</v>
      </c>
      <c r="J374" s="1569">
        <v>25.006287500449108</v>
      </c>
      <c r="K374" s="1569">
        <v>129.19915208565374</v>
      </c>
      <c r="L374" s="1096">
        <f t="shared" si="72"/>
        <v>129.19915208565374</v>
      </c>
    </row>
    <row r="375" spans="1:12" ht="15.75" hidden="1" x14ac:dyDescent="0.25">
      <c r="A375" s="1593"/>
      <c r="B375" s="1655"/>
      <c r="C375" s="1368" t="s">
        <v>520</v>
      </c>
      <c r="D375" s="1589"/>
      <c r="E375" s="1569">
        <v>0</v>
      </c>
      <c r="F375" s="1569">
        <v>76.408100695816714</v>
      </c>
      <c r="G375" s="1569">
        <v>0</v>
      </c>
      <c r="H375" s="1569">
        <v>76.408100695816714</v>
      </c>
      <c r="I375" s="1569">
        <v>73.533814776224872</v>
      </c>
      <c r="J375" s="1569">
        <v>35.986059713289983</v>
      </c>
      <c r="K375" s="1569">
        <v>185.92797518533158</v>
      </c>
      <c r="L375" s="1096">
        <f t="shared" si="72"/>
        <v>185.92797518533158</v>
      </c>
    </row>
    <row r="376" spans="1:12" ht="15.75" hidden="1" x14ac:dyDescent="0.25">
      <c r="A376" s="1593"/>
      <c r="B376" s="1655"/>
      <c r="C376" s="1368" t="s">
        <v>597</v>
      </c>
      <c r="D376" s="1589"/>
      <c r="E376" s="1569">
        <v>0</v>
      </c>
      <c r="F376" s="1569">
        <v>84.072863148061657</v>
      </c>
      <c r="G376" s="1569">
        <v>0</v>
      </c>
      <c r="H376" s="1569">
        <v>84.072863148061657</v>
      </c>
      <c r="I376" s="1569">
        <v>60.599528138061537</v>
      </c>
      <c r="J376" s="1569">
        <v>34.72137390866957</v>
      </c>
      <c r="K376" s="1569">
        <v>179.39376519479276</v>
      </c>
      <c r="L376" s="1096">
        <f t="shared" si="72"/>
        <v>179.39376519479276</v>
      </c>
    </row>
    <row r="377" spans="1:12" ht="15.75" hidden="1" x14ac:dyDescent="0.25">
      <c r="A377" s="1593"/>
      <c r="B377" s="1655"/>
      <c r="C377" s="1368" t="s">
        <v>765</v>
      </c>
      <c r="D377" s="1589"/>
      <c r="E377" s="1569">
        <v>0</v>
      </c>
      <c r="F377" s="1569">
        <v>74.01286242949017</v>
      </c>
      <c r="G377" s="1569">
        <v>0</v>
      </c>
      <c r="H377" s="1569">
        <v>74.01286242949017</v>
      </c>
      <c r="I377" s="1569">
        <v>61.557623444592153</v>
      </c>
      <c r="J377" s="1569">
        <v>32.536916609779759</v>
      </c>
      <c r="K377" s="1569">
        <v>168.10740248386207</v>
      </c>
      <c r="L377" s="1096">
        <f t="shared" si="72"/>
        <v>168.10740248386207</v>
      </c>
    </row>
    <row r="378" spans="1:12" ht="15.75" hidden="1" x14ac:dyDescent="0.25">
      <c r="A378" s="1593"/>
      <c r="B378" s="1655"/>
      <c r="C378" s="1368" t="s">
        <v>860</v>
      </c>
      <c r="D378" s="1589"/>
      <c r="E378" s="1569">
        <v>0</v>
      </c>
      <c r="F378" s="1569">
        <v>109.94143642438831</v>
      </c>
      <c r="G378" s="1569">
        <v>0</v>
      </c>
      <c r="H378" s="1569">
        <v>109.94143642438831</v>
      </c>
      <c r="I378" s="1569">
        <v>24.431430316530736</v>
      </c>
      <c r="J378" s="1569">
        <v>32.249488017820568</v>
      </c>
      <c r="K378" s="1569">
        <v>166.62235475873962</v>
      </c>
      <c r="L378" s="1096">
        <f t="shared" si="72"/>
        <v>166.62235475873962</v>
      </c>
    </row>
    <row r="379" spans="1:12" ht="15.75" hidden="1" x14ac:dyDescent="0.25">
      <c r="A379" s="1593"/>
      <c r="B379" s="1655"/>
      <c r="C379" s="1368" t="s">
        <v>766</v>
      </c>
      <c r="D379" s="1589"/>
      <c r="E379" s="1569">
        <v>0</v>
      </c>
      <c r="F379" s="1569">
        <v>72.3361956430616</v>
      </c>
      <c r="G379" s="1569">
        <v>0</v>
      </c>
      <c r="H379" s="1569">
        <v>72.3361956430616</v>
      </c>
      <c r="I379" s="1569">
        <v>54.850956298877833</v>
      </c>
      <c r="J379" s="1569">
        <v>30.524916466065463</v>
      </c>
      <c r="K379" s="1569">
        <v>157.71206840800488</v>
      </c>
      <c r="L379" s="1096">
        <f t="shared" si="72"/>
        <v>157.71206840800488</v>
      </c>
    </row>
    <row r="380" spans="1:12" ht="15.75" hidden="1" x14ac:dyDescent="0.25">
      <c r="A380" s="1593"/>
      <c r="B380" s="1655"/>
      <c r="C380" s="1368" t="s">
        <v>767</v>
      </c>
      <c r="D380" s="1589"/>
      <c r="E380" s="1569">
        <v>0</v>
      </c>
      <c r="F380" s="1569">
        <v>64.671433190816657</v>
      </c>
      <c r="G380" s="1569">
        <v>0</v>
      </c>
      <c r="H380" s="1569">
        <v>64.671433190816657</v>
      </c>
      <c r="I380" s="1569">
        <v>60.839051964694185</v>
      </c>
      <c r="J380" s="1569">
        <v>30.122516437322606</v>
      </c>
      <c r="K380" s="1569">
        <v>155.63300159283347</v>
      </c>
      <c r="L380" s="1096">
        <f t="shared" si="72"/>
        <v>155.63300159283347</v>
      </c>
    </row>
    <row r="381" spans="1:12" ht="15.75" hidden="1" x14ac:dyDescent="0.25">
      <c r="A381" s="1593"/>
      <c r="B381" s="1655"/>
      <c r="C381" s="1368" t="s">
        <v>768</v>
      </c>
      <c r="D381" s="1589"/>
      <c r="E381" s="1569">
        <v>0</v>
      </c>
      <c r="F381" s="1569">
        <v>73.054767122959561</v>
      </c>
      <c r="G381" s="1569">
        <v>0</v>
      </c>
      <c r="H381" s="1569">
        <v>73.054767122959561</v>
      </c>
      <c r="I381" s="1569">
        <v>35.210002515000177</v>
      </c>
      <c r="J381" s="1569">
        <v>25.983544713110337</v>
      </c>
      <c r="K381" s="1569">
        <v>134.24831435107009</v>
      </c>
      <c r="L381" s="1096">
        <f t="shared" si="72"/>
        <v>134.24831435107009</v>
      </c>
    </row>
    <row r="382" spans="1:12" ht="15.75" hidden="1" x14ac:dyDescent="0.25">
      <c r="A382" s="1593"/>
      <c r="B382" s="1655"/>
      <c r="C382" s="1368" t="s">
        <v>769</v>
      </c>
      <c r="D382" s="1589"/>
      <c r="E382" s="1569">
        <v>0</v>
      </c>
      <c r="F382" s="1569">
        <v>72.575719469694249</v>
      </c>
      <c r="G382" s="1569">
        <v>0</v>
      </c>
      <c r="H382" s="1569">
        <v>72.575719469694249</v>
      </c>
      <c r="I382" s="1569">
        <v>46.467622366734929</v>
      </c>
      <c r="J382" s="1569">
        <v>28.570402040743005</v>
      </c>
      <c r="K382" s="1569">
        <v>147.61374387717217</v>
      </c>
      <c r="L382" s="1096">
        <f t="shared" si="72"/>
        <v>147.61374387717217</v>
      </c>
    </row>
    <row r="383" spans="1:12" ht="15.75" hidden="1" x14ac:dyDescent="0.25">
      <c r="A383" s="1593"/>
      <c r="B383" s="1655"/>
      <c r="C383" s="1368" t="s">
        <v>770</v>
      </c>
      <c r="D383" s="1589"/>
      <c r="E383" s="1569">
        <v>0</v>
      </c>
      <c r="F383" s="1569">
        <v>71.378100336530977</v>
      </c>
      <c r="G383" s="1569">
        <v>0</v>
      </c>
      <c r="H383" s="1569">
        <v>71.378100336530977</v>
      </c>
      <c r="I383" s="1569">
        <v>33.054288075306289</v>
      </c>
      <c r="J383" s="1569">
        <v>25.063773218840943</v>
      </c>
      <c r="K383" s="1569">
        <v>129.49616163067822</v>
      </c>
      <c r="L383" s="1096">
        <f t="shared" si="72"/>
        <v>129.49616163067822</v>
      </c>
    </row>
    <row r="384" spans="1:12" ht="15.75" hidden="1" x14ac:dyDescent="0.25">
      <c r="A384" s="1593"/>
      <c r="B384" s="1655"/>
      <c r="C384" s="1368" t="s">
        <v>771</v>
      </c>
      <c r="D384" s="1589"/>
      <c r="E384" s="1569">
        <v>0</v>
      </c>
      <c r="F384" s="1569">
        <v>73.294290949592209</v>
      </c>
      <c r="G384" s="1569">
        <v>0</v>
      </c>
      <c r="H384" s="1569">
        <v>73.294290949592209</v>
      </c>
      <c r="I384" s="1569">
        <v>49.341908286326785</v>
      </c>
      <c r="J384" s="1569">
        <v>29.432687816620557</v>
      </c>
      <c r="K384" s="1569">
        <v>152.06888705253954</v>
      </c>
      <c r="L384" s="1096">
        <f t="shared" si="72"/>
        <v>152.06888705253954</v>
      </c>
    </row>
    <row r="385" spans="1:12" ht="16.5" hidden="1" thickBot="1" x14ac:dyDescent="0.3">
      <c r="A385" s="1593"/>
      <c r="B385" s="1655"/>
      <c r="C385" s="1368" t="s">
        <v>772</v>
      </c>
      <c r="D385" s="1590"/>
      <c r="E385" s="1569">
        <v>0</v>
      </c>
      <c r="F385" s="1569">
        <v>92.216673253571898</v>
      </c>
      <c r="G385" s="1569">
        <v>0</v>
      </c>
      <c r="H385" s="1569">
        <v>92.216673253571898</v>
      </c>
      <c r="I385" s="1569">
        <v>41.437622007449193</v>
      </c>
      <c r="J385" s="1569">
        <v>32.07703086264506</v>
      </c>
      <c r="K385" s="1569">
        <v>165.73132612366618</v>
      </c>
      <c r="L385" s="1096">
        <f t="shared" si="72"/>
        <v>165.73132612366618</v>
      </c>
    </row>
    <row r="386" spans="1:12" ht="16.5" hidden="1" thickBot="1" x14ac:dyDescent="0.3">
      <c r="A386" s="1417" t="s">
        <v>693</v>
      </c>
      <c r="B386" s="1424"/>
      <c r="C386" s="1431" t="s">
        <v>694</v>
      </c>
      <c r="D386" s="1594">
        <v>23700</v>
      </c>
      <c r="E386" s="1569">
        <v>0</v>
      </c>
      <c r="F386" s="1569">
        <v>34.686537541053276</v>
      </c>
      <c r="G386" s="1569">
        <v>3.1097330259949025</v>
      </c>
      <c r="H386" s="1569">
        <v>37.796270567048182</v>
      </c>
      <c r="I386" s="1569">
        <v>35.220808853889402</v>
      </c>
      <c r="J386" s="1569">
        <v>0</v>
      </c>
      <c r="K386" s="1569">
        <v>73.017079420937577</v>
      </c>
      <c r="L386" s="1096">
        <f t="shared" si="72"/>
        <v>73.017079420937591</v>
      </c>
    </row>
    <row r="387" spans="1:12" ht="15.75" hidden="1" x14ac:dyDescent="0.25">
      <c r="A387" s="1415" t="s">
        <v>47</v>
      </c>
      <c r="B387" s="1622"/>
      <c r="C387" s="1382" t="s">
        <v>204</v>
      </c>
      <c r="D387" s="1588">
        <v>41200</v>
      </c>
      <c r="E387" s="1569">
        <v>0</v>
      </c>
      <c r="F387" s="1569">
        <v>0</v>
      </c>
      <c r="G387" s="1569">
        <v>186.83958440792867</v>
      </c>
      <c r="H387" s="1569">
        <v>186.83958440792867</v>
      </c>
      <c r="I387" s="1569">
        <v>216.81526785056371</v>
      </c>
      <c r="J387" s="1569">
        <v>0</v>
      </c>
      <c r="K387" s="1569">
        <v>403.65485225849238</v>
      </c>
      <c r="L387" s="1096">
        <f t="shared" si="72"/>
        <v>403.65485225849238</v>
      </c>
    </row>
    <row r="388" spans="1:12" ht="15.75" hidden="1" x14ac:dyDescent="0.25">
      <c r="A388" s="1416"/>
      <c r="B388" s="1622"/>
      <c r="C388" s="1380" t="s">
        <v>205</v>
      </c>
      <c r="D388" s="1589"/>
      <c r="E388" s="1569">
        <v>0</v>
      </c>
      <c r="F388" s="1569">
        <v>0</v>
      </c>
      <c r="G388" s="1569">
        <v>217.97951514258344</v>
      </c>
      <c r="H388" s="1569">
        <v>217.97951514258344</v>
      </c>
      <c r="I388" s="1569">
        <v>252.95114582565765</v>
      </c>
      <c r="J388" s="1569">
        <v>0</v>
      </c>
      <c r="K388" s="1569">
        <v>470.93066096824111</v>
      </c>
      <c r="L388" s="1096">
        <f t="shared" si="72"/>
        <v>470.93066096824111</v>
      </c>
    </row>
    <row r="389" spans="1:12" ht="15.75" hidden="1" x14ac:dyDescent="0.25">
      <c r="A389" s="1416"/>
      <c r="B389" s="1622"/>
      <c r="C389" s="1380" t="s">
        <v>206</v>
      </c>
      <c r="D389" s="1589"/>
      <c r="E389" s="1569">
        <v>0</v>
      </c>
      <c r="F389" s="1569">
        <v>0</v>
      </c>
      <c r="G389" s="1569">
        <v>249.11944587723823</v>
      </c>
      <c r="H389" s="1569">
        <v>249.11944587723823</v>
      </c>
      <c r="I389" s="1569">
        <v>289.08702380075158</v>
      </c>
      <c r="J389" s="1569">
        <v>0</v>
      </c>
      <c r="K389" s="1569">
        <v>538.20646967798984</v>
      </c>
      <c r="L389" s="1096">
        <f t="shared" si="72"/>
        <v>538.20646967798984</v>
      </c>
    </row>
    <row r="390" spans="1:12" ht="15.75" hidden="1" x14ac:dyDescent="0.25">
      <c r="A390" s="1416"/>
      <c r="B390" s="1622"/>
      <c r="C390" s="1380" t="s">
        <v>207</v>
      </c>
      <c r="D390" s="1589"/>
      <c r="E390" s="1569">
        <v>0</v>
      </c>
      <c r="F390" s="1569">
        <v>0</v>
      </c>
      <c r="G390" s="1569">
        <v>280.259376611893</v>
      </c>
      <c r="H390" s="1569">
        <v>280.259376611893</v>
      </c>
      <c r="I390" s="1569">
        <v>325.22290177584557</v>
      </c>
      <c r="J390" s="1569">
        <v>0</v>
      </c>
      <c r="K390" s="1569">
        <v>605.48227838773857</v>
      </c>
      <c r="L390" s="1096">
        <f t="shared" si="72"/>
        <v>605.48227838773857</v>
      </c>
    </row>
    <row r="391" spans="1:12" ht="15.75" hidden="1" x14ac:dyDescent="0.25">
      <c r="A391" s="1416"/>
      <c r="B391" s="1622"/>
      <c r="C391" s="1380" t="s">
        <v>208</v>
      </c>
      <c r="D391" s="1589"/>
      <c r="E391" s="1569">
        <v>0</v>
      </c>
      <c r="F391" s="1569">
        <v>0</v>
      </c>
      <c r="G391" s="1569">
        <v>342.5392380812026</v>
      </c>
      <c r="H391" s="1569">
        <v>342.5392380812026</v>
      </c>
      <c r="I391" s="1569">
        <v>397.49465772603349</v>
      </c>
      <c r="J391" s="1569">
        <v>0</v>
      </c>
      <c r="K391" s="1569">
        <v>740.03389580723615</v>
      </c>
      <c r="L391" s="1096">
        <f t="shared" si="72"/>
        <v>740.03389580723615</v>
      </c>
    </row>
    <row r="392" spans="1:12" ht="15.75" hidden="1" x14ac:dyDescent="0.25">
      <c r="A392" s="1416"/>
      <c r="B392" s="1622"/>
      <c r="C392" s="1380" t="s">
        <v>209</v>
      </c>
      <c r="D392" s="1589"/>
      <c r="E392" s="1569">
        <v>0</v>
      </c>
      <c r="F392" s="1569">
        <v>0</v>
      </c>
      <c r="G392" s="1569">
        <v>404.81909955051214</v>
      </c>
      <c r="H392" s="1569">
        <v>404.81909955051214</v>
      </c>
      <c r="I392" s="1569">
        <v>469.76641367622136</v>
      </c>
      <c r="J392" s="1569">
        <v>0</v>
      </c>
      <c r="K392" s="1569">
        <v>874.5855132267335</v>
      </c>
      <c r="L392" s="1096">
        <f t="shared" si="72"/>
        <v>874.5855132267335</v>
      </c>
    </row>
    <row r="393" spans="1:12" ht="15.75" hidden="1" x14ac:dyDescent="0.25">
      <c r="A393" s="1416"/>
      <c r="B393" s="1622"/>
      <c r="C393" s="1380" t="s">
        <v>210</v>
      </c>
      <c r="D393" s="1589"/>
      <c r="E393" s="1569">
        <v>0</v>
      </c>
      <c r="F393" s="1569">
        <v>0</v>
      </c>
      <c r="G393" s="1569">
        <v>467.09896101982167</v>
      </c>
      <c r="H393" s="1569">
        <v>467.09896101982167</v>
      </c>
      <c r="I393" s="1569">
        <v>542.03816962640929</v>
      </c>
      <c r="J393" s="1569">
        <v>0</v>
      </c>
      <c r="K393" s="1569">
        <v>1009.137130646231</v>
      </c>
      <c r="L393" s="1096">
        <f t="shared" si="72"/>
        <v>1009.137130646231</v>
      </c>
    </row>
    <row r="394" spans="1:12" ht="16.5" hidden="1" thickBot="1" x14ac:dyDescent="0.3">
      <c r="A394" s="1420"/>
      <c r="B394" s="1622"/>
      <c r="C394" s="1595" t="s">
        <v>211</v>
      </c>
      <c r="D394" s="1590"/>
      <c r="E394" s="1569">
        <v>0</v>
      </c>
      <c r="F394" s="1569">
        <v>0</v>
      </c>
      <c r="G394" s="1569">
        <v>560.51875322378601</v>
      </c>
      <c r="H394" s="1569">
        <v>560.51875322378601</v>
      </c>
      <c r="I394" s="1569">
        <v>650.44580355169114</v>
      </c>
      <c r="J394" s="1569">
        <v>0</v>
      </c>
      <c r="K394" s="1569">
        <v>1210.9645567754771</v>
      </c>
      <c r="L394" s="1096">
        <f t="shared" si="72"/>
        <v>1210.9645567754771</v>
      </c>
    </row>
    <row r="395" spans="1:12" ht="15.75" hidden="1" x14ac:dyDescent="0.25">
      <c r="A395" s="1422" t="s">
        <v>25</v>
      </c>
      <c r="B395" s="1424"/>
      <c r="C395" s="1591" t="s">
        <v>143</v>
      </c>
      <c r="D395" s="1588">
        <v>36700</v>
      </c>
      <c r="E395" s="1569">
        <v>0</v>
      </c>
      <c r="F395" s="1569">
        <v>48.656789605279521</v>
      </c>
      <c r="G395" s="1569">
        <v>0</v>
      </c>
      <c r="H395" s="1569">
        <v>48.656789605279521</v>
      </c>
      <c r="I395" s="1569">
        <v>37.772242469547336</v>
      </c>
      <c r="J395" s="1569">
        <v>0</v>
      </c>
      <c r="K395" s="1569">
        <v>86.429032074826864</v>
      </c>
      <c r="L395" s="1096">
        <f t="shared" si="72"/>
        <v>86.429032074826864</v>
      </c>
    </row>
    <row r="396" spans="1:12" ht="15.75" hidden="1" x14ac:dyDescent="0.25">
      <c r="A396" s="1469"/>
      <c r="B396" s="1424"/>
      <c r="C396" s="1380" t="s">
        <v>144</v>
      </c>
      <c r="D396" s="1589"/>
      <c r="E396" s="1569">
        <v>0</v>
      </c>
      <c r="F396" s="1569">
        <v>60.589459487929091</v>
      </c>
      <c r="G396" s="1569">
        <v>0</v>
      </c>
      <c r="H396" s="1569">
        <v>60.589459487929091</v>
      </c>
      <c r="I396" s="1569">
        <v>41.586833097374388</v>
      </c>
      <c r="J396" s="1569">
        <v>0</v>
      </c>
      <c r="K396" s="1569">
        <v>102.17629258530349</v>
      </c>
      <c r="L396" s="1096">
        <f t="shared" ref="L396:L434" si="73">E396+F396+G396+I396+J396</f>
        <v>102.17629258530349</v>
      </c>
    </row>
    <row r="397" spans="1:12" ht="15.75" hidden="1" x14ac:dyDescent="0.25">
      <c r="A397" s="1469"/>
      <c r="B397" s="1424"/>
      <c r="C397" s="1380" t="s">
        <v>145</v>
      </c>
      <c r="D397" s="1589"/>
      <c r="E397" s="1569">
        <v>0</v>
      </c>
      <c r="F397" s="1569">
        <v>49.055872720718554</v>
      </c>
      <c r="G397" s="1569">
        <v>0</v>
      </c>
      <c r="H397" s="1569">
        <v>49.055872720718554</v>
      </c>
      <c r="I397" s="1569">
        <v>32.696854228613518</v>
      </c>
      <c r="J397" s="1569">
        <v>0</v>
      </c>
      <c r="K397" s="1569">
        <v>81.752726949332072</v>
      </c>
      <c r="L397" s="1096">
        <f t="shared" si="73"/>
        <v>81.752726949332072</v>
      </c>
    </row>
    <row r="398" spans="1:12" ht="15.75" hidden="1" x14ac:dyDescent="0.25">
      <c r="A398" s="1469"/>
      <c r="B398" s="1424"/>
      <c r="C398" s="1380" t="s">
        <v>146</v>
      </c>
      <c r="D398" s="1589"/>
      <c r="E398" s="1569">
        <v>0</v>
      </c>
      <c r="F398" s="1569">
        <v>56.235979557725756</v>
      </c>
      <c r="G398" s="1569">
        <v>0</v>
      </c>
      <c r="H398" s="1569">
        <v>56.235979557725756</v>
      </c>
      <c r="I398" s="1569">
        <v>35.32521054303367</v>
      </c>
      <c r="J398" s="1569">
        <v>0</v>
      </c>
      <c r="K398" s="1569">
        <v>91.561190100759433</v>
      </c>
      <c r="L398" s="1096">
        <f t="shared" si="73"/>
        <v>91.561190100759433</v>
      </c>
    </row>
    <row r="399" spans="1:12" ht="15.75" hidden="1" x14ac:dyDescent="0.25">
      <c r="A399" s="1469"/>
      <c r="B399" s="1424"/>
      <c r="C399" s="1380" t="s">
        <v>147</v>
      </c>
      <c r="D399" s="1589"/>
      <c r="E399" s="1569">
        <v>0</v>
      </c>
      <c r="F399" s="1569">
        <v>45.021828744911225</v>
      </c>
      <c r="G399" s="1569">
        <v>0</v>
      </c>
      <c r="H399" s="1569">
        <v>45.021828744911225</v>
      </c>
      <c r="I399" s="1569">
        <v>29.769397405170061</v>
      </c>
      <c r="J399" s="1569">
        <v>0</v>
      </c>
      <c r="K399" s="1569">
        <v>74.791226150081286</v>
      </c>
      <c r="L399" s="1096">
        <f t="shared" si="73"/>
        <v>74.791226150081286</v>
      </c>
    </row>
    <row r="400" spans="1:12" ht="15.75" hidden="1" x14ac:dyDescent="0.25">
      <c r="A400" s="1469"/>
      <c r="B400" s="1424"/>
      <c r="C400" s="1380" t="s">
        <v>148</v>
      </c>
      <c r="D400" s="1589"/>
      <c r="E400" s="1569">
        <v>0</v>
      </c>
      <c r="F400" s="1569">
        <v>43.16113549331012</v>
      </c>
      <c r="G400" s="1569">
        <v>0</v>
      </c>
      <c r="H400" s="1569">
        <v>43.16113549331012</v>
      </c>
      <c r="I400" s="1569">
        <v>32.613817826675039</v>
      </c>
      <c r="J400" s="1569">
        <v>0</v>
      </c>
      <c r="K400" s="1569">
        <v>75.774953319985158</v>
      </c>
      <c r="L400" s="1096">
        <f t="shared" si="73"/>
        <v>75.774953319985158</v>
      </c>
    </row>
    <row r="401" spans="1:12" ht="15.75" hidden="1" x14ac:dyDescent="0.25">
      <c r="A401" s="1469"/>
      <c r="B401" s="1424"/>
      <c r="C401" s="1380" t="s">
        <v>149</v>
      </c>
      <c r="D401" s="1589"/>
      <c r="E401" s="1569">
        <v>0</v>
      </c>
      <c r="F401" s="1569">
        <v>73.882062279877289</v>
      </c>
      <c r="G401" s="1569">
        <v>0</v>
      </c>
      <c r="H401" s="1569">
        <v>73.882062279877289</v>
      </c>
      <c r="I401" s="1569">
        <v>33.896645505602216</v>
      </c>
      <c r="J401" s="1569">
        <v>0</v>
      </c>
      <c r="K401" s="1569">
        <v>107.7787077854795</v>
      </c>
      <c r="L401" s="1096">
        <f t="shared" si="73"/>
        <v>107.7787077854795</v>
      </c>
    </row>
    <row r="402" spans="1:12" ht="16.5" hidden="1" thickBot="1" x14ac:dyDescent="0.3">
      <c r="A402" s="1470"/>
      <c r="B402" s="1424"/>
      <c r="C402" s="1381" t="s">
        <v>150</v>
      </c>
      <c r="D402" s="1590"/>
      <c r="E402" s="1569">
        <v>0</v>
      </c>
      <c r="F402" s="1569">
        <v>53.749971360914437</v>
      </c>
      <c r="G402" s="1569">
        <v>0</v>
      </c>
      <c r="H402" s="1569">
        <v>53.749971360914437</v>
      </c>
      <c r="I402" s="1569">
        <v>26.225098738755008</v>
      </c>
      <c r="J402" s="1569">
        <v>0</v>
      </c>
      <c r="K402" s="1569">
        <v>79.975070099669438</v>
      </c>
      <c r="L402" s="1096">
        <f t="shared" si="73"/>
        <v>79.975070099669438</v>
      </c>
    </row>
    <row r="403" spans="1:12" ht="15.75" hidden="1" x14ac:dyDescent="0.25">
      <c r="A403" s="1357" t="s">
        <v>26</v>
      </c>
      <c r="B403" s="1622"/>
      <c r="C403" s="1596" t="s">
        <v>151</v>
      </c>
      <c r="D403" s="1588">
        <v>35200</v>
      </c>
      <c r="E403" s="1569">
        <v>90.429343931200734</v>
      </c>
      <c r="F403" s="1569">
        <v>88.127348144287353</v>
      </c>
      <c r="G403" s="1569">
        <v>0</v>
      </c>
      <c r="H403" s="1569">
        <v>178.55669207548809</v>
      </c>
      <c r="I403" s="1569">
        <v>69.407344669576744</v>
      </c>
      <c r="J403" s="1569">
        <v>24.800747062783678</v>
      </c>
      <c r="K403" s="1569">
        <v>272.76478380784852</v>
      </c>
      <c r="L403" s="1096">
        <f t="shared" si="73"/>
        <v>272.76478380784852</v>
      </c>
    </row>
    <row r="404" spans="1:12" ht="15.75" hidden="1" x14ac:dyDescent="0.25">
      <c r="A404" s="1456"/>
      <c r="B404" s="1622"/>
      <c r="C404" s="1382" t="s">
        <v>152</v>
      </c>
      <c r="D404" s="1589"/>
      <c r="E404" s="1569">
        <v>35.756943992008168</v>
      </c>
      <c r="F404" s="1569">
        <v>56.431472191456557</v>
      </c>
      <c r="G404" s="1569">
        <v>0</v>
      </c>
      <c r="H404" s="1569">
        <v>92.188416183464724</v>
      </c>
      <c r="I404" s="1569">
        <v>85.054400938171867</v>
      </c>
      <c r="J404" s="1569">
        <v>17.721024170955765</v>
      </c>
      <c r="K404" s="1569">
        <v>194.96384129259235</v>
      </c>
      <c r="L404" s="1096">
        <f t="shared" si="73"/>
        <v>194.96384129259235</v>
      </c>
    </row>
    <row r="405" spans="1:12" ht="15.75" hidden="1" x14ac:dyDescent="0.25">
      <c r="A405" s="1456"/>
      <c r="B405" s="1622"/>
      <c r="C405" s="1382" t="s">
        <v>153</v>
      </c>
      <c r="D405" s="1589"/>
      <c r="E405" s="1569">
        <v>66.486416053163069</v>
      </c>
      <c r="F405" s="1569">
        <v>46.691423979846682</v>
      </c>
      <c r="G405" s="1569">
        <v>0</v>
      </c>
      <c r="H405" s="1569">
        <v>113.17784003300974</v>
      </c>
      <c r="I405" s="1569">
        <v>73.186092470736412</v>
      </c>
      <c r="J405" s="1569">
        <v>18.633135709166723</v>
      </c>
      <c r="K405" s="1569">
        <v>204.99706821291289</v>
      </c>
      <c r="L405" s="1096">
        <f t="shared" si="73"/>
        <v>204.99706821291289</v>
      </c>
    </row>
    <row r="406" spans="1:12" ht="15.75" hidden="1" x14ac:dyDescent="0.25">
      <c r="A406" s="1456"/>
      <c r="B406" s="1622"/>
      <c r="C406" s="1382" t="s">
        <v>214</v>
      </c>
      <c r="D406" s="1589"/>
      <c r="E406" s="1569">
        <v>50.339870132690514</v>
      </c>
      <c r="F406" s="1569">
        <v>44.411145134319284</v>
      </c>
      <c r="G406" s="1569">
        <v>0</v>
      </c>
      <c r="H406" s="1569">
        <v>94.751015267009791</v>
      </c>
      <c r="I406" s="1569">
        <v>123.80828284144461</v>
      </c>
      <c r="J406" s="1569">
        <v>21.858101504984038</v>
      </c>
      <c r="K406" s="1569">
        <v>240.41739961343842</v>
      </c>
      <c r="L406" s="1096">
        <f t="shared" si="73"/>
        <v>240.41739961343845</v>
      </c>
    </row>
    <row r="407" spans="1:12" ht="16.5" hidden="1" thickBot="1" x14ac:dyDescent="0.3">
      <c r="A407" s="1457"/>
      <c r="B407" s="1622"/>
      <c r="C407" s="1383" t="s">
        <v>154</v>
      </c>
      <c r="D407" s="1590"/>
      <c r="E407" s="1569">
        <v>77.008274154668058</v>
      </c>
      <c r="F407" s="1569">
        <v>60.709709644493664</v>
      </c>
      <c r="G407" s="1569">
        <v>0</v>
      </c>
      <c r="H407" s="1569">
        <v>137.71798379916171</v>
      </c>
      <c r="I407" s="1569">
        <v>129.45468760179816</v>
      </c>
      <c r="J407" s="1569">
        <v>26.722696375442482</v>
      </c>
      <c r="K407" s="1569">
        <v>293.89536777640234</v>
      </c>
      <c r="L407" s="1096">
        <f t="shared" si="73"/>
        <v>293.89536777640234</v>
      </c>
    </row>
    <row r="408" spans="1:12" ht="15.75" hidden="1" x14ac:dyDescent="0.25">
      <c r="A408" s="1357" t="s">
        <v>28</v>
      </c>
      <c r="B408" s="1622"/>
      <c r="C408" s="1382" t="s">
        <v>160</v>
      </c>
      <c r="D408" s="1588">
        <v>59300</v>
      </c>
      <c r="E408" s="1569">
        <v>197.70344483275088</v>
      </c>
      <c r="F408" s="1569">
        <v>128.80678981527709</v>
      </c>
      <c r="G408" s="1569">
        <v>0</v>
      </c>
      <c r="H408" s="1569">
        <v>326.51023464802796</v>
      </c>
      <c r="I408" s="1569">
        <v>165.50174737893158</v>
      </c>
      <c r="J408" s="1569">
        <v>21.407888167748379</v>
      </c>
      <c r="K408" s="1569">
        <v>513.41987019470798</v>
      </c>
      <c r="L408" s="1096">
        <f t="shared" si="73"/>
        <v>513.41987019470798</v>
      </c>
    </row>
    <row r="409" spans="1:12" ht="15.75" hidden="1" x14ac:dyDescent="0.25">
      <c r="A409" s="1456"/>
      <c r="B409" s="1622"/>
      <c r="C409" s="1382" t="s">
        <v>603</v>
      </c>
      <c r="D409" s="1589"/>
      <c r="E409" s="1569">
        <v>107.83824263604592</v>
      </c>
      <c r="F409" s="1569">
        <v>119.82026959560659</v>
      </c>
      <c r="G409" s="1569">
        <v>0</v>
      </c>
      <c r="H409" s="1569">
        <v>227.65851223165251</v>
      </c>
      <c r="I409" s="1569">
        <v>291.18322516225658</v>
      </c>
      <c r="J409" s="1569">
        <v>28.986520219670492</v>
      </c>
      <c r="K409" s="1569">
        <v>547.82825761357958</v>
      </c>
      <c r="L409" s="1096">
        <f t="shared" si="73"/>
        <v>547.82825761357958</v>
      </c>
    </row>
    <row r="410" spans="1:12" ht="15.75" hidden="1" x14ac:dyDescent="0.25">
      <c r="A410" s="1456"/>
      <c r="B410" s="1622"/>
      <c r="C410" s="1382" t="s">
        <v>162</v>
      </c>
      <c r="D410" s="1589"/>
      <c r="E410" s="1569">
        <v>135.79630554168747</v>
      </c>
      <c r="F410" s="1569">
        <v>191.71243135297053</v>
      </c>
      <c r="G410" s="1569">
        <v>0</v>
      </c>
      <c r="H410" s="1569">
        <v>327.508736894658</v>
      </c>
      <c r="I410" s="1569">
        <v>119.82026959560659</v>
      </c>
      <c r="J410" s="1569">
        <v>17.773339990014978</v>
      </c>
      <c r="K410" s="1569">
        <v>465.10234648027955</v>
      </c>
      <c r="L410" s="1096">
        <f t="shared" si="73"/>
        <v>465.10234648027955</v>
      </c>
    </row>
    <row r="411" spans="1:12" ht="15.75" hidden="1" x14ac:dyDescent="0.25">
      <c r="A411" s="1456"/>
      <c r="B411" s="1622"/>
      <c r="C411" s="1382" t="s">
        <v>161</v>
      </c>
      <c r="D411" s="1589"/>
      <c r="E411" s="1569">
        <v>69.895157264103844</v>
      </c>
      <c r="F411" s="1569">
        <v>145.78132800798801</v>
      </c>
      <c r="G411" s="1569">
        <v>0</v>
      </c>
      <c r="H411" s="1569">
        <v>215.67648527209184</v>
      </c>
      <c r="I411" s="1569">
        <v>239.64053919121318</v>
      </c>
      <c r="J411" s="1569">
        <v>24.563155267099351</v>
      </c>
      <c r="K411" s="1569">
        <v>479.88017973040439</v>
      </c>
      <c r="L411" s="1096">
        <f t="shared" si="73"/>
        <v>479.88017973040439</v>
      </c>
    </row>
    <row r="412" spans="1:12" ht="16.5" hidden="1" thickBot="1" x14ac:dyDescent="0.3">
      <c r="A412" s="1457"/>
      <c r="B412" s="1622"/>
      <c r="C412" s="1383" t="s">
        <v>163</v>
      </c>
      <c r="D412" s="1590"/>
      <c r="E412" s="1569">
        <v>4.8227658512231653</v>
      </c>
      <c r="F412" s="1569">
        <v>259.61058412381425</v>
      </c>
      <c r="G412" s="1569">
        <v>0</v>
      </c>
      <c r="H412" s="1569">
        <v>264.4333499750374</v>
      </c>
      <c r="I412" s="1569">
        <v>377.76335496754865</v>
      </c>
      <c r="J412" s="1569">
        <v>36.834747878182725</v>
      </c>
      <c r="K412" s="1569">
        <v>679.03145282076878</v>
      </c>
      <c r="L412" s="1096">
        <f t="shared" si="73"/>
        <v>679.03145282076878</v>
      </c>
    </row>
    <row r="413" spans="1:12" ht="16.5" hidden="1" thickBot="1" x14ac:dyDescent="0.3">
      <c r="A413" s="1420" t="s">
        <v>737</v>
      </c>
      <c r="B413" s="1622"/>
      <c r="C413" s="1383" t="s">
        <v>738</v>
      </c>
      <c r="D413" s="1597">
        <v>16100</v>
      </c>
      <c r="E413" s="1569"/>
      <c r="F413" s="1569"/>
      <c r="G413" s="1569"/>
      <c r="H413" s="1569">
        <v>28.826008854986998</v>
      </c>
      <c r="I413" s="1569">
        <v>9.2887187155787689</v>
      </c>
      <c r="J413" s="1569"/>
      <c r="K413" s="1569">
        <v>38.114727570565769</v>
      </c>
      <c r="L413" s="1096">
        <f t="shared" si="73"/>
        <v>9.2887187155787689</v>
      </c>
    </row>
    <row r="414" spans="1:12" ht="15.75" hidden="1" x14ac:dyDescent="0.25">
      <c r="A414" s="1422" t="s">
        <v>505</v>
      </c>
      <c r="B414" s="1424"/>
      <c r="C414" s="1591" t="s">
        <v>746</v>
      </c>
      <c r="D414" s="1586">
        <v>2100</v>
      </c>
      <c r="E414" s="1569">
        <v>3.1053734620375546</v>
      </c>
      <c r="F414" s="1569">
        <v>67.209007221129553</v>
      </c>
      <c r="G414" s="1569">
        <v>0</v>
      </c>
      <c r="H414" s="1569">
        <v>70.314380683167101</v>
      </c>
      <c r="I414" s="1569">
        <v>14.707528501260512</v>
      </c>
      <c r="J414" s="1569">
        <v>0</v>
      </c>
      <c r="K414" s="1569">
        <v>85.021909184427614</v>
      </c>
      <c r="L414" s="1096">
        <f t="shared" si="73"/>
        <v>85.021909184427614</v>
      </c>
    </row>
    <row r="415" spans="1:12" ht="15.75" hidden="1" x14ac:dyDescent="0.25">
      <c r="A415" s="1469"/>
      <c r="B415" s="1424"/>
      <c r="C415" s="1380" t="s">
        <v>747</v>
      </c>
      <c r="D415" s="1369"/>
      <c r="E415" s="1569">
        <v>2.8490177241887666</v>
      </c>
      <c r="F415" s="1569">
        <v>69.340699256842356</v>
      </c>
      <c r="G415" s="1569">
        <v>0</v>
      </c>
      <c r="H415" s="1569">
        <v>72.189716981031125</v>
      </c>
      <c r="I415" s="1569">
        <v>24.318810769024761</v>
      </c>
      <c r="J415" s="1569">
        <v>0</v>
      </c>
      <c r="K415" s="1569">
        <v>96.50852775005589</v>
      </c>
      <c r="L415" s="1096">
        <f t="shared" si="73"/>
        <v>96.50852775005589</v>
      </c>
    </row>
    <row r="416" spans="1:12" ht="15.75" hidden="1" x14ac:dyDescent="0.25">
      <c r="A416" s="1469"/>
      <c r="B416" s="1424"/>
      <c r="C416" s="1380" t="s">
        <v>748</v>
      </c>
      <c r="D416" s="1369"/>
      <c r="E416" s="1569">
        <v>3.4002413577512409</v>
      </c>
      <c r="F416" s="1569">
        <v>68.494019755690388</v>
      </c>
      <c r="G416" s="1569">
        <v>0</v>
      </c>
      <c r="H416" s="1569">
        <v>71.89426111344163</v>
      </c>
      <c r="I416" s="1569">
        <v>8.5802735835489994</v>
      </c>
      <c r="J416" s="1569">
        <v>0</v>
      </c>
      <c r="K416" s="1569">
        <v>80.474534696990631</v>
      </c>
      <c r="L416" s="1096">
        <f t="shared" si="73"/>
        <v>80.474534696990631</v>
      </c>
    </row>
    <row r="417" spans="1:12" ht="16.5" hidden="1" thickBot="1" x14ac:dyDescent="0.3">
      <c r="A417" s="1470"/>
      <c r="B417" s="1424"/>
      <c r="C417" s="1381" t="s">
        <v>749</v>
      </c>
      <c r="D417" s="1356"/>
      <c r="E417" s="1569">
        <v>3.0433424291406577</v>
      </c>
      <c r="F417" s="1569">
        <v>70.573088308519104</v>
      </c>
      <c r="G417" s="1569">
        <v>0</v>
      </c>
      <c r="H417" s="1569">
        <v>73.616430737659755</v>
      </c>
      <c r="I417" s="1569">
        <v>9.9170276431802353</v>
      </c>
      <c r="J417" s="1569">
        <v>0</v>
      </c>
      <c r="K417" s="1569">
        <v>83.533458380839988</v>
      </c>
      <c r="L417" s="1096">
        <f t="shared" si="73"/>
        <v>83.533458380839988</v>
      </c>
    </row>
    <row r="418" spans="1:12" ht="15.75" hidden="1" x14ac:dyDescent="0.25">
      <c r="A418" s="1357" t="s">
        <v>456</v>
      </c>
      <c r="B418" s="1622"/>
      <c r="C418" s="1587" t="s">
        <v>165</v>
      </c>
      <c r="D418" s="1588">
        <v>41200</v>
      </c>
      <c r="E418" s="1569">
        <v>43.504531722054381</v>
      </c>
      <c r="F418" s="1569">
        <v>218.68690590229164</v>
      </c>
      <c r="G418" s="1569">
        <v>0</v>
      </c>
      <c r="H418" s="1569">
        <v>262.19143762434601</v>
      </c>
      <c r="I418" s="1569">
        <v>247.33623167047384</v>
      </c>
      <c r="J418" s="1569">
        <v>0</v>
      </c>
      <c r="K418" s="1569">
        <v>509.52766929481982</v>
      </c>
      <c r="L418" s="1096">
        <f t="shared" si="73"/>
        <v>509.52766929481982</v>
      </c>
    </row>
    <row r="419" spans="1:12" ht="15.75" hidden="1" x14ac:dyDescent="0.25">
      <c r="A419" s="1456"/>
      <c r="B419" s="1622"/>
      <c r="C419" s="1382" t="s">
        <v>166</v>
      </c>
      <c r="D419" s="1589"/>
      <c r="E419" s="1569">
        <v>50.696337779087763</v>
      </c>
      <c r="F419" s="1569">
        <v>192.74924471299093</v>
      </c>
      <c r="G419" s="1569">
        <v>0</v>
      </c>
      <c r="H419" s="1569">
        <v>243.4455824920787</v>
      </c>
      <c r="I419" s="1569">
        <v>364.79257239702309</v>
      </c>
      <c r="J419" s="1569">
        <v>0</v>
      </c>
      <c r="K419" s="1569">
        <v>608.23815488910179</v>
      </c>
      <c r="L419" s="1096">
        <f t="shared" si="73"/>
        <v>608.23815488910179</v>
      </c>
    </row>
    <row r="420" spans="1:12" ht="15.75" hidden="1" x14ac:dyDescent="0.25">
      <c r="A420" s="1456"/>
      <c r="B420" s="1622"/>
      <c r="C420" s="1382" t="s">
        <v>167</v>
      </c>
      <c r="D420" s="1589"/>
      <c r="E420" s="1569">
        <v>31.31677842458183</v>
      </c>
      <c r="F420" s="1569">
        <v>186.11745634072656</v>
      </c>
      <c r="G420" s="1569">
        <v>0</v>
      </c>
      <c r="H420" s="1569">
        <v>217.43423476530839</v>
      </c>
      <c r="I420" s="1569">
        <v>217.49318399528408</v>
      </c>
      <c r="J420" s="1569">
        <v>0</v>
      </c>
      <c r="K420" s="1569">
        <v>434.92741876059245</v>
      </c>
      <c r="L420" s="1096">
        <f t="shared" si="73"/>
        <v>434.92741876059245</v>
      </c>
    </row>
    <row r="421" spans="1:12" ht="15.75" hidden="1" x14ac:dyDescent="0.25">
      <c r="A421" s="1456"/>
      <c r="B421" s="1622"/>
      <c r="C421" s="1382" t="s">
        <v>168</v>
      </c>
      <c r="D421" s="1589"/>
      <c r="E421" s="1569">
        <v>51.271092771350673</v>
      </c>
      <c r="F421" s="1569">
        <v>257.90288114361505</v>
      </c>
      <c r="G421" s="1569">
        <v>0</v>
      </c>
      <c r="H421" s="1569">
        <v>309.1739739149657</v>
      </c>
      <c r="I421" s="1569">
        <v>318.9742833984231</v>
      </c>
      <c r="J421" s="1569">
        <v>0</v>
      </c>
      <c r="K421" s="1569">
        <v>628.14825731338874</v>
      </c>
      <c r="L421" s="1096">
        <f t="shared" si="73"/>
        <v>628.14825731338874</v>
      </c>
    </row>
    <row r="422" spans="1:12" ht="16.5" hidden="1" thickBot="1" x14ac:dyDescent="0.3">
      <c r="A422" s="1457"/>
      <c r="B422" s="1622"/>
      <c r="C422" s="1382" t="s">
        <v>169</v>
      </c>
      <c r="D422" s="1590"/>
      <c r="E422" s="1569">
        <v>32.996831478888808</v>
      </c>
      <c r="F422" s="1569">
        <v>186.57431287303808</v>
      </c>
      <c r="G422" s="1569">
        <v>0</v>
      </c>
      <c r="H422" s="1569">
        <v>219.57114435192688</v>
      </c>
      <c r="I422" s="1569">
        <v>298.94628251418465</v>
      </c>
      <c r="J422" s="1569">
        <v>0</v>
      </c>
      <c r="K422" s="1569">
        <v>518.51742686611146</v>
      </c>
      <c r="L422" s="1096">
        <f t="shared" si="73"/>
        <v>518.51742686611146</v>
      </c>
    </row>
    <row r="423" spans="1:12" ht="15.75" hidden="1" x14ac:dyDescent="0.25">
      <c r="A423" s="1423" t="s">
        <v>31</v>
      </c>
      <c r="B423" s="1424"/>
      <c r="C423" s="1591" t="s">
        <v>170</v>
      </c>
      <c r="D423" s="1588">
        <v>56300</v>
      </c>
      <c r="E423" s="1569">
        <v>178.85</v>
      </c>
      <c r="F423" s="1569">
        <v>134.55000000000001</v>
      </c>
      <c r="G423" s="1569">
        <v>0</v>
      </c>
      <c r="H423" s="1569">
        <v>313.39999999999998</v>
      </c>
      <c r="I423" s="1569">
        <v>213.93</v>
      </c>
      <c r="J423" s="1569">
        <v>0</v>
      </c>
      <c r="K423" s="1569">
        <v>527.32999999999993</v>
      </c>
      <c r="L423" s="1096">
        <f t="shared" si="73"/>
        <v>527.32999999999993</v>
      </c>
    </row>
    <row r="424" spans="1:12" ht="15.75" hidden="1" x14ac:dyDescent="0.25">
      <c r="A424" s="1424"/>
      <c r="B424" s="1424"/>
      <c r="C424" s="1380" t="s">
        <v>171</v>
      </c>
      <c r="D424" s="1589"/>
      <c r="E424" s="1569">
        <v>46.32</v>
      </c>
      <c r="F424" s="1569">
        <v>108.79</v>
      </c>
      <c r="G424" s="1569">
        <v>75.599999999999994</v>
      </c>
      <c r="H424" s="1569">
        <v>230.71</v>
      </c>
      <c r="I424" s="1569">
        <v>435.74</v>
      </c>
      <c r="J424" s="1569">
        <v>0</v>
      </c>
      <c r="K424" s="1569">
        <v>666.45</v>
      </c>
      <c r="L424" s="1096">
        <f t="shared" si="73"/>
        <v>666.45</v>
      </c>
    </row>
    <row r="425" spans="1:12" ht="15.75" hidden="1" x14ac:dyDescent="0.25">
      <c r="A425" s="1424"/>
      <c r="B425" s="1424"/>
      <c r="C425" s="1380" t="s">
        <v>172</v>
      </c>
      <c r="D425" s="1589"/>
      <c r="E425" s="1569">
        <v>0</v>
      </c>
      <c r="F425" s="1569">
        <v>164.38</v>
      </c>
      <c r="G425" s="1569">
        <v>0</v>
      </c>
      <c r="H425" s="1569">
        <v>164.38</v>
      </c>
      <c r="I425" s="1569">
        <v>149.4</v>
      </c>
      <c r="J425" s="1569">
        <v>0</v>
      </c>
      <c r="K425" s="1569">
        <v>313.77999999999997</v>
      </c>
      <c r="L425" s="1096">
        <f t="shared" si="73"/>
        <v>313.77999999999997</v>
      </c>
    </row>
    <row r="426" spans="1:12" ht="15.75" hidden="1" x14ac:dyDescent="0.25">
      <c r="A426" s="1424"/>
      <c r="B426" s="1424"/>
      <c r="C426" s="1380" t="s">
        <v>173</v>
      </c>
      <c r="D426" s="1589"/>
      <c r="E426" s="1569">
        <v>0</v>
      </c>
      <c r="F426" s="1569">
        <v>100.65</v>
      </c>
      <c r="G426" s="1569">
        <v>0</v>
      </c>
      <c r="H426" s="1569">
        <v>100.65</v>
      </c>
      <c r="I426" s="1569">
        <v>100.65</v>
      </c>
      <c r="J426" s="1569">
        <v>0</v>
      </c>
      <c r="K426" s="1569">
        <v>201.3</v>
      </c>
      <c r="L426" s="1096">
        <f t="shared" si="73"/>
        <v>201.3</v>
      </c>
    </row>
    <row r="427" spans="1:12" ht="15.75" hidden="1" x14ac:dyDescent="0.25">
      <c r="A427" s="1424"/>
      <c r="B427" s="1424"/>
      <c r="C427" s="1380" t="s">
        <v>174</v>
      </c>
      <c r="D427" s="1589"/>
      <c r="E427" s="1569">
        <v>105.48</v>
      </c>
      <c r="F427" s="1569">
        <v>68.680000000000007</v>
      </c>
      <c r="G427" s="1569">
        <v>0</v>
      </c>
      <c r="H427" s="1569">
        <v>174.16000000000003</v>
      </c>
      <c r="I427" s="1569">
        <v>223.82</v>
      </c>
      <c r="J427" s="1569">
        <v>0</v>
      </c>
      <c r="K427" s="1569">
        <v>397.98</v>
      </c>
      <c r="L427" s="1096">
        <f t="shared" si="73"/>
        <v>397.98</v>
      </c>
    </row>
    <row r="428" spans="1:12" ht="15.75" hidden="1" x14ac:dyDescent="0.25">
      <c r="A428" s="1424"/>
      <c r="B428" s="1424"/>
      <c r="C428" s="1380" t="s">
        <v>175</v>
      </c>
      <c r="D428" s="1589"/>
      <c r="E428" s="1569">
        <v>38.4</v>
      </c>
      <c r="F428" s="1569">
        <v>13.07</v>
      </c>
      <c r="G428" s="1569">
        <v>0</v>
      </c>
      <c r="H428" s="1569">
        <v>51.47</v>
      </c>
      <c r="I428" s="1569">
        <v>87.74</v>
      </c>
      <c r="J428" s="1569">
        <v>0</v>
      </c>
      <c r="K428" s="1569">
        <v>139.20999999999998</v>
      </c>
      <c r="L428" s="1096">
        <f t="shared" si="73"/>
        <v>139.20999999999998</v>
      </c>
    </row>
    <row r="429" spans="1:12" ht="16.5" hidden="1" thickBot="1" x14ac:dyDescent="0.3">
      <c r="A429" s="1425"/>
      <c r="B429" s="1424"/>
      <c r="C429" s="1426" t="s">
        <v>212</v>
      </c>
      <c r="D429" s="1590"/>
      <c r="E429" s="1569">
        <v>42</v>
      </c>
      <c r="F429" s="1569">
        <v>121.85</v>
      </c>
      <c r="G429" s="1569">
        <v>0</v>
      </c>
      <c r="H429" s="1569">
        <v>163.85</v>
      </c>
      <c r="I429" s="1569">
        <v>171.33</v>
      </c>
      <c r="J429" s="1569">
        <v>12.7</v>
      </c>
      <c r="K429" s="1569">
        <v>347.88</v>
      </c>
      <c r="L429" s="1096">
        <f t="shared" si="73"/>
        <v>347.88</v>
      </c>
    </row>
    <row r="430" spans="1:12" ht="15.75" hidden="1" x14ac:dyDescent="0.25">
      <c r="A430" s="1357" t="s">
        <v>718</v>
      </c>
      <c r="B430" s="1622"/>
      <c r="C430" s="1382" t="s">
        <v>761</v>
      </c>
      <c r="D430" s="1586">
        <v>4300</v>
      </c>
      <c r="E430" s="1569">
        <v>0.72329264510832658</v>
      </c>
      <c r="F430" s="1569">
        <v>35.531751190946544</v>
      </c>
      <c r="G430" s="1569">
        <v>0</v>
      </c>
      <c r="H430" s="1569">
        <v>36.255043836054867</v>
      </c>
      <c r="I430" s="1569">
        <v>11.465996656579748</v>
      </c>
      <c r="J430" s="1569">
        <v>0</v>
      </c>
      <c r="K430" s="1569">
        <v>47.721040492634614</v>
      </c>
      <c r="L430" s="1096">
        <f t="shared" si="73"/>
        <v>47.721040492634614</v>
      </c>
    </row>
    <row r="431" spans="1:12" ht="15.75" hidden="1" x14ac:dyDescent="0.25">
      <c r="A431" s="1456"/>
      <c r="B431" s="1622"/>
      <c r="C431" s="1382" t="s">
        <v>746</v>
      </c>
      <c r="D431" s="1369"/>
      <c r="E431" s="1569">
        <v>0.45205790319270417</v>
      </c>
      <c r="F431" s="1569">
        <v>35.669176793517124</v>
      </c>
      <c r="G431" s="1569">
        <v>0</v>
      </c>
      <c r="H431" s="1569">
        <v>36.121234696709827</v>
      </c>
      <c r="I431" s="1569">
        <v>8.20485094294758</v>
      </c>
      <c r="J431" s="1569">
        <v>0</v>
      </c>
      <c r="K431" s="1569">
        <v>44.326085639657407</v>
      </c>
      <c r="L431" s="1096">
        <f t="shared" si="73"/>
        <v>44.326085639657407</v>
      </c>
    </row>
    <row r="432" spans="1:12" ht="15.75" hidden="1" x14ac:dyDescent="0.25">
      <c r="A432" s="1456"/>
      <c r="B432" s="1622"/>
      <c r="C432" s="1382" t="s">
        <v>762</v>
      </c>
      <c r="D432" s="1369"/>
      <c r="E432" s="1569">
        <v>0.45205790319270417</v>
      </c>
      <c r="F432" s="1569">
        <v>29.282502737210603</v>
      </c>
      <c r="G432" s="1569">
        <v>0</v>
      </c>
      <c r="H432" s="1569">
        <v>29.734560640403306</v>
      </c>
      <c r="I432" s="1569">
        <v>9.5167229780128064</v>
      </c>
      <c r="J432" s="1569">
        <v>0</v>
      </c>
      <c r="K432" s="1569">
        <v>39.25128361841611</v>
      </c>
      <c r="L432" s="1096">
        <f t="shared" si="73"/>
        <v>39.25128361841611</v>
      </c>
    </row>
    <row r="433" spans="1:12" ht="15.75" hidden="1" x14ac:dyDescent="0.25">
      <c r="A433" s="1456"/>
      <c r="B433" s="1622"/>
      <c r="C433" s="1382" t="s">
        <v>763</v>
      </c>
      <c r="D433" s="1369"/>
      <c r="E433" s="1569">
        <v>0.45205790319270417</v>
      </c>
      <c r="F433" s="1569">
        <v>31.316763301577772</v>
      </c>
      <c r="G433" s="1569">
        <v>0</v>
      </c>
      <c r="H433" s="1569">
        <v>31.768821204770475</v>
      </c>
      <c r="I433" s="1569">
        <v>7.0448703633551011</v>
      </c>
      <c r="J433" s="1569">
        <v>0</v>
      </c>
      <c r="K433" s="1569">
        <v>38.813691568125577</v>
      </c>
      <c r="L433" s="1096">
        <f t="shared" si="73"/>
        <v>38.813691568125577</v>
      </c>
    </row>
    <row r="434" spans="1:12" ht="16.5" hidden="1" thickBot="1" x14ac:dyDescent="0.3">
      <c r="A434" s="1457"/>
      <c r="B434" s="1622"/>
      <c r="C434" s="1383" t="s">
        <v>764</v>
      </c>
      <c r="D434" s="1356"/>
      <c r="E434" s="1569">
        <v>0.58767527415051535</v>
      </c>
      <c r="F434" s="1569">
        <v>56.722417461007744</v>
      </c>
      <c r="G434" s="1569">
        <v>0</v>
      </c>
      <c r="H434" s="1569">
        <v>57.310092735158257</v>
      </c>
      <c r="I434" s="1569">
        <v>22.693306740273748</v>
      </c>
      <c r="J434" s="1569">
        <v>0</v>
      </c>
      <c r="K434" s="1569">
        <v>80.003399475432005</v>
      </c>
      <c r="L434" s="1096">
        <f t="shared" si="73"/>
        <v>80.003399475432005</v>
      </c>
    </row>
    <row r="438" spans="1:12" ht="63.75" thickBot="1" x14ac:dyDescent="0.3">
      <c r="A438" s="1567"/>
      <c r="B438" s="1341" t="s">
        <v>1022</v>
      </c>
      <c r="C438" s="1341" t="s">
        <v>1358</v>
      </c>
      <c r="D438" s="1341" t="s">
        <v>1359</v>
      </c>
      <c r="E438" s="1341" t="s">
        <v>1360</v>
      </c>
      <c r="F438" s="1341" t="s">
        <v>1361</v>
      </c>
      <c r="G438" s="1341" t="s">
        <v>1362</v>
      </c>
      <c r="H438" s="1341" t="s">
        <v>1363</v>
      </c>
      <c r="I438" s="1341" t="s">
        <v>1364</v>
      </c>
      <c r="J438" s="1427" t="s">
        <v>1203</v>
      </c>
    </row>
    <row r="439" spans="1:12" ht="15.75" x14ac:dyDescent="0.25">
      <c r="A439" s="1657" t="s">
        <v>621</v>
      </c>
      <c r="B439" s="1633" t="s">
        <v>1092</v>
      </c>
      <c r="C439" s="1569">
        <v>0</v>
      </c>
      <c r="D439" s="1569">
        <v>0.49788024590652696</v>
      </c>
      <c r="E439" s="1569">
        <v>0</v>
      </c>
      <c r="F439" s="1569"/>
      <c r="G439" s="1569">
        <v>2.3157220739838467E-2</v>
      </c>
      <c r="H439" s="1569">
        <v>9.2628882959353859E-3</v>
      </c>
      <c r="I439" s="1569"/>
      <c r="J439" s="1075">
        <f t="shared" ref="J439:J451" si="74">C439+D439+E439+G439+H439</f>
        <v>0.53030035494230077</v>
      </c>
    </row>
    <row r="440" spans="1:12" ht="15.75" x14ac:dyDescent="0.25">
      <c r="A440" s="1658" t="s">
        <v>620</v>
      </c>
      <c r="B440" s="1633" t="s">
        <v>1092</v>
      </c>
      <c r="C440" s="1569">
        <v>6.3682357034555784E-2</v>
      </c>
      <c r="D440" s="1569">
        <v>0.48630163553660777</v>
      </c>
      <c r="E440" s="1569">
        <v>0</v>
      </c>
      <c r="F440" s="1569"/>
      <c r="G440" s="1569">
        <v>0.17367915554878849</v>
      </c>
      <c r="H440" s="1569">
        <v>9.2628882959353859E-3</v>
      </c>
      <c r="I440" s="1569"/>
      <c r="J440" s="1075">
        <f t="shared" si="74"/>
        <v>0.73292603641588738</v>
      </c>
    </row>
    <row r="441" spans="1:12" ht="15.75" x14ac:dyDescent="0.25">
      <c r="A441" s="1658" t="s">
        <v>623</v>
      </c>
      <c r="B441" s="1633" t="s">
        <v>1092</v>
      </c>
      <c r="C441" s="1569">
        <v>0.1099967985142327</v>
      </c>
      <c r="D441" s="1569">
        <v>0.51524816146140584</v>
      </c>
      <c r="E441" s="1569">
        <v>0</v>
      </c>
      <c r="F441" s="1569"/>
      <c r="G441" s="1569">
        <v>0.13315401925407117</v>
      </c>
      <c r="H441" s="1569">
        <v>9.2628882959353859E-3</v>
      </c>
      <c r="I441" s="1569"/>
      <c r="J441" s="1075">
        <f t="shared" si="74"/>
        <v>0.76766186752564503</v>
      </c>
    </row>
    <row r="442" spans="1:12" ht="15.75" x14ac:dyDescent="0.25">
      <c r="A442" s="1658" t="s">
        <v>624</v>
      </c>
      <c r="B442" s="1633" t="s">
        <v>1092</v>
      </c>
      <c r="C442" s="1569">
        <v>0.13894332443903079</v>
      </c>
      <c r="D442" s="1569">
        <v>0.63103426516059813</v>
      </c>
      <c r="E442" s="1569">
        <v>0</v>
      </c>
      <c r="F442" s="1569"/>
      <c r="G442" s="1569">
        <v>0.19683637628862694</v>
      </c>
      <c r="H442" s="1569">
        <v>9.2628882959353859E-3</v>
      </c>
      <c r="I442" s="1569"/>
      <c r="J442" s="1075">
        <f t="shared" si="74"/>
        <v>0.97607685418419121</v>
      </c>
    </row>
    <row r="443" spans="1:12" ht="15.75" x14ac:dyDescent="0.25">
      <c r="A443" s="1658" t="s">
        <v>622</v>
      </c>
      <c r="B443" s="1633" t="s">
        <v>1092</v>
      </c>
      <c r="C443" s="1569">
        <v>0.18525776591870774</v>
      </c>
      <c r="D443" s="1569">
        <v>1.0594428488476098</v>
      </c>
      <c r="E443" s="1569">
        <v>0</v>
      </c>
      <c r="F443" s="1569"/>
      <c r="G443" s="1569">
        <v>0.13894332443903079</v>
      </c>
      <c r="H443" s="1569">
        <v>9.2628882959353859E-3</v>
      </c>
      <c r="I443" s="1569"/>
      <c r="J443" s="1075">
        <f t="shared" si="74"/>
        <v>1.3929068275012837</v>
      </c>
    </row>
    <row r="444" spans="1:12" ht="15.75" x14ac:dyDescent="0.25">
      <c r="A444" s="1659" t="s">
        <v>37</v>
      </c>
      <c r="B444" s="1634" t="s">
        <v>1090</v>
      </c>
      <c r="C444" s="1569">
        <v>18.410098329450939</v>
      </c>
      <c r="D444" s="1569">
        <v>0</v>
      </c>
      <c r="E444" s="1569">
        <v>0</v>
      </c>
      <c r="F444" s="1569"/>
      <c r="G444" s="1569">
        <v>18.494199005910477</v>
      </c>
      <c r="H444" s="1569">
        <v>0</v>
      </c>
      <c r="I444" s="1569"/>
      <c r="J444" s="1075">
        <f t="shared" si="74"/>
        <v>36.90429733536142</v>
      </c>
    </row>
    <row r="445" spans="1:12" ht="15.75" x14ac:dyDescent="0.25">
      <c r="A445" s="1660" t="s">
        <v>738</v>
      </c>
      <c r="B445" s="1636" t="s">
        <v>1141</v>
      </c>
      <c r="C445" s="1569"/>
      <c r="D445" s="1569"/>
      <c r="E445" s="1569"/>
      <c r="F445" s="1569">
        <v>28.826008854986998</v>
      </c>
      <c r="G445" s="1569">
        <v>9.2887187155787689</v>
      </c>
      <c r="H445" s="1569"/>
      <c r="I445" s="1569"/>
      <c r="J445" s="1075">
        <f t="shared" si="74"/>
        <v>9.2887187155787689</v>
      </c>
    </row>
    <row r="446" spans="1:12" ht="15.75" x14ac:dyDescent="0.25">
      <c r="A446" s="1660" t="s">
        <v>763</v>
      </c>
      <c r="B446" s="1636" t="s">
        <v>1153</v>
      </c>
      <c r="C446" s="1569">
        <v>0.45205790319270417</v>
      </c>
      <c r="D446" s="1569">
        <v>31.316763301577772</v>
      </c>
      <c r="E446" s="1569">
        <v>0</v>
      </c>
      <c r="F446" s="1569"/>
      <c r="G446" s="1569">
        <v>7.0448703633551011</v>
      </c>
      <c r="H446" s="1569">
        <v>0</v>
      </c>
      <c r="I446" s="1569"/>
      <c r="J446" s="1075">
        <f t="shared" si="74"/>
        <v>38.813691568125577</v>
      </c>
    </row>
    <row r="447" spans="1:12" ht="15.75" x14ac:dyDescent="0.25">
      <c r="A447" s="1660" t="s">
        <v>762</v>
      </c>
      <c r="B447" s="1636" t="s">
        <v>1153</v>
      </c>
      <c r="C447" s="1569">
        <v>0.45205790319270417</v>
      </c>
      <c r="D447" s="1569">
        <v>29.282502737210603</v>
      </c>
      <c r="E447" s="1569">
        <v>0</v>
      </c>
      <c r="F447" s="1569"/>
      <c r="G447" s="1569">
        <v>9.5167229780128064</v>
      </c>
      <c r="H447" s="1569">
        <v>0</v>
      </c>
      <c r="I447" s="1569"/>
      <c r="J447" s="1075">
        <f t="shared" si="74"/>
        <v>39.25128361841611</v>
      </c>
    </row>
    <row r="448" spans="1:12" ht="15.75" x14ac:dyDescent="0.25">
      <c r="A448" s="1658" t="s">
        <v>743</v>
      </c>
      <c r="B448" s="1633" t="s">
        <v>1078</v>
      </c>
      <c r="C448" s="1569">
        <v>5.8330000421920332</v>
      </c>
      <c r="D448" s="1569">
        <v>21.827086157882587</v>
      </c>
      <c r="E448" s="1569">
        <v>0</v>
      </c>
      <c r="F448" s="1569"/>
      <c r="G448" s="1569">
        <v>16.370314618411943</v>
      </c>
      <c r="H448" s="1569">
        <v>0</v>
      </c>
      <c r="I448" s="1569"/>
      <c r="J448" s="1075">
        <f t="shared" si="74"/>
        <v>44.030400818486562</v>
      </c>
    </row>
    <row r="449" spans="1:10" ht="15.75" x14ac:dyDescent="0.25">
      <c r="A449" s="1661" t="s">
        <v>468</v>
      </c>
      <c r="B449" s="1634" t="s">
        <v>1044</v>
      </c>
      <c r="C449" s="1569">
        <v>30.396956619858422</v>
      </c>
      <c r="D449" s="1569">
        <v>0</v>
      </c>
      <c r="E449" s="1569">
        <v>0</v>
      </c>
      <c r="F449" s="1569"/>
      <c r="G449" s="1569">
        <v>13.81679846357201</v>
      </c>
      <c r="H449" s="1569">
        <v>0</v>
      </c>
      <c r="I449" s="1569"/>
      <c r="J449" s="1075">
        <f t="shared" si="74"/>
        <v>44.213755083430428</v>
      </c>
    </row>
    <row r="450" spans="1:10" ht="15.75" x14ac:dyDescent="0.25">
      <c r="A450" s="1662" t="s">
        <v>761</v>
      </c>
      <c r="B450" s="1636" t="s">
        <v>1153</v>
      </c>
      <c r="C450" s="1569">
        <v>0.72329264510832658</v>
      </c>
      <c r="D450" s="1569">
        <v>35.531751190946544</v>
      </c>
      <c r="E450" s="1569">
        <v>0</v>
      </c>
      <c r="F450" s="1569"/>
      <c r="G450" s="1569">
        <v>11.465996656579748</v>
      </c>
      <c r="H450" s="1569">
        <v>0</v>
      </c>
      <c r="I450" s="1569"/>
      <c r="J450" s="1075">
        <f t="shared" si="74"/>
        <v>47.721040492634614</v>
      </c>
    </row>
    <row r="451" spans="1:10" ht="15.75" x14ac:dyDescent="0.25">
      <c r="A451" s="1661" t="s">
        <v>81</v>
      </c>
      <c r="B451" s="1634" t="s">
        <v>1044</v>
      </c>
      <c r="C451" s="1569">
        <v>35.309596073572912</v>
      </c>
      <c r="D451" s="1569">
        <v>0</v>
      </c>
      <c r="E451" s="1569">
        <v>0</v>
      </c>
      <c r="F451" s="1569"/>
      <c r="G451" s="1569">
        <v>13.81679846357201</v>
      </c>
      <c r="H451" s="1569">
        <v>0</v>
      </c>
      <c r="I451" s="1569"/>
      <c r="J451" s="1075">
        <f t="shared" si="74"/>
        <v>49.126394537144918</v>
      </c>
    </row>
    <row r="452" spans="1:10" ht="15.75" x14ac:dyDescent="0.25">
      <c r="A452" s="1661" t="s">
        <v>462</v>
      </c>
      <c r="B452" s="1634" t="s">
        <v>1034</v>
      </c>
      <c r="C452" s="1348" t="s">
        <v>5</v>
      </c>
      <c r="D452" s="1348" t="s">
        <v>5</v>
      </c>
      <c r="E452" s="1348" t="s">
        <v>5</v>
      </c>
      <c r="F452" s="1348"/>
      <c r="G452" s="1348" t="s">
        <v>5</v>
      </c>
      <c r="H452" s="1348" t="s">
        <v>5</v>
      </c>
      <c r="I452" s="1569">
        <v>55.038552233605834</v>
      </c>
      <c r="J452" s="1075">
        <f>I452</f>
        <v>55.038552233605834</v>
      </c>
    </row>
    <row r="453" spans="1:10" ht="15.75" x14ac:dyDescent="0.25">
      <c r="A453" s="1659" t="s">
        <v>79</v>
      </c>
      <c r="B453" s="1634" t="s">
        <v>1044</v>
      </c>
      <c r="C453" s="1569">
        <v>29.475836722286957</v>
      </c>
      <c r="D453" s="1569">
        <v>0</v>
      </c>
      <c r="E453" s="1569">
        <v>0</v>
      </c>
      <c r="F453" s="1569"/>
      <c r="G453" s="1569">
        <v>26.098397097858243</v>
      </c>
      <c r="H453" s="1569">
        <v>0</v>
      </c>
      <c r="I453" s="1569"/>
      <c r="J453" s="1075">
        <f>C453+D453+E453+G453+H453</f>
        <v>55.574233820145196</v>
      </c>
    </row>
    <row r="454" spans="1:10" ht="15.75" x14ac:dyDescent="0.25">
      <c r="A454" s="1663" t="s">
        <v>82</v>
      </c>
      <c r="B454" s="1635" t="s">
        <v>1048</v>
      </c>
      <c r="C454" s="1569">
        <v>23.588728700587662</v>
      </c>
      <c r="D454" s="1569">
        <v>14.455656819078079</v>
      </c>
      <c r="E454" s="1569">
        <v>0</v>
      </c>
      <c r="F454" s="1569"/>
      <c r="G454" s="1569">
        <v>15.725819133725109</v>
      </c>
      <c r="H454" s="1569">
        <v>1.905243471970542</v>
      </c>
      <c r="I454" s="1569"/>
      <c r="J454" s="1075">
        <f>C454+D454+E454+G454+H454</f>
        <v>55.675448125361392</v>
      </c>
    </row>
    <row r="455" spans="1:10" ht="15.75" x14ac:dyDescent="0.25">
      <c r="A455" s="1663" t="s">
        <v>84</v>
      </c>
      <c r="B455" s="1635" t="s">
        <v>1046</v>
      </c>
      <c r="C455" s="1569">
        <v>0</v>
      </c>
      <c r="D455" s="1569">
        <v>33.705350827329525</v>
      </c>
      <c r="E455" s="1569">
        <v>0</v>
      </c>
      <c r="F455" s="1569"/>
      <c r="G455" s="1569">
        <v>27.907742405107246</v>
      </c>
      <c r="H455" s="1569">
        <v>0</v>
      </c>
      <c r="I455" s="1569"/>
      <c r="J455" s="1075">
        <f>C455+D455+E455+G455+H455</f>
        <v>61.613093232436768</v>
      </c>
    </row>
    <row r="456" spans="1:10" ht="15.75" x14ac:dyDescent="0.25">
      <c r="A456" s="1663" t="s">
        <v>83</v>
      </c>
      <c r="B456" s="1635" t="s">
        <v>1048</v>
      </c>
      <c r="C456" s="1569">
        <v>14.274205059842791</v>
      </c>
      <c r="D456" s="1569">
        <v>21.169371910783799</v>
      </c>
      <c r="E456" s="1569">
        <v>1.0584685955391899</v>
      </c>
      <c r="F456" s="1569"/>
      <c r="G456" s="1569">
        <v>27.217763885293458</v>
      </c>
      <c r="H456" s="1569">
        <v>1.6633077929901556</v>
      </c>
      <c r="I456" s="1569"/>
      <c r="J456" s="1075">
        <f>C456+D456+E456+G456+H456</f>
        <v>65.383117244449394</v>
      </c>
    </row>
    <row r="457" spans="1:10" ht="15.75" x14ac:dyDescent="0.25">
      <c r="A457" s="1659" t="s">
        <v>459</v>
      </c>
      <c r="B457" s="1634" t="s">
        <v>1034</v>
      </c>
      <c r="C457" s="1348" t="s">
        <v>5</v>
      </c>
      <c r="D457" s="1348" t="s">
        <v>5</v>
      </c>
      <c r="E457" s="1348" t="s">
        <v>5</v>
      </c>
      <c r="F457" s="1348"/>
      <c r="G457" s="1348" t="s">
        <v>5</v>
      </c>
      <c r="H457" s="1348" t="s">
        <v>5</v>
      </c>
      <c r="I457" s="1569">
        <v>67.66</v>
      </c>
      <c r="J457" s="1075">
        <f>I457</f>
        <v>67.66</v>
      </c>
    </row>
    <row r="458" spans="1:10" ht="15.75" x14ac:dyDescent="0.25">
      <c r="A458" s="1660" t="s">
        <v>694</v>
      </c>
      <c r="B458" s="1636" t="s">
        <v>1120</v>
      </c>
      <c r="C458" s="1569">
        <v>0</v>
      </c>
      <c r="D458" s="1569">
        <v>34.686537541053276</v>
      </c>
      <c r="E458" s="1569">
        <v>3.1097330259949025</v>
      </c>
      <c r="F458" s="1569"/>
      <c r="G458" s="1569">
        <v>35.220808853889402</v>
      </c>
      <c r="H458" s="1569">
        <v>0</v>
      </c>
      <c r="I458" s="1569"/>
      <c r="J458" s="1075">
        <f t="shared" ref="J458:J473" si="75">C458+D458+E458+G458+H458</f>
        <v>73.017079420937591</v>
      </c>
    </row>
    <row r="459" spans="1:10" ht="15.75" x14ac:dyDescent="0.25">
      <c r="A459" s="1660" t="s">
        <v>147</v>
      </c>
      <c r="B459" s="1636" t="s">
        <v>1131</v>
      </c>
      <c r="C459" s="1569">
        <v>0</v>
      </c>
      <c r="D459" s="1569">
        <v>45.021828744911225</v>
      </c>
      <c r="E459" s="1569">
        <v>0</v>
      </c>
      <c r="F459" s="1569"/>
      <c r="G459" s="1569">
        <v>29.769397405170061</v>
      </c>
      <c r="H459" s="1569">
        <v>0</v>
      </c>
      <c r="I459" s="1569"/>
      <c r="J459" s="1075">
        <f t="shared" si="75"/>
        <v>74.791226150081286</v>
      </c>
    </row>
    <row r="460" spans="1:10" ht="15.75" x14ac:dyDescent="0.25">
      <c r="A460" s="1659" t="s">
        <v>80</v>
      </c>
      <c r="B460" s="1634" t="s">
        <v>1044</v>
      </c>
      <c r="C460" s="1569">
        <v>40.068715544358831</v>
      </c>
      <c r="D460" s="1569">
        <v>0</v>
      </c>
      <c r="E460" s="1569">
        <v>21.339277627072327</v>
      </c>
      <c r="F460" s="1569"/>
      <c r="G460" s="1569">
        <v>13.81679846357201</v>
      </c>
      <c r="H460" s="1569">
        <v>0</v>
      </c>
      <c r="I460" s="1569"/>
      <c r="J460" s="1075">
        <f t="shared" si="75"/>
        <v>75.224791635003172</v>
      </c>
    </row>
    <row r="461" spans="1:10" ht="15.75" x14ac:dyDescent="0.25">
      <c r="A461" s="1660" t="s">
        <v>148</v>
      </c>
      <c r="B461" s="1636" t="s">
        <v>1131</v>
      </c>
      <c r="C461" s="1569">
        <v>0</v>
      </c>
      <c r="D461" s="1569">
        <v>43.16113549331012</v>
      </c>
      <c r="E461" s="1569">
        <v>0</v>
      </c>
      <c r="F461" s="1569"/>
      <c r="G461" s="1569">
        <v>32.613817826675039</v>
      </c>
      <c r="H461" s="1569">
        <v>0</v>
      </c>
      <c r="I461" s="1569"/>
      <c r="J461" s="1075">
        <f t="shared" si="75"/>
        <v>75.774953319985158</v>
      </c>
    </row>
    <row r="462" spans="1:10" ht="15.75" x14ac:dyDescent="0.25">
      <c r="A462" s="1659" t="s">
        <v>78</v>
      </c>
      <c r="B462" s="1634" t="s">
        <v>1044</v>
      </c>
      <c r="C462" s="1569">
        <v>31.77863646621562</v>
      </c>
      <c r="D462" s="1569">
        <v>0</v>
      </c>
      <c r="E462" s="1569">
        <v>24.10263731978673</v>
      </c>
      <c r="F462" s="1569"/>
      <c r="G462" s="1569">
        <v>20.878717678286595</v>
      </c>
      <c r="H462" s="1569">
        <v>0</v>
      </c>
      <c r="I462" s="1569"/>
      <c r="J462" s="1075">
        <f t="shared" si="75"/>
        <v>76.759991464288944</v>
      </c>
    </row>
    <row r="463" spans="1:10" ht="15.75" x14ac:dyDescent="0.25">
      <c r="A463" s="1660" t="s">
        <v>150</v>
      </c>
      <c r="B463" s="1636" t="s">
        <v>1131</v>
      </c>
      <c r="C463" s="1569">
        <v>0</v>
      </c>
      <c r="D463" s="1569">
        <v>53.749971360914437</v>
      </c>
      <c r="E463" s="1569">
        <v>0</v>
      </c>
      <c r="F463" s="1569"/>
      <c r="G463" s="1569">
        <v>26.225098738755008</v>
      </c>
      <c r="H463" s="1569">
        <v>0</v>
      </c>
      <c r="I463" s="1569"/>
      <c r="J463" s="1075">
        <f t="shared" si="75"/>
        <v>79.975070099669438</v>
      </c>
    </row>
    <row r="464" spans="1:10" ht="15.75" x14ac:dyDescent="0.25">
      <c r="A464" s="1660" t="s">
        <v>764</v>
      </c>
      <c r="B464" s="1636" t="s">
        <v>1153</v>
      </c>
      <c r="C464" s="1569">
        <v>0.58767527415051535</v>
      </c>
      <c r="D464" s="1569">
        <v>56.722417461007744</v>
      </c>
      <c r="E464" s="1569">
        <v>0</v>
      </c>
      <c r="F464" s="1569"/>
      <c r="G464" s="1569">
        <v>22.693306740273748</v>
      </c>
      <c r="H464" s="1569">
        <v>0</v>
      </c>
      <c r="I464" s="1569"/>
      <c r="J464" s="1075">
        <f t="shared" si="75"/>
        <v>80.003399475432005</v>
      </c>
    </row>
    <row r="465" spans="1:10" ht="15.75" x14ac:dyDescent="0.25">
      <c r="A465" s="1660" t="s">
        <v>748</v>
      </c>
      <c r="B465" s="1636" t="s">
        <v>1147</v>
      </c>
      <c r="C465" s="1569">
        <v>3.4002413577512409</v>
      </c>
      <c r="D465" s="1569">
        <v>68.494019755690388</v>
      </c>
      <c r="E465" s="1569">
        <v>0</v>
      </c>
      <c r="F465" s="1569"/>
      <c r="G465" s="1569">
        <v>8.5802735835489994</v>
      </c>
      <c r="H465" s="1569">
        <v>0</v>
      </c>
      <c r="I465" s="1569"/>
      <c r="J465" s="1075">
        <f t="shared" si="75"/>
        <v>80.474534696990631</v>
      </c>
    </row>
    <row r="466" spans="1:10" ht="15.75" x14ac:dyDescent="0.25">
      <c r="A466" s="1660" t="s">
        <v>145</v>
      </c>
      <c r="B466" s="1636" t="s">
        <v>1131</v>
      </c>
      <c r="C466" s="1569">
        <v>0</v>
      </c>
      <c r="D466" s="1569">
        <v>49.055872720718554</v>
      </c>
      <c r="E466" s="1569">
        <v>0</v>
      </c>
      <c r="F466" s="1569"/>
      <c r="G466" s="1569">
        <v>32.696854228613518</v>
      </c>
      <c r="H466" s="1569">
        <v>0</v>
      </c>
      <c r="I466" s="1569"/>
      <c r="J466" s="1075">
        <f t="shared" si="75"/>
        <v>81.752726949332072</v>
      </c>
    </row>
    <row r="467" spans="1:10" ht="15.75" x14ac:dyDescent="0.25">
      <c r="A467" s="1664" t="s">
        <v>587</v>
      </c>
      <c r="B467" s="1636" t="s">
        <v>1084</v>
      </c>
      <c r="C467" s="1569">
        <v>0</v>
      </c>
      <c r="D467" s="1569">
        <v>83.444215433048953</v>
      </c>
      <c r="E467" s="1569">
        <v>0</v>
      </c>
      <c r="F467" s="1569"/>
      <c r="G467" s="1569">
        <v>0</v>
      </c>
      <c r="H467" s="1569">
        <v>0</v>
      </c>
      <c r="I467" s="1569"/>
      <c r="J467" s="1075">
        <f t="shared" si="75"/>
        <v>83.444215433048953</v>
      </c>
    </row>
    <row r="468" spans="1:10" ht="15.75" x14ac:dyDescent="0.25">
      <c r="A468" s="1664" t="s">
        <v>749</v>
      </c>
      <c r="B468" s="1636" t="s">
        <v>1147</v>
      </c>
      <c r="C468" s="1569">
        <v>3.0433424291406577</v>
      </c>
      <c r="D468" s="1569">
        <v>70.573088308519104</v>
      </c>
      <c r="E468" s="1569">
        <v>0</v>
      </c>
      <c r="F468" s="1569"/>
      <c r="G468" s="1569">
        <v>9.9170276431802353</v>
      </c>
      <c r="H468" s="1569">
        <v>0</v>
      </c>
      <c r="I468" s="1569"/>
      <c r="J468" s="1075">
        <f t="shared" si="75"/>
        <v>83.533458380839988</v>
      </c>
    </row>
    <row r="469" spans="1:10" ht="15.75" x14ac:dyDescent="0.25">
      <c r="A469" s="1664" t="s">
        <v>746</v>
      </c>
      <c r="B469" s="1636" t="s">
        <v>1147</v>
      </c>
      <c r="C469" s="1569">
        <v>3.1053734620375546</v>
      </c>
      <c r="D469" s="1569">
        <v>67.209007221129553</v>
      </c>
      <c r="E469" s="1569">
        <v>0</v>
      </c>
      <c r="F469" s="1569"/>
      <c r="G469" s="1569">
        <v>14.707528501260512</v>
      </c>
      <c r="H469" s="1569">
        <v>0</v>
      </c>
      <c r="I469" s="1569"/>
      <c r="J469" s="1075">
        <f t="shared" si="75"/>
        <v>85.021909184427614</v>
      </c>
    </row>
    <row r="470" spans="1:10" ht="15.75" x14ac:dyDescent="0.25">
      <c r="A470" s="1664" t="s">
        <v>143</v>
      </c>
      <c r="B470" s="1636" t="s">
        <v>1131</v>
      </c>
      <c r="C470" s="1569">
        <v>0</v>
      </c>
      <c r="D470" s="1569">
        <v>48.656789605279521</v>
      </c>
      <c r="E470" s="1569">
        <v>0</v>
      </c>
      <c r="F470" s="1569"/>
      <c r="G470" s="1569">
        <v>37.772242469547336</v>
      </c>
      <c r="H470" s="1569">
        <v>0</v>
      </c>
      <c r="I470" s="1569"/>
      <c r="J470" s="1075">
        <f t="shared" si="75"/>
        <v>86.429032074826864</v>
      </c>
    </row>
    <row r="471" spans="1:10" ht="15.75" x14ac:dyDescent="0.25">
      <c r="A471" s="1660" t="s">
        <v>146</v>
      </c>
      <c r="B471" s="1636" t="s">
        <v>1131</v>
      </c>
      <c r="C471" s="1569">
        <v>0</v>
      </c>
      <c r="D471" s="1569">
        <v>56.235979557725756</v>
      </c>
      <c r="E471" s="1569">
        <v>0</v>
      </c>
      <c r="F471" s="1569"/>
      <c r="G471" s="1569">
        <v>35.32521054303367</v>
      </c>
      <c r="H471" s="1569">
        <v>0</v>
      </c>
      <c r="I471" s="1569"/>
      <c r="J471" s="1075">
        <f t="shared" si="75"/>
        <v>91.561190100759433</v>
      </c>
    </row>
    <row r="472" spans="1:10" ht="15.75" x14ac:dyDescent="0.25">
      <c r="A472" s="1660" t="s">
        <v>747</v>
      </c>
      <c r="B472" s="1636" t="s">
        <v>1147</v>
      </c>
      <c r="C472" s="1569">
        <v>2.8490177241887666</v>
      </c>
      <c r="D472" s="1569">
        <v>69.340699256842356</v>
      </c>
      <c r="E472" s="1569">
        <v>0</v>
      </c>
      <c r="F472" s="1569"/>
      <c r="G472" s="1569">
        <v>24.318810769024761</v>
      </c>
      <c r="H472" s="1569">
        <v>0</v>
      </c>
      <c r="I472" s="1569"/>
      <c r="J472" s="1075">
        <f t="shared" si="75"/>
        <v>96.50852775005589</v>
      </c>
    </row>
    <row r="473" spans="1:10" ht="15.75" x14ac:dyDescent="0.25">
      <c r="A473" s="1660" t="s">
        <v>144</v>
      </c>
      <c r="B473" s="1636" t="s">
        <v>1131</v>
      </c>
      <c r="C473" s="1569">
        <v>0</v>
      </c>
      <c r="D473" s="1569">
        <v>60.589459487929091</v>
      </c>
      <c r="E473" s="1569">
        <v>0</v>
      </c>
      <c r="F473" s="1569"/>
      <c r="G473" s="1569">
        <v>41.586833097374388</v>
      </c>
      <c r="H473" s="1569">
        <v>0</v>
      </c>
      <c r="I473" s="1569"/>
      <c r="J473" s="1075">
        <f t="shared" si="75"/>
        <v>102.17629258530349</v>
      </c>
    </row>
    <row r="474" spans="1:10" ht="15.75" x14ac:dyDescent="0.25">
      <c r="A474" s="1659" t="s">
        <v>1346</v>
      </c>
      <c r="B474" s="1634" t="s">
        <v>1034</v>
      </c>
      <c r="C474" s="1348" t="s">
        <v>5</v>
      </c>
      <c r="D474" s="1348" t="s">
        <v>5</v>
      </c>
      <c r="E474" s="1348" t="s">
        <v>5</v>
      </c>
      <c r="F474" s="1348"/>
      <c r="G474" s="1348" t="s">
        <v>5</v>
      </c>
      <c r="H474" s="1348" t="s">
        <v>5</v>
      </c>
      <c r="I474" s="1569">
        <v>106.29004812086265</v>
      </c>
      <c r="J474" s="1075">
        <f>I474</f>
        <v>106.29004812086265</v>
      </c>
    </row>
    <row r="475" spans="1:10" ht="15.75" x14ac:dyDescent="0.25">
      <c r="A475" s="1660" t="s">
        <v>149</v>
      </c>
      <c r="B475" s="1636" t="s">
        <v>1131</v>
      </c>
      <c r="C475" s="1569">
        <v>0</v>
      </c>
      <c r="D475" s="1569">
        <v>73.882062279877289</v>
      </c>
      <c r="E475" s="1569">
        <v>0</v>
      </c>
      <c r="F475" s="1569"/>
      <c r="G475" s="1569">
        <v>33.896645505602216</v>
      </c>
      <c r="H475" s="1569">
        <v>0</v>
      </c>
      <c r="I475" s="1569"/>
      <c r="J475" s="1075">
        <f t="shared" ref="J475:J538" si="76">C475+D475+E475+G475+H475</f>
        <v>107.7787077854795</v>
      </c>
    </row>
    <row r="476" spans="1:10" ht="15.75" x14ac:dyDescent="0.25">
      <c r="A476" s="1663" t="s">
        <v>731</v>
      </c>
      <c r="B476" s="1635" t="s">
        <v>1042</v>
      </c>
      <c r="C476" s="1569">
        <v>10.266807607901336</v>
      </c>
      <c r="D476" s="1569">
        <v>47.259662472371041</v>
      </c>
      <c r="E476" s="1569">
        <v>0</v>
      </c>
      <c r="F476" s="1569"/>
      <c r="G476" s="1569">
        <v>63.637330224975294</v>
      </c>
      <c r="H476" s="1569">
        <v>0</v>
      </c>
      <c r="I476" s="1569"/>
      <c r="J476" s="1075">
        <f t="shared" si="76"/>
        <v>121.16380030524766</v>
      </c>
    </row>
    <row r="477" spans="1:10" ht="15.75" x14ac:dyDescent="0.25">
      <c r="A477" s="1659" t="s">
        <v>1353</v>
      </c>
      <c r="B477" s="1634" t="s">
        <v>1118</v>
      </c>
      <c r="C477" s="1569">
        <v>0</v>
      </c>
      <c r="D477" s="1569">
        <v>74.491910082755481</v>
      </c>
      <c r="E477" s="1569">
        <v>0</v>
      </c>
      <c r="F477" s="1569"/>
      <c r="G477" s="1569">
        <v>29.700954502449132</v>
      </c>
      <c r="H477" s="1569">
        <v>25.006287500449108</v>
      </c>
      <c r="I477" s="1569"/>
      <c r="J477" s="1075">
        <f t="shared" si="76"/>
        <v>129.19915208565374</v>
      </c>
    </row>
    <row r="478" spans="1:10" ht="15.75" x14ac:dyDescent="0.25">
      <c r="A478" s="1659" t="s">
        <v>770</v>
      </c>
      <c r="B478" s="1634" t="s">
        <v>1118</v>
      </c>
      <c r="C478" s="1569">
        <v>0</v>
      </c>
      <c r="D478" s="1569">
        <v>71.378100336530977</v>
      </c>
      <c r="E478" s="1569">
        <v>0</v>
      </c>
      <c r="F478" s="1569"/>
      <c r="G478" s="1569">
        <v>33.054288075306289</v>
      </c>
      <c r="H478" s="1569">
        <v>25.063773218840943</v>
      </c>
      <c r="I478" s="1569"/>
      <c r="J478" s="1075">
        <f t="shared" si="76"/>
        <v>129.49616163067822</v>
      </c>
    </row>
    <row r="479" spans="1:10" ht="15.75" x14ac:dyDescent="0.25">
      <c r="A479" s="1660" t="s">
        <v>112</v>
      </c>
      <c r="B479" s="1636" t="s">
        <v>1076</v>
      </c>
      <c r="C479" s="1569">
        <v>62.341061463798042</v>
      </c>
      <c r="D479" s="1569">
        <v>1.9949139668415374</v>
      </c>
      <c r="E479" s="1569">
        <v>0</v>
      </c>
      <c r="F479" s="1569"/>
      <c r="G479" s="1569">
        <v>55.85759107156305</v>
      </c>
      <c r="H479" s="1569">
        <v>9.5755870408393786</v>
      </c>
      <c r="I479" s="1569"/>
      <c r="J479" s="1075">
        <f t="shared" si="76"/>
        <v>129.76915354304199</v>
      </c>
    </row>
    <row r="480" spans="1:10" ht="15.75" x14ac:dyDescent="0.25">
      <c r="A480" s="1659" t="s">
        <v>768</v>
      </c>
      <c r="B480" s="1634" t="s">
        <v>1118</v>
      </c>
      <c r="C480" s="1569">
        <v>0</v>
      </c>
      <c r="D480" s="1569">
        <v>73.054767122959561</v>
      </c>
      <c r="E480" s="1569">
        <v>0</v>
      </c>
      <c r="F480" s="1569"/>
      <c r="G480" s="1569">
        <v>35.210002515000177</v>
      </c>
      <c r="H480" s="1569">
        <v>25.983544713110337</v>
      </c>
      <c r="I480" s="1569"/>
      <c r="J480" s="1075">
        <f t="shared" si="76"/>
        <v>134.24831435107009</v>
      </c>
    </row>
    <row r="481" spans="1:10" ht="15.75" x14ac:dyDescent="0.25">
      <c r="A481" s="1659" t="s">
        <v>219</v>
      </c>
      <c r="B481" s="1634" t="s">
        <v>1118</v>
      </c>
      <c r="C481" s="1569">
        <v>0</v>
      </c>
      <c r="D481" s="1569">
        <v>66.587623803877889</v>
      </c>
      <c r="E481" s="1569">
        <v>0</v>
      </c>
      <c r="F481" s="1569"/>
      <c r="G481" s="1569">
        <v>44.072384100408392</v>
      </c>
      <c r="H481" s="1569">
        <v>26.558401897028705</v>
      </c>
      <c r="I481" s="1569"/>
      <c r="J481" s="1075">
        <f t="shared" si="76"/>
        <v>137.218409801315</v>
      </c>
    </row>
    <row r="482" spans="1:10" ht="15.75" x14ac:dyDescent="0.25">
      <c r="A482" s="1660" t="s">
        <v>175</v>
      </c>
      <c r="B482" s="1636" t="s">
        <v>1151</v>
      </c>
      <c r="C482" s="1569">
        <v>38.4</v>
      </c>
      <c r="D482" s="1569">
        <v>13.07</v>
      </c>
      <c r="E482" s="1569">
        <v>0</v>
      </c>
      <c r="F482" s="1569"/>
      <c r="G482" s="1569">
        <v>87.74</v>
      </c>
      <c r="H482" s="1569">
        <v>0</v>
      </c>
      <c r="I482" s="1569"/>
      <c r="J482" s="1075">
        <f t="shared" si="76"/>
        <v>139.20999999999998</v>
      </c>
    </row>
    <row r="483" spans="1:10" ht="15.75" x14ac:dyDescent="0.25">
      <c r="A483" s="1663" t="s">
        <v>493</v>
      </c>
      <c r="B483" s="1635" t="s">
        <v>1042</v>
      </c>
      <c r="C483" s="1569">
        <v>10.80827622831805</v>
      </c>
      <c r="D483" s="1569">
        <v>57.595384268325411</v>
      </c>
      <c r="E483" s="1569">
        <v>0</v>
      </c>
      <c r="F483" s="1569"/>
      <c r="G483" s="1569">
        <v>73.158739472302969</v>
      </c>
      <c r="H483" s="1569">
        <v>0</v>
      </c>
      <c r="I483" s="1569"/>
      <c r="J483" s="1075">
        <f t="shared" si="76"/>
        <v>141.56239996894641</v>
      </c>
    </row>
    <row r="484" spans="1:10" ht="15.75" x14ac:dyDescent="0.25">
      <c r="A484" s="1659" t="s">
        <v>769</v>
      </c>
      <c r="B484" s="1634" t="s">
        <v>1118</v>
      </c>
      <c r="C484" s="1569">
        <v>0</v>
      </c>
      <c r="D484" s="1569">
        <v>72.575719469694249</v>
      </c>
      <c r="E484" s="1569">
        <v>0</v>
      </c>
      <c r="F484" s="1569"/>
      <c r="G484" s="1569">
        <v>46.467622366734929</v>
      </c>
      <c r="H484" s="1569">
        <v>28.570402040743005</v>
      </c>
      <c r="I484" s="1569"/>
      <c r="J484" s="1075">
        <f t="shared" si="76"/>
        <v>147.61374387717217</v>
      </c>
    </row>
    <row r="485" spans="1:10" ht="15.75" x14ac:dyDescent="0.25">
      <c r="A485" s="1659" t="s">
        <v>771</v>
      </c>
      <c r="B485" s="1634" t="s">
        <v>1118</v>
      </c>
      <c r="C485" s="1569">
        <v>0</v>
      </c>
      <c r="D485" s="1569">
        <v>73.294290949592209</v>
      </c>
      <c r="E485" s="1569">
        <v>0</v>
      </c>
      <c r="F485" s="1569"/>
      <c r="G485" s="1569">
        <v>49.341908286326785</v>
      </c>
      <c r="H485" s="1569">
        <v>29.432687816620557</v>
      </c>
      <c r="I485" s="1569"/>
      <c r="J485" s="1075">
        <f t="shared" si="76"/>
        <v>152.06888705253954</v>
      </c>
    </row>
    <row r="486" spans="1:10" ht="15.75" x14ac:dyDescent="0.25">
      <c r="A486" s="1660" t="s">
        <v>119</v>
      </c>
      <c r="B486" s="1636" t="s">
        <v>1076</v>
      </c>
      <c r="C486" s="1569">
        <v>78.799101690240732</v>
      </c>
      <c r="D486" s="1569">
        <v>1.4296883429031018</v>
      </c>
      <c r="E486" s="1569">
        <v>0</v>
      </c>
      <c r="F486" s="1569"/>
      <c r="G486" s="1569">
        <v>63.504761277788937</v>
      </c>
      <c r="H486" s="1569">
        <v>11.437506743224814</v>
      </c>
      <c r="I486" s="1569"/>
      <c r="J486" s="1075">
        <f t="shared" si="76"/>
        <v>155.17105805415758</v>
      </c>
    </row>
    <row r="487" spans="1:10" ht="15.75" x14ac:dyDescent="0.25">
      <c r="A487" s="1659" t="s">
        <v>767</v>
      </c>
      <c r="B487" s="1634" t="s">
        <v>1118</v>
      </c>
      <c r="C487" s="1569">
        <v>0</v>
      </c>
      <c r="D487" s="1569">
        <v>64.671433190816657</v>
      </c>
      <c r="E487" s="1569">
        <v>0</v>
      </c>
      <c r="F487" s="1569"/>
      <c r="G487" s="1569">
        <v>60.839051964694185</v>
      </c>
      <c r="H487" s="1569">
        <v>30.122516437322606</v>
      </c>
      <c r="I487" s="1569"/>
      <c r="J487" s="1075">
        <f t="shared" si="76"/>
        <v>155.63300159283347</v>
      </c>
    </row>
    <row r="488" spans="1:10" ht="15.75" x14ac:dyDescent="0.25">
      <c r="A488" s="1660" t="s">
        <v>613</v>
      </c>
      <c r="B488" s="1636" t="s">
        <v>1066</v>
      </c>
      <c r="C488" s="1569">
        <v>0</v>
      </c>
      <c r="D488" s="1569">
        <v>74.986322226279867</v>
      </c>
      <c r="E488" s="1569">
        <v>0</v>
      </c>
      <c r="F488" s="1569"/>
      <c r="G488" s="1569">
        <v>47.718568689450827</v>
      </c>
      <c r="H488" s="1569">
        <v>33.131009126882056</v>
      </c>
      <c r="I488" s="1569"/>
      <c r="J488" s="1075">
        <f t="shared" si="76"/>
        <v>155.83590004261274</v>
      </c>
    </row>
    <row r="489" spans="1:10" ht="15.75" x14ac:dyDescent="0.25">
      <c r="A489" s="1659" t="s">
        <v>766</v>
      </c>
      <c r="B489" s="1634" t="s">
        <v>1118</v>
      </c>
      <c r="C489" s="1569">
        <v>0</v>
      </c>
      <c r="D489" s="1569">
        <v>72.3361956430616</v>
      </c>
      <c r="E489" s="1569">
        <v>0</v>
      </c>
      <c r="F489" s="1569"/>
      <c r="G489" s="1569">
        <v>54.850956298877833</v>
      </c>
      <c r="H489" s="1569">
        <v>30.524916466065463</v>
      </c>
      <c r="I489" s="1569"/>
      <c r="J489" s="1075">
        <f t="shared" si="76"/>
        <v>157.71206840800488</v>
      </c>
    </row>
    <row r="490" spans="1:10" ht="15.75" x14ac:dyDescent="0.25">
      <c r="A490" s="1660" t="s">
        <v>113</v>
      </c>
      <c r="B490" s="1636" t="s">
        <v>1076</v>
      </c>
      <c r="C490" s="1569">
        <v>84.783843590765343</v>
      </c>
      <c r="D490" s="1569">
        <v>8.3121415285064053</v>
      </c>
      <c r="E490" s="1569">
        <v>0</v>
      </c>
      <c r="F490" s="1569"/>
      <c r="G490" s="1569">
        <v>54.860134088142281</v>
      </c>
      <c r="H490" s="1569">
        <v>11.803240970479097</v>
      </c>
      <c r="I490" s="1569"/>
      <c r="J490" s="1075">
        <f t="shared" si="76"/>
        <v>159.75936017789311</v>
      </c>
    </row>
    <row r="491" spans="1:10" ht="15.75" x14ac:dyDescent="0.25">
      <c r="A491" s="1660" t="s">
        <v>133</v>
      </c>
      <c r="B491" s="1636" t="s">
        <v>1116</v>
      </c>
      <c r="C491" s="1569">
        <v>55.899407127500162</v>
      </c>
      <c r="D491" s="1569">
        <v>44.389428192933309</v>
      </c>
      <c r="E491" s="1569">
        <v>12.07461941060221</v>
      </c>
      <c r="F491" s="1569"/>
      <c r="G491" s="1569">
        <v>43.911655482441851</v>
      </c>
      <c r="H491" s="1569">
        <v>6.211045236388907</v>
      </c>
      <c r="I491" s="1569"/>
      <c r="J491" s="1075">
        <f t="shared" si="76"/>
        <v>162.48615544986643</v>
      </c>
    </row>
    <row r="492" spans="1:10" ht="15.75" x14ac:dyDescent="0.25">
      <c r="A492" s="1659" t="s">
        <v>188</v>
      </c>
      <c r="B492" s="1634" t="s">
        <v>1118</v>
      </c>
      <c r="C492" s="1569">
        <v>0</v>
      </c>
      <c r="D492" s="1569">
        <v>76.647624522449377</v>
      </c>
      <c r="E492" s="1569">
        <v>0</v>
      </c>
      <c r="F492" s="1569"/>
      <c r="G492" s="1569">
        <v>55.809051605408449</v>
      </c>
      <c r="H492" s="1569">
        <v>31.789602270685876</v>
      </c>
      <c r="I492" s="1569"/>
      <c r="J492" s="1075">
        <f t="shared" si="76"/>
        <v>164.24627839854372</v>
      </c>
    </row>
    <row r="493" spans="1:10" ht="15.75" x14ac:dyDescent="0.25">
      <c r="A493" s="1665" t="s">
        <v>772</v>
      </c>
      <c r="B493" s="1634" t="s">
        <v>1118</v>
      </c>
      <c r="C493" s="1569">
        <v>0</v>
      </c>
      <c r="D493" s="1569">
        <v>92.216673253571898</v>
      </c>
      <c r="E493" s="1569">
        <v>0</v>
      </c>
      <c r="F493" s="1569"/>
      <c r="G493" s="1569">
        <v>41.437622007449193</v>
      </c>
      <c r="H493" s="1569">
        <v>32.07703086264506</v>
      </c>
      <c r="I493" s="1569"/>
      <c r="J493" s="1075">
        <f t="shared" si="76"/>
        <v>165.73132612366618</v>
      </c>
    </row>
    <row r="494" spans="1:10" ht="15.75" x14ac:dyDescent="0.25">
      <c r="A494" s="1665" t="s">
        <v>860</v>
      </c>
      <c r="B494" s="1634" t="s">
        <v>1118</v>
      </c>
      <c r="C494" s="1569">
        <v>0</v>
      </c>
      <c r="D494" s="1569">
        <v>109.94143642438831</v>
      </c>
      <c r="E494" s="1569">
        <v>0</v>
      </c>
      <c r="F494" s="1569"/>
      <c r="G494" s="1569">
        <v>24.431430316530736</v>
      </c>
      <c r="H494" s="1569">
        <v>32.249488017820568</v>
      </c>
      <c r="I494" s="1569"/>
      <c r="J494" s="1075">
        <f t="shared" si="76"/>
        <v>166.62235475873962</v>
      </c>
    </row>
    <row r="495" spans="1:10" ht="15.75" x14ac:dyDescent="0.25">
      <c r="A495" s="1664" t="s">
        <v>114</v>
      </c>
      <c r="B495" s="1636" t="s">
        <v>1076</v>
      </c>
      <c r="C495" s="1569">
        <v>80.794015657082269</v>
      </c>
      <c r="D495" s="1569">
        <v>4.1560707642532027</v>
      </c>
      <c r="E495" s="1569">
        <v>0</v>
      </c>
      <c r="F495" s="1569"/>
      <c r="G495" s="1569">
        <v>70.486960161734316</v>
      </c>
      <c r="H495" s="1569">
        <v>12.401715160531557</v>
      </c>
      <c r="I495" s="1569"/>
      <c r="J495" s="1075">
        <f t="shared" si="76"/>
        <v>167.83876174360134</v>
      </c>
    </row>
    <row r="496" spans="1:10" ht="15.75" x14ac:dyDescent="0.25">
      <c r="A496" s="1665" t="s">
        <v>765</v>
      </c>
      <c r="B496" s="1634" t="s">
        <v>1118</v>
      </c>
      <c r="C496" s="1569">
        <v>0</v>
      </c>
      <c r="D496" s="1569">
        <v>74.01286242949017</v>
      </c>
      <c r="E496" s="1569">
        <v>0</v>
      </c>
      <c r="F496" s="1569"/>
      <c r="G496" s="1569">
        <v>61.557623444592153</v>
      </c>
      <c r="H496" s="1569">
        <v>32.536916609779759</v>
      </c>
      <c r="I496" s="1569"/>
      <c r="J496" s="1075">
        <f t="shared" si="76"/>
        <v>168.10740248386207</v>
      </c>
    </row>
    <row r="497" spans="1:10" ht="15.75" x14ac:dyDescent="0.25">
      <c r="A497" s="1665" t="s">
        <v>716</v>
      </c>
      <c r="B497" s="1634" t="s">
        <v>1064</v>
      </c>
      <c r="C497" s="1569">
        <v>26.06032966317024</v>
      </c>
      <c r="D497" s="1569">
        <v>61.024605294590316</v>
      </c>
      <c r="E497" s="1569">
        <v>0</v>
      </c>
      <c r="F497" s="1569"/>
      <c r="G497" s="1569">
        <v>56.420613720763569</v>
      </c>
      <c r="H497" s="1569">
        <v>26.14719742871414</v>
      </c>
      <c r="I497" s="1569"/>
      <c r="J497" s="1075">
        <f t="shared" si="76"/>
        <v>169.65274610723827</v>
      </c>
    </row>
    <row r="498" spans="1:10" ht="15.75" x14ac:dyDescent="0.25">
      <c r="A498" s="1660" t="s">
        <v>131</v>
      </c>
      <c r="B498" s="1636" t="s">
        <v>1114</v>
      </c>
      <c r="C498" s="1569">
        <v>0</v>
      </c>
      <c r="D498" s="1569">
        <v>86.538680512855549</v>
      </c>
      <c r="E498" s="1569">
        <v>0</v>
      </c>
      <c r="F498" s="1569"/>
      <c r="G498" s="1569">
        <v>85.2734951252407</v>
      </c>
      <c r="H498" s="1569">
        <v>0</v>
      </c>
      <c r="I498" s="1569"/>
      <c r="J498" s="1075">
        <f t="shared" si="76"/>
        <v>171.81217563809625</v>
      </c>
    </row>
    <row r="499" spans="1:10" ht="15.75" x14ac:dyDescent="0.25">
      <c r="A499" s="1663" t="s">
        <v>730</v>
      </c>
      <c r="B499" s="1635" t="s">
        <v>1042</v>
      </c>
      <c r="C499" s="1569">
        <v>18.17506228998753</v>
      </c>
      <c r="D499" s="1569">
        <v>60.105829690257451</v>
      </c>
      <c r="E499" s="1569">
        <v>0</v>
      </c>
      <c r="F499" s="1569"/>
      <c r="G499" s="1569">
        <v>98.408054127734843</v>
      </c>
      <c r="H499" s="1569">
        <v>0</v>
      </c>
      <c r="I499" s="1569"/>
      <c r="J499" s="1075">
        <f t="shared" si="76"/>
        <v>176.6889461079798</v>
      </c>
    </row>
    <row r="500" spans="1:10" ht="15.75" x14ac:dyDescent="0.25">
      <c r="A500" s="1659" t="s">
        <v>190</v>
      </c>
      <c r="B500" s="1634" t="s">
        <v>1118</v>
      </c>
      <c r="C500" s="1569">
        <v>0</v>
      </c>
      <c r="D500" s="1569">
        <v>84.312386974694306</v>
      </c>
      <c r="E500" s="1569">
        <v>0</v>
      </c>
      <c r="F500" s="1569"/>
      <c r="G500" s="1569">
        <v>58.204289871734993</v>
      </c>
      <c r="H500" s="1569">
        <v>34.204002443143033</v>
      </c>
      <c r="I500" s="1569"/>
      <c r="J500" s="1075">
        <f t="shared" si="76"/>
        <v>176.72067928957233</v>
      </c>
    </row>
    <row r="501" spans="1:10" ht="15.75" x14ac:dyDescent="0.25">
      <c r="A501" s="1659" t="s">
        <v>597</v>
      </c>
      <c r="B501" s="1634" t="s">
        <v>1118</v>
      </c>
      <c r="C501" s="1569">
        <v>0</v>
      </c>
      <c r="D501" s="1569">
        <v>84.072863148061657</v>
      </c>
      <c r="E501" s="1569">
        <v>0</v>
      </c>
      <c r="F501" s="1569"/>
      <c r="G501" s="1569">
        <v>60.599528138061537</v>
      </c>
      <c r="H501" s="1569">
        <v>34.72137390866957</v>
      </c>
      <c r="I501" s="1569"/>
      <c r="J501" s="1075">
        <f t="shared" si="76"/>
        <v>179.39376519479276</v>
      </c>
    </row>
    <row r="502" spans="1:10" ht="15.75" x14ac:dyDescent="0.25">
      <c r="A502" s="1663" t="s">
        <v>492</v>
      </c>
      <c r="B502" s="1635" t="s">
        <v>1042</v>
      </c>
      <c r="C502" s="1569">
        <v>17.885341417764561</v>
      </c>
      <c r="D502" s="1569">
        <v>95.022820441129568</v>
      </c>
      <c r="E502" s="1569">
        <v>0</v>
      </c>
      <c r="F502" s="1569"/>
      <c r="G502" s="1569">
        <v>69.940868813826498</v>
      </c>
      <c r="H502" s="1569">
        <v>0</v>
      </c>
      <c r="I502" s="1569"/>
      <c r="J502" s="1075">
        <f t="shared" si="76"/>
        <v>182.84903067272063</v>
      </c>
    </row>
    <row r="503" spans="1:10" ht="15.75" x14ac:dyDescent="0.25">
      <c r="A503" s="1663" t="s">
        <v>729</v>
      </c>
      <c r="B503" s="1635" t="s">
        <v>1042</v>
      </c>
      <c r="C503" s="1569">
        <v>17.885341417764561</v>
      </c>
      <c r="D503" s="1569">
        <v>95.022820441129568</v>
      </c>
      <c r="E503" s="1569">
        <v>0</v>
      </c>
      <c r="F503" s="1569"/>
      <c r="G503" s="1569">
        <v>69.940868813826498</v>
      </c>
      <c r="H503" s="1569">
        <v>0</v>
      </c>
      <c r="I503" s="1569"/>
      <c r="J503" s="1075">
        <f t="shared" si="76"/>
        <v>182.84903067272063</v>
      </c>
    </row>
    <row r="504" spans="1:10" ht="15.75" x14ac:dyDescent="0.25">
      <c r="A504" s="1659" t="s">
        <v>520</v>
      </c>
      <c r="B504" s="1634" t="s">
        <v>1118</v>
      </c>
      <c r="C504" s="1569">
        <v>0</v>
      </c>
      <c r="D504" s="1569">
        <v>76.408100695816714</v>
      </c>
      <c r="E504" s="1569">
        <v>0</v>
      </c>
      <c r="F504" s="1569"/>
      <c r="G504" s="1569">
        <v>73.533814776224872</v>
      </c>
      <c r="H504" s="1569">
        <v>35.986059713289983</v>
      </c>
      <c r="I504" s="1569"/>
      <c r="J504" s="1075">
        <f t="shared" si="76"/>
        <v>185.92797518533158</v>
      </c>
    </row>
    <row r="505" spans="1:10" ht="15.75" x14ac:dyDescent="0.25">
      <c r="A505" s="1660" t="s">
        <v>135</v>
      </c>
      <c r="B505" s="1636" t="s">
        <v>1116</v>
      </c>
      <c r="C505" s="1569">
        <v>44.639173018872022</v>
      </c>
      <c r="D505" s="1569">
        <v>80.928182074836585</v>
      </c>
      <c r="E505" s="1569">
        <v>0</v>
      </c>
      <c r="F505" s="1569"/>
      <c r="G505" s="1569">
        <v>52.348687210893218</v>
      </c>
      <c r="H505" s="1569">
        <v>10.673876691206811</v>
      </c>
      <c r="I505" s="1569"/>
      <c r="J505" s="1075">
        <f t="shared" si="76"/>
        <v>188.58991899580863</v>
      </c>
    </row>
    <row r="506" spans="1:10" ht="15.75" x14ac:dyDescent="0.25">
      <c r="A506" s="1660" t="s">
        <v>104</v>
      </c>
      <c r="B506" s="1636" t="s">
        <v>1066</v>
      </c>
      <c r="C506" s="1569">
        <v>0</v>
      </c>
      <c r="D506" s="1569">
        <v>85.769479306753169</v>
      </c>
      <c r="E506" s="1569">
        <v>0</v>
      </c>
      <c r="F506" s="1569"/>
      <c r="G506" s="1569">
        <v>65.96937190898754</v>
      </c>
      <c r="H506" s="1569">
        <v>40.970488268720409</v>
      </c>
      <c r="I506" s="1569"/>
      <c r="J506" s="1075">
        <f t="shared" si="76"/>
        <v>192.70933948446111</v>
      </c>
    </row>
    <row r="507" spans="1:10" ht="15.75" x14ac:dyDescent="0.25">
      <c r="A507" s="1660" t="s">
        <v>152</v>
      </c>
      <c r="B507" s="1636" t="s">
        <v>1133</v>
      </c>
      <c r="C507" s="1569">
        <v>35.756943992008168</v>
      </c>
      <c r="D507" s="1569">
        <v>56.431472191456557</v>
      </c>
      <c r="E507" s="1569">
        <v>0</v>
      </c>
      <c r="F507" s="1569"/>
      <c r="G507" s="1569">
        <v>85.054400938171867</v>
      </c>
      <c r="H507" s="1569">
        <v>17.721024170955765</v>
      </c>
      <c r="I507" s="1569"/>
      <c r="J507" s="1075">
        <f t="shared" si="76"/>
        <v>194.96384129259235</v>
      </c>
    </row>
    <row r="508" spans="1:10" ht="15.75" x14ac:dyDescent="0.25">
      <c r="A508" s="1660" t="s">
        <v>118</v>
      </c>
      <c r="B508" s="1636" t="s">
        <v>1076</v>
      </c>
      <c r="C508" s="1569">
        <v>116.70246706022994</v>
      </c>
      <c r="D508" s="1569">
        <v>7.3146845450856368</v>
      </c>
      <c r="E508" s="1569">
        <v>0</v>
      </c>
      <c r="F508" s="1569"/>
      <c r="G508" s="1569">
        <v>59.514933344105863</v>
      </c>
      <c r="H508" s="1569">
        <v>14.529623391829197</v>
      </c>
      <c r="I508" s="1569"/>
      <c r="J508" s="1075">
        <f t="shared" si="76"/>
        <v>198.06170834125064</v>
      </c>
    </row>
    <row r="509" spans="1:10" ht="15.75" x14ac:dyDescent="0.25">
      <c r="A509" s="1660" t="s">
        <v>115</v>
      </c>
      <c r="B509" s="1636" t="s">
        <v>1076</v>
      </c>
      <c r="C509" s="1569">
        <v>84.783843590765343</v>
      </c>
      <c r="D509" s="1569">
        <v>13.565414974522454</v>
      </c>
      <c r="E509" s="1569">
        <v>0</v>
      </c>
      <c r="F509" s="1569"/>
      <c r="G509" s="1569">
        <v>86.180283367554409</v>
      </c>
      <c r="H509" s="1569">
        <v>14.662617656285299</v>
      </c>
      <c r="I509" s="1569"/>
      <c r="J509" s="1075">
        <f t="shared" si="76"/>
        <v>199.19215958912753</v>
      </c>
    </row>
    <row r="510" spans="1:10" ht="15.75" x14ac:dyDescent="0.25">
      <c r="A510" s="1660" t="s">
        <v>173</v>
      </c>
      <c r="B510" s="1636" t="s">
        <v>1151</v>
      </c>
      <c r="C510" s="1569">
        <v>0</v>
      </c>
      <c r="D510" s="1569">
        <v>100.65</v>
      </c>
      <c r="E510" s="1569">
        <v>0</v>
      </c>
      <c r="F510" s="1569"/>
      <c r="G510" s="1569">
        <v>100.65</v>
      </c>
      <c r="H510" s="1569">
        <v>0</v>
      </c>
      <c r="I510" s="1569"/>
      <c r="J510" s="1075">
        <f t="shared" si="76"/>
        <v>201.3</v>
      </c>
    </row>
    <row r="511" spans="1:10" ht="15.75" x14ac:dyDescent="0.25">
      <c r="A511" s="1665" t="s">
        <v>712</v>
      </c>
      <c r="B511" s="1634" t="s">
        <v>1064</v>
      </c>
      <c r="C511" s="1569">
        <v>86.324842009251412</v>
      </c>
      <c r="D511" s="1569">
        <v>24.61615306100289</v>
      </c>
      <c r="E511" s="1569">
        <v>19.686407366386518</v>
      </c>
      <c r="F511" s="1569"/>
      <c r="G511" s="1569">
        <v>36.538753881903268</v>
      </c>
      <c r="H511" s="1569">
        <v>35.995830347253893</v>
      </c>
      <c r="I511" s="1569"/>
      <c r="J511" s="1075">
        <f t="shared" si="76"/>
        <v>203.16198666579797</v>
      </c>
    </row>
    <row r="512" spans="1:10" ht="15.75" x14ac:dyDescent="0.25">
      <c r="A512" s="1660" t="s">
        <v>103</v>
      </c>
      <c r="B512" s="1636" t="s">
        <v>1066</v>
      </c>
      <c r="C512" s="1569">
        <v>4.2382076519995646</v>
      </c>
      <c r="D512" s="1569">
        <v>84.316576277391832</v>
      </c>
      <c r="E512" s="1569">
        <v>0</v>
      </c>
      <c r="F512" s="1569"/>
      <c r="G512" s="1569">
        <v>72.741552616934854</v>
      </c>
      <c r="H512" s="1569">
        <v>43.549219000928105</v>
      </c>
      <c r="I512" s="1569"/>
      <c r="J512" s="1075">
        <f t="shared" si="76"/>
        <v>204.84555554725435</v>
      </c>
    </row>
    <row r="513" spans="1:10" ht="15.75" x14ac:dyDescent="0.25">
      <c r="A513" s="1664" t="s">
        <v>153</v>
      </c>
      <c r="B513" s="1636" t="s">
        <v>1133</v>
      </c>
      <c r="C513" s="1569">
        <v>66.486416053163069</v>
      </c>
      <c r="D513" s="1569">
        <v>46.691423979846682</v>
      </c>
      <c r="E513" s="1569">
        <v>0</v>
      </c>
      <c r="F513" s="1569"/>
      <c r="G513" s="1569">
        <v>73.186092470736412</v>
      </c>
      <c r="H513" s="1569">
        <v>18.633135709166723</v>
      </c>
      <c r="I513" s="1569"/>
      <c r="J513" s="1075">
        <f t="shared" si="76"/>
        <v>204.99706821291289</v>
      </c>
    </row>
    <row r="514" spans="1:10" ht="15.75" x14ac:dyDescent="0.25">
      <c r="A514" s="1665" t="s">
        <v>516</v>
      </c>
      <c r="B514" s="1634" t="s">
        <v>1118</v>
      </c>
      <c r="C514" s="1569">
        <v>0</v>
      </c>
      <c r="D514" s="1569">
        <v>105.39048371836789</v>
      </c>
      <c r="E514" s="1569">
        <v>0</v>
      </c>
      <c r="F514" s="1569"/>
      <c r="G514" s="1569">
        <v>60.120480484796225</v>
      </c>
      <c r="H514" s="1569">
        <v>39.722631408759391</v>
      </c>
      <c r="I514" s="1569"/>
      <c r="J514" s="1075">
        <f t="shared" si="76"/>
        <v>205.2335956119235</v>
      </c>
    </row>
    <row r="515" spans="1:10" ht="15.75" x14ac:dyDescent="0.25">
      <c r="A515" s="1664" t="s">
        <v>116</v>
      </c>
      <c r="B515" s="1636" t="s">
        <v>1076</v>
      </c>
      <c r="C515" s="1569">
        <v>131.66432181154147</v>
      </c>
      <c r="D515" s="1569">
        <v>0</v>
      </c>
      <c r="E515" s="1569">
        <v>0</v>
      </c>
      <c r="F515" s="1569"/>
      <c r="G515" s="1569">
        <v>59.847419005246124</v>
      </c>
      <c r="H515" s="1569">
        <v>15.261091846337761</v>
      </c>
      <c r="I515" s="1569"/>
      <c r="J515" s="1075">
        <f t="shared" si="76"/>
        <v>206.77283266312537</v>
      </c>
    </row>
    <row r="516" spans="1:10" ht="15.75" x14ac:dyDescent="0.25">
      <c r="A516" s="1665" t="s">
        <v>513</v>
      </c>
      <c r="B516" s="1634" t="s">
        <v>1118</v>
      </c>
      <c r="C516" s="1569">
        <v>0</v>
      </c>
      <c r="D516" s="1569">
        <v>88.384292027449433</v>
      </c>
      <c r="E516" s="1569">
        <v>0</v>
      </c>
      <c r="F516" s="1569"/>
      <c r="G516" s="1569">
        <v>79.521910442041218</v>
      </c>
      <c r="H516" s="1569">
        <v>40.297488592677759</v>
      </c>
      <c r="I516" s="1569"/>
      <c r="J516" s="1075">
        <f t="shared" si="76"/>
        <v>208.20369106216842</v>
      </c>
    </row>
    <row r="517" spans="1:10" ht="15.75" x14ac:dyDescent="0.25">
      <c r="A517" s="1664" t="s">
        <v>139</v>
      </c>
      <c r="B517" s="1636" t="s">
        <v>1116</v>
      </c>
      <c r="C517" s="1569">
        <v>35.561491519534393</v>
      </c>
      <c r="D517" s="1569">
        <v>57.441309965904402</v>
      </c>
      <c r="E517" s="1569">
        <v>0</v>
      </c>
      <c r="F517" s="1569"/>
      <c r="G517" s="1569">
        <v>103.66581970595261</v>
      </c>
      <c r="H517" s="1569">
        <v>11.803157643277521</v>
      </c>
      <c r="I517" s="1569"/>
      <c r="J517" s="1075">
        <f t="shared" si="76"/>
        <v>208.47177883466895</v>
      </c>
    </row>
    <row r="518" spans="1:10" ht="15.75" x14ac:dyDescent="0.25">
      <c r="A518" s="1664" t="s">
        <v>102</v>
      </c>
      <c r="B518" s="1636" t="s">
        <v>1066</v>
      </c>
      <c r="C518" s="1569">
        <v>5.8529268955314864</v>
      </c>
      <c r="D518" s="1569">
        <v>59.35556451703696</v>
      </c>
      <c r="E518" s="1569">
        <v>0</v>
      </c>
      <c r="F518" s="1569"/>
      <c r="G518" s="1569">
        <v>103.3661318732599</v>
      </c>
      <c r="H518" s="1569">
        <v>45.515113858191917</v>
      </c>
      <c r="I518" s="1569"/>
      <c r="J518" s="1075">
        <f t="shared" si="76"/>
        <v>214.08973714402026</v>
      </c>
    </row>
    <row r="519" spans="1:10" ht="15.75" x14ac:dyDescent="0.25">
      <c r="A519" s="1666" t="s">
        <v>775</v>
      </c>
      <c r="B519" s="1633" t="s">
        <v>1088</v>
      </c>
      <c r="C519" s="1569">
        <v>64.064977088626833</v>
      </c>
      <c r="D519" s="1569">
        <v>155.69961126674917</v>
      </c>
      <c r="E519" s="1569">
        <v>0</v>
      </c>
      <c r="F519" s="1569"/>
      <c r="G519" s="1569">
        <v>0</v>
      </c>
      <c r="H519" s="1569">
        <v>0</v>
      </c>
      <c r="I519" s="1569"/>
      <c r="J519" s="1075">
        <f t="shared" si="76"/>
        <v>219.76458835537602</v>
      </c>
    </row>
    <row r="520" spans="1:10" ht="15.75" x14ac:dyDescent="0.25">
      <c r="A520" s="1665" t="s">
        <v>714</v>
      </c>
      <c r="B520" s="1634" t="s">
        <v>1064</v>
      </c>
      <c r="C520" s="1569">
        <v>52.989336981779488</v>
      </c>
      <c r="D520" s="1569">
        <v>43.433882771950401</v>
      </c>
      <c r="E520" s="1569">
        <v>34.747106217560322</v>
      </c>
      <c r="F520" s="1569"/>
      <c r="G520" s="1569">
        <v>57.549894672834277</v>
      </c>
      <c r="H520" s="1569">
        <v>39.057919082676392</v>
      </c>
      <c r="I520" s="1569"/>
      <c r="J520" s="1075">
        <f t="shared" si="76"/>
        <v>227.77813972680087</v>
      </c>
    </row>
    <row r="521" spans="1:10" ht="15.75" x14ac:dyDescent="0.25">
      <c r="A521" s="1664" t="s">
        <v>138</v>
      </c>
      <c r="B521" s="1636" t="s">
        <v>1116</v>
      </c>
      <c r="C521" s="1569">
        <v>50.752492019024046</v>
      </c>
      <c r="D521" s="1569">
        <v>70.93838903728799</v>
      </c>
      <c r="E521" s="1569">
        <v>0</v>
      </c>
      <c r="F521" s="1569"/>
      <c r="G521" s="1569">
        <v>93.990922318500665</v>
      </c>
      <c r="H521" s="1569">
        <v>12.943297066041218</v>
      </c>
      <c r="I521" s="1569"/>
      <c r="J521" s="1075">
        <f t="shared" si="76"/>
        <v>228.62510044085394</v>
      </c>
    </row>
    <row r="522" spans="1:10" ht="15.75" x14ac:dyDescent="0.25">
      <c r="A522" s="1664" t="s">
        <v>129</v>
      </c>
      <c r="B522" s="1636" t="s">
        <v>1114</v>
      </c>
      <c r="C522" s="1569">
        <v>0</v>
      </c>
      <c r="D522" s="1569">
        <v>108.5529062573539</v>
      </c>
      <c r="E522" s="1569">
        <v>0</v>
      </c>
      <c r="F522" s="1569"/>
      <c r="G522" s="1569">
        <v>126.7715758390077</v>
      </c>
      <c r="H522" s="1569">
        <v>0</v>
      </c>
      <c r="I522" s="1569"/>
      <c r="J522" s="1075">
        <f t="shared" si="76"/>
        <v>235.32448209636158</v>
      </c>
    </row>
    <row r="523" spans="1:10" ht="15.75" x14ac:dyDescent="0.25">
      <c r="A523" s="1664" t="s">
        <v>214</v>
      </c>
      <c r="B523" s="1636" t="s">
        <v>1133</v>
      </c>
      <c r="C523" s="1569">
        <v>50.339870132690514</v>
      </c>
      <c r="D523" s="1569">
        <v>44.411145134319284</v>
      </c>
      <c r="E523" s="1569">
        <v>0</v>
      </c>
      <c r="F523" s="1569"/>
      <c r="G523" s="1569">
        <v>123.80828284144461</v>
      </c>
      <c r="H523" s="1569">
        <v>21.858101504984038</v>
      </c>
      <c r="I523" s="1569"/>
      <c r="J523" s="1075">
        <f t="shared" si="76"/>
        <v>240.41739961343845</v>
      </c>
    </row>
    <row r="524" spans="1:10" ht="15.75" x14ac:dyDescent="0.25">
      <c r="A524" s="1664" t="s">
        <v>136</v>
      </c>
      <c r="B524" s="1636" t="s">
        <v>1116</v>
      </c>
      <c r="C524" s="1569">
        <v>40.328360153755945</v>
      </c>
      <c r="D524" s="1569">
        <v>85.467022824505392</v>
      </c>
      <c r="E524" s="1569">
        <v>0</v>
      </c>
      <c r="F524" s="1569"/>
      <c r="G524" s="1569">
        <v>106.81477620691902</v>
      </c>
      <c r="H524" s="1569">
        <v>7.8506743110300352</v>
      </c>
      <c r="I524" s="1569"/>
      <c r="J524" s="1075">
        <f t="shared" si="76"/>
        <v>240.4608334962104</v>
      </c>
    </row>
    <row r="525" spans="1:10" ht="15.75" x14ac:dyDescent="0.25">
      <c r="A525" s="1660" t="s">
        <v>137</v>
      </c>
      <c r="B525" s="1636" t="s">
        <v>1116</v>
      </c>
      <c r="C525" s="1569">
        <v>61.111473060134216</v>
      </c>
      <c r="D525" s="1569">
        <v>59.721588811431801</v>
      </c>
      <c r="E525" s="1569">
        <v>0</v>
      </c>
      <c r="F525" s="1569"/>
      <c r="G525" s="1569">
        <v>106.825634677612</v>
      </c>
      <c r="H525" s="1569">
        <v>13.659956131778401</v>
      </c>
      <c r="I525" s="1569"/>
      <c r="J525" s="1075">
        <f t="shared" si="76"/>
        <v>241.3186526809564</v>
      </c>
    </row>
    <row r="526" spans="1:10" ht="15.75" x14ac:dyDescent="0.25">
      <c r="A526" s="1659" t="s">
        <v>713</v>
      </c>
      <c r="B526" s="1634" t="s">
        <v>1064</v>
      </c>
      <c r="C526" s="1569">
        <v>55.378200534236761</v>
      </c>
      <c r="D526" s="1569">
        <v>92.2970008903946</v>
      </c>
      <c r="E526" s="1569">
        <v>0</v>
      </c>
      <c r="F526" s="1569"/>
      <c r="G526" s="1569">
        <v>63.793515321302145</v>
      </c>
      <c r="H526" s="1569">
        <v>39.405390144851999</v>
      </c>
      <c r="I526" s="1569"/>
      <c r="J526" s="1075">
        <f t="shared" si="76"/>
        <v>250.8741068907855</v>
      </c>
    </row>
    <row r="527" spans="1:10" ht="15.75" x14ac:dyDescent="0.25">
      <c r="A527" s="1660" t="s">
        <v>105</v>
      </c>
      <c r="B527" s="1636" t="s">
        <v>1066</v>
      </c>
      <c r="C527" s="1569">
        <v>0</v>
      </c>
      <c r="D527" s="1569">
        <v>117.05853791062974</v>
      </c>
      <c r="E527" s="1569">
        <v>0</v>
      </c>
      <c r="F527" s="1569"/>
      <c r="G527" s="1569">
        <v>86.76103398081969</v>
      </c>
      <c r="H527" s="1569">
        <v>55.031284410691342</v>
      </c>
      <c r="I527" s="1569"/>
      <c r="J527" s="1075">
        <f t="shared" si="76"/>
        <v>258.85085630214076</v>
      </c>
    </row>
    <row r="528" spans="1:10" ht="15.75" x14ac:dyDescent="0.25">
      <c r="A528" s="1663" t="s">
        <v>728</v>
      </c>
      <c r="B528" s="1635" t="s">
        <v>1042</v>
      </c>
      <c r="C528" s="1569">
        <v>15.456467891895299</v>
      </c>
      <c r="D528" s="1569">
        <v>199.94678136987906</v>
      </c>
      <c r="E528" s="1569">
        <v>0</v>
      </c>
      <c r="F528" s="1569"/>
      <c r="G528" s="1569">
        <v>45.539620595047296</v>
      </c>
      <c r="H528" s="1569">
        <v>0</v>
      </c>
      <c r="I528" s="1569"/>
      <c r="J528" s="1075">
        <f t="shared" si="76"/>
        <v>260.94286985682163</v>
      </c>
    </row>
    <row r="529" spans="1:10" ht="15.75" x14ac:dyDescent="0.25">
      <c r="A529" s="1660" t="s">
        <v>134</v>
      </c>
      <c r="B529" s="1636" t="s">
        <v>1116</v>
      </c>
      <c r="C529" s="1569">
        <v>53.032770864551445</v>
      </c>
      <c r="D529" s="1569">
        <v>77.084283449518963</v>
      </c>
      <c r="E529" s="1569">
        <v>0</v>
      </c>
      <c r="F529" s="1569"/>
      <c r="G529" s="1569">
        <v>126.11027862835799</v>
      </c>
      <c r="H529" s="1569">
        <v>8.4696071405303268</v>
      </c>
      <c r="I529" s="1569"/>
      <c r="J529" s="1075">
        <f t="shared" si="76"/>
        <v>264.69694008295875</v>
      </c>
    </row>
    <row r="530" spans="1:10" ht="15.75" x14ac:dyDescent="0.25">
      <c r="A530" s="1660" t="s">
        <v>151</v>
      </c>
      <c r="B530" s="1636" t="s">
        <v>1133</v>
      </c>
      <c r="C530" s="1569">
        <v>90.429343931200734</v>
      </c>
      <c r="D530" s="1569">
        <v>88.127348144287353</v>
      </c>
      <c r="E530" s="1569">
        <v>0</v>
      </c>
      <c r="F530" s="1569"/>
      <c r="G530" s="1569">
        <v>69.407344669576744</v>
      </c>
      <c r="H530" s="1569">
        <v>24.800747062783678</v>
      </c>
      <c r="I530" s="1569"/>
      <c r="J530" s="1075">
        <f t="shared" si="76"/>
        <v>272.76478380784852</v>
      </c>
    </row>
    <row r="531" spans="1:10" ht="15.75" x14ac:dyDescent="0.25">
      <c r="A531" s="1660" t="s">
        <v>128</v>
      </c>
      <c r="B531" s="1636" t="s">
        <v>1114</v>
      </c>
      <c r="C531" s="1569">
        <v>0</v>
      </c>
      <c r="D531" s="1569">
        <v>139.42342971515617</v>
      </c>
      <c r="E531" s="1569">
        <v>0</v>
      </c>
      <c r="F531" s="1569"/>
      <c r="G531" s="1569">
        <v>138.91735556011022</v>
      </c>
      <c r="H531" s="1569">
        <v>0</v>
      </c>
      <c r="I531" s="1569"/>
      <c r="J531" s="1075">
        <f t="shared" si="76"/>
        <v>278.3407852752664</v>
      </c>
    </row>
    <row r="532" spans="1:10" ht="15.75" x14ac:dyDescent="0.25">
      <c r="A532" s="1660" t="s">
        <v>132</v>
      </c>
      <c r="B532" s="1636" t="s">
        <v>1114</v>
      </c>
      <c r="C532" s="1569">
        <v>22.894794774278274</v>
      </c>
      <c r="D532" s="1569">
        <v>79.70667941973538</v>
      </c>
      <c r="E532" s="1569">
        <v>7.014187788936713</v>
      </c>
      <c r="F532" s="1569"/>
      <c r="G532" s="1569">
        <v>170.66844804769244</v>
      </c>
      <c r="H532" s="1569">
        <v>0</v>
      </c>
      <c r="I532" s="1569"/>
      <c r="J532" s="1075">
        <f t="shared" si="76"/>
        <v>280.28411003064281</v>
      </c>
    </row>
    <row r="533" spans="1:10" ht="15.75" x14ac:dyDescent="0.25">
      <c r="A533" s="1664" t="s">
        <v>117</v>
      </c>
      <c r="B533" s="1636" t="s">
        <v>1076</v>
      </c>
      <c r="C533" s="1569">
        <v>124.68212292759608</v>
      </c>
      <c r="D533" s="1569">
        <v>66.231143699139039</v>
      </c>
      <c r="E533" s="1569">
        <v>0</v>
      </c>
      <c r="F533" s="1569"/>
      <c r="G533" s="1569">
        <v>70.121225934480037</v>
      </c>
      <c r="H533" s="1569">
        <v>20.846850953494066</v>
      </c>
      <c r="I533" s="1569"/>
      <c r="J533" s="1075">
        <f t="shared" si="76"/>
        <v>281.88134351470927</v>
      </c>
    </row>
    <row r="534" spans="1:10" ht="15.75" x14ac:dyDescent="0.25">
      <c r="A534" s="1665" t="s">
        <v>715</v>
      </c>
      <c r="B534" s="1634" t="s">
        <v>1064</v>
      </c>
      <c r="C534" s="1569">
        <v>13.03016483158512</v>
      </c>
      <c r="D534" s="1569">
        <v>131.51779703346583</v>
      </c>
      <c r="E534" s="1569">
        <v>0</v>
      </c>
      <c r="F534" s="1569"/>
      <c r="G534" s="1569">
        <v>98.638347775099362</v>
      </c>
      <c r="H534" s="1569">
        <v>42.782374530371143</v>
      </c>
      <c r="I534" s="1569"/>
      <c r="J534" s="1075">
        <f t="shared" si="76"/>
        <v>285.96868417052144</v>
      </c>
    </row>
    <row r="535" spans="1:10" ht="15.75" x14ac:dyDescent="0.25">
      <c r="A535" s="1664" t="s">
        <v>154</v>
      </c>
      <c r="B535" s="1636" t="s">
        <v>1133</v>
      </c>
      <c r="C535" s="1569">
        <v>77.008274154668058</v>
      </c>
      <c r="D535" s="1569">
        <v>60.709709644493664</v>
      </c>
      <c r="E535" s="1569">
        <v>0</v>
      </c>
      <c r="F535" s="1569"/>
      <c r="G535" s="1569">
        <v>129.45468760179816</v>
      </c>
      <c r="H535" s="1569">
        <v>26.722696375442482</v>
      </c>
      <c r="I535" s="1569"/>
      <c r="J535" s="1075">
        <f t="shared" si="76"/>
        <v>293.89536777640234</v>
      </c>
    </row>
    <row r="536" spans="1:10" ht="15.75" x14ac:dyDescent="0.25">
      <c r="A536" s="1664" t="s">
        <v>172</v>
      </c>
      <c r="B536" s="1636" t="s">
        <v>1151</v>
      </c>
      <c r="C536" s="1569">
        <v>0</v>
      </c>
      <c r="D536" s="1569">
        <v>164.38</v>
      </c>
      <c r="E536" s="1569">
        <v>0</v>
      </c>
      <c r="F536" s="1569"/>
      <c r="G536" s="1569">
        <v>149.4</v>
      </c>
      <c r="H536" s="1569">
        <v>0</v>
      </c>
      <c r="I536" s="1569"/>
      <c r="J536" s="1075">
        <f t="shared" si="76"/>
        <v>313.77999999999997</v>
      </c>
    </row>
    <row r="537" spans="1:10" ht="15.75" x14ac:dyDescent="0.25">
      <c r="A537" s="1667" t="s">
        <v>722</v>
      </c>
      <c r="B537" s="1635" t="s">
        <v>1040</v>
      </c>
      <c r="C537" s="1569">
        <v>75.965211386149292</v>
      </c>
      <c r="D537" s="1569">
        <v>104.30829214954213</v>
      </c>
      <c r="E537" s="1569">
        <v>0</v>
      </c>
      <c r="F537" s="1569"/>
      <c r="G537" s="1569">
        <v>140.70828927207199</v>
      </c>
      <c r="H537" s="1569">
        <v>0</v>
      </c>
      <c r="I537" s="1569"/>
      <c r="J537" s="1075">
        <f t="shared" si="76"/>
        <v>320.98179280776344</v>
      </c>
    </row>
    <row r="538" spans="1:10" ht="15.75" x14ac:dyDescent="0.25">
      <c r="A538" s="1664" t="s">
        <v>631</v>
      </c>
      <c r="B538" s="1636" t="s">
        <v>1058</v>
      </c>
      <c r="C538" s="1569">
        <v>11.890025408821421</v>
      </c>
      <c r="D538" s="1569">
        <v>100.98377744478468</v>
      </c>
      <c r="E538" s="1569">
        <v>47.77727104914544</v>
      </c>
      <c r="F538" s="1569"/>
      <c r="G538" s="1569">
        <v>158.53367211761895</v>
      </c>
      <c r="H538" s="1569">
        <v>24.681303885160816</v>
      </c>
      <c r="I538" s="1569"/>
      <c r="J538" s="1075">
        <f t="shared" si="76"/>
        <v>343.86604990553133</v>
      </c>
    </row>
    <row r="539" spans="1:10" ht="15.75" x14ac:dyDescent="0.25">
      <c r="A539" s="1668" t="s">
        <v>212</v>
      </c>
      <c r="B539" s="1637" t="s">
        <v>1151</v>
      </c>
      <c r="C539" s="1569">
        <v>42</v>
      </c>
      <c r="D539" s="1569">
        <v>121.85</v>
      </c>
      <c r="E539" s="1569">
        <v>0</v>
      </c>
      <c r="F539" s="1569"/>
      <c r="G539" s="1569">
        <v>171.33</v>
      </c>
      <c r="H539" s="1569">
        <v>12.7</v>
      </c>
      <c r="I539" s="1569"/>
      <c r="J539" s="1075">
        <f t="shared" ref="J539:J602" si="77">C539+D539+E539+G539+H539</f>
        <v>347.88</v>
      </c>
    </row>
    <row r="540" spans="1:10" ht="15.75" x14ac:dyDescent="0.25">
      <c r="A540" s="1664" t="s">
        <v>130</v>
      </c>
      <c r="B540" s="1636" t="s">
        <v>1114</v>
      </c>
      <c r="C540" s="1569">
        <v>10.840108401084009</v>
      </c>
      <c r="D540" s="1569">
        <v>163.46195207983826</v>
      </c>
      <c r="E540" s="1569">
        <v>0</v>
      </c>
      <c r="F540" s="1569"/>
      <c r="G540" s="1569">
        <v>174.30206048092225</v>
      </c>
      <c r="H540" s="1569">
        <v>0</v>
      </c>
      <c r="I540" s="1569"/>
      <c r="J540" s="1075">
        <f t="shared" si="77"/>
        <v>348.6041209618445</v>
      </c>
    </row>
    <row r="541" spans="1:10" ht="15.75" x14ac:dyDescent="0.25">
      <c r="A541" s="1664" t="s">
        <v>630</v>
      </c>
      <c r="B541" s="1636" t="s">
        <v>1058</v>
      </c>
      <c r="C541" s="1569">
        <v>30.794622885312833</v>
      </c>
      <c r="D541" s="1569">
        <v>108.58470692987599</v>
      </c>
      <c r="E541" s="1569">
        <v>43.433882771950401</v>
      </c>
      <c r="F541" s="1569"/>
      <c r="G541" s="1569">
        <v>147.67520142463135</v>
      </c>
      <c r="H541" s="1569">
        <v>24.779030121397703</v>
      </c>
      <c r="I541" s="1569"/>
      <c r="J541" s="1075">
        <f t="shared" si="77"/>
        <v>355.26744413316828</v>
      </c>
    </row>
    <row r="542" spans="1:10" ht="15.75" x14ac:dyDescent="0.25">
      <c r="A542" s="1663" t="s">
        <v>549</v>
      </c>
      <c r="B542" s="1635" t="s">
        <v>1040</v>
      </c>
      <c r="C542" s="1569">
        <v>93.661652674968167</v>
      </c>
      <c r="D542" s="1569">
        <v>104.30829214954213</v>
      </c>
      <c r="E542" s="1569">
        <v>0</v>
      </c>
      <c r="F542" s="1569"/>
      <c r="G542" s="1569">
        <v>164.01579731100418</v>
      </c>
      <c r="H542" s="1569">
        <v>0</v>
      </c>
      <c r="I542" s="1569"/>
      <c r="J542" s="1075">
        <f t="shared" si="77"/>
        <v>361.98574213551444</v>
      </c>
    </row>
    <row r="543" spans="1:10" ht="15.75" x14ac:dyDescent="0.25">
      <c r="A543" s="1663" t="s">
        <v>552</v>
      </c>
      <c r="B543" s="1635" t="s">
        <v>1149</v>
      </c>
      <c r="C543" s="1569">
        <v>136.91002870276452</v>
      </c>
      <c r="D543" s="1569">
        <v>67.908295027012258</v>
      </c>
      <c r="E543" s="1569">
        <v>0</v>
      </c>
      <c r="F543" s="1569"/>
      <c r="G543" s="1569">
        <v>169.52615260662824</v>
      </c>
      <c r="H543" s="1569">
        <v>0</v>
      </c>
      <c r="I543" s="1569"/>
      <c r="J543" s="1075">
        <f t="shared" si="77"/>
        <v>374.34447633640502</v>
      </c>
    </row>
    <row r="544" spans="1:10" ht="15.75" x14ac:dyDescent="0.25">
      <c r="A544" s="1660" t="s">
        <v>86</v>
      </c>
      <c r="B544" s="1636" t="s">
        <v>1050</v>
      </c>
      <c r="C544" s="1569">
        <v>52.12065932634048</v>
      </c>
      <c r="D544" s="1569">
        <v>91.862662062675085</v>
      </c>
      <c r="E544" s="1569">
        <v>0</v>
      </c>
      <c r="F544" s="1569"/>
      <c r="G544" s="1569">
        <v>225.85619041414208</v>
      </c>
      <c r="H544" s="1569">
        <v>7.1991660694507784</v>
      </c>
      <c r="I544" s="1569"/>
      <c r="J544" s="1075">
        <f t="shared" si="77"/>
        <v>377.03867787260839</v>
      </c>
    </row>
    <row r="545" spans="1:10" ht="15.75" x14ac:dyDescent="0.25">
      <c r="A545" s="1660" t="s">
        <v>101</v>
      </c>
      <c r="B545" s="1636" t="s">
        <v>1058</v>
      </c>
      <c r="C545" s="1569">
        <v>22.824505396659934</v>
      </c>
      <c r="D545" s="1569">
        <v>107.49885986057724</v>
      </c>
      <c r="E545" s="1569">
        <v>53.206506395639238</v>
      </c>
      <c r="F545" s="1569"/>
      <c r="G545" s="1569">
        <v>169.39214281060657</v>
      </c>
      <c r="H545" s="1569">
        <v>26.950724259995223</v>
      </c>
      <c r="I545" s="1569"/>
      <c r="J545" s="1075">
        <f t="shared" si="77"/>
        <v>379.87273872347822</v>
      </c>
    </row>
    <row r="546" spans="1:10" ht="15.75" x14ac:dyDescent="0.25">
      <c r="A546" s="1660" t="s">
        <v>634</v>
      </c>
      <c r="B546" s="1636" t="s">
        <v>1058</v>
      </c>
      <c r="C546" s="1569">
        <v>10.315547158338219</v>
      </c>
      <c r="D546" s="1569">
        <v>154.19028384042392</v>
      </c>
      <c r="E546" s="1569">
        <v>36.918800356157838</v>
      </c>
      <c r="F546" s="1569"/>
      <c r="G546" s="1569">
        <v>152.56151323647578</v>
      </c>
      <c r="H546" s="1569">
        <v>26.32093295980194</v>
      </c>
      <c r="I546" s="1569"/>
      <c r="J546" s="1075">
        <f t="shared" si="77"/>
        <v>380.30707755119766</v>
      </c>
    </row>
    <row r="547" spans="1:10" ht="15.75" x14ac:dyDescent="0.25">
      <c r="A547" s="1660" t="s">
        <v>100</v>
      </c>
      <c r="B547" s="1636" t="s">
        <v>1058</v>
      </c>
      <c r="C547" s="1569">
        <v>66.193237344452413</v>
      </c>
      <c r="D547" s="1569">
        <v>128.12995417725367</v>
      </c>
      <c r="E547" s="1569">
        <v>38.004647425456596</v>
      </c>
      <c r="F547" s="1569"/>
      <c r="G547" s="1569">
        <v>123.39566095511108</v>
      </c>
      <c r="H547" s="1569">
        <v>25.148218124959282</v>
      </c>
      <c r="I547" s="1569"/>
      <c r="J547" s="1075">
        <f t="shared" si="77"/>
        <v>380.87171802723299</v>
      </c>
    </row>
    <row r="548" spans="1:10" ht="15.75" x14ac:dyDescent="0.25">
      <c r="A548" s="1660" t="s">
        <v>97</v>
      </c>
      <c r="B548" s="1636" t="s">
        <v>1058</v>
      </c>
      <c r="C548" s="1569">
        <v>59.623862575194906</v>
      </c>
      <c r="D548" s="1569">
        <v>116.18563641496732</v>
      </c>
      <c r="E548" s="1569">
        <v>43.433882771950401</v>
      </c>
      <c r="F548" s="1569"/>
      <c r="G548" s="1569">
        <v>144.96058375138449</v>
      </c>
      <c r="H548" s="1569">
        <v>26.472951549503772</v>
      </c>
      <c r="I548" s="1569"/>
      <c r="J548" s="1075">
        <f t="shared" si="77"/>
        <v>390.67691706300087</v>
      </c>
    </row>
    <row r="549" spans="1:10" ht="15.75" x14ac:dyDescent="0.25">
      <c r="A549" s="1660" t="s">
        <v>126</v>
      </c>
      <c r="B549" s="1636" t="s">
        <v>1112</v>
      </c>
      <c r="C549" s="1569">
        <v>35.438980621423653</v>
      </c>
      <c r="D549" s="1569">
        <v>112.52440662280057</v>
      </c>
      <c r="E549" s="1569">
        <v>0</v>
      </c>
      <c r="F549" s="1569"/>
      <c r="G549" s="1569">
        <v>168.84304143200569</v>
      </c>
      <c r="H549" s="1569">
        <v>79.201607169057482</v>
      </c>
      <c r="I549" s="1569"/>
      <c r="J549" s="1075">
        <f t="shared" si="77"/>
        <v>396.0080358452874</v>
      </c>
    </row>
    <row r="550" spans="1:10" ht="15.75" x14ac:dyDescent="0.25">
      <c r="A550" s="1660" t="s">
        <v>174</v>
      </c>
      <c r="B550" s="1636" t="s">
        <v>1151</v>
      </c>
      <c r="C550" s="1569">
        <v>105.48</v>
      </c>
      <c r="D550" s="1569">
        <v>68.680000000000007</v>
      </c>
      <c r="E550" s="1569">
        <v>0</v>
      </c>
      <c r="F550" s="1569"/>
      <c r="G550" s="1569">
        <v>223.82</v>
      </c>
      <c r="H550" s="1569">
        <v>0</v>
      </c>
      <c r="I550" s="1569"/>
      <c r="J550" s="1075">
        <f t="shared" si="77"/>
        <v>397.98</v>
      </c>
    </row>
    <row r="551" spans="1:10" ht="15.75" x14ac:dyDescent="0.25">
      <c r="A551" s="1660" t="s">
        <v>125</v>
      </c>
      <c r="B551" s="1636" t="s">
        <v>1112</v>
      </c>
      <c r="C551" s="1569">
        <v>138.70862160423462</v>
      </c>
      <c r="D551" s="1569">
        <v>0</v>
      </c>
      <c r="E551" s="1569">
        <v>0</v>
      </c>
      <c r="F551" s="1569"/>
      <c r="G551" s="1569">
        <v>180.4679299797975</v>
      </c>
      <c r="H551" s="1569">
        <v>79.794137896008024</v>
      </c>
      <c r="I551" s="1569"/>
      <c r="J551" s="1075">
        <f t="shared" si="77"/>
        <v>398.97068948004016</v>
      </c>
    </row>
    <row r="552" spans="1:10" ht="15.75" x14ac:dyDescent="0.25">
      <c r="A552" s="1660" t="s">
        <v>127</v>
      </c>
      <c r="B552" s="1636" t="s">
        <v>1112</v>
      </c>
      <c r="C552" s="1569">
        <v>33.858898682888842</v>
      </c>
      <c r="D552" s="1569">
        <v>93.224834373553932</v>
      </c>
      <c r="E552" s="1569">
        <v>20.8345089895376</v>
      </c>
      <c r="F552" s="1569"/>
      <c r="G552" s="1569">
        <v>174.50876381160907</v>
      </c>
      <c r="H552" s="1569">
        <v>80.606751464397362</v>
      </c>
      <c r="I552" s="1569"/>
      <c r="J552" s="1075">
        <f t="shared" si="77"/>
        <v>403.0337573219868</v>
      </c>
    </row>
    <row r="553" spans="1:10" ht="15.75" x14ac:dyDescent="0.25">
      <c r="A553" s="1660" t="s">
        <v>204</v>
      </c>
      <c r="B553" s="1636" t="s">
        <v>1121</v>
      </c>
      <c r="C553" s="1569">
        <v>0</v>
      </c>
      <c r="D553" s="1569">
        <v>0</v>
      </c>
      <c r="E553" s="1569">
        <v>186.83958440792867</v>
      </c>
      <c r="F553" s="1569"/>
      <c r="G553" s="1569">
        <v>216.81526785056371</v>
      </c>
      <c r="H553" s="1569">
        <v>0</v>
      </c>
      <c r="I553" s="1569"/>
      <c r="J553" s="1075">
        <f t="shared" si="77"/>
        <v>403.65485225849238</v>
      </c>
    </row>
    <row r="554" spans="1:10" ht="15.75" x14ac:dyDescent="0.25">
      <c r="A554" s="1660" t="s">
        <v>99</v>
      </c>
      <c r="B554" s="1636" t="s">
        <v>1058</v>
      </c>
      <c r="C554" s="1569">
        <v>19.990444545790172</v>
      </c>
      <c r="D554" s="1569">
        <v>121.61487176146113</v>
      </c>
      <c r="E554" s="1569">
        <v>48.863118118444199</v>
      </c>
      <c r="F554" s="1569"/>
      <c r="G554" s="1569">
        <v>186.9394314504745</v>
      </c>
      <c r="H554" s="1569">
        <v>29.209286164136643</v>
      </c>
      <c r="I554" s="1569"/>
      <c r="J554" s="1075">
        <f t="shared" si="77"/>
        <v>406.61715204030668</v>
      </c>
    </row>
    <row r="555" spans="1:10" ht="15.75" x14ac:dyDescent="0.25">
      <c r="A555" s="1663" t="s">
        <v>68</v>
      </c>
      <c r="B555" s="1635" t="s">
        <v>1032</v>
      </c>
      <c r="C555" s="1569">
        <v>25.84316024931049</v>
      </c>
      <c r="D555" s="1569">
        <v>203.36829760896475</v>
      </c>
      <c r="E555" s="1569">
        <v>0</v>
      </c>
      <c r="F555" s="1569"/>
      <c r="G555" s="1569">
        <v>157.58898516732904</v>
      </c>
      <c r="H555" s="1569">
        <v>23.204551870914504</v>
      </c>
      <c r="I555" s="1569"/>
      <c r="J555" s="1075">
        <f t="shared" si="77"/>
        <v>410.00499489651878</v>
      </c>
    </row>
    <row r="556" spans="1:10" ht="15.75" x14ac:dyDescent="0.25">
      <c r="A556" s="1660" t="s">
        <v>632</v>
      </c>
      <c r="B556" s="1636" t="s">
        <v>1058</v>
      </c>
      <c r="C556" s="1569">
        <v>45.76845397094273</v>
      </c>
      <c r="D556" s="1569">
        <v>160.70536625621648</v>
      </c>
      <c r="E556" s="1569">
        <v>49.948965187742957</v>
      </c>
      <c r="F556" s="1569"/>
      <c r="G556" s="1569">
        <v>140.7909310052772</v>
      </c>
      <c r="H556" s="1569">
        <v>28.101722153451909</v>
      </c>
      <c r="I556" s="1569"/>
      <c r="J556" s="1075">
        <f t="shared" si="77"/>
        <v>425.3154385736313</v>
      </c>
    </row>
    <row r="557" spans="1:10" ht="15.75" x14ac:dyDescent="0.25">
      <c r="A557" s="1664" t="s">
        <v>167</v>
      </c>
      <c r="B557" s="1636" t="s">
        <v>1149</v>
      </c>
      <c r="C557" s="1569">
        <v>31.31677842458183</v>
      </c>
      <c r="D557" s="1569">
        <v>186.11745634072656</v>
      </c>
      <c r="E557" s="1569">
        <v>0</v>
      </c>
      <c r="F557" s="1569"/>
      <c r="G557" s="1569">
        <v>217.49318399528408</v>
      </c>
      <c r="H557" s="1569">
        <v>0</v>
      </c>
      <c r="I557" s="1569"/>
      <c r="J557" s="1075">
        <f t="shared" si="77"/>
        <v>434.92741876059245</v>
      </c>
    </row>
    <row r="558" spans="1:10" ht="15.75" x14ac:dyDescent="0.25">
      <c r="A558" s="1663" t="s">
        <v>71</v>
      </c>
      <c r="B558" s="1635" t="s">
        <v>1032</v>
      </c>
      <c r="C558" s="1569">
        <v>73.663865181227877</v>
      </c>
      <c r="D558" s="1569">
        <v>97.650226942037492</v>
      </c>
      <c r="E558" s="1569">
        <v>0</v>
      </c>
      <c r="F558" s="1569"/>
      <c r="G558" s="1569">
        <v>249.00644993159165</v>
      </c>
      <c r="H558" s="1569">
        <v>25.224227419810195</v>
      </c>
      <c r="I558" s="1569"/>
      <c r="J558" s="1075">
        <f t="shared" si="77"/>
        <v>445.54476947466719</v>
      </c>
    </row>
    <row r="559" spans="1:10" ht="15.75" x14ac:dyDescent="0.25">
      <c r="A559" s="1664" t="s">
        <v>1348</v>
      </c>
      <c r="B559" s="1636" t="s">
        <v>1050</v>
      </c>
      <c r="C559" s="1569">
        <v>71.665906573718161</v>
      </c>
      <c r="D559" s="1569">
        <v>97.726236236888397</v>
      </c>
      <c r="E559" s="1569">
        <v>0</v>
      </c>
      <c r="F559" s="1569"/>
      <c r="G559" s="1569">
        <v>274.77360088605121</v>
      </c>
      <c r="H559" s="1569">
        <v>8.4696071405303268</v>
      </c>
      <c r="I559" s="1569"/>
      <c r="J559" s="1075">
        <f t="shared" si="77"/>
        <v>452.63535083718813</v>
      </c>
    </row>
    <row r="560" spans="1:10" ht="15.75" x14ac:dyDescent="0.25">
      <c r="A560" s="1664" t="s">
        <v>85</v>
      </c>
      <c r="B560" s="1636" t="s">
        <v>1050</v>
      </c>
      <c r="C560" s="1569">
        <v>71.665906573718161</v>
      </c>
      <c r="D560" s="1569">
        <v>102.06962451408344</v>
      </c>
      <c r="E560" s="1569">
        <v>0</v>
      </c>
      <c r="F560" s="1569"/>
      <c r="G560" s="1569">
        <v>271.46176732469002</v>
      </c>
      <c r="H560" s="1569">
        <v>8.6867765543900806</v>
      </c>
      <c r="I560" s="1569"/>
      <c r="J560" s="1075">
        <f t="shared" si="77"/>
        <v>453.88407496688166</v>
      </c>
    </row>
    <row r="561" spans="1:10" ht="15.75" x14ac:dyDescent="0.25">
      <c r="A561" s="1664" t="s">
        <v>91</v>
      </c>
      <c r="B561" s="1636" t="s">
        <v>1056</v>
      </c>
      <c r="C561" s="1569">
        <v>41.902838404239155</v>
      </c>
      <c r="D561" s="1569">
        <v>117.27148348426608</v>
      </c>
      <c r="E561" s="1569">
        <v>0</v>
      </c>
      <c r="F561" s="1569"/>
      <c r="G561" s="1569">
        <v>208.36319412773906</v>
      </c>
      <c r="H561" s="1569">
        <v>88.214215909831253</v>
      </c>
      <c r="I561" s="1569"/>
      <c r="J561" s="1075">
        <f t="shared" si="77"/>
        <v>455.75173192607554</v>
      </c>
    </row>
    <row r="562" spans="1:10" ht="15.75" x14ac:dyDescent="0.25">
      <c r="A562" s="1664" t="s">
        <v>92</v>
      </c>
      <c r="B562" s="1636" t="s">
        <v>1056</v>
      </c>
      <c r="C562" s="1569">
        <v>41.902838404239155</v>
      </c>
      <c r="D562" s="1569">
        <v>117.27148348426608</v>
      </c>
      <c r="E562" s="1569">
        <v>0</v>
      </c>
      <c r="F562" s="1569"/>
      <c r="G562" s="1569">
        <v>208.36319412773906</v>
      </c>
      <c r="H562" s="1569">
        <v>88.214215909831253</v>
      </c>
      <c r="I562" s="1569"/>
      <c r="J562" s="1075">
        <f t="shared" si="77"/>
        <v>455.75173192607554</v>
      </c>
    </row>
    <row r="563" spans="1:10" ht="15.75" x14ac:dyDescent="0.25">
      <c r="A563" s="1664" t="s">
        <v>195</v>
      </c>
      <c r="B563" s="1636" t="s">
        <v>1056</v>
      </c>
      <c r="C563" s="1569">
        <v>41.902838404239155</v>
      </c>
      <c r="D563" s="1569">
        <v>117.27148348426608</v>
      </c>
      <c r="E563" s="1569">
        <v>0</v>
      </c>
      <c r="F563" s="1569"/>
      <c r="G563" s="1569">
        <v>208.36319412773906</v>
      </c>
      <c r="H563" s="1569">
        <v>88.214215909831253</v>
      </c>
      <c r="I563" s="1569"/>
      <c r="J563" s="1075">
        <f t="shared" si="77"/>
        <v>455.75173192607554</v>
      </c>
    </row>
    <row r="564" spans="1:10" ht="15.75" x14ac:dyDescent="0.25">
      <c r="A564" s="1664" t="s">
        <v>1347</v>
      </c>
      <c r="B564" s="1636" t="s">
        <v>1050</v>
      </c>
      <c r="C564" s="1569">
        <v>45.605576910547917</v>
      </c>
      <c r="D564" s="1569">
        <v>104.24131865268096</v>
      </c>
      <c r="E564" s="1569">
        <v>0</v>
      </c>
      <c r="F564" s="1569"/>
      <c r="G564" s="1569">
        <v>304.16748105196865</v>
      </c>
      <c r="H564" s="1569">
        <v>7.4923447781614438</v>
      </c>
      <c r="I564" s="1569"/>
      <c r="J564" s="1075">
        <f t="shared" si="77"/>
        <v>461.50672139335899</v>
      </c>
    </row>
    <row r="565" spans="1:10" ht="15.75" x14ac:dyDescent="0.25">
      <c r="A565" s="1664" t="s">
        <v>162</v>
      </c>
      <c r="B565" s="1636" t="s">
        <v>1137</v>
      </c>
      <c r="C565" s="1569">
        <v>135.79630554168747</v>
      </c>
      <c r="D565" s="1569">
        <v>191.71243135297053</v>
      </c>
      <c r="E565" s="1569">
        <v>0</v>
      </c>
      <c r="F565" s="1569"/>
      <c r="G565" s="1569">
        <v>119.82026959560659</v>
      </c>
      <c r="H565" s="1569">
        <v>17.773339990014978</v>
      </c>
      <c r="I565" s="1569"/>
      <c r="J565" s="1075">
        <f t="shared" si="77"/>
        <v>465.10234648027955</v>
      </c>
    </row>
    <row r="566" spans="1:10" ht="15.75" x14ac:dyDescent="0.25">
      <c r="A566" s="1664" t="s">
        <v>635</v>
      </c>
      <c r="B566" s="1636" t="s">
        <v>1058</v>
      </c>
      <c r="C566" s="1569">
        <v>6.667101005494386</v>
      </c>
      <c r="D566" s="1569">
        <v>143.33181314743632</v>
      </c>
      <c r="E566" s="1569">
        <v>41.262188633352878</v>
      </c>
      <c r="F566" s="1569"/>
      <c r="G566" s="1569">
        <v>244.20700588529112</v>
      </c>
      <c r="H566" s="1569">
        <v>34.88826633656916</v>
      </c>
      <c r="I566" s="1569"/>
      <c r="J566" s="1075">
        <f t="shared" si="77"/>
        <v>470.3563750081438</v>
      </c>
    </row>
    <row r="567" spans="1:10" ht="15.75" x14ac:dyDescent="0.25">
      <c r="A567" s="1664" t="s">
        <v>205</v>
      </c>
      <c r="B567" s="1636" t="s">
        <v>1121</v>
      </c>
      <c r="C567" s="1569">
        <v>0</v>
      </c>
      <c r="D567" s="1569">
        <v>0</v>
      </c>
      <c r="E567" s="1569">
        <v>217.97951514258344</v>
      </c>
      <c r="F567" s="1569"/>
      <c r="G567" s="1569">
        <v>252.95114582565765</v>
      </c>
      <c r="H567" s="1569">
        <v>0</v>
      </c>
      <c r="I567" s="1569"/>
      <c r="J567" s="1075">
        <f t="shared" si="77"/>
        <v>470.93066096824111</v>
      </c>
    </row>
    <row r="568" spans="1:10" ht="15.75" x14ac:dyDescent="0.25">
      <c r="A568" s="1665" t="s">
        <v>186</v>
      </c>
      <c r="B568" s="1634" t="s">
        <v>1106</v>
      </c>
      <c r="C568" s="1569">
        <v>76.487067561404658</v>
      </c>
      <c r="D568" s="1569">
        <v>50.111842248137769</v>
      </c>
      <c r="E568" s="1569">
        <v>0</v>
      </c>
      <c r="F568" s="1569"/>
      <c r="G568" s="1569">
        <v>339.11003974200275</v>
      </c>
      <c r="H568" s="1569">
        <v>9.7617651529958529</v>
      </c>
      <c r="I568" s="1569"/>
      <c r="J568" s="1075">
        <f t="shared" si="77"/>
        <v>475.47071470454102</v>
      </c>
    </row>
    <row r="569" spans="1:10" ht="15.75" x14ac:dyDescent="0.25">
      <c r="A569" s="1664" t="s">
        <v>161</v>
      </c>
      <c r="B569" s="1636" t="s">
        <v>1137</v>
      </c>
      <c r="C569" s="1569">
        <v>69.895157264103844</v>
      </c>
      <c r="D569" s="1569">
        <v>145.78132800798801</v>
      </c>
      <c r="E569" s="1569">
        <v>0</v>
      </c>
      <c r="F569" s="1569"/>
      <c r="G569" s="1569">
        <v>239.64053919121318</v>
      </c>
      <c r="H569" s="1569">
        <v>24.563155267099351</v>
      </c>
      <c r="I569" s="1569"/>
      <c r="J569" s="1075">
        <f t="shared" si="77"/>
        <v>479.88017973040439</v>
      </c>
    </row>
    <row r="570" spans="1:10" ht="15.75" x14ac:dyDescent="0.25">
      <c r="A570" s="1664" t="s">
        <v>98</v>
      </c>
      <c r="B570" s="1636" t="s">
        <v>1058</v>
      </c>
      <c r="C570" s="1569">
        <v>0</v>
      </c>
      <c r="D570" s="1569">
        <v>160.70536625621648</v>
      </c>
      <c r="E570" s="1569">
        <v>52.12065932634048</v>
      </c>
      <c r="F570" s="1569"/>
      <c r="G570" s="1569">
        <v>245.40143766151974</v>
      </c>
      <c r="H570" s="1569">
        <v>36.180424349034681</v>
      </c>
      <c r="I570" s="1569"/>
      <c r="J570" s="1075">
        <f t="shared" si="77"/>
        <v>494.40788759311141</v>
      </c>
    </row>
    <row r="571" spans="1:10" ht="15.75" x14ac:dyDescent="0.25">
      <c r="A571" s="1664" t="s">
        <v>93</v>
      </c>
      <c r="B571" s="1636" t="s">
        <v>1056</v>
      </c>
      <c r="C571" s="1569">
        <v>45.540426086389992</v>
      </c>
      <c r="D571" s="1569">
        <v>133.55918952374748</v>
      </c>
      <c r="E571" s="1569">
        <v>0</v>
      </c>
      <c r="F571" s="1569"/>
      <c r="G571" s="1569">
        <v>227.96273372858167</v>
      </c>
      <c r="H571" s="1569">
        <v>97.693660824809442</v>
      </c>
      <c r="I571" s="1569"/>
      <c r="J571" s="1075">
        <f t="shared" si="77"/>
        <v>504.75601016352863</v>
      </c>
    </row>
    <row r="572" spans="1:10" ht="15.75" x14ac:dyDescent="0.25">
      <c r="A572" s="1667" t="s">
        <v>70</v>
      </c>
      <c r="B572" s="1635" t="s">
        <v>1032</v>
      </c>
      <c r="C572" s="1569">
        <v>57.75620561600104</v>
      </c>
      <c r="D572" s="1569">
        <v>107.22739809325255</v>
      </c>
      <c r="E572" s="1569">
        <v>0</v>
      </c>
      <c r="F572" s="1569"/>
      <c r="G572" s="1569">
        <v>315.01509327426322</v>
      </c>
      <c r="H572" s="1569">
        <v>28.796664277803114</v>
      </c>
      <c r="I572" s="1569"/>
      <c r="J572" s="1075">
        <f t="shared" si="77"/>
        <v>508.79536126131995</v>
      </c>
    </row>
    <row r="573" spans="1:10" ht="15.75" x14ac:dyDescent="0.25">
      <c r="A573" s="1664" t="s">
        <v>165</v>
      </c>
      <c r="B573" s="1636" t="s">
        <v>1149</v>
      </c>
      <c r="C573" s="1569">
        <v>43.504531722054381</v>
      </c>
      <c r="D573" s="1569">
        <v>218.68690590229164</v>
      </c>
      <c r="E573" s="1569">
        <v>0</v>
      </c>
      <c r="F573" s="1569"/>
      <c r="G573" s="1569">
        <v>247.33623167047384</v>
      </c>
      <c r="H573" s="1569">
        <v>0</v>
      </c>
      <c r="I573" s="1569"/>
      <c r="J573" s="1075">
        <f t="shared" si="77"/>
        <v>509.52766929481982</v>
      </c>
    </row>
    <row r="574" spans="1:10" ht="15.75" x14ac:dyDescent="0.25">
      <c r="A574" s="1660" t="s">
        <v>160</v>
      </c>
      <c r="B574" s="1636" t="s">
        <v>1137</v>
      </c>
      <c r="C574" s="1569">
        <v>197.70344483275088</v>
      </c>
      <c r="D574" s="1569">
        <v>128.80678981527709</v>
      </c>
      <c r="E574" s="1569">
        <v>0</v>
      </c>
      <c r="F574" s="1569"/>
      <c r="G574" s="1569">
        <v>165.50174737893158</v>
      </c>
      <c r="H574" s="1569">
        <v>21.407888167748379</v>
      </c>
      <c r="I574" s="1569"/>
      <c r="J574" s="1075">
        <f t="shared" si="77"/>
        <v>513.41987019470798</v>
      </c>
    </row>
    <row r="575" spans="1:10" ht="15.75" x14ac:dyDescent="0.25">
      <c r="A575" s="1660" t="s">
        <v>169</v>
      </c>
      <c r="B575" s="1636" t="s">
        <v>1149</v>
      </c>
      <c r="C575" s="1569">
        <v>32.996831478888808</v>
      </c>
      <c r="D575" s="1569">
        <v>186.57431287303808</v>
      </c>
      <c r="E575" s="1569">
        <v>0</v>
      </c>
      <c r="F575" s="1569"/>
      <c r="G575" s="1569">
        <v>298.94628251418465</v>
      </c>
      <c r="H575" s="1569">
        <v>0</v>
      </c>
      <c r="I575" s="1569"/>
      <c r="J575" s="1075">
        <f t="shared" si="77"/>
        <v>518.51742686611146</v>
      </c>
    </row>
    <row r="576" spans="1:10" ht="15.75" x14ac:dyDescent="0.25">
      <c r="A576" s="1663" t="s">
        <v>548</v>
      </c>
      <c r="B576" s="1635" t="s">
        <v>1040</v>
      </c>
      <c r="C576" s="1569">
        <v>136.39208407967715</v>
      </c>
      <c r="D576" s="1569">
        <v>127.31366582500665</v>
      </c>
      <c r="E576" s="1569">
        <v>0</v>
      </c>
      <c r="F576" s="1569"/>
      <c r="G576" s="1569">
        <v>257.1738927135263</v>
      </c>
      <c r="H576" s="1569">
        <v>0</v>
      </c>
      <c r="I576" s="1569"/>
      <c r="J576" s="1075">
        <f t="shared" si="77"/>
        <v>520.87964261821003</v>
      </c>
    </row>
    <row r="577" spans="1:10" ht="15.75" x14ac:dyDescent="0.25">
      <c r="A577" s="1660" t="s">
        <v>170</v>
      </c>
      <c r="B577" s="1636" t="s">
        <v>1151</v>
      </c>
      <c r="C577" s="1569">
        <v>178.85</v>
      </c>
      <c r="D577" s="1569">
        <v>134.55000000000001</v>
      </c>
      <c r="E577" s="1569">
        <v>0</v>
      </c>
      <c r="F577" s="1569"/>
      <c r="G577" s="1569">
        <v>213.93</v>
      </c>
      <c r="H577" s="1569">
        <v>0</v>
      </c>
      <c r="I577" s="1569"/>
      <c r="J577" s="1075">
        <f t="shared" si="77"/>
        <v>527.32999999999993</v>
      </c>
    </row>
    <row r="578" spans="1:10" ht="15.75" x14ac:dyDescent="0.25">
      <c r="A578" s="1660" t="s">
        <v>206</v>
      </c>
      <c r="B578" s="1636" t="s">
        <v>1121</v>
      </c>
      <c r="C578" s="1569">
        <v>0</v>
      </c>
      <c r="D578" s="1569">
        <v>0</v>
      </c>
      <c r="E578" s="1569">
        <v>249.11944587723823</v>
      </c>
      <c r="F578" s="1569"/>
      <c r="G578" s="1569">
        <v>289.08702380075158</v>
      </c>
      <c r="H578" s="1569">
        <v>0</v>
      </c>
      <c r="I578" s="1569"/>
      <c r="J578" s="1075">
        <f t="shared" si="77"/>
        <v>538.20646967798984</v>
      </c>
    </row>
    <row r="579" spans="1:10" ht="15.75" x14ac:dyDescent="0.25">
      <c r="A579" s="1663" t="s">
        <v>67</v>
      </c>
      <c r="B579" s="1635" t="s">
        <v>1032</v>
      </c>
      <c r="C579" s="1569">
        <v>57.75620561600104</v>
      </c>
      <c r="D579" s="1569">
        <v>138.4455013355919</v>
      </c>
      <c r="E579" s="1569">
        <v>0</v>
      </c>
      <c r="F579" s="1569"/>
      <c r="G579" s="1569">
        <v>315.01509327426322</v>
      </c>
      <c r="H579" s="1569">
        <v>30.675179707689971</v>
      </c>
      <c r="I579" s="1569"/>
      <c r="J579" s="1075">
        <f t="shared" si="77"/>
        <v>541.89197993354617</v>
      </c>
    </row>
    <row r="580" spans="1:10" ht="15.75" x14ac:dyDescent="0.25">
      <c r="A580" s="1660" t="s">
        <v>633</v>
      </c>
      <c r="B580" s="1636" t="s">
        <v>1058</v>
      </c>
      <c r="C580" s="1569">
        <v>32.977175494603344</v>
      </c>
      <c r="D580" s="1569">
        <v>163.96290746411276</v>
      </c>
      <c r="E580" s="1569">
        <v>56.464047603535519</v>
      </c>
      <c r="F580" s="1569"/>
      <c r="G580" s="1569">
        <v>250.83067300801355</v>
      </c>
      <c r="H580" s="1569">
        <v>39.047060611983412</v>
      </c>
      <c r="I580" s="1569"/>
      <c r="J580" s="1075">
        <f t="shared" si="77"/>
        <v>543.28186418224857</v>
      </c>
    </row>
    <row r="581" spans="1:10" ht="15.75" x14ac:dyDescent="0.25">
      <c r="A581" s="1660" t="s">
        <v>603</v>
      </c>
      <c r="B581" s="1636" t="s">
        <v>1137</v>
      </c>
      <c r="C581" s="1569">
        <v>107.83824263604592</v>
      </c>
      <c r="D581" s="1569">
        <v>119.82026959560659</v>
      </c>
      <c r="E581" s="1569">
        <v>0</v>
      </c>
      <c r="F581" s="1569"/>
      <c r="G581" s="1569">
        <v>291.18322516225658</v>
      </c>
      <c r="H581" s="1569">
        <v>28.986520219670492</v>
      </c>
      <c r="I581" s="1569"/>
      <c r="J581" s="1075">
        <f t="shared" si="77"/>
        <v>547.82825761357958</v>
      </c>
    </row>
    <row r="582" spans="1:10" ht="15.75" x14ac:dyDescent="0.25">
      <c r="A582" s="1663" t="s">
        <v>69</v>
      </c>
      <c r="B582" s="1635" t="s">
        <v>1032</v>
      </c>
      <c r="C582" s="1569">
        <v>57.75620561600104</v>
      </c>
      <c r="D582" s="1569">
        <v>145.91612917236736</v>
      </c>
      <c r="E582" s="1569">
        <v>0</v>
      </c>
      <c r="F582" s="1569"/>
      <c r="G582" s="1569">
        <v>315.01509327426322</v>
      </c>
      <c r="H582" s="1569">
        <v>31.120377006102462</v>
      </c>
      <c r="I582" s="1569"/>
      <c r="J582" s="1075">
        <f t="shared" si="77"/>
        <v>549.80780506873407</v>
      </c>
    </row>
    <row r="583" spans="1:10" ht="15.75" x14ac:dyDescent="0.25">
      <c r="A583" s="1660" t="s">
        <v>94</v>
      </c>
      <c r="B583" s="1636" t="s">
        <v>1056</v>
      </c>
      <c r="C583" s="1569">
        <v>83.523356570460621</v>
      </c>
      <c r="D583" s="1569">
        <v>118.35733055356484</v>
      </c>
      <c r="E583" s="1569">
        <v>0</v>
      </c>
      <c r="F583" s="1569"/>
      <c r="G583" s="1569">
        <v>257.25888765826221</v>
      </c>
      <c r="H583" s="1569">
        <v>110.19176059243817</v>
      </c>
      <c r="I583" s="1569"/>
      <c r="J583" s="1075">
        <f t="shared" si="77"/>
        <v>569.33133537472588</v>
      </c>
    </row>
    <row r="584" spans="1:10" ht="15.75" x14ac:dyDescent="0.25">
      <c r="A584" s="1659" t="s">
        <v>182</v>
      </c>
      <c r="B584" s="1634" t="s">
        <v>1106</v>
      </c>
      <c r="C584" s="1569">
        <v>45.76845397094273</v>
      </c>
      <c r="D584" s="1569">
        <v>134.64503659304623</v>
      </c>
      <c r="E584" s="1569">
        <v>0</v>
      </c>
      <c r="F584" s="1569"/>
      <c r="G584" s="1569">
        <v>377.11468716745929</v>
      </c>
      <c r="H584" s="1569">
        <v>12.997589419506157</v>
      </c>
      <c r="I584" s="1569"/>
      <c r="J584" s="1075">
        <f t="shared" si="77"/>
        <v>570.52576715095449</v>
      </c>
    </row>
    <row r="585" spans="1:10" ht="15.75" x14ac:dyDescent="0.25">
      <c r="A585" s="1667" t="s">
        <v>629</v>
      </c>
      <c r="B585" s="1635" t="s">
        <v>1032</v>
      </c>
      <c r="C585" s="1569">
        <v>113.74248050904511</v>
      </c>
      <c r="D585" s="1569">
        <v>241.81814233283384</v>
      </c>
      <c r="E585" s="1569">
        <v>0</v>
      </c>
      <c r="F585" s="1569"/>
      <c r="G585" s="1569">
        <v>190.83762242925707</v>
      </c>
      <c r="H585" s="1569">
        <v>32.781723022129569</v>
      </c>
      <c r="I585" s="1569"/>
      <c r="J585" s="1075">
        <f t="shared" si="77"/>
        <v>579.17996829326557</v>
      </c>
    </row>
    <row r="586" spans="1:10" ht="15.75" x14ac:dyDescent="0.25">
      <c r="A586" s="1667" t="s">
        <v>72</v>
      </c>
      <c r="B586" s="1635" t="s">
        <v>1032</v>
      </c>
      <c r="C586" s="1569">
        <v>114.1008100419137</v>
      </c>
      <c r="D586" s="1569">
        <v>243.34918670054512</v>
      </c>
      <c r="E586" s="1569">
        <v>0</v>
      </c>
      <c r="F586" s="1569"/>
      <c r="G586" s="1569">
        <v>190.83762242925707</v>
      </c>
      <c r="H586" s="1569">
        <v>32.901166199752431</v>
      </c>
      <c r="I586" s="1569"/>
      <c r="J586" s="1075">
        <f t="shared" si="77"/>
        <v>581.18878537146838</v>
      </c>
    </row>
    <row r="587" spans="1:10" ht="15.75" x14ac:dyDescent="0.25">
      <c r="A587" s="1665" t="s">
        <v>185</v>
      </c>
      <c r="B587" s="1634" t="s">
        <v>1106</v>
      </c>
      <c r="C587" s="1569">
        <v>48.863118118444199</v>
      </c>
      <c r="D587" s="1569">
        <v>73.837600712315677</v>
      </c>
      <c r="E587" s="1569">
        <v>0</v>
      </c>
      <c r="F587" s="1569"/>
      <c r="G587" s="1569">
        <v>466.15414684995761</v>
      </c>
      <c r="H587" s="1569">
        <v>9.5337372684431116</v>
      </c>
      <c r="I587" s="1569"/>
      <c r="J587" s="1075">
        <f t="shared" si="77"/>
        <v>598.3886029491606</v>
      </c>
    </row>
    <row r="588" spans="1:10" ht="15.75" x14ac:dyDescent="0.25">
      <c r="A588" s="1664" t="s">
        <v>207</v>
      </c>
      <c r="B588" s="1636" t="s">
        <v>1121</v>
      </c>
      <c r="C588" s="1569">
        <v>0</v>
      </c>
      <c r="D588" s="1569">
        <v>0</v>
      </c>
      <c r="E588" s="1569">
        <v>280.259376611893</v>
      </c>
      <c r="F588" s="1569"/>
      <c r="G588" s="1569">
        <v>325.22290177584557</v>
      </c>
      <c r="H588" s="1569">
        <v>0</v>
      </c>
      <c r="I588" s="1569"/>
      <c r="J588" s="1075">
        <f t="shared" si="77"/>
        <v>605.48227838773857</v>
      </c>
    </row>
    <row r="589" spans="1:10" ht="15.75" x14ac:dyDescent="0.25">
      <c r="A589" s="1660" t="s">
        <v>166</v>
      </c>
      <c r="B589" s="1636" t="s">
        <v>1149</v>
      </c>
      <c r="C589" s="1569">
        <v>50.696337779087763</v>
      </c>
      <c r="D589" s="1569">
        <v>192.74924471299093</v>
      </c>
      <c r="E589" s="1569">
        <v>0</v>
      </c>
      <c r="F589" s="1569"/>
      <c r="G589" s="1569">
        <v>364.79257239702309</v>
      </c>
      <c r="H589" s="1569">
        <v>0</v>
      </c>
      <c r="I589" s="1569"/>
      <c r="J589" s="1075">
        <f t="shared" si="77"/>
        <v>608.23815488910179</v>
      </c>
    </row>
    <row r="590" spans="1:10" ht="15.75" x14ac:dyDescent="0.25">
      <c r="A590" s="1660" t="s">
        <v>95</v>
      </c>
      <c r="B590" s="1636" t="s">
        <v>1056</v>
      </c>
      <c r="C590" s="1569">
        <v>117.27148348426608</v>
      </c>
      <c r="D590" s="1569">
        <v>137.90257780094251</v>
      </c>
      <c r="E590" s="1569">
        <v>0</v>
      </c>
      <c r="F590" s="1569"/>
      <c r="G590" s="1569">
        <v>236.71466110712967</v>
      </c>
      <c r="H590" s="1569">
        <v>118.05329337416119</v>
      </c>
      <c r="I590" s="1569"/>
      <c r="J590" s="1075">
        <f t="shared" si="77"/>
        <v>609.94201576649948</v>
      </c>
    </row>
    <row r="591" spans="1:10" ht="15.75" x14ac:dyDescent="0.25">
      <c r="A591" s="1660" t="s">
        <v>88</v>
      </c>
      <c r="B591" s="1636" t="s">
        <v>1054</v>
      </c>
      <c r="C591" s="1569">
        <v>55.872831108362739</v>
      </c>
      <c r="D591" s="1569">
        <v>126.15037648685025</v>
      </c>
      <c r="E591" s="1569">
        <v>95.012913317085591</v>
      </c>
      <c r="F591" s="1569"/>
      <c r="G591" s="1569">
        <v>215.2268014986723</v>
      </c>
      <c r="H591" s="1569">
        <v>123.0657306027427</v>
      </c>
      <c r="I591" s="1569"/>
      <c r="J591" s="1075">
        <f t="shared" si="77"/>
        <v>615.32865301371362</v>
      </c>
    </row>
    <row r="592" spans="1:10" ht="15.75" x14ac:dyDescent="0.25">
      <c r="A592" s="1660" t="s">
        <v>168</v>
      </c>
      <c r="B592" s="1636" t="s">
        <v>1149</v>
      </c>
      <c r="C592" s="1569">
        <v>51.271092771350673</v>
      </c>
      <c r="D592" s="1569">
        <v>257.90288114361505</v>
      </c>
      <c r="E592" s="1569">
        <v>0</v>
      </c>
      <c r="F592" s="1569"/>
      <c r="G592" s="1569">
        <v>318.9742833984231</v>
      </c>
      <c r="H592" s="1569">
        <v>0</v>
      </c>
      <c r="I592" s="1569"/>
      <c r="J592" s="1075">
        <f t="shared" si="77"/>
        <v>628.14825731338874</v>
      </c>
    </row>
    <row r="593" spans="1:10" ht="15.75" x14ac:dyDescent="0.25">
      <c r="A593" s="1663" t="s">
        <v>723</v>
      </c>
      <c r="B593" s="1635" t="s">
        <v>1040</v>
      </c>
      <c r="C593" s="1569">
        <v>408.60075821337881</v>
      </c>
      <c r="D593" s="1569">
        <v>0</v>
      </c>
      <c r="E593" s="1569">
        <v>0</v>
      </c>
      <c r="F593" s="1569"/>
      <c r="G593" s="1569">
        <v>225.88140506866364</v>
      </c>
      <c r="H593" s="1569">
        <v>0</v>
      </c>
      <c r="I593" s="1569"/>
      <c r="J593" s="1075">
        <f t="shared" si="77"/>
        <v>634.48216328204239</v>
      </c>
    </row>
    <row r="594" spans="1:10" ht="15.75" x14ac:dyDescent="0.25">
      <c r="A594" s="1664" t="s">
        <v>171</v>
      </c>
      <c r="B594" s="1636" t="s">
        <v>1151</v>
      </c>
      <c r="C594" s="1569">
        <v>46.32</v>
      </c>
      <c r="D594" s="1569">
        <v>108.79</v>
      </c>
      <c r="E594" s="1569">
        <v>75.599999999999994</v>
      </c>
      <c r="F594" s="1569"/>
      <c r="G594" s="1569">
        <v>435.74</v>
      </c>
      <c r="H594" s="1569">
        <v>0</v>
      </c>
      <c r="I594" s="1569"/>
      <c r="J594" s="1075">
        <f t="shared" si="77"/>
        <v>666.45</v>
      </c>
    </row>
    <row r="595" spans="1:10" ht="15.75" x14ac:dyDescent="0.25">
      <c r="A595" s="1665" t="s">
        <v>184</v>
      </c>
      <c r="B595" s="1634" t="s">
        <v>1106</v>
      </c>
      <c r="C595" s="1569">
        <v>66.432123699698138</v>
      </c>
      <c r="D595" s="1569">
        <v>115.09978934566855</v>
      </c>
      <c r="E595" s="1569">
        <v>20.30534019588681</v>
      </c>
      <c r="F595" s="1569"/>
      <c r="G595" s="1569">
        <v>457.4673702955676</v>
      </c>
      <c r="H595" s="1569">
        <v>13.062740243664082</v>
      </c>
      <c r="I595" s="1569"/>
      <c r="J595" s="1075">
        <f t="shared" si="77"/>
        <v>672.36736378048511</v>
      </c>
    </row>
    <row r="596" spans="1:10" ht="15.75" x14ac:dyDescent="0.25">
      <c r="A596" s="1664" t="s">
        <v>163</v>
      </c>
      <c r="B596" s="1636" t="s">
        <v>1137</v>
      </c>
      <c r="C596" s="1569">
        <v>4.8227658512231653</v>
      </c>
      <c r="D596" s="1569">
        <v>259.61058412381425</v>
      </c>
      <c r="E596" s="1569">
        <v>0</v>
      </c>
      <c r="F596" s="1569"/>
      <c r="G596" s="1569">
        <v>377.76335496754865</v>
      </c>
      <c r="H596" s="1569">
        <v>36.834747878182725</v>
      </c>
      <c r="I596" s="1569"/>
      <c r="J596" s="1075">
        <f t="shared" si="77"/>
        <v>679.03145282076878</v>
      </c>
    </row>
    <row r="597" spans="1:10" ht="15.75" x14ac:dyDescent="0.25">
      <c r="A597" s="1664" t="s">
        <v>208</v>
      </c>
      <c r="B597" s="1636" t="s">
        <v>1121</v>
      </c>
      <c r="C597" s="1569">
        <v>0</v>
      </c>
      <c r="D597" s="1569">
        <v>0</v>
      </c>
      <c r="E597" s="1569">
        <v>342.5392380812026</v>
      </c>
      <c r="F597" s="1569"/>
      <c r="G597" s="1569">
        <v>397.49465772603349</v>
      </c>
      <c r="H597" s="1569">
        <v>0</v>
      </c>
      <c r="I597" s="1569"/>
      <c r="J597" s="1075">
        <f t="shared" si="77"/>
        <v>740.03389580723615</v>
      </c>
    </row>
    <row r="598" spans="1:10" ht="15.75" x14ac:dyDescent="0.25">
      <c r="A598" s="1665" t="s">
        <v>183</v>
      </c>
      <c r="B598" s="1634" t="s">
        <v>1106</v>
      </c>
      <c r="C598" s="1569">
        <v>64.890220861293898</v>
      </c>
      <c r="D598" s="1569">
        <v>99.246422133906663</v>
      </c>
      <c r="E598" s="1569">
        <v>9.1754077355745203</v>
      </c>
      <c r="F598" s="1569"/>
      <c r="G598" s="1569">
        <v>623.60197189827795</v>
      </c>
      <c r="H598" s="1569">
        <v>12.020327057137273</v>
      </c>
      <c r="I598" s="1569"/>
      <c r="J598" s="1075">
        <f t="shared" si="77"/>
        <v>808.93434968619033</v>
      </c>
    </row>
    <row r="599" spans="1:10" ht="15.75" x14ac:dyDescent="0.25">
      <c r="A599" s="1664" t="s">
        <v>87</v>
      </c>
      <c r="B599" s="1636" t="s">
        <v>1054</v>
      </c>
      <c r="C599" s="1569">
        <v>141.87043032265103</v>
      </c>
      <c r="D599" s="1569">
        <v>63.991851878796702</v>
      </c>
      <c r="E599" s="1569">
        <v>95.012913317085591</v>
      </c>
      <c r="F599" s="1569"/>
      <c r="G599" s="1569">
        <v>380.63366192572119</v>
      </c>
      <c r="H599" s="1569">
        <v>170.37721436106364</v>
      </c>
      <c r="I599" s="1569"/>
      <c r="J599" s="1075">
        <f t="shared" si="77"/>
        <v>851.88607180531812</v>
      </c>
    </row>
    <row r="600" spans="1:10" ht="15.75" x14ac:dyDescent="0.25">
      <c r="A600" s="1664" t="s">
        <v>89</v>
      </c>
      <c r="B600" s="1636" t="s">
        <v>1054</v>
      </c>
      <c r="C600" s="1569">
        <v>96.32243279618784</v>
      </c>
      <c r="D600" s="1569">
        <v>70.626750572914773</v>
      </c>
      <c r="E600" s="1569">
        <v>95.012913317085591</v>
      </c>
      <c r="F600" s="1569"/>
      <c r="G600" s="1569">
        <v>425.5996507948056</v>
      </c>
      <c r="H600" s="1569">
        <v>171.89043687024844</v>
      </c>
      <c r="I600" s="1569"/>
      <c r="J600" s="1075">
        <f t="shared" si="77"/>
        <v>859.45218435124218</v>
      </c>
    </row>
    <row r="601" spans="1:10" ht="15.75" x14ac:dyDescent="0.25">
      <c r="A601" s="1660" t="s">
        <v>209</v>
      </c>
      <c r="B601" s="1636" t="s">
        <v>1121</v>
      </c>
      <c r="C601" s="1569">
        <v>0</v>
      </c>
      <c r="D601" s="1569">
        <v>0</v>
      </c>
      <c r="E601" s="1569">
        <v>404.81909955051214</v>
      </c>
      <c r="F601" s="1569"/>
      <c r="G601" s="1569">
        <v>469.76641367622136</v>
      </c>
      <c r="H601" s="1569">
        <v>0</v>
      </c>
      <c r="I601" s="1569"/>
      <c r="J601" s="1075">
        <f t="shared" si="77"/>
        <v>874.5855132267335</v>
      </c>
    </row>
    <row r="602" spans="1:10" ht="15.75" x14ac:dyDescent="0.25">
      <c r="A602" s="1660" t="s">
        <v>213</v>
      </c>
      <c r="B602" s="1636" t="s">
        <v>1054</v>
      </c>
      <c r="C602" s="1569">
        <v>80.026190389582041</v>
      </c>
      <c r="D602" s="1569">
        <v>155.83281801316795</v>
      </c>
      <c r="E602" s="1569">
        <v>95.012913317085591</v>
      </c>
      <c r="F602" s="1569"/>
      <c r="G602" s="1569">
        <v>434.64406533047179</v>
      </c>
      <c r="H602" s="1569">
        <v>191.37899676257683</v>
      </c>
      <c r="I602" s="1569"/>
      <c r="J602" s="1075">
        <f t="shared" si="77"/>
        <v>956.89498381288422</v>
      </c>
    </row>
    <row r="603" spans="1:10" ht="15.75" x14ac:dyDescent="0.25">
      <c r="A603" s="1660" t="s">
        <v>90</v>
      </c>
      <c r="B603" s="1636" t="s">
        <v>1054</v>
      </c>
      <c r="C603" s="1569">
        <v>69.841038885453429</v>
      </c>
      <c r="D603" s="1569">
        <v>127.31439380160781</v>
      </c>
      <c r="E603" s="1569">
        <v>95.012913317085591</v>
      </c>
      <c r="F603" s="1569"/>
      <c r="G603" s="1569">
        <v>500.58564621148741</v>
      </c>
      <c r="H603" s="1569">
        <v>198.18849805390855</v>
      </c>
      <c r="I603" s="1569"/>
      <c r="J603" s="1075">
        <f t="shared" ref="J603:J605" si="78">C603+D603+E603+G603+H603</f>
        <v>990.94249026954287</v>
      </c>
    </row>
    <row r="604" spans="1:10" ht="15.75" x14ac:dyDescent="0.25">
      <c r="A604" s="1660" t="s">
        <v>210</v>
      </c>
      <c r="B604" s="1636" t="s">
        <v>1121</v>
      </c>
      <c r="C604" s="1569">
        <v>0</v>
      </c>
      <c r="D604" s="1569">
        <v>0</v>
      </c>
      <c r="E604" s="1569">
        <v>467.09896101982167</v>
      </c>
      <c r="F604" s="1569"/>
      <c r="G604" s="1569">
        <v>542.03816962640929</v>
      </c>
      <c r="H604" s="1569">
        <v>0</v>
      </c>
      <c r="I604" s="1569"/>
      <c r="J604" s="1075">
        <f t="shared" si="78"/>
        <v>1009.137130646231</v>
      </c>
    </row>
    <row r="605" spans="1:10" ht="16.5" thickBot="1" x14ac:dyDescent="0.3">
      <c r="A605" s="1669" t="s">
        <v>211</v>
      </c>
      <c r="B605" s="1636" t="s">
        <v>1121</v>
      </c>
      <c r="C605" s="1569">
        <v>0</v>
      </c>
      <c r="D605" s="1569">
        <v>0</v>
      </c>
      <c r="E605" s="1569">
        <v>560.51875322378601</v>
      </c>
      <c r="F605" s="1569"/>
      <c r="G605" s="1569">
        <v>650.44580355169114</v>
      </c>
      <c r="H605" s="1569">
        <v>0</v>
      </c>
      <c r="I605" s="1569"/>
      <c r="J605" s="1075">
        <f t="shared" si="78"/>
        <v>1210.9645567754771</v>
      </c>
    </row>
  </sheetData>
  <mergeCells count="418">
    <mergeCell ref="R4:Z4"/>
    <mergeCell ref="A8:A11"/>
    <mergeCell ref="D8:D11"/>
    <mergeCell ref="R8:R11"/>
    <mergeCell ref="S8:S11"/>
    <mergeCell ref="T8:T11"/>
    <mergeCell ref="U8:U11"/>
    <mergeCell ref="V8:V11"/>
    <mergeCell ref="W8:W11"/>
    <mergeCell ref="X8:X11"/>
    <mergeCell ref="Y8:Y11"/>
    <mergeCell ref="Z8:Z11"/>
    <mergeCell ref="Y12:Y20"/>
    <mergeCell ref="Z12:Z20"/>
    <mergeCell ref="A21:A25"/>
    <mergeCell ref="D21:D25"/>
    <mergeCell ref="R21:R25"/>
    <mergeCell ref="S21:S25"/>
    <mergeCell ref="T21:T25"/>
    <mergeCell ref="U21:U25"/>
    <mergeCell ref="V21:V25"/>
    <mergeCell ref="A12:A20"/>
    <mergeCell ref="D12:D20"/>
    <mergeCell ref="R12:R20"/>
    <mergeCell ref="S12:S20"/>
    <mergeCell ref="T12:T20"/>
    <mergeCell ref="U12:U20"/>
    <mergeCell ref="V12:V20"/>
    <mergeCell ref="W12:W20"/>
    <mergeCell ref="X12:X20"/>
    <mergeCell ref="A34:A36"/>
    <mergeCell ref="D34:D36"/>
    <mergeCell ref="R34:R36"/>
    <mergeCell ref="S34:S36"/>
    <mergeCell ref="T34:T36"/>
    <mergeCell ref="W21:W25"/>
    <mergeCell ref="X21:X25"/>
    <mergeCell ref="Y21:Y25"/>
    <mergeCell ref="Z21:Z25"/>
    <mergeCell ref="A26:A33"/>
    <mergeCell ref="D26:D33"/>
    <mergeCell ref="R26:R33"/>
    <mergeCell ref="S26:S33"/>
    <mergeCell ref="T26:T33"/>
    <mergeCell ref="U26:U33"/>
    <mergeCell ref="U34:U36"/>
    <mergeCell ref="V34:V36"/>
    <mergeCell ref="W34:W36"/>
    <mergeCell ref="X34:X36"/>
    <mergeCell ref="Y34:Y36"/>
    <mergeCell ref="Z34:Z36"/>
    <mergeCell ref="V26:V33"/>
    <mergeCell ref="W26:W33"/>
    <mergeCell ref="X26:X33"/>
    <mergeCell ref="Y26:Y33"/>
    <mergeCell ref="Z26:Z33"/>
    <mergeCell ref="A42:A46"/>
    <mergeCell ref="D42:D46"/>
    <mergeCell ref="R42:R46"/>
    <mergeCell ref="S42:S46"/>
    <mergeCell ref="T42:T46"/>
    <mergeCell ref="A37:A41"/>
    <mergeCell ref="D37:D41"/>
    <mergeCell ref="R37:R41"/>
    <mergeCell ref="S37:S41"/>
    <mergeCell ref="T37:T41"/>
    <mergeCell ref="U42:U46"/>
    <mergeCell ref="V42:V46"/>
    <mergeCell ref="W42:W46"/>
    <mergeCell ref="X42:X46"/>
    <mergeCell ref="Y42:Y46"/>
    <mergeCell ref="Z42:Z46"/>
    <mergeCell ref="V37:V41"/>
    <mergeCell ref="W37:W41"/>
    <mergeCell ref="X37:X41"/>
    <mergeCell ref="Y37:Y41"/>
    <mergeCell ref="Z37:Z41"/>
    <mergeCell ref="U37:U41"/>
    <mergeCell ref="A53:A58"/>
    <mergeCell ref="D53:D58"/>
    <mergeCell ref="R53:R58"/>
    <mergeCell ref="S53:S58"/>
    <mergeCell ref="T53:T58"/>
    <mergeCell ref="A48:A52"/>
    <mergeCell ref="D48:D52"/>
    <mergeCell ref="R48:R52"/>
    <mergeCell ref="S48:S52"/>
    <mergeCell ref="T48:T52"/>
    <mergeCell ref="U53:U58"/>
    <mergeCell ref="V53:V58"/>
    <mergeCell ref="W53:W58"/>
    <mergeCell ref="X53:X58"/>
    <mergeCell ref="Y53:Y58"/>
    <mergeCell ref="Z53:Z58"/>
    <mergeCell ref="V48:V52"/>
    <mergeCell ref="W48:W52"/>
    <mergeCell ref="X48:X52"/>
    <mergeCell ref="Y48:Y52"/>
    <mergeCell ref="Z48:Z52"/>
    <mergeCell ref="U48:U52"/>
    <mergeCell ref="A65:A66"/>
    <mergeCell ref="D65:D66"/>
    <mergeCell ref="R65:R66"/>
    <mergeCell ref="S65:S66"/>
    <mergeCell ref="T65:T66"/>
    <mergeCell ref="A59:A63"/>
    <mergeCell ref="D59:D63"/>
    <mergeCell ref="R59:R63"/>
    <mergeCell ref="S59:S63"/>
    <mergeCell ref="T59:T63"/>
    <mergeCell ref="U65:U66"/>
    <mergeCell ref="V65:V66"/>
    <mergeCell ref="W65:W66"/>
    <mergeCell ref="X65:X66"/>
    <mergeCell ref="Y65:Y66"/>
    <mergeCell ref="Z65:Z66"/>
    <mergeCell ref="V59:V63"/>
    <mergeCell ref="W59:W63"/>
    <mergeCell ref="X59:X63"/>
    <mergeCell ref="Y59:Y63"/>
    <mergeCell ref="Z59:Z63"/>
    <mergeCell ref="U59:U63"/>
    <mergeCell ref="A71:A75"/>
    <mergeCell ref="D71:D75"/>
    <mergeCell ref="R71:R75"/>
    <mergeCell ref="S71:S75"/>
    <mergeCell ref="T71:T75"/>
    <mergeCell ref="A67:A70"/>
    <mergeCell ref="D67:D70"/>
    <mergeCell ref="R67:R70"/>
    <mergeCell ref="S67:S70"/>
    <mergeCell ref="T67:T70"/>
    <mergeCell ref="U71:U75"/>
    <mergeCell ref="V71:V75"/>
    <mergeCell ref="W71:W75"/>
    <mergeCell ref="X71:X75"/>
    <mergeCell ref="Y71:Y75"/>
    <mergeCell ref="Z71:Z75"/>
    <mergeCell ref="V67:V70"/>
    <mergeCell ref="W67:W70"/>
    <mergeCell ref="X67:X70"/>
    <mergeCell ref="Y67:Y70"/>
    <mergeCell ref="Z67:Z70"/>
    <mergeCell ref="U67:U70"/>
    <mergeCell ref="A82:A92"/>
    <mergeCell ref="D82:D92"/>
    <mergeCell ref="R82:R92"/>
    <mergeCell ref="S82:S92"/>
    <mergeCell ref="T82:T92"/>
    <mergeCell ref="A76:A81"/>
    <mergeCell ref="D76:D81"/>
    <mergeCell ref="R76:R81"/>
    <mergeCell ref="S76:S81"/>
    <mergeCell ref="T76:T81"/>
    <mergeCell ref="U82:U92"/>
    <mergeCell ref="V82:V92"/>
    <mergeCell ref="W82:W92"/>
    <mergeCell ref="X82:X92"/>
    <mergeCell ref="Y82:Y92"/>
    <mergeCell ref="Z82:Z92"/>
    <mergeCell ref="V76:V81"/>
    <mergeCell ref="W76:W81"/>
    <mergeCell ref="X76:X81"/>
    <mergeCell ref="Y76:Y81"/>
    <mergeCell ref="Z76:Z81"/>
    <mergeCell ref="U76:U81"/>
    <mergeCell ref="A100:A104"/>
    <mergeCell ref="D100:D104"/>
    <mergeCell ref="R100:R104"/>
    <mergeCell ref="S100:S104"/>
    <mergeCell ref="T100:T104"/>
    <mergeCell ref="A95:A99"/>
    <mergeCell ref="D95:D99"/>
    <mergeCell ref="R95:R99"/>
    <mergeCell ref="S95:S99"/>
    <mergeCell ref="T95:T99"/>
    <mergeCell ref="U100:U104"/>
    <mergeCell ref="V100:V104"/>
    <mergeCell ref="W100:W104"/>
    <mergeCell ref="X100:X104"/>
    <mergeCell ref="Y100:Y104"/>
    <mergeCell ref="Z100:Z104"/>
    <mergeCell ref="V95:V99"/>
    <mergeCell ref="W95:W99"/>
    <mergeCell ref="X95:X99"/>
    <mergeCell ref="Y95:Y99"/>
    <mergeCell ref="Z95:Z99"/>
    <mergeCell ref="U95:U99"/>
    <mergeCell ref="A112:A116"/>
    <mergeCell ref="D112:D116"/>
    <mergeCell ref="R112:R116"/>
    <mergeCell ref="S112:S116"/>
    <mergeCell ref="T112:T116"/>
    <mergeCell ref="A106:A110"/>
    <mergeCell ref="D106:D110"/>
    <mergeCell ref="R106:R110"/>
    <mergeCell ref="S106:S110"/>
    <mergeCell ref="T106:T110"/>
    <mergeCell ref="U112:U116"/>
    <mergeCell ref="V112:V116"/>
    <mergeCell ref="W112:W116"/>
    <mergeCell ref="X112:X116"/>
    <mergeCell ref="Y112:Y116"/>
    <mergeCell ref="Z112:Z116"/>
    <mergeCell ref="V106:V110"/>
    <mergeCell ref="W106:W110"/>
    <mergeCell ref="X106:X110"/>
    <mergeCell ref="Y106:Y110"/>
    <mergeCell ref="Z106:Z110"/>
    <mergeCell ref="U106:U110"/>
    <mergeCell ref="A126:A130"/>
    <mergeCell ref="D126:D130"/>
    <mergeCell ref="R126:R130"/>
    <mergeCell ref="S126:S130"/>
    <mergeCell ref="T126:T130"/>
    <mergeCell ref="A117:A124"/>
    <mergeCell ref="D117:D124"/>
    <mergeCell ref="R117:R124"/>
    <mergeCell ref="S117:S124"/>
    <mergeCell ref="T117:T124"/>
    <mergeCell ref="U126:U130"/>
    <mergeCell ref="V126:V130"/>
    <mergeCell ref="W126:W130"/>
    <mergeCell ref="X126:X130"/>
    <mergeCell ref="Y126:Y130"/>
    <mergeCell ref="Z126:Z130"/>
    <mergeCell ref="V117:V124"/>
    <mergeCell ref="W117:W124"/>
    <mergeCell ref="X117:X124"/>
    <mergeCell ref="Y117:Y124"/>
    <mergeCell ref="Z117:Z124"/>
    <mergeCell ref="U117:U124"/>
    <mergeCell ref="A141:A145"/>
    <mergeCell ref="D141:D145"/>
    <mergeCell ref="R141:R145"/>
    <mergeCell ref="S141:S145"/>
    <mergeCell ref="T141:T145"/>
    <mergeCell ref="A136:A140"/>
    <mergeCell ref="D136:D140"/>
    <mergeCell ref="R136:R140"/>
    <mergeCell ref="S136:S140"/>
    <mergeCell ref="T136:T140"/>
    <mergeCell ref="U141:U145"/>
    <mergeCell ref="V141:V145"/>
    <mergeCell ref="W141:W145"/>
    <mergeCell ref="X141:X145"/>
    <mergeCell ref="Y141:Y145"/>
    <mergeCell ref="Z141:Z145"/>
    <mergeCell ref="V136:V140"/>
    <mergeCell ref="W136:W140"/>
    <mergeCell ref="X136:X140"/>
    <mergeCell ref="Y136:Y140"/>
    <mergeCell ref="Z136:Z140"/>
    <mergeCell ref="U136:U140"/>
    <mergeCell ref="A154:A156"/>
    <mergeCell ref="D154:D156"/>
    <mergeCell ref="R154:R156"/>
    <mergeCell ref="S154:S156"/>
    <mergeCell ref="T154:T156"/>
    <mergeCell ref="A147:A152"/>
    <mergeCell ref="D147:D152"/>
    <mergeCell ref="R147:R152"/>
    <mergeCell ref="S147:S152"/>
    <mergeCell ref="T147:T152"/>
    <mergeCell ref="U154:U156"/>
    <mergeCell ref="V154:V156"/>
    <mergeCell ref="W154:W156"/>
    <mergeCell ref="X154:X156"/>
    <mergeCell ref="Y154:Y156"/>
    <mergeCell ref="Z154:Z156"/>
    <mergeCell ref="V147:V152"/>
    <mergeCell ref="W147:W152"/>
    <mergeCell ref="X147:X152"/>
    <mergeCell ref="Y147:Y152"/>
    <mergeCell ref="Z147:Z152"/>
    <mergeCell ref="U147:U152"/>
    <mergeCell ref="A162:A168"/>
    <mergeCell ref="D162:D168"/>
    <mergeCell ref="R162:R168"/>
    <mergeCell ref="S162:S168"/>
    <mergeCell ref="T162:T168"/>
    <mergeCell ref="A157:A161"/>
    <mergeCell ref="D157:D161"/>
    <mergeCell ref="R157:R161"/>
    <mergeCell ref="S157:S161"/>
    <mergeCell ref="T157:T161"/>
    <mergeCell ref="U162:U168"/>
    <mergeCell ref="V162:V168"/>
    <mergeCell ref="W162:W168"/>
    <mergeCell ref="X162:X168"/>
    <mergeCell ref="Y162:Y168"/>
    <mergeCell ref="Z162:Z168"/>
    <mergeCell ref="V157:V161"/>
    <mergeCell ref="W157:W161"/>
    <mergeCell ref="X157:X161"/>
    <mergeCell ref="Y157:Y161"/>
    <mergeCell ref="Z157:Z161"/>
    <mergeCell ref="U157:U161"/>
    <mergeCell ref="A199:A206"/>
    <mergeCell ref="D199:D206"/>
    <mergeCell ref="R199:R206"/>
    <mergeCell ref="S199:S206"/>
    <mergeCell ref="T199:T206"/>
    <mergeCell ref="A169:A197"/>
    <mergeCell ref="D169:D197"/>
    <mergeCell ref="R169:R197"/>
    <mergeCell ref="S169:S197"/>
    <mergeCell ref="T169:T197"/>
    <mergeCell ref="U199:U206"/>
    <mergeCell ref="V199:V206"/>
    <mergeCell ref="W199:W206"/>
    <mergeCell ref="X199:X206"/>
    <mergeCell ref="Y199:Y206"/>
    <mergeCell ref="Z199:Z206"/>
    <mergeCell ref="V169:V197"/>
    <mergeCell ref="W169:W197"/>
    <mergeCell ref="X169:X197"/>
    <mergeCell ref="Y169:Y197"/>
    <mergeCell ref="Z169:Z197"/>
    <mergeCell ref="U169:U197"/>
    <mergeCell ref="A216:A223"/>
    <mergeCell ref="D216:D223"/>
    <mergeCell ref="R216:R223"/>
    <mergeCell ref="S216:S223"/>
    <mergeCell ref="T216:T223"/>
    <mergeCell ref="A207:A209"/>
    <mergeCell ref="A211:A213"/>
    <mergeCell ref="R211:R213"/>
    <mergeCell ref="S211:S213"/>
    <mergeCell ref="T211:T213"/>
    <mergeCell ref="U216:U223"/>
    <mergeCell ref="V216:V223"/>
    <mergeCell ref="W216:W223"/>
    <mergeCell ref="X216:X223"/>
    <mergeCell ref="Y216:Y223"/>
    <mergeCell ref="Z216:Z223"/>
    <mergeCell ref="V211:V213"/>
    <mergeCell ref="W211:W213"/>
    <mergeCell ref="X211:X213"/>
    <mergeCell ref="Y211:Y213"/>
    <mergeCell ref="Z211:Z213"/>
    <mergeCell ref="U211:U213"/>
    <mergeCell ref="X224:X228"/>
    <mergeCell ref="Y224:Y228"/>
    <mergeCell ref="U234:U238"/>
    <mergeCell ref="V234:V238"/>
    <mergeCell ref="W234:W238"/>
    <mergeCell ref="X234:X238"/>
    <mergeCell ref="Y234:Y238"/>
    <mergeCell ref="Z224:Z228"/>
    <mergeCell ref="A229:A233"/>
    <mergeCell ref="R229:R233"/>
    <mergeCell ref="S229:S233"/>
    <mergeCell ref="T229:T233"/>
    <mergeCell ref="U229:U233"/>
    <mergeCell ref="A224:A228"/>
    <mergeCell ref="D224:D228"/>
    <mergeCell ref="R224:R228"/>
    <mergeCell ref="S224:S228"/>
    <mergeCell ref="T224:T228"/>
    <mergeCell ref="U224:U228"/>
    <mergeCell ref="V242:V245"/>
    <mergeCell ref="W242:W245"/>
    <mergeCell ref="A234:A238"/>
    <mergeCell ref="D234:D238"/>
    <mergeCell ref="R234:R238"/>
    <mergeCell ref="S234:S238"/>
    <mergeCell ref="T234:T238"/>
    <mergeCell ref="V224:V228"/>
    <mergeCell ref="W224:W228"/>
    <mergeCell ref="X251:X257"/>
    <mergeCell ref="Y251:Y257"/>
    <mergeCell ref="Z234:Z238"/>
    <mergeCell ref="V229:V233"/>
    <mergeCell ref="W229:W233"/>
    <mergeCell ref="X229:X233"/>
    <mergeCell ref="Y229:Y233"/>
    <mergeCell ref="Z229:Z233"/>
    <mergeCell ref="A246:A250"/>
    <mergeCell ref="D246:D250"/>
    <mergeCell ref="R246:R250"/>
    <mergeCell ref="S246:S250"/>
    <mergeCell ref="T246:T250"/>
    <mergeCell ref="A242:A245"/>
    <mergeCell ref="D242:D245"/>
    <mergeCell ref="R242:R245"/>
    <mergeCell ref="S242:S245"/>
    <mergeCell ref="T242:T245"/>
    <mergeCell ref="U246:U250"/>
    <mergeCell ref="V246:V250"/>
    <mergeCell ref="W246:W250"/>
    <mergeCell ref="X246:X250"/>
    <mergeCell ref="Y246:Y250"/>
    <mergeCell ref="Z246:Z250"/>
    <mergeCell ref="Z251:Z257"/>
    <mergeCell ref="U251:U257"/>
    <mergeCell ref="X242:X245"/>
    <mergeCell ref="Y242:Y245"/>
    <mergeCell ref="Z242:Z245"/>
    <mergeCell ref="U242:U245"/>
    <mergeCell ref="A258:A262"/>
    <mergeCell ref="D258:D262"/>
    <mergeCell ref="R258:R262"/>
    <mergeCell ref="S258:S262"/>
    <mergeCell ref="T258:T262"/>
    <mergeCell ref="A251:A257"/>
    <mergeCell ref="D251:D257"/>
    <mergeCell ref="R251:R257"/>
    <mergeCell ref="S251:S257"/>
    <mergeCell ref="T251:T257"/>
    <mergeCell ref="U258:U262"/>
    <mergeCell ref="V258:V262"/>
    <mergeCell ref="W258:W262"/>
    <mergeCell ref="X258:X262"/>
    <mergeCell ref="Y258:Y262"/>
    <mergeCell ref="Z258:Z262"/>
    <mergeCell ref="V251:V257"/>
    <mergeCell ref="W251:W257"/>
  </mergeCells>
  <pageMargins left="0.7" right="0.7" top="0.75" bottom="0.75" header="0.3" footer="0.3"/>
  <pageSetup paperSize="9" orientation="portrait" r:id="rId1"/>
  <drawing r:id="rId2"/>
  <legacyDrawing r:id="rId3"/>
  <tableParts count="1">
    <tablePart r:id="rId4"/>
  </tablePar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AP697"/>
  <sheetViews>
    <sheetView zoomScale="90" zoomScaleNormal="90" workbookViewId="0">
      <selection activeCell="A500" sqref="A500:A697"/>
    </sheetView>
  </sheetViews>
  <sheetFormatPr defaultRowHeight="15" x14ac:dyDescent="0.25"/>
  <cols>
    <col min="1" max="1" width="24.42578125" bestFit="1" customWidth="1"/>
    <col min="2" max="2" width="34.28515625" customWidth="1"/>
    <col min="3" max="3" width="11.7109375" customWidth="1"/>
    <col min="4" max="4" width="11.28515625" bestFit="1" customWidth="1"/>
    <col min="5" max="6" width="25" customWidth="1"/>
    <col min="7" max="7" width="16.28515625" customWidth="1"/>
    <col min="8" max="8" width="19.140625" bestFit="1" customWidth="1"/>
    <col min="9" max="10" width="22.28515625" customWidth="1"/>
    <col min="11" max="11" width="19.7109375" customWidth="1"/>
    <col min="12" max="13" width="15.42578125" customWidth="1"/>
    <col min="14" max="15" width="15.7109375" customWidth="1"/>
    <col min="16" max="17" width="19.85546875" customWidth="1"/>
    <col min="18" max="18" width="17.28515625" customWidth="1"/>
    <col min="19" max="19" width="32.42578125" bestFit="1" customWidth="1"/>
    <col min="20" max="20" width="3.85546875" customWidth="1"/>
    <col min="21" max="21" width="20.140625" bestFit="1" customWidth="1"/>
    <col min="22" max="22" width="16.42578125" customWidth="1"/>
    <col min="23" max="23" width="22" bestFit="1" customWidth="1"/>
    <col min="24" max="24" width="22" customWidth="1"/>
    <col min="25" max="25" width="23.28515625" bestFit="1" customWidth="1"/>
    <col min="26" max="26" width="14.140625" customWidth="1"/>
    <col min="27" max="27" width="18.140625" bestFit="1" customWidth="1"/>
    <col min="28" max="29" width="19.85546875" customWidth="1"/>
    <col min="30" max="31" width="14.42578125" customWidth="1"/>
    <col min="32" max="32" width="15.28515625" customWidth="1"/>
    <col min="33" max="33" width="25.42578125" customWidth="1"/>
    <col min="34" max="34" width="3.7109375" customWidth="1"/>
    <col min="35" max="35" width="13.5703125" customWidth="1"/>
    <col min="37" max="37" width="11.140625" customWidth="1"/>
    <col min="38" max="38" width="10.7109375" customWidth="1"/>
    <col min="42" max="43" width="75.28515625" customWidth="1"/>
  </cols>
  <sheetData>
    <row r="1" spans="1:42" ht="18.75" x14ac:dyDescent="0.3">
      <c r="A1" s="1078" t="s">
        <v>1211</v>
      </c>
      <c r="B1" s="86"/>
      <c r="C1" s="24"/>
      <c r="D1" s="24"/>
      <c r="J1" s="24"/>
      <c r="K1" s="1079"/>
    </row>
    <row r="2" spans="1:42" ht="16.5" thickBot="1" x14ac:dyDescent="0.3">
      <c r="A2" s="27" t="s">
        <v>1215</v>
      </c>
      <c r="B2" s="87"/>
      <c r="C2" s="25"/>
      <c r="D2" s="25"/>
      <c r="E2" s="397"/>
      <c r="J2" s="25"/>
      <c r="K2" s="1080"/>
    </row>
    <row r="3" spans="1:42" ht="18.75" x14ac:dyDescent="0.3">
      <c r="A3" t="s">
        <v>1213</v>
      </c>
      <c r="AI3" s="395" t="s">
        <v>826</v>
      </c>
      <c r="AJ3" s="395"/>
      <c r="AK3" s="395"/>
      <c r="AL3" s="395"/>
      <c r="AM3" s="395"/>
      <c r="AN3" s="395"/>
      <c r="AO3" s="394"/>
      <c r="AP3" s="394"/>
    </row>
    <row r="4" spans="1:42" ht="23.25" hidden="1" x14ac:dyDescent="0.35">
      <c r="U4" s="1754" t="s">
        <v>679</v>
      </c>
      <c r="V4" s="1754"/>
      <c r="W4" s="1754"/>
      <c r="X4" s="1754"/>
      <c r="Y4" s="1754"/>
      <c r="Z4" s="1754"/>
      <c r="AA4" s="1754"/>
      <c r="AB4" s="1754"/>
      <c r="AC4" s="1754"/>
      <c r="AD4" s="1754"/>
      <c r="AE4" s="1754"/>
      <c r="AF4" s="1754"/>
      <c r="AG4" s="1754"/>
      <c r="AI4" s="1755" t="s">
        <v>248</v>
      </c>
      <c r="AJ4" s="1755"/>
      <c r="AK4" s="1755"/>
      <c r="AL4" s="1755"/>
      <c r="AM4" s="1755"/>
      <c r="AN4" s="1755"/>
      <c r="AO4" s="1755"/>
    </row>
    <row r="5" spans="1:42" ht="64.5" hidden="1" customHeight="1" x14ac:dyDescent="0.3">
      <c r="E5" s="89" t="s">
        <v>215</v>
      </c>
      <c r="F5" s="90" t="s">
        <v>827</v>
      </c>
      <c r="K5" s="89" t="s">
        <v>215</v>
      </c>
      <c r="L5" s="553" t="s">
        <v>834</v>
      </c>
      <c r="M5" s="556" t="s">
        <v>835</v>
      </c>
      <c r="N5" s="554" t="s">
        <v>201</v>
      </c>
      <c r="O5" s="556" t="s">
        <v>836</v>
      </c>
      <c r="P5" s="84" t="s">
        <v>199</v>
      </c>
      <c r="Q5" s="556" t="s">
        <v>840</v>
      </c>
      <c r="R5" s="564" t="s">
        <v>841</v>
      </c>
      <c r="S5" s="85" t="s">
        <v>203</v>
      </c>
      <c r="U5" s="110" t="s">
        <v>240</v>
      </c>
      <c r="V5" s="109" t="s">
        <v>241</v>
      </c>
      <c r="W5" s="108" t="s">
        <v>242</v>
      </c>
      <c r="X5" s="572" t="s">
        <v>843</v>
      </c>
      <c r="Y5" s="107" t="s">
        <v>243</v>
      </c>
      <c r="Z5" s="106" t="s">
        <v>244</v>
      </c>
      <c r="AA5" s="572" t="s">
        <v>845</v>
      </c>
      <c r="AB5" s="105" t="s">
        <v>245</v>
      </c>
      <c r="AC5" s="572" t="s">
        <v>847</v>
      </c>
      <c r="AD5" s="104" t="s">
        <v>246</v>
      </c>
      <c r="AE5" s="572" t="s">
        <v>850</v>
      </c>
      <c r="AF5" s="103" t="s">
        <v>852</v>
      </c>
      <c r="AG5" s="102" t="s">
        <v>642</v>
      </c>
      <c r="AI5" s="112" t="s">
        <v>249</v>
      </c>
      <c r="AJ5" s="112" t="s">
        <v>250</v>
      </c>
      <c r="AK5" s="112" t="s">
        <v>251</v>
      </c>
      <c r="AL5" s="112" t="s">
        <v>252</v>
      </c>
      <c r="AM5" s="112" t="s">
        <v>438</v>
      </c>
      <c r="AN5" s="112" t="s">
        <v>253</v>
      </c>
      <c r="AO5" s="112" t="s">
        <v>254</v>
      </c>
    </row>
    <row r="6" spans="1:42" ht="16.149999999999999" hidden="1" customHeight="1" thickBot="1" x14ac:dyDescent="0.3">
      <c r="A6" s="42" t="s">
        <v>3</v>
      </c>
      <c r="B6" s="250" t="s">
        <v>58</v>
      </c>
      <c r="C6" s="799" t="s">
        <v>1190</v>
      </c>
      <c r="D6" s="799" t="s">
        <v>1022</v>
      </c>
      <c r="E6" s="91" t="s">
        <v>809</v>
      </c>
      <c r="F6" s="92" t="s">
        <v>810</v>
      </c>
      <c r="G6" s="42" t="s">
        <v>3</v>
      </c>
      <c r="H6" s="250" t="s">
        <v>58</v>
      </c>
      <c r="I6" s="799" t="s">
        <v>1190</v>
      </c>
      <c r="J6" s="799" t="s">
        <v>1022</v>
      </c>
      <c r="K6" s="91" t="s">
        <v>809</v>
      </c>
      <c r="L6" s="34" t="s">
        <v>815</v>
      </c>
      <c r="M6" s="557" t="s">
        <v>838</v>
      </c>
      <c r="N6" s="69" t="s">
        <v>816</v>
      </c>
      <c r="O6" s="557" t="s">
        <v>837</v>
      </c>
      <c r="P6" s="66" t="s">
        <v>817</v>
      </c>
      <c r="Q6" s="557" t="s">
        <v>839</v>
      </c>
      <c r="R6" s="67" t="s">
        <v>842</v>
      </c>
      <c r="S6" s="70" t="s">
        <v>818</v>
      </c>
      <c r="U6" s="93" t="s">
        <v>819</v>
      </c>
      <c r="V6" s="94" t="s">
        <v>820</v>
      </c>
      <c r="W6" s="95" t="s">
        <v>821</v>
      </c>
      <c r="X6" s="573" t="s">
        <v>844</v>
      </c>
      <c r="Y6" s="96" t="s">
        <v>822</v>
      </c>
      <c r="Z6" s="97" t="s">
        <v>823</v>
      </c>
      <c r="AA6" s="573" t="s">
        <v>846</v>
      </c>
      <c r="AB6" s="98" t="s">
        <v>849</v>
      </c>
      <c r="AC6" s="573" t="s">
        <v>848</v>
      </c>
      <c r="AD6" s="99" t="s">
        <v>824</v>
      </c>
      <c r="AE6" s="573" t="s">
        <v>851</v>
      </c>
      <c r="AF6" s="100" t="s">
        <v>853</v>
      </c>
      <c r="AG6" s="101" t="s">
        <v>825</v>
      </c>
      <c r="AI6" s="113"/>
      <c r="AJ6" s="113"/>
      <c r="AK6" s="113"/>
      <c r="AL6" s="113"/>
      <c r="AM6" s="113"/>
      <c r="AN6" s="113"/>
      <c r="AO6" s="113"/>
    </row>
    <row r="7" spans="1:42" ht="18.600000000000001" hidden="1" customHeight="1" x14ac:dyDescent="0.25">
      <c r="A7" s="1756" t="s">
        <v>33</v>
      </c>
      <c r="B7" s="752" t="s">
        <v>217</v>
      </c>
      <c r="C7" s="747" t="s">
        <v>429</v>
      </c>
      <c r="D7" s="815" t="s">
        <v>1024</v>
      </c>
      <c r="E7" s="1759">
        <v>20700</v>
      </c>
      <c r="F7" s="647">
        <f>'exchange rates'!$O$3</f>
        <v>18.600290000000001</v>
      </c>
      <c r="G7" s="967" t="s">
        <v>33</v>
      </c>
      <c r="H7" s="746" t="s">
        <v>217</v>
      </c>
      <c r="I7" s="747" t="s">
        <v>429</v>
      </c>
      <c r="J7" s="815" t="s">
        <v>1024</v>
      </c>
      <c r="K7" s="968">
        <v>20700</v>
      </c>
      <c r="L7" s="596" t="s">
        <v>5</v>
      </c>
      <c r="M7" s="595" t="s">
        <v>5</v>
      </c>
      <c r="N7" s="626" t="s">
        <v>5</v>
      </c>
      <c r="O7" s="595" t="s">
        <v>5</v>
      </c>
      <c r="P7" s="597" t="s">
        <v>5</v>
      </c>
      <c r="Q7" s="595" t="s">
        <v>5</v>
      </c>
      <c r="R7" s="570" t="s">
        <v>5</v>
      </c>
      <c r="S7" s="571">
        <f>741.75/F7</f>
        <v>39.878410497900838</v>
      </c>
      <c r="T7" s="397"/>
      <c r="U7" s="1762" t="str">
        <f>Tabel6689212733[[#This Row],[Country]]</f>
        <v>Argentina</v>
      </c>
      <c r="V7" s="1765" t="s">
        <v>5</v>
      </c>
      <c r="W7" s="1768" t="s">
        <v>5</v>
      </c>
      <c r="X7" s="1771" t="s">
        <v>5</v>
      </c>
      <c r="Y7" s="1774" t="s">
        <v>5</v>
      </c>
      <c r="Z7" s="1777" t="s">
        <v>5</v>
      </c>
      <c r="AA7" s="1771" t="s">
        <v>5</v>
      </c>
      <c r="AB7" s="1810" t="s">
        <v>5</v>
      </c>
      <c r="AC7" s="1771" t="s">
        <v>5</v>
      </c>
      <c r="AD7" s="1812" t="s">
        <v>5</v>
      </c>
      <c r="AE7" s="1771" t="s">
        <v>5</v>
      </c>
      <c r="AF7" s="1814" t="s">
        <v>5</v>
      </c>
      <c r="AG7" s="1793">
        <f>MEDIAN(S7:S13)</f>
        <v>39.878410497900838</v>
      </c>
      <c r="AH7" s="397"/>
      <c r="AI7" s="591" t="s">
        <v>429</v>
      </c>
      <c r="AJ7" s="591"/>
      <c r="AK7" s="591"/>
      <c r="AL7" s="591"/>
      <c r="AM7" s="591" t="s">
        <v>429</v>
      </c>
      <c r="AN7" s="591" t="s">
        <v>429</v>
      </c>
      <c r="AO7" s="396"/>
      <c r="AP7" s="397"/>
    </row>
    <row r="8" spans="1:42" ht="15.6" hidden="1" customHeight="1" x14ac:dyDescent="0.25">
      <c r="A8" s="1757"/>
      <c r="B8" s="747" t="s">
        <v>942</v>
      </c>
      <c r="C8" s="747"/>
      <c r="D8" s="815" t="s">
        <v>1024</v>
      </c>
      <c r="E8" s="1760"/>
      <c r="F8" s="647">
        <f>'exchange rates'!$O$3</f>
        <v>18.600290000000001</v>
      </c>
      <c r="G8" s="952"/>
      <c r="H8" s="747" t="s">
        <v>942</v>
      </c>
      <c r="I8" s="747"/>
      <c r="J8" s="815" t="s">
        <v>1024</v>
      </c>
      <c r="K8" s="969"/>
      <c r="L8" s="596" t="s">
        <v>5</v>
      </c>
      <c r="M8" s="595" t="s">
        <v>5</v>
      </c>
      <c r="N8" s="626" t="s">
        <v>5</v>
      </c>
      <c r="O8" s="595" t="s">
        <v>5</v>
      </c>
      <c r="P8" s="597" t="s">
        <v>5</v>
      </c>
      <c r="Q8" s="595" t="s">
        <v>5</v>
      </c>
      <c r="R8" s="570" t="s">
        <v>5</v>
      </c>
      <c r="S8" s="571">
        <f>986.14/F8</f>
        <v>53.017452953690501</v>
      </c>
      <c r="T8" s="397"/>
      <c r="U8" s="1763"/>
      <c r="V8" s="1766"/>
      <c r="W8" s="1769"/>
      <c r="X8" s="1772"/>
      <c r="Y8" s="1775"/>
      <c r="Z8" s="1778"/>
      <c r="AA8" s="1772"/>
      <c r="AB8" s="1781"/>
      <c r="AC8" s="1772"/>
      <c r="AD8" s="1785"/>
      <c r="AE8" s="1772"/>
      <c r="AF8" s="1788"/>
      <c r="AG8" s="1791"/>
      <c r="AH8" s="397"/>
      <c r="AI8" s="396"/>
      <c r="AJ8" s="396"/>
      <c r="AK8" s="396"/>
      <c r="AL8" s="396"/>
      <c r="AM8" s="396"/>
      <c r="AN8" s="396"/>
      <c r="AO8" s="396"/>
      <c r="AP8" s="397"/>
    </row>
    <row r="9" spans="1:42" ht="15.6" hidden="1" customHeight="1" x14ac:dyDescent="0.25">
      <c r="A9" s="1757"/>
      <c r="B9" s="747" t="s">
        <v>943</v>
      </c>
      <c r="C9" s="747"/>
      <c r="D9" s="815" t="s">
        <v>1024</v>
      </c>
      <c r="E9" s="1760"/>
      <c r="F9" s="647">
        <f>'exchange rates'!$O$3</f>
        <v>18.600290000000001</v>
      </c>
      <c r="G9" s="952"/>
      <c r="H9" s="747" t="s">
        <v>943</v>
      </c>
      <c r="I9" s="747"/>
      <c r="J9" s="815" t="s">
        <v>1024</v>
      </c>
      <c r="K9" s="969"/>
      <c r="L9" s="596" t="s">
        <v>5</v>
      </c>
      <c r="M9" s="595" t="s">
        <v>5</v>
      </c>
      <c r="N9" s="626" t="s">
        <v>5</v>
      </c>
      <c r="O9" s="595" t="s">
        <v>5</v>
      </c>
      <c r="P9" s="597" t="s">
        <v>5</v>
      </c>
      <c r="Q9" s="595" t="s">
        <v>5</v>
      </c>
      <c r="R9" s="570" t="s">
        <v>5</v>
      </c>
      <c r="S9" s="571">
        <f>970.68/F9</f>
        <v>52.186283117091179</v>
      </c>
      <c r="T9" s="397"/>
      <c r="U9" s="1763"/>
      <c r="V9" s="1766"/>
      <c r="W9" s="1769"/>
      <c r="X9" s="1772"/>
      <c r="Y9" s="1775"/>
      <c r="Z9" s="1778"/>
      <c r="AA9" s="1772"/>
      <c r="AB9" s="1781"/>
      <c r="AC9" s="1772"/>
      <c r="AD9" s="1785"/>
      <c r="AE9" s="1772"/>
      <c r="AF9" s="1788"/>
      <c r="AG9" s="1791"/>
      <c r="AH9" s="397"/>
      <c r="AI9" s="396"/>
      <c r="AJ9" s="396"/>
      <c r="AK9" s="396"/>
      <c r="AL9" s="396"/>
      <c r="AM9" s="396"/>
      <c r="AN9" s="396"/>
      <c r="AO9" s="396"/>
      <c r="AP9" s="397"/>
    </row>
    <row r="10" spans="1:42" ht="15.6" hidden="1" customHeight="1" x14ac:dyDescent="0.25">
      <c r="A10" s="1757"/>
      <c r="B10" s="747" t="s">
        <v>944</v>
      </c>
      <c r="C10" s="747"/>
      <c r="D10" s="815" t="s">
        <v>1024</v>
      </c>
      <c r="E10" s="1760"/>
      <c r="F10" s="647">
        <f>'exchange rates'!$O$3</f>
        <v>18.600290000000001</v>
      </c>
      <c r="G10" s="952"/>
      <c r="H10" s="747" t="s">
        <v>944</v>
      </c>
      <c r="I10" s="747"/>
      <c r="J10" s="815" t="s">
        <v>1024</v>
      </c>
      <c r="K10" s="969"/>
      <c r="L10" s="596" t="s">
        <v>5</v>
      </c>
      <c r="M10" s="595" t="s">
        <v>5</v>
      </c>
      <c r="N10" s="626" t="s">
        <v>5</v>
      </c>
      <c r="O10" s="595" t="s">
        <v>5</v>
      </c>
      <c r="P10" s="597" t="s">
        <v>5</v>
      </c>
      <c r="Q10" s="595" t="s">
        <v>5</v>
      </c>
      <c r="R10" s="570" t="s">
        <v>5</v>
      </c>
      <c r="S10" s="571">
        <f>391.5/F10</f>
        <v>21.048058928113484</v>
      </c>
      <c r="T10" s="397"/>
      <c r="U10" s="1763"/>
      <c r="V10" s="1766"/>
      <c r="W10" s="1769"/>
      <c r="X10" s="1772"/>
      <c r="Y10" s="1775"/>
      <c r="Z10" s="1778"/>
      <c r="AA10" s="1772"/>
      <c r="AB10" s="1781"/>
      <c r="AC10" s="1772"/>
      <c r="AD10" s="1785"/>
      <c r="AE10" s="1772"/>
      <c r="AF10" s="1788"/>
      <c r="AG10" s="1791"/>
      <c r="AH10" s="397"/>
      <c r="AI10" s="396"/>
      <c r="AJ10" s="396"/>
      <c r="AK10" s="396"/>
      <c r="AL10" s="396"/>
      <c r="AM10" s="396"/>
      <c r="AN10" s="396"/>
      <c r="AO10" s="396"/>
      <c r="AP10" s="397"/>
    </row>
    <row r="11" spans="1:42" ht="15.6" hidden="1" customHeight="1" x14ac:dyDescent="0.25">
      <c r="A11" s="1757"/>
      <c r="B11" s="747" t="s">
        <v>945</v>
      </c>
      <c r="C11" s="747"/>
      <c r="D11" s="815" t="s">
        <v>1024</v>
      </c>
      <c r="E11" s="1760"/>
      <c r="F11" s="647">
        <f>'exchange rates'!$O$3</f>
        <v>18.600290000000001</v>
      </c>
      <c r="G11" s="952"/>
      <c r="H11" s="747" t="s">
        <v>945</v>
      </c>
      <c r="I11" s="747"/>
      <c r="J11" s="815" t="s">
        <v>1024</v>
      </c>
      <c r="K11" s="969"/>
      <c r="L11" s="596" t="s">
        <v>5</v>
      </c>
      <c r="M11" s="595" t="s">
        <v>5</v>
      </c>
      <c r="N11" s="626" t="s">
        <v>5</v>
      </c>
      <c r="O11" s="595" t="s">
        <v>5</v>
      </c>
      <c r="P11" s="597" t="s">
        <v>5</v>
      </c>
      <c r="Q11" s="595" t="s">
        <v>5</v>
      </c>
      <c r="R11" s="570" t="s">
        <v>5</v>
      </c>
      <c r="S11" s="571">
        <f>577.63/F11</f>
        <v>31.054892154907261</v>
      </c>
      <c r="T11" s="397"/>
      <c r="U11" s="1763"/>
      <c r="V11" s="1766"/>
      <c r="W11" s="1769"/>
      <c r="X11" s="1772"/>
      <c r="Y11" s="1775"/>
      <c r="Z11" s="1778"/>
      <c r="AA11" s="1772"/>
      <c r="AB11" s="1781"/>
      <c r="AC11" s="1772"/>
      <c r="AD11" s="1785"/>
      <c r="AE11" s="1772"/>
      <c r="AF11" s="1788"/>
      <c r="AG11" s="1791"/>
      <c r="AH11" s="397"/>
      <c r="AI11" s="396"/>
      <c r="AJ11" s="396"/>
      <c r="AK11" s="396"/>
      <c r="AL11" s="396"/>
      <c r="AM11" s="396"/>
      <c r="AN11" s="396"/>
      <c r="AO11" s="396"/>
      <c r="AP11" s="397"/>
    </row>
    <row r="12" spans="1:42" ht="15.6" hidden="1" customHeight="1" x14ac:dyDescent="0.25">
      <c r="A12" s="1757"/>
      <c r="B12" s="747" t="s">
        <v>946</v>
      </c>
      <c r="C12" s="747"/>
      <c r="D12" s="815" t="s">
        <v>1024</v>
      </c>
      <c r="E12" s="1760"/>
      <c r="F12" s="647">
        <f>'exchange rates'!$O$3</f>
        <v>18.600290000000001</v>
      </c>
      <c r="G12" s="952"/>
      <c r="H12" s="747" t="s">
        <v>946</v>
      </c>
      <c r="I12" s="747"/>
      <c r="J12" s="815" t="s">
        <v>1024</v>
      </c>
      <c r="K12" s="969"/>
      <c r="L12" s="596" t="s">
        <v>5</v>
      </c>
      <c r="M12" s="595" t="s">
        <v>5</v>
      </c>
      <c r="N12" s="626" t="s">
        <v>5</v>
      </c>
      <c r="O12" s="595" t="s">
        <v>5</v>
      </c>
      <c r="P12" s="597" t="s">
        <v>5</v>
      </c>
      <c r="Q12" s="595" t="s">
        <v>5</v>
      </c>
      <c r="R12" s="570" t="s">
        <v>5</v>
      </c>
      <c r="S12" s="571">
        <f>309.74/F12</f>
        <v>16.652428537404525</v>
      </c>
      <c r="T12" s="397"/>
      <c r="U12" s="1763"/>
      <c r="V12" s="1766"/>
      <c r="W12" s="1769"/>
      <c r="X12" s="1772"/>
      <c r="Y12" s="1775"/>
      <c r="Z12" s="1778"/>
      <c r="AA12" s="1772"/>
      <c r="AB12" s="1781"/>
      <c r="AC12" s="1772"/>
      <c r="AD12" s="1785"/>
      <c r="AE12" s="1772"/>
      <c r="AF12" s="1788"/>
      <c r="AG12" s="1791"/>
      <c r="AH12" s="397"/>
      <c r="AI12" s="396"/>
      <c r="AJ12" s="396"/>
      <c r="AK12" s="396"/>
      <c r="AL12" s="396"/>
      <c r="AM12" s="396"/>
      <c r="AN12" s="396"/>
      <c r="AO12" s="396"/>
      <c r="AP12" s="397"/>
    </row>
    <row r="13" spans="1:42" ht="16.149999999999999" hidden="1" customHeight="1" thickBot="1" x14ac:dyDescent="0.3">
      <c r="A13" s="1758"/>
      <c r="B13" s="658" t="s">
        <v>947</v>
      </c>
      <c r="C13" s="747"/>
      <c r="D13" s="815" t="s">
        <v>1024</v>
      </c>
      <c r="E13" s="1761"/>
      <c r="F13" s="647">
        <f>'exchange rates'!$O$3</f>
        <v>18.600290000000001</v>
      </c>
      <c r="G13" s="953"/>
      <c r="H13" s="747" t="s">
        <v>947</v>
      </c>
      <c r="I13" s="747"/>
      <c r="J13" s="815" t="s">
        <v>1024</v>
      </c>
      <c r="K13" s="970"/>
      <c r="L13" s="596" t="s">
        <v>5</v>
      </c>
      <c r="M13" s="595" t="s">
        <v>5</v>
      </c>
      <c r="N13" s="626" t="s">
        <v>5</v>
      </c>
      <c r="O13" s="595" t="s">
        <v>5</v>
      </c>
      <c r="P13" s="597" t="s">
        <v>5</v>
      </c>
      <c r="Q13" s="595" t="s">
        <v>5</v>
      </c>
      <c r="R13" s="570" t="s">
        <v>5</v>
      </c>
      <c r="S13" s="571">
        <f>970.93/F13</f>
        <v>52.199723767747699</v>
      </c>
      <c r="T13" s="397"/>
      <c r="U13" s="1764"/>
      <c r="V13" s="1767"/>
      <c r="W13" s="1770"/>
      <c r="X13" s="1773"/>
      <c r="Y13" s="1776"/>
      <c r="Z13" s="1779"/>
      <c r="AA13" s="1773"/>
      <c r="AB13" s="1811"/>
      <c r="AC13" s="1773"/>
      <c r="AD13" s="1813"/>
      <c r="AE13" s="1773"/>
      <c r="AF13" s="1815"/>
      <c r="AG13" s="1794"/>
      <c r="AH13" s="397"/>
      <c r="AI13" s="396"/>
      <c r="AJ13" s="396"/>
      <c r="AK13" s="396"/>
      <c r="AL13" s="396"/>
      <c r="AM13" s="396"/>
      <c r="AN13" s="396"/>
      <c r="AO13" s="396"/>
      <c r="AP13" s="397"/>
    </row>
    <row r="14" spans="1:42" ht="15.6" hidden="1" customHeight="1" thickBot="1" x14ac:dyDescent="0.3">
      <c r="A14" s="1033" t="s">
        <v>524</v>
      </c>
      <c r="B14" s="646" t="s">
        <v>526</v>
      </c>
      <c r="C14" s="1054" t="s">
        <v>429</v>
      </c>
      <c r="D14" s="816" t="s">
        <v>1026</v>
      </c>
      <c r="E14" s="981">
        <v>9100</v>
      </c>
      <c r="F14" s="647">
        <f>'exchange rates'!O4</f>
        <v>483.08548000000002</v>
      </c>
      <c r="G14" s="951" t="s">
        <v>524</v>
      </c>
      <c r="H14" s="751" t="s">
        <v>526</v>
      </c>
      <c r="I14" s="752" t="s">
        <v>429</v>
      </c>
      <c r="J14" s="816" t="s">
        <v>1026</v>
      </c>
      <c r="K14" s="981">
        <v>9100</v>
      </c>
      <c r="L14" s="596">
        <f>(22.5*100)/F14</f>
        <v>4.6575608109769719</v>
      </c>
      <c r="M14" s="595">
        <f>(4.5*100)/F14</f>
        <v>0.93151216219539446</v>
      </c>
      <c r="N14" s="626">
        <v>0</v>
      </c>
      <c r="O14" s="595">
        <v>0</v>
      </c>
      <c r="P14" s="597">
        <v>0</v>
      </c>
      <c r="Q14" s="595">
        <v>0</v>
      </c>
      <c r="R14" s="570" t="e">
        <f>Tabel6689212733[[#This Row],[landcode 3]]+Tabel6689212733[[#This Row],[VAT Sew. 2017]]+Tabel6689212733[[#This Row],[VAT WW 2017]]+Tabel6689212733[[#This Row],[VAT Other ch. 2017]]</f>
        <v>#VALUE!</v>
      </c>
      <c r="S14" s="571">
        <f>Tabel6689212733[[#This Row],[GDP 2017]]+Tabel6689212733[[#This Row],[Sew. 2017]]+Tabel6689212733[[#This Row],[VAT Sew. 2017]]+Tabel6689212733[[#This Row],[WW 2017]]+Tabel6689212733[[#This Row],[VAT WW 2017]]+Tabel6689212733[[#This Row],[Other ch. 2017]]+Tabel6689212733[[#This Row],[VAT Other ch. 2017]]</f>
        <v>9105.5890729731709</v>
      </c>
      <c r="T14" s="397"/>
      <c r="U14" s="983" t="e">
        <f t="shared" ref="U14:AG14" si="0">MEDIAN(G14:G14)</f>
        <v>#NUM!</v>
      </c>
      <c r="V14" s="984" t="e">
        <f t="shared" si="0"/>
        <v>#NUM!</v>
      </c>
      <c r="W14" s="985" t="e">
        <f t="shared" si="0"/>
        <v>#NUM!</v>
      </c>
      <c r="X14" s="972" t="e">
        <f t="shared" si="0"/>
        <v>#NUM!</v>
      </c>
      <c r="Y14" s="971">
        <f t="shared" si="0"/>
        <v>9100</v>
      </c>
      <c r="Z14" s="974">
        <f t="shared" si="0"/>
        <v>4.6575608109769719</v>
      </c>
      <c r="AA14" s="972">
        <f t="shared" si="0"/>
        <v>0.93151216219539446</v>
      </c>
      <c r="AB14" s="979">
        <f t="shared" si="0"/>
        <v>0</v>
      </c>
      <c r="AC14" s="972">
        <f t="shared" si="0"/>
        <v>0</v>
      </c>
      <c r="AD14" s="975">
        <f t="shared" si="0"/>
        <v>0</v>
      </c>
      <c r="AE14" s="972">
        <f t="shared" si="0"/>
        <v>0</v>
      </c>
      <c r="AF14" s="990" t="e">
        <f t="shared" si="0"/>
        <v>#VALUE!</v>
      </c>
      <c r="AG14" s="989">
        <f t="shared" si="0"/>
        <v>9105.5890729731709</v>
      </c>
      <c r="AH14" s="397"/>
      <c r="AI14" s="398"/>
      <c r="AJ14" s="591" t="s">
        <v>429</v>
      </c>
      <c r="AK14" s="398"/>
      <c r="AL14" s="398"/>
      <c r="AM14" s="398"/>
      <c r="AN14" s="591" t="s">
        <v>429</v>
      </c>
      <c r="AO14" s="398"/>
      <c r="AP14" s="397"/>
    </row>
    <row r="15" spans="1:42" ht="18" hidden="1" customHeight="1" x14ac:dyDescent="0.25">
      <c r="A15" s="1795" t="s">
        <v>34</v>
      </c>
      <c r="B15" s="664" t="s">
        <v>176</v>
      </c>
      <c r="C15" s="653"/>
      <c r="D15" s="653" t="s">
        <v>1028</v>
      </c>
      <c r="E15" s="1798">
        <v>49900</v>
      </c>
      <c r="F15" s="616">
        <f>'exchange rates'!$O$5</f>
        <v>1.2820499999999999</v>
      </c>
      <c r="G15" s="940" t="s">
        <v>34</v>
      </c>
      <c r="H15" s="664" t="s">
        <v>176</v>
      </c>
      <c r="I15" s="653"/>
      <c r="J15" s="653" t="s">
        <v>1028</v>
      </c>
      <c r="K15" s="1017">
        <v>49900</v>
      </c>
      <c r="L15" s="596">
        <f>522/F15</f>
        <v>407.1604071604072</v>
      </c>
      <c r="M15" s="595">
        <v>0</v>
      </c>
      <c r="N15" s="626">
        <v>0</v>
      </c>
      <c r="O15" s="595">
        <v>0</v>
      </c>
      <c r="P15" s="597">
        <v>0</v>
      </c>
      <c r="Q15" s="595">
        <v>0</v>
      </c>
      <c r="R15" s="570" t="e">
        <f>Tabel6689212733[[#This Row],[landcode 3]]+Tabel6689212733[[#This Row],[VAT Sew. 2017]]+Tabel6689212733[[#This Row],[VAT WW 2017]]+Tabel6689212733[[#This Row],[VAT Other ch. 2017]]</f>
        <v>#VALUE!</v>
      </c>
      <c r="S15" s="571">
        <f>Tabel6689212733[[#This Row],[GDP 2017]]+Tabel6689212733[[#This Row],[Sew. 2017]]+Tabel6689212733[[#This Row],[VAT Sew. 2017]]+Tabel6689212733[[#This Row],[WW 2017]]+Tabel6689212733[[#This Row],[VAT WW 2017]]+Tabel6689212733[[#This Row],[Other ch. 2017]]+Tabel6689212733[[#This Row],[VAT Other ch. 2017]]</f>
        <v>50307.160407160409</v>
      </c>
      <c r="T15" s="397"/>
      <c r="U15" s="1800" t="e">
        <f>MEDIAN(G15:G23)</f>
        <v>#NUM!</v>
      </c>
      <c r="V15" s="1802" t="e">
        <f>MEDIAN(H15:H23)</f>
        <v>#NUM!</v>
      </c>
      <c r="W15" s="1804" t="e">
        <f>MEDIAN(I15:I23)</f>
        <v>#NUM!</v>
      </c>
      <c r="X15" s="1771" t="e">
        <f>MEDIAN(J15:J23)</f>
        <v>#NUM!</v>
      </c>
      <c r="Y15" s="1806" t="e">
        <f>SUM(U15:X23)</f>
        <v>#NUM!</v>
      </c>
      <c r="Z15" s="1808">
        <f t="shared" ref="Z15:AF15" si="1">MEDIAN(L15:L23)</f>
        <v>455.52045552045553</v>
      </c>
      <c r="AA15" s="1771">
        <f t="shared" si="1"/>
        <v>0</v>
      </c>
      <c r="AB15" s="1780">
        <f t="shared" si="1"/>
        <v>0</v>
      </c>
      <c r="AC15" s="1771">
        <f t="shared" si="1"/>
        <v>0</v>
      </c>
      <c r="AD15" s="1784">
        <f t="shared" si="1"/>
        <v>0</v>
      </c>
      <c r="AE15" s="1771">
        <f t="shared" si="1"/>
        <v>0</v>
      </c>
      <c r="AF15" s="1787" t="e">
        <f t="shared" si="1"/>
        <v>#VALUE!</v>
      </c>
      <c r="AG15" s="1790" t="e">
        <f>Y15+Z15+AA15+AB15+AC15+AD15+AE15</f>
        <v>#NUM!</v>
      </c>
      <c r="AH15" s="397"/>
      <c r="AI15" s="398"/>
      <c r="AJ15" s="591" t="s">
        <v>429</v>
      </c>
      <c r="AK15" s="398"/>
      <c r="AL15" s="396"/>
      <c r="AM15" s="591" t="s">
        <v>429</v>
      </c>
      <c r="AN15" s="396"/>
      <c r="AO15" s="398"/>
      <c r="AP15" s="397"/>
    </row>
    <row r="16" spans="1:42" ht="15.6" hidden="1" customHeight="1" x14ac:dyDescent="0.25">
      <c r="A16" s="1796"/>
      <c r="B16" s="261" t="s">
        <v>177</v>
      </c>
      <c r="C16" s="261"/>
      <c r="D16" s="261" t="s">
        <v>1028</v>
      </c>
      <c r="E16" s="1760"/>
      <c r="F16" s="616">
        <f>'exchange rates'!$O$5</f>
        <v>1.2820499999999999</v>
      </c>
      <c r="G16" s="941"/>
      <c r="H16" s="261" t="s">
        <v>177</v>
      </c>
      <c r="I16" s="261"/>
      <c r="J16" s="261" t="s">
        <v>1028</v>
      </c>
      <c r="K16" s="969"/>
      <c r="L16" s="314"/>
      <c r="M16" s="558"/>
      <c r="N16" s="315"/>
      <c r="O16" s="558"/>
      <c r="P16" s="316"/>
      <c r="Q16" s="558"/>
      <c r="R16" s="317" t="e">
        <f>Tabel6689212733[[#This Row],[landcode 3]]+Tabel6689212733[[#This Row],[VAT Sew. 2017]]+Tabel6689212733[[#This Row],[VAT WW 2017]]+Tabel6689212733[[#This Row],[VAT Other ch. 2017]]</f>
        <v>#VALUE!</v>
      </c>
      <c r="S16" s="318">
        <f>Tabel6689212733[[#This Row],[GDP 2017]]+Tabel6689212733[[#This Row],[Sew. 2017]]+Tabel6689212733[[#This Row],[VAT Sew. 2017]]+Tabel6689212733[[#This Row],[WW 2017]]+Tabel6689212733[[#This Row],[VAT WW 2017]]+Tabel6689212733[[#This Row],[Other ch. 2017]]+Tabel6689212733[[#This Row],[VAT Other ch. 2017]]</f>
        <v>0</v>
      </c>
      <c r="T16" s="397"/>
      <c r="U16" s="1763"/>
      <c r="V16" s="1766"/>
      <c r="W16" s="1769"/>
      <c r="X16" s="1783"/>
      <c r="Y16" s="1775"/>
      <c r="Z16" s="1778"/>
      <c r="AA16" s="1783"/>
      <c r="AB16" s="1781"/>
      <c r="AC16" s="1783"/>
      <c r="AD16" s="1785"/>
      <c r="AE16" s="1783"/>
      <c r="AF16" s="1788"/>
      <c r="AG16" s="1791"/>
      <c r="AH16" s="397"/>
      <c r="AI16" s="398"/>
      <c r="AJ16" s="398"/>
      <c r="AK16" s="398"/>
      <c r="AL16" s="396"/>
      <c r="AM16" s="396"/>
      <c r="AN16" s="396"/>
      <c r="AO16" s="398"/>
      <c r="AP16" s="397"/>
    </row>
    <row r="17" spans="1:42" ht="15.6" hidden="1" customHeight="1" x14ac:dyDescent="0.25">
      <c r="A17" s="1796"/>
      <c r="B17" s="631" t="s">
        <v>178</v>
      </c>
      <c r="C17" s="631"/>
      <c r="D17" s="631" t="s">
        <v>1028</v>
      </c>
      <c r="E17" s="1760"/>
      <c r="F17" s="616">
        <f>'exchange rates'!$O$5</f>
        <v>1.2820499999999999</v>
      </c>
      <c r="G17" s="941"/>
      <c r="H17" s="631" t="s">
        <v>178</v>
      </c>
      <c r="I17" s="631"/>
      <c r="J17" s="631" t="s">
        <v>1028</v>
      </c>
      <c r="K17" s="969"/>
      <c r="L17" s="596">
        <f>622.16/F17</f>
        <v>485.28528528528528</v>
      </c>
      <c r="M17" s="595">
        <v>0</v>
      </c>
      <c r="N17" s="626">
        <v>0</v>
      </c>
      <c r="O17" s="595">
        <v>0</v>
      </c>
      <c r="P17" s="597">
        <v>0</v>
      </c>
      <c r="Q17" s="595">
        <v>0</v>
      </c>
      <c r="R17" s="570" t="e">
        <f>Tabel6689212733[[#This Row],[landcode 3]]+Tabel6689212733[[#This Row],[VAT Sew. 2017]]+Tabel6689212733[[#This Row],[VAT WW 2017]]+Tabel6689212733[[#This Row],[VAT Other ch. 2017]]</f>
        <v>#VALUE!</v>
      </c>
      <c r="S17" s="571">
        <f>Tabel6689212733[[#This Row],[GDP 2017]]+Tabel6689212733[[#This Row],[Sew. 2017]]+Tabel6689212733[[#This Row],[VAT Sew. 2017]]+Tabel6689212733[[#This Row],[WW 2017]]+Tabel6689212733[[#This Row],[VAT WW 2017]]+Tabel6689212733[[#This Row],[Other ch. 2017]]+Tabel6689212733[[#This Row],[VAT Other ch. 2017]]</f>
        <v>485.28528528528528</v>
      </c>
      <c r="T17" s="397"/>
      <c r="U17" s="1763"/>
      <c r="V17" s="1766"/>
      <c r="W17" s="1769"/>
      <c r="X17" s="1783"/>
      <c r="Y17" s="1775"/>
      <c r="Z17" s="1778"/>
      <c r="AA17" s="1783"/>
      <c r="AB17" s="1781"/>
      <c r="AC17" s="1783"/>
      <c r="AD17" s="1785"/>
      <c r="AE17" s="1783"/>
      <c r="AF17" s="1788"/>
      <c r="AG17" s="1791"/>
      <c r="AH17" s="397"/>
      <c r="AI17" s="398"/>
      <c r="AJ17" s="591" t="s">
        <v>429</v>
      </c>
      <c r="AK17" s="398"/>
      <c r="AL17" s="396"/>
      <c r="AM17" s="591" t="s">
        <v>429</v>
      </c>
      <c r="AN17" s="396"/>
      <c r="AO17" s="398"/>
      <c r="AP17" s="397"/>
    </row>
    <row r="18" spans="1:42" ht="15.6" hidden="1" customHeight="1" x14ac:dyDescent="0.25">
      <c r="A18" s="1796"/>
      <c r="B18" s="631" t="s">
        <v>179</v>
      </c>
      <c r="C18" s="631"/>
      <c r="D18" s="631" t="s">
        <v>1028</v>
      </c>
      <c r="E18" s="1760"/>
      <c r="F18" s="616">
        <f>'exchange rates'!$O$5</f>
        <v>1.2820499999999999</v>
      </c>
      <c r="G18" s="941"/>
      <c r="H18" s="631" t="s">
        <v>179</v>
      </c>
      <c r="I18" s="631"/>
      <c r="J18" s="631" t="s">
        <v>1028</v>
      </c>
      <c r="K18" s="969"/>
      <c r="L18" s="596">
        <f>758/F18</f>
        <v>591.24059124059124</v>
      </c>
      <c r="M18" s="595">
        <v>0</v>
      </c>
      <c r="N18" s="626">
        <v>0</v>
      </c>
      <c r="O18" s="595">
        <v>0</v>
      </c>
      <c r="P18" s="597">
        <v>0</v>
      </c>
      <c r="Q18" s="595">
        <v>0</v>
      </c>
      <c r="R18" s="570" t="e">
        <f>Tabel6689212733[[#This Row],[landcode 3]]+Tabel6689212733[[#This Row],[VAT Sew. 2017]]+Tabel6689212733[[#This Row],[VAT WW 2017]]+Tabel6689212733[[#This Row],[VAT Other ch. 2017]]</f>
        <v>#VALUE!</v>
      </c>
      <c r="S18" s="571">
        <f>Tabel6689212733[[#This Row],[GDP 2017]]+Tabel6689212733[[#This Row],[Sew. 2017]]+Tabel6689212733[[#This Row],[VAT Sew. 2017]]+Tabel6689212733[[#This Row],[WW 2017]]+Tabel6689212733[[#This Row],[VAT WW 2017]]+Tabel6689212733[[#This Row],[Other ch. 2017]]+Tabel6689212733[[#This Row],[VAT Other ch. 2017]]</f>
        <v>591.24059124059124</v>
      </c>
      <c r="T18" s="397"/>
      <c r="U18" s="1763"/>
      <c r="V18" s="1766"/>
      <c r="W18" s="1769"/>
      <c r="X18" s="1783"/>
      <c r="Y18" s="1775"/>
      <c r="Z18" s="1778"/>
      <c r="AA18" s="1783"/>
      <c r="AB18" s="1781"/>
      <c r="AC18" s="1783"/>
      <c r="AD18" s="1785"/>
      <c r="AE18" s="1783"/>
      <c r="AF18" s="1788"/>
      <c r="AG18" s="1791"/>
      <c r="AH18" s="397"/>
      <c r="AI18" s="398"/>
      <c r="AJ18" s="591" t="s">
        <v>429</v>
      </c>
      <c r="AK18" s="398"/>
      <c r="AL18" s="396"/>
      <c r="AM18" s="591" t="s">
        <v>429</v>
      </c>
      <c r="AN18" s="396"/>
      <c r="AO18" s="398"/>
      <c r="AP18" s="397"/>
    </row>
    <row r="19" spans="1:42" ht="15.6" hidden="1" customHeight="1" x14ac:dyDescent="0.25">
      <c r="A19" s="1796"/>
      <c r="B19" s="631" t="s">
        <v>180</v>
      </c>
      <c r="C19" s="631"/>
      <c r="D19" s="631" t="s">
        <v>1028</v>
      </c>
      <c r="E19" s="1760"/>
      <c r="F19" s="616">
        <f>'exchange rates'!$O$5</f>
        <v>1.2820499999999999</v>
      </c>
      <c r="G19" s="941"/>
      <c r="H19" s="631" t="s">
        <v>180</v>
      </c>
      <c r="I19" s="631"/>
      <c r="J19" s="631" t="s">
        <v>1028</v>
      </c>
      <c r="K19" s="969"/>
      <c r="L19" s="596">
        <f>584/F19</f>
        <v>455.52045552045553</v>
      </c>
      <c r="M19" s="595">
        <v>0</v>
      </c>
      <c r="N19" s="626">
        <v>0</v>
      </c>
      <c r="O19" s="595">
        <v>0</v>
      </c>
      <c r="P19" s="597">
        <v>0</v>
      </c>
      <c r="Q19" s="595">
        <v>0</v>
      </c>
      <c r="R19" s="570" t="e">
        <f>Tabel6689212733[[#This Row],[landcode 3]]+Tabel6689212733[[#This Row],[VAT Sew. 2017]]+Tabel6689212733[[#This Row],[VAT WW 2017]]+Tabel6689212733[[#This Row],[VAT Other ch. 2017]]</f>
        <v>#VALUE!</v>
      </c>
      <c r="S19" s="571">
        <f>Tabel6689212733[[#This Row],[GDP 2017]]+Tabel6689212733[[#This Row],[Sew. 2017]]+Tabel6689212733[[#This Row],[VAT Sew. 2017]]+Tabel6689212733[[#This Row],[WW 2017]]+Tabel6689212733[[#This Row],[VAT WW 2017]]+Tabel6689212733[[#This Row],[Other ch. 2017]]+Tabel6689212733[[#This Row],[VAT Other ch. 2017]]</f>
        <v>455.52045552045553</v>
      </c>
      <c r="T19" s="397"/>
      <c r="U19" s="1763"/>
      <c r="V19" s="1766"/>
      <c r="W19" s="1769"/>
      <c r="X19" s="1783"/>
      <c r="Y19" s="1775"/>
      <c r="Z19" s="1778"/>
      <c r="AA19" s="1783"/>
      <c r="AB19" s="1781"/>
      <c r="AC19" s="1783"/>
      <c r="AD19" s="1785"/>
      <c r="AE19" s="1783"/>
      <c r="AF19" s="1788"/>
      <c r="AG19" s="1791"/>
      <c r="AH19" s="397"/>
      <c r="AI19" s="398"/>
      <c r="AJ19" s="591" t="s">
        <v>429</v>
      </c>
      <c r="AK19" s="396"/>
      <c r="AL19" s="396"/>
      <c r="AM19" s="591" t="s">
        <v>429</v>
      </c>
      <c r="AN19" s="396"/>
      <c r="AO19" s="398"/>
      <c r="AP19" s="397"/>
    </row>
    <row r="20" spans="1:42" ht="15.6" hidden="1" customHeight="1" x14ac:dyDescent="0.25">
      <c r="A20" s="1796"/>
      <c r="B20" s="631" t="s">
        <v>544</v>
      </c>
      <c r="C20" s="631" t="s">
        <v>429</v>
      </c>
      <c r="D20" s="631" t="s">
        <v>1028</v>
      </c>
      <c r="E20" s="1760"/>
      <c r="F20" s="616">
        <f>'exchange rates'!$O$5</f>
        <v>1.2820499999999999</v>
      </c>
      <c r="G20" s="941"/>
      <c r="H20" s="631" t="s">
        <v>544</v>
      </c>
      <c r="I20" s="631" t="s">
        <v>429</v>
      </c>
      <c r="J20" s="631" t="s">
        <v>1028</v>
      </c>
      <c r="K20" s="969"/>
      <c r="L20" s="596">
        <f>529/F20</f>
        <v>412.62041262041265</v>
      </c>
      <c r="M20" s="595">
        <v>0</v>
      </c>
      <c r="N20" s="626">
        <v>0</v>
      </c>
      <c r="O20" s="595">
        <v>0</v>
      </c>
      <c r="P20" s="597">
        <v>0</v>
      </c>
      <c r="Q20" s="595">
        <v>0</v>
      </c>
      <c r="R20" s="570" t="e">
        <f>Tabel6689212733[[#This Row],[landcode 3]]+Tabel6689212733[[#This Row],[VAT Sew. 2017]]+Tabel6689212733[[#This Row],[VAT WW 2017]]+Tabel6689212733[[#This Row],[VAT Other ch. 2017]]</f>
        <v>#VALUE!</v>
      </c>
      <c r="S20" s="571">
        <f>Tabel6689212733[[#This Row],[GDP 2017]]+Tabel6689212733[[#This Row],[Sew. 2017]]+Tabel6689212733[[#This Row],[VAT Sew. 2017]]+Tabel6689212733[[#This Row],[WW 2017]]+Tabel6689212733[[#This Row],[VAT WW 2017]]+Tabel6689212733[[#This Row],[Other ch. 2017]]+Tabel6689212733[[#This Row],[VAT Other ch. 2017]]</f>
        <v>412.62041262041265</v>
      </c>
      <c r="T20" s="397"/>
      <c r="U20" s="1763"/>
      <c r="V20" s="1766"/>
      <c r="W20" s="1769"/>
      <c r="X20" s="1783"/>
      <c r="Y20" s="1775"/>
      <c r="Z20" s="1778"/>
      <c r="AA20" s="1783"/>
      <c r="AB20" s="1781"/>
      <c r="AC20" s="1783"/>
      <c r="AD20" s="1785"/>
      <c r="AE20" s="1783"/>
      <c r="AF20" s="1788"/>
      <c r="AG20" s="1791"/>
      <c r="AH20" s="397"/>
      <c r="AI20" s="396"/>
      <c r="AJ20" s="591" t="s">
        <v>429</v>
      </c>
      <c r="AK20" s="396"/>
      <c r="AL20" s="396"/>
      <c r="AM20" s="591" t="s">
        <v>429</v>
      </c>
      <c r="AN20" s="396"/>
      <c r="AO20" s="396"/>
      <c r="AP20" s="399"/>
    </row>
    <row r="21" spans="1:42" ht="15.6" hidden="1" customHeight="1" x14ac:dyDescent="0.25">
      <c r="A21" s="1796"/>
      <c r="B21" s="261" t="s">
        <v>545</v>
      </c>
      <c r="C21" s="261"/>
      <c r="D21" s="261" t="s">
        <v>1028</v>
      </c>
      <c r="E21" s="1760"/>
      <c r="F21" s="616">
        <f>'exchange rates'!$O$5</f>
        <v>1.2820499999999999</v>
      </c>
      <c r="G21" s="941"/>
      <c r="H21" s="261" t="s">
        <v>545</v>
      </c>
      <c r="I21" s="261"/>
      <c r="J21" s="261" t="s">
        <v>1028</v>
      </c>
      <c r="K21" s="969"/>
      <c r="L21" s="314"/>
      <c r="M21" s="558"/>
      <c r="N21" s="315"/>
      <c r="O21" s="558"/>
      <c r="P21" s="316"/>
      <c r="Q21" s="558"/>
      <c r="R21" s="317" t="e">
        <f>Tabel6689212733[[#This Row],[landcode 3]]+Tabel6689212733[[#This Row],[VAT Sew. 2017]]+Tabel6689212733[[#This Row],[VAT WW 2017]]+Tabel6689212733[[#This Row],[VAT Other ch. 2017]]</f>
        <v>#VALUE!</v>
      </c>
      <c r="S21" s="318">
        <f>Tabel6689212733[[#This Row],[GDP 2017]]+Tabel6689212733[[#This Row],[Sew. 2017]]+Tabel6689212733[[#This Row],[VAT Sew. 2017]]+Tabel6689212733[[#This Row],[WW 2017]]+Tabel6689212733[[#This Row],[VAT WW 2017]]+Tabel6689212733[[#This Row],[Other ch. 2017]]+Tabel6689212733[[#This Row],[VAT Other ch. 2017]]</f>
        <v>0</v>
      </c>
      <c r="T21" s="397"/>
      <c r="U21" s="1763"/>
      <c r="V21" s="1766"/>
      <c r="W21" s="1769"/>
      <c r="X21" s="1783"/>
      <c r="Y21" s="1775"/>
      <c r="Z21" s="1778"/>
      <c r="AA21" s="1783"/>
      <c r="AB21" s="1781"/>
      <c r="AC21" s="1783"/>
      <c r="AD21" s="1785"/>
      <c r="AE21" s="1783"/>
      <c r="AF21" s="1788"/>
      <c r="AG21" s="1791"/>
      <c r="AH21" s="397"/>
      <c r="AI21" s="396"/>
      <c r="AJ21" s="396"/>
      <c r="AK21" s="396"/>
      <c r="AL21" s="396"/>
      <c r="AM21" s="396"/>
      <c r="AN21" s="396"/>
      <c r="AO21" s="396"/>
      <c r="AP21" s="399"/>
    </row>
    <row r="22" spans="1:42" ht="15.6" hidden="1" customHeight="1" x14ac:dyDescent="0.25">
      <c r="A22" s="1796"/>
      <c r="B22" s="261" t="s">
        <v>779</v>
      </c>
      <c r="C22" s="261"/>
      <c r="D22" s="261" t="s">
        <v>1028</v>
      </c>
      <c r="E22" s="1760"/>
      <c r="F22" s="616">
        <f>'exchange rates'!$O$5</f>
        <v>1.2820499999999999</v>
      </c>
      <c r="G22" s="941"/>
      <c r="H22" s="261" t="s">
        <v>779</v>
      </c>
      <c r="I22" s="261"/>
      <c r="J22" s="261" t="s">
        <v>1028</v>
      </c>
      <c r="K22" s="969"/>
      <c r="L22" s="314"/>
      <c r="M22" s="558"/>
      <c r="N22" s="315"/>
      <c r="O22" s="558"/>
      <c r="P22" s="316"/>
      <c r="Q22" s="558"/>
      <c r="R22" s="317" t="e">
        <f>Tabel6689212733[[#This Row],[landcode 3]]+Tabel6689212733[[#This Row],[VAT Sew. 2017]]+Tabel6689212733[[#This Row],[VAT WW 2017]]+Tabel6689212733[[#This Row],[VAT Other ch. 2017]]</f>
        <v>#VALUE!</v>
      </c>
      <c r="S22" s="318">
        <f>Tabel6689212733[[#This Row],[GDP 2017]]+Tabel6689212733[[#This Row],[Sew. 2017]]+Tabel6689212733[[#This Row],[VAT Sew. 2017]]+Tabel6689212733[[#This Row],[WW 2017]]+Tabel6689212733[[#This Row],[VAT WW 2017]]+Tabel6689212733[[#This Row],[Other ch. 2017]]+Tabel6689212733[[#This Row],[VAT Other ch. 2017]]</f>
        <v>0</v>
      </c>
      <c r="T22" s="397"/>
      <c r="U22" s="1763"/>
      <c r="V22" s="1766"/>
      <c r="W22" s="1769"/>
      <c r="X22" s="1783"/>
      <c r="Y22" s="1775"/>
      <c r="Z22" s="1778"/>
      <c r="AA22" s="1783"/>
      <c r="AB22" s="1781"/>
      <c r="AC22" s="1783"/>
      <c r="AD22" s="1785"/>
      <c r="AE22" s="1783"/>
      <c r="AF22" s="1788"/>
      <c r="AG22" s="1791"/>
      <c r="AH22" s="397"/>
      <c r="AI22" s="396"/>
      <c r="AJ22" s="396"/>
      <c r="AK22" s="396"/>
      <c r="AL22" s="396"/>
      <c r="AM22" s="396"/>
      <c r="AN22" s="396"/>
      <c r="AO22" s="396"/>
      <c r="AP22" s="399"/>
    </row>
    <row r="23" spans="1:42" ht="16.149999999999999" hidden="1" customHeight="1" thickBot="1" x14ac:dyDescent="0.3">
      <c r="A23" s="1797"/>
      <c r="B23" s="262" t="s">
        <v>546</v>
      </c>
      <c r="C23" s="261"/>
      <c r="D23" s="261" t="s">
        <v>1028</v>
      </c>
      <c r="E23" s="1799"/>
      <c r="F23" s="616">
        <f>'exchange rates'!$O$5</f>
        <v>1.2820499999999999</v>
      </c>
      <c r="G23" s="942"/>
      <c r="H23" s="262" t="s">
        <v>546</v>
      </c>
      <c r="I23" s="261"/>
      <c r="J23" s="261" t="s">
        <v>1028</v>
      </c>
      <c r="K23" s="987"/>
      <c r="L23" s="314"/>
      <c r="M23" s="558"/>
      <c r="N23" s="315"/>
      <c r="O23" s="558"/>
      <c r="P23" s="316"/>
      <c r="Q23" s="558"/>
      <c r="R23" s="317" t="e">
        <f>Tabel6689212733[[#This Row],[landcode 3]]+Tabel6689212733[[#This Row],[VAT Sew. 2017]]+Tabel6689212733[[#This Row],[VAT WW 2017]]+Tabel6689212733[[#This Row],[VAT Other ch. 2017]]</f>
        <v>#VALUE!</v>
      </c>
      <c r="S23" s="318">
        <f>Tabel6689212733[[#This Row],[GDP 2017]]+Tabel6689212733[[#This Row],[Sew. 2017]]+Tabel6689212733[[#This Row],[VAT Sew. 2017]]+Tabel6689212733[[#This Row],[WW 2017]]+Tabel6689212733[[#This Row],[VAT WW 2017]]+Tabel6689212733[[#This Row],[Other ch. 2017]]+Tabel6689212733[[#This Row],[VAT Other ch. 2017]]</f>
        <v>0</v>
      </c>
      <c r="T23" s="397"/>
      <c r="U23" s="1801"/>
      <c r="V23" s="1803"/>
      <c r="W23" s="1805"/>
      <c r="X23" s="1773"/>
      <c r="Y23" s="1807"/>
      <c r="Z23" s="1809"/>
      <c r="AA23" s="1773"/>
      <c r="AB23" s="1782"/>
      <c r="AC23" s="1773"/>
      <c r="AD23" s="1786"/>
      <c r="AE23" s="1773"/>
      <c r="AF23" s="1789"/>
      <c r="AG23" s="1792"/>
      <c r="AH23" s="397"/>
      <c r="AI23" s="396"/>
      <c r="AJ23" s="396"/>
      <c r="AK23" s="396"/>
      <c r="AL23" s="396"/>
      <c r="AM23" s="396"/>
      <c r="AN23" s="396"/>
      <c r="AO23" s="396"/>
      <c r="AP23" s="399"/>
    </row>
    <row r="24" spans="1:42" ht="15.75" hidden="1" customHeight="1" x14ac:dyDescent="0.25">
      <c r="A24" s="1795" t="s">
        <v>4</v>
      </c>
      <c r="B24" s="724" t="s">
        <v>932</v>
      </c>
      <c r="C24" s="724"/>
      <c r="D24" s="806" t="s">
        <v>1030</v>
      </c>
      <c r="E24" s="1760">
        <v>49200</v>
      </c>
      <c r="F24" s="616">
        <f>'exchange rates'!O6</f>
        <v>0.83301000000000003</v>
      </c>
      <c r="G24" s="940" t="s">
        <v>4</v>
      </c>
      <c r="H24" s="724" t="s">
        <v>932</v>
      </c>
      <c r="I24" s="724"/>
      <c r="J24" s="806" t="s">
        <v>1030</v>
      </c>
      <c r="K24" s="969">
        <v>49200</v>
      </c>
      <c r="L24" s="596">
        <v>0</v>
      </c>
      <c r="M24" s="595">
        <v>0</v>
      </c>
      <c r="N24" s="626">
        <f>193/F24</f>
        <v>231.68989567952366</v>
      </c>
      <c r="O24" s="595">
        <f>19.32/F24</f>
        <v>23.192998883566823</v>
      </c>
      <c r="P24" s="597">
        <v>0</v>
      </c>
      <c r="Q24" s="595">
        <v>0</v>
      </c>
      <c r="R24" s="570" t="e">
        <f>Tabel6689212733[[#This Row],[landcode 3]]+Tabel6689212733[[#This Row],[VAT Sew. 2017]]+Tabel6689212733[[#This Row],[VAT WW 2017]]+Tabel6689212733[[#This Row],[VAT Other ch. 2017]]</f>
        <v>#VALUE!</v>
      </c>
      <c r="S24" s="571">
        <f>Tabel6689212733[[#This Row],[GDP 2017]]+Tabel6689212733[[#This Row],[Sew. 2017]]+Tabel6689212733[[#This Row],[VAT Sew. 2017]]+Tabel6689212733[[#This Row],[WW 2017]]+Tabel6689212733[[#This Row],[VAT WW 2017]]+Tabel6689212733[[#This Row],[Other ch. 2017]]+Tabel6689212733[[#This Row],[VAT Other ch. 2017]]</f>
        <v>49454.882894563096</v>
      </c>
      <c r="T24" s="397"/>
      <c r="U24" s="1824" t="str">
        <f>Tabel6689212733[[#This Row],[Country]]</f>
        <v>Austria</v>
      </c>
      <c r="V24" s="1825" t="str">
        <f>Tabel6689212733[[#This Row],[City]]</f>
        <v>average Austria</v>
      </c>
      <c r="W24" s="1826">
        <f>Tabel6689212733[[#This Row],[capital]]</f>
        <v>0</v>
      </c>
      <c r="X24" s="1771" t="str">
        <f>Tabel6689212733[[#This Row],[landcode 3]]</f>
        <v>AUT</v>
      </c>
      <c r="Y24" s="1827">
        <f>Tabel6689212733[[#This Row],[GDP 2017]]</f>
        <v>49200</v>
      </c>
      <c r="Z24" s="1828">
        <f>Tabel6689212733[[#This Row],[Sew. 2017]]</f>
        <v>0</v>
      </c>
      <c r="AA24" s="1771">
        <f>Tabel6689212733[[#This Row],[VAT Sew. 2017]]</f>
        <v>0</v>
      </c>
      <c r="AB24" s="1829">
        <f>Tabel6689212733[[#This Row],[WW 2017]]</f>
        <v>231.68989567952366</v>
      </c>
      <c r="AC24" s="1771">
        <f>Tabel6689212733[[#This Row],[VAT WW 2017]]</f>
        <v>23.192998883566823</v>
      </c>
      <c r="AD24" s="1830">
        <f>Tabel6689212733[[#This Row],[Other ch. 2017]]</f>
        <v>0</v>
      </c>
      <c r="AE24" s="1771">
        <f>Tabel6689212733[[#This Row],[VAT Other ch. 2017]]</f>
        <v>0</v>
      </c>
      <c r="AF24" s="1816" t="e">
        <f>Tabel6689212733[[#This Row],[Total VAT 2017]]</f>
        <v>#VALUE!</v>
      </c>
      <c r="AG24" s="1817">
        <f>Tabel6689212733[[#This Row],[total charge 2017]]</f>
        <v>49454.882894563096</v>
      </c>
      <c r="AH24" s="397"/>
      <c r="AI24" s="398"/>
      <c r="AJ24" s="591" t="s">
        <v>429</v>
      </c>
      <c r="AK24" s="614"/>
      <c r="AL24" s="614"/>
      <c r="AM24" s="591" t="s">
        <v>429</v>
      </c>
      <c r="AN24" s="591" t="s">
        <v>429</v>
      </c>
      <c r="AO24" s="398"/>
      <c r="AP24" s="397"/>
    </row>
    <row r="25" spans="1:42" ht="15.75" hidden="1" customHeight="1" x14ac:dyDescent="0.25">
      <c r="A25" s="1796"/>
      <c r="B25" s="452" t="s">
        <v>60</v>
      </c>
      <c r="C25" s="452"/>
      <c r="D25" s="452" t="s">
        <v>1030</v>
      </c>
      <c r="E25" s="1760"/>
      <c r="F25" s="306">
        <f>'exchange rates'!K6</f>
        <v>0.72762000000000004</v>
      </c>
      <c r="G25" s="941"/>
      <c r="H25" s="452" t="s">
        <v>60</v>
      </c>
      <c r="I25" s="452"/>
      <c r="J25" s="452" t="s">
        <v>1030</v>
      </c>
      <c r="K25" s="969"/>
      <c r="L25" s="314">
        <v>0</v>
      </c>
      <c r="M25" s="558"/>
      <c r="N25" s="315">
        <f>382.6/F25</f>
        <v>525.82391907863996</v>
      </c>
      <c r="O25" s="558"/>
      <c r="P25" s="316">
        <v>0</v>
      </c>
      <c r="Q25" s="558"/>
      <c r="R25" s="317" t="e">
        <f>Tabel6689212733[[#This Row],[landcode 3]]+Tabel6689212733[[#This Row],[VAT Sew. 2017]]+Tabel6689212733[[#This Row],[VAT WW 2017]]+Tabel6689212733[[#This Row],[VAT Other ch. 2017]]</f>
        <v>#VALUE!</v>
      </c>
      <c r="S25" s="318">
        <f>Tabel6689212733[[#This Row],[GDP 2017]]+Tabel6689212733[[#This Row],[Sew. 2017]]+Tabel6689212733[[#This Row],[VAT Sew. 2017]]+Tabel6689212733[[#This Row],[WW 2017]]+Tabel6689212733[[#This Row],[VAT WW 2017]]+Tabel6689212733[[#This Row],[Other ch. 2017]]+Tabel6689212733[[#This Row],[VAT Other ch. 2017]]</f>
        <v>525.82391907863996</v>
      </c>
      <c r="T25" s="397"/>
      <c r="U25" s="1763"/>
      <c r="V25" s="1766"/>
      <c r="W25" s="1769"/>
      <c r="X25" s="1772"/>
      <c r="Y25" s="1775"/>
      <c r="Z25" s="1778"/>
      <c r="AA25" s="1772"/>
      <c r="AB25" s="1781"/>
      <c r="AC25" s="1772"/>
      <c r="AD25" s="1785"/>
      <c r="AE25" s="1772"/>
      <c r="AF25" s="1788"/>
      <c r="AG25" s="1791"/>
      <c r="AH25" s="397"/>
      <c r="AI25" s="398"/>
      <c r="AJ25" s="396" t="s">
        <v>429</v>
      </c>
      <c r="AK25" s="398"/>
      <c r="AL25" s="398"/>
      <c r="AM25" s="396" t="s">
        <v>429</v>
      </c>
      <c r="AN25" s="396"/>
      <c r="AO25" s="398"/>
      <c r="AP25" s="397"/>
    </row>
    <row r="26" spans="1:42" ht="15.75" hidden="1" customHeight="1" x14ac:dyDescent="0.25">
      <c r="A26" s="1796"/>
      <c r="B26" s="452" t="s">
        <v>61</v>
      </c>
      <c r="C26" s="452"/>
      <c r="D26" s="452" t="s">
        <v>1030</v>
      </c>
      <c r="E26" s="1760"/>
      <c r="F26" s="306">
        <f>'exchange rates'!K6</f>
        <v>0.72762000000000004</v>
      </c>
      <c r="G26" s="941"/>
      <c r="H26" s="452" t="s">
        <v>61</v>
      </c>
      <c r="I26" s="452"/>
      <c r="J26" s="452" t="s">
        <v>1030</v>
      </c>
      <c r="K26" s="969"/>
      <c r="L26" s="314">
        <f>0</f>
        <v>0</v>
      </c>
      <c r="M26" s="558"/>
      <c r="N26" s="315">
        <f>192.04/F26</f>
        <v>263.92897391495558</v>
      </c>
      <c r="O26" s="558"/>
      <c r="P26" s="316">
        <v>0</v>
      </c>
      <c r="Q26" s="558"/>
      <c r="R26" s="317" t="e">
        <f>Tabel6689212733[[#This Row],[landcode 3]]+Tabel6689212733[[#This Row],[VAT Sew. 2017]]+Tabel6689212733[[#This Row],[VAT WW 2017]]+Tabel6689212733[[#This Row],[VAT Other ch. 2017]]</f>
        <v>#VALUE!</v>
      </c>
      <c r="S26" s="318">
        <f>Tabel6689212733[[#This Row],[GDP 2017]]+Tabel6689212733[[#This Row],[Sew. 2017]]+Tabel6689212733[[#This Row],[VAT Sew. 2017]]+Tabel6689212733[[#This Row],[WW 2017]]+Tabel6689212733[[#This Row],[VAT WW 2017]]+Tabel6689212733[[#This Row],[Other ch. 2017]]+Tabel6689212733[[#This Row],[VAT Other ch. 2017]]</f>
        <v>263.92897391495558</v>
      </c>
      <c r="T26" s="397"/>
      <c r="U26" s="1763"/>
      <c r="V26" s="1766"/>
      <c r="W26" s="1769"/>
      <c r="X26" s="1772"/>
      <c r="Y26" s="1775"/>
      <c r="Z26" s="1778"/>
      <c r="AA26" s="1772"/>
      <c r="AB26" s="1781"/>
      <c r="AC26" s="1772"/>
      <c r="AD26" s="1785"/>
      <c r="AE26" s="1772"/>
      <c r="AF26" s="1788"/>
      <c r="AG26" s="1791"/>
      <c r="AH26" s="397"/>
      <c r="AI26" s="398"/>
      <c r="AJ26" s="396" t="s">
        <v>429</v>
      </c>
      <c r="AK26" s="398"/>
      <c r="AL26" s="398"/>
      <c r="AM26" s="396" t="s">
        <v>429</v>
      </c>
      <c r="AN26" s="396"/>
      <c r="AO26" s="398"/>
      <c r="AP26" s="397"/>
    </row>
    <row r="27" spans="1:42" ht="16.5" hidden="1" customHeight="1" x14ac:dyDescent="0.25">
      <c r="A27" s="1796"/>
      <c r="B27" s="452" t="s">
        <v>62</v>
      </c>
      <c r="C27" s="452"/>
      <c r="D27" s="452" t="s">
        <v>1030</v>
      </c>
      <c r="E27" s="1760"/>
      <c r="F27" s="306">
        <f>'exchange rates'!K6</f>
        <v>0.72762000000000004</v>
      </c>
      <c r="G27" s="941"/>
      <c r="H27" s="452" t="s">
        <v>62</v>
      </c>
      <c r="I27" s="452"/>
      <c r="J27" s="452" t="s">
        <v>1030</v>
      </c>
      <c r="K27" s="969"/>
      <c r="L27" s="314">
        <v>0</v>
      </c>
      <c r="M27" s="558"/>
      <c r="N27" s="315">
        <f>496/F27</f>
        <v>681.67450042604651</v>
      </c>
      <c r="O27" s="558"/>
      <c r="P27" s="316">
        <v>0</v>
      </c>
      <c r="Q27" s="558"/>
      <c r="R27" s="317" t="e">
        <f>Tabel6689212733[[#This Row],[landcode 3]]+Tabel6689212733[[#This Row],[VAT Sew. 2017]]+Tabel6689212733[[#This Row],[VAT WW 2017]]+Tabel6689212733[[#This Row],[VAT Other ch. 2017]]</f>
        <v>#VALUE!</v>
      </c>
      <c r="S27" s="318">
        <f>Tabel6689212733[[#This Row],[GDP 2017]]+Tabel6689212733[[#This Row],[Sew. 2017]]+Tabel6689212733[[#This Row],[VAT Sew. 2017]]+Tabel6689212733[[#This Row],[WW 2017]]+Tabel6689212733[[#This Row],[VAT WW 2017]]+Tabel6689212733[[#This Row],[Other ch. 2017]]+Tabel6689212733[[#This Row],[VAT Other ch. 2017]]</f>
        <v>681.67450042604651</v>
      </c>
      <c r="T27" s="397"/>
      <c r="U27" s="1763"/>
      <c r="V27" s="1766"/>
      <c r="W27" s="1769"/>
      <c r="X27" s="1772"/>
      <c r="Y27" s="1775"/>
      <c r="Z27" s="1778"/>
      <c r="AA27" s="1772"/>
      <c r="AB27" s="1781"/>
      <c r="AC27" s="1772"/>
      <c r="AD27" s="1785"/>
      <c r="AE27" s="1772"/>
      <c r="AF27" s="1788"/>
      <c r="AG27" s="1791"/>
      <c r="AH27" s="397"/>
      <c r="AI27" s="398"/>
      <c r="AJ27" s="396" t="s">
        <v>429</v>
      </c>
      <c r="AK27" s="398"/>
      <c r="AL27" s="398"/>
      <c r="AM27" s="396" t="s">
        <v>429</v>
      </c>
      <c r="AN27" s="396"/>
      <c r="AO27" s="398"/>
      <c r="AP27" s="397"/>
    </row>
    <row r="28" spans="1:42" ht="16.5" hidden="1" customHeight="1" thickBot="1" x14ac:dyDescent="0.3">
      <c r="A28" s="1797"/>
      <c r="B28" s="453" t="s">
        <v>63</v>
      </c>
      <c r="C28" s="801" t="s">
        <v>429</v>
      </c>
      <c r="D28" s="801" t="s">
        <v>1030</v>
      </c>
      <c r="E28" s="1799"/>
      <c r="F28" s="306">
        <f>'exchange rates'!K6</f>
        <v>0.72762000000000004</v>
      </c>
      <c r="G28" s="942"/>
      <c r="H28" s="453" t="s">
        <v>63</v>
      </c>
      <c r="I28" s="801" t="s">
        <v>429</v>
      </c>
      <c r="J28" s="801" t="s">
        <v>1030</v>
      </c>
      <c r="K28" s="987"/>
      <c r="L28" s="314">
        <v>0</v>
      </c>
      <c r="M28" s="558"/>
      <c r="N28" s="315">
        <f>354.6/F28</f>
        <v>487.34229405458893</v>
      </c>
      <c r="O28" s="558"/>
      <c r="P28" s="316">
        <v>0</v>
      </c>
      <c r="Q28" s="558"/>
      <c r="R28" s="317" t="e">
        <f>Tabel6689212733[[#This Row],[landcode 3]]+Tabel6689212733[[#This Row],[VAT Sew. 2017]]+Tabel6689212733[[#This Row],[VAT WW 2017]]+Tabel6689212733[[#This Row],[VAT Other ch. 2017]]</f>
        <v>#VALUE!</v>
      </c>
      <c r="S28" s="318">
        <f>Tabel6689212733[[#This Row],[GDP 2017]]+Tabel6689212733[[#This Row],[Sew. 2017]]+Tabel6689212733[[#This Row],[VAT Sew. 2017]]+Tabel6689212733[[#This Row],[WW 2017]]+Tabel6689212733[[#This Row],[VAT WW 2017]]+Tabel6689212733[[#This Row],[Other ch. 2017]]+Tabel6689212733[[#This Row],[VAT Other ch. 2017]]</f>
        <v>487.34229405458893</v>
      </c>
      <c r="T28" s="397"/>
      <c r="U28" s="1801"/>
      <c r="V28" s="1803"/>
      <c r="W28" s="1805"/>
      <c r="X28" s="1773"/>
      <c r="Y28" s="1807"/>
      <c r="Z28" s="1809"/>
      <c r="AA28" s="1773"/>
      <c r="AB28" s="1782"/>
      <c r="AC28" s="1773"/>
      <c r="AD28" s="1786"/>
      <c r="AE28" s="1773"/>
      <c r="AF28" s="1789"/>
      <c r="AG28" s="1792"/>
      <c r="AH28" s="397"/>
      <c r="AI28" s="398"/>
      <c r="AJ28" s="396" t="s">
        <v>429</v>
      </c>
      <c r="AK28" s="398"/>
      <c r="AL28" s="398"/>
      <c r="AM28" s="396" t="s">
        <v>429</v>
      </c>
      <c r="AN28" s="396"/>
      <c r="AO28" s="398"/>
      <c r="AP28" s="397"/>
    </row>
    <row r="29" spans="1:42" ht="15.75" hidden="1" customHeight="1" x14ac:dyDescent="0.25">
      <c r="A29" s="1818" t="s">
        <v>6</v>
      </c>
      <c r="B29" s="735" t="s">
        <v>67</v>
      </c>
      <c r="C29" s="802"/>
      <c r="D29" s="802" t="s">
        <v>1032</v>
      </c>
      <c r="E29" s="1821">
        <v>46300</v>
      </c>
      <c r="F29" s="616">
        <f>'exchange rates'!$O$7</f>
        <v>0.83301000000000003</v>
      </c>
      <c r="G29" s="929" t="s">
        <v>6</v>
      </c>
      <c r="H29" s="735" t="s">
        <v>67</v>
      </c>
      <c r="I29" s="802"/>
      <c r="J29" s="802" t="s">
        <v>1032</v>
      </c>
      <c r="K29" s="1020">
        <v>46300</v>
      </c>
      <c r="L29" s="596">
        <f>144.64/F29</f>
        <v>173.63537052376319</v>
      </c>
      <c r="M29" s="595">
        <f>8.68/F29</f>
        <v>10.420042976674949</v>
      </c>
      <c r="N29" s="626">
        <f>102.74/F29</f>
        <v>123.33585431147284</v>
      </c>
      <c r="O29" s="595">
        <f>6.16/F29</f>
        <v>7.3948692092531898</v>
      </c>
      <c r="P29" s="597">
        <v>0</v>
      </c>
      <c r="Q29" s="595">
        <v>0</v>
      </c>
      <c r="R29" s="570" t="e">
        <f>Tabel6689212733[[#This Row],[landcode 3]]+Tabel6689212733[[#This Row],[VAT Sew. 2017]]+Tabel6689212733[[#This Row],[VAT WW 2017]]+Tabel6689212733[[#This Row],[VAT Other ch. 2017]]</f>
        <v>#VALUE!</v>
      </c>
      <c r="S29" s="571">
        <f>Tabel6689212733[[#This Row],[GDP 2017]]+Tabel6689212733[[#This Row],[Sew. 2017]]+Tabel6689212733[[#This Row],[VAT Sew. 2017]]+Tabel6689212733[[#This Row],[WW 2017]]+Tabel6689212733[[#This Row],[VAT WW 2017]]+Tabel6689212733[[#This Row],[Other ch. 2017]]+Tabel6689212733[[#This Row],[VAT Other ch. 2017]]</f>
        <v>46614.786137021161</v>
      </c>
      <c r="T29" s="397"/>
      <c r="U29" s="1824" t="e">
        <f>MEDIAN(G29:G36)</f>
        <v>#NUM!</v>
      </c>
      <c r="V29" s="1825" t="e">
        <f>MEDIAN(H29:H36)</f>
        <v>#NUM!</v>
      </c>
      <c r="W29" s="1826" t="e">
        <f>MEDIAN(I29:I36)</f>
        <v>#NUM!</v>
      </c>
      <c r="X29" s="1771" t="e">
        <f>MEDIAN(J29:J36)</f>
        <v>#NUM!</v>
      </c>
      <c r="Y29" s="1827" t="e">
        <f>SUM(U29:X36)</f>
        <v>#NUM!</v>
      </c>
      <c r="Z29" s="1828">
        <f t="shared" ref="Z29:AF29" si="2">MEDIAN(L29:L36)</f>
        <v>149.06783832126865</v>
      </c>
      <c r="AA29" s="1771">
        <f t="shared" si="2"/>
        <v>8.9494723952893711</v>
      </c>
      <c r="AB29" s="1829">
        <f t="shared" si="2"/>
        <v>123.33585431147284</v>
      </c>
      <c r="AC29" s="1771">
        <f t="shared" si="2"/>
        <v>7.3948692092531898</v>
      </c>
      <c r="AD29" s="1830">
        <f t="shared" si="2"/>
        <v>0</v>
      </c>
      <c r="AE29" s="1771">
        <f t="shared" si="2"/>
        <v>0</v>
      </c>
      <c r="AF29" s="1816" t="e">
        <f t="shared" si="2"/>
        <v>#VALUE!</v>
      </c>
      <c r="AG29" s="1817" t="e">
        <f>Y29+Z29+AA29+AB29+AC29+AD29+AE29</f>
        <v>#NUM!</v>
      </c>
      <c r="AH29" s="397"/>
      <c r="AI29" s="398"/>
      <c r="AJ29" s="398"/>
      <c r="AK29" s="398"/>
      <c r="AL29" s="591" t="s">
        <v>429</v>
      </c>
      <c r="AM29" s="591" t="s">
        <v>429</v>
      </c>
      <c r="AN29" s="614"/>
      <c r="AO29" s="398"/>
      <c r="AP29" s="397"/>
    </row>
    <row r="30" spans="1:42" ht="15.75" hidden="1" customHeight="1" x14ac:dyDescent="0.25">
      <c r="A30" s="1819"/>
      <c r="B30" s="685" t="s">
        <v>71</v>
      </c>
      <c r="C30" s="802"/>
      <c r="D30" s="802" t="s">
        <v>1032</v>
      </c>
      <c r="E30" s="1822"/>
      <c r="F30" s="616">
        <f>'exchange rates'!$O$7</f>
        <v>0.83301000000000003</v>
      </c>
      <c r="G30" s="930"/>
      <c r="H30" s="685" t="s">
        <v>71</v>
      </c>
      <c r="I30" s="802"/>
      <c r="J30" s="802" t="s">
        <v>1032</v>
      </c>
      <c r="K30" s="1021"/>
      <c r="L30" s="596">
        <f>107.75/F30</f>
        <v>129.35018787289468</v>
      </c>
      <c r="M30" s="595">
        <f>6.47/F30</f>
        <v>7.767013601277295</v>
      </c>
      <c r="N30" s="626">
        <f>100.42/F30</f>
        <v>120.55077370019568</v>
      </c>
      <c r="O30" s="595">
        <f>6.03/F30</f>
        <v>7.2388086577592103</v>
      </c>
      <c r="P30" s="597">
        <v>0</v>
      </c>
      <c r="Q30" s="595">
        <v>0</v>
      </c>
      <c r="R30" s="570" t="e">
        <f>Tabel6689212733[[#This Row],[landcode 3]]+Tabel6689212733[[#This Row],[VAT Sew. 2017]]+Tabel6689212733[[#This Row],[VAT WW 2017]]+Tabel6689212733[[#This Row],[VAT Other ch. 2017]]</f>
        <v>#VALUE!</v>
      </c>
      <c r="S30" s="571">
        <f>Tabel6689212733[[#This Row],[GDP 2017]]+Tabel6689212733[[#This Row],[Sew. 2017]]+Tabel6689212733[[#This Row],[VAT Sew. 2017]]+Tabel6689212733[[#This Row],[WW 2017]]+Tabel6689212733[[#This Row],[VAT WW 2017]]+Tabel6689212733[[#This Row],[Other ch. 2017]]+Tabel6689212733[[#This Row],[VAT Other ch. 2017]]</f>
        <v>264.90678383212685</v>
      </c>
      <c r="T30" s="397"/>
      <c r="U30" s="1763"/>
      <c r="V30" s="1766"/>
      <c r="W30" s="1769"/>
      <c r="X30" s="1772"/>
      <c r="Y30" s="1775"/>
      <c r="Z30" s="1778"/>
      <c r="AA30" s="1772"/>
      <c r="AB30" s="1781"/>
      <c r="AC30" s="1772"/>
      <c r="AD30" s="1785"/>
      <c r="AE30" s="1772"/>
      <c r="AF30" s="1788"/>
      <c r="AG30" s="1791"/>
      <c r="AH30" s="397"/>
      <c r="AI30" s="398"/>
      <c r="AJ30" s="398"/>
      <c r="AK30" s="398"/>
      <c r="AL30" s="591" t="s">
        <v>429</v>
      </c>
      <c r="AM30" s="591" t="s">
        <v>429</v>
      </c>
      <c r="AN30" s="614"/>
      <c r="AO30" s="398"/>
      <c r="AP30" s="397"/>
    </row>
    <row r="31" spans="1:42" ht="15.75" hidden="1" customHeight="1" x14ac:dyDescent="0.25">
      <c r="A31" s="1819"/>
      <c r="B31" s="685" t="s">
        <v>68</v>
      </c>
      <c r="C31" s="802" t="s">
        <v>429</v>
      </c>
      <c r="D31" s="802" t="s">
        <v>1032</v>
      </c>
      <c r="E31" s="1822"/>
      <c r="F31" s="616">
        <f>'exchange rates'!$O$7</f>
        <v>0.83301000000000003</v>
      </c>
      <c r="G31" s="930"/>
      <c r="H31" s="685" t="s">
        <v>68</v>
      </c>
      <c r="I31" s="802" t="s">
        <v>429</v>
      </c>
      <c r="J31" s="802" t="s">
        <v>1032</v>
      </c>
      <c r="K31" s="1021"/>
      <c r="L31" s="596">
        <f>101.6/F31</f>
        <v>121.96732332144872</v>
      </c>
      <c r="M31" s="595">
        <f>6.1/F31</f>
        <v>7.3228412624098143</v>
      </c>
      <c r="N31" s="626">
        <f>54.85/F31</f>
        <v>65.845548072652193</v>
      </c>
      <c r="O31" s="595">
        <f>3.29/F31</f>
        <v>3.9495324185784084</v>
      </c>
      <c r="P31" s="597">
        <v>0</v>
      </c>
      <c r="Q31" s="595">
        <v>0</v>
      </c>
      <c r="R31" s="570" t="e">
        <f>Tabel6689212733[[#This Row],[landcode 3]]+Tabel6689212733[[#This Row],[VAT Sew. 2017]]+Tabel6689212733[[#This Row],[VAT WW 2017]]+Tabel6689212733[[#This Row],[VAT Other ch. 2017]]</f>
        <v>#VALUE!</v>
      </c>
      <c r="S31" s="571">
        <f>Tabel6689212733[[#This Row],[GDP 2017]]+Tabel6689212733[[#This Row],[Sew. 2017]]+Tabel6689212733[[#This Row],[VAT Sew. 2017]]+Tabel6689212733[[#This Row],[WW 2017]]+Tabel6689212733[[#This Row],[VAT WW 2017]]+Tabel6689212733[[#This Row],[Other ch. 2017]]+Tabel6689212733[[#This Row],[VAT Other ch. 2017]]</f>
        <v>199.08524507508915</v>
      </c>
      <c r="T31" s="397"/>
      <c r="U31" s="1763"/>
      <c r="V31" s="1766"/>
      <c r="W31" s="1769"/>
      <c r="X31" s="1772"/>
      <c r="Y31" s="1775"/>
      <c r="Z31" s="1778"/>
      <c r="AA31" s="1772"/>
      <c r="AB31" s="1781"/>
      <c r="AC31" s="1772"/>
      <c r="AD31" s="1785"/>
      <c r="AE31" s="1772"/>
      <c r="AF31" s="1788"/>
      <c r="AG31" s="1791"/>
      <c r="AH31" s="397"/>
      <c r="AI31" s="398"/>
      <c r="AJ31" s="398"/>
      <c r="AK31" s="398"/>
      <c r="AL31" s="591" t="s">
        <v>429</v>
      </c>
      <c r="AM31" s="591" t="s">
        <v>429</v>
      </c>
      <c r="AN31" s="614"/>
      <c r="AO31" s="398"/>
      <c r="AP31" s="397"/>
    </row>
    <row r="32" spans="1:42" ht="15.75" hidden="1" customHeight="1" x14ac:dyDescent="0.25">
      <c r="A32" s="1819"/>
      <c r="B32" s="685" t="s">
        <v>72</v>
      </c>
      <c r="C32" s="802"/>
      <c r="D32" s="802" t="s">
        <v>1032</v>
      </c>
      <c r="E32" s="1822"/>
      <c r="F32" s="616">
        <f>'exchange rates'!$O$7</f>
        <v>0.83301000000000003</v>
      </c>
      <c r="G32" s="930"/>
      <c r="H32" s="685" t="s">
        <v>72</v>
      </c>
      <c r="I32" s="802"/>
      <c r="J32" s="802" t="s">
        <v>1032</v>
      </c>
      <c r="K32" s="1021"/>
      <c r="L32" s="596">
        <v>0</v>
      </c>
      <c r="M32" s="595">
        <v>0</v>
      </c>
      <c r="N32" s="626">
        <f>224/F32</f>
        <v>268.90433488193418</v>
      </c>
      <c r="O32" s="595">
        <f>13.44/F32</f>
        <v>16.134260092916051</v>
      </c>
      <c r="P32" s="597">
        <v>0</v>
      </c>
      <c r="Q32" s="595">
        <v>0</v>
      </c>
      <c r="R32" s="570" t="e">
        <f>Tabel6689212733[[#This Row],[landcode 3]]+Tabel6689212733[[#This Row],[VAT Sew. 2017]]+Tabel6689212733[[#This Row],[VAT WW 2017]]+Tabel6689212733[[#This Row],[VAT Other ch. 2017]]</f>
        <v>#VALUE!</v>
      </c>
      <c r="S32" s="571">
        <f>Tabel6689212733[[#This Row],[GDP 2017]]+Tabel6689212733[[#This Row],[Sew. 2017]]+Tabel6689212733[[#This Row],[VAT Sew. 2017]]+Tabel6689212733[[#This Row],[WW 2017]]+Tabel6689212733[[#This Row],[VAT WW 2017]]+Tabel6689212733[[#This Row],[Other ch. 2017]]+Tabel6689212733[[#This Row],[VAT Other ch. 2017]]</f>
        <v>285.03859497485024</v>
      </c>
      <c r="T32" s="397"/>
      <c r="U32" s="1763"/>
      <c r="V32" s="1766"/>
      <c r="W32" s="1769"/>
      <c r="X32" s="1772"/>
      <c r="Y32" s="1775"/>
      <c r="Z32" s="1778"/>
      <c r="AA32" s="1772"/>
      <c r="AB32" s="1781"/>
      <c r="AC32" s="1772"/>
      <c r="AD32" s="1785"/>
      <c r="AE32" s="1772"/>
      <c r="AF32" s="1788"/>
      <c r="AG32" s="1791"/>
      <c r="AH32" s="397"/>
      <c r="AI32" s="398"/>
      <c r="AJ32" s="398"/>
      <c r="AK32" s="398"/>
      <c r="AL32" s="591" t="s">
        <v>429</v>
      </c>
      <c r="AM32" s="591" t="s">
        <v>429</v>
      </c>
      <c r="AN32" s="591" t="s">
        <v>429</v>
      </c>
      <c r="AO32" s="398"/>
      <c r="AP32" s="397"/>
    </row>
    <row r="33" spans="1:42" ht="15.75" hidden="1" customHeight="1" x14ac:dyDescent="0.25">
      <c r="A33" s="1819"/>
      <c r="B33" s="685" t="s">
        <v>69</v>
      </c>
      <c r="C33" s="802"/>
      <c r="D33" s="802" t="s">
        <v>1032</v>
      </c>
      <c r="E33" s="1822"/>
      <c r="F33" s="616">
        <f>'exchange rates'!$O$7</f>
        <v>0.83301000000000003</v>
      </c>
      <c r="G33" s="930"/>
      <c r="H33" s="685" t="s">
        <v>69</v>
      </c>
      <c r="I33" s="802"/>
      <c r="J33" s="802" t="s">
        <v>1032</v>
      </c>
      <c r="K33" s="1021"/>
      <c r="L33" s="596">
        <f>144.64/F33</f>
        <v>173.63537052376319</v>
      </c>
      <c r="M33" s="595">
        <f>8.68/F33</f>
        <v>10.420042976674949</v>
      </c>
      <c r="N33" s="626">
        <f>102.74/F33</f>
        <v>123.33585431147284</v>
      </c>
      <c r="O33" s="595">
        <f>6.16/F33</f>
        <v>7.3948692092531898</v>
      </c>
      <c r="P33" s="597">
        <v>0</v>
      </c>
      <c r="Q33" s="595">
        <v>0</v>
      </c>
      <c r="R33" s="570" t="e">
        <f>Tabel6689212733[[#This Row],[landcode 3]]+Tabel6689212733[[#This Row],[VAT Sew. 2017]]+Tabel6689212733[[#This Row],[VAT WW 2017]]+Tabel6689212733[[#This Row],[VAT Other ch. 2017]]</f>
        <v>#VALUE!</v>
      </c>
      <c r="S33" s="571">
        <f>Tabel6689212733[[#This Row],[GDP 2017]]+Tabel6689212733[[#This Row],[Sew. 2017]]+Tabel6689212733[[#This Row],[VAT Sew. 2017]]+Tabel6689212733[[#This Row],[WW 2017]]+Tabel6689212733[[#This Row],[VAT WW 2017]]+Tabel6689212733[[#This Row],[Other ch. 2017]]+Tabel6689212733[[#This Row],[VAT Other ch. 2017]]</f>
        <v>314.78613702116422</v>
      </c>
      <c r="T33" s="397"/>
      <c r="U33" s="1763"/>
      <c r="V33" s="1766"/>
      <c r="W33" s="1769"/>
      <c r="X33" s="1772"/>
      <c r="Y33" s="1775"/>
      <c r="Z33" s="1778"/>
      <c r="AA33" s="1772"/>
      <c r="AB33" s="1781"/>
      <c r="AC33" s="1772"/>
      <c r="AD33" s="1785"/>
      <c r="AE33" s="1772"/>
      <c r="AF33" s="1788"/>
      <c r="AG33" s="1791"/>
      <c r="AH33" s="397"/>
      <c r="AI33" s="398"/>
      <c r="AJ33" s="398"/>
      <c r="AK33" s="398"/>
      <c r="AL33" s="591" t="s">
        <v>429</v>
      </c>
      <c r="AM33" s="591" t="s">
        <v>429</v>
      </c>
      <c r="AN33" s="614"/>
      <c r="AO33" s="398"/>
      <c r="AP33" s="397"/>
    </row>
    <row r="34" spans="1:42" ht="15.75" hidden="1" customHeight="1" x14ac:dyDescent="0.25">
      <c r="A34" s="1819"/>
      <c r="B34" s="685" t="s">
        <v>70</v>
      </c>
      <c r="C34" s="802"/>
      <c r="D34" s="802" t="s">
        <v>1032</v>
      </c>
      <c r="E34" s="1822"/>
      <c r="F34" s="616">
        <f>'exchange rates'!$O$7</f>
        <v>0.83301000000000003</v>
      </c>
      <c r="G34" s="930"/>
      <c r="H34" s="685" t="s">
        <v>70</v>
      </c>
      <c r="I34" s="802"/>
      <c r="J34" s="802" t="s">
        <v>1032</v>
      </c>
      <c r="K34" s="1021"/>
      <c r="L34" s="596">
        <f>144.64/F34</f>
        <v>173.63537052376319</v>
      </c>
      <c r="M34" s="595">
        <f>8.68/F34</f>
        <v>10.420042976674949</v>
      </c>
      <c r="N34" s="626">
        <f>102.74/F34</f>
        <v>123.33585431147284</v>
      </c>
      <c r="O34" s="595">
        <f>6.16/F34</f>
        <v>7.3948692092531898</v>
      </c>
      <c r="P34" s="597">
        <v>0</v>
      </c>
      <c r="Q34" s="595">
        <v>0</v>
      </c>
      <c r="R34" s="570" t="e">
        <f>Tabel6689212733[[#This Row],[landcode 3]]+Tabel6689212733[[#This Row],[VAT Sew. 2017]]+Tabel6689212733[[#This Row],[VAT WW 2017]]+Tabel6689212733[[#This Row],[VAT Other ch. 2017]]</f>
        <v>#VALUE!</v>
      </c>
      <c r="S34" s="571">
        <f>Tabel6689212733[[#This Row],[GDP 2017]]+Tabel6689212733[[#This Row],[Sew. 2017]]+Tabel6689212733[[#This Row],[VAT Sew. 2017]]+Tabel6689212733[[#This Row],[WW 2017]]+Tabel6689212733[[#This Row],[VAT WW 2017]]+Tabel6689212733[[#This Row],[Other ch. 2017]]+Tabel6689212733[[#This Row],[VAT Other ch. 2017]]</f>
        <v>314.78613702116422</v>
      </c>
      <c r="T34" s="397"/>
      <c r="U34" s="1763"/>
      <c r="V34" s="1766"/>
      <c r="W34" s="1769"/>
      <c r="X34" s="1772"/>
      <c r="Y34" s="1775"/>
      <c r="Z34" s="1778"/>
      <c r="AA34" s="1772"/>
      <c r="AB34" s="1781"/>
      <c r="AC34" s="1772"/>
      <c r="AD34" s="1785"/>
      <c r="AE34" s="1772"/>
      <c r="AF34" s="1788"/>
      <c r="AG34" s="1791"/>
      <c r="AH34" s="397"/>
      <c r="AI34" s="398"/>
      <c r="AJ34" s="398"/>
      <c r="AK34" s="398"/>
      <c r="AL34" s="591" t="s">
        <v>429</v>
      </c>
      <c r="AM34" s="591" t="s">
        <v>429</v>
      </c>
      <c r="AN34" s="614"/>
      <c r="AO34" s="398"/>
      <c r="AP34" s="397"/>
    </row>
    <row r="35" spans="1:42" ht="16.5" hidden="1" customHeight="1" x14ac:dyDescent="0.25">
      <c r="A35" s="1819"/>
      <c r="B35" s="735" t="s">
        <v>216</v>
      </c>
      <c r="C35" s="802"/>
      <c r="D35" s="802" t="s">
        <v>1032</v>
      </c>
      <c r="E35" s="1822"/>
      <c r="F35" s="616">
        <f>'exchange rates'!$O$7</f>
        <v>0.83301000000000003</v>
      </c>
      <c r="G35" s="930"/>
      <c r="H35" s="735" t="s">
        <v>216</v>
      </c>
      <c r="I35" s="802"/>
      <c r="J35" s="802" t="s">
        <v>1032</v>
      </c>
      <c r="K35" s="1021"/>
      <c r="L35" s="596">
        <f>140.6/F35</f>
        <v>168.7854887696426</v>
      </c>
      <c r="M35" s="595">
        <f>8.44/F35</f>
        <v>10.131931189301447</v>
      </c>
      <c r="N35" s="626">
        <f>100.42/F35</f>
        <v>120.55077370019568</v>
      </c>
      <c r="O35" s="595">
        <f>6.03/F35</f>
        <v>7.2388086577592103</v>
      </c>
      <c r="P35" s="597">
        <v>0</v>
      </c>
      <c r="Q35" s="595">
        <v>0</v>
      </c>
      <c r="R35" s="570" t="e">
        <f>Tabel6689212733[[#This Row],[landcode 3]]+Tabel6689212733[[#This Row],[VAT Sew. 2017]]+Tabel6689212733[[#This Row],[VAT WW 2017]]+Tabel6689212733[[#This Row],[VAT Other ch. 2017]]</f>
        <v>#VALUE!</v>
      </c>
      <c r="S35" s="571">
        <f>Tabel6689212733[[#This Row],[GDP 2017]]+Tabel6689212733[[#This Row],[Sew. 2017]]+Tabel6689212733[[#This Row],[VAT Sew. 2017]]+Tabel6689212733[[#This Row],[WW 2017]]+Tabel6689212733[[#This Row],[VAT WW 2017]]+Tabel6689212733[[#This Row],[Other ch. 2017]]+Tabel6689212733[[#This Row],[VAT Other ch. 2017]]</f>
        <v>306.70700231689892</v>
      </c>
      <c r="T35" s="397"/>
      <c r="U35" s="1763"/>
      <c r="V35" s="1766"/>
      <c r="W35" s="1769"/>
      <c r="X35" s="1772"/>
      <c r="Y35" s="1775"/>
      <c r="Z35" s="1778"/>
      <c r="AA35" s="1772"/>
      <c r="AB35" s="1781"/>
      <c r="AC35" s="1772"/>
      <c r="AD35" s="1785"/>
      <c r="AE35" s="1772"/>
      <c r="AF35" s="1788"/>
      <c r="AG35" s="1791"/>
      <c r="AH35" s="397"/>
      <c r="AI35" s="398"/>
      <c r="AJ35" s="398"/>
      <c r="AK35" s="398"/>
      <c r="AL35" s="591" t="s">
        <v>429</v>
      </c>
      <c r="AM35" s="591" t="s">
        <v>429</v>
      </c>
      <c r="AN35" s="614"/>
      <c r="AO35" s="398"/>
      <c r="AP35" s="397"/>
    </row>
    <row r="36" spans="1:42" ht="17.25" hidden="1" customHeight="1" thickBot="1" x14ac:dyDescent="0.3">
      <c r="A36" s="1820"/>
      <c r="B36" s="736" t="s">
        <v>629</v>
      </c>
      <c r="C36" s="802"/>
      <c r="D36" s="807" t="s">
        <v>1032</v>
      </c>
      <c r="E36" s="1823"/>
      <c r="F36" s="616">
        <f>'exchange rates'!$O$7</f>
        <v>0.83301000000000003</v>
      </c>
      <c r="G36" s="931"/>
      <c r="H36" s="736" t="s">
        <v>629</v>
      </c>
      <c r="I36" s="802"/>
      <c r="J36" s="807" t="s">
        <v>1032</v>
      </c>
      <c r="K36" s="1022"/>
      <c r="L36" s="596">
        <f>0/F36</f>
        <v>0</v>
      </c>
      <c r="M36" s="595">
        <v>0</v>
      </c>
      <c r="N36" s="626">
        <f>224/F36</f>
        <v>268.90433488193418</v>
      </c>
      <c r="O36" s="595">
        <f>13.44/F36</f>
        <v>16.134260092916051</v>
      </c>
      <c r="P36" s="597">
        <v>0</v>
      </c>
      <c r="Q36" s="595">
        <v>0</v>
      </c>
      <c r="R36" s="570" t="e">
        <f>Tabel6689212733[[#This Row],[landcode 3]]+Tabel6689212733[[#This Row],[VAT Sew. 2017]]+Tabel6689212733[[#This Row],[VAT WW 2017]]+Tabel6689212733[[#This Row],[VAT Other ch. 2017]]</f>
        <v>#VALUE!</v>
      </c>
      <c r="S36" s="571">
        <f>Tabel6689212733[[#This Row],[GDP 2017]]+Tabel6689212733[[#This Row],[Sew. 2017]]+Tabel6689212733[[#This Row],[VAT Sew. 2017]]+Tabel6689212733[[#This Row],[WW 2017]]+Tabel6689212733[[#This Row],[VAT WW 2017]]+Tabel6689212733[[#This Row],[Other ch. 2017]]+Tabel6689212733[[#This Row],[VAT Other ch. 2017]]</f>
        <v>285.03859497485024</v>
      </c>
      <c r="T36" s="397"/>
      <c r="U36" s="1764"/>
      <c r="V36" s="1767"/>
      <c r="W36" s="1770"/>
      <c r="X36" s="1773"/>
      <c r="Y36" s="1776"/>
      <c r="Z36" s="1779"/>
      <c r="AA36" s="1773"/>
      <c r="AB36" s="1811"/>
      <c r="AC36" s="1773"/>
      <c r="AD36" s="1813"/>
      <c r="AE36" s="1773"/>
      <c r="AF36" s="1815"/>
      <c r="AG36" s="1794"/>
      <c r="AH36" s="397"/>
      <c r="AI36" s="398"/>
      <c r="AJ36" s="398"/>
      <c r="AK36" s="398"/>
      <c r="AL36" s="591" t="s">
        <v>429</v>
      </c>
      <c r="AM36" s="591" t="s">
        <v>429</v>
      </c>
      <c r="AN36" s="591" t="s">
        <v>429</v>
      </c>
      <c r="AO36" s="398"/>
      <c r="AP36" s="397"/>
    </row>
    <row r="37" spans="1:42" ht="18" hidden="1" customHeight="1" x14ac:dyDescent="0.25">
      <c r="A37" s="1878" t="s">
        <v>49</v>
      </c>
      <c r="B37" s="729" t="s">
        <v>935</v>
      </c>
      <c r="C37" s="803"/>
      <c r="D37" s="803" t="s">
        <v>1034</v>
      </c>
      <c r="E37" s="1879">
        <v>15500</v>
      </c>
      <c r="F37" s="616">
        <f>'exchange rates'!$O$8</f>
        <v>3.3117299999999998</v>
      </c>
      <c r="G37" s="951" t="s">
        <v>49</v>
      </c>
      <c r="H37" s="729" t="s">
        <v>935</v>
      </c>
      <c r="I37" s="803"/>
      <c r="J37" s="803" t="s">
        <v>1034</v>
      </c>
      <c r="K37" s="1019">
        <v>15500</v>
      </c>
      <c r="L37" s="596" t="s">
        <v>5</v>
      </c>
      <c r="M37" s="595" t="s">
        <v>5</v>
      </c>
      <c r="N37" s="626" t="s">
        <v>5</v>
      </c>
      <c r="O37" s="595" t="s">
        <v>5</v>
      </c>
      <c r="P37" s="597" t="s">
        <v>5</v>
      </c>
      <c r="Q37" s="595" t="s">
        <v>5</v>
      </c>
      <c r="R37" s="570" t="s">
        <v>5</v>
      </c>
      <c r="S37" s="571">
        <f>296/F37</f>
        <v>89.379267029618958</v>
      </c>
      <c r="T37" s="397"/>
      <c r="U37" s="1881" t="s">
        <v>5</v>
      </c>
      <c r="V37" s="1895" t="s">
        <v>5</v>
      </c>
      <c r="W37" s="1898" t="s">
        <v>5</v>
      </c>
      <c r="X37" s="1860" t="s">
        <v>5</v>
      </c>
      <c r="Y37" s="1901" t="s">
        <v>5</v>
      </c>
      <c r="Z37" s="1904" t="s">
        <v>5</v>
      </c>
      <c r="AA37" s="1860" t="s">
        <v>5</v>
      </c>
      <c r="AB37" s="1863" t="s">
        <v>5</v>
      </c>
      <c r="AC37" s="1860" t="s">
        <v>5</v>
      </c>
      <c r="AD37" s="1866" t="s">
        <v>5</v>
      </c>
      <c r="AE37" s="1860" t="s">
        <v>5</v>
      </c>
      <c r="AF37" s="1869" t="s">
        <v>5</v>
      </c>
      <c r="AG37" s="1831">
        <f>Tabel6689212733[[#This Row],[total charge 2017]]</f>
        <v>89.379267029618958</v>
      </c>
      <c r="AH37" s="397"/>
      <c r="AI37" s="396"/>
      <c r="AJ37" s="398"/>
      <c r="AK37" s="398"/>
      <c r="AL37" s="591" t="s">
        <v>429</v>
      </c>
      <c r="AM37" s="398"/>
      <c r="AN37" s="398"/>
      <c r="AO37" s="398"/>
      <c r="AP37" s="397"/>
    </row>
    <row r="38" spans="1:42" ht="15.6" hidden="1" customHeight="1" x14ac:dyDescent="0.25">
      <c r="A38" s="1757"/>
      <c r="B38" s="632" t="s">
        <v>462</v>
      </c>
      <c r="C38" s="803"/>
      <c r="D38" s="803" t="s">
        <v>1034</v>
      </c>
      <c r="E38" s="1880"/>
      <c r="F38" s="616">
        <f>'exchange rates'!$O$8</f>
        <v>3.3117299999999998</v>
      </c>
      <c r="G38" s="952"/>
      <c r="H38" s="632" t="s">
        <v>462</v>
      </c>
      <c r="I38" s="803"/>
      <c r="J38" s="803" t="s">
        <v>1034</v>
      </c>
      <c r="K38" s="999"/>
      <c r="L38" s="596" t="s">
        <v>5</v>
      </c>
      <c r="M38" s="595" t="s">
        <v>5</v>
      </c>
      <c r="N38" s="626" t="s">
        <v>5</v>
      </c>
      <c r="O38" s="595" t="s">
        <v>5</v>
      </c>
      <c r="P38" s="597" t="s">
        <v>5</v>
      </c>
      <c r="Q38" s="595" t="s">
        <v>5</v>
      </c>
      <c r="R38" s="570" t="s">
        <v>5</v>
      </c>
      <c r="S38" s="571">
        <f>243/F38</f>
        <v>73.375546919585844</v>
      </c>
      <c r="T38" s="397"/>
      <c r="U38" s="1882"/>
      <c r="V38" s="1896"/>
      <c r="W38" s="1899"/>
      <c r="X38" s="1861"/>
      <c r="Y38" s="1902"/>
      <c r="Z38" s="1905"/>
      <c r="AA38" s="1861"/>
      <c r="AB38" s="1864"/>
      <c r="AC38" s="1861"/>
      <c r="AD38" s="1867"/>
      <c r="AE38" s="1861"/>
      <c r="AF38" s="1870"/>
      <c r="AG38" s="1832"/>
      <c r="AH38" s="397"/>
      <c r="AI38" s="396"/>
      <c r="AJ38" s="398"/>
      <c r="AK38" s="398"/>
      <c r="AL38" s="591" t="s">
        <v>429</v>
      </c>
      <c r="AM38" s="398"/>
      <c r="AN38" s="398"/>
      <c r="AO38" s="398"/>
      <c r="AP38" s="397"/>
    </row>
    <row r="39" spans="1:42" ht="16.149999999999999" hidden="1" customHeight="1" thickBot="1" x14ac:dyDescent="0.3">
      <c r="A39" s="1758"/>
      <c r="B39" s="730" t="s">
        <v>933</v>
      </c>
      <c r="C39" s="803" t="s">
        <v>429</v>
      </c>
      <c r="D39" s="810" t="s">
        <v>1034</v>
      </c>
      <c r="E39" s="1799"/>
      <c r="F39" s="616">
        <f>'exchange rates'!$O$8</f>
        <v>3.3117299999999998</v>
      </c>
      <c r="G39" s="953"/>
      <c r="H39" s="730" t="s">
        <v>933</v>
      </c>
      <c r="I39" s="803" t="s">
        <v>429</v>
      </c>
      <c r="J39" s="810" t="s">
        <v>1034</v>
      </c>
      <c r="K39" s="987"/>
      <c r="L39" s="596" t="s">
        <v>5</v>
      </c>
      <c r="M39" s="595" t="s">
        <v>5</v>
      </c>
      <c r="N39" s="626" t="s">
        <v>5</v>
      </c>
      <c r="O39" s="595" t="s">
        <v>5</v>
      </c>
      <c r="P39" s="597" t="s">
        <v>5</v>
      </c>
      <c r="Q39" s="595" t="s">
        <v>5</v>
      </c>
      <c r="R39" s="570" t="s">
        <v>5</v>
      </c>
      <c r="S39" s="571">
        <f>437/F39</f>
        <v>131.95520166197124</v>
      </c>
      <c r="T39" s="397"/>
      <c r="U39" s="1883"/>
      <c r="V39" s="1897"/>
      <c r="W39" s="1900"/>
      <c r="X39" s="1862"/>
      <c r="Y39" s="1903"/>
      <c r="Z39" s="1906"/>
      <c r="AA39" s="1862"/>
      <c r="AB39" s="1865"/>
      <c r="AC39" s="1862"/>
      <c r="AD39" s="1868"/>
      <c r="AE39" s="1862"/>
      <c r="AF39" s="1871"/>
      <c r="AG39" s="1792"/>
      <c r="AH39" s="397"/>
      <c r="AI39" s="396"/>
      <c r="AJ39" s="398"/>
      <c r="AK39" s="398"/>
      <c r="AL39" s="591" t="s">
        <v>429</v>
      </c>
      <c r="AM39" s="398"/>
      <c r="AN39" s="398"/>
      <c r="AO39" s="398"/>
      <c r="AP39" s="397"/>
    </row>
    <row r="40" spans="1:42" ht="18.75" hidden="1" customHeight="1" x14ac:dyDescent="0.25">
      <c r="A40" s="1833" t="s">
        <v>487</v>
      </c>
      <c r="B40" s="277" t="s">
        <v>481</v>
      </c>
      <c r="C40" s="804"/>
      <c r="D40" s="804" t="s">
        <v>1034</v>
      </c>
      <c r="E40" s="1836">
        <v>11600</v>
      </c>
      <c r="F40" s="306">
        <v>1.86534</v>
      </c>
      <c r="G40" s="958" t="s">
        <v>487</v>
      </c>
      <c r="H40" s="277" t="s">
        <v>481</v>
      </c>
      <c r="I40" s="804"/>
      <c r="J40" s="804" t="s">
        <v>1034</v>
      </c>
      <c r="K40" s="1025">
        <v>11600</v>
      </c>
      <c r="L40" s="314">
        <f>132.88/F40</f>
        <v>71.236342972326753</v>
      </c>
      <c r="M40" s="558"/>
      <c r="N40" s="315">
        <v>0</v>
      </c>
      <c r="O40" s="558"/>
      <c r="P40" s="316">
        <v>0</v>
      </c>
      <c r="Q40" s="558"/>
      <c r="R40" s="317" t="e">
        <f>Tabel6689212733[[#This Row],[landcode 3]]+Tabel6689212733[[#This Row],[VAT Sew. 2017]]+Tabel6689212733[[#This Row],[VAT WW 2017]]+Tabel6689212733[[#This Row],[VAT Other ch. 2017]]</f>
        <v>#VALUE!</v>
      </c>
      <c r="S40" s="318">
        <f>Tabel6689212733[[#This Row],[GDP 2017]]+Tabel6689212733[[#This Row],[Sew. 2017]]+Tabel6689212733[[#This Row],[VAT Sew. 2017]]+Tabel6689212733[[#This Row],[WW 2017]]+Tabel6689212733[[#This Row],[VAT WW 2017]]+Tabel6689212733[[#This Row],[Other ch. 2017]]+Tabel6689212733[[#This Row],[VAT Other ch. 2017]]</f>
        <v>11671.236342972326</v>
      </c>
      <c r="T40" s="397"/>
      <c r="U40" s="1839">
        <f>SUM(G40:G44)/5</f>
        <v>0</v>
      </c>
      <c r="V40" s="1842">
        <f>SUM(H40:H44)/5</f>
        <v>0</v>
      </c>
      <c r="W40" s="1845">
        <f>SUM(I40:I44)/5</f>
        <v>0</v>
      </c>
      <c r="X40" s="575"/>
      <c r="Y40" s="1848">
        <f>SUM(K40:K44)/5</f>
        <v>2320</v>
      </c>
      <c r="Z40" s="1851">
        <f>SUM(L40:L44)/5</f>
        <v>197.96069349287529</v>
      </c>
      <c r="AA40" s="575"/>
      <c r="AB40" s="1854">
        <f>SUM(N40:N44)/5</f>
        <v>0</v>
      </c>
      <c r="AC40" s="575"/>
      <c r="AD40" s="1857">
        <f>SUM(P40:P44)/5</f>
        <v>0</v>
      </c>
      <c r="AE40" s="575"/>
      <c r="AF40" s="1872" t="e">
        <f t="shared" ref="AF40:AG40" si="3">SUM(R40:R44)/5</f>
        <v>#VALUE!</v>
      </c>
      <c r="AG40" s="1875">
        <f t="shared" si="3"/>
        <v>2517.9606934928752</v>
      </c>
      <c r="AH40" s="397"/>
      <c r="AI40" s="396"/>
      <c r="AJ40" s="398"/>
      <c r="AK40" s="398"/>
      <c r="AL40" s="398"/>
      <c r="AM40" s="398"/>
      <c r="AN40" s="398"/>
      <c r="AO40" s="398"/>
      <c r="AP40" s="397"/>
    </row>
    <row r="41" spans="1:42" ht="18.75" hidden="1" customHeight="1" x14ac:dyDescent="0.25">
      <c r="A41" s="1834"/>
      <c r="B41" s="277" t="s">
        <v>482</v>
      </c>
      <c r="C41" s="804"/>
      <c r="D41" s="804" t="s">
        <v>1034</v>
      </c>
      <c r="E41" s="1837"/>
      <c r="F41" s="306">
        <v>1.86534</v>
      </c>
      <c r="G41" s="959"/>
      <c r="H41" s="277" t="s">
        <v>482</v>
      </c>
      <c r="I41" s="804"/>
      <c r="J41" s="804" t="s">
        <v>1034</v>
      </c>
      <c r="K41" s="1014"/>
      <c r="L41" s="314">
        <f>83.04/F41</f>
        <v>44.517353404741229</v>
      </c>
      <c r="M41" s="558"/>
      <c r="N41" s="315">
        <v>0</v>
      </c>
      <c r="O41" s="558"/>
      <c r="P41" s="316">
        <v>0</v>
      </c>
      <c r="Q41" s="558"/>
      <c r="R41" s="317" t="e">
        <f>Tabel6689212733[[#This Row],[landcode 3]]+Tabel6689212733[[#This Row],[VAT Sew. 2017]]+Tabel6689212733[[#This Row],[VAT WW 2017]]+Tabel6689212733[[#This Row],[VAT Other ch. 2017]]</f>
        <v>#VALUE!</v>
      </c>
      <c r="S41" s="318">
        <f>Tabel6689212733[[#This Row],[GDP 2017]]+Tabel6689212733[[#This Row],[Sew. 2017]]+Tabel6689212733[[#This Row],[VAT Sew. 2017]]+Tabel6689212733[[#This Row],[WW 2017]]+Tabel6689212733[[#This Row],[VAT WW 2017]]+Tabel6689212733[[#This Row],[Other ch. 2017]]+Tabel6689212733[[#This Row],[VAT Other ch. 2017]]</f>
        <v>44.517353404741229</v>
      </c>
      <c r="T41" s="397"/>
      <c r="U41" s="1840"/>
      <c r="V41" s="1843"/>
      <c r="W41" s="1846"/>
      <c r="X41" s="576"/>
      <c r="Y41" s="1849"/>
      <c r="Z41" s="1852"/>
      <c r="AA41" s="576"/>
      <c r="AB41" s="1855"/>
      <c r="AC41" s="576"/>
      <c r="AD41" s="1858"/>
      <c r="AE41" s="576"/>
      <c r="AF41" s="1873"/>
      <c r="AG41" s="1876"/>
      <c r="AH41" s="397"/>
      <c r="AI41" s="396"/>
      <c r="AJ41" s="398"/>
      <c r="AK41" s="398"/>
      <c r="AL41" s="398"/>
      <c r="AM41" s="398"/>
      <c r="AN41" s="398"/>
      <c r="AO41" s="398"/>
      <c r="AP41" s="397"/>
    </row>
    <row r="42" spans="1:42" ht="18.75" hidden="1" customHeight="1" x14ac:dyDescent="0.25">
      <c r="A42" s="1834"/>
      <c r="B42" s="277" t="s">
        <v>483</v>
      </c>
      <c r="C42" s="804"/>
      <c r="D42" s="804" t="s">
        <v>1034</v>
      </c>
      <c r="E42" s="1837"/>
      <c r="F42" s="306">
        <v>1.86534</v>
      </c>
      <c r="G42" s="959"/>
      <c r="H42" s="277" t="s">
        <v>483</v>
      </c>
      <c r="I42" s="804"/>
      <c r="J42" s="804" t="s">
        <v>1034</v>
      </c>
      <c r="K42" s="1014"/>
      <c r="L42" s="314">
        <f>371.52/F42</f>
        <v>199.1701244813278</v>
      </c>
      <c r="M42" s="558"/>
      <c r="N42" s="315">
        <v>0</v>
      </c>
      <c r="O42" s="558"/>
      <c r="P42" s="316">
        <v>0</v>
      </c>
      <c r="Q42" s="558"/>
      <c r="R42" s="317" t="e">
        <f>Tabel6689212733[[#This Row],[landcode 3]]+Tabel6689212733[[#This Row],[VAT Sew. 2017]]+Tabel6689212733[[#This Row],[VAT WW 2017]]+Tabel6689212733[[#This Row],[VAT Other ch. 2017]]</f>
        <v>#VALUE!</v>
      </c>
      <c r="S42" s="318">
        <f>Tabel6689212733[[#This Row],[GDP 2017]]+Tabel6689212733[[#This Row],[Sew. 2017]]+Tabel6689212733[[#This Row],[VAT Sew. 2017]]+Tabel6689212733[[#This Row],[WW 2017]]+Tabel6689212733[[#This Row],[VAT WW 2017]]+Tabel6689212733[[#This Row],[Other ch. 2017]]+Tabel6689212733[[#This Row],[VAT Other ch. 2017]]</f>
        <v>199.1701244813278</v>
      </c>
      <c r="T42" s="397"/>
      <c r="U42" s="1840"/>
      <c r="V42" s="1843"/>
      <c r="W42" s="1846"/>
      <c r="X42" s="576"/>
      <c r="Y42" s="1849"/>
      <c r="Z42" s="1852"/>
      <c r="AA42" s="576"/>
      <c r="AB42" s="1855"/>
      <c r="AC42" s="576"/>
      <c r="AD42" s="1858"/>
      <c r="AE42" s="576"/>
      <c r="AF42" s="1873"/>
      <c r="AG42" s="1876"/>
      <c r="AH42" s="397"/>
      <c r="AI42" s="396"/>
      <c r="AJ42" s="398"/>
      <c r="AK42" s="398"/>
      <c r="AL42" s="396" t="s">
        <v>429</v>
      </c>
      <c r="AM42" s="398"/>
      <c r="AN42" s="398"/>
      <c r="AO42" s="398" t="s">
        <v>486</v>
      </c>
      <c r="AP42" s="397"/>
    </row>
    <row r="43" spans="1:42" ht="18.75" hidden="1" customHeight="1" x14ac:dyDescent="0.25">
      <c r="A43" s="1834"/>
      <c r="B43" s="277" t="s">
        <v>484</v>
      </c>
      <c r="C43" s="804"/>
      <c r="D43" s="804" t="s">
        <v>1034</v>
      </c>
      <c r="E43" s="1837"/>
      <c r="F43" s="306">
        <v>1.86534</v>
      </c>
      <c r="G43" s="959"/>
      <c r="H43" s="277" t="s">
        <v>484</v>
      </c>
      <c r="I43" s="804"/>
      <c r="J43" s="804" t="s">
        <v>1034</v>
      </c>
      <c r="K43" s="1014"/>
      <c r="L43" s="314">
        <f>420.12/F43</f>
        <v>225.22435588150151</v>
      </c>
      <c r="M43" s="558"/>
      <c r="N43" s="315">
        <v>0</v>
      </c>
      <c r="O43" s="558"/>
      <c r="P43" s="316">
        <v>0</v>
      </c>
      <c r="Q43" s="558"/>
      <c r="R43" s="317" t="e">
        <f>Tabel6689212733[[#This Row],[landcode 3]]+Tabel6689212733[[#This Row],[VAT Sew. 2017]]+Tabel6689212733[[#This Row],[VAT WW 2017]]+Tabel6689212733[[#This Row],[VAT Other ch. 2017]]</f>
        <v>#VALUE!</v>
      </c>
      <c r="S43" s="318">
        <f>Tabel6689212733[[#This Row],[GDP 2017]]+Tabel6689212733[[#This Row],[Sew. 2017]]+Tabel6689212733[[#This Row],[VAT Sew. 2017]]+Tabel6689212733[[#This Row],[WW 2017]]+Tabel6689212733[[#This Row],[VAT WW 2017]]+Tabel6689212733[[#This Row],[Other ch. 2017]]+Tabel6689212733[[#This Row],[VAT Other ch. 2017]]</f>
        <v>225.22435588150151</v>
      </c>
      <c r="T43" s="397"/>
      <c r="U43" s="1840"/>
      <c r="V43" s="1843"/>
      <c r="W43" s="1846"/>
      <c r="X43" s="576"/>
      <c r="Y43" s="1849"/>
      <c r="Z43" s="1852"/>
      <c r="AA43" s="576"/>
      <c r="AB43" s="1855"/>
      <c r="AC43" s="576"/>
      <c r="AD43" s="1858"/>
      <c r="AE43" s="576"/>
      <c r="AF43" s="1873"/>
      <c r="AG43" s="1876"/>
      <c r="AH43" s="397"/>
      <c r="AI43" s="396"/>
      <c r="AJ43" s="398"/>
      <c r="AK43" s="398"/>
      <c r="AL43" s="398"/>
      <c r="AM43" s="398"/>
      <c r="AN43" s="398"/>
      <c r="AO43" s="398"/>
      <c r="AP43" s="397"/>
    </row>
    <row r="44" spans="1:42" ht="19.5" hidden="1" customHeight="1" thickBot="1" x14ac:dyDescent="0.3">
      <c r="A44" s="1835"/>
      <c r="B44" s="277" t="s">
        <v>485</v>
      </c>
      <c r="C44" s="804"/>
      <c r="D44" s="800" t="s">
        <v>1034</v>
      </c>
      <c r="E44" s="1838"/>
      <c r="F44" s="306">
        <v>1.86534</v>
      </c>
      <c r="G44" s="960"/>
      <c r="H44" s="277" t="s">
        <v>485</v>
      </c>
      <c r="I44" s="804"/>
      <c r="J44" s="800" t="s">
        <v>1034</v>
      </c>
      <c r="K44" s="996"/>
      <c r="L44" s="314">
        <f>838.76/F44</f>
        <v>449.65529072447919</v>
      </c>
      <c r="M44" s="558"/>
      <c r="N44" s="315">
        <v>0</v>
      </c>
      <c r="O44" s="558"/>
      <c r="P44" s="316">
        <v>0</v>
      </c>
      <c r="Q44" s="558"/>
      <c r="R44" s="317" t="e">
        <f>Tabel6689212733[[#This Row],[landcode 3]]+Tabel6689212733[[#This Row],[VAT Sew. 2017]]+Tabel6689212733[[#This Row],[VAT WW 2017]]+Tabel6689212733[[#This Row],[VAT Other ch. 2017]]</f>
        <v>#VALUE!</v>
      </c>
      <c r="S44" s="318">
        <f>Tabel6689212733[[#This Row],[GDP 2017]]+Tabel6689212733[[#This Row],[Sew. 2017]]+Tabel6689212733[[#This Row],[VAT Sew. 2017]]+Tabel6689212733[[#This Row],[WW 2017]]+Tabel6689212733[[#This Row],[VAT WW 2017]]+Tabel6689212733[[#This Row],[Other ch. 2017]]+Tabel6689212733[[#This Row],[VAT Other ch. 2017]]</f>
        <v>449.65529072447919</v>
      </c>
      <c r="T44" s="397"/>
      <c r="U44" s="1841"/>
      <c r="V44" s="1844"/>
      <c r="W44" s="1847"/>
      <c r="X44" s="577"/>
      <c r="Y44" s="1850"/>
      <c r="Z44" s="1853"/>
      <c r="AA44" s="577"/>
      <c r="AB44" s="1856"/>
      <c r="AC44" s="577"/>
      <c r="AD44" s="1859"/>
      <c r="AE44" s="577"/>
      <c r="AF44" s="1874"/>
      <c r="AG44" s="1877"/>
      <c r="AH44" s="397"/>
      <c r="AI44" s="396"/>
      <c r="AJ44" s="398"/>
      <c r="AK44" s="398"/>
      <c r="AL44" s="398"/>
      <c r="AM44" s="398"/>
      <c r="AN44" s="398"/>
      <c r="AO44" s="398"/>
      <c r="AP44" s="397"/>
    </row>
    <row r="45" spans="1:42" ht="15.75" hidden="1" customHeight="1" x14ac:dyDescent="0.25">
      <c r="A45" s="1818" t="s">
        <v>7</v>
      </c>
      <c r="B45" s="623" t="s">
        <v>73</v>
      </c>
      <c r="C45" s="802" t="s">
        <v>429</v>
      </c>
      <c r="D45" s="802" t="s">
        <v>1036</v>
      </c>
      <c r="E45" s="1884">
        <v>21600</v>
      </c>
      <c r="F45" s="647">
        <f>'exchange rates'!$O$9</f>
        <v>1.6293800000000001</v>
      </c>
      <c r="G45" s="929" t="s">
        <v>7</v>
      </c>
      <c r="H45" s="623" t="s">
        <v>73</v>
      </c>
      <c r="I45" s="802" t="s">
        <v>429</v>
      </c>
      <c r="J45" s="802" t="s">
        <v>1036</v>
      </c>
      <c r="K45" s="1018">
        <v>21600</v>
      </c>
      <c r="L45" s="596">
        <f>(0.34*100)/F45</f>
        <v>20.866832783021763</v>
      </c>
      <c r="M45" s="595">
        <f>(0.07*100)/F45</f>
        <v>4.2961126317985983</v>
      </c>
      <c r="N45" s="626">
        <f>(0.29*100)/F45</f>
        <v>17.798180903165619</v>
      </c>
      <c r="O45" s="595">
        <f>(0.06*100)/F45</f>
        <v>3.68238225582737</v>
      </c>
      <c r="P45" s="597">
        <v>0</v>
      </c>
      <c r="Q45" s="595">
        <v>0</v>
      </c>
      <c r="R45" s="570" t="e">
        <f>Tabel6689212733[[#This Row],[landcode 3]]+Tabel6689212733[[#This Row],[VAT Sew. 2017]]+Tabel6689212733[[#This Row],[VAT WW 2017]]+Tabel6689212733[[#This Row],[VAT Other ch. 2017]]</f>
        <v>#VALUE!</v>
      </c>
      <c r="S45" s="571">
        <f>Tabel6689212733[[#This Row],[GDP 2017]]+Tabel6689212733[[#This Row],[Sew. 2017]]+Tabel6689212733[[#This Row],[VAT Sew. 2017]]+Tabel6689212733[[#This Row],[WW 2017]]+Tabel6689212733[[#This Row],[VAT WW 2017]]+Tabel6689212733[[#This Row],[Other ch. 2017]]+Tabel6689212733[[#This Row],[VAT Other ch. 2017]]</f>
        <v>21646.643508573812</v>
      </c>
      <c r="T45" s="397"/>
      <c r="U45" s="1885" t="e">
        <f>MEDIAN(G45:G49)</f>
        <v>#NUM!</v>
      </c>
      <c r="V45" s="1887" t="e">
        <f t="shared" ref="V45:X45" si="4">MEDIAN(H45:H49)</f>
        <v>#NUM!</v>
      </c>
      <c r="W45" s="1889" t="e">
        <f t="shared" si="4"/>
        <v>#NUM!</v>
      </c>
      <c r="X45" s="1771" t="e">
        <f t="shared" si="4"/>
        <v>#NUM!</v>
      </c>
      <c r="Y45" s="1891" t="e">
        <f>SUM(U45:X49)</f>
        <v>#NUM!</v>
      </c>
      <c r="Z45" s="1893">
        <f t="shared" ref="Z45:AF45" si="5">MEDIAN(L45:L49)</f>
        <v>7.36476451165474</v>
      </c>
      <c r="AA45" s="1771">
        <f t="shared" si="5"/>
        <v>1.2274607519424565</v>
      </c>
      <c r="AB45" s="1910">
        <f t="shared" si="5"/>
        <v>19.025641655108078</v>
      </c>
      <c r="AC45" s="1771">
        <f t="shared" si="5"/>
        <v>3.68238225582737</v>
      </c>
      <c r="AD45" s="1912">
        <f t="shared" si="5"/>
        <v>0</v>
      </c>
      <c r="AE45" s="1771">
        <f t="shared" si="5"/>
        <v>0</v>
      </c>
      <c r="AF45" s="1914" t="e">
        <f t="shared" si="5"/>
        <v>#VALUE!</v>
      </c>
      <c r="AG45" s="1909" t="e">
        <f>Y45+Z45+AA45+AB45+AC45+AD45+AE45</f>
        <v>#NUM!</v>
      </c>
      <c r="AH45" s="397"/>
      <c r="AI45" s="396"/>
      <c r="AJ45" s="396"/>
      <c r="AK45" s="396"/>
      <c r="AL45" s="396"/>
      <c r="AM45" s="396"/>
      <c r="AN45" s="396"/>
      <c r="AO45" s="398"/>
      <c r="AP45" s="397"/>
    </row>
    <row r="46" spans="1:42" ht="15.75" hidden="1" customHeight="1" x14ac:dyDescent="0.25">
      <c r="A46" s="1819"/>
      <c r="B46" s="685" t="s">
        <v>74</v>
      </c>
      <c r="C46" s="802"/>
      <c r="D46" s="802" t="s">
        <v>1036</v>
      </c>
      <c r="E46" s="1880"/>
      <c r="F46" s="647">
        <f>'exchange rates'!$O$9</f>
        <v>1.6293800000000001</v>
      </c>
      <c r="G46" s="930"/>
      <c r="H46" s="685" t="s">
        <v>74</v>
      </c>
      <c r="I46" s="802"/>
      <c r="J46" s="802" t="s">
        <v>1036</v>
      </c>
      <c r="K46" s="999"/>
      <c r="L46" s="596">
        <f>(0.29*100)/F46</f>
        <v>17.798180903165619</v>
      </c>
      <c r="M46" s="595">
        <f>(0.06*100)/F46</f>
        <v>3.68238225582737</v>
      </c>
      <c r="N46" s="626">
        <f>(0.56*100)/F46</f>
        <v>34.368901054388786</v>
      </c>
      <c r="O46" s="595">
        <f>(0.11*100)/F46</f>
        <v>6.7510341356835113</v>
      </c>
      <c r="P46" s="597">
        <v>0</v>
      </c>
      <c r="Q46" s="595">
        <v>0</v>
      </c>
      <c r="R46" s="570" t="e">
        <f>Tabel6689212733[[#This Row],[landcode 3]]+Tabel6689212733[[#This Row],[VAT Sew. 2017]]+Tabel6689212733[[#This Row],[VAT WW 2017]]+Tabel6689212733[[#This Row],[VAT Other ch. 2017]]</f>
        <v>#VALUE!</v>
      </c>
      <c r="S46" s="571">
        <f>Tabel6689212733[[#This Row],[GDP 2017]]+Tabel6689212733[[#This Row],[Sew. 2017]]+Tabel6689212733[[#This Row],[VAT Sew. 2017]]+Tabel6689212733[[#This Row],[WW 2017]]+Tabel6689212733[[#This Row],[VAT WW 2017]]+Tabel6689212733[[#This Row],[Other ch. 2017]]+Tabel6689212733[[#This Row],[VAT Other ch. 2017]]</f>
        <v>62.60049834906529</v>
      </c>
      <c r="T46" s="397"/>
      <c r="U46" s="1886"/>
      <c r="V46" s="1888"/>
      <c r="W46" s="1890"/>
      <c r="X46" s="1772"/>
      <c r="Y46" s="1892"/>
      <c r="Z46" s="1894"/>
      <c r="AA46" s="1772"/>
      <c r="AB46" s="1911"/>
      <c r="AC46" s="1772"/>
      <c r="AD46" s="1913"/>
      <c r="AE46" s="1772"/>
      <c r="AF46" s="1915"/>
      <c r="AG46" s="1832"/>
      <c r="AH46" s="397"/>
      <c r="AI46" s="396"/>
      <c r="AJ46" s="396"/>
      <c r="AK46" s="396"/>
      <c r="AL46" s="396"/>
      <c r="AM46" s="396"/>
      <c r="AN46" s="396"/>
      <c r="AO46" s="398"/>
      <c r="AP46" s="397"/>
    </row>
    <row r="47" spans="1:42" ht="15.75" hidden="1" customHeight="1" x14ac:dyDescent="0.25">
      <c r="A47" s="1819"/>
      <c r="B47" s="685" t="s">
        <v>75</v>
      </c>
      <c r="C47" s="802"/>
      <c r="D47" s="802" t="s">
        <v>1036</v>
      </c>
      <c r="E47" s="1880"/>
      <c r="F47" s="647">
        <f>'exchange rates'!$O$9</f>
        <v>1.6293800000000001</v>
      </c>
      <c r="G47" s="930"/>
      <c r="H47" s="685" t="s">
        <v>75</v>
      </c>
      <c r="I47" s="802"/>
      <c r="J47" s="802" t="s">
        <v>1036</v>
      </c>
      <c r="K47" s="999"/>
      <c r="L47" s="596">
        <f>(0.12*100)/F47</f>
        <v>7.36476451165474</v>
      </c>
      <c r="M47" s="595">
        <f>(0.02*100)/F47</f>
        <v>1.2274607519424565</v>
      </c>
      <c r="N47" s="626">
        <f>(0.31*100)/F47</f>
        <v>19.025641655108078</v>
      </c>
      <c r="O47" s="595">
        <f t="shared" ref="O47" si="6">(0.06*100)/F47</f>
        <v>3.68238225582737</v>
      </c>
      <c r="P47" s="597">
        <v>0</v>
      </c>
      <c r="Q47" s="595">
        <v>0</v>
      </c>
      <c r="R47" s="570" t="e">
        <f>Tabel6689212733[[#This Row],[landcode 3]]+Tabel6689212733[[#This Row],[VAT Sew. 2017]]+Tabel6689212733[[#This Row],[VAT WW 2017]]+Tabel6689212733[[#This Row],[VAT Other ch. 2017]]</f>
        <v>#VALUE!</v>
      </c>
      <c r="S47" s="571">
        <f>Tabel6689212733[[#This Row],[GDP 2017]]+Tabel6689212733[[#This Row],[Sew. 2017]]+Tabel6689212733[[#This Row],[VAT Sew. 2017]]+Tabel6689212733[[#This Row],[WW 2017]]+Tabel6689212733[[#This Row],[VAT WW 2017]]+Tabel6689212733[[#This Row],[Other ch. 2017]]+Tabel6689212733[[#This Row],[VAT Other ch. 2017]]</f>
        <v>31.300249174532645</v>
      </c>
      <c r="T47" s="397"/>
      <c r="U47" s="1886"/>
      <c r="V47" s="1888"/>
      <c r="W47" s="1890"/>
      <c r="X47" s="1772"/>
      <c r="Y47" s="1892"/>
      <c r="Z47" s="1894"/>
      <c r="AA47" s="1772"/>
      <c r="AB47" s="1911"/>
      <c r="AC47" s="1772"/>
      <c r="AD47" s="1913"/>
      <c r="AE47" s="1772"/>
      <c r="AF47" s="1915"/>
      <c r="AG47" s="1832"/>
      <c r="AH47" s="397"/>
      <c r="AI47" s="396"/>
      <c r="AJ47" s="396"/>
      <c r="AK47" s="396"/>
      <c r="AL47" s="396"/>
      <c r="AM47" s="396"/>
      <c r="AN47" s="396"/>
      <c r="AO47" s="398"/>
      <c r="AP47" s="397"/>
    </row>
    <row r="48" spans="1:42" ht="15.75" hidden="1" customHeight="1" x14ac:dyDescent="0.25">
      <c r="A48" s="1819"/>
      <c r="B48" s="685" t="s">
        <v>76</v>
      </c>
      <c r="C48" s="802"/>
      <c r="D48" s="802" t="s">
        <v>1036</v>
      </c>
      <c r="E48" s="1880"/>
      <c r="F48" s="647">
        <f>'exchange rates'!$O$9</f>
        <v>1.6293800000000001</v>
      </c>
      <c r="G48" s="930"/>
      <c r="H48" s="685" t="s">
        <v>76</v>
      </c>
      <c r="I48" s="802"/>
      <c r="J48" s="802" t="s">
        <v>1036</v>
      </c>
      <c r="K48" s="999"/>
      <c r="L48" s="596">
        <f>(0.08*100)/F48</f>
        <v>4.9098430077698261</v>
      </c>
      <c r="M48" s="595">
        <f>(0.02*100)/F48</f>
        <v>1.2274607519424565</v>
      </c>
      <c r="N48" s="626">
        <f>(0.17*100)/F48</f>
        <v>10.433416391510882</v>
      </c>
      <c r="O48" s="595">
        <f>(0.03*100)/F48</f>
        <v>1.841191127913685</v>
      </c>
      <c r="P48" s="597">
        <v>0</v>
      </c>
      <c r="Q48" s="595">
        <v>0</v>
      </c>
      <c r="R48" s="570" t="e">
        <f>Tabel6689212733[[#This Row],[landcode 3]]+Tabel6689212733[[#This Row],[VAT Sew. 2017]]+Tabel6689212733[[#This Row],[VAT WW 2017]]+Tabel6689212733[[#This Row],[VAT Other ch. 2017]]</f>
        <v>#VALUE!</v>
      </c>
      <c r="S48" s="571">
        <f>Tabel6689212733[[#This Row],[GDP 2017]]+Tabel6689212733[[#This Row],[Sew. 2017]]+Tabel6689212733[[#This Row],[VAT Sew. 2017]]+Tabel6689212733[[#This Row],[WW 2017]]+Tabel6689212733[[#This Row],[VAT WW 2017]]+Tabel6689212733[[#This Row],[Other ch. 2017]]+Tabel6689212733[[#This Row],[VAT Other ch. 2017]]</f>
        <v>18.411911279136849</v>
      </c>
      <c r="T48" s="397"/>
      <c r="U48" s="1886"/>
      <c r="V48" s="1888"/>
      <c r="W48" s="1890"/>
      <c r="X48" s="1772"/>
      <c r="Y48" s="1892"/>
      <c r="Z48" s="1894"/>
      <c r="AA48" s="1772"/>
      <c r="AB48" s="1911"/>
      <c r="AC48" s="1772"/>
      <c r="AD48" s="1913"/>
      <c r="AE48" s="1772"/>
      <c r="AF48" s="1915"/>
      <c r="AG48" s="1832"/>
      <c r="AH48" s="397"/>
      <c r="AI48" s="396"/>
      <c r="AJ48" s="396"/>
      <c r="AK48" s="396"/>
      <c r="AL48" s="396"/>
      <c r="AM48" s="396"/>
      <c r="AN48" s="396"/>
      <c r="AO48" s="398"/>
      <c r="AP48" s="397"/>
    </row>
    <row r="49" spans="1:42" ht="16.5" hidden="1" customHeight="1" thickBot="1" x14ac:dyDescent="0.3">
      <c r="A49" s="1820"/>
      <c r="B49" s="624" t="s">
        <v>77</v>
      </c>
      <c r="C49" s="802"/>
      <c r="D49" s="802" t="s">
        <v>1036</v>
      </c>
      <c r="E49" s="1799"/>
      <c r="F49" s="647">
        <f>'exchange rates'!$O$9</f>
        <v>1.6293800000000001</v>
      </c>
      <c r="G49" s="931"/>
      <c r="H49" s="624" t="s">
        <v>77</v>
      </c>
      <c r="I49" s="802"/>
      <c r="J49" s="802" t="s">
        <v>1036</v>
      </c>
      <c r="K49" s="987"/>
      <c r="L49" s="596">
        <f>(0.1*100)/F49</f>
        <v>6.1373037597122826</v>
      </c>
      <c r="M49" s="595">
        <f>(0.02*100)/F49</f>
        <v>1.2274607519424565</v>
      </c>
      <c r="N49" s="626">
        <f>(0.36*100)/F49</f>
        <v>22.094293534964219</v>
      </c>
      <c r="O49" s="595">
        <f>(0.07*100)/F49</f>
        <v>4.2961126317985983</v>
      </c>
      <c r="P49" s="597">
        <v>0</v>
      </c>
      <c r="Q49" s="595">
        <v>0</v>
      </c>
      <c r="R49" s="570" t="e">
        <f>Tabel6689212733[[#This Row],[landcode 3]]+Tabel6689212733[[#This Row],[VAT Sew. 2017]]+Tabel6689212733[[#This Row],[VAT WW 2017]]+Tabel6689212733[[#This Row],[VAT Other ch. 2017]]</f>
        <v>#VALUE!</v>
      </c>
      <c r="S49" s="571">
        <f>Tabel6689212733[[#This Row],[GDP 2017]]+Tabel6689212733[[#This Row],[Sew. 2017]]+Tabel6689212733[[#This Row],[VAT Sew. 2017]]+Tabel6689212733[[#This Row],[WW 2017]]+Tabel6689212733[[#This Row],[VAT WW 2017]]+Tabel6689212733[[#This Row],[Other ch. 2017]]+Tabel6689212733[[#This Row],[VAT Other ch. 2017]]</f>
        <v>33.755170678417556</v>
      </c>
      <c r="T49" s="397"/>
      <c r="U49" s="1801"/>
      <c r="V49" s="1803"/>
      <c r="W49" s="1805"/>
      <c r="X49" s="1773"/>
      <c r="Y49" s="1807"/>
      <c r="Z49" s="1809"/>
      <c r="AA49" s="1773"/>
      <c r="AB49" s="1782"/>
      <c r="AC49" s="1773"/>
      <c r="AD49" s="1786"/>
      <c r="AE49" s="1773"/>
      <c r="AF49" s="1789"/>
      <c r="AG49" s="1792"/>
      <c r="AH49" s="397"/>
      <c r="AI49" s="396"/>
      <c r="AJ49" s="396"/>
      <c r="AK49" s="396"/>
      <c r="AL49" s="396"/>
      <c r="AM49" s="396"/>
      <c r="AN49" s="396"/>
      <c r="AO49" s="398"/>
      <c r="AP49" s="397"/>
    </row>
    <row r="50" spans="1:42" ht="16.5" hidden="1" customHeight="1" thickBot="1" x14ac:dyDescent="0.3">
      <c r="A50" s="961" t="s">
        <v>501</v>
      </c>
      <c r="B50" s="265" t="s">
        <v>504</v>
      </c>
      <c r="C50" s="1045"/>
      <c r="D50" s="811" t="s">
        <v>1038</v>
      </c>
      <c r="E50" s="300">
        <v>1500</v>
      </c>
      <c r="F50" s="305">
        <v>506.17869999999999</v>
      </c>
      <c r="G50" s="961" t="s">
        <v>501</v>
      </c>
      <c r="H50" s="265" t="s">
        <v>504</v>
      </c>
      <c r="I50" s="1045"/>
      <c r="J50" s="811" t="s">
        <v>1038</v>
      </c>
      <c r="K50" s="300">
        <v>1500</v>
      </c>
      <c r="L50" s="314">
        <f>12000/F50</f>
        <v>23.707042591875162</v>
      </c>
      <c r="M50" s="558"/>
      <c r="N50" s="315">
        <v>0</v>
      </c>
      <c r="O50" s="558"/>
      <c r="P50" s="316">
        <v>0</v>
      </c>
      <c r="Q50" s="558"/>
      <c r="R50" s="317" t="e">
        <f>Tabel6689212733[[#This Row],[landcode 3]]+Tabel6689212733[[#This Row],[VAT Sew. 2017]]+Tabel6689212733[[#This Row],[VAT WW 2017]]+Tabel6689212733[[#This Row],[VAT Other ch. 2017]]</f>
        <v>#VALUE!</v>
      </c>
      <c r="S50" s="318">
        <f>Tabel6689212733[[#This Row],[GDP 2017]]+Tabel6689212733[[#This Row],[Sew. 2017]]+Tabel6689212733[[#This Row],[VAT Sew. 2017]]+Tabel6689212733[[#This Row],[WW 2017]]+Tabel6689212733[[#This Row],[VAT WW 2017]]+Tabel6689212733[[#This Row],[Other ch. 2017]]+Tabel6689212733[[#This Row],[VAT Other ch. 2017]]</f>
        <v>1523.7070425918751</v>
      </c>
      <c r="T50" s="397"/>
      <c r="U50" s="1016" t="str">
        <f>Tabel6689212733[[#This Row],[Country]]</f>
        <v>Burkina Faso</v>
      </c>
      <c r="V50" s="1009" t="str">
        <f>Tabel6689212733[[#This Row],[City]]</f>
        <v>Burkina Faso average</v>
      </c>
      <c r="W50" s="1008">
        <v>0</v>
      </c>
      <c r="X50" s="576"/>
      <c r="Y50" s="991">
        <f>Tabel6689212733[[#This Row],[GDP 2017]]</f>
        <v>1500</v>
      </c>
      <c r="Z50" s="1024">
        <f>Tabel6689212733[[#This Row],[Sew. 2017]]</f>
        <v>23.707042591875162</v>
      </c>
      <c r="AA50" s="576"/>
      <c r="AB50" s="1023">
        <v>0</v>
      </c>
      <c r="AC50" s="576"/>
      <c r="AD50" s="973">
        <v>0</v>
      </c>
      <c r="AE50" s="576"/>
      <c r="AF50" s="1027" t="e">
        <f>Tabel6689212733[[#This Row],[Total VAT 2017]]</f>
        <v>#VALUE!</v>
      </c>
      <c r="AG50" s="1026">
        <f>Tabel6689212733[[#This Row],[total charge 2017]]</f>
        <v>1523.7070425918751</v>
      </c>
      <c r="AH50" s="397"/>
      <c r="AI50" s="396"/>
      <c r="AJ50" s="396"/>
      <c r="AK50" s="396"/>
      <c r="AL50" s="396" t="s">
        <v>429</v>
      </c>
      <c r="AM50" s="396" t="s">
        <v>429</v>
      </c>
      <c r="AN50" s="396"/>
      <c r="AO50" s="398"/>
      <c r="AP50" s="397"/>
    </row>
    <row r="51" spans="1:42" ht="16.5" hidden="1" customHeight="1" x14ac:dyDescent="0.25">
      <c r="A51" s="1878" t="s">
        <v>343</v>
      </c>
      <c r="B51" s="740" t="s">
        <v>548</v>
      </c>
      <c r="C51" s="806"/>
      <c r="D51" s="806" t="s">
        <v>1040</v>
      </c>
      <c r="E51" s="1798">
        <v>48100</v>
      </c>
      <c r="F51" s="647">
        <f>'exchange rates'!$O$11</f>
        <v>1.25759</v>
      </c>
      <c r="G51" s="951" t="s">
        <v>343</v>
      </c>
      <c r="H51" s="740" t="s">
        <v>548</v>
      </c>
      <c r="I51" s="806"/>
      <c r="J51" s="806" t="s">
        <v>1040</v>
      </c>
      <c r="K51" s="1017">
        <v>48100</v>
      </c>
      <c r="L51" s="596">
        <v>0</v>
      </c>
      <c r="M51" s="595">
        <v>0</v>
      </c>
      <c r="N51" s="626">
        <f>436/F51</f>
        <v>346.69486875690808</v>
      </c>
      <c r="O51" s="595">
        <v>0</v>
      </c>
      <c r="P51" s="597">
        <v>0</v>
      </c>
      <c r="Q51" s="595">
        <v>0</v>
      </c>
      <c r="R51" s="570" t="e">
        <f>Tabel6689212733[[#This Row],[landcode 3]]+Tabel6689212733[[#This Row],[VAT Sew. 2017]]+Tabel6689212733[[#This Row],[VAT WW 2017]]+Tabel6689212733[[#This Row],[VAT Other ch. 2017]]</f>
        <v>#VALUE!</v>
      </c>
      <c r="S51" s="571">
        <f>Tabel6689212733[[#This Row],[GDP 2017]]+Tabel6689212733[[#This Row],[Sew. 2017]]+Tabel6689212733[[#This Row],[VAT Sew. 2017]]+Tabel6689212733[[#This Row],[WW 2017]]+Tabel6689212733[[#This Row],[VAT WW 2017]]+Tabel6689212733[[#This Row],[Other ch. 2017]]+Tabel6689212733[[#This Row],[VAT Other ch. 2017]]</f>
        <v>48446.694868756909</v>
      </c>
      <c r="T51" s="397"/>
      <c r="U51" s="1800" t="e">
        <f>MEDIAN(G51:G56)</f>
        <v>#NUM!</v>
      </c>
      <c r="V51" s="1802" t="e">
        <f>MEDIAN(H51:H56)</f>
        <v>#NUM!</v>
      </c>
      <c r="W51" s="1804" t="e">
        <f>MEDIAN(I51:I56)</f>
        <v>#NUM!</v>
      </c>
      <c r="X51" s="1771" t="e">
        <f>MEDIAN(J51:J56)</f>
        <v>#NUM!</v>
      </c>
      <c r="Y51" s="1806" t="e">
        <f>SUM(U51:X56)</f>
        <v>#NUM!</v>
      </c>
      <c r="Z51" s="1808">
        <f t="shared" ref="Z51:AF51" si="7">MEDIAN(L51:L56)</f>
        <v>0</v>
      </c>
      <c r="AA51" s="1771">
        <f t="shared" si="7"/>
        <v>0</v>
      </c>
      <c r="AB51" s="1780">
        <f t="shared" si="7"/>
        <v>227.02152529838821</v>
      </c>
      <c r="AC51" s="1771">
        <f t="shared" si="7"/>
        <v>0</v>
      </c>
      <c r="AD51" s="1784">
        <f t="shared" si="7"/>
        <v>0</v>
      </c>
      <c r="AE51" s="1771">
        <f t="shared" si="7"/>
        <v>0</v>
      </c>
      <c r="AF51" s="1787" t="e">
        <f t="shared" si="7"/>
        <v>#VALUE!</v>
      </c>
      <c r="AG51" s="1790" t="e">
        <f>Y51+Z51+AA51+AB51+AC51+AD51+AE51</f>
        <v>#NUM!</v>
      </c>
      <c r="AH51" s="397"/>
      <c r="AI51" s="396"/>
      <c r="AJ51" s="591" t="s">
        <v>429</v>
      </c>
      <c r="AK51" s="591"/>
      <c r="AL51" s="591"/>
      <c r="AM51" s="591" t="s">
        <v>429</v>
      </c>
      <c r="AN51" s="591" t="s">
        <v>429</v>
      </c>
      <c r="AO51" s="398"/>
      <c r="AP51" s="397"/>
    </row>
    <row r="52" spans="1:42" ht="16.5" hidden="1" customHeight="1" x14ac:dyDescent="0.25">
      <c r="A52" s="1757"/>
      <c r="B52" s="724" t="s">
        <v>940</v>
      </c>
      <c r="C52" s="724" t="s">
        <v>429</v>
      </c>
      <c r="D52" s="724" t="s">
        <v>1040</v>
      </c>
      <c r="E52" s="1760"/>
      <c r="F52" s="647">
        <f>'exchange rates'!$O$11</f>
        <v>1.25759</v>
      </c>
      <c r="G52" s="952"/>
      <c r="H52" s="724" t="s">
        <v>940</v>
      </c>
      <c r="I52" s="724" t="s">
        <v>429</v>
      </c>
      <c r="J52" s="724" t="s">
        <v>1040</v>
      </c>
      <c r="K52" s="969"/>
      <c r="L52" s="596">
        <v>0</v>
      </c>
      <c r="M52" s="595">
        <v>0</v>
      </c>
      <c r="N52" s="626">
        <f>317/F52</f>
        <v>252.06943439435747</v>
      </c>
      <c r="O52" s="595">
        <v>0</v>
      </c>
      <c r="P52" s="597">
        <v>0</v>
      </c>
      <c r="Q52" s="595">
        <v>0</v>
      </c>
      <c r="R52" s="570" t="e">
        <f>Tabel6689212733[[#This Row],[landcode 3]]+Tabel6689212733[[#This Row],[VAT Sew. 2017]]+Tabel6689212733[[#This Row],[VAT WW 2017]]+Tabel6689212733[[#This Row],[VAT Other ch. 2017]]</f>
        <v>#VALUE!</v>
      </c>
      <c r="S52" s="571">
        <f>Tabel6689212733[[#This Row],[GDP 2017]]+Tabel6689212733[[#This Row],[Sew. 2017]]+Tabel6689212733[[#This Row],[VAT Sew. 2017]]+Tabel6689212733[[#This Row],[WW 2017]]+Tabel6689212733[[#This Row],[VAT WW 2017]]+Tabel6689212733[[#This Row],[Other ch. 2017]]+Tabel6689212733[[#This Row],[VAT Other ch. 2017]]</f>
        <v>252.06943439435747</v>
      </c>
      <c r="T52" s="397"/>
      <c r="U52" s="1763"/>
      <c r="V52" s="1766"/>
      <c r="W52" s="1769"/>
      <c r="X52" s="1772"/>
      <c r="Y52" s="1775"/>
      <c r="Z52" s="1778"/>
      <c r="AA52" s="1772"/>
      <c r="AB52" s="1781"/>
      <c r="AC52" s="1772"/>
      <c r="AD52" s="1785"/>
      <c r="AE52" s="1772"/>
      <c r="AF52" s="1788"/>
      <c r="AG52" s="1791"/>
      <c r="AH52" s="397"/>
      <c r="AI52" s="396"/>
      <c r="AJ52" s="591" t="s">
        <v>429</v>
      </c>
      <c r="AK52" s="591"/>
      <c r="AL52" s="591"/>
      <c r="AM52" s="591" t="s">
        <v>429</v>
      </c>
      <c r="AN52" s="591" t="s">
        <v>429</v>
      </c>
      <c r="AO52" s="398"/>
      <c r="AP52" s="397"/>
    </row>
    <row r="53" spans="1:42" ht="16.5" hidden="1" customHeight="1" x14ac:dyDescent="0.25">
      <c r="A53" s="1757"/>
      <c r="B53" s="724" t="s">
        <v>549</v>
      </c>
      <c r="C53" s="724"/>
      <c r="D53" s="724" t="s">
        <v>1040</v>
      </c>
      <c r="E53" s="1760"/>
      <c r="F53" s="647">
        <f>'exchange rates'!$O$11</f>
        <v>1.25759</v>
      </c>
      <c r="G53" s="952"/>
      <c r="H53" s="724" t="s">
        <v>549</v>
      </c>
      <c r="I53" s="724"/>
      <c r="J53" s="724" t="s">
        <v>1040</v>
      </c>
      <c r="K53" s="969"/>
      <c r="L53" s="596">
        <v>0</v>
      </c>
      <c r="M53" s="595">
        <v>0</v>
      </c>
      <c r="N53" s="626">
        <f>254/F53</f>
        <v>201.97361620241892</v>
      </c>
      <c r="O53" s="595">
        <v>0</v>
      </c>
      <c r="P53" s="597">
        <v>0</v>
      </c>
      <c r="Q53" s="595">
        <v>0</v>
      </c>
      <c r="R53" s="570" t="e">
        <f>Tabel6689212733[[#This Row],[landcode 3]]+Tabel6689212733[[#This Row],[VAT Sew. 2017]]+Tabel6689212733[[#This Row],[VAT WW 2017]]+Tabel6689212733[[#This Row],[VAT Other ch. 2017]]</f>
        <v>#VALUE!</v>
      </c>
      <c r="S53" s="571">
        <f>Tabel6689212733[[#This Row],[GDP 2017]]+Tabel6689212733[[#This Row],[Sew. 2017]]+Tabel6689212733[[#This Row],[VAT Sew. 2017]]+Tabel6689212733[[#This Row],[WW 2017]]+Tabel6689212733[[#This Row],[VAT WW 2017]]+Tabel6689212733[[#This Row],[Other ch. 2017]]+Tabel6689212733[[#This Row],[VAT Other ch. 2017]]</f>
        <v>201.97361620241892</v>
      </c>
      <c r="T53" s="397"/>
      <c r="U53" s="1763"/>
      <c r="V53" s="1766"/>
      <c r="W53" s="1769"/>
      <c r="X53" s="1772"/>
      <c r="Y53" s="1775"/>
      <c r="Z53" s="1778"/>
      <c r="AA53" s="1772"/>
      <c r="AB53" s="1781"/>
      <c r="AC53" s="1772"/>
      <c r="AD53" s="1785"/>
      <c r="AE53" s="1772"/>
      <c r="AF53" s="1788"/>
      <c r="AG53" s="1791"/>
      <c r="AH53" s="397"/>
      <c r="AI53" s="396"/>
      <c r="AJ53" s="591" t="s">
        <v>429</v>
      </c>
      <c r="AK53" s="591"/>
      <c r="AL53" s="591"/>
      <c r="AM53" s="591" t="s">
        <v>429</v>
      </c>
      <c r="AN53" s="591" t="s">
        <v>429</v>
      </c>
      <c r="AO53" s="398"/>
      <c r="AP53" s="397"/>
    </row>
    <row r="54" spans="1:42" ht="16.5" hidden="1" customHeight="1" x14ac:dyDescent="0.25">
      <c r="A54" s="1757"/>
      <c r="B54" s="724" t="s">
        <v>722</v>
      </c>
      <c r="C54" s="724"/>
      <c r="D54" s="724" t="s">
        <v>1040</v>
      </c>
      <c r="E54" s="1760"/>
      <c r="F54" s="647">
        <f>'exchange rates'!$O$11</f>
        <v>1.25759</v>
      </c>
      <c r="G54" s="952"/>
      <c r="H54" s="724" t="s">
        <v>722</v>
      </c>
      <c r="I54" s="724"/>
      <c r="J54" s="724" t="s">
        <v>1040</v>
      </c>
      <c r="K54" s="969"/>
      <c r="L54" s="596">
        <v>0</v>
      </c>
      <c r="M54" s="595">
        <v>0</v>
      </c>
      <c r="N54" s="626">
        <f>247/F54</f>
        <v>196.40741418109241</v>
      </c>
      <c r="O54" s="595">
        <v>0</v>
      </c>
      <c r="P54" s="597">
        <v>0</v>
      </c>
      <c r="Q54" s="595">
        <v>0</v>
      </c>
      <c r="R54" s="570" t="e">
        <f>Tabel6689212733[[#This Row],[landcode 3]]+Tabel6689212733[[#This Row],[VAT Sew. 2017]]+Tabel6689212733[[#This Row],[VAT WW 2017]]+Tabel6689212733[[#This Row],[VAT Other ch. 2017]]</f>
        <v>#VALUE!</v>
      </c>
      <c r="S54" s="571">
        <f>Tabel6689212733[[#This Row],[GDP 2017]]+Tabel6689212733[[#This Row],[Sew. 2017]]+Tabel6689212733[[#This Row],[VAT Sew. 2017]]+Tabel6689212733[[#This Row],[WW 2017]]+Tabel6689212733[[#This Row],[VAT WW 2017]]+Tabel6689212733[[#This Row],[Other ch. 2017]]+Tabel6689212733[[#This Row],[VAT Other ch. 2017]]</f>
        <v>196.40741418109241</v>
      </c>
      <c r="T54" s="397"/>
      <c r="U54" s="1763"/>
      <c r="V54" s="1766"/>
      <c r="W54" s="1769"/>
      <c r="X54" s="1772"/>
      <c r="Y54" s="1775"/>
      <c r="Z54" s="1778"/>
      <c r="AA54" s="1772"/>
      <c r="AB54" s="1781"/>
      <c r="AC54" s="1772"/>
      <c r="AD54" s="1785"/>
      <c r="AE54" s="1772"/>
      <c r="AF54" s="1788"/>
      <c r="AG54" s="1791"/>
      <c r="AH54" s="397"/>
      <c r="AI54" s="396"/>
      <c r="AJ54" s="396"/>
      <c r="AK54" s="396"/>
      <c r="AL54" s="591" t="s">
        <v>429</v>
      </c>
      <c r="AM54" s="591" t="s">
        <v>429</v>
      </c>
      <c r="AN54" s="591" t="s">
        <v>429</v>
      </c>
      <c r="AO54" s="398"/>
      <c r="AP54" s="397"/>
    </row>
    <row r="55" spans="1:42" ht="16.5" hidden="1" customHeight="1" x14ac:dyDescent="0.25">
      <c r="A55" s="1757"/>
      <c r="B55" s="724" t="s">
        <v>723</v>
      </c>
      <c r="C55" s="724"/>
      <c r="D55" s="724" t="s">
        <v>1040</v>
      </c>
      <c r="E55" s="1760"/>
      <c r="F55" s="647">
        <f>'exchange rates'!$O$11</f>
        <v>1.25759</v>
      </c>
      <c r="G55" s="952"/>
      <c r="H55" s="724" t="s">
        <v>723</v>
      </c>
      <c r="I55" s="724"/>
      <c r="J55" s="724" t="s">
        <v>1040</v>
      </c>
      <c r="K55" s="969"/>
      <c r="L55" s="596">
        <v>0</v>
      </c>
      <c r="M55" s="595">
        <v>0</v>
      </c>
      <c r="N55" s="626">
        <f>384/F55</f>
        <v>305.34593945562546</v>
      </c>
      <c r="O55" s="595">
        <v>0</v>
      </c>
      <c r="P55" s="597">
        <v>0</v>
      </c>
      <c r="Q55" s="595">
        <v>0</v>
      </c>
      <c r="R55" s="570" t="e">
        <f>Tabel6689212733[[#This Row],[landcode 3]]+Tabel6689212733[[#This Row],[VAT Sew. 2017]]+Tabel6689212733[[#This Row],[VAT WW 2017]]+Tabel6689212733[[#This Row],[VAT Other ch. 2017]]</f>
        <v>#VALUE!</v>
      </c>
      <c r="S55" s="571">
        <f>Tabel6689212733[[#This Row],[GDP 2017]]+Tabel6689212733[[#This Row],[Sew. 2017]]+Tabel6689212733[[#This Row],[VAT Sew. 2017]]+Tabel6689212733[[#This Row],[WW 2017]]+Tabel6689212733[[#This Row],[VAT WW 2017]]+Tabel6689212733[[#This Row],[Other ch. 2017]]+Tabel6689212733[[#This Row],[VAT Other ch. 2017]]</f>
        <v>305.34593945562546</v>
      </c>
      <c r="T55" s="397"/>
      <c r="U55" s="1763"/>
      <c r="V55" s="1766"/>
      <c r="W55" s="1769"/>
      <c r="X55" s="1772"/>
      <c r="Y55" s="1775"/>
      <c r="Z55" s="1778"/>
      <c r="AA55" s="1772"/>
      <c r="AB55" s="1781"/>
      <c r="AC55" s="1772"/>
      <c r="AD55" s="1785"/>
      <c r="AE55" s="1772"/>
      <c r="AF55" s="1788"/>
      <c r="AG55" s="1791"/>
      <c r="AH55" s="397"/>
      <c r="AI55" s="591" t="s">
        <v>429</v>
      </c>
      <c r="AJ55" s="591"/>
      <c r="AK55" s="591"/>
      <c r="AL55" s="591"/>
      <c r="AM55" s="591" t="s">
        <v>429</v>
      </c>
      <c r="AN55" s="591" t="s">
        <v>429</v>
      </c>
      <c r="AO55" s="398"/>
      <c r="AP55" s="397"/>
    </row>
    <row r="56" spans="1:42" ht="16.5" hidden="1" customHeight="1" thickBot="1" x14ac:dyDescent="0.3">
      <c r="A56" s="1758"/>
      <c r="B56" s="743" t="s">
        <v>552</v>
      </c>
      <c r="C56" s="807"/>
      <c r="D56" s="807" t="s">
        <v>1040</v>
      </c>
      <c r="E56" s="1799"/>
      <c r="F56" s="647">
        <f>'exchange rates'!$O$11</f>
        <v>1.25759</v>
      </c>
      <c r="G56" s="953"/>
      <c r="H56" s="743" t="s">
        <v>552</v>
      </c>
      <c r="I56" s="807"/>
      <c r="J56" s="807" t="s">
        <v>1040</v>
      </c>
      <c r="K56" s="987"/>
      <c r="L56" s="596">
        <v>0</v>
      </c>
      <c r="M56" s="595">
        <v>0</v>
      </c>
      <c r="N56" s="626">
        <f>251/F56</f>
        <v>199.58810105042184</v>
      </c>
      <c r="O56" s="595">
        <v>0</v>
      </c>
      <c r="P56" s="597">
        <v>0</v>
      </c>
      <c r="Q56" s="595">
        <v>0</v>
      </c>
      <c r="R56" s="570" t="e">
        <f>Tabel6689212733[[#This Row],[landcode 3]]+Tabel6689212733[[#This Row],[VAT Sew. 2017]]+Tabel6689212733[[#This Row],[VAT WW 2017]]+Tabel6689212733[[#This Row],[VAT Other ch. 2017]]</f>
        <v>#VALUE!</v>
      </c>
      <c r="S56" s="571">
        <f>Tabel6689212733[[#This Row],[GDP 2017]]+Tabel6689212733[[#This Row],[Sew. 2017]]+Tabel6689212733[[#This Row],[VAT Sew. 2017]]+Tabel6689212733[[#This Row],[WW 2017]]+Tabel6689212733[[#This Row],[VAT WW 2017]]+Tabel6689212733[[#This Row],[Other ch. 2017]]+Tabel6689212733[[#This Row],[VAT Other ch. 2017]]</f>
        <v>199.58810105042184</v>
      </c>
      <c r="T56" s="397"/>
      <c r="U56" s="1801"/>
      <c r="V56" s="1803"/>
      <c r="W56" s="1805"/>
      <c r="X56" s="1773"/>
      <c r="Y56" s="1807"/>
      <c r="Z56" s="1809"/>
      <c r="AA56" s="1773"/>
      <c r="AB56" s="1782"/>
      <c r="AC56" s="1773"/>
      <c r="AD56" s="1786"/>
      <c r="AE56" s="1773"/>
      <c r="AF56" s="1789"/>
      <c r="AG56" s="1792"/>
      <c r="AH56" s="397"/>
      <c r="AI56" s="396"/>
      <c r="AJ56" s="396"/>
      <c r="AK56" s="591" t="s">
        <v>429</v>
      </c>
      <c r="AL56" s="591"/>
      <c r="AM56" s="591" t="s">
        <v>429</v>
      </c>
      <c r="AN56" s="591" t="s">
        <v>429</v>
      </c>
      <c r="AO56" s="398"/>
      <c r="AP56" s="397"/>
    </row>
    <row r="57" spans="1:42" ht="16.5" hidden="1" customHeight="1" x14ac:dyDescent="0.25">
      <c r="A57" s="1833" t="s">
        <v>489</v>
      </c>
      <c r="B57" s="288" t="s">
        <v>728</v>
      </c>
      <c r="C57" s="805"/>
      <c r="D57" s="805" t="s">
        <v>1042</v>
      </c>
      <c r="E57" s="1837">
        <v>23800</v>
      </c>
      <c r="F57" s="306">
        <f>'exchange rates'!$M$12</f>
        <v>711.02919999999995</v>
      </c>
      <c r="G57" s="958" t="s">
        <v>489</v>
      </c>
      <c r="H57" s="288" t="s">
        <v>728</v>
      </c>
      <c r="I57" s="805"/>
      <c r="J57" s="805" t="s">
        <v>1042</v>
      </c>
      <c r="K57" s="1014">
        <v>23800</v>
      </c>
      <c r="L57" s="314">
        <f>64761/F57</f>
        <v>91.080647602095667</v>
      </c>
      <c r="M57" s="558"/>
      <c r="N57" s="315">
        <v>0</v>
      </c>
      <c r="O57" s="558"/>
      <c r="P57" s="316">
        <v>0</v>
      </c>
      <c r="Q57" s="558"/>
      <c r="R57" s="317" t="e">
        <f>Tabel6689212733[[#This Row],[landcode 3]]+Tabel6689212733[[#This Row],[VAT Sew. 2017]]+Tabel6689212733[[#This Row],[VAT WW 2017]]+Tabel6689212733[[#This Row],[VAT Other ch. 2017]]</f>
        <v>#VALUE!</v>
      </c>
      <c r="S57" s="318">
        <f>Tabel6689212733[[#This Row],[GDP 2017]]+Tabel6689212733[[#This Row],[Sew. 2017]]+Tabel6689212733[[#This Row],[VAT Sew. 2017]]+Tabel6689212733[[#This Row],[WW 2017]]+Tabel6689212733[[#This Row],[VAT WW 2017]]+Tabel6689212733[[#This Row],[Other ch. 2017]]+Tabel6689212733[[#This Row],[VAT Other ch. 2017]]</f>
        <v>23891.080647602095</v>
      </c>
      <c r="T57" s="397"/>
      <c r="U57" s="1927" t="e">
        <f>MEDIAN(G57:G62)</f>
        <v>#NUM!</v>
      </c>
      <c r="V57" s="1928" t="e">
        <f>MEDIAN(H57:H62)</f>
        <v>#NUM!</v>
      </c>
      <c r="W57" s="1929" t="e">
        <f>MEDIAN(I57:I62)</f>
        <v>#NUM!</v>
      </c>
      <c r="X57" s="575"/>
      <c r="Y57" s="1930" t="e">
        <f>SUM(U57:W62)</f>
        <v>#NUM!</v>
      </c>
      <c r="Z57" s="1918">
        <f>MEDIAN(L57:L62)</f>
        <v>139.88314403965407</v>
      </c>
      <c r="AA57" s="575"/>
      <c r="AB57" s="1919">
        <f>MEDIAN(N57:N62)</f>
        <v>0</v>
      </c>
      <c r="AC57" s="575"/>
      <c r="AD57" s="1920">
        <f>MEDIAN(P57:P62)</f>
        <v>0</v>
      </c>
      <c r="AE57" s="575"/>
      <c r="AF57" s="1921" t="e">
        <f>MEDIAN(R57:R62)</f>
        <v>#VALUE!</v>
      </c>
      <c r="AG57" s="1922" t="e">
        <f>SUM(Y57:AF62)</f>
        <v>#NUM!</v>
      </c>
      <c r="AH57" s="397"/>
      <c r="AI57" s="396"/>
      <c r="AJ57" s="396"/>
      <c r="AK57" s="396"/>
      <c r="AL57" s="396"/>
      <c r="AM57" s="396"/>
      <c r="AN57" s="396"/>
      <c r="AO57" s="398"/>
      <c r="AP57" s="397"/>
    </row>
    <row r="58" spans="1:42" ht="16.5" hidden="1" customHeight="1" x14ac:dyDescent="0.25">
      <c r="A58" s="1834"/>
      <c r="B58" s="525" t="s">
        <v>492</v>
      </c>
      <c r="C58" s="805"/>
      <c r="D58" s="805" t="s">
        <v>1042</v>
      </c>
      <c r="E58" s="1837"/>
      <c r="F58" s="306">
        <f>'exchange rates'!$M$12</f>
        <v>711.02919999999995</v>
      </c>
      <c r="G58" s="959"/>
      <c r="H58" s="525" t="s">
        <v>492</v>
      </c>
      <c r="I58" s="805"/>
      <c r="J58" s="805" t="s">
        <v>1042</v>
      </c>
      <c r="K58" s="1014"/>
      <c r="L58" s="314">
        <f>99461/F58</f>
        <v>139.88314403965407</v>
      </c>
      <c r="M58" s="558"/>
      <c r="N58" s="315">
        <v>0</v>
      </c>
      <c r="O58" s="558"/>
      <c r="P58" s="316">
        <v>0</v>
      </c>
      <c r="Q58" s="558"/>
      <c r="R58" s="317" t="e">
        <f>Tabel6689212733[[#This Row],[landcode 3]]+Tabel6689212733[[#This Row],[VAT Sew. 2017]]+Tabel6689212733[[#This Row],[VAT WW 2017]]+Tabel6689212733[[#This Row],[VAT Other ch. 2017]]</f>
        <v>#VALUE!</v>
      </c>
      <c r="S58" s="318">
        <f>Tabel6689212733[[#This Row],[GDP 2017]]+Tabel6689212733[[#This Row],[Sew. 2017]]+Tabel6689212733[[#This Row],[VAT Sew. 2017]]+Tabel6689212733[[#This Row],[WW 2017]]+Tabel6689212733[[#This Row],[VAT WW 2017]]+Tabel6689212733[[#This Row],[Other ch. 2017]]+Tabel6689212733[[#This Row],[VAT Other ch. 2017]]</f>
        <v>139.88314403965407</v>
      </c>
      <c r="T58" s="397"/>
      <c r="U58" s="1840"/>
      <c r="V58" s="1843"/>
      <c r="W58" s="1846"/>
      <c r="X58" s="576"/>
      <c r="Y58" s="1849"/>
      <c r="Z58" s="1852"/>
      <c r="AA58" s="576"/>
      <c r="AB58" s="1855"/>
      <c r="AC58" s="576"/>
      <c r="AD58" s="1858"/>
      <c r="AE58" s="576"/>
      <c r="AF58" s="1873"/>
      <c r="AG58" s="1876"/>
      <c r="AH58" s="397"/>
      <c r="AI58" s="396"/>
      <c r="AJ58" s="396"/>
      <c r="AK58" s="396"/>
      <c r="AL58" s="396"/>
      <c r="AM58" s="396"/>
      <c r="AN58" s="396"/>
      <c r="AO58" s="398"/>
      <c r="AP58" s="397"/>
    </row>
    <row r="59" spans="1:42" ht="16.5" hidden="1" customHeight="1" x14ac:dyDescent="0.25">
      <c r="A59" s="1834"/>
      <c r="B59" s="525" t="s">
        <v>729</v>
      </c>
      <c r="C59" s="805"/>
      <c r="D59" s="805" t="s">
        <v>1042</v>
      </c>
      <c r="E59" s="1837"/>
      <c r="F59" s="306">
        <f>'exchange rates'!$M$12</f>
        <v>711.02919999999995</v>
      </c>
      <c r="G59" s="959"/>
      <c r="H59" s="525" t="s">
        <v>729</v>
      </c>
      <c r="I59" s="805"/>
      <c r="J59" s="805" t="s">
        <v>1042</v>
      </c>
      <c r="K59" s="1014"/>
      <c r="L59" s="314">
        <f>99461/F59</f>
        <v>139.88314403965407</v>
      </c>
      <c r="M59" s="558"/>
      <c r="N59" s="315">
        <v>0</v>
      </c>
      <c r="O59" s="558"/>
      <c r="P59" s="316">
        <v>0</v>
      </c>
      <c r="Q59" s="558"/>
      <c r="R59" s="317" t="e">
        <f>Tabel6689212733[[#This Row],[landcode 3]]+Tabel6689212733[[#This Row],[VAT Sew. 2017]]+Tabel6689212733[[#This Row],[VAT WW 2017]]+Tabel6689212733[[#This Row],[VAT Other ch. 2017]]</f>
        <v>#VALUE!</v>
      </c>
      <c r="S59" s="318">
        <f>Tabel6689212733[[#This Row],[GDP 2017]]+Tabel6689212733[[#This Row],[Sew. 2017]]+Tabel6689212733[[#This Row],[VAT Sew. 2017]]+Tabel6689212733[[#This Row],[WW 2017]]+Tabel6689212733[[#This Row],[VAT WW 2017]]+Tabel6689212733[[#This Row],[Other ch. 2017]]+Tabel6689212733[[#This Row],[VAT Other ch. 2017]]</f>
        <v>139.88314403965407</v>
      </c>
      <c r="T59" s="397"/>
      <c r="U59" s="1840"/>
      <c r="V59" s="1843"/>
      <c r="W59" s="1846"/>
      <c r="X59" s="576"/>
      <c r="Y59" s="1849"/>
      <c r="Z59" s="1852"/>
      <c r="AA59" s="576"/>
      <c r="AB59" s="1855"/>
      <c r="AC59" s="576"/>
      <c r="AD59" s="1858"/>
      <c r="AE59" s="576"/>
      <c r="AF59" s="1873"/>
      <c r="AG59" s="1876"/>
      <c r="AH59" s="397"/>
      <c r="AI59" s="396"/>
      <c r="AJ59" s="396"/>
      <c r="AK59" s="396"/>
      <c r="AL59" s="396"/>
      <c r="AM59" s="396"/>
      <c r="AN59" s="396"/>
      <c r="AO59" s="398"/>
      <c r="AP59" s="397"/>
    </row>
    <row r="60" spans="1:42" ht="16.5" hidden="1" customHeight="1" x14ac:dyDescent="0.25">
      <c r="A60" s="1834"/>
      <c r="B60" s="525" t="s">
        <v>493</v>
      </c>
      <c r="C60" s="805"/>
      <c r="D60" s="805" t="s">
        <v>1042</v>
      </c>
      <c r="E60" s="1837"/>
      <c r="F60" s="306">
        <f>'exchange rates'!$M$12</f>
        <v>711.02919999999995</v>
      </c>
      <c r="G60" s="959"/>
      <c r="H60" s="525" t="s">
        <v>493</v>
      </c>
      <c r="I60" s="805"/>
      <c r="J60" s="805" t="s">
        <v>1042</v>
      </c>
      <c r="K60" s="1014"/>
      <c r="L60" s="314">
        <f>104035/F60</f>
        <v>146.31607253260486</v>
      </c>
      <c r="M60" s="558"/>
      <c r="N60" s="315">
        <v>0</v>
      </c>
      <c r="O60" s="558"/>
      <c r="P60" s="316">
        <v>0</v>
      </c>
      <c r="Q60" s="558"/>
      <c r="R60" s="317" t="e">
        <f>Tabel6689212733[[#This Row],[landcode 3]]+Tabel6689212733[[#This Row],[VAT Sew. 2017]]+Tabel6689212733[[#This Row],[VAT WW 2017]]+Tabel6689212733[[#This Row],[VAT Other ch. 2017]]</f>
        <v>#VALUE!</v>
      </c>
      <c r="S60" s="318">
        <f>Tabel6689212733[[#This Row],[GDP 2017]]+Tabel6689212733[[#This Row],[Sew. 2017]]+Tabel6689212733[[#This Row],[VAT Sew. 2017]]+Tabel6689212733[[#This Row],[WW 2017]]+Tabel6689212733[[#This Row],[VAT WW 2017]]+Tabel6689212733[[#This Row],[Other ch. 2017]]+Tabel6689212733[[#This Row],[VAT Other ch. 2017]]</f>
        <v>146.31607253260486</v>
      </c>
      <c r="T60" s="397"/>
      <c r="U60" s="1840"/>
      <c r="V60" s="1843"/>
      <c r="W60" s="1846"/>
      <c r="X60" s="576"/>
      <c r="Y60" s="1849"/>
      <c r="Z60" s="1852"/>
      <c r="AA60" s="576"/>
      <c r="AB60" s="1855"/>
      <c r="AC60" s="576"/>
      <c r="AD60" s="1858"/>
      <c r="AE60" s="576"/>
      <c r="AF60" s="1873"/>
      <c r="AG60" s="1876"/>
      <c r="AH60" s="397"/>
      <c r="AI60" s="396"/>
      <c r="AJ60" s="396"/>
      <c r="AK60" s="396"/>
      <c r="AL60" s="396"/>
      <c r="AM60" s="396"/>
      <c r="AN60" s="396"/>
      <c r="AO60" s="398"/>
      <c r="AP60" s="397"/>
    </row>
    <row r="61" spans="1:42" ht="16.5" hidden="1" customHeight="1" x14ac:dyDescent="0.25">
      <c r="A61" s="1834"/>
      <c r="B61" s="288" t="s">
        <v>730</v>
      </c>
      <c r="C61" s="805"/>
      <c r="D61" s="805" t="s">
        <v>1042</v>
      </c>
      <c r="E61" s="1837"/>
      <c r="F61" s="306">
        <f>'exchange rates'!$M$12</f>
        <v>711.02919999999995</v>
      </c>
      <c r="G61" s="959"/>
      <c r="H61" s="288" t="s">
        <v>730</v>
      </c>
      <c r="I61" s="805"/>
      <c r="J61" s="805" t="s">
        <v>1042</v>
      </c>
      <c r="K61" s="1014"/>
      <c r="L61" s="314">
        <f>139941/F61</f>
        <v>196.81470184346861</v>
      </c>
      <c r="M61" s="558"/>
      <c r="N61" s="315">
        <v>0</v>
      </c>
      <c r="O61" s="558"/>
      <c r="P61" s="316">
        <v>0</v>
      </c>
      <c r="Q61" s="558"/>
      <c r="R61" s="317" t="e">
        <f>Tabel6689212733[[#This Row],[landcode 3]]+Tabel6689212733[[#This Row],[VAT Sew. 2017]]+Tabel6689212733[[#This Row],[VAT WW 2017]]+Tabel6689212733[[#This Row],[VAT Other ch. 2017]]</f>
        <v>#VALUE!</v>
      </c>
      <c r="S61" s="318">
        <f>Tabel6689212733[[#This Row],[GDP 2017]]+Tabel6689212733[[#This Row],[Sew. 2017]]+Tabel6689212733[[#This Row],[VAT Sew. 2017]]+Tabel6689212733[[#This Row],[WW 2017]]+Tabel6689212733[[#This Row],[VAT WW 2017]]+Tabel6689212733[[#This Row],[Other ch. 2017]]+Tabel6689212733[[#This Row],[VAT Other ch. 2017]]</f>
        <v>196.81470184346861</v>
      </c>
      <c r="T61" s="397"/>
      <c r="U61" s="1840"/>
      <c r="V61" s="1843"/>
      <c r="W61" s="1846"/>
      <c r="X61" s="576"/>
      <c r="Y61" s="1849"/>
      <c r="Z61" s="1852"/>
      <c r="AA61" s="576"/>
      <c r="AB61" s="1855"/>
      <c r="AC61" s="576"/>
      <c r="AD61" s="1858"/>
      <c r="AE61" s="576"/>
      <c r="AF61" s="1873"/>
      <c r="AG61" s="1876"/>
      <c r="AH61" s="397"/>
      <c r="AI61" s="396"/>
      <c r="AJ61" s="396"/>
      <c r="AK61" s="396"/>
      <c r="AL61" s="396"/>
      <c r="AM61" s="396"/>
      <c r="AN61" s="396"/>
      <c r="AO61" s="398"/>
      <c r="AP61" s="397"/>
    </row>
    <row r="62" spans="1:42" ht="16.5" hidden="1" customHeight="1" thickBot="1" x14ac:dyDescent="0.3">
      <c r="A62" s="1835"/>
      <c r="B62" s="288" t="s">
        <v>731</v>
      </c>
      <c r="C62" s="805" t="s">
        <v>429</v>
      </c>
      <c r="D62" s="801" t="s">
        <v>1042</v>
      </c>
      <c r="E62" s="1838"/>
      <c r="F62" s="306">
        <f>'exchange rates'!$M$12</f>
        <v>711.02919999999995</v>
      </c>
      <c r="G62" s="960"/>
      <c r="H62" s="288" t="s">
        <v>731</v>
      </c>
      <c r="I62" s="805" t="s">
        <v>429</v>
      </c>
      <c r="J62" s="801" t="s">
        <v>1042</v>
      </c>
      <c r="K62" s="996"/>
      <c r="L62" s="314">
        <f>90496/F62</f>
        <v>127.27466044995059</v>
      </c>
      <c r="M62" s="558"/>
      <c r="N62" s="315">
        <v>0</v>
      </c>
      <c r="O62" s="558"/>
      <c r="P62" s="316">
        <v>0</v>
      </c>
      <c r="Q62" s="558"/>
      <c r="R62" s="317" t="e">
        <f>Tabel6689212733[[#This Row],[landcode 3]]+Tabel6689212733[[#This Row],[VAT Sew. 2017]]+Tabel6689212733[[#This Row],[VAT WW 2017]]+Tabel6689212733[[#This Row],[VAT Other ch. 2017]]</f>
        <v>#VALUE!</v>
      </c>
      <c r="S62" s="318">
        <f>Tabel6689212733[[#This Row],[GDP 2017]]+Tabel6689212733[[#This Row],[Sew. 2017]]+Tabel6689212733[[#This Row],[VAT Sew. 2017]]+Tabel6689212733[[#This Row],[WW 2017]]+Tabel6689212733[[#This Row],[VAT WW 2017]]+Tabel6689212733[[#This Row],[Other ch. 2017]]+Tabel6689212733[[#This Row],[VAT Other ch. 2017]]</f>
        <v>127.27466044995059</v>
      </c>
      <c r="T62" s="397"/>
      <c r="U62" s="1841"/>
      <c r="V62" s="1844"/>
      <c r="W62" s="1847"/>
      <c r="X62" s="577"/>
      <c r="Y62" s="1850"/>
      <c r="Z62" s="1853"/>
      <c r="AA62" s="577"/>
      <c r="AB62" s="1856"/>
      <c r="AC62" s="577"/>
      <c r="AD62" s="1859"/>
      <c r="AE62" s="577"/>
      <c r="AF62" s="1874"/>
      <c r="AG62" s="1877"/>
      <c r="AH62" s="397"/>
      <c r="AI62" s="396"/>
      <c r="AJ62" s="396"/>
      <c r="AK62" s="396"/>
      <c r="AL62" s="396"/>
      <c r="AM62" s="396"/>
      <c r="AN62" s="396"/>
      <c r="AO62" s="398"/>
      <c r="AP62" s="397"/>
    </row>
    <row r="63" spans="1:42" ht="18" hidden="1" customHeight="1" x14ac:dyDescent="0.25">
      <c r="A63" s="1818" t="s">
        <v>8</v>
      </c>
      <c r="B63" s="623" t="s">
        <v>78</v>
      </c>
      <c r="C63" s="802" t="s">
        <v>429</v>
      </c>
      <c r="D63" s="802" t="s">
        <v>1044</v>
      </c>
      <c r="E63" s="1879">
        <v>16600</v>
      </c>
      <c r="F63" s="647">
        <f>'exchange rates'!$O$13</f>
        <v>6.50176</v>
      </c>
      <c r="G63" s="929" t="s">
        <v>8</v>
      </c>
      <c r="H63" s="623" t="s">
        <v>78</v>
      </c>
      <c r="I63" s="802" t="s">
        <v>429</v>
      </c>
      <c r="J63" s="802" t="s">
        <v>1044</v>
      </c>
      <c r="K63" s="1019">
        <v>16600</v>
      </c>
      <c r="L63" s="596">
        <v>0</v>
      </c>
      <c r="M63" s="595">
        <v>0</v>
      </c>
      <c r="N63" s="626">
        <f>(1.36*100)/F63</f>
        <v>20.917413131213703</v>
      </c>
      <c r="O63" s="595">
        <v>0</v>
      </c>
      <c r="P63" s="597">
        <f>(1.57*100)/F63</f>
        <v>24.147307805886406</v>
      </c>
      <c r="Q63" s="595">
        <v>0</v>
      </c>
      <c r="R63" s="570" t="e">
        <f>Tabel6689212733[[#This Row],[landcode 3]]+Tabel6689212733[[#This Row],[VAT Sew. 2017]]+Tabel6689212733[[#This Row],[VAT WW 2017]]+Tabel6689212733[[#This Row],[VAT Other ch. 2017]]</f>
        <v>#VALUE!</v>
      </c>
      <c r="S63" s="571">
        <f>Tabel6689212733[[#This Row],[GDP 2017]]+Tabel6689212733[[#This Row],[Sew. 2017]]+Tabel6689212733[[#This Row],[VAT Sew. 2017]]+Tabel6689212733[[#This Row],[WW 2017]]+Tabel6689212733[[#This Row],[VAT WW 2017]]+Tabel6689212733[[#This Row],[Other ch. 2017]]+Tabel6689212733[[#This Row],[VAT Other ch. 2017]]</f>
        <v>16645.064720937102</v>
      </c>
      <c r="T63" s="397"/>
      <c r="U63" s="1924" t="e">
        <f>MEDIAN(G63:G67)</f>
        <v>#NUM!</v>
      </c>
      <c r="V63" s="1925" t="e">
        <f t="shared" ref="V63:AF63" si="8">MEDIAN(H63:H67)</f>
        <v>#NUM!</v>
      </c>
      <c r="W63" s="1926" t="e">
        <f t="shared" si="8"/>
        <v>#NUM!</v>
      </c>
      <c r="X63" s="1908" t="e">
        <f t="shared" si="8"/>
        <v>#NUM!</v>
      </c>
      <c r="Y63" s="1916" t="e">
        <f>SUM(U63:X67)</f>
        <v>#NUM!</v>
      </c>
      <c r="Z63" s="1917">
        <f t="shared" si="8"/>
        <v>0</v>
      </c>
      <c r="AA63" s="1908">
        <f t="shared" si="8"/>
        <v>0</v>
      </c>
      <c r="AB63" s="1907">
        <f t="shared" si="8"/>
        <v>13.842405748597303</v>
      </c>
      <c r="AC63" s="1908">
        <f t="shared" si="8"/>
        <v>0</v>
      </c>
      <c r="AD63" s="1931">
        <f t="shared" si="8"/>
        <v>0</v>
      </c>
      <c r="AE63" s="1908">
        <f t="shared" si="8"/>
        <v>0</v>
      </c>
      <c r="AF63" s="1932" t="e">
        <f t="shared" si="8"/>
        <v>#VALUE!</v>
      </c>
      <c r="AG63" s="1831" t="e">
        <f>Y63+Z63+AA63+AB63+AC63+AD63+AE63</f>
        <v>#NUM!</v>
      </c>
      <c r="AH63" s="397"/>
      <c r="AI63" s="398"/>
      <c r="AJ63" s="398"/>
      <c r="AK63" s="398"/>
      <c r="AL63" s="591" t="s">
        <v>429</v>
      </c>
      <c r="AM63" s="591"/>
      <c r="AN63" s="591" t="s">
        <v>429</v>
      </c>
      <c r="AO63" s="614"/>
      <c r="AP63" s="397"/>
    </row>
    <row r="64" spans="1:42" ht="15.6" hidden="1" customHeight="1" x14ac:dyDescent="0.25">
      <c r="A64" s="1819"/>
      <c r="B64" s="685" t="s">
        <v>79</v>
      </c>
      <c r="C64" s="802"/>
      <c r="D64" s="802" t="s">
        <v>1044</v>
      </c>
      <c r="E64" s="1880"/>
      <c r="F64" s="647">
        <f>'exchange rates'!$O$13</f>
        <v>6.50176</v>
      </c>
      <c r="G64" s="930"/>
      <c r="H64" s="685" t="s">
        <v>79</v>
      </c>
      <c r="I64" s="802"/>
      <c r="J64" s="802" t="s">
        <v>1044</v>
      </c>
      <c r="K64" s="999"/>
      <c r="L64" s="596">
        <v>0</v>
      </c>
      <c r="M64" s="595">
        <v>0</v>
      </c>
      <c r="N64" s="626">
        <f>(1.7*100)/F64</f>
        <v>26.146766414017129</v>
      </c>
      <c r="O64" s="595">
        <v>0</v>
      </c>
      <c r="P64" s="597">
        <v>0</v>
      </c>
      <c r="Q64" s="595">
        <v>0</v>
      </c>
      <c r="R64" s="570" t="e">
        <f>Tabel6689212733[[#This Row],[landcode 3]]+Tabel6689212733[[#This Row],[VAT Sew. 2017]]+Tabel6689212733[[#This Row],[VAT WW 2017]]+Tabel6689212733[[#This Row],[VAT Other ch. 2017]]</f>
        <v>#VALUE!</v>
      </c>
      <c r="S64" s="571">
        <f>Tabel6689212733[[#This Row],[GDP 2017]]+Tabel6689212733[[#This Row],[Sew. 2017]]+Tabel6689212733[[#This Row],[VAT Sew. 2017]]+Tabel6689212733[[#This Row],[WW 2017]]+Tabel6689212733[[#This Row],[VAT WW 2017]]+Tabel6689212733[[#This Row],[Other ch. 2017]]+Tabel6689212733[[#This Row],[VAT Other ch. 2017]]</f>
        <v>26.146766414017129</v>
      </c>
      <c r="T64" s="397"/>
      <c r="U64" s="1763"/>
      <c r="V64" s="1766"/>
      <c r="W64" s="1769"/>
      <c r="X64" s="1783"/>
      <c r="Y64" s="1775"/>
      <c r="Z64" s="1778"/>
      <c r="AA64" s="1783"/>
      <c r="AB64" s="1781"/>
      <c r="AC64" s="1783"/>
      <c r="AD64" s="1785"/>
      <c r="AE64" s="1783"/>
      <c r="AF64" s="1788"/>
      <c r="AG64" s="1791"/>
      <c r="AH64" s="397"/>
      <c r="AI64" s="398"/>
      <c r="AJ64" s="398"/>
      <c r="AK64" s="398"/>
      <c r="AL64" s="591" t="s">
        <v>429</v>
      </c>
      <c r="AM64" s="591"/>
      <c r="AN64" s="591" t="s">
        <v>429</v>
      </c>
      <c r="AO64" s="614"/>
      <c r="AP64" s="397"/>
    </row>
    <row r="65" spans="1:42" ht="15.6" hidden="1" customHeight="1" x14ac:dyDescent="0.25">
      <c r="A65" s="1819"/>
      <c r="B65" s="685" t="s">
        <v>80</v>
      </c>
      <c r="C65" s="802"/>
      <c r="D65" s="802" t="s">
        <v>1044</v>
      </c>
      <c r="E65" s="1880"/>
      <c r="F65" s="647">
        <f>'exchange rates'!$O$13</f>
        <v>6.50176</v>
      </c>
      <c r="G65" s="930"/>
      <c r="H65" s="685" t="s">
        <v>80</v>
      </c>
      <c r="I65" s="802"/>
      <c r="J65" s="802" t="s">
        <v>1044</v>
      </c>
      <c r="K65" s="999"/>
      <c r="L65" s="596">
        <v>0</v>
      </c>
      <c r="M65" s="595">
        <v>0</v>
      </c>
      <c r="N65" s="626">
        <f>(0.9*100)/F65</f>
        <v>13.842405748597303</v>
      </c>
      <c r="O65" s="595">
        <v>0</v>
      </c>
      <c r="P65" s="597">
        <v>0</v>
      </c>
      <c r="Q65" s="595">
        <v>0</v>
      </c>
      <c r="R65" s="570" t="e">
        <f>Tabel6689212733[[#This Row],[landcode 3]]+Tabel6689212733[[#This Row],[VAT Sew. 2017]]+Tabel6689212733[[#This Row],[VAT WW 2017]]+Tabel6689212733[[#This Row],[VAT Other ch. 2017]]</f>
        <v>#VALUE!</v>
      </c>
      <c r="S65" s="571">
        <f>Tabel6689212733[[#This Row],[GDP 2017]]+Tabel6689212733[[#This Row],[Sew. 2017]]+Tabel6689212733[[#This Row],[VAT Sew. 2017]]+Tabel6689212733[[#This Row],[WW 2017]]+Tabel6689212733[[#This Row],[VAT WW 2017]]+Tabel6689212733[[#This Row],[Other ch. 2017]]+Tabel6689212733[[#This Row],[VAT Other ch. 2017]]</f>
        <v>13.842405748597303</v>
      </c>
      <c r="T65" s="397"/>
      <c r="U65" s="1763"/>
      <c r="V65" s="1766"/>
      <c r="W65" s="1769"/>
      <c r="X65" s="1783"/>
      <c r="Y65" s="1775"/>
      <c r="Z65" s="1778"/>
      <c r="AA65" s="1783"/>
      <c r="AB65" s="1781"/>
      <c r="AC65" s="1783"/>
      <c r="AD65" s="1785"/>
      <c r="AE65" s="1783"/>
      <c r="AF65" s="1788"/>
      <c r="AG65" s="1791"/>
      <c r="AH65" s="397"/>
      <c r="AI65" s="398"/>
      <c r="AJ65" s="398"/>
      <c r="AK65" s="398"/>
      <c r="AL65" s="591" t="s">
        <v>429</v>
      </c>
      <c r="AM65" s="591"/>
      <c r="AN65" s="591" t="s">
        <v>429</v>
      </c>
      <c r="AO65" s="614"/>
      <c r="AP65" s="397"/>
    </row>
    <row r="66" spans="1:42" ht="15.6" hidden="1" customHeight="1" x14ac:dyDescent="0.25">
      <c r="A66" s="1819"/>
      <c r="B66" s="624" t="s">
        <v>81</v>
      </c>
      <c r="C66" s="802"/>
      <c r="D66" s="802" t="s">
        <v>1044</v>
      </c>
      <c r="E66" s="1880"/>
      <c r="F66" s="647">
        <f>'exchange rates'!$O$13</f>
        <v>6.50176</v>
      </c>
      <c r="G66" s="930"/>
      <c r="H66" s="624" t="s">
        <v>81</v>
      </c>
      <c r="I66" s="802"/>
      <c r="J66" s="802" t="s">
        <v>1044</v>
      </c>
      <c r="K66" s="999"/>
      <c r="L66" s="596">
        <v>0</v>
      </c>
      <c r="M66" s="595">
        <v>0</v>
      </c>
      <c r="N66" s="626">
        <f>(0.9*100)/F66</f>
        <v>13.842405748597303</v>
      </c>
      <c r="O66" s="595">
        <v>0</v>
      </c>
      <c r="P66" s="597">
        <v>0</v>
      </c>
      <c r="Q66" s="595">
        <v>0</v>
      </c>
      <c r="R66" s="570" t="e">
        <f>Tabel6689212733[[#This Row],[landcode 3]]+Tabel6689212733[[#This Row],[VAT Sew. 2017]]+Tabel6689212733[[#This Row],[VAT WW 2017]]+Tabel6689212733[[#This Row],[VAT Other ch. 2017]]</f>
        <v>#VALUE!</v>
      </c>
      <c r="S66" s="571">
        <f>Tabel6689212733[[#This Row],[GDP 2017]]+Tabel6689212733[[#This Row],[Sew. 2017]]+Tabel6689212733[[#This Row],[VAT Sew. 2017]]+Tabel6689212733[[#This Row],[WW 2017]]+Tabel6689212733[[#This Row],[VAT WW 2017]]+Tabel6689212733[[#This Row],[Other ch. 2017]]+Tabel6689212733[[#This Row],[VAT Other ch. 2017]]</f>
        <v>13.842405748597303</v>
      </c>
      <c r="T66" s="397"/>
      <c r="U66" s="1763"/>
      <c r="V66" s="1766"/>
      <c r="W66" s="1769"/>
      <c r="X66" s="1783"/>
      <c r="Y66" s="1775"/>
      <c r="Z66" s="1778"/>
      <c r="AA66" s="1783"/>
      <c r="AB66" s="1781"/>
      <c r="AC66" s="1783"/>
      <c r="AD66" s="1785"/>
      <c r="AE66" s="1783"/>
      <c r="AF66" s="1788"/>
      <c r="AG66" s="1791"/>
      <c r="AH66" s="397"/>
      <c r="AI66" s="398"/>
      <c r="AJ66" s="398"/>
      <c r="AK66" s="398"/>
      <c r="AL66" s="591" t="s">
        <v>429</v>
      </c>
      <c r="AM66" s="591"/>
      <c r="AN66" s="591" t="s">
        <v>429</v>
      </c>
      <c r="AO66" s="614"/>
      <c r="AP66" s="397"/>
    </row>
    <row r="67" spans="1:42" ht="16.149999999999999" hidden="1" customHeight="1" thickBot="1" x14ac:dyDescent="0.3">
      <c r="A67" s="1820"/>
      <c r="B67" s="684" t="s">
        <v>468</v>
      </c>
      <c r="C67" s="802"/>
      <c r="D67" s="802" t="s">
        <v>1044</v>
      </c>
      <c r="E67" s="1923"/>
      <c r="F67" s="647">
        <f>'exchange rates'!$O$13</f>
        <v>6.50176</v>
      </c>
      <c r="G67" s="931"/>
      <c r="H67" s="684" t="s">
        <v>468</v>
      </c>
      <c r="I67" s="802"/>
      <c r="J67" s="802" t="s">
        <v>1044</v>
      </c>
      <c r="K67" s="982"/>
      <c r="L67" s="596">
        <v>0</v>
      </c>
      <c r="M67" s="595">
        <v>0</v>
      </c>
      <c r="N67" s="626">
        <f>(0.9*100)/F67</f>
        <v>13.842405748597303</v>
      </c>
      <c r="O67" s="595">
        <v>0</v>
      </c>
      <c r="P67" s="597">
        <v>0</v>
      </c>
      <c r="Q67" s="595">
        <v>0</v>
      </c>
      <c r="R67" s="570" t="e">
        <f>Tabel6689212733[[#This Row],[landcode 3]]+Tabel6689212733[[#This Row],[VAT Sew. 2017]]+Tabel6689212733[[#This Row],[VAT WW 2017]]+Tabel6689212733[[#This Row],[VAT Other ch. 2017]]</f>
        <v>#VALUE!</v>
      </c>
      <c r="S67" s="571">
        <f>Tabel6689212733[[#This Row],[GDP 2017]]+Tabel6689212733[[#This Row],[Sew. 2017]]+Tabel6689212733[[#This Row],[VAT Sew. 2017]]+Tabel6689212733[[#This Row],[WW 2017]]+Tabel6689212733[[#This Row],[VAT WW 2017]]+Tabel6689212733[[#This Row],[Other ch. 2017]]+Tabel6689212733[[#This Row],[VAT Other ch. 2017]]</f>
        <v>13.842405748597303</v>
      </c>
      <c r="T67" s="397"/>
      <c r="U67" s="1801"/>
      <c r="V67" s="1803"/>
      <c r="W67" s="1805"/>
      <c r="X67" s="1773"/>
      <c r="Y67" s="1807"/>
      <c r="Z67" s="1809"/>
      <c r="AA67" s="1773"/>
      <c r="AB67" s="1782"/>
      <c r="AC67" s="1773"/>
      <c r="AD67" s="1786"/>
      <c r="AE67" s="1773"/>
      <c r="AF67" s="1789"/>
      <c r="AG67" s="1792"/>
      <c r="AH67" s="397"/>
      <c r="AI67" s="398"/>
      <c r="AJ67" s="398"/>
      <c r="AK67" s="398"/>
      <c r="AL67" s="591" t="s">
        <v>429</v>
      </c>
      <c r="AM67" s="591"/>
      <c r="AN67" s="591" t="s">
        <v>429</v>
      </c>
      <c r="AO67" s="614"/>
      <c r="AP67" s="397"/>
    </row>
    <row r="68" spans="1:42" ht="18.600000000000001" hidden="1" customHeight="1" thickBot="1" x14ac:dyDescent="0.3">
      <c r="A68" s="694" t="s">
        <v>585</v>
      </c>
      <c r="B68" s="685" t="s">
        <v>84</v>
      </c>
      <c r="C68" s="802" t="s">
        <v>429</v>
      </c>
      <c r="D68" s="812" t="s">
        <v>1046</v>
      </c>
      <c r="E68" s="700">
        <v>61000</v>
      </c>
      <c r="F68" s="616">
        <f>'exchange rates'!O14</f>
        <v>7.8123899999999997</v>
      </c>
      <c r="G68" s="694" t="s">
        <v>585</v>
      </c>
      <c r="H68" s="685" t="s">
        <v>84</v>
      </c>
      <c r="I68" s="802" t="s">
        <v>429</v>
      </c>
      <c r="J68" s="812" t="s">
        <v>1046</v>
      </c>
      <c r="K68" s="700">
        <v>61000</v>
      </c>
      <c r="L68" s="596">
        <v>0</v>
      </c>
      <c r="M68" s="595">
        <v>0</v>
      </c>
      <c r="N68" s="626">
        <f>292/F68</f>
        <v>37.376526261489765</v>
      </c>
      <c r="O68" s="595">
        <v>0</v>
      </c>
      <c r="P68" s="597">
        <v>0</v>
      </c>
      <c r="Q68" s="595">
        <v>0</v>
      </c>
      <c r="R68" s="570" t="e">
        <f>Tabel6689212733[[#This Row],[landcode 3]]+Tabel6689212733[[#This Row],[VAT Sew. 2017]]+Tabel6689212733[[#This Row],[VAT WW 2017]]+Tabel6689212733[[#This Row],[VAT Other ch. 2017]]</f>
        <v>#VALUE!</v>
      </c>
      <c r="S68" s="571">
        <f>Tabel6689212733[[#This Row],[GDP 2017]]+Tabel6689212733[[#This Row],[Sew. 2017]]+Tabel6689212733[[#This Row],[VAT Sew. 2017]]+Tabel6689212733[[#This Row],[WW 2017]]+Tabel6689212733[[#This Row],[VAT WW 2017]]+Tabel6689212733[[#This Row],[Other ch. 2017]]+Tabel6689212733[[#This Row],[VAT Other ch. 2017]]</f>
        <v>61037.376526261491</v>
      </c>
      <c r="T68" s="397"/>
      <c r="U68" s="701" t="str">
        <f>Tabel6689212733[[#This Row],[Country]]</f>
        <v>Hong Kong, China</v>
      </c>
      <c r="V68" s="702" t="str">
        <f>Tabel6689212733[[#This Row],[City]]</f>
        <v>Hong Kong</v>
      </c>
      <c r="W68" s="703" t="str">
        <f>Tabel6689212733[[#This Row],[capital]]</f>
        <v>X</v>
      </c>
      <c r="X68" s="704" t="str">
        <f>Tabel6689212733[[#This Row],[capital]]</f>
        <v>X</v>
      </c>
      <c r="Y68" s="705">
        <f>SUM(U68:W68)</f>
        <v>0</v>
      </c>
      <c r="Z68" s="706">
        <f>Tabel6689212733[[#This Row],[Sew. 2017]]</f>
        <v>0</v>
      </c>
      <c r="AA68" s="704" t="str">
        <f>Tabel6689212733[[#This Row],[capital]]</f>
        <v>X</v>
      </c>
      <c r="AB68" s="707">
        <f>Tabel6689212733[[#This Row],[WW 2017]]</f>
        <v>37.376526261489765</v>
      </c>
      <c r="AC68" s="704" t="str">
        <f>Tabel6689212733[[#This Row],[capital]]</f>
        <v>X</v>
      </c>
      <c r="AD68" s="708">
        <f>Tabel6689212733[[#This Row],[Other ch. 2017]]</f>
        <v>0</v>
      </c>
      <c r="AE68" s="704" t="str">
        <f>Tabel6689212733[[#This Row],[capital]]</f>
        <v>X</v>
      </c>
      <c r="AF68" s="709" t="e">
        <f>Tabel6689212733[[#This Row],[Total VAT 2017]]</f>
        <v>#VALUE!</v>
      </c>
      <c r="AG68" s="710" t="e">
        <f>SUM(Y68:AF68)</f>
        <v>#VALUE!</v>
      </c>
      <c r="AH68" s="397"/>
      <c r="AI68" s="398"/>
      <c r="AJ68" s="396"/>
      <c r="AK68" s="398"/>
      <c r="AL68" s="591" t="s">
        <v>429</v>
      </c>
      <c r="AM68" s="398"/>
      <c r="AN68" s="398"/>
      <c r="AO68" s="398"/>
      <c r="AP68" s="397"/>
    </row>
    <row r="69" spans="1:42" ht="18" hidden="1" customHeight="1" x14ac:dyDescent="0.25">
      <c r="A69" s="1818" t="s">
        <v>9</v>
      </c>
      <c r="B69" s="623" t="s">
        <v>82</v>
      </c>
      <c r="C69" s="802" t="s">
        <v>429</v>
      </c>
      <c r="D69" s="802" t="s">
        <v>1048</v>
      </c>
      <c r="E69" s="1948">
        <v>49800</v>
      </c>
      <c r="F69" s="306"/>
      <c r="G69" s="929" t="s">
        <v>9</v>
      </c>
      <c r="H69" s="623" t="s">
        <v>82</v>
      </c>
      <c r="I69" s="802" t="s">
        <v>429</v>
      </c>
      <c r="J69" s="802" t="s">
        <v>1048</v>
      </c>
      <c r="K69" s="1007">
        <v>49800</v>
      </c>
      <c r="L69" s="596">
        <v>0</v>
      </c>
      <c r="M69" s="595">
        <v>0</v>
      </c>
      <c r="N69" s="626">
        <v>16.7</v>
      </c>
      <c r="O69" s="595">
        <v>0</v>
      </c>
      <c r="P69" s="597">
        <v>0</v>
      </c>
      <c r="Q69" s="595">
        <v>2.54</v>
      </c>
      <c r="R69" s="570" t="e">
        <f>Tabel6689212733[[#This Row],[landcode 3]]+Tabel6689212733[[#This Row],[VAT Sew. 2017]]+Tabel6689212733[[#This Row],[VAT WW 2017]]+Tabel6689212733[[#This Row],[VAT Other ch. 2017]]</f>
        <v>#VALUE!</v>
      </c>
      <c r="S69" s="571">
        <f>Tabel6689212733[[#This Row],[GDP 2017]]+Tabel6689212733[[#This Row],[Sew. 2017]]+Tabel6689212733[[#This Row],[VAT Sew. 2017]]+Tabel6689212733[[#This Row],[WW 2017]]+Tabel6689212733[[#This Row],[VAT WW 2017]]+Tabel6689212733[[#This Row],[Other ch. 2017]]+Tabel6689212733[[#This Row],[VAT Other ch. 2017]]</f>
        <v>49819.24</v>
      </c>
      <c r="T69" s="397"/>
      <c r="U69" s="1949" t="e">
        <f>MEDIAN(G69:G70)</f>
        <v>#NUM!</v>
      </c>
      <c r="V69" s="1952" t="e">
        <f>MEDIAN(H69:H70)</f>
        <v>#NUM!</v>
      </c>
      <c r="W69" s="1953" t="e">
        <f>MEDIAN(I69:I70)</f>
        <v>#NUM!</v>
      </c>
      <c r="X69" s="1938" t="e">
        <f>MEDIAN(J69:J70)</f>
        <v>#NUM!</v>
      </c>
      <c r="Y69" s="1940" t="e">
        <f>SUM(U69:X70)</f>
        <v>#NUM!</v>
      </c>
      <c r="Z69" s="1941">
        <f t="shared" ref="Z69:AF69" si="9">MEDIAN(L69:L70)</f>
        <v>0</v>
      </c>
      <c r="AA69" s="1938">
        <f t="shared" si="9"/>
        <v>0</v>
      </c>
      <c r="AB69" s="1942">
        <f t="shared" si="9"/>
        <v>16.7</v>
      </c>
      <c r="AC69" s="1938">
        <f t="shared" si="9"/>
        <v>0</v>
      </c>
      <c r="AD69" s="1943">
        <f t="shared" si="9"/>
        <v>0</v>
      </c>
      <c r="AE69" s="1938">
        <f t="shared" si="9"/>
        <v>2.54</v>
      </c>
      <c r="AF69" s="1951" t="e">
        <f t="shared" si="9"/>
        <v>#VALUE!</v>
      </c>
      <c r="AG69" s="1933" t="e">
        <f>Y69+Z69+AA69+AB69+AC69+AD69+AE69</f>
        <v>#NUM!</v>
      </c>
      <c r="AH69" s="397"/>
      <c r="AI69" s="398"/>
      <c r="AJ69" s="398"/>
      <c r="AK69" s="398"/>
      <c r="AL69" s="591" t="s">
        <v>429</v>
      </c>
      <c r="AM69" s="591"/>
      <c r="AN69" s="591" t="s">
        <v>429</v>
      </c>
      <c r="AO69" s="398"/>
      <c r="AP69" s="397"/>
    </row>
    <row r="70" spans="1:42" ht="16.149999999999999" hidden="1" customHeight="1" thickBot="1" x14ac:dyDescent="0.3">
      <c r="A70" s="1820"/>
      <c r="B70" s="624" t="s">
        <v>83</v>
      </c>
      <c r="C70" s="802"/>
      <c r="D70" s="802" t="s">
        <v>1048</v>
      </c>
      <c r="E70" s="1799"/>
      <c r="F70" s="306"/>
      <c r="G70" s="931"/>
      <c r="H70" s="624" t="s">
        <v>83</v>
      </c>
      <c r="I70" s="802"/>
      <c r="J70" s="802" t="s">
        <v>1048</v>
      </c>
      <c r="K70" s="987"/>
      <c r="L70" s="596">
        <v>0</v>
      </c>
      <c r="M70" s="595">
        <v>0</v>
      </c>
      <c r="N70" s="626">
        <v>16.7</v>
      </c>
      <c r="O70" s="595">
        <v>0</v>
      </c>
      <c r="P70" s="597">
        <v>0</v>
      </c>
      <c r="Q70" s="595">
        <v>2.54</v>
      </c>
      <c r="R70" s="570" t="e">
        <f>Tabel6689212733[[#This Row],[landcode 3]]+Tabel6689212733[[#This Row],[VAT Sew. 2017]]+Tabel6689212733[[#This Row],[VAT WW 2017]]+Tabel6689212733[[#This Row],[VAT Other ch. 2017]]</f>
        <v>#VALUE!</v>
      </c>
      <c r="S70" s="571">
        <f>Tabel6689212733[[#This Row],[GDP 2017]]+Tabel6689212733[[#This Row],[Sew. 2017]]+Tabel6689212733[[#This Row],[VAT Sew. 2017]]+Tabel6689212733[[#This Row],[WW 2017]]+Tabel6689212733[[#This Row],[VAT WW 2017]]+Tabel6689212733[[#This Row],[Other ch. 2017]]+Tabel6689212733[[#This Row],[VAT Other ch. 2017]]</f>
        <v>19.239999999999998</v>
      </c>
      <c r="T70" s="397"/>
      <c r="U70" s="1801"/>
      <c r="V70" s="1803"/>
      <c r="W70" s="1805"/>
      <c r="X70" s="1773"/>
      <c r="Y70" s="1807"/>
      <c r="Z70" s="1809"/>
      <c r="AA70" s="1773"/>
      <c r="AB70" s="1782"/>
      <c r="AC70" s="1773"/>
      <c r="AD70" s="1786"/>
      <c r="AE70" s="1773"/>
      <c r="AF70" s="1789"/>
      <c r="AG70" s="1792"/>
      <c r="AH70" s="397"/>
      <c r="AI70" s="398"/>
      <c r="AJ70" s="398"/>
      <c r="AK70" s="398"/>
      <c r="AL70" s="591" t="s">
        <v>429</v>
      </c>
      <c r="AM70" s="591"/>
      <c r="AN70" s="591" t="s">
        <v>429</v>
      </c>
      <c r="AO70" s="398"/>
      <c r="AP70" s="397"/>
    </row>
    <row r="71" spans="1:42" ht="18" hidden="1" customHeight="1" x14ac:dyDescent="0.25">
      <c r="A71" s="1878" t="s">
        <v>10</v>
      </c>
      <c r="B71" s="638" t="s">
        <v>85</v>
      </c>
      <c r="C71" s="693"/>
      <c r="D71" s="806" t="s">
        <v>1050</v>
      </c>
      <c r="E71" s="1934">
        <v>36600</v>
      </c>
      <c r="F71" s="617">
        <f>'exchange rates'!$O$16</f>
        <v>0.83301000000000003</v>
      </c>
      <c r="G71" s="951" t="s">
        <v>10</v>
      </c>
      <c r="H71" s="638" t="s">
        <v>85</v>
      </c>
      <c r="I71" s="693"/>
      <c r="J71" s="806" t="s">
        <v>1050</v>
      </c>
      <c r="K71" s="981">
        <v>36600</v>
      </c>
      <c r="L71" s="596">
        <f>50/F71</f>
        <v>60.023289036146025</v>
      </c>
      <c r="M71" s="595">
        <v>0</v>
      </c>
      <c r="N71" s="626">
        <f>89.6/F71</f>
        <v>107.56173395277366</v>
      </c>
      <c r="O71" s="595">
        <v>0</v>
      </c>
      <c r="P71" s="597">
        <f>25.6/F71</f>
        <v>30.731923986506764</v>
      </c>
      <c r="Q71" s="595">
        <v>0</v>
      </c>
      <c r="R71" s="570" t="e">
        <f>Tabel6689212733[[#This Row],[landcode 3]]+Tabel6689212733[[#This Row],[VAT Sew. 2017]]+Tabel6689212733[[#This Row],[VAT WW 2017]]+Tabel6689212733[[#This Row],[VAT Other ch. 2017]]</f>
        <v>#VALUE!</v>
      </c>
      <c r="S71" s="571">
        <f>Tabel6689212733[[#This Row],[GDP 2017]]+Tabel6689212733[[#This Row],[Sew. 2017]]+Tabel6689212733[[#This Row],[VAT Sew. 2017]]+Tabel6689212733[[#This Row],[WW 2017]]+Tabel6689212733[[#This Row],[VAT WW 2017]]+Tabel6689212733[[#This Row],[Other ch. 2017]]+Tabel6689212733[[#This Row],[VAT Other ch. 2017]]</f>
        <v>36798.316946975428</v>
      </c>
      <c r="T71" s="397"/>
      <c r="U71" s="1935" t="e">
        <f>MEDIAN(G71:G74)</f>
        <v>#NUM!</v>
      </c>
      <c r="V71" s="1936" t="e">
        <f>MEDIAN(H71:H74)</f>
        <v>#NUM!</v>
      </c>
      <c r="W71" s="1937" t="e">
        <f>MEDIAN(I71:I74)</f>
        <v>#NUM!</v>
      </c>
      <c r="X71" s="1938" t="e">
        <f>MEDIAN(J71:J74)</f>
        <v>#NUM!</v>
      </c>
      <c r="Y71" s="1939" t="e">
        <f>SUM(U71:X74)</f>
        <v>#NUM!</v>
      </c>
      <c r="Z71" s="1950">
        <f t="shared" ref="Z71:AF71" si="10">MEDIAN(L71:L74)</f>
        <v>63.024453487953323</v>
      </c>
      <c r="AA71" s="1938">
        <f t="shared" si="10"/>
        <v>0</v>
      </c>
      <c r="AB71" s="1946">
        <f t="shared" si="10"/>
        <v>159.99207692584724</v>
      </c>
      <c r="AC71" s="1938">
        <f t="shared" si="10"/>
        <v>0</v>
      </c>
      <c r="AD71" s="1947">
        <f t="shared" si="10"/>
        <v>36.374113155904489</v>
      </c>
      <c r="AE71" s="1938">
        <f t="shared" si="10"/>
        <v>0</v>
      </c>
      <c r="AF71" s="1944" t="e">
        <f t="shared" si="10"/>
        <v>#VALUE!</v>
      </c>
      <c r="AG71" s="1945" t="e">
        <f>Y71+Z71+AA71+AB71+AC71+AD71+AE71</f>
        <v>#NUM!</v>
      </c>
      <c r="AH71" s="397"/>
      <c r="AI71" s="398"/>
      <c r="AJ71" s="398"/>
      <c r="AK71" s="398"/>
      <c r="AL71" s="591" t="s">
        <v>429</v>
      </c>
      <c r="AM71" s="591" t="s">
        <v>429</v>
      </c>
      <c r="AN71" s="591" t="s">
        <v>429</v>
      </c>
      <c r="AO71" s="398"/>
      <c r="AP71" s="397"/>
    </row>
    <row r="72" spans="1:42" ht="15.6" hidden="1" customHeight="1" x14ac:dyDescent="0.25">
      <c r="A72" s="1757"/>
      <c r="B72" s="639" t="s">
        <v>878</v>
      </c>
      <c r="C72" s="639" t="s">
        <v>429</v>
      </c>
      <c r="D72" s="724" t="s">
        <v>1050</v>
      </c>
      <c r="E72" s="1760"/>
      <c r="F72" s="617">
        <f>'exchange rates'!$O$16</f>
        <v>0.83301000000000003</v>
      </c>
      <c r="G72" s="952"/>
      <c r="H72" s="639" t="s">
        <v>878</v>
      </c>
      <c r="I72" s="639" t="s">
        <v>429</v>
      </c>
      <c r="J72" s="724" t="s">
        <v>1050</v>
      </c>
      <c r="K72" s="969"/>
      <c r="L72" s="596">
        <f>55/F72</f>
        <v>66.025617939760622</v>
      </c>
      <c r="M72" s="595">
        <v>0</v>
      </c>
      <c r="N72" s="626">
        <f>109.5/F72</f>
        <v>131.4510029891598</v>
      </c>
      <c r="O72" s="595">
        <v>0</v>
      </c>
      <c r="P72" s="597">
        <f>0</f>
        <v>0</v>
      </c>
      <c r="Q72" s="595">
        <v>0</v>
      </c>
      <c r="R72" s="570" t="e">
        <f>Tabel6689212733[[#This Row],[landcode 3]]+Tabel6689212733[[#This Row],[VAT Sew. 2017]]+Tabel6689212733[[#This Row],[VAT WW 2017]]+Tabel6689212733[[#This Row],[VAT Other ch. 2017]]</f>
        <v>#VALUE!</v>
      </c>
      <c r="S72" s="571">
        <f>Tabel6689212733[[#This Row],[GDP 2017]]+Tabel6689212733[[#This Row],[Sew. 2017]]+Tabel6689212733[[#This Row],[VAT Sew. 2017]]+Tabel6689212733[[#This Row],[WW 2017]]+Tabel6689212733[[#This Row],[VAT WW 2017]]+Tabel6689212733[[#This Row],[Other ch. 2017]]+Tabel6689212733[[#This Row],[VAT Other ch. 2017]]</f>
        <v>197.47662092892043</v>
      </c>
      <c r="T72" s="397"/>
      <c r="U72" s="1763"/>
      <c r="V72" s="1766"/>
      <c r="W72" s="1769"/>
      <c r="X72" s="1772"/>
      <c r="Y72" s="1775"/>
      <c r="Z72" s="1778"/>
      <c r="AA72" s="1772"/>
      <c r="AB72" s="1781"/>
      <c r="AC72" s="1772"/>
      <c r="AD72" s="1785"/>
      <c r="AE72" s="1772"/>
      <c r="AF72" s="1788"/>
      <c r="AG72" s="1791"/>
      <c r="AH72" s="397"/>
      <c r="AI72" s="398"/>
      <c r="AJ72" s="398"/>
      <c r="AK72" s="398"/>
      <c r="AL72" s="591" t="s">
        <v>429</v>
      </c>
      <c r="AM72" s="591" t="s">
        <v>429</v>
      </c>
      <c r="AN72" s="591" t="s">
        <v>429</v>
      </c>
      <c r="AO72" s="398"/>
      <c r="AP72" s="397"/>
    </row>
    <row r="73" spans="1:42" ht="15.6" hidden="1" customHeight="1" x14ac:dyDescent="0.25">
      <c r="A73" s="1757"/>
      <c r="B73" s="639" t="s">
        <v>879</v>
      </c>
      <c r="C73" s="639"/>
      <c r="D73" s="724" t="s">
        <v>1050</v>
      </c>
      <c r="E73" s="1760"/>
      <c r="F73" s="617">
        <f>'exchange rates'!$O$16</f>
        <v>0.83301000000000003</v>
      </c>
      <c r="G73" s="952"/>
      <c r="H73" s="639" t="s">
        <v>879</v>
      </c>
      <c r="I73" s="639"/>
      <c r="J73" s="724" t="s">
        <v>1050</v>
      </c>
      <c r="K73" s="969"/>
      <c r="L73" s="596">
        <f>64/F73</f>
        <v>76.829809966266907</v>
      </c>
      <c r="M73" s="595">
        <v>0</v>
      </c>
      <c r="N73" s="626">
        <f>157.05/F73</f>
        <v>188.53315086253468</v>
      </c>
      <c r="O73" s="595">
        <v>0</v>
      </c>
      <c r="P73" s="597">
        <f>36/F73</f>
        <v>43.216768106025135</v>
      </c>
      <c r="Q73" s="595">
        <v>0</v>
      </c>
      <c r="R73" s="570" t="e">
        <f>Tabel6689212733[[#This Row],[landcode 3]]+Tabel6689212733[[#This Row],[VAT Sew. 2017]]+Tabel6689212733[[#This Row],[VAT WW 2017]]+Tabel6689212733[[#This Row],[VAT Other ch. 2017]]</f>
        <v>#VALUE!</v>
      </c>
      <c r="S73" s="571">
        <f>Tabel6689212733[[#This Row],[GDP 2017]]+Tabel6689212733[[#This Row],[Sew. 2017]]+Tabel6689212733[[#This Row],[VAT Sew. 2017]]+Tabel6689212733[[#This Row],[WW 2017]]+Tabel6689212733[[#This Row],[VAT WW 2017]]+Tabel6689212733[[#This Row],[Other ch. 2017]]+Tabel6689212733[[#This Row],[VAT Other ch. 2017]]</f>
        <v>308.57972893482673</v>
      </c>
      <c r="T73" s="397"/>
      <c r="U73" s="1763"/>
      <c r="V73" s="1766"/>
      <c r="W73" s="1769"/>
      <c r="X73" s="1772"/>
      <c r="Y73" s="1775"/>
      <c r="Z73" s="1778"/>
      <c r="AA73" s="1772"/>
      <c r="AB73" s="1781"/>
      <c r="AC73" s="1772"/>
      <c r="AD73" s="1785"/>
      <c r="AE73" s="1772"/>
      <c r="AF73" s="1788"/>
      <c r="AG73" s="1791">
        <f t="shared" ref="AG73" si="11">Y73+Z73+AA73+AB73+AC73+AD73+AE73</f>
        <v>0</v>
      </c>
      <c r="AH73" s="397"/>
      <c r="AI73" s="398"/>
      <c r="AJ73" s="398"/>
      <c r="AK73" s="398"/>
      <c r="AL73" s="591" t="s">
        <v>429</v>
      </c>
      <c r="AM73" s="591" t="s">
        <v>429</v>
      </c>
      <c r="AN73" s="591" t="s">
        <v>429</v>
      </c>
      <c r="AO73" s="398"/>
      <c r="AP73" s="397"/>
    </row>
    <row r="74" spans="1:42" ht="16.149999999999999" hidden="1" customHeight="1" thickBot="1" x14ac:dyDescent="0.3">
      <c r="A74" s="1758"/>
      <c r="B74" s="640" t="s">
        <v>86</v>
      </c>
      <c r="C74" s="652"/>
      <c r="D74" s="807" t="s">
        <v>1050</v>
      </c>
      <c r="E74" s="1799"/>
      <c r="F74" s="617">
        <f>'exchange rates'!$O$16</f>
        <v>0.83301000000000003</v>
      </c>
      <c r="G74" s="953"/>
      <c r="H74" s="640" t="s">
        <v>86</v>
      </c>
      <c r="I74" s="652"/>
      <c r="J74" s="807" t="s">
        <v>1050</v>
      </c>
      <c r="K74" s="987"/>
      <c r="L74" s="596">
        <f>42.72/F74</f>
        <v>51.283898152483161</v>
      </c>
      <c r="M74" s="595">
        <v>0</v>
      </c>
      <c r="N74" s="626">
        <f>157.5/F74</f>
        <v>189.07336046385998</v>
      </c>
      <c r="O74" s="595">
        <v>0</v>
      </c>
      <c r="P74" s="597">
        <f>35/F74</f>
        <v>42.016302325302213</v>
      </c>
      <c r="Q74" s="595">
        <v>0</v>
      </c>
      <c r="R74" s="570" t="e">
        <f>Tabel6689212733[[#This Row],[landcode 3]]+Tabel6689212733[[#This Row],[VAT Sew. 2017]]+Tabel6689212733[[#This Row],[VAT WW 2017]]+Tabel6689212733[[#This Row],[VAT Other ch. 2017]]</f>
        <v>#VALUE!</v>
      </c>
      <c r="S74" s="571">
        <f>Tabel6689212733[[#This Row],[GDP 2017]]+Tabel6689212733[[#This Row],[Sew. 2017]]+Tabel6689212733[[#This Row],[VAT Sew. 2017]]+Tabel6689212733[[#This Row],[WW 2017]]+Tabel6689212733[[#This Row],[VAT WW 2017]]+Tabel6689212733[[#This Row],[Other ch. 2017]]+Tabel6689212733[[#This Row],[VAT Other ch. 2017]]</f>
        <v>282.37356094164534</v>
      </c>
      <c r="T74" s="397"/>
      <c r="U74" s="1801"/>
      <c r="V74" s="1803"/>
      <c r="W74" s="1805"/>
      <c r="X74" s="1773"/>
      <c r="Y74" s="1807"/>
      <c r="Z74" s="1809"/>
      <c r="AA74" s="1773"/>
      <c r="AB74" s="1782"/>
      <c r="AC74" s="1773"/>
      <c r="AD74" s="1786"/>
      <c r="AE74" s="1773"/>
      <c r="AF74" s="1789"/>
      <c r="AG74" s="1792"/>
      <c r="AH74" s="397"/>
      <c r="AI74" s="398"/>
      <c r="AJ74" s="398"/>
      <c r="AK74" s="398"/>
      <c r="AL74" s="591" t="s">
        <v>429</v>
      </c>
      <c r="AM74" s="591" t="s">
        <v>429</v>
      </c>
      <c r="AN74" s="591" t="s">
        <v>429</v>
      </c>
      <c r="AO74" s="398"/>
      <c r="AP74" s="397"/>
    </row>
    <row r="75" spans="1:42" ht="16.149999999999999" hidden="1" customHeight="1" x14ac:dyDescent="0.25">
      <c r="A75" s="1878" t="s">
        <v>910</v>
      </c>
      <c r="B75" s="693" t="s">
        <v>911</v>
      </c>
      <c r="C75" s="693" t="s">
        <v>429</v>
      </c>
      <c r="D75" s="806" t="s">
        <v>1052</v>
      </c>
      <c r="E75" s="1759">
        <v>35200</v>
      </c>
      <c r="F75" s="617">
        <f>'exchange rates'!$O$17</f>
        <v>21.275480000000002</v>
      </c>
      <c r="G75" s="940" t="s">
        <v>910</v>
      </c>
      <c r="H75" s="693" t="s">
        <v>911</v>
      </c>
      <c r="I75" s="693" t="s">
        <v>429</v>
      </c>
      <c r="J75" s="806" t="s">
        <v>1052</v>
      </c>
      <c r="K75" s="968">
        <v>35200</v>
      </c>
      <c r="L75" s="596">
        <v>0</v>
      </c>
      <c r="M75" s="595">
        <v>0</v>
      </c>
      <c r="N75" s="626">
        <f>3391/F75</f>
        <v>159.38535816818234</v>
      </c>
      <c r="O75" s="595">
        <f>508/F75</f>
        <v>23.877252123101332</v>
      </c>
      <c r="P75" s="597">
        <v>0</v>
      </c>
      <c r="Q75" s="595">
        <v>0</v>
      </c>
      <c r="R75" s="570" t="e">
        <f>Tabel6689212733[[#This Row],[landcode 3]]+Tabel6689212733[[#This Row],[VAT Sew. 2017]]+Tabel6689212733[[#This Row],[VAT WW 2017]]+Tabel6689212733[[#This Row],[VAT Other ch. 2017]]</f>
        <v>#VALUE!</v>
      </c>
      <c r="S75" s="571">
        <f>Tabel6689212733[[#This Row],[GDP 2017]]+Tabel6689212733[[#This Row],[Sew. 2017]]+Tabel6689212733[[#This Row],[VAT Sew. 2017]]+Tabel6689212733[[#This Row],[WW 2017]]+Tabel6689212733[[#This Row],[VAT WW 2017]]+Tabel6689212733[[#This Row],[Other ch. 2017]]+Tabel6689212733[[#This Row],[VAT Other ch. 2017]]</f>
        <v>35383.262610291284</v>
      </c>
      <c r="T75" s="397"/>
      <c r="U75" s="1762" t="e">
        <f>MEDIAN(G75:G79)</f>
        <v>#NUM!</v>
      </c>
      <c r="V75" s="1765" t="e">
        <f>MEDIAN(H75:H79)</f>
        <v>#NUM!</v>
      </c>
      <c r="W75" s="1768" t="e">
        <f>MEDIAN(I75:I79)</f>
        <v>#NUM!</v>
      </c>
      <c r="X75" s="1771" t="e">
        <f>MEDIAN(J75:J79)</f>
        <v>#NUM!</v>
      </c>
      <c r="Y75" s="1774" t="e">
        <f>SUM(U75:X79)</f>
        <v>#NUM!</v>
      </c>
      <c r="Z75" s="1777">
        <f t="shared" ref="Z75:AF75" si="12">MEDIAN(L75:L79)</f>
        <v>0</v>
      </c>
      <c r="AA75" s="1771">
        <f t="shared" si="12"/>
        <v>0</v>
      </c>
      <c r="AB75" s="1810">
        <f t="shared" si="12"/>
        <v>159.38535816818234</v>
      </c>
      <c r="AC75" s="1771">
        <f t="shared" si="12"/>
        <v>23.877252123101332</v>
      </c>
      <c r="AD75" s="1812">
        <f t="shared" si="12"/>
        <v>0</v>
      </c>
      <c r="AE75" s="1771">
        <f t="shared" si="12"/>
        <v>0</v>
      </c>
      <c r="AF75" s="1814" t="e">
        <f t="shared" si="12"/>
        <v>#VALUE!</v>
      </c>
      <c r="AG75" s="1793" t="e">
        <f>Y75+Z75+AA75+AB75+AC75+AD75+AE75</f>
        <v>#NUM!</v>
      </c>
      <c r="AH75" s="397"/>
      <c r="AI75" s="398"/>
      <c r="AJ75" s="591" t="s">
        <v>429</v>
      </c>
      <c r="AK75" s="398"/>
      <c r="AL75" s="591"/>
      <c r="AM75" s="591"/>
      <c r="AN75" s="591" t="s">
        <v>429</v>
      </c>
      <c r="AO75" s="398"/>
      <c r="AP75" s="397"/>
    </row>
    <row r="76" spans="1:42" ht="16.149999999999999" hidden="1" customHeight="1" x14ac:dyDescent="0.25">
      <c r="A76" s="1757"/>
      <c r="B76" s="639" t="s">
        <v>912</v>
      </c>
      <c r="C76" s="639"/>
      <c r="D76" s="724" t="s">
        <v>1052</v>
      </c>
      <c r="E76" s="1760"/>
      <c r="F76" s="617">
        <f>'exchange rates'!$O$17</f>
        <v>21.275480000000002</v>
      </c>
      <c r="G76" s="941"/>
      <c r="H76" s="639" t="s">
        <v>912</v>
      </c>
      <c r="I76" s="639"/>
      <c r="J76" s="724" t="s">
        <v>1052</v>
      </c>
      <c r="K76" s="969"/>
      <c r="L76" s="596">
        <v>0</v>
      </c>
      <c r="M76" s="595">
        <v>0</v>
      </c>
      <c r="N76" s="626">
        <f>3362/F76</f>
        <v>158.02228668871393</v>
      </c>
      <c r="O76" s="595">
        <f>504/F76</f>
        <v>23.689242263864315</v>
      </c>
      <c r="P76" s="597">
        <v>0</v>
      </c>
      <c r="Q76" s="595">
        <v>0</v>
      </c>
      <c r="R76" s="570" t="e">
        <f>Tabel6689212733[[#This Row],[landcode 3]]+Tabel6689212733[[#This Row],[VAT Sew. 2017]]+Tabel6689212733[[#This Row],[VAT WW 2017]]+Tabel6689212733[[#This Row],[VAT Other ch. 2017]]</f>
        <v>#VALUE!</v>
      </c>
      <c r="S76" s="571">
        <f>Tabel6689212733[[#This Row],[GDP 2017]]+Tabel6689212733[[#This Row],[Sew. 2017]]+Tabel6689212733[[#This Row],[VAT Sew. 2017]]+Tabel6689212733[[#This Row],[WW 2017]]+Tabel6689212733[[#This Row],[VAT WW 2017]]+Tabel6689212733[[#This Row],[Other ch. 2017]]+Tabel6689212733[[#This Row],[VAT Other ch. 2017]]</f>
        <v>181.71152895257825</v>
      </c>
      <c r="T76" s="397"/>
      <c r="U76" s="1763"/>
      <c r="V76" s="1766"/>
      <c r="W76" s="1769"/>
      <c r="X76" s="1772"/>
      <c r="Y76" s="1775"/>
      <c r="Z76" s="1778"/>
      <c r="AA76" s="1772"/>
      <c r="AB76" s="1781"/>
      <c r="AC76" s="1772"/>
      <c r="AD76" s="1785"/>
      <c r="AE76" s="1772"/>
      <c r="AF76" s="1788"/>
      <c r="AG76" s="1791"/>
      <c r="AH76" s="397"/>
      <c r="AI76" s="398"/>
      <c r="AJ76" s="591" t="s">
        <v>429</v>
      </c>
      <c r="AK76" s="398"/>
      <c r="AL76" s="591"/>
      <c r="AM76" s="591"/>
      <c r="AN76" s="591" t="s">
        <v>429</v>
      </c>
      <c r="AO76" s="398"/>
      <c r="AP76" s="397"/>
    </row>
    <row r="77" spans="1:42" ht="16.149999999999999" hidden="1" customHeight="1" x14ac:dyDescent="0.25">
      <c r="A77" s="1757"/>
      <c r="B77" s="639" t="s">
        <v>913</v>
      </c>
      <c r="C77" s="639"/>
      <c r="D77" s="724" t="s">
        <v>1052</v>
      </c>
      <c r="E77" s="1760"/>
      <c r="F77" s="617">
        <f>'exchange rates'!$O$17</f>
        <v>21.275480000000002</v>
      </c>
      <c r="G77" s="941"/>
      <c r="H77" s="639" t="s">
        <v>913</v>
      </c>
      <c r="I77" s="639"/>
      <c r="J77" s="724" t="s">
        <v>1052</v>
      </c>
      <c r="K77" s="969"/>
      <c r="L77" s="596">
        <v>0</v>
      </c>
      <c r="M77" s="595">
        <v>0</v>
      </c>
      <c r="N77" s="626">
        <f>3417/F77</f>
        <v>160.60742225322295</v>
      </c>
      <c r="O77" s="595">
        <f>513/F77</f>
        <v>24.112264447147606</v>
      </c>
      <c r="P77" s="597">
        <v>0</v>
      </c>
      <c r="Q77" s="595">
        <v>0</v>
      </c>
      <c r="R77" s="570" t="e">
        <f>Tabel6689212733[[#This Row],[landcode 3]]+Tabel6689212733[[#This Row],[VAT Sew. 2017]]+Tabel6689212733[[#This Row],[VAT WW 2017]]+Tabel6689212733[[#This Row],[VAT Other ch. 2017]]</f>
        <v>#VALUE!</v>
      </c>
      <c r="S77" s="571">
        <f>Tabel6689212733[[#This Row],[GDP 2017]]+Tabel6689212733[[#This Row],[Sew. 2017]]+Tabel6689212733[[#This Row],[VAT Sew. 2017]]+Tabel6689212733[[#This Row],[WW 2017]]+Tabel6689212733[[#This Row],[VAT WW 2017]]+Tabel6689212733[[#This Row],[Other ch. 2017]]+Tabel6689212733[[#This Row],[VAT Other ch. 2017]]</f>
        <v>184.71968670037054</v>
      </c>
      <c r="T77" s="397"/>
      <c r="U77" s="1763"/>
      <c r="V77" s="1766"/>
      <c r="W77" s="1769"/>
      <c r="X77" s="1772"/>
      <c r="Y77" s="1775"/>
      <c r="Z77" s="1778"/>
      <c r="AA77" s="1772"/>
      <c r="AB77" s="1781"/>
      <c r="AC77" s="1772"/>
      <c r="AD77" s="1785"/>
      <c r="AE77" s="1772"/>
      <c r="AF77" s="1788"/>
      <c r="AG77" s="1791"/>
      <c r="AH77" s="397"/>
      <c r="AI77" s="398"/>
      <c r="AJ77" s="591" t="s">
        <v>429</v>
      </c>
      <c r="AK77" s="398"/>
      <c r="AL77" s="591"/>
      <c r="AM77" s="591"/>
      <c r="AN77" s="591" t="s">
        <v>429</v>
      </c>
      <c r="AO77" s="398"/>
      <c r="AP77" s="397"/>
    </row>
    <row r="78" spans="1:42" ht="16.149999999999999" hidden="1" customHeight="1" x14ac:dyDescent="0.25">
      <c r="A78" s="1757"/>
      <c r="B78" s="639" t="s">
        <v>914</v>
      </c>
      <c r="C78" s="639"/>
      <c r="D78" s="724" t="s">
        <v>1052</v>
      </c>
      <c r="E78" s="1760"/>
      <c r="F78" s="617">
        <f>'exchange rates'!$O$17</f>
        <v>21.275480000000002</v>
      </c>
      <c r="G78" s="941"/>
      <c r="H78" s="639" t="s">
        <v>914</v>
      </c>
      <c r="I78" s="639"/>
      <c r="J78" s="724" t="s">
        <v>1052</v>
      </c>
      <c r="K78" s="969"/>
      <c r="L78" s="596">
        <v>0</v>
      </c>
      <c r="M78" s="595">
        <v>0</v>
      </c>
      <c r="N78" s="626">
        <f>2984/F78</f>
        <v>140.2553549908157</v>
      </c>
      <c r="O78" s="595">
        <f>448/F78</f>
        <v>21.057104234546056</v>
      </c>
      <c r="P78" s="597">
        <v>0</v>
      </c>
      <c r="Q78" s="595">
        <v>0</v>
      </c>
      <c r="R78" s="570" t="e">
        <f>Tabel6689212733[[#This Row],[landcode 3]]+Tabel6689212733[[#This Row],[VAT Sew. 2017]]+Tabel6689212733[[#This Row],[VAT WW 2017]]+Tabel6689212733[[#This Row],[VAT Other ch. 2017]]</f>
        <v>#VALUE!</v>
      </c>
      <c r="S78" s="571">
        <f>Tabel6689212733[[#This Row],[GDP 2017]]+Tabel6689212733[[#This Row],[Sew. 2017]]+Tabel6689212733[[#This Row],[VAT Sew. 2017]]+Tabel6689212733[[#This Row],[WW 2017]]+Tabel6689212733[[#This Row],[VAT WW 2017]]+Tabel6689212733[[#This Row],[Other ch. 2017]]+Tabel6689212733[[#This Row],[VAT Other ch. 2017]]</f>
        <v>161.31245922536175</v>
      </c>
      <c r="T78" s="397"/>
      <c r="U78" s="1763"/>
      <c r="V78" s="1766"/>
      <c r="W78" s="1769"/>
      <c r="X78" s="1772"/>
      <c r="Y78" s="1775"/>
      <c r="Z78" s="1778"/>
      <c r="AA78" s="1772"/>
      <c r="AB78" s="1781"/>
      <c r="AC78" s="1772"/>
      <c r="AD78" s="1785"/>
      <c r="AE78" s="1772"/>
      <c r="AF78" s="1788"/>
      <c r="AG78" s="1791"/>
      <c r="AH78" s="397"/>
      <c r="AI78" s="398"/>
      <c r="AJ78" s="591" t="s">
        <v>429</v>
      </c>
      <c r="AK78" s="398"/>
      <c r="AL78" s="591"/>
      <c r="AM78" s="591"/>
      <c r="AN78" s="591" t="s">
        <v>429</v>
      </c>
      <c r="AO78" s="398"/>
      <c r="AP78" s="397"/>
    </row>
    <row r="79" spans="1:42" ht="16.149999999999999" hidden="1" customHeight="1" thickBot="1" x14ac:dyDescent="0.3">
      <c r="A79" s="1758"/>
      <c r="B79" s="652" t="s">
        <v>915</v>
      </c>
      <c r="C79" s="652"/>
      <c r="D79" s="807" t="s">
        <v>1052</v>
      </c>
      <c r="E79" s="1761"/>
      <c r="F79" s="617">
        <f>'exchange rates'!$O$17</f>
        <v>21.275480000000002</v>
      </c>
      <c r="G79" s="942"/>
      <c r="H79" s="652" t="s">
        <v>915</v>
      </c>
      <c r="I79" s="652"/>
      <c r="J79" s="807" t="s">
        <v>1052</v>
      </c>
      <c r="K79" s="970"/>
      <c r="L79" s="596">
        <v>0</v>
      </c>
      <c r="M79" s="595">
        <v>0</v>
      </c>
      <c r="N79" s="626">
        <f>4202/F79</f>
        <v>197.50435712848781</v>
      </c>
      <c r="O79" s="595">
        <f>630/F79</f>
        <v>29.611552829830394</v>
      </c>
      <c r="P79" s="597">
        <v>0</v>
      </c>
      <c r="Q79" s="595">
        <v>0</v>
      </c>
      <c r="R79" s="570" t="e">
        <f>Tabel6689212733[[#This Row],[landcode 3]]+Tabel6689212733[[#This Row],[VAT Sew. 2017]]+Tabel6689212733[[#This Row],[VAT WW 2017]]+Tabel6689212733[[#This Row],[VAT Other ch. 2017]]</f>
        <v>#VALUE!</v>
      </c>
      <c r="S79" s="571">
        <f>Tabel6689212733[[#This Row],[GDP 2017]]+Tabel6689212733[[#This Row],[Sew. 2017]]+Tabel6689212733[[#This Row],[VAT Sew. 2017]]+Tabel6689212733[[#This Row],[WW 2017]]+Tabel6689212733[[#This Row],[VAT WW 2017]]+Tabel6689212733[[#This Row],[Other ch. 2017]]+Tabel6689212733[[#This Row],[VAT Other ch. 2017]]</f>
        <v>227.11590995831821</v>
      </c>
      <c r="T79" s="397"/>
      <c r="U79" s="1764"/>
      <c r="V79" s="1767"/>
      <c r="W79" s="1770"/>
      <c r="X79" s="1773"/>
      <c r="Y79" s="1776"/>
      <c r="Z79" s="1779"/>
      <c r="AA79" s="1773"/>
      <c r="AB79" s="1811"/>
      <c r="AC79" s="1773"/>
      <c r="AD79" s="1813"/>
      <c r="AE79" s="1773"/>
      <c r="AF79" s="1815"/>
      <c r="AG79" s="1794"/>
      <c r="AH79" s="397"/>
      <c r="AI79" s="398"/>
      <c r="AJ79" s="591" t="s">
        <v>429</v>
      </c>
      <c r="AK79" s="398"/>
      <c r="AL79" s="591"/>
      <c r="AM79" s="591"/>
      <c r="AN79" s="591" t="s">
        <v>429</v>
      </c>
      <c r="AO79" s="398"/>
      <c r="AP79" s="397"/>
    </row>
    <row r="80" spans="1:42" ht="18" hidden="1" customHeight="1" x14ac:dyDescent="0.25">
      <c r="A80" s="1818" t="s">
        <v>11</v>
      </c>
      <c r="B80" s="663" t="s">
        <v>87</v>
      </c>
      <c r="C80" s="1046"/>
      <c r="D80" s="802" t="s">
        <v>1054</v>
      </c>
      <c r="E80" s="1966">
        <v>49600</v>
      </c>
      <c r="F80" s="661">
        <f>'exchange rates'!$O$18</f>
        <v>6.2037399999999998</v>
      </c>
      <c r="G80" s="929" t="s">
        <v>11</v>
      </c>
      <c r="H80" s="641" t="s">
        <v>87</v>
      </c>
      <c r="I80" s="1046"/>
      <c r="J80" s="802" t="s">
        <v>1054</v>
      </c>
      <c r="K80" s="988">
        <v>49600</v>
      </c>
      <c r="L80" s="596">
        <v>0</v>
      </c>
      <c r="M80" s="595">
        <f>2731.78/F80</f>
        <v>440.34405052436114</v>
      </c>
      <c r="N80" s="626">
        <f>57.02/F80</f>
        <v>9.1912298065360574</v>
      </c>
      <c r="O80" s="595">
        <f>697.2/F80</f>
        <v>112.3838200827243</v>
      </c>
      <c r="P80" s="597">
        <v>0</v>
      </c>
      <c r="Q80" s="595">
        <v>0</v>
      </c>
      <c r="R80" s="570" t="e">
        <f>Tabel6689212733[[#This Row],[landcode 3]]+Tabel6689212733[[#This Row],[VAT Sew. 2017]]+Tabel6689212733[[#This Row],[VAT WW 2017]]+Tabel6689212733[[#This Row],[VAT Other ch. 2017]]</f>
        <v>#VALUE!</v>
      </c>
      <c r="S80" s="571">
        <f>Tabel6689212733[[#This Row],[GDP 2017]]+Tabel6689212733[[#This Row],[Sew. 2017]]+Tabel6689212733[[#This Row],[VAT Sew. 2017]]+Tabel6689212733[[#This Row],[WW 2017]]+Tabel6689212733[[#This Row],[VAT WW 2017]]+Tabel6689212733[[#This Row],[Other ch. 2017]]+Tabel6689212733[[#This Row],[VAT Other ch. 2017]]</f>
        <v>50161.919100413623</v>
      </c>
      <c r="T80" s="397"/>
      <c r="U80" s="1968" t="e">
        <f>MEDIAN(G80:G84)</f>
        <v>#NUM!</v>
      </c>
      <c r="V80" s="1971" t="e">
        <f>MEDIAN(H80:H84)</f>
        <v>#NUM!</v>
      </c>
      <c r="W80" s="1974" t="e">
        <f>MEDIAN(I80:I84)</f>
        <v>#NUM!</v>
      </c>
      <c r="X80" s="1771" t="e">
        <f>MEDIAN(J80:J84)</f>
        <v>#NUM!</v>
      </c>
      <c r="Y80" s="1977" t="e">
        <f>SUM(U80:X84)</f>
        <v>#NUM!</v>
      </c>
      <c r="Z80" s="1980">
        <f t="shared" ref="Z80:AF80" si="13">MEDIAN(L80:L84)</f>
        <v>0</v>
      </c>
      <c r="AA80" s="1771">
        <f t="shared" si="13"/>
        <v>440.34405052436114</v>
      </c>
      <c r="AB80" s="1954">
        <f t="shared" si="13"/>
        <v>9.1912298065360574</v>
      </c>
      <c r="AC80" s="1771">
        <f t="shared" si="13"/>
        <v>112.3838200827243</v>
      </c>
      <c r="AD80" s="1957">
        <f t="shared" si="13"/>
        <v>0</v>
      </c>
      <c r="AE80" s="1771">
        <f t="shared" si="13"/>
        <v>0</v>
      </c>
      <c r="AF80" s="1960" t="e">
        <f t="shared" si="13"/>
        <v>#VALUE!</v>
      </c>
      <c r="AG80" s="1963" t="e">
        <f>Y80+Z80+AA80+AB80+AC80+AD80+AE80</f>
        <v>#NUM!</v>
      </c>
      <c r="AH80" s="397"/>
      <c r="AI80" s="396"/>
      <c r="AJ80" s="591" t="s">
        <v>429</v>
      </c>
      <c r="AK80" s="591"/>
      <c r="AL80" s="591"/>
      <c r="AM80" s="591" t="s">
        <v>429</v>
      </c>
      <c r="AN80" s="591" t="s">
        <v>429</v>
      </c>
      <c r="AO80" s="396"/>
      <c r="AP80" s="397"/>
    </row>
    <row r="81" spans="1:42" ht="15.6" hidden="1" customHeight="1" x14ac:dyDescent="0.25">
      <c r="A81" s="1819"/>
      <c r="B81" s="547" t="s">
        <v>213</v>
      </c>
      <c r="C81" s="1046"/>
      <c r="D81" s="802" t="s">
        <v>1054</v>
      </c>
      <c r="E81" s="1967"/>
      <c r="F81" s="661">
        <f>'exchange rates'!$O$18</f>
        <v>6.2037399999999998</v>
      </c>
      <c r="G81" s="930"/>
      <c r="H81" s="641" t="s">
        <v>213</v>
      </c>
      <c r="I81" s="1046"/>
      <c r="J81" s="802" t="s">
        <v>1054</v>
      </c>
      <c r="K81" s="986"/>
      <c r="L81" s="596">
        <v>0</v>
      </c>
      <c r="M81" s="595">
        <f>1554.42/F81</f>
        <v>250.56175790732689</v>
      </c>
      <c r="N81" s="626">
        <f>69.58/F81</f>
        <v>11.215814976127303</v>
      </c>
      <c r="O81" s="595">
        <f>406/F81</f>
        <v>65.444393220863546</v>
      </c>
      <c r="P81" s="597">
        <v>0</v>
      </c>
      <c r="Q81" s="595">
        <v>0</v>
      </c>
      <c r="R81" s="570" t="e">
        <f>Tabel6689212733[[#This Row],[landcode 3]]+Tabel6689212733[[#This Row],[VAT Sew. 2017]]+Tabel6689212733[[#This Row],[VAT WW 2017]]+Tabel6689212733[[#This Row],[VAT Other ch. 2017]]</f>
        <v>#VALUE!</v>
      </c>
      <c r="S81" s="571">
        <f>Tabel6689212733[[#This Row],[GDP 2017]]+Tabel6689212733[[#This Row],[Sew. 2017]]+Tabel6689212733[[#This Row],[VAT Sew. 2017]]+Tabel6689212733[[#This Row],[WW 2017]]+Tabel6689212733[[#This Row],[VAT WW 2017]]+Tabel6689212733[[#This Row],[Other ch. 2017]]+Tabel6689212733[[#This Row],[VAT Other ch. 2017]]</f>
        <v>327.22196610431774</v>
      </c>
      <c r="T81" s="397"/>
      <c r="U81" s="1969"/>
      <c r="V81" s="1972"/>
      <c r="W81" s="1975"/>
      <c r="X81" s="1772"/>
      <c r="Y81" s="1978"/>
      <c r="Z81" s="1981"/>
      <c r="AA81" s="1772"/>
      <c r="AB81" s="1955"/>
      <c r="AC81" s="1772"/>
      <c r="AD81" s="1958"/>
      <c r="AE81" s="1772"/>
      <c r="AF81" s="1961"/>
      <c r="AG81" s="1964"/>
      <c r="AH81" s="397"/>
      <c r="AI81" s="396"/>
      <c r="AJ81" s="591" t="s">
        <v>429</v>
      </c>
      <c r="AK81" s="591"/>
      <c r="AL81" s="591"/>
      <c r="AM81" s="591" t="s">
        <v>429</v>
      </c>
      <c r="AN81" s="591" t="s">
        <v>429</v>
      </c>
      <c r="AO81" s="396"/>
      <c r="AP81" s="397"/>
    </row>
    <row r="82" spans="1:42" ht="15.6" hidden="1" customHeight="1" x14ac:dyDescent="0.25">
      <c r="A82" s="1819"/>
      <c r="B82" s="547" t="s">
        <v>88</v>
      </c>
      <c r="C82" s="1046" t="s">
        <v>429</v>
      </c>
      <c r="D82" s="802" t="s">
        <v>1054</v>
      </c>
      <c r="E82" s="1967"/>
      <c r="F82" s="661">
        <f>'exchange rates'!$O$18</f>
        <v>6.2037399999999998</v>
      </c>
      <c r="G82" s="930"/>
      <c r="H82" s="641" t="s">
        <v>88</v>
      </c>
      <c r="I82" s="1046" t="s">
        <v>429</v>
      </c>
      <c r="J82" s="802" t="s">
        <v>1054</v>
      </c>
      <c r="K82" s="986"/>
      <c r="L82" s="596">
        <v>0</v>
      </c>
      <c r="M82" s="595">
        <f>2672.33/F82</f>
        <v>430.7611215170204</v>
      </c>
      <c r="N82" s="626">
        <f>76.47/F82</f>
        <v>12.326435343840974</v>
      </c>
      <c r="O82" s="595">
        <f>687.2/F82</f>
        <v>110.77188921521535</v>
      </c>
      <c r="P82" s="597">
        <v>0</v>
      </c>
      <c r="Q82" s="595">
        <v>0</v>
      </c>
      <c r="R82" s="570" t="e">
        <f>Tabel6689212733[[#This Row],[landcode 3]]+Tabel6689212733[[#This Row],[VAT Sew. 2017]]+Tabel6689212733[[#This Row],[VAT WW 2017]]+Tabel6689212733[[#This Row],[VAT Other ch. 2017]]</f>
        <v>#VALUE!</v>
      </c>
      <c r="S82" s="571">
        <f>Tabel6689212733[[#This Row],[GDP 2017]]+Tabel6689212733[[#This Row],[Sew. 2017]]+Tabel6689212733[[#This Row],[VAT Sew. 2017]]+Tabel6689212733[[#This Row],[WW 2017]]+Tabel6689212733[[#This Row],[VAT WW 2017]]+Tabel6689212733[[#This Row],[Other ch. 2017]]+Tabel6689212733[[#This Row],[VAT Other ch. 2017]]</f>
        <v>553.85944607607667</v>
      </c>
      <c r="T82" s="397"/>
      <c r="U82" s="1969"/>
      <c r="V82" s="1972"/>
      <c r="W82" s="1975"/>
      <c r="X82" s="1772"/>
      <c r="Y82" s="1978"/>
      <c r="Z82" s="1981"/>
      <c r="AA82" s="1772"/>
      <c r="AB82" s="1955"/>
      <c r="AC82" s="1772"/>
      <c r="AD82" s="1958"/>
      <c r="AE82" s="1772"/>
      <c r="AF82" s="1961"/>
      <c r="AG82" s="1964"/>
      <c r="AH82" s="397"/>
      <c r="AI82" s="396"/>
      <c r="AJ82" s="591" t="s">
        <v>429</v>
      </c>
      <c r="AK82" s="591"/>
      <c r="AL82" s="591"/>
      <c r="AM82" s="591" t="s">
        <v>429</v>
      </c>
      <c r="AN82" s="591" t="s">
        <v>429</v>
      </c>
      <c r="AO82" s="396"/>
      <c r="AP82" s="397"/>
    </row>
    <row r="83" spans="1:42" ht="15.6" hidden="1" customHeight="1" x14ac:dyDescent="0.25">
      <c r="A83" s="1819"/>
      <c r="B83" s="547" t="s">
        <v>89</v>
      </c>
      <c r="C83" s="1046"/>
      <c r="D83" s="802" t="s">
        <v>1054</v>
      </c>
      <c r="E83" s="1967"/>
      <c r="F83" s="661">
        <f>'exchange rates'!$O$18</f>
        <v>6.2037399999999998</v>
      </c>
      <c r="G83" s="930"/>
      <c r="H83" s="641" t="s">
        <v>89</v>
      </c>
      <c r="I83" s="1046"/>
      <c r="J83" s="802" t="s">
        <v>1054</v>
      </c>
      <c r="K83" s="986"/>
      <c r="L83" s="596">
        <v>0</v>
      </c>
      <c r="M83" s="595">
        <f>2880/F83</f>
        <v>464.23608984257885</v>
      </c>
      <c r="N83" s="626">
        <f>50.4/F83</f>
        <v>8.1241315722451297</v>
      </c>
      <c r="O83" s="595">
        <f>734.6/F83</f>
        <v>118.41244152720779</v>
      </c>
      <c r="P83" s="597">
        <v>0</v>
      </c>
      <c r="Q83" s="595">
        <v>0</v>
      </c>
      <c r="R83" s="570" t="e">
        <f>Tabel6689212733[[#This Row],[landcode 3]]+Tabel6689212733[[#This Row],[VAT Sew. 2017]]+Tabel6689212733[[#This Row],[VAT WW 2017]]+Tabel6689212733[[#This Row],[VAT Other ch. 2017]]</f>
        <v>#VALUE!</v>
      </c>
      <c r="S83" s="571">
        <f>Tabel6689212733[[#This Row],[GDP 2017]]+Tabel6689212733[[#This Row],[Sew. 2017]]+Tabel6689212733[[#This Row],[VAT Sew. 2017]]+Tabel6689212733[[#This Row],[WW 2017]]+Tabel6689212733[[#This Row],[VAT WW 2017]]+Tabel6689212733[[#This Row],[Other ch. 2017]]+Tabel6689212733[[#This Row],[VAT Other ch. 2017]]</f>
        <v>590.77266294203173</v>
      </c>
      <c r="T83" s="397"/>
      <c r="U83" s="1969"/>
      <c r="V83" s="1972"/>
      <c r="W83" s="1975"/>
      <c r="X83" s="1772"/>
      <c r="Y83" s="1978"/>
      <c r="Z83" s="1981"/>
      <c r="AA83" s="1772"/>
      <c r="AB83" s="1955"/>
      <c r="AC83" s="1772"/>
      <c r="AD83" s="1958"/>
      <c r="AE83" s="1772"/>
      <c r="AF83" s="1961"/>
      <c r="AG83" s="1964"/>
      <c r="AH83" s="397"/>
      <c r="AI83" s="396"/>
      <c r="AJ83" s="591" t="s">
        <v>429</v>
      </c>
      <c r="AK83" s="591"/>
      <c r="AL83" s="591"/>
      <c r="AM83" s="591" t="s">
        <v>429</v>
      </c>
      <c r="AN83" s="591" t="s">
        <v>429</v>
      </c>
      <c r="AO83" s="396"/>
      <c r="AP83" s="397"/>
    </row>
    <row r="84" spans="1:42" ht="16.149999999999999" hidden="1" customHeight="1" thickBot="1" x14ac:dyDescent="0.3">
      <c r="A84" s="1820"/>
      <c r="B84" s="613" t="s">
        <v>90</v>
      </c>
      <c r="C84" s="1046"/>
      <c r="D84" s="807" t="s">
        <v>1054</v>
      </c>
      <c r="E84" s="1923"/>
      <c r="F84" s="661">
        <f>'exchange rates'!$O$18</f>
        <v>6.2037399999999998</v>
      </c>
      <c r="G84" s="931"/>
      <c r="H84" s="544" t="s">
        <v>90</v>
      </c>
      <c r="I84" s="1046"/>
      <c r="J84" s="807" t="s">
        <v>1054</v>
      </c>
      <c r="K84" s="982"/>
      <c r="L84" s="596">
        <v>0</v>
      </c>
      <c r="M84" s="595">
        <f>3676.62/F84</f>
        <v>592.64572661007719</v>
      </c>
      <c r="N84" s="626">
        <f>53.78/F84</f>
        <v>8.6689642054631566</v>
      </c>
      <c r="O84" s="595">
        <f>932.6/F84</f>
        <v>150.32867270388508</v>
      </c>
      <c r="P84" s="597">
        <v>0</v>
      </c>
      <c r="Q84" s="595">
        <v>0</v>
      </c>
      <c r="R84" s="570" t="e">
        <f>Tabel6689212733[[#This Row],[landcode 3]]+Tabel6689212733[[#This Row],[VAT Sew. 2017]]+Tabel6689212733[[#This Row],[VAT WW 2017]]+Tabel6689212733[[#This Row],[VAT Other ch. 2017]]</f>
        <v>#VALUE!</v>
      </c>
      <c r="S84" s="571">
        <f>Tabel6689212733[[#This Row],[GDP 2017]]+Tabel6689212733[[#This Row],[Sew. 2017]]+Tabel6689212733[[#This Row],[VAT Sew. 2017]]+Tabel6689212733[[#This Row],[WW 2017]]+Tabel6689212733[[#This Row],[VAT WW 2017]]+Tabel6689212733[[#This Row],[Other ch. 2017]]+Tabel6689212733[[#This Row],[VAT Other ch. 2017]]</f>
        <v>751.64336351942541</v>
      </c>
      <c r="T84" s="397"/>
      <c r="U84" s="1970"/>
      <c r="V84" s="1973"/>
      <c r="W84" s="1976"/>
      <c r="X84" s="1773"/>
      <c r="Y84" s="1979"/>
      <c r="Z84" s="1982"/>
      <c r="AA84" s="1773"/>
      <c r="AB84" s="1956"/>
      <c r="AC84" s="1773"/>
      <c r="AD84" s="1959"/>
      <c r="AE84" s="1773"/>
      <c r="AF84" s="1962"/>
      <c r="AG84" s="1965"/>
      <c r="AH84" s="397"/>
      <c r="AI84" s="396"/>
      <c r="AJ84" s="591" t="s">
        <v>429</v>
      </c>
      <c r="AK84" s="591"/>
      <c r="AL84" s="591"/>
      <c r="AM84" s="591" t="s">
        <v>429</v>
      </c>
      <c r="AN84" s="591" t="s">
        <v>429</v>
      </c>
      <c r="AO84" s="396"/>
      <c r="AP84" s="397"/>
    </row>
    <row r="85" spans="1:42" ht="18" hidden="1" customHeight="1" x14ac:dyDescent="0.25">
      <c r="A85" s="1818" t="s">
        <v>12</v>
      </c>
      <c r="B85" s="546" t="s">
        <v>91</v>
      </c>
      <c r="C85" s="1046"/>
      <c r="D85" s="802" t="s">
        <v>1056</v>
      </c>
      <c r="E85" s="1966">
        <v>44000</v>
      </c>
      <c r="F85" s="616">
        <f>'exchange rates'!$O$19</f>
        <v>0.83301000000000003</v>
      </c>
      <c r="G85" s="929" t="s">
        <v>12</v>
      </c>
      <c r="H85" s="546" t="s">
        <v>91</v>
      </c>
      <c r="I85" s="1046"/>
      <c r="J85" s="802" t="s">
        <v>1056</v>
      </c>
      <c r="K85" s="988">
        <v>44000</v>
      </c>
      <c r="L85" s="596">
        <f>139/F85</f>
        <v>166.86474352048594</v>
      </c>
      <c r="M85" s="595">
        <f>33.36/F85</f>
        <v>40.047538444916626</v>
      </c>
      <c r="N85" s="626">
        <v>0</v>
      </c>
      <c r="O85" s="595">
        <v>0</v>
      </c>
      <c r="P85" s="597">
        <f>39.52/F85</f>
        <v>47.44240765416982</v>
      </c>
      <c r="Q85" s="595">
        <f>9.48/F85</f>
        <v>11.380415601253286</v>
      </c>
      <c r="R85" s="317" t="e">
        <f>Tabel6689212733[[#This Row],[landcode 3]]+Tabel6689212733[[#This Row],[VAT Sew. 2017]]+Tabel6689212733[[#This Row],[VAT WW 2017]]+Tabel6689212733[[#This Row],[VAT Other ch. 2017]]</f>
        <v>#VALUE!</v>
      </c>
      <c r="S85" s="571">
        <f>Tabel6689212733[[#This Row],[GDP 2017]]+Tabel6689212733[[#This Row],[Sew. 2017]]+Tabel6689212733[[#This Row],[VAT Sew. 2017]]+Tabel6689212733[[#This Row],[WW 2017]]+Tabel6689212733[[#This Row],[VAT WW 2017]]+Tabel6689212733[[#This Row],[Other ch. 2017]]+Tabel6689212733[[#This Row],[VAT Other ch. 2017]]</f>
        <v>44265.735105220825</v>
      </c>
      <c r="T85" s="397"/>
      <c r="U85" s="1968" t="e">
        <f>MEDIAN(G85:G90)</f>
        <v>#NUM!</v>
      </c>
      <c r="V85" s="1971" t="e">
        <f>MEDIAN(H85:H90)</f>
        <v>#NUM!</v>
      </c>
      <c r="W85" s="1974" t="e">
        <f>MEDIAN(I85:I90)</f>
        <v>#NUM!</v>
      </c>
      <c r="X85" s="1771" t="e">
        <f>MEDIAN(J85:J90)</f>
        <v>#NUM!</v>
      </c>
      <c r="Y85" s="1977" t="e">
        <f>SUM(U85:X90)</f>
        <v>#NUM!</v>
      </c>
      <c r="Z85" s="1980">
        <f t="shared" ref="Z85:AF85" si="14">MEDIAN(L85:L90)</f>
        <v>176.37243250381147</v>
      </c>
      <c r="AA85" s="1771">
        <f t="shared" si="14"/>
        <v>42.328423428290172</v>
      </c>
      <c r="AB85" s="1954">
        <f t="shared" si="14"/>
        <v>0</v>
      </c>
      <c r="AC85" s="1771">
        <f t="shared" si="14"/>
        <v>0</v>
      </c>
      <c r="AD85" s="1957">
        <f t="shared" si="14"/>
        <v>47.44240765416982</v>
      </c>
      <c r="AE85" s="1771">
        <f t="shared" si="14"/>
        <v>11.380415601253286</v>
      </c>
      <c r="AF85" s="1960" t="e">
        <f t="shared" si="14"/>
        <v>#VALUE!</v>
      </c>
      <c r="AG85" s="1963" t="e">
        <f>Y85+Z85+AA85+AB85+AC85+AD85+AE85</f>
        <v>#NUM!</v>
      </c>
      <c r="AH85" s="397"/>
      <c r="AI85" s="400"/>
      <c r="AJ85" s="662" t="s">
        <v>429</v>
      </c>
      <c r="AK85" s="662"/>
      <c r="AL85" s="662"/>
      <c r="AM85" s="662" t="s">
        <v>429</v>
      </c>
      <c r="AN85" s="662" t="s">
        <v>429</v>
      </c>
      <c r="AO85" s="400"/>
      <c r="AP85" s="397"/>
    </row>
    <row r="86" spans="1:42" ht="15.6" hidden="1" customHeight="1" x14ac:dyDescent="0.25">
      <c r="A86" s="1819"/>
      <c r="B86" s="547" t="s">
        <v>92</v>
      </c>
      <c r="C86" s="1046" t="s">
        <v>429</v>
      </c>
      <c r="D86" s="802" t="s">
        <v>1056</v>
      </c>
      <c r="E86" s="1967"/>
      <c r="F86" s="616">
        <f>'exchange rates'!$O$19</f>
        <v>0.83301000000000003</v>
      </c>
      <c r="G86" s="930"/>
      <c r="H86" s="547" t="s">
        <v>92</v>
      </c>
      <c r="I86" s="1046" t="s">
        <v>429</v>
      </c>
      <c r="J86" s="802" t="s">
        <v>1056</v>
      </c>
      <c r="K86" s="986"/>
      <c r="L86" s="596">
        <f>139/F86</f>
        <v>166.86474352048594</v>
      </c>
      <c r="M86" s="595">
        <f>33.36/F86</f>
        <v>40.047538444916626</v>
      </c>
      <c r="N86" s="626">
        <v>0</v>
      </c>
      <c r="O86" s="595">
        <v>0</v>
      </c>
      <c r="P86" s="597">
        <f>39.52/F86</f>
        <v>47.44240765416982</v>
      </c>
      <c r="Q86" s="595">
        <f>9.48/F86</f>
        <v>11.380415601253286</v>
      </c>
      <c r="R86" s="570" t="e">
        <f>Tabel6689212733[[#This Row],[landcode 3]]+Tabel6689212733[[#This Row],[VAT Sew. 2017]]+Tabel6689212733[[#This Row],[VAT WW 2017]]+Tabel6689212733[[#This Row],[VAT Other ch. 2017]]</f>
        <v>#VALUE!</v>
      </c>
      <c r="S86" s="571">
        <f>Tabel6689212733[[#This Row],[GDP 2017]]+Tabel6689212733[[#This Row],[Sew. 2017]]+Tabel6689212733[[#This Row],[VAT Sew. 2017]]+Tabel6689212733[[#This Row],[WW 2017]]+Tabel6689212733[[#This Row],[VAT WW 2017]]+Tabel6689212733[[#This Row],[Other ch. 2017]]+Tabel6689212733[[#This Row],[VAT Other ch. 2017]]</f>
        <v>265.73510522082569</v>
      </c>
      <c r="T86" s="397"/>
      <c r="U86" s="1969"/>
      <c r="V86" s="1972"/>
      <c r="W86" s="1975"/>
      <c r="X86" s="1772"/>
      <c r="Y86" s="1978"/>
      <c r="Z86" s="1981"/>
      <c r="AA86" s="1772"/>
      <c r="AB86" s="1955"/>
      <c r="AC86" s="1772"/>
      <c r="AD86" s="1958"/>
      <c r="AE86" s="1772"/>
      <c r="AF86" s="1961"/>
      <c r="AG86" s="1964"/>
      <c r="AH86" s="397"/>
      <c r="AI86" s="400"/>
      <c r="AJ86" s="662" t="s">
        <v>429</v>
      </c>
      <c r="AK86" s="662"/>
      <c r="AL86" s="662"/>
      <c r="AM86" s="662" t="s">
        <v>429</v>
      </c>
      <c r="AN86" s="662" t="s">
        <v>429</v>
      </c>
      <c r="AO86" s="400"/>
      <c r="AP86" s="397"/>
    </row>
    <row r="87" spans="1:42" ht="15.6" hidden="1" customHeight="1" x14ac:dyDescent="0.25">
      <c r="A87" s="1819"/>
      <c r="B87" s="547" t="s">
        <v>93</v>
      </c>
      <c r="C87" s="1046"/>
      <c r="D87" s="802" t="s">
        <v>1056</v>
      </c>
      <c r="E87" s="1967"/>
      <c r="F87" s="616">
        <f>'exchange rates'!$O$19</f>
        <v>0.83301000000000003</v>
      </c>
      <c r="G87" s="930"/>
      <c r="H87" s="547" t="s">
        <v>93</v>
      </c>
      <c r="I87" s="1046"/>
      <c r="J87" s="802" t="s">
        <v>1056</v>
      </c>
      <c r="K87" s="986"/>
      <c r="L87" s="596">
        <f>160/F87</f>
        <v>192.07452491566727</v>
      </c>
      <c r="M87" s="595">
        <f>38.4/F87</f>
        <v>46.097885979760143</v>
      </c>
      <c r="N87" s="626">
        <v>0</v>
      </c>
      <c r="O87" s="595">
        <v>0</v>
      </c>
      <c r="P87" s="597">
        <f>41.94/F87</f>
        <v>50.347534843519284</v>
      </c>
      <c r="Q87" s="595">
        <f>10.07/F87</f>
        <v>12.08869041187981</v>
      </c>
      <c r="R87" s="570" t="e">
        <f>Tabel6689212733[[#This Row],[landcode 3]]+Tabel6689212733[[#This Row],[VAT Sew. 2017]]+Tabel6689212733[[#This Row],[VAT WW 2017]]+Tabel6689212733[[#This Row],[VAT Other ch. 2017]]</f>
        <v>#VALUE!</v>
      </c>
      <c r="S87" s="571">
        <f>Tabel6689212733[[#This Row],[GDP 2017]]+Tabel6689212733[[#This Row],[Sew. 2017]]+Tabel6689212733[[#This Row],[VAT Sew. 2017]]+Tabel6689212733[[#This Row],[WW 2017]]+Tabel6689212733[[#This Row],[VAT WW 2017]]+Tabel6689212733[[#This Row],[Other ch. 2017]]+Tabel6689212733[[#This Row],[VAT Other ch. 2017]]</f>
        <v>300.60863615082656</v>
      </c>
      <c r="T87" s="397"/>
      <c r="U87" s="1969"/>
      <c r="V87" s="1972"/>
      <c r="W87" s="1975"/>
      <c r="X87" s="1772"/>
      <c r="Y87" s="1978"/>
      <c r="Z87" s="1981"/>
      <c r="AA87" s="1772"/>
      <c r="AB87" s="1955"/>
      <c r="AC87" s="1772"/>
      <c r="AD87" s="1958"/>
      <c r="AE87" s="1772"/>
      <c r="AF87" s="1961"/>
      <c r="AG87" s="1964"/>
      <c r="AH87" s="397"/>
      <c r="AI87" s="400"/>
      <c r="AJ87" s="662" t="s">
        <v>429</v>
      </c>
      <c r="AK87" s="662"/>
      <c r="AL87" s="662"/>
      <c r="AM87" s="662" t="s">
        <v>429</v>
      </c>
      <c r="AN87" s="662" t="s">
        <v>429</v>
      </c>
      <c r="AO87" s="400"/>
      <c r="AP87" s="397"/>
    </row>
    <row r="88" spans="1:42" ht="15.6" hidden="1" customHeight="1" x14ac:dyDescent="0.25">
      <c r="A88" s="1819"/>
      <c r="B88" s="547" t="s">
        <v>94</v>
      </c>
      <c r="C88" s="1046"/>
      <c r="D88" s="802" t="s">
        <v>1056</v>
      </c>
      <c r="E88" s="1967"/>
      <c r="F88" s="616">
        <f>'exchange rates'!$O$19</f>
        <v>0.83301000000000003</v>
      </c>
      <c r="G88" s="930"/>
      <c r="H88" s="547" t="s">
        <v>94</v>
      </c>
      <c r="I88" s="1046"/>
      <c r="J88" s="802" t="s">
        <v>1056</v>
      </c>
      <c r="K88" s="986"/>
      <c r="L88" s="596">
        <f>166/F88</f>
        <v>199.2773196000048</v>
      </c>
      <c r="M88" s="595">
        <f>39.84/F88</f>
        <v>47.826556704001156</v>
      </c>
      <c r="N88" s="626">
        <v>0</v>
      </c>
      <c r="O88" s="595">
        <v>0</v>
      </c>
      <c r="P88" s="597">
        <v>0</v>
      </c>
      <c r="Q88" s="595">
        <v>0</v>
      </c>
      <c r="R88" s="570" t="e">
        <f>Tabel6689212733[[#This Row],[landcode 3]]+Tabel6689212733[[#This Row],[VAT Sew. 2017]]+Tabel6689212733[[#This Row],[VAT WW 2017]]+Tabel6689212733[[#This Row],[VAT Other ch. 2017]]</f>
        <v>#VALUE!</v>
      </c>
      <c r="S88" s="571">
        <f>Tabel6689212733[[#This Row],[GDP 2017]]+Tabel6689212733[[#This Row],[Sew. 2017]]+Tabel6689212733[[#This Row],[VAT Sew. 2017]]+Tabel6689212733[[#This Row],[WW 2017]]+Tabel6689212733[[#This Row],[VAT WW 2017]]+Tabel6689212733[[#This Row],[Other ch. 2017]]+Tabel6689212733[[#This Row],[VAT Other ch. 2017]]</f>
        <v>247.10387630400595</v>
      </c>
      <c r="T88" s="397"/>
      <c r="U88" s="1969"/>
      <c r="V88" s="1972"/>
      <c r="W88" s="1975"/>
      <c r="X88" s="1772"/>
      <c r="Y88" s="1978"/>
      <c r="Z88" s="1981"/>
      <c r="AA88" s="1772"/>
      <c r="AB88" s="1955"/>
      <c r="AC88" s="1772"/>
      <c r="AD88" s="1958"/>
      <c r="AE88" s="1772"/>
      <c r="AF88" s="1961"/>
      <c r="AG88" s="1964"/>
      <c r="AH88" s="397"/>
      <c r="AI88" s="400"/>
      <c r="AJ88" s="662" t="s">
        <v>429</v>
      </c>
      <c r="AK88" s="662"/>
      <c r="AL88" s="662"/>
      <c r="AM88" s="662" t="s">
        <v>429</v>
      </c>
      <c r="AN88" s="662" t="s">
        <v>429</v>
      </c>
      <c r="AO88" s="400"/>
      <c r="AP88" s="397"/>
    </row>
    <row r="89" spans="1:42" ht="15.6" hidden="1" customHeight="1" x14ac:dyDescent="0.25">
      <c r="A89" s="1819"/>
      <c r="B89" s="547" t="s">
        <v>95</v>
      </c>
      <c r="C89" s="1046"/>
      <c r="D89" s="802" t="s">
        <v>1056</v>
      </c>
      <c r="E89" s="1967"/>
      <c r="F89" s="616">
        <f>'exchange rates'!$O$19</f>
        <v>0.83301000000000003</v>
      </c>
      <c r="G89" s="930"/>
      <c r="H89" s="547" t="s">
        <v>95</v>
      </c>
      <c r="I89" s="1046"/>
      <c r="J89" s="802" t="s">
        <v>1056</v>
      </c>
      <c r="K89" s="986"/>
      <c r="L89" s="596">
        <f>154.84/F89</f>
        <v>185.88012148713702</v>
      </c>
      <c r="M89" s="595">
        <f>37.16/F89</f>
        <v>44.609308411663719</v>
      </c>
      <c r="N89" s="626">
        <v>0</v>
      </c>
      <c r="O89" s="595">
        <v>0</v>
      </c>
      <c r="P89" s="597">
        <v>0</v>
      </c>
      <c r="Q89" s="595">
        <v>0</v>
      </c>
      <c r="R89" s="570" t="e">
        <f>Tabel6689212733[[#This Row],[landcode 3]]+Tabel6689212733[[#This Row],[VAT Sew. 2017]]+Tabel6689212733[[#This Row],[VAT WW 2017]]+Tabel6689212733[[#This Row],[VAT Other ch. 2017]]</f>
        <v>#VALUE!</v>
      </c>
      <c r="S89" s="571">
        <f>Tabel6689212733[[#This Row],[GDP 2017]]+Tabel6689212733[[#This Row],[Sew. 2017]]+Tabel6689212733[[#This Row],[VAT Sew. 2017]]+Tabel6689212733[[#This Row],[WW 2017]]+Tabel6689212733[[#This Row],[VAT WW 2017]]+Tabel6689212733[[#This Row],[Other ch. 2017]]+Tabel6689212733[[#This Row],[VAT Other ch. 2017]]</f>
        <v>230.48942989880072</v>
      </c>
      <c r="T89" s="397"/>
      <c r="U89" s="1969"/>
      <c r="V89" s="1972"/>
      <c r="W89" s="1975"/>
      <c r="X89" s="1772"/>
      <c r="Y89" s="1978"/>
      <c r="Z89" s="1981"/>
      <c r="AA89" s="1772"/>
      <c r="AB89" s="1955"/>
      <c r="AC89" s="1772"/>
      <c r="AD89" s="1958"/>
      <c r="AE89" s="1772"/>
      <c r="AF89" s="1961"/>
      <c r="AG89" s="1964"/>
      <c r="AH89" s="397"/>
      <c r="AI89" s="400"/>
      <c r="AJ89" s="662" t="s">
        <v>429</v>
      </c>
      <c r="AK89" s="662"/>
      <c r="AL89" s="662"/>
      <c r="AM89" s="662" t="s">
        <v>429</v>
      </c>
      <c r="AN89" s="662" t="s">
        <v>429</v>
      </c>
      <c r="AO89" s="400"/>
      <c r="AP89" s="397"/>
    </row>
    <row r="90" spans="1:42" ht="16.149999999999999" hidden="1" customHeight="1" thickBot="1" x14ac:dyDescent="0.3">
      <c r="A90" s="1820"/>
      <c r="B90" s="613" t="s">
        <v>195</v>
      </c>
      <c r="C90" s="1046"/>
      <c r="D90" s="807" t="s">
        <v>1056</v>
      </c>
      <c r="E90" s="1923"/>
      <c r="F90" s="616">
        <f>'exchange rates'!$O$19</f>
        <v>0.83301000000000003</v>
      </c>
      <c r="G90" s="931"/>
      <c r="H90" s="613" t="s">
        <v>195</v>
      </c>
      <c r="I90" s="1046"/>
      <c r="J90" s="807" t="s">
        <v>1056</v>
      </c>
      <c r="K90" s="982"/>
      <c r="L90" s="596">
        <f>139/F90</f>
        <v>166.86474352048594</v>
      </c>
      <c r="M90" s="595">
        <f>33.36/F90</f>
        <v>40.047538444916626</v>
      </c>
      <c r="N90" s="626">
        <v>0</v>
      </c>
      <c r="O90" s="595">
        <v>0</v>
      </c>
      <c r="P90" s="597">
        <f>39.52/F90</f>
        <v>47.44240765416982</v>
      </c>
      <c r="Q90" s="595">
        <f>9.48/F90</f>
        <v>11.380415601253286</v>
      </c>
      <c r="R90" s="570" t="e">
        <f>Tabel6689212733[[#This Row],[landcode 3]]+Tabel6689212733[[#This Row],[VAT Sew. 2017]]+Tabel6689212733[[#This Row],[VAT WW 2017]]+Tabel6689212733[[#This Row],[VAT Other ch. 2017]]</f>
        <v>#VALUE!</v>
      </c>
      <c r="S90" s="571">
        <f>Tabel6689212733[[#This Row],[GDP 2017]]+Tabel6689212733[[#This Row],[Sew. 2017]]+Tabel6689212733[[#This Row],[VAT Sew. 2017]]+Tabel6689212733[[#This Row],[WW 2017]]+Tabel6689212733[[#This Row],[VAT WW 2017]]+Tabel6689212733[[#This Row],[Other ch. 2017]]+Tabel6689212733[[#This Row],[VAT Other ch. 2017]]</f>
        <v>265.73510522082569</v>
      </c>
      <c r="T90" s="397"/>
      <c r="U90" s="1970"/>
      <c r="V90" s="1973"/>
      <c r="W90" s="1976"/>
      <c r="X90" s="1773"/>
      <c r="Y90" s="1979"/>
      <c r="Z90" s="1982"/>
      <c r="AA90" s="1773"/>
      <c r="AB90" s="1956"/>
      <c r="AC90" s="1773"/>
      <c r="AD90" s="1959"/>
      <c r="AE90" s="1773"/>
      <c r="AF90" s="1962"/>
      <c r="AG90" s="1965"/>
      <c r="AH90" s="397"/>
      <c r="AI90" s="400"/>
      <c r="AJ90" s="662" t="s">
        <v>429</v>
      </c>
      <c r="AK90" s="662"/>
      <c r="AL90" s="662"/>
      <c r="AM90" s="662" t="s">
        <v>429</v>
      </c>
      <c r="AN90" s="662" t="s">
        <v>429</v>
      </c>
      <c r="AO90" s="400"/>
      <c r="AP90" s="397"/>
    </row>
    <row r="91" spans="1:42" ht="15.75" hidden="1" customHeight="1" x14ac:dyDescent="0.25">
      <c r="A91" s="1878" t="s">
        <v>13</v>
      </c>
      <c r="B91" s="546" t="s">
        <v>97</v>
      </c>
      <c r="C91" s="1046"/>
      <c r="D91" s="802" t="s">
        <v>1058</v>
      </c>
      <c r="E91" s="1983">
        <v>43600</v>
      </c>
      <c r="F91" s="616">
        <f>'exchange rates'!$O$20</f>
        <v>0.83301000000000003</v>
      </c>
      <c r="G91" s="951" t="s">
        <v>13</v>
      </c>
      <c r="H91" s="546" t="s">
        <v>97</v>
      </c>
      <c r="I91" s="1046"/>
      <c r="J91" s="802" t="s">
        <v>1058</v>
      </c>
      <c r="K91" s="993">
        <v>43600</v>
      </c>
      <c r="L91" s="596">
        <f>(1.1*100)/F91</f>
        <v>132.05123587952127</v>
      </c>
      <c r="M91" s="595">
        <f>13.36/F91</f>
        <v>16.038222830458217</v>
      </c>
      <c r="N91" s="626">
        <f>(0*100)/F91</f>
        <v>0</v>
      </c>
      <c r="O91" s="595">
        <v>0</v>
      </c>
      <c r="P91" s="597">
        <f>(0.24*100)/F91</f>
        <v>28.81117873735009</v>
      </c>
      <c r="Q91" s="595">
        <v>0</v>
      </c>
      <c r="R91" s="570" t="e">
        <f>Tabel6689212733[[#This Row],[landcode 3]]+Tabel6689212733[[#This Row],[VAT Sew. 2017]]+Tabel6689212733[[#This Row],[VAT WW 2017]]+Tabel6689212733[[#This Row],[VAT Other ch. 2017]]</f>
        <v>#VALUE!</v>
      </c>
      <c r="S91" s="571">
        <f>Tabel6689212733[[#This Row],[GDP 2017]]+Tabel6689212733[[#This Row],[Sew. 2017]]+Tabel6689212733[[#This Row],[VAT Sew. 2017]]+Tabel6689212733[[#This Row],[WW 2017]]+Tabel6689212733[[#This Row],[VAT WW 2017]]+Tabel6689212733[[#This Row],[Other ch. 2017]]+Tabel6689212733[[#This Row],[VAT Other ch. 2017]]</f>
        <v>43776.900637447332</v>
      </c>
      <c r="T91" s="397"/>
      <c r="U91" s="1984" t="e">
        <f>MEDIAN(G91:G101)</f>
        <v>#NUM!</v>
      </c>
      <c r="V91" s="1985" t="e">
        <f>MEDIAN(H91:H101)</f>
        <v>#NUM!</v>
      </c>
      <c r="W91" s="1986" t="e">
        <f>MEDIAN(I91:I101)</f>
        <v>#NUM!</v>
      </c>
      <c r="X91" s="1938" t="e">
        <f>MEDIAN(J91:J101)</f>
        <v>#NUM!</v>
      </c>
      <c r="Y91" s="1987" t="e">
        <f>SUM(U91:X101)</f>
        <v>#NUM!</v>
      </c>
      <c r="Z91" s="2031">
        <f t="shared" ref="Z91:AF91" si="15">MEDIAN(L91:L101)</f>
        <v>139.25403056385875</v>
      </c>
      <c r="AA91" s="1938">
        <f t="shared" si="15"/>
        <v>16.038222830458217</v>
      </c>
      <c r="AB91" s="2032">
        <f t="shared" si="15"/>
        <v>0</v>
      </c>
      <c r="AC91" s="1938">
        <f t="shared" si="15"/>
        <v>0</v>
      </c>
      <c r="AD91" s="2028">
        <f t="shared" si="15"/>
        <v>31.932389767229687</v>
      </c>
      <c r="AE91" s="1938">
        <f t="shared" si="15"/>
        <v>0</v>
      </c>
      <c r="AF91" s="1988" t="e">
        <f t="shared" si="15"/>
        <v>#VALUE!</v>
      </c>
      <c r="AG91" s="1989" t="e">
        <f>Y91+Z91+AA91+AB91+AC91+AD91+AE91</f>
        <v>#NUM!</v>
      </c>
      <c r="AH91" s="397"/>
      <c r="AI91" s="614"/>
      <c r="AJ91" s="591"/>
      <c r="AK91" s="591"/>
      <c r="AL91" s="591" t="s">
        <v>429</v>
      </c>
      <c r="AM91" s="591" t="s">
        <v>429</v>
      </c>
      <c r="AN91" s="591"/>
      <c r="AO91" s="614"/>
    </row>
    <row r="92" spans="1:42" ht="15.75" hidden="1" customHeight="1" x14ac:dyDescent="0.25">
      <c r="A92" s="1757"/>
      <c r="B92" s="547" t="s">
        <v>98</v>
      </c>
      <c r="C92" s="1046"/>
      <c r="D92" s="802" t="s">
        <v>1058</v>
      </c>
      <c r="E92" s="1880"/>
      <c r="F92" s="616">
        <f>'exchange rates'!$O$20</f>
        <v>0.83301000000000003</v>
      </c>
      <c r="G92" s="952"/>
      <c r="H92" s="547" t="s">
        <v>98</v>
      </c>
      <c r="I92" s="1046"/>
      <c r="J92" s="802" t="s">
        <v>1058</v>
      </c>
      <c r="K92" s="999"/>
      <c r="L92" s="596">
        <f>(1.6*100)/F92</f>
        <v>192.07452491566727</v>
      </c>
      <c r="M92" s="595">
        <v>0</v>
      </c>
      <c r="N92" s="626">
        <f>(1.24*100)/F92</f>
        <v>148.85775680964213</v>
      </c>
      <c r="O92" s="595">
        <f>31.38/F92</f>
        <v>37.670616199085245</v>
      </c>
      <c r="P92" s="597">
        <f>(0.3*100)/F92</f>
        <v>36.013973421687616</v>
      </c>
      <c r="Q92" s="595">
        <v>0</v>
      </c>
      <c r="R92" s="570" t="e">
        <f>Tabel6689212733[[#This Row],[landcode 3]]+Tabel6689212733[[#This Row],[VAT Sew. 2017]]+Tabel6689212733[[#This Row],[VAT WW 2017]]+Tabel6689212733[[#This Row],[VAT Other ch. 2017]]</f>
        <v>#VALUE!</v>
      </c>
      <c r="S92" s="571">
        <f>Tabel6689212733[[#This Row],[GDP 2017]]+Tabel6689212733[[#This Row],[Sew. 2017]]+Tabel6689212733[[#This Row],[VAT Sew. 2017]]+Tabel6689212733[[#This Row],[WW 2017]]+Tabel6689212733[[#This Row],[VAT WW 2017]]+Tabel6689212733[[#This Row],[Other ch. 2017]]+Tabel6689212733[[#This Row],[VAT Other ch. 2017]]</f>
        <v>414.61687134608229</v>
      </c>
      <c r="T92" s="397"/>
      <c r="U92" s="1763"/>
      <c r="V92" s="1766"/>
      <c r="W92" s="1769"/>
      <c r="X92" s="1772"/>
      <c r="Y92" s="1775"/>
      <c r="Z92" s="1778"/>
      <c r="AA92" s="1772"/>
      <c r="AB92" s="1781"/>
      <c r="AC92" s="1772"/>
      <c r="AD92" s="1785"/>
      <c r="AE92" s="1772"/>
      <c r="AF92" s="1788"/>
      <c r="AG92" s="1990"/>
      <c r="AH92" s="397"/>
      <c r="AI92" s="614"/>
      <c r="AJ92" s="591" t="s">
        <v>429</v>
      </c>
      <c r="AK92" s="591" t="s">
        <v>429</v>
      </c>
      <c r="AL92" s="591"/>
      <c r="AM92" s="591" t="s">
        <v>429</v>
      </c>
      <c r="AN92" s="591"/>
      <c r="AO92" s="614"/>
    </row>
    <row r="93" spans="1:42" ht="15.75" hidden="1" customHeight="1" x14ac:dyDescent="0.25">
      <c r="A93" s="1757"/>
      <c r="B93" s="547" t="s">
        <v>99</v>
      </c>
      <c r="C93" s="1046"/>
      <c r="D93" s="802" t="s">
        <v>1058</v>
      </c>
      <c r="E93" s="1880"/>
      <c r="F93" s="616">
        <f>'exchange rates'!$O$20</f>
        <v>0.83301000000000003</v>
      </c>
      <c r="G93" s="952"/>
      <c r="H93" s="547" t="s">
        <v>99</v>
      </c>
      <c r="I93" s="1046"/>
      <c r="J93" s="802" t="s">
        <v>1058</v>
      </c>
      <c r="K93" s="999"/>
      <c r="L93" s="596">
        <f>(1.46*100)/F93</f>
        <v>175.26800398554639</v>
      </c>
      <c r="M93" s="595">
        <f>17.29/F93</f>
        <v>20.756053348699293</v>
      </c>
      <c r="N93" s="626">
        <f>(0*100)/F93</f>
        <v>0</v>
      </c>
      <c r="O93" s="595">
        <v>0</v>
      </c>
      <c r="P93" s="597">
        <f>(0.266*100)/F93</f>
        <v>31.932389767229687</v>
      </c>
      <c r="Q93" s="595">
        <v>0</v>
      </c>
      <c r="R93" s="570" t="e">
        <f>Tabel6689212733[[#This Row],[landcode 3]]+Tabel6689212733[[#This Row],[VAT Sew. 2017]]+Tabel6689212733[[#This Row],[VAT WW 2017]]+Tabel6689212733[[#This Row],[VAT Other ch. 2017]]</f>
        <v>#VALUE!</v>
      </c>
      <c r="S93" s="571">
        <f>Tabel6689212733[[#This Row],[GDP 2017]]+Tabel6689212733[[#This Row],[Sew. 2017]]+Tabel6689212733[[#This Row],[VAT Sew. 2017]]+Tabel6689212733[[#This Row],[WW 2017]]+Tabel6689212733[[#This Row],[VAT WW 2017]]+Tabel6689212733[[#This Row],[Other ch. 2017]]+Tabel6689212733[[#This Row],[VAT Other ch. 2017]]</f>
        <v>227.95644710147536</v>
      </c>
      <c r="T93" s="397"/>
      <c r="U93" s="1763"/>
      <c r="V93" s="1766"/>
      <c r="W93" s="1769"/>
      <c r="X93" s="1772"/>
      <c r="Y93" s="1775"/>
      <c r="Z93" s="1778"/>
      <c r="AA93" s="1772"/>
      <c r="AB93" s="1781"/>
      <c r="AC93" s="1772"/>
      <c r="AD93" s="1785"/>
      <c r="AE93" s="1772"/>
      <c r="AF93" s="1788"/>
      <c r="AG93" s="1990"/>
      <c r="AH93" s="397"/>
      <c r="AI93" s="614"/>
      <c r="AJ93" s="591" t="s">
        <v>429</v>
      </c>
      <c r="AK93" s="591" t="s">
        <v>429</v>
      </c>
      <c r="AL93" s="591"/>
      <c r="AM93" s="591" t="s">
        <v>429</v>
      </c>
      <c r="AN93" s="591"/>
      <c r="AO93" s="614"/>
    </row>
    <row r="94" spans="1:42" ht="15.75" hidden="1" customHeight="1" x14ac:dyDescent="0.25">
      <c r="A94" s="1757"/>
      <c r="B94" s="547" t="s">
        <v>100</v>
      </c>
      <c r="C94" s="1046"/>
      <c r="D94" s="802" t="s">
        <v>1058</v>
      </c>
      <c r="E94" s="1880"/>
      <c r="F94" s="616">
        <f>'exchange rates'!$O$20</f>
        <v>0.83301000000000003</v>
      </c>
      <c r="G94" s="952"/>
      <c r="H94" s="547" t="s">
        <v>100</v>
      </c>
      <c r="I94" s="1046"/>
      <c r="J94" s="802" t="s">
        <v>1058</v>
      </c>
      <c r="K94" s="999"/>
      <c r="L94" s="596">
        <f>(0.98*100)/F94</f>
        <v>117.64564651084621</v>
      </c>
      <c r="M94" s="595">
        <f>12.2/F94</f>
        <v>14.645682524819629</v>
      </c>
      <c r="N94" s="626">
        <v>0</v>
      </c>
      <c r="O94" s="595">
        <v>0</v>
      </c>
      <c r="P94" s="597">
        <f>(0.24131*100)/F94</f>
        <v>28.968439754624793</v>
      </c>
      <c r="Q94" s="595">
        <v>0</v>
      </c>
      <c r="R94" s="570" t="e">
        <f>Tabel6689212733[[#This Row],[landcode 3]]+Tabel6689212733[[#This Row],[VAT Sew. 2017]]+Tabel6689212733[[#This Row],[VAT WW 2017]]+Tabel6689212733[[#This Row],[VAT Other ch. 2017]]</f>
        <v>#VALUE!</v>
      </c>
      <c r="S94" s="571">
        <f>Tabel6689212733[[#This Row],[GDP 2017]]+Tabel6689212733[[#This Row],[Sew. 2017]]+Tabel6689212733[[#This Row],[VAT Sew. 2017]]+Tabel6689212733[[#This Row],[WW 2017]]+Tabel6689212733[[#This Row],[VAT WW 2017]]+Tabel6689212733[[#This Row],[Other ch. 2017]]+Tabel6689212733[[#This Row],[VAT Other ch. 2017]]</f>
        <v>161.25976879029062</v>
      </c>
      <c r="T94" s="397"/>
      <c r="U94" s="1763"/>
      <c r="V94" s="1766"/>
      <c r="W94" s="1769"/>
      <c r="X94" s="1772"/>
      <c r="Y94" s="1775"/>
      <c r="Z94" s="1778"/>
      <c r="AA94" s="1772"/>
      <c r="AB94" s="1781"/>
      <c r="AC94" s="1772"/>
      <c r="AD94" s="1785"/>
      <c r="AE94" s="1772"/>
      <c r="AF94" s="1788"/>
      <c r="AG94" s="1990"/>
      <c r="AH94" s="397"/>
      <c r="AI94" s="614"/>
      <c r="AJ94" s="591" t="s">
        <v>429</v>
      </c>
      <c r="AK94" s="591"/>
      <c r="AL94" s="591"/>
      <c r="AM94" s="591" t="s">
        <v>429</v>
      </c>
      <c r="AN94" s="591"/>
      <c r="AO94" s="614"/>
    </row>
    <row r="95" spans="1:42" ht="15.75" hidden="1" customHeight="1" x14ac:dyDescent="0.25">
      <c r="A95" s="1757"/>
      <c r="B95" s="547" t="s">
        <v>101</v>
      </c>
      <c r="C95" s="1046" t="s">
        <v>429</v>
      </c>
      <c r="D95" s="802" t="s">
        <v>1058</v>
      </c>
      <c r="E95" s="1880"/>
      <c r="F95" s="616">
        <f>'exchange rates'!$O$20</f>
        <v>0.83301000000000003</v>
      </c>
      <c r="G95" s="952"/>
      <c r="H95" s="547" t="s">
        <v>101</v>
      </c>
      <c r="I95" s="1046" t="s">
        <v>429</v>
      </c>
      <c r="J95" s="802" t="s">
        <v>1058</v>
      </c>
      <c r="K95" s="999"/>
      <c r="L95" s="596">
        <f>(0.31*100)/F95</f>
        <v>37.214439202410531</v>
      </c>
      <c r="M95" s="595">
        <v>0</v>
      </c>
      <c r="N95" s="626">
        <f>(1.04*100)/F95</f>
        <v>124.84844119518372</v>
      </c>
      <c r="O95" s="595">
        <f>16.53/F95</f>
        <v>19.843699355349877</v>
      </c>
      <c r="P95" s="597">
        <f>(0.3*100)/F95</f>
        <v>36.013973421687616</v>
      </c>
      <c r="Q95" s="595">
        <v>0</v>
      </c>
      <c r="R95" s="570" t="e">
        <f>Tabel6689212733[[#This Row],[landcode 3]]+Tabel6689212733[[#This Row],[VAT Sew. 2017]]+Tabel6689212733[[#This Row],[VAT WW 2017]]+Tabel6689212733[[#This Row],[VAT Other ch. 2017]]</f>
        <v>#VALUE!</v>
      </c>
      <c r="S95" s="571">
        <f>Tabel6689212733[[#This Row],[GDP 2017]]+Tabel6689212733[[#This Row],[Sew. 2017]]+Tabel6689212733[[#This Row],[VAT Sew. 2017]]+Tabel6689212733[[#This Row],[WW 2017]]+Tabel6689212733[[#This Row],[VAT WW 2017]]+Tabel6689212733[[#This Row],[Other ch. 2017]]+Tabel6689212733[[#This Row],[VAT Other ch. 2017]]</f>
        <v>217.92055317463175</v>
      </c>
      <c r="T95" s="397"/>
      <c r="U95" s="1763"/>
      <c r="V95" s="1766"/>
      <c r="W95" s="1769"/>
      <c r="X95" s="1772"/>
      <c r="Y95" s="1775"/>
      <c r="Z95" s="1778"/>
      <c r="AA95" s="1772"/>
      <c r="AB95" s="1781"/>
      <c r="AC95" s="1772"/>
      <c r="AD95" s="1785"/>
      <c r="AE95" s="1772"/>
      <c r="AF95" s="1788"/>
      <c r="AG95" s="1990"/>
      <c r="AH95" s="397"/>
      <c r="AI95" s="614"/>
      <c r="AJ95" s="591" t="s">
        <v>429</v>
      </c>
      <c r="AK95" s="591"/>
      <c r="AL95" s="591"/>
      <c r="AM95" s="591" t="s">
        <v>429</v>
      </c>
      <c r="AN95" s="591"/>
      <c r="AO95" s="614"/>
    </row>
    <row r="96" spans="1:42" ht="15.75" hidden="1" customHeight="1" x14ac:dyDescent="0.25">
      <c r="A96" s="1757"/>
      <c r="B96" s="547" t="s">
        <v>630</v>
      </c>
      <c r="C96" s="1046"/>
      <c r="D96" s="802" t="s">
        <v>1058</v>
      </c>
      <c r="E96" s="1880"/>
      <c r="F96" s="616">
        <f>'exchange rates'!$O$20</f>
        <v>0.83301000000000003</v>
      </c>
      <c r="G96" s="952"/>
      <c r="H96" s="547" t="s">
        <v>630</v>
      </c>
      <c r="I96" s="1046"/>
      <c r="J96" s="802" t="s">
        <v>1058</v>
      </c>
      <c r="K96" s="999"/>
      <c r="L96" s="596">
        <f>(0.5*100)/F96</f>
        <v>60.023289036146025</v>
      </c>
      <c r="M96" s="595">
        <v>0</v>
      </c>
      <c r="N96" s="626">
        <f>(0.47*100)/F96</f>
        <v>56.421891693977258</v>
      </c>
      <c r="O96" s="595">
        <f>13.18/F96</f>
        <v>15.82213898992809</v>
      </c>
      <c r="P96" s="597">
        <f>(0.35*100)/F96</f>
        <v>42.016302325302213</v>
      </c>
      <c r="Q96" s="595">
        <v>0</v>
      </c>
      <c r="R96" s="570" t="e">
        <f>Tabel6689212733[[#This Row],[landcode 3]]+Tabel6689212733[[#This Row],[VAT Sew. 2017]]+Tabel6689212733[[#This Row],[VAT WW 2017]]+Tabel6689212733[[#This Row],[VAT Other ch. 2017]]</f>
        <v>#VALUE!</v>
      </c>
      <c r="S96" s="571">
        <f>Tabel6689212733[[#This Row],[GDP 2017]]+Tabel6689212733[[#This Row],[Sew. 2017]]+Tabel6689212733[[#This Row],[VAT Sew. 2017]]+Tabel6689212733[[#This Row],[WW 2017]]+Tabel6689212733[[#This Row],[VAT WW 2017]]+Tabel6689212733[[#This Row],[Other ch. 2017]]+Tabel6689212733[[#This Row],[VAT Other ch. 2017]]</f>
        <v>174.28362204535358</v>
      </c>
      <c r="T96" s="397"/>
      <c r="U96" s="1763"/>
      <c r="V96" s="1766"/>
      <c r="W96" s="1769"/>
      <c r="X96" s="1772"/>
      <c r="Y96" s="1775"/>
      <c r="Z96" s="1778"/>
      <c r="AA96" s="1772"/>
      <c r="AB96" s="1781"/>
      <c r="AC96" s="1772"/>
      <c r="AD96" s="1785"/>
      <c r="AE96" s="1772"/>
      <c r="AF96" s="1788"/>
      <c r="AG96" s="1990"/>
      <c r="AH96" s="397"/>
      <c r="AI96" s="614"/>
      <c r="AJ96" s="591" t="s">
        <v>429</v>
      </c>
      <c r="AK96" s="591"/>
      <c r="AL96" s="591"/>
      <c r="AM96" s="591" t="s">
        <v>429</v>
      </c>
      <c r="AN96" s="591"/>
      <c r="AO96" s="614"/>
    </row>
    <row r="97" spans="1:42" ht="15.75" hidden="1" customHeight="1" x14ac:dyDescent="0.25">
      <c r="A97" s="1757"/>
      <c r="B97" s="547" t="s">
        <v>631</v>
      </c>
      <c r="C97" s="1046"/>
      <c r="D97" s="802" t="s">
        <v>1058</v>
      </c>
      <c r="E97" s="1880"/>
      <c r="F97" s="616">
        <f>'exchange rates'!$O$20</f>
        <v>0.83301000000000003</v>
      </c>
      <c r="G97" s="952"/>
      <c r="H97" s="547" t="s">
        <v>631</v>
      </c>
      <c r="I97" s="1046"/>
      <c r="J97" s="802" t="s">
        <v>1058</v>
      </c>
      <c r="K97" s="999"/>
      <c r="L97" s="596">
        <f>(1.16*100)/F97</f>
        <v>139.25403056385875</v>
      </c>
      <c r="M97" s="595">
        <f>14.6/F97</f>
        <v>17.526800398554638</v>
      </c>
      <c r="N97" s="626">
        <f>(0*100)/F97</f>
        <v>0</v>
      </c>
      <c r="O97" s="595">
        <v>0</v>
      </c>
      <c r="P97" s="597">
        <f>(0.3*100)/F97</f>
        <v>36.013973421687616</v>
      </c>
      <c r="Q97" s="595">
        <v>0</v>
      </c>
      <c r="R97" s="570" t="e">
        <f>Tabel6689212733[[#This Row],[landcode 3]]+Tabel6689212733[[#This Row],[VAT Sew. 2017]]+Tabel6689212733[[#This Row],[VAT WW 2017]]+Tabel6689212733[[#This Row],[VAT Other ch. 2017]]</f>
        <v>#VALUE!</v>
      </c>
      <c r="S97" s="571">
        <f>Tabel6689212733[[#This Row],[GDP 2017]]+Tabel6689212733[[#This Row],[Sew. 2017]]+Tabel6689212733[[#This Row],[VAT Sew. 2017]]+Tabel6689212733[[#This Row],[WW 2017]]+Tabel6689212733[[#This Row],[VAT WW 2017]]+Tabel6689212733[[#This Row],[Other ch. 2017]]+Tabel6689212733[[#This Row],[VAT Other ch. 2017]]</f>
        <v>192.79480438410098</v>
      </c>
      <c r="T97" s="397"/>
      <c r="U97" s="1763"/>
      <c r="V97" s="1766"/>
      <c r="W97" s="1769"/>
      <c r="X97" s="1772"/>
      <c r="Y97" s="1775"/>
      <c r="Z97" s="1778"/>
      <c r="AA97" s="1772"/>
      <c r="AB97" s="1781"/>
      <c r="AC97" s="1772"/>
      <c r="AD97" s="1785"/>
      <c r="AE97" s="1772"/>
      <c r="AF97" s="1788"/>
      <c r="AG97" s="1990"/>
      <c r="AH97" s="397"/>
      <c r="AI97" s="614"/>
      <c r="AJ97" s="591" t="s">
        <v>429</v>
      </c>
      <c r="AK97" s="591"/>
      <c r="AL97" s="591"/>
      <c r="AM97" s="591"/>
      <c r="AN97" s="591"/>
      <c r="AO97" s="614"/>
    </row>
    <row r="98" spans="1:42" ht="15.75" hidden="1" customHeight="1" x14ac:dyDescent="0.25">
      <c r="A98" s="1757"/>
      <c r="B98" s="547" t="s">
        <v>632</v>
      </c>
      <c r="C98" s="1046"/>
      <c r="D98" s="802" t="s">
        <v>1058</v>
      </c>
      <c r="E98" s="1880"/>
      <c r="F98" s="616">
        <f>'exchange rates'!$O$20</f>
        <v>0.83301000000000003</v>
      </c>
      <c r="G98" s="952"/>
      <c r="H98" s="547" t="s">
        <v>632</v>
      </c>
      <c r="I98" s="1046"/>
      <c r="J98" s="802" t="s">
        <v>1058</v>
      </c>
      <c r="K98" s="999"/>
      <c r="L98" s="596">
        <f>(0.91*100)/F98</f>
        <v>109.24238604578576</v>
      </c>
      <c r="M98" s="595">
        <f>11.23/F98</f>
        <v>13.481230717518397</v>
      </c>
      <c r="N98" s="626">
        <v>0</v>
      </c>
      <c r="O98" s="595">
        <v>0</v>
      </c>
      <c r="P98" s="597">
        <f>(0.2097*100)/F98</f>
        <v>25.173767421759642</v>
      </c>
      <c r="Q98" s="595">
        <v>0</v>
      </c>
      <c r="R98" s="570" t="e">
        <f>Tabel6689212733[[#This Row],[landcode 3]]+Tabel6689212733[[#This Row],[VAT Sew. 2017]]+Tabel6689212733[[#This Row],[VAT WW 2017]]+Tabel6689212733[[#This Row],[VAT Other ch. 2017]]</f>
        <v>#VALUE!</v>
      </c>
      <c r="S98" s="571">
        <f>Tabel6689212733[[#This Row],[GDP 2017]]+Tabel6689212733[[#This Row],[Sew. 2017]]+Tabel6689212733[[#This Row],[VAT Sew. 2017]]+Tabel6689212733[[#This Row],[WW 2017]]+Tabel6689212733[[#This Row],[VAT WW 2017]]+Tabel6689212733[[#This Row],[Other ch. 2017]]+Tabel6689212733[[#This Row],[VAT Other ch. 2017]]</f>
        <v>147.8973841850638</v>
      </c>
      <c r="T98" s="397"/>
      <c r="U98" s="1763"/>
      <c r="V98" s="1766"/>
      <c r="W98" s="1769"/>
      <c r="X98" s="1772"/>
      <c r="Y98" s="1775"/>
      <c r="Z98" s="1778"/>
      <c r="AA98" s="1772"/>
      <c r="AB98" s="1781"/>
      <c r="AC98" s="1772"/>
      <c r="AD98" s="1785"/>
      <c r="AE98" s="1772"/>
      <c r="AF98" s="1788"/>
      <c r="AG98" s="1990"/>
      <c r="AH98" s="397"/>
      <c r="AI98" s="614"/>
      <c r="AJ98" s="591" t="s">
        <v>429</v>
      </c>
      <c r="AK98" s="591"/>
      <c r="AL98" s="591"/>
      <c r="AM98" s="591" t="s">
        <v>429</v>
      </c>
      <c r="AN98" s="591"/>
      <c r="AO98" s="614"/>
    </row>
    <row r="99" spans="1:42" ht="15.75" hidden="1" customHeight="1" x14ac:dyDescent="0.25">
      <c r="A99" s="1757"/>
      <c r="B99" s="547" t="s">
        <v>633</v>
      </c>
      <c r="C99" s="1046"/>
      <c r="D99" s="802" t="s">
        <v>1058</v>
      </c>
      <c r="E99" s="1880"/>
      <c r="F99" s="616">
        <f>'exchange rates'!$O$20</f>
        <v>0.83301000000000003</v>
      </c>
      <c r="G99" s="952"/>
      <c r="H99" s="547" t="s">
        <v>633</v>
      </c>
      <c r="I99" s="1046"/>
      <c r="J99" s="802" t="s">
        <v>1058</v>
      </c>
      <c r="K99" s="999"/>
      <c r="L99" s="596">
        <f>(2.01*100)/F99</f>
        <v>241.29362192530698</v>
      </c>
      <c r="M99" s="595">
        <f>23.13/F99</f>
        <v>27.766773508121148</v>
      </c>
      <c r="N99" s="626">
        <f>(0*100)/F99</f>
        <v>0</v>
      </c>
      <c r="O99" s="595">
        <v>0</v>
      </c>
      <c r="P99" s="597">
        <f>(0.3*100)/F99</f>
        <v>36.013973421687616</v>
      </c>
      <c r="Q99" s="595">
        <v>0</v>
      </c>
      <c r="R99" s="570" t="e">
        <f>Tabel6689212733[[#This Row],[landcode 3]]+Tabel6689212733[[#This Row],[VAT Sew. 2017]]+Tabel6689212733[[#This Row],[VAT WW 2017]]+Tabel6689212733[[#This Row],[VAT Other ch. 2017]]</f>
        <v>#VALUE!</v>
      </c>
      <c r="S99" s="571">
        <f>Tabel6689212733[[#This Row],[GDP 2017]]+Tabel6689212733[[#This Row],[Sew. 2017]]+Tabel6689212733[[#This Row],[VAT Sew. 2017]]+Tabel6689212733[[#This Row],[WW 2017]]+Tabel6689212733[[#This Row],[VAT WW 2017]]+Tabel6689212733[[#This Row],[Other ch. 2017]]+Tabel6689212733[[#This Row],[VAT Other ch. 2017]]</f>
        <v>305.07436885511578</v>
      </c>
      <c r="T99" s="397"/>
      <c r="U99" s="1763"/>
      <c r="V99" s="1766"/>
      <c r="W99" s="1769"/>
      <c r="X99" s="1772"/>
      <c r="Y99" s="1775"/>
      <c r="Z99" s="1778"/>
      <c r="AA99" s="1772"/>
      <c r="AB99" s="1781"/>
      <c r="AC99" s="1772"/>
      <c r="AD99" s="1785"/>
      <c r="AE99" s="1772"/>
      <c r="AF99" s="1788"/>
      <c r="AG99" s="1990"/>
      <c r="AH99" s="397"/>
      <c r="AI99" s="614"/>
      <c r="AJ99" s="591" t="s">
        <v>429</v>
      </c>
      <c r="AK99" s="591"/>
      <c r="AL99" s="591"/>
      <c r="AM99" s="591" t="s">
        <v>429</v>
      </c>
      <c r="AN99" s="591"/>
      <c r="AO99" s="614"/>
    </row>
    <row r="100" spans="1:42" ht="15.75" hidden="1" customHeight="1" x14ac:dyDescent="0.25">
      <c r="A100" s="1757"/>
      <c r="B100" s="547" t="s">
        <v>634</v>
      </c>
      <c r="C100" s="1046"/>
      <c r="D100" s="802" t="s">
        <v>1058</v>
      </c>
      <c r="E100" s="1880"/>
      <c r="F100" s="616">
        <f>'exchange rates'!$O$20</f>
        <v>0.83301000000000003</v>
      </c>
      <c r="G100" s="952"/>
      <c r="H100" s="547" t="s">
        <v>634</v>
      </c>
      <c r="I100" s="1046"/>
      <c r="J100" s="802" t="s">
        <v>1058</v>
      </c>
      <c r="K100" s="999"/>
      <c r="L100" s="596">
        <f>(1.29*100)/F100</f>
        <v>154.86008571325675</v>
      </c>
      <c r="M100" s="595">
        <f>14.52/F100</f>
        <v>17.430763136096804</v>
      </c>
      <c r="N100" s="626">
        <f>(0*100)/F100</f>
        <v>0</v>
      </c>
      <c r="O100" s="595">
        <v>0</v>
      </c>
      <c r="P100" s="597">
        <f>(0.16*100)/F100</f>
        <v>19.207452491566727</v>
      </c>
      <c r="Q100" s="595">
        <v>0</v>
      </c>
      <c r="R100" s="570" t="e">
        <f>Tabel6689212733[[#This Row],[landcode 3]]+Tabel6689212733[[#This Row],[VAT Sew. 2017]]+Tabel6689212733[[#This Row],[VAT WW 2017]]+Tabel6689212733[[#This Row],[VAT Other ch. 2017]]</f>
        <v>#VALUE!</v>
      </c>
      <c r="S100" s="571">
        <f>Tabel6689212733[[#This Row],[GDP 2017]]+Tabel6689212733[[#This Row],[Sew. 2017]]+Tabel6689212733[[#This Row],[VAT Sew. 2017]]+Tabel6689212733[[#This Row],[WW 2017]]+Tabel6689212733[[#This Row],[VAT WW 2017]]+Tabel6689212733[[#This Row],[Other ch. 2017]]+Tabel6689212733[[#This Row],[VAT Other ch. 2017]]</f>
        <v>191.49830134092028</v>
      </c>
      <c r="T100" s="397"/>
      <c r="U100" s="1763"/>
      <c r="V100" s="1766"/>
      <c r="W100" s="1769"/>
      <c r="X100" s="1772"/>
      <c r="Y100" s="1775"/>
      <c r="Z100" s="1778"/>
      <c r="AA100" s="1772"/>
      <c r="AB100" s="1781"/>
      <c r="AC100" s="1772"/>
      <c r="AD100" s="1785"/>
      <c r="AE100" s="1772"/>
      <c r="AF100" s="1788"/>
      <c r="AG100" s="1990"/>
      <c r="AH100" s="397"/>
      <c r="AI100" s="614"/>
      <c r="AJ100" s="591" t="s">
        <v>429</v>
      </c>
      <c r="AK100" s="591"/>
      <c r="AL100" s="591"/>
      <c r="AM100" s="591"/>
      <c r="AN100" s="591"/>
      <c r="AO100" s="614"/>
    </row>
    <row r="101" spans="1:42" ht="16.5" hidden="1" customHeight="1" thickBot="1" x14ac:dyDescent="0.3">
      <c r="A101" s="1758"/>
      <c r="B101" s="547" t="s">
        <v>635</v>
      </c>
      <c r="C101" s="1046"/>
      <c r="D101" s="802" t="s">
        <v>1058</v>
      </c>
      <c r="E101" s="1761"/>
      <c r="F101" s="616">
        <f>'exchange rates'!$O$20</f>
        <v>0.83301000000000003</v>
      </c>
      <c r="G101" s="953"/>
      <c r="H101" s="547" t="s">
        <v>635</v>
      </c>
      <c r="I101" s="1046"/>
      <c r="J101" s="802" t="s">
        <v>1058</v>
      </c>
      <c r="K101" s="970"/>
      <c r="L101" s="596">
        <f>(2.04*100)/F101</f>
        <v>244.89501926747576</v>
      </c>
      <c r="M101" s="595">
        <f>22.48/F101</f>
        <v>26.986470750651254</v>
      </c>
      <c r="N101" s="626">
        <f>(0*100)/F101</f>
        <v>0</v>
      </c>
      <c r="O101" s="595">
        <v>0</v>
      </c>
      <c r="P101" s="597">
        <f>(0.209*100)/F101</f>
        <v>25.089734817109036</v>
      </c>
      <c r="Q101" s="595">
        <v>0</v>
      </c>
      <c r="R101" s="570" t="e">
        <f>Tabel6689212733[[#This Row],[landcode 3]]+Tabel6689212733[[#This Row],[VAT Sew. 2017]]+Tabel6689212733[[#This Row],[VAT WW 2017]]+Tabel6689212733[[#This Row],[VAT Other ch. 2017]]</f>
        <v>#VALUE!</v>
      </c>
      <c r="S101" s="571">
        <f>Tabel6689212733[[#This Row],[GDP 2017]]+Tabel6689212733[[#This Row],[Sew. 2017]]+Tabel6689212733[[#This Row],[VAT Sew. 2017]]+Tabel6689212733[[#This Row],[WW 2017]]+Tabel6689212733[[#This Row],[VAT WW 2017]]+Tabel6689212733[[#This Row],[Other ch. 2017]]+Tabel6689212733[[#This Row],[VAT Other ch. 2017]]</f>
        <v>296.97122483523606</v>
      </c>
      <c r="T101" s="397"/>
      <c r="U101" s="1764"/>
      <c r="V101" s="1767"/>
      <c r="W101" s="1770"/>
      <c r="X101" s="1773"/>
      <c r="Y101" s="1776"/>
      <c r="Z101" s="1779"/>
      <c r="AA101" s="1773"/>
      <c r="AB101" s="1811"/>
      <c r="AC101" s="1773"/>
      <c r="AD101" s="1813"/>
      <c r="AE101" s="1773"/>
      <c r="AF101" s="1815"/>
      <c r="AG101" s="1991"/>
      <c r="AH101" s="397"/>
      <c r="AI101" s="614"/>
      <c r="AJ101" s="591" t="s">
        <v>429</v>
      </c>
      <c r="AK101" s="591" t="s">
        <v>429</v>
      </c>
      <c r="AL101" s="591"/>
      <c r="AM101" s="591" t="s">
        <v>429</v>
      </c>
      <c r="AN101" s="591"/>
      <c r="AO101" s="614"/>
    </row>
    <row r="102" spans="1:42" ht="18.600000000000001" hidden="1" customHeight="1" thickBot="1" x14ac:dyDescent="0.3">
      <c r="A102" s="962" t="s">
        <v>521</v>
      </c>
      <c r="B102" s="292" t="s">
        <v>522</v>
      </c>
      <c r="C102" s="1047"/>
      <c r="D102" s="811" t="s">
        <v>1060</v>
      </c>
      <c r="E102" s="301">
        <v>16000</v>
      </c>
      <c r="F102" s="308">
        <v>506.17869999999999</v>
      </c>
      <c r="G102" s="962" t="s">
        <v>521</v>
      </c>
      <c r="H102" s="292" t="s">
        <v>522</v>
      </c>
      <c r="I102" s="1047"/>
      <c r="J102" s="811" t="s">
        <v>1060</v>
      </c>
      <c r="K102" s="301">
        <v>16000</v>
      </c>
      <c r="L102" s="322">
        <v>0</v>
      </c>
      <c r="M102" s="559"/>
      <c r="N102" s="323">
        <v>0</v>
      </c>
      <c r="O102" s="559"/>
      <c r="P102" s="324">
        <v>0</v>
      </c>
      <c r="Q102" s="559"/>
      <c r="R102" s="317" t="e">
        <f>Tabel6689212733[[#This Row],[landcode 3]]+Tabel6689212733[[#This Row],[VAT Sew. 2017]]+Tabel6689212733[[#This Row],[VAT WW 2017]]+Tabel6689212733[[#This Row],[VAT Other ch. 2017]]</f>
        <v>#VALUE!</v>
      </c>
      <c r="S102" s="318">
        <f>Tabel6689212733[[#This Row],[GDP 2017]]+Tabel6689212733[[#This Row],[Sew. 2017]]+Tabel6689212733[[#This Row],[VAT Sew. 2017]]+Tabel6689212733[[#This Row],[WW 2017]]+Tabel6689212733[[#This Row],[VAT WW 2017]]+Tabel6689212733[[#This Row],[Other ch. 2017]]+Tabel6689212733[[#This Row],[VAT Other ch. 2017]]</f>
        <v>16000</v>
      </c>
      <c r="T102" s="397"/>
      <c r="U102" s="340" t="str">
        <f>Tabel6689212733[[#This Row],[Country]]</f>
        <v>Gabon</v>
      </c>
      <c r="V102" s="341" t="str">
        <f>Tabel6689212733[[#This Row],[City]]</f>
        <v>Gabon Urban Average</v>
      </c>
      <c r="W102" s="342">
        <v>0</v>
      </c>
      <c r="X102" s="581"/>
      <c r="Y102" s="343">
        <f>Tabel6689212733[[#This Row],[GDP 2017]]</f>
        <v>16000</v>
      </c>
      <c r="Z102" s="344">
        <v>0</v>
      </c>
      <c r="AA102" s="581"/>
      <c r="AB102" s="345">
        <v>0</v>
      </c>
      <c r="AC102" s="581"/>
      <c r="AD102" s="346">
        <v>0</v>
      </c>
      <c r="AE102" s="581"/>
      <c r="AF102" s="347" t="e">
        <f>Tabel6689212733[[#This Row],[Total VAT 2017]]</f>
        <v>#VALUE!</v>
      </c>
      <c r="AG102" s="348">
        <f>Tabel6689212733[[#This Row],[total charge 2017]]</f>
        <v>16000</v>
      </c>
      <c r="AH102" s="397"/>
      <c r="AI102" s="398"/>
      <c r="AJ102" s="398"/>
      <c r="AK102" s="398"/>
      <c r="AL102" s="396" t="s">
        <v>429</v>
      </c>
      <c r="AM102" s="398"/>
      <c r="AN102" s="398"/>
      <c r="AO102" s="398"/>
      <c r="AP102" s="397"/>
    </row>
    <row r="103" spans="1:42" ht="18.600000000000001" hidden="1" customHeight="1" thickBot="1" x14ac:dyDescent="0.35">
      <c r="A103" s="669" t="s">
        <v>14</v>
      </c>
      <c r="B103" s="544" t="s">
        <v>939</v>
      </c>
      <c r="C103" s="1046" t="s">
        <v>429</v>
      </c>
      <c r="D103" s="812" t="s">
        <v>1062</v>
      </c>
      <c r="E103" s="671">
        <v>50200</v>
      </c>
      <c r="F103" s="616">
        <f>'exchange rates'!O22</f>
        <v>0.83301000000000003</v>
      </c>
      <c r="G103" s="669" t="s">
        <v>14</v>
      </c>
      <c r="H103" s="544" t="s">
        <v>939</v>
      </c>
      <c r="I103" s="1046" t="s">
        <v>429</v>
      </c>
      <c r="J103" s="812" t="s">
        <v>1062</v>
      </c>
      <c r="K103" s="671">
        <v>50200</v>
      </c>
      <c r="L103" s="567">
        <v>0</v>
      </c>
      <c r="M103" s="560">
        <v>0</v>
      </c>
      <c r="N103" s="568">
        <f>221/F103</f>
        <v>265.30293753976542</v>
      </c>
      <c r="O103" s="560">
        <v>0</v>
      </c>
      <c r="P103" s="569">
        <v>0</v>
      </c>
      <c r="Q103" s="560">
        <v>0</v>
      </c>
      <c r="R103" s="570" t="e">
        <f>Tabel6689212733[[#This Row],[landcode 3]]+Tabel6689212733[[#This Row],[VAT Sew. 2017]]+Tabel6689212733[[#This Row],[VAT WW 2017]]+Tabel6689212733[[#This Row],[VAT Other ch. 2017]]</f>
        <v>#VALUE!</v>
      </c>
      <c r="S103" s="571">
        <f>Tabel6689212733[[#This Row],[GDP 2017]]+Tabel6689212733[[#This Row],[Sew. 2017]]+Tabel6689212733[[#This Row],[VAT Sew. 2017]]+Tabel6689212733[[#This Row],[WW 2017]]+Tabel6689212733[[#This Row],[VAT WW 2017]]+Tabel6689212733[[#This Row],[Other ch. 2017]]+Tabel6689212733[[#This Row],[VAT Other ch. 2017]]</f>
        <v>50465.302937539767</v>
      </c>
      <c r="T103" s="397"/>
      <c r="U103" s="672" t="str">
        <f>Tabel6689212733[[#This Row],[Country]]</f>
        <v>Germany</v>
      </c>
      <c r="V103" s="673" t="str">
        <f>Tabel6689212733[[#This Row],[City]]</f>
        <v>Berlin</v>
      </c>
      <c r="W103" s="674" t="str">
        <f>Tabel6689212733[[#This Row],[capital]]</f>
        <v>X</v>
      </c>
      <c r="X103" s="675" t="str">
        <f>Tabel6689212733[[#This Row],[landcode 3]]</f>
        <v>DEU</v>
      </c>
      <c r="Y103" s="676">
        <f>Tabel6689212733[[#This Row],[GDP 2017]]</f>
        <v>50200</v>
      </c>
      <c r="Z103" s="677">
        <f>Tabel6689212733[[#This Row],[Sew. 2017]]</f>
        <v>0</v>
      </c>
      <c r="AA103" s="675">
        <f>Tabel6689212733[[#This Row],[VAT Sew. 2017]]</f>
        <v>0</v>
      </c>
      <c r="AB103" s="678">
        <f>Tabel6689212733[[#This Row],[WW 2017]]</f>
        <v>265.30293753976542</v>
      </c>
      <c r="AC103" s="675">
        <f>Tabel6689212733[[#This Row],[VAT WW 2017]]</f>
        <v>0</v>
      </c>
      <c r="AD103" s="679">
        <f>Tabel6689212733[[#This Row],[Other ch. 2017]]</f>
        <v>0</v>
      </c>
      <c r="AE103" s="675">
        <f>Tabel6689212733[[#This Row],[VAT Other ch. 2017]]</f>
        <v>0</v>
      </c>
      <c r="AF103" s="680" t="e">
        <f>Tabel6689212733[[#This Row],[Total VAT 2017]]</f>
        <v>#VALUE!</v>
      </c>
      <c r="AG103" s="681">
        <f>Tabel6689212733[[#This Row],[total charge 2017]]</f>
        <v>50465.302937539767</v>
      </c>
      <c r="AH103" s="397"/>
      <c r="AI103" s="398"/>
      <c r="AJ103" s="398"/>
      <c r="AK103" s="591" t="s">
        <v>429</v>
      </c>
      <c r="AL103" s="591"/>
      <c r="AM103" s="591" t="s">
        <v>429</v>
      </c>
      <c r="AN103" s="398"/>
      <c r="AO103" s="398"/>
      <c r="AP103" s="397"/>
    </row>
    <row r="104" spans="1:42" ht="15.6" hidden="1" customHeight="1" x14ac:dyDescent="0.25">
      <c r="A104" s="2004" t="s">
        <v>35</v>
      </c>
      <c r="B104" s="501" t="s">
        <v>712</v>
      </c>
      <c r="C104" s="457"/>
      <c r="D104" s="457" t="s">
        <v>1064</v>
      </c>
      <c r="E104" s="2007">
        <v>25600</v>
      </c>
      <c r="F104" s="306">
        <f>'exchange rates'!$M$23</f>
        <v>0.92093999999999998</v>
      </c>
      <c r="G104" s="963" t="s">
        <v>35</v>
      </c>
      <c r="H104" s="501" t="s">
        <v>712</v>
      </c>
      <c r="I104" s="457"/>
      <c r="J104" s="457" t="s">
        <v>1064</v>
      </c>
      <c r="K104" s="1031">
        <v>25600</v>
      </c>
      <c r="L104" s="322">
        <f>67.42/F104</f>
        <v>73.207809412122401</v>
      </c>
      <c r="M104" s="559"/>
      <c r="N104" s="323">
        <v>0</v>
      </c>
      <c r="O104" s="559"/>
      <c r="P104" s="324">
        <f>13.25/F104</f>
        <v>14.387473668208569</v>
      </c>
      <c r="Q104" s="559"/>
      <c r="R104" s="317" t="e">
        <f>Tabel6689212733[[#This Row],[landcode 3]]+Tabel6689212733[[#This Row],[VAT Sew. 2017]]+Tabel6689212733[[#This Row],[VAT WW 2017]]+Tabel6689212733[[#This Row],[VAT Other ch. 2017]]</f>
        <v>#VALUE!</v>
      </c>
      <c r="S104" s="318">
        <f>Tabel6689212733[[#This Row],[GDP 2017]]+Tabel6689212733[[#This Row],[Sew. 2017]]+Tabel6689212733[[#This Row],[VAT Sew. 2017]]+Tabel6689212733[[#This Row],[WW 2017]]+Tabel6689212733[[#This Row],[VAT WW 2017]]+Tabel6689212733[[#This Row],[Other ch. 2017]]+Tabel6689212733[[#This Row],[VAT Other ch. 2017]]</f>
        <v>25687.595283080329</v>
      </c>
      <c r="T104" s="397"/>
      <c r="U104" s="2009" t="e">
        <f>MEDIAN(G104:G108)</f>
        <v>#NUM!</v>
      </c>
      <c r="V104" s="2012" t="e">
        <f>MEDIAN(H104:H108)</f>
        <v>#NUM!</v>
      </c>
      <c r="W104" s="2014" t="e">
        <f>MEDIAN(I104:I108)</f>
        <v>#NUM!</v>
      </c>
      <c r="X104" s="575"/>
      <c r="Y104" s="2016" t="e">
        <f>SUM(U104:W108)</f>
        <v>#NUM!</v>
      </c>
      <c r="Z104" s="2018">
        <f>MEDIAN(L104:L108)</f>
        <v>115.18665711121245</v>
      </c>
      <c r="AA104" s="575"/>
      <c r="AB104" s="2020">
        <f>MEDIAN(N104:N108)</f>
        <v>0</v>
      </c>
      <c r="AC104" s="575"/>
      <c r="AD104" s="2029">
        <f>MEDIAN(P104:P108)</f>
        <v>13.03016483158512</v>
      </c>
      <c r="AE104" s="575"/>
      <c r="AF104" s="1992" t="e">
        <f>MEDIAN(R104:R108)</f>
        <v>#VALUE!</v>
      </c>
      <c r="AG104" s="1994" t="e">
        <f>SUM(Y104:AF108)</f>
        <v>#NUM!</v>
      </c>
      <c r="AH104" s="397"/>
      <c r="AI104" s="398"/>
      <c r="AJ104" s="398"/>
      <c r="AK104" s="396" t="s">
        <v>429</v>
      </c>
      <c r="AL104" s="396" t="s">
        <v>429</v>
      </c>
      <c r="AM104" s="396" t="s">
        <v>429</v>
      </c>
      <c r="AN104" s="396" t="s">
        <v>429</v>
      </c>
      <c r="AO104" s="398"/>
      <c r="AP104" s="397"/>
    </row>
    <row r="105" spans="1:42" ht="15.6" hidden="1" customHeight="1" x14ac:dyDescent="0.25">
      <c r="A105" s="2005"/>
      <c r="B105" s="457" t="s">
        <v>713</v>
      </c>
      <c r="C105" s="457"/>
      <c r="D105" s="457" t="s">
        <v>1064</v>
      </c>
      <c r="E105" s="1837"/>
      <c r="F105" s="306">
        <f>'exchange rates'!$M$23</f>
        <v>0.92093999999999998</v>
      </c>
      <c r="G105" s="961"/>
      <c r="H105" s="457" t="s">
        <v>713</v>
      </c>
      <c r="I105" s="457"/>
      <c r="J105" s="457" t="s">
        <v>1064</v>
      </c>
      <c r="K105" s="1014"/>
      <c r="L105" s="322">
        <f>93.5/F105</f>
        <v>101.52670097943405</v>
      </c>
      <c r="M105" s="559"/>
      <c r="N105" s="323">
        <v>0</v>
      </c>
      <c r="O105" s="559"/>
      <c r="P105" s="324">
        <f>12/F105</f>
        <v>13.03016483158512</v>
      </c>
      <c r="Q105" s="559"/>
      <c r="R105" s="317" t="e">
        <f>Tabel6689212733[[#This Row],[landcode 3]]+Tabel6689212733[[#This Row],[VAT Sew. 2017]]+Tabel6689212733[[#This Row],[VAT WW 2017]]+Tabel6689212733[[#This Row],[VAT Other ch. 2017]]</f>
        <v>#VALUE!</v>
      </c>
      <c r="S105" s="318">
        <f>Tabel6689212733[[#This Row],[GDP 2017]]+Tabel6689212733[[#This Row],[Sew. 2017]]+Tabel6689212733[[#This Row],[VAT Sew. 2017]]+Tabel6689212733[[#This Row],[WW 2017]]+Tabel6689212733[[#This Row],[VAT WW 2017]]+Tabel6689212733[[#This Row],[Other ch. 2017]]+Tabel6689212733[[#This Row],[VAT Other ch. 2017]]</f>
        <v>114.55686581101918</v>
      </c>
      <c r="T105" s="397"/>
      <c r="U105" s="2010"/>
      <c r="V105" s="1843"/>
      <c r="W105" s="1846"/>
      <c r="X105" s="576"/>
      <c r="Y105" s="1849"/>
      <c r="Z105" s="1852"/>
      <c r="AA105" s="576"/>
      <c r="AB105" s="1855"/>
      <c r="AC105" s="576"/>
      <c r="AD105" s="1858"/>
      <c r="AE105" s="576"/>
      <c r="AF105" s="1873"/>
      <c r="AG105" s="1876"/>
      <c r="AH105" s="397"/>
      <c r="AI105" s="398"/>
      <c r="AJ105" s="398"/>
      <c r="AK105" s="396" t="s">
        <v>429</v>
      </c>
      <c r="AL105" s="396" t="s">
        <v>429</v>
      </c>
      <c r="AM105" s="396" t="s">
        <v>429</v>
      </c>
      <c r="AN105" s="396" t="s">
        <v>429</v>
      </c>
      <c r="AO105" s="398"/>
      <c r="AP105" s="397"/>
    </row>
    <row r="106" spans="1:42" ht="15.6" hidden="1" customHeight="1" x14ac:dyDescent="0.25">
      <c r="A106" s="2005"/>
      <c r="B106" s="457" t="s">
        <v>714</v>
      </c>
      <c r="C106" s="457"/>
      <c r="D106" s="457" t="s">
        <v>1064</v>
      </c>
      <c r="E106" s="1837"/>
      <c r="F106" s="306">
        <f>'exchange rates'!$M$23</f>
        <v>0.92093999999999998</v>
      </c>
      <c r="G106" s="961"/>
      <c r="H106" s="457" t="s">
        <v>714</v>
      </c>
      <c r="I106" s="457"/>
      <c r="J106" s="457" t="s">
        <v>1064</v>
      </c>
      <c r="K106" s="1014"/>
      <c r="L106" s="322">
        <f>118/F106</f>
        <v>128.12995417725367</v>
      </c>
      <c r="M106" s="559"/>
      <c r="N106" s="323">
        <v>0</v>
      </c>
      <c r="O106" s="559"/>
      <c r="P106" s="324">
        <f>0/F106</f>
        <v>0</v>
      </c>
      <c r="Q106" s="559"/>
      <c r="R106" s="317" t="e">
        <f>Tabel6689212733[[#This Row],[landcode 3]]+Tabel6689212733[[#This Row],[VAT Sew. 2017]]+Tabel6689212733[[#This Row],[VAT WW 2017]]+Tabel6689212733[[#This Row],[VAT Other ch. 2017]]</f>
        <v>#VALUE!</v>
      </c>
      <c r="S106" s="318">
        <f>Tabel6689212733[[#This Row],[GDP 2017]]+Tabel6689212733[[#This Row],[Sew. 2017]]+Tabel6689212733[[#This Row],[VAT Sew. 2017]]+Tabel6689212733[[#This Row],[WW 2017]]+Tabel6689212733[[#This Row],[VAT WW 2017]]+Tabel6689212733[[#This Row],[Other ch. 2017]]+Tabel6689212733[[#This Row],[VAT Other ch. 2017]]</f>
        <v>128.12995417725367</v>
      </c>
      <c r="T106" s="397"/>
      <c r="U106" s="2010"/>
      <c r="V106" s="1843"/>
      <c r="W106" s="1846"/>
      <c r="X106" s="576"/>
      <c r="Y106" s="1849"/>
      <c r="Z106" s="1852"/>
      <c r="AA106" s="576"/>
      <c r="AB106" s="1855"/>
      <c r="AC106" s="576"/>
      <c r="AD106" s="1858"/>
      <c r="AE106" s="576"/>
      <c r="AF106" s="1873"/>
      <c r="AG106" s="1876"/>
      <c r="AH106" s="397"/>
      <c r="AI106" s="398"/>
      <c r="AJ106" s="398"/>
      <c r="AK106" s="396" t="s">
        <v>429</v>
      </c>
      <c r="AL106" s="396" t="s">
        <v>429</v>
      </c>
      <c r="AM106" s="396" t="s">
        <v>429</v>
      </c>
      <c r="AN106" s="396" t="s">
        <v>429</v>
      </c>
      <c r="AO106" s="398"/>
      <c r="AP106" s="397"/>
    </row>
    <row r="107" spans="1:42" ht="15.6" hidden="1" customHeight="1" x14ac:dyDescent="0.25">
      <c r="A107" s="2005"/>
      <c r="B107" s="457" t="s">
        <v>715</v>
      </c>
      <c r="C107" s="457" t="s">
        <v>429</v>
      </c>
      <c r="D107" s="457" t="s">
        <v>1064</v>
      </c>
      <c r="E107" s="1837"/>
      <c r="F107" s="306">
        <f>'exchange rates'!$M$23</f>
        <v>0.92093999999999998</v>
      </c>
      <c r="G107" s="961"/>
      <c r="H107" s="457" t="s">
        <v>715</v>
      </c>
      <c r="I107" s="457" t="s">
        <v>429</v>
      </c>
      <c r="J107" s="457" t="s">
        <v>1064</v>
      </c>
      <c r="K107" s="1014"/>
      <c r="L107" s="322">
        <f>328.44/F107</f>
        <v>356.63561144048475</v>
      </c>
      <c r="M107" s="559"/>
      <c r="N107" s="323">
        <v>0</v>
      </c>
      <c r="O107" s="559"/>
      <c r="P107" s="324">
        <f>0/F107</f>
        <v>0</v>
      </c>
      <c r="Q107" s="559"/>
      <c r="R107" s="317" t="e">
        <f>Tabel6689212733[[#This Row],[landcode 3]]+Tabel6689212733[[#This Row],[VAT Sew. 2017]]+Tabel6689212733[[#This Row],[VAT WW 2017]]+Tabel6689212733[[#This Row],[VAT Other ch. 2017]]</f>
        <v>#VALUE!</v>
      </c>
      <c r="S107" s="318">
        <f>Tabel6689212733[[#This Row],[GDP 2017]]+Tabel6689212733[[#This Row],[Sew. 2017]]+Tabel6689212733[[#This Row],[VAT Sew. 2017]]+Tabel6689212733[[#This Row],[WW 2017]]+Tabel6689212733[[#This Row],[VAT WW 2017]]+Tabel6689212733[[#This Row],[Other ch. 2017]]+Tabel6689212733[[#This Row],[VAT Other ch. 2017]]</f>
        <v>356.63561144048475</v>
      </c>
      <c r="T107" s="397"/>
      <c r="U107" s="2010"/>
      <c r="V107" s="1843"/>
      <c r="W107" s="1846"/>
      <c r="X107" s="576"/>
      <c r="Y107" s="1849"/>
      <c r="Z107" s="1852"/>
      <c r="AA107" s="576"/>
      <c r="AB107" s="1855"/>
      <c r="AC107" s="576"/>
      <c r="AD107" s="1858"/>
      <c r="AE107" s="576"/>
      <c r="AF107" s="1873"/>
      <c r="AG107" s="1876"/>
      <c r="AH107" s="397"/>
      <c r="AI107" s="398"/>
      <c r="AJ107" s="398"/>
      <c r="AK107" s="396" t="s">
        <v>429</v>
      </c>
      <c r="AL107" s="396" t="s">
        <v>429</v>
      </c>
      <c r="AM107" s="396" t="s">
        <v>429</v>
      </c>
      <c r="AN107" s="396" t="s">
        <v>429</v>
      </c>
      <c r="AO107" s="398"/>
      <c r="AP107" s="397"/>
    </row>
    <row r="108" spans="1:42" ht="16.149999999999999" hidden="1" customHeight="1" thickBot="1" x14ac:dyDescent="0.3">
      <c r="A108" s="2006"/>
      <c r="B108" s="268" t="s">
        <v>716</v>
      </c>
      <c r="C108" s="457"/>
      <c r="D108" s="800" t="s">
        <v>1064</v>
      </c>
      <c r="E108" s="2008"/>
      <c r="F108" s="306">
        <f>'exchange rates'!$M$23</f>
        <v>0.92093999999999998</v>
      </c>
      <c r="G108" s="962"/>
      <c r="H108" s="268" t="s">
        <v>716</v>
      </c>
      <c r="I108" s="457"/>
      <c r="J108" s="800" t="s">
        <v>1064</v>
      </c>
      <c r="K108" s="1032"/>
      <c r="L108" s="322">
        <f>106.08/F108</f>
        <v>115.18665711121245</v>
      </c>
      <c r="M108" s="559"/>
      <c r="N108" s="323">
        <v>0</v>
      </c>
      <c r="O108" s="559"/>
      <c r="P108" s="324">
        <f>14/F108</f>
        <v>15.20185897018264</v>
      </c>
      <c r="Q108" s="559"/>
      <c r="R108" s="317" t="e">
        <f>Tabel6689212733[[#This Row],[landcode 3]]+Tabel6689212733[[#This Row],[VAT Sew. 2017]]+Tabel6689212733[[#This Row],[VAT WW 2017]]+Tabel6689212733[[#This Row],[VAT Other ch. 2017]]</f>
        <v>#VALUE!</v>
      </c>
      <c r="S108" s="318">
        <f>Tabel6689212733[[#This Row],[GDP 2017]]+Tabel6689212733[[#This Row],[Sew. 2017]]+Tabel6689212733[[#This Row],[VAT Sew. 2017]]+Tabel6689212733[[#This Row],[WW 2017]]+Tabel6689212733[[#This Row],[VAT WW 2017]]+Tabel6689212733[[#This Row],[Other ch. 2017]]+Tabel6689212733[[#This Row],[VAT Other ch. 2017]]</f>
        <v>130.3885160813951</v>
      </c>
      <c r="T108" s="397"/>
      <c r="U108" s="2011"/>
      <c r="V108" s="2013"/>
      <c r="W108" s="2015"/>
      <c r="X108" s="577"/>
      <c r="Y108" s="2017"/>
      <c r="Z108" s="2019"/>
      <c r="AA108" s="577"/>
      <c r="AB108" s="2021"/>
      <c r="AC108" s="577"/>
      <c r="AD108" s="2030"/>
      <c r="AE108" s="577"/>
      <c r="AF108" s="1993"/>
      <c r="AG108" s="1995"/>
      <c r="AH108" s="397"/>
      <c r="AI108" s="398"/>
      <c r="AJ108" s="398"/>
      <c r="AK108" s="396" t="s">
        <v>429</v>
      </c>
      <c r="AL108" s="396" t="s">
        <v>429</v>
      </c>
      <c r="AM108" s="396" t="s">
        <v>429</v>
      </c>
      <c r="AN108" s="396" t="s">
        <v>429</v>
      </c>
      <c r="AO108" s="398"/>
      <c r="AP108" s="397"/>
    </row>
    <row r="109" spans="1:42" ht="15.75" hidden="1" customHeight="1" x14ac:dyDescent="0.25">
      <c r="A109" s="1818" t="s">
        <v>45</v>
      </c>
      <c r="B109" s="546" t="s">
        <v>102</v>
      </c>
      <c r="C109" s="1046" t="s">
        <v>429</v>
      </c>
      <c r="D109" s="802" t="s">
        <v>1066</v>
      </c>
      <c r="E109" s="1983">
        <v>28900</v>
      </c>
      <c r="F109" s="616">
        <f>'exchange rates'!$O$24</f>
        <v>258.86743000000001</v>
      </c>
      <c r="G109" s="929" t="s">
        <v>45</v>
      </c>
      <c r="H109" s="546" t="s">
        <v>102</v>
      </c>
      <c r="I109" s="1046" t="s">
        <v>429</v>
      </c>
      <c r="J109" s="802" t="s">
        <v>1066</v>
      </c>
      <c r="K109" s="993">
        <v>28900</v>
      </c>
      <c r="L109" s="567">
        <f>457/F109</f>
        <v>1.7653823812443303</v>
      </c>
      <c r="M109" s="560">
        <f>123.39/F109</f>
        <v>0.47665324293596917</v>
      </c>
      <c r="N109" s="568">
        <f>29566/F109</f>
        <v>114.21290040234106</v>
      </c>
      <c r="O109" s="560">
        <f>7982.82/F109</f>
        <v>30.837483108632089</v>
      </c>
      <c r="P109" s="569">
        <v>0</v>
      </c>
      <c r="Q109" s="560">
        <f>0</f>
        <v>0</v>
      </c>
      <c r="R109" s="570" t="e">
        <f>Tabel6689212733[[#This Row],[landcode 3]]+Tabel6689212733[[#This Row],[VAT Sew. 2017]]+Tabel6689212733[[#This Row],[VAT WW 2017]]+Tabel6689212733[[#This Row],[VAT Other ch. 2017]]</f>
        <v>#VALUE!</v>
      </c>
      <c r="S109" s="571">
        <f>Tabel6689212733[[#This Row],[GDP 2017]]+Tabel6689212733[[#This Row],[Sew. 2017]]+Tabel6689212733[[#This Row],[VAT Sew. 2017]]+Tabel6689212733[[#This Row],[WW 2017]]+Tabel6689212733[[#This Row],[VAT WW 2017]]+Tabel6689212733[[#This Row],[Other ch. 2017]]+Tabel6689212733[[#This Row],[VAT Other ch. 2017]]</f>
        <v>29047.292419135152</v>
      </c>
      <c r="T109" s="397"/>
      <c r="U109" s="1824" t="e">
        <f>MEDIAN(G109:G113)</f>
        <v>#NUM!</v>
      </c>
      <c r="V109" s="1825" t="e">
        <f>MEDIAN(H109:H113)</f>
        <v>#NUM!</v>
      </c>
      <c r="W109" s="1826" t="e">
        <f>MEDIAN(I109:I113)</f>
        <v>#NUM!</v>
      </c>
      <c r="X109" s="1938" t="e">
        <f>MEDIAN(J109:J113)</f>
        <v>#NUM!</v>
      </c>
      <c r="Y109" s="1827" t="e">
        <f>SUM(U109:X113)</f>
        <v>#NUM!</v>
      </c>
      <c r="Z109" s="1828">
        <f t="shared" ref="Z109:AF109" si="16">MEDIAN(L109:L113)</f>
        <v>1.6494929470269781</v>
      </c>
      <c r="AA109" s="1938">
        <f t="shared" si="16"/>
        <v>0.44536309569728411</v>
      </c>
      <c r="AB109" s="1829">
        <f t="shared" si="16"/>
        <v>75.212242807061514</v>
      </c>
      <c r="AC109" s="1938">
        <f t="shared" si="16"/>
        <v>20.307305557906606</v>
      </c>
      <c r="AD109" s="1830">
        <f t="shared" si="16"/>
        <v>0</v>
      </c>
      <c r="AE109" s="1938">
        <f t="shared" si="16"/>
        <v>0</v>
      </c>
      <c r="AF109" s="1816" t="e">
        <f t="shared" si="16"/>
        <v>#VALUE!</v>
      </c>
      <c r="AG109" s="1817" t="e">
        <f>Y109+Z109+AA109+AB109+AC109+AD109+AE109</f>
        <v>#NUM!</v>
      </c>
      <c r="AH109" s="397"/>
      <c r="AI109" s="398"/>
      <c r="AJ109" s="398"/>
      <c r="AK109" s="398"/>
      <c r="AL109" s="398"/>
      <c r="AM109" s="591" t="s">
        <v>429</v>
      </c>
      <c r="AN109" s="398"/>
      <c r="AO109" s="398"/>
      <c r="AP109" s="397"/>
    </row>
    <row r="110" spans="1:42" ht="15.75" hidden="1" customHeight="1" x14ac:dyDescent="0.25">
      <c r="A110" s="1819"/>
      <c r="B110" s="547" t="s">
        <v>103</v>
      </c>
      <c r="C110" s="1046"/>
      <c r="D110" s="802" t="s">
        <v>1066</v>
      </c>
      <c r="E110" s="1760"/>
      <c r="F110" s="616">
        <f>'exchange rates'!$O$24</f>
        <v>258.86743000000001</v>
      </c>
      <c r="G110" s="930"/>
      <c r="H110" s="547" t="s">
        <v>103</v>
      </c>
      <c r="I110" s="1046"/>
      <c r="J110" s="802" t="s">
        <v>1066</v>
      </c>
      <c r="K110" s="969"/>
      <c r="L110" s="567">
        <f>427/F110</f>
        <v>1.6494929470269781</v>
      </c>
      <c r="M110" s="560">
        <f>115.29/F110</f>
        <v>0.44536309569728411</v>
      </c>
      <c r="N110" s="568">
        <f>19470/F110</f>
        <v>75.212242807061514</v>
      </c>
      <c r="O110" s="560">
        <f>5256.9/F110</f>
        <v>20.307305557906606</v>
      </c>
      <c r="P110" s="569">
        <f>1231/F110</f>
        <v>4.7553297840520141</v>
      </c>
      <c r="Q110" s="560">
        <f>332.37/F110</f>
        <v>1.2839390416940439</v>
      </c>
      <c r="R110" s="570" t="e">
        <f>Tabel6689212733[[#This Row],[landcode 3]]+Tabel6689212733[[#This Row],[VAT Sew. 2017]]+Tabel6689212733[[#This Row],[VAT WW 2017]]+Tabel6689212733[[#This Row],[VAT Other ch. 2017]]</f>
        <v>#VALUE!</v>
      </c>
      <c r="S110" s="571">
        <f>Tabel6689212733[[#This Row],[GDP 2017]]+Tabel6689212733[[#This Row],[Sew. 2017]]+Tabel6689212733[[#This Row],[VAT Sew. 2017]]+Tabel6689212733[[#This Row],[WW 2017]]+Tabel6689212733[[#This Row],[VAT WW 2017]]+Tabel6689212733[[#This Row],[Other ch. 2017]]+Tabel6689212733[[#This Row],[VAT Other ch. 2017]]</f>
        <v>103.65367323343843</v>
      </c>
      <c r="T110" s="397"/>
      <c r="U110" s="1763"/>
      <c r="V110" s="1766"/>
      <c r="W110" s="1769"/>
      <c r="X110" s="1772"/>
      <c r="Y110" s="1775"/>
      <c r="Z110" s="1778"/>
      <c r="AA110" s="1772"/>
      <c r="AB110" s="1781"/>
      <c r="AC110" s="1772"/>
      <c r="AD110" s="1785"/>
      <c r="AE110" s="1772"/>
      <c r="AF110" s="1788"/>
      <c r="AG110" s="1791"/>
      <c r="AH110" s="397"/>
      <c r="AI110" s="398"/>
      <c r="AJ110" s="398"/>
      <c r="AK110" s="398"/>
      <c r="AL110" s="398"/>
      <c r="AM110" s="591" t="s">
        <v>429</v>
      </c>
      <c r="AN110" s="398"/>
      <c r="AO110" s="398"/>
      <c r="AP110" s="397"/>
    </row>
    <row r="111" spans="1:42" ht="15.75" hidden="1" customHeight="1" x14ac:dyDescent="0.25">
      <c r="A111" s="1819"/>
      <c r="B111" s="547" t="s">
        <v>104</v>
      </c>
      <c r="C111" s="1046"/>
      <c r="D111" s="802" t="s">
        <v>1066</v>
      </c>
      <c r="E111" s="1760"/>
      <c r="F111" s="616">
        <f>'exchange rates'!$O$24</f>
        <v>258.86743000000001</v>
      </c>
      <c r="G111" s="930"/>
      <c r="H111" s="547" t="s">
        <v>104</v>
      </c>
      <c r="I111" s="1046"/>
      <c r="J111" s="802" t="s">
        <v>1066</v>
      </c>
      <c r="K111" s="969"/>
      <c r="L111" s="567">
        <v>0</v>
      </c>
      <c r="M111" s="560">
        <v>0</v>
      </c>
      <c r="N111" s="568">
        <f>19161/F111</f>
        <v>74.018581634622777</v>
      </c>
      <c r="O111" s="560">
        <f>5173.47/F111</f>
        <v>19.985017041348154</v>
      </c>
      <c r="P111" s="569">
        <v>0</v>
      </c>
      <c r="Q111" s="560">
        <v>0</v>
      </c>
      <c r="R111" s="570" t="e">
        <f>Tabel6689212733[[#This Row],[landcode 3]]+Tabel6689212733[[#This Row],[VAT Sew. 2017]]+Tabel6689212733[[#This Row],[VAT WW 2017]]+Tabel6689212733[[#This Row],[VAT Other ch. 2017]]</f>
        <v>#VALUE!</v>
      </c>
      <c r="S111" s="571">
        <f>Tabel6689212733[[#This Row],[GDP 2017]]+Tabel6689212733[[#This Row],[Sew. 2017]]+Tabel6689212733[[#This Row],[VAT Sew. 2017]]+Tabel6689212733[[#This Row],[WW 2017]]+Tabel6689212733[[#This Row],[VAT WW 2017]]+Tabel6689212733[[#This Row],[Other ch. 2017]]+Tabel6689212733[[#This Row],[VAT Other ch. 2017]]</f>
        <v>94.003598675970935</v>
      </c>
      <c r="T111" s="397"/>
      <c r="U111" s="1763"/>
      <c r="V111" s="1766"/>
      <c r="W111" s="1769"/>
      <c r="X111" s="1772"/>
      <c r="Y111" s="1775"/>
      <c r="Z111" s="1778"/>
      <c r="AA111" s="1772"/>
      <c r="AB111" s="1781"/>
      <c r="AC111" s="1772"/>
      <c r="AD111" s="1785"/>
      <c r="AE111" s="1772"/>
      <c r="AF111" s="1788"/>
      <c r="AG111" s="1791"/>
      <c r="AH111" s="397"/>
      <c r="AI111" s="398"/>
      <c r="AJ111" s="398"/>
      <c r="AK111" s="398"/>
      <c r="AL111" s="398"/>
      <c r="AM111" s="398"/>
      <c r="AN111" s="398"/>
      <c r="AO111" s="398"/>
      <c r="AP111" s="397"/>
    </row>
    <row r="112" spans="1:42" ht="16.5" hidden="1" customHeight="1" x14ac:dyDescent="0.25">
      <c r="A112" s="1819"/>
      <c r="B112" s="543" t="s">
        <v>105</v>
      </c>
      <c r="C112" s="1046"/>
      <c r="D112" s="802" t="s">
        <v>1066</v>
      </c>
      <c r="E112" s="1760"/>
      <c r="F112" s="616">
        <f>'exchange rates'!$O$24</f>
        <v>258.86743000000001</v>
      </c>
      <c r="G112" s="930"/>
      <c r="H112" s="543" t="s">
        <v>105</v>
      </c>
      <c r="I112" s="1046"/>
      <c r="J112" s="802" t="s">
        <v>1066</v>
      </c>
      <c r="K112" s="969"/>
      <c r="L112" s="567">
        <f>400/F112</f>
        <v>1.5451924562313613</v>
      </c>
      <c r="M112" s="560">
        <f>108/F112</f>
        <v>0.41720196318246755</v>
      </c>
      <c r="N112" s="568">
        <f>24800/F112</f>
        <v>95.801932286344396</v>
      </c>
      <c r="O112" s="560">
        <f>6696/F112</f>
        <v>25.866521717312988</v>
      </c>
      <c r="P112" s="569">
        <v>0</v>
      </c>
      <c r="Q112" s="560">
        <v>0</v>
      </c>
      <c r="R112" s="570" t="e">
        <f>Tabel6689212733[[#This Row],[landcode 3]]+Tabel6689212733[[#This Row],[VAT Sew. 2017]]+Tabel6689212733[[#This Row],[VAT WW 2017]]+Tabel6689212733[[#This Row],[VAT Other ch. 2017]]</f>
        <v>#VALUE!</v>
      </c>
      <c r="S112" s="571">
        <f>Tabel6689212733[[#This Row],[GDP 2017]]+Tabel6689212733[[#This Row],[Sew. 2017]]+Tabel6689212733[[#This Row],[VAT Sew. 2017]]+Tabel6689212733[[#This Row],[WW 2017]]+Tabel6689212733[[#This Row],[VAT WW 2017]]+Tabel6689212733[[#This Row],[Other ch. 2017]]+Tabel6689212733[[#This Row],[VAT Other ch. 2017]]</f>
        <v>123.63084842307121</v>
      </c>
      <c r="T112" s="397"/>
      <c r="U112" s="1763"/>
      <c r="V112" s="1766"/>
      <c r="W112" s="1769"/>
      <c r="X112" s="1772"/>
      <c r="Y112" s="1775"/>
      <c r="Z112" s="1778"/>
      <c r="AA112" s="1772"/>
      <c r="AB112" s="1781"/>
      <c r="AC112" s="1772"/>
      <c r="AD112" s="1785"/>
      <c r="AE112" s="1772"/>
      <c r="AF112" s="1788"/>
      <c r="AG112" s="1791"/>
      <c r="AH112" s="397"/>
      <c r="AI112" s="398"/>
      <c r="AJ112" s="398"/>
      <c r="AK112" s="398"/>
      <c r="AL112" s="398"/>
      <c r="AM112" s="398"/>
      <c r="AN112" s="398"/>
      <c r="AO112" s="398"/>
      <c r="AP112" s="397"/>
    </row>
    <row r="113" spans="1:42" ht="17.25" hidden="1" customHeight="1" thickBot="1" x14ac:dyDescent="0.3">
      <c r="A113" s="1820"/>
      <c r="B113" s="548" t="s">
        <v>613</v>
      </c>
      <c r="C113" s="1046"/>
      <c r="D113" s="802" t="s">
        <v>1066</v>
      </c>
      <c r="E113" s="1996"/>
      <c r="F113" s="616">
        <f>'exchange rates'!$O$24</f>
        <v>258.86743000000001</v>
      </c>
      <c r="G113" s="931"/>
      <c r="H113" s="548" t="s">
        <v>613</v>
      </c>
      <c r="I113" s="1046"/>
      <c r="J113" s="802" t="s">
        <v>1066</v>
      </c>
      <c r="K113" s="994"/>
      <c r="L113" s="567">
        <f>630/F113</f>
        <v>2.4336781185643939</v>
      </c>
      <c r="M113" s="560">
        <f>170.1/F113</f>
        <v>0.65709309201238641</v>
      </c>
      <c r="N113" s="568">
        <f>13230/F113</f>
        <v>51.107240489852273</v>
      </c>
      <c r="O113" s="560">
        <f>3572/F113</f>
        <v>13.798568634146056</v>
      </c>
      <c r="P113" s="569">
        <v>0</v>
      </c>
      <c r="Q113" s="560">
        <v>0</v>
      </c>
      <c r="R113" s="570" t="e">
        <f>Tabel6689212733[[#This Row],[landcode 3]]+Tabel6689212733[[#This Row],[VAT Sew. 2017]]+Tabel6689212733[[#This Row],[VAT WW 2017]]+Tabel6689212733[[#This Row],[VAT Other ch. 2017]]</f>
        <v>#VALUE!</v>
      </c>
      <c r="S113" s="571">
        <f>Tabel6689212733[[#This Row],[GDP 2017]]+Tabel6689212733[[#This Row],[Sew. 2017]]+Tabel6689212733[[#This Row],[VAT Sew. 2017]]+Tabel6689212733[[#This Row],[WW 2017]]+Tabel6689212733[[#This Row],[VAT WW 2017]]+Tabel6689212733[[#This Row],[Other ch. 2017]]+Tabel6689212733[[#This Row],[VAT Other ch. 2017]]</f>
        <v>67.996580334575114</v>
      </c>
      <c r="T113" s="397"/>
      <c r="U113" s="1997"/>
      <c r="V113" s="1998"/>
      <c r="W113" s="1999"/>
      <c r="X113" s="1773"/>
      <c r="Y113" s="2000"/>
      <c r="Z113" s="2026"/>
      <c r="AA113" s="1773"/>
      <c r="AB113" s="2027"/>
      <c r="AC113" s="1773"/>
      <c r="AD113" s="2003"/>
      <c r="AE113" s="1773"/>
      <c r="AF113" s="2001"/>
      <c r="AG113" s="2002"/>
      <c r="AH113" s="397"/>
      <c r="AI113" s="398"/>
      <c r="AJ113" s="398"/>
      <c r="AK113" s="398"/>
      <c r="AL113" s="398"/>
      <c r="AM113" s="398"/>
      <c r="AN113" s="398"/>
      <c r="AO113" s="398"/>
      <c r="AP113" s="397"/>
    </row>
    <row r="114" spans="1:42" ht="17.25" hidden="1" customHeight="1" thickBot="1" x14ac:dyDescent="0.3">
      <c r="A114" s="959" t="s">
        <v>754</v>
      </c>
      <c r="B114" s="455" t="s">
        <v>755</v>
      </c>
      <c r="C114" s="1048"/>
      <c r="D114" s="811" t="s">
        <v>1068</v>
      </c>
      <c r="E114" s="1014">
        <v>46600</v>
      </c>
      <c r="F114" s="306">
        <f>'exchange rates'!M25</f>
        <v>130.32431</v>
      </c>
      <c r="G114" s="959" t="s">
        <v>754</v>
      </c>
      <c r="H114" s="455" t="s">
        <v>755</v>
      </c>
      <c r="I114" s="1048"/>
      <c r="J114" s="811" t="s">
        <v>1068</v>
      </c>
      <c r="K114" s="1014">
        <v>46600</v>
      </c>
      <c r="L114" s="322"/>
      <c r="M114" s="559"/>
      <c r="N114" s="323"/>
      <c r="O114" s="559"/>
      <c r="P114" s="324"/>
      <c r="Q114" s="559"/>
      <c r="R114" s="317" t="e">
        <f>Tabel6689212733[[#This Row],[landcode 3]]+Tabel6689212733[[#This Row],[VAT Sew. 2017]]+Tabel6689212733[[#This Row],[VAT WW 2017]]+Tabel6689212733[[#This Row],[VAT Other ch. 2017]]</f>
        <v>#VALUE!</v>
      </c>
      <c r="S114" s="318">
        <f>Tabel6689212733[[#This Row],[GDP 2017]]+Tabel6689212733[[#This Row],[Sew. 2017]]+Tabel6689212733[[#This Row],[VAT Sew. 2017]]+Tabel6689212733[[#This Row],[WW 2017]]+Tabel6689212733[[#This Row],[VAT WW 2017]]+Tabel6689212733[[#This Row],[Other ch. 2017]]+Tabel6689212733[[#This Row],[VAT Other ch. 2017]]</f>
        <v>46600</v>
      </c>
      <c r="T114" s="397"/>
      <c r="U114" s="1016"/>
      <c r="V114" s="1009"/>
      <c r="W114" s="1008"/>
      <c r="X114" s="576"/>
      <c r="Y114" s="991"/>
      <c r="Z114" s="1024"/>
      <c r="AA114" s="576"/>
      <c r="AB114" s="1023"/>
      <c r="AC114" s="576"/>
      <c r="AD114" s="973"/>
      <c r="AE114" s="576"/>
      <c r="AF114" s="1027"/>
      <c r="AG114" s="1026"/>
      <c r="AH114" s="397"/>
      <c r="AI114" s="398"/>
      <c r="AJ114" s="398"/>
      <c r="AK114" s="398"/>
      <c r="AL114" s="398"/>
      <c r="AM114" s="398"/>
      <c r="AN114" s="398"/>
      <c r="AO114" s="398"/>
      <c r="AP114" s="397"/>
    </row>
    <row r="115" spans="1:42" ht="18" hidden="1" customHeight="1" x14ac:dyDescent="0.25">
      <c r="A115" s="1833" t="s">
        <v>466</v>
      </c>
      <c r="B115" s="299" t="s">
        <v>606</v>
      </c>
      <c r="C115" s="1048" t="s">
        <v>429</v>
      </c>
      <c r="D115" s="805" t="s">
        <v>1070</v>
      </c>
      <c r="E115" s="2039">
        <v>12800</v>
      </c>
      <c r="F115" s="307">
        <f>'exchange rates'!K28</f>
        <v>11241.536700000001</v>
      </c>
      <c r="G115" s="958" t="s">
        <v>466</v>
      </c>
      <c r="H115" s="299" t="s">
        <v>606</v>
      </c>
      <c r="I115" s="1048" t="s">
        <v>429</v>
      </c>
      <c r="J115" s="805" t="s">
        <v>1070</v>
      </c>
      <c r="K115" s="1013">
        <v>12800</v>
      </c>
      <c r="L115" s="322">
        <f>71496/F115</f>
        <v>6.3599845739951189</v>
      </c>
      <c r="M115" s="559"/>
      <c r="N115" s="323">
        <v>0</v>
      </c>
      <c r="O115" s="559"/>
      <c r="P115" s="324">
        <v>0</v>
      </c>
      <c r="Q115" s="559"/>
      <c r="R115" s="317" t="e">
        <f>Tabel6689212733[[#This Row],[landcode 3]]+Tabel6689212733[[#This Row],[VAT Sew. 2017]]+Tabel6689212733[[#This Row],[VAT WW 2017]]+Tabel6689212733[[#This Row],[VAT Other ch. 2017]]</f>
        <v>#VALUE!</v>
      </c>
      <c r="S115" s="318">
        <f>Tabel6689212733[[#This Row],[GDP 2017]]+Tabel6689212733[[#This Row],[Sew. 2017]]+Tabel6689212733[[#This Row],[VAT Sew. 2017]]+Tabel6689212733[[#This Row],[WW 2017]]+Tabel6689212733[[#This Row],[VAT WW 2017]]+Tabel6689212733[[#This Row],[Other ch. 2017]]+Tabel6689212733[[#This Row],[VAT Other ch. 2017]]</f>
        <v>12806.359984573995</v>
      </c>
      <c r="T115" s="397"/>
      <c r="U115" s="2041">
        <f>SUM(G115:G119)/5</f>
        <v>0</v>
      </c>
      <c r="V115" s="2043">
        <f>SUM(H115:H119)/5</f>
        <v>0</v>
      </c>
      <c r="W115" s="2045">
        <f>SUM(I115:I119)/5</f>
        <v>0</v>
      </c>
      <c r="X115" s="575"/>
      <c r="Y115" s="2047">
        <f>SUM(K115:K119)/5</f>
        <v>2560</v>
      </c>
      <c r="Z115" s="2022">
        <f>SUM(L115:L119)/5</f>
        <v>6.3599845739951189</v>
      </c>
      <c r="AA115" s="575"/>
      <c r="AB115" s="2024">
        <f>SUM(N115:N119)/5</f>
        <v>0</v>
      </c>
      <c r="AC115" s="575"/>
      <c r="AD115" s="2033">
        <f>SUM(P115:P119)/5</f>
        <v>0</v>
      </c>
      <c r="AE115" s="575"/>
      <c r="AF115" s="2035" t="e">
        <f t="shared" ref="AF115:AG115" si="17">SUM(R115:R119)/5</f>
        <v>#VALUE!</v>
      </c>
      <c r="AG115" s="2037">
        <f t="shared" si="17"/>
        <v>2566.3599845739955</v>
      </c>
      <c r="AH115" s="397"/>
      <c r="AI115" s="398"/>
      <c r="AJ115" s="398"/>
      <c r="AK115" s="398"/>
      <c r="AL115" s="396" t="s">
        <v>429</v>
      </c>
      <c r="AM115" s="398"/>
      <c r="AN115" s="398"/>
      <c r="AO115" s="398"/>
      <c r="AP115" s="397"/>
    </row>
    <row r="116" spans="1:42" ht="18" hidden="1" customHeight="1" x14ac:dyDescent="0.25">
      <c r="A116" s="1834"/>
      <c r="B116" s="298" t="s">
        <v>607</v>
      </c>
      <c r="C116" s="1048"/>
      <c r="D116" s="805" t="s">
        <v>1070</v>
      </c>
      <c r="E116" s="1837"/>
      <c r="F116" s="307">
        <f>'exchange rates'!K28</f>
        <v>11241.536700000001</v>
      </c>
      <c r="G116" s="959"/>
      <c r="H116" s="298" t="s">
        <v>607</v>
      </c>
      <c r="I116" s="1048"/>
      <c r="J116" s="805" t="s">
        <v>1070</v>
      </c>
      <c r="K116" s="1014"/>
      <c r="L116" s="322">
        <f>71496/F116</f>
        <v>6.3599845739951189</v>
      </c>
      <c r="M116" s="559"/>
      <c r="N116" s="323">
        <v>0</v>
      </c>
      <c r="O116" s="559"/>
      <c r="P116" s="324">
        <v>0</v>
      </c>
      <c r="Q116" s="559"/>
      <c r="R116" s="317" t="e">
        <f>Tabel6689212733[[#This Row],[landcode 3]]+Tabel6689212733[[#This Row],[VAT Sew. 2017]]+Tabel6689212733[[#This Row],[VAT WW 2017]]+Tabel6689212733[[#This Row],[VAT Other ch. 2017]]</f>
        <v>#VALUE!</v>
      </c>
      <c r="S116" s="318">
        <f>Tabel6689212733[[#This Row],[GDP 2017]]+Tabel6689212733[[#This Row],[Sew. 2017]]+Tabel6689212733[[#This Row],[VAT Sew. 2017]]+Tabel6689212733[[#This Row],[WW 2017]]+Tabel6689212733[[#This Row],[VAT WW 2017]]+Tabel6689212733[[#This Row],[Other ch. 2017]]+Tabel6689212733[[#This Row],[VAT Other ch. 2017]]</f>
        <v>6.3599845739951189</v>
      </c>
      <c r="T116" s="397"/>
      <c r="U116" s="1840"/>
      <c r="V116" s="1843"/>
      <c r="W116" s="1846"/>
      <c r="X116" s="576"/>
      <c r="Y116" s="1849"/>
      <c r="Z116" s="1852"/>
      <c r="AA116" s="576"/>
      <c r="AB116" s="1855"/>
      <c r="AC116" s="576"/>
      <c r="AD116" s="1858"/>
      <c r="AE116" s="576"/>
      <c r="AF116" s="1873"/>
      <c r="AG116" s="1876"/>
      <c r="AH116" s="397"/>
      <c r="AI116" s="398"/>
      <c r="AJ116" s="398"/>
      <c r="AK116" s="398"/>
      <c r="AL116" s="396" t="s">
        <v>429</v>
      </c>
      <c r="AM116" s="398"/>
      <c r="AN116" s="398"/>
      <c r="AO116" s="398"/>
      <c r="AP116" s="397"/>
    </row>
    <row r="117" spans="1:42" ht="18" hidden="1" customHeight="1" x14ac:dyDescent="0.25">
      <c r="A117" s="1834"/>
      <c r="B117" s="298" t="s">
        <v>608</v>
      </c>
      <c r="C117" s="1048"/>
      <c r="D117" s="805" t="s">
        <v>1070</v>
      </c>
      <c r="E117" s="1837"/>
      <c r="F117" s="307">
        <f>'exchange rates'!K28</f>
        <v>11241.536700000001</v>
      </c>
      <c r="G117" s="959"/>
      <c r="H117" s="298" t="s">
        <v>608</v>
      </c>
      <c r="I117" s="1048"/>
      <c r="J117" s="805" t="s">
        <v>1070</v>
      </c>
      <c r="K117" s="1014"/>
      <c r="L117" s="322">
        <f t="shared" ref="L117:L119" si="18">71496/F117</f>
        <v>6.3599845739951189</v>
      </c>
      <c r="M117" s="559"/>
      <c r="N117" s="323">
        <v>0</v>
      </c>
      <c r="O117" s="559"/>
      <c r="P117" s="324">
        <v>0</v>
      </c>
      <c r="Q117" s="559"/>
      <c r="R117" s="317" t="e">
        <f>Tabel6689212733[[#This Row],[landcode 3]]+Tabel6689212733[[#This Row],[VAT Sew. 2017]]+Tabel6689212733[[#This Row],[VAT WW 2017]]+Tabel6689212733[[#This Row],[VAT Other ch. 2017]]</f>
        <v>#VALUE!</v>
      </c>
      <c r="S117" s="318">
        <f>Tabel6689212733[[#This Row],[GDP 2017]]+Tabel6689212733[[#This Row],[Sew. 2017]]+Tabel6689212733[[#This Row],[VAT Sew. 2017]]+Tabel6689212733[[#This Row],[WW 2017]]+Tabel6689212733[[#This Row],[VAT WW 2017]]+Tabel6689212733[[#This Row],[Other ch. 2017]]+Tabel6689212733[[#This Row],[VAT Other ch. 2017]]</f>
        <v>6.3599845739951189</v>
      </c>
      <c r="T117" s="397"/>
      <c r="U117" s="1840"/>
      <c r="V117" s="1843"/>
      <c r="W117" s="1846"/>
      <c r="X117" s="576"/>
      <c r="Y117" s="1849"/>
      <c r="Z117" s="1852"/>
      <c r="AA117" s="576"/>
      <c r="AB117" s="1855"/>
      <c r="AC117" s="576"/>
      <c r="AD117" s="1858"/>
      <c r="AE117" s="576"/>
      <c r="AF117" s="1873"/>
      <c r="AG117" s="1876"/>
      <c r="AH117" s="397"/>
      <c r="AI117" s="398"/>
      <c r="AJ117" s="398"/>
      <c r="AK117" s="398"/>
      <c r="AL117" s="396" t="s">
        <v>429</v>
      </c>
      <c r="AM117" s="398"/>
      <c r="AN117" s="398"/>
      <c r="AO117" s="398"/>
      <c r="AP117" s="397"/>
    </row>
    <row r="118" spans="1:42" ht="18" hidden="1" customHeight="1" x14ac:dyDescent="0.25">
      <c r="A118" s="1834"/>
      <c r="B118" s="298" t="s">
        <v>609</v>
      </c>
      <c r="C118" s="1048"/>
      <c r="D118" s="805" t="s">
        <v>1070</v>
      </c>
      <c r="E118" s="1837"/>
      <c r="F118" s="307">
        <f>'exchange rates'!K28</f>
        <v>11241.536700000001</v>
      </c>
      <c r="G118" s="959"/>
      <c r="H118" s="298" t="s">
        <v>609</v>
      </c>
      <c r="I118" s="1048"/>
      <c r="J118" s="805" t="s">
        <v>1070</v>
      </c>
      <c r="K118" s="1014"/>
      <c r="L118" s="322">
        <f t="shared" si="18"/>
        <v>6.3599845739951189</v>
      </c>
      <c r="M118" s="559"/>
      <c r="N118" s="323">
        <v>0</v>
      </c>
      <c r="O118" s="559"/>
      <c r="P118" s="324">
        <v>0</v>
      </c>
      <c r="Q118" s="559"/>
      <c r="R118" s="317" t="e">
        <f>Tabel6689212733[[#This Row],[landcode 3]]+Tabel6689212733[[#This Row],[VAT Sew. 2017]]+Tabel6689212733[[#This Row],[VAT WW 2017]]+Tabel6689212733[[#This Row],[VAT Other ch. 2017]]</f>
        <v>#VALUE!</v>
      </c>
      <c r="S118" s="318">
        <f>Tabel6689212733[[#This Row],[GDP 2017]]+Tabel6689212733[[#This Row],[Sew. 2017]]+Tabel6689212733[[#This Row],[VAT Sew. 2017]]+Tabel6689212733[[#This Row],[WW 2017]]+Tabel6689212733[[#This Row],[VAT WW 2017]]+Tabel6689212733[[#This Row],[Other ch. 2017]]+Tabel6689212733[[#This Row],[VAT Other ch. 2017]]</f>
        <v>6.3599845739951189</v>
      </c>
      <c r="T118" s="397"/>
      <c r="U118" s="1840"/>
      <c r="V118" s="1843"/>
      <c r="W118" s="1846"/>
      <c r="X118" s="576"/>
      <c r="Y118" s="1849"/>
      <c r="Z118" s="1852"/>
      <c r="AA118" s="576"/>
      <c r="AB118" s="1855"/>
      <c r="AC118" s="576"/>
      <c r="AD118" s="1858"/>
      <c r="AE118" s="576"/>
      <c r="AF118" s="1873"/>
      <c r="AG118" s="1876"/>
      <c r="AH118" s="397"/>
      <c r="AI118" s="398"/>
      <c r="AJ118" s="398"/>
      <c r="AK118" s="398"/>
      <c r="AL118" s="396" t="s">
        <v>429</v>
      </c>
      <c r="AM118" s="398"/>
      <c r="AN118" s="398"/>
      <c r="AO118" s="398"/>
      <c r="AP118" s="397"/>
    </row>
    <row r="119" spans="1:42" ht="18.600000000000001" hidden="1" customHeight="1" thickBot="1" x14ac:dyDescent="0.3">
      <c r="A119" s="1835"/>
      <c r="B119" s="293" t="s">
        <v>610</v>
      </c>
      <c r="C119" s="1048"/>
      <c r="D119" s="805" t="s">
        <v>1070</v>
      </c>
      <c r="E119" s="2040"/>
      <c r="F119" s="307">
        <f>'exchange rates'!K28</f>
        <v>11241.536700000001</v>
      </c>
      <c r="G119" s="960"/>
      <c r="H119" s="293" t="s">
        <v>610</v>
      </c>
      <c r="I119" s="1048"/>
      <c r="J119" s="805" t="s">
        <v>1070</v>
      </c>
      <c r="K119" s="1015"/>
      <c r="L119" s="322">
        <f t="shared" si="18"/>
        <v>6.3599845739951189</v>
      </c>
      <c r="M119" s="559"/>
      <c r="N119" s="323">
        <v>0</v>
      </c>
      <c r="O119" s="559"/>
      <c r="P119" s="324">
        <v>0</v>
      </c>
      <c r="Q119" s="559"/>
      <c r="R119" s="317" t="e">
        <f>Tabel6689212733[[#This Row],[landcode 3]]+Tabel6689212733[[#This Row],[VAT Sew. 2017]]+Tabel6689212733[[#This Row],[VAT WW 2017]]+Tabel6689212733[[#This Row],[VAT Other ch. 2017]]</f>
        <v>#VALUE!</v>
      </c>
      <c r="S119" s="318">
        <f>Tabel6689212733[[#This Row],[GDP 2017]]+Tabel6689212733[[#This Row],[Sew. 2017]]+Tabel6689212733[[#This Row],[VAT Sew. 2017]]+Tabel6689212733[[#This Row],[WW 2017]]+Tabel6689212733[[#This Row],[VAT WW 2017]]+Tabel6689212733[[#This Row],[Other ch. 2017]]+Tabel6689212733[[#This Row],[VAT Other ch. 2017]]</f>
        <v>6.3599845739951189</v>
      </c>
      <c r="T119" s="397"/>
      <c r="U119" s="2042"/>
      <c r="V119" s="2044"/>
      <c r="W119" s="2046"/>
      <c r="X119" s="577"/>
      <c r="Y119" s="2048"/>
      <c r="Z119" s="2023"/>
      <c r="AA119" s="577"/>
      <c r="AB119" s="2025"/>
      <c r="AC119" s="577"/>
      <c r="AD119" s="2034"/>
      <c r="AE119" s="577"/>
      <c r="AF119" s="2036"/>
      <c r="AG119" s="2038"/>
      <c r="AH119" s="397"/>
      <c r="AI119" s="398"/>
      <c r="AJ119" s="398"/>
      <c r="AK119" s="398"/>
      <c r="AL119" s="396" t="s">
        <v>429</v>
      </c>
      <c r="AM119" s="398"/>
      <c r="AN119" s="398"/>
      <c r="AO119" s="398"/>
      <c r="AP119" s="397"/>
    </row>
    <row r="120" spans="1:42" ht="18.600000000000001" hidden="1" customHeight="1" thickBot="1" x14ac:dyDescent="0.35">
      <c r="A120" s="267" t="s">
        <v>16</v>
      </c>
      <c r="B120" s="296" t="s">
        <v>106</v>
      </c>
      <c r="C120" s="1048" t="s">
        <v>429</v>
      </c>
      <c r="D120" s="811" t="s">
        <v>1072</v>
      </c>
      <c r="E120" s="301">
        <v>34900</v>
      </c>
      <c r="F120" s="308">
        <f>'exchange rates'!K29</f>
        <v>3.4691000000000001</v>
      </c>
      <c r="G120" s="267" t="s">
        <v>16</v>
      </c>
      <c r="H120" s="296" t="s">
        <v>106</v>
      </c>
      <c r="I120" s="1048" t="s">
        <v>429</v>
      </c>
      <c r="J120" s="811" t="s">
        <v>1072</v>
      </c>
      <c r="K120" s="301">
        <v>34900</v>
      </c>
      <c r="L120" s="322">
        <v>0</v>
      </c>
      <c r="M120" s="559"/>
      <c r="N120" s="323">
        <v>0</v>
      </c>
      <c r="O120" s="559"/>
      <c r="P120" s="324">
        <v>0</v>
      </c>
      <c r="Q120" s="559"/>
      <c r="R120" s="317" t="e">
        <f>Tabel6689212733[[#This Row],[landcode 3]]+Tabel6689212733[[#This Row],[VAT Sew. 2017]]+Tabel6689212733[[#This Row],[VAT WW 2017]]+Tabel6689212733[[#This Row],[VAT Other ch. 2017]]</f>
        <v>#VALUE!</v>
      </c>
      <c r="S120" s="318">
        <f>Tabel6689212733[[#This Row],[GDP 2017]]+Tabel6689212733[[#This Row],[Sew. 2017]]+Tabel6689212733[[#This Row],[VAT Sew. 2017]]+Tabel6689212733[[#This Row],[WW 2017]]+Tabel6689212733[[#This Row],[VAT WW 2017]]+Tabel6689212733[[#This Row],[Other ch. 2017]]+Tabel6689212733[[#This Row],[VAT Other ch. 2017]]</f>
        <v>34900</v>
      </c>
      <c r="T120" s="397"/>
      <c r="U120" s="331">
        <v>0</v>
      </c>
      <c r="V120" s="332" t="str">
        <f>Tabel6689212733[[#This Row],[City]]</f>
        <v>Jerusalem</v>
      </c>
      <c r="W120" s="333">
        <v>0</v>
      </c>
      <c r="X120" s="574"/>
      <c r="Y120" s="334">
        <f>Tabel6689212733[[#This Row],[GDP 2017]]</f>
        <v>34900</v>
      </c>
      <c r="Z120" s="335">
        <v>0</v>
      </c>
      <c r="AA120" s="574"/>
      <c r="AB120" s="336">
        <v>0</v>
      </c>
      <c r="AC120" s="574"/>
      <c r="AD120" s="337">
        <v>0</v>
      </c>
      <c r="AE120" s="574"/>
      <c r="AF120" s="338" t="e">
        <f>Tabel6689212733[[#This Row],[Total VAT 2017]]</f>
        <v>#VALUE!</v>
      </c>
      <c r="AG120" s="339">
        <f>Tabel6689212733[[#This Row],[total charge 2017]]</f>
        <v>34900</v>
      </c>
      <c r="AH120" s="397"/>
      <c r="AI120" s="398"/>
      <c r="AJ120" s="398"/>
      <c r="AK120" s="398"/>
      <c r="AL120" s="396" t="s">
        <v>429</v>
      </c>
      <c r="AM120" s="398"/>
      <c r="AN120" s="398"/>
      <c r="AO120" s="398" t="s">
        <v>590</v>
      </c>
      <c r="AP120" s="397"/>
    </row>
    <row r="121" spans="1:42" ht="18" hidden="1" customHeight="1" x14ac:dyDescent="0.25">
      <c r="A121" s="1818" t="s">
        <v>17</v>
      </c>
      <c r="B121" s="546" t="s">
        <v>107</v>
      </c>
      <c r="C121" s="1046"/>
      <c r="D121" s="802" t="s">
        <v>1074</v>
      </c>
      <c r="E121" s="1966">
        <v>38000</v>
      </c>
      <c r="F121" s="616">
        <f>'exchange rates'!$O$30</f>
        <v>0.83301000000000003</v>
      </c>
      <c r="G121" s="929" t="s">
        <v>17</v>
      </c>
      <c r="H121" s="546" t="s">
        <v>107</v>
      </c>
      <c r="I121" s="1046"/>
      <c r="J121" s="802" t="s">
        <v>1074</v>
      </c>
      <c r="K121" s="988">
        <v>38000</v>
      </c>
      <c r="L121" s="567">
        <f>21.93/F121</f>
        <v>26.326214571253644</v>
      </c>
      <c r="M121" s="560">
        <f>2.19/F121</f>
        <v>2.6290200597831959</v>
      </c>
      <c r="N121" s="568">
        <f>59.09/F121</f>
        <v>70.935522982917377</v>
      </c>
      <c r="O121" s="560">
        <f>5.91/F121</f>
        <v>7.0947527640724601</v>
      </c>
      <c r="P121" s="569">
        <f>0.8/F121</f>
        <v>0.96037262457833639</v>
      </c>
      <c r="Q121" s="560">
        <f>0.08/F121</f>
        <v>9.6037262457833644E-2</v>
      </c>
      <c r="R121" s="570" t="e">
        <f>Tabel6689212733[[#This Row],[landcode 3]]+Tabel6689212733[[#This Row],[VAT Sew. 2017]]+Tabel6689212733[[#This Row],[VAT WW 2017]]+Tabel6689212733[[#This Row],[VAT Other ch. 2017]]</f>
        <v>#VALUE!</v>
      </c>
      <c r="S121" s="571">
        <f>Tabel6689212733[[#This Row],[GDP 2017]]+Tabel6689212733[[#This Row],[Sew. 2017]]+Tabel6689212733[[#This Row],[VAT Sew. 2017]]+Tabel6689212733[[#This Row],[WW 2017]]+Tabel6689212733[[#This Row],[VAT WW 2017]]+Tabel6689212733[[#This Row],[Other ch. 2017]]+Tabel6689212733[[#This Row],[VAT Other ch. 2017]]</f>
        <v>38108.041920265059</v>
      </c>
      <c r="T121" s="397"/>
      <c r="U121" s="1924" t="e">
        <f>MEDIAN(G121:G125)</f>
        <v>#NUM!</v>
      </c>
      <c r="V121" s="1925" t="e">
        <f>MEDIAN(H121:H125)</f>
        <v>#NUM!</v>
      </c>
      <c r="W121" s="1926" t="e">
        <f>MEDIAN(I121:I125)</f>
        <v>#NUM!</v>
      </c>
      <c r="X121" s="1908" t="e">
        <f>MEDIAN(J121:J125)</f>
        <v>#NUM!</v>
      </c>
      <c r="Y121" s="1916" t="e">
        <f>SUM(U121:X125)</f>
        <v>#NUM!</v>
      </c>
      <c r="Z121" s="1917">
        <f>MEDIAN(L121:L125)</f>
        <v>26.326214571253644</v>
      </c>
      <c r="AA121" s="1908">
        <f>MEDIAN(M121:M125)</f>
        <v>2.6290200597831959</v>
      </c>
      <c r="AB121" s="1907">
        <f t="shared" ref="AB121:AF121" si="19">MEDIAN(N121:N125)</f>
        <v>70.935522982917377</v>
      </c>
      <c r="AC121" s="1908">
        <f t="shared" si="19"/>
        <v>7.0947527640724601</v>
      </c>
      <c r="AD121" s="1931">
        <f t="shared" si="19"/>
        <v>0.96037262457833639</v>
      </c>
      <c r="AE121" s="1908">
        <f t="shared" si="19"/>
        <v>9.6037262457833644E-2</v>
      </c>
      <c r="AF121" s="1932" t="e">
        <f t="shared" si="19"/>
        <v>#VALUE!</v>
      </c>
      <c r="AG121" s="1831" t="e">
        <f>Y121+Z121+AA121+AB121+AC121+AD121+AE121</f>
        <v>#NUM!</v>
      </c>
      <c r="AH121" s="397"/>
      <c r="AI121" s="398"/>
      <c r="AJ121" s="398"/>
      <c r="AK121" s="398"/>
      <c r="AL121" s="591" t="s">
        <v>429</v>
      </c>
      <c r="AM121" s="591" t="s">
        <v>429</v>
      </c>
      <c r="AN121" s="398"/>
      <c r="AO121" s="398"/>
      <c r="AP121" s="397"/>
    </row>
    <row r="122" spans="1:42" ht="15.6" hidden="1" customHeight="1" x14ac:dyDescent="0.25">
      <c r="A122" s="1819"/>
      <c r="B122" s="547" t="s">
        <v>108</v>
      </c>
      <c r="C122" s="1046"/>
      <c r="D122" s="802" t="s">
        <v>1074</v>
      </c>
      <c r="E122" s="1760"/>
      <c r="F122" s="616">
        <f>'exchange rates'!$O$30</f>
        <v>0.83301000000000003</v>
      </c>
      <c r="G122" s="930"/>
      <c r="H122" s="547" t="s">
        <v>108</v>
      </c>
      <c r="I122" s="1046"/>
      <c r="J122" s="802" t="s">
        <v>1074</v>
      </c>
      <c r="K122" s="969"/>
      <c r="L122" s="567">
        <f>13.93/F122</f>
        <v>16.72248832547028</v>
      </c>
      <c r="M122" s="560">
        <f>1.39/F122</f>
        <v>1.6686474352048593</v>
      </c>
      <c r="N122" s="568">
        <f>35.72/F122</f>
        <v>42.88063768742272</v>
      </c>
      <c r="O122" s="560">
        <f>3.57/F122</f>
        <v>4.2856628371808254</v>
      </c>
      <c r="P122" s="569">
        <f>0.8/F122</f>
        <v>0.96037262457833639</v>
      </c>
      <c r="Q122" s="560">
        <f>0.08/F122</f>
        <v>9.6037262457833644E-2</v>
      </c>
      <c r="R122" s="570" t="e">
        <f>Tabel6689212733[[#This Row],[landcode 3]]+Tabel6689212733[[#This Row],[VAT Sew. 2017]]+Tabel6689212733[[#This Row],[VAT WW 2017]]+Tabel6689212733[[#This Row],[VAT Other ch. 2017]]</f>
        <v>#VALUE!</v>
      </c>
      <c r="S122" s="571">
        <f>Tabel6689212733[[#This Row],[GDP 2017]]+Tabel6689212733[[#This Row],[Sew. 2017]]+Tabel6689212733[[#This Row],[VAT Sew. 2017]]+Tabel6689212733[[#This Row],[WW 2017]]+Tabel6689212733[[#This Row],[VAT WW 2017]]+Tabel6689212733[[#This Row],[Other ch. 2017]]+Tabel6689212733[[#This Row],[VAT Other ch. 2017]]</f>
        <v>66.613846172314851</v>
      </c>
      <c r="T122" s="397"/>
      <c r="U122" s="1886"/>
      <c r="V122" s="1888"/>
      <c r="W122" s="1890"/>
      <c r="X122" s="1772"/>
      <c r="Y122" s="1892"/>
      <c r="Z122" s="1894"/>
      <c r="AA122" s="1772"/>
      <c r="AB122" s="1911"/>
      <c r="AC122" s="1772"/>
      <c r="AD122" s="1913"/>
      <c r="AE122" s="1772"/>
      <c r="AF122" s="1915"/>
      <c r="AG122" s="1832"/>
      <c r="AH122" s="397"/>
      <c r="AI122" s="398"/>
      <c r="AJ122" s="398"/>
      <c r="AK122" s="398"/>
      <c r="AL122" s="591" t="s">
        <v>429</v>
      </c>
      <c r="AM122" s="591" t="s">
        <v>429</v>
      </c>
      <c r="AN122" s="398"/>
      <c r="AO122" s="398"/>
      <c r="AP122" s="397"/>
    </row>
    <row r="123" spans="1:42" ht="15.6" hidden="1" customHeight="1" x14ac:dyDescent="0.25">
      <c r="A123" s="1819"/>
      <c r="B123" s="547" t="s">
        <v>109</v>
      </c>
      <c r="C123" s="1046"/>
      <c r="D123" s="802" t="s">
        <v>1074</v>
      </c>
      <c r="E123" s="1760"/>
      <c r="F123" s="616">
        <f>'exchange rates'!$O$30</f>
        <v>0.83301000000000003</v>
      </c>
      <c r="G123" s="930"/>
      <c r="H123" s="547" t="s">
        <v>109</v>
      </c>
      <c r="I123" s="1046"/>
      <c r="J123" s="802" t="s">
        <v>1074</v>
      </c>
      <c r="K123" s="969"/>
      <c r="L123" s="567">
        <f>11.62/F123</f>
        <v>13.949412372000335</v>
      </c>
      <c r="M123" s="560">
        <f>1.16/F123</f>
        <v>1.3925403056385877</v>
      </c>
      <c r="N123" s="568">
        <f>31.04/F123</f>
        <v>37.262457833639452</v>
      </c>
      <c r="O123" s="560">
        <f>3.1/F123</f>
        <v>3.7214439202410534</v>
      </c>
      <c r="P123" s="569">
        <f>0.8/F123</f>
        <v>0.96037262457833639</v>
      </c>
      <c r="Q123" s="560">
        <f>0.08/F123</f>
        <v>9.6037262457833644E-2</v>
      </c>
      <c r="R123" s="570" t="e">
        <f>Tabel6689212733[[#This Row],[landcode 3]]+Tabel6689212733[[#This Row],[VAT Sew. 2017]]+Tabel6689212733[[#This Row],[VAT WW 2017]]+Tabel6689212733[[#This Row],[VAT Other ch. 2017]]</f>
        <v>#VALUE!</v>
      </c>
      <c r="S123" s="571">
        <f>Tabel6689212733[[#This Row],[GDP 2017]]+Tabel6689212733[[#This Row],[Sew. 2017]]+Tabel6689212733[[#This Row],[VAT Sew. 2017]]+Tabel6689212733[[#This Row],[WW 2017]]+Tabel6689212733[[#This Row],[VAT WW 2017]]+Tabel6689212733[[#This Row],[Other ch. 2017]]+Tabel6689212733[[#This Row],[VAT Other ch. 2017]]</f>
        <v>57.382264318555592</v>
      </c>
      <c r="T123" s="397"/>
      <c r="U123" s="1886"/>
      <c r="V123" s="1888"/>
      <c r="W123" s="1890"/>
      <c r="X123" s="1772"/>
      <c r="Y123" s="1892"/>
      <c r="Z123" s="1894"/>
      <c r="AA123" s="1772"/>
      <c r="AB123" s="1911"/>
      <c r="AC123" s="1772"/>
      <c r="AD123" s="1913"/>
      <c r="AE123" s="1772"/>
      <c r="AF123" s="1915"/>
      <c r="AG123" s="1832"/>
      <c r="AH123" s="397"/>
      <c r="AI123" s="398"/>
      <c r="AJ123" s="398"/>
      <c r="AK123" s="398"/>
      <c r="AL123" s="591" t="s">
        <v>429</v>
      </c>
      <c r="AM123" s="591" t="s">
        <v>429</v>
      </c>
      <c r="AN123" s="398"/>
      <c r="AO123" s="398"/>
      <c r="AP123" s="397"/>
    </row>
    <row r="124" spans="1:42" ht="15.6" hidden="1" customHeight="1" x14ac:dyDescent="0.25">
      <c r="A124" s="1819"/>
      <c r="B124" s="547" t="s">
        <v>110</v>
      </c>
      <c r="C124" s="1046" t="s">
        <v>429</v>
      </c>
      <c r="D124" s="802" t="s">
        <v>1074</v>
      </c>
      <c r="E124" s="1760"/>
      <c r="F124" s="616">
        <f>'exchange rates'!$O$30</f>
        <v>0.83301000000000003</v>
      </c>
      <c r="G124" s="930"/>
      <c r="H124" s="547" t="s">
        <v>110</v>
      </c>
      <c r="I124" s="1046" t="s">
        <v>429</v>
      </c>
      <c r="J124" s="802" t="s">
        <v>1074</v>
      </c>
      <c r="K124" s="969"/>
      <c r="L124" s="567">
        <f>25.49/F124</f>
        <v>30.599872750627242</v>
      </c>
      <c r="M124" s="560">
        <f>2.55/F124</f>
        <v>3.0611877408434469</v>
      </c>
      <c r="N124" s="568">
        <f>73.9/F124</f>
        <v>88.714421195423824</v>
      </c>
      <c r="O124" s="560">
        <f>7.39/F124</f>
        <v>8.8714421195423814</v>
      </c>
      <c r="P124" s="569">
        <f>0.8/F124</f>
        <v>0.96037262457833639</v>
      </c>
      <c r="Q124" s="560">
        <f>0.08/F124</f>
        <v>9.6037262457833644E-2</v>
      </c>
      <c r="R124" s="570" t="e">
        <f>Tabel6689212733[[#This Row],[landcode 3]]+Tabel6689212733[[#This Row],[VAT Sew. 2017]]+Tabel6689212733[[#This Row],[VAT WW 2017]]+Tabel6689212733[[#This Row],[VAT Other ch. 2017]]</f>
        <v>#VALUE!</v>
      </c>
      <c r="S124" s="571">
        <f>Tabel6689212733[[#This Row],[GDP 2017]]+Tabel6689212733[[#This Row],[Sew. 2017]]+Tabel6689212733[[#This Row],[VAT Sew. 2017]]+Tabel6689212733[[#This Row],[WW 2017]]+Tabel6689212733[[#This Row],[VAT WW 2017]]+Tabel6689212733[[#This Row],[Other ch. 2017]]+Tabel6689212733[[#This Row],[VAT Other ch. 2017]]</f>
        <v>132.30333369347306</v>
      </c>
      <c r="T124" s="397"/>
      <c r="U124" s="1886"/>
      <c r="V124" s="1888"/>
      <c r="W124" s="1890"/>
      <c r="X124" s="1772"/>
      <c r="Y124" s="1892"/>
      <c r="Z124" s="1894"/>
      <c r="AA124" s="1772"/>
      <c r="AB124" s="1911"/>
      <c r="AC124" s="1772"/>
      <c r="AD124" s="1913"/>
      <c r="AE124" s="1772"/>
      <c r="AF124" s="1915"/>
      <c r="AG124" s="1832"/>
      <c r="AH124" s="397"/>
      <c r="AI124" s="398"/>
      <c r="AJ124" s="398"/>
      <c r="AK124" s="398"/>
      <c r="AL124" s="591" t="s">
        <v>429</v>
      </c>
      <c r="AM124" s="591" t="s">
        <v>429</v>
      </c>
      <c r="AN124" s="398"/>
      <c r="AO124" s="398"/>
      <c r="AP124" s="397"/>
    </row>
    <row r="125" spans="1:42" ht="16.149999999999999" hidden="1" customHeight="1" thickBot="1" x14ac:dyDescent="0.3">
      <c r="A125" s="1820"/>
      <c r="B125" s="613" t="s">
        <v>111</v>
      </c>
      <c r="C125" s="1046"/>
      <c r="D125" s="807" t="s">
        <v>1074</v>
      </c>
      <c r="E125" s="1799"/>
      <c r="F125" s="616">
        <f>'exchange rates'!$O$30</f>
        <v>0.83301000000000003</v>
      </c>
      <c r="G125" s="931"/>
      <c r="H125" s="613" t="s">
        <v>111</v>
      </c>
      <c r="I125" s="1046"/>
      <c r="J125" s="807" t="s">
        <v>1074</v>
      </c>
      <c r="K125" s="987"/>
      <c r="L125" s="567">
        <f>27.46/F125</f>
        <v>32.964790338651397</v>
      </c>
      <c r="M125" s="560">
        <f>2.75/F125</f>
        <v>3.3012808969880312</v>
      </c>
      <c r="N125" s="568">
        <f>73.22/F125</f>
        <v>87.898104464532238</v>
      </c>
      <c r="O125" s="560">
        <f>7.32/F125</f>
        <v>8.7874095148917775</v>
      </c>
      <c r="P125" s="569">
        <f>0.8/F125</f>
        <v>0.96037262457833639</v>
      </c>
      <c r="Q125" s="560">
        <f>0.08/F125</f>
        <v>9.6037262457833644E-2</v>
      </c>
      <c r="R125" s="570" t="e">
        <f>Tabel6689212733[[#This Row],[landcode 3]]+Tabel6689212733[[#This Row],[VAT Sew. 2017]]+Tabel6689212733[[#This Row],[VAT WW 2017]]+Tabel6689212733[[#This Row],[VAT Other ch. 2017]]</f>
        <v>#VALUE!</v>
      </c>
      <c r="S125" s="571">
        <f>Tabel6689212733[[#This Row],[GDP 2017]]+Tabel6689212733[[#This Row],[Sew. 2017]]+Tabel6689212733[[#This Row],[VAT Sew. 2017]]+Tabel6689212733[[#This Row],[WW 2017]]+Tabel6689212733[[#This Row],[VAT WW 2017]]+Tabel6689212733[[#This Row],[Other ch. 2017]]+Tabel6689212733[[#This Row],[VAT Other ch. 2017]]</f>
        <v>134.00799510209961</v>
      </c>
      <c r="T125" s="397"/>
      <c r="U125" s="1801"/>
      <c r="V125" s="1803"/>
      <c r="W125" s="1805"/>
      <c r="X125" s="1773"/>
      <c r="Y125" s="1807"/>
      <c r="Z125" s="1809"/>
      <c r="AA125" s="1773"/>
      <c r="AB125" s="1782"/>
      <c r="AC125" s="1773"/>
      <c r="AD125" s="1786"/>
      <c r="AE125" s="1773"/>
      <c r="AF125" s="1789"/>
      <c r="AG125" s="1792"/>
      <c r="AH125" s="397"/>
      <c r="AI125" s="398"/>
      <c r="AJ125" s="398"/>
      <c r="AK125" s="398"/>
      <c r="AL125" s="591" t="s">
        <v>429</v>
      </c>
      <c r="AM125" s="591" t="s">
        <v>429</v>
      </c>
      <c r="AN125" s="398"/>
      <c r="AO125" s="398"/>
      <c r="AP125" s="397"/>
    </row>
    <row r="126" spans="1:42" ht="18" hidden="1" customHeight="1" x14ac:dyDescent="0.25">
      <c r="A126" s="1818" t="s">
        <v>18</v>
      </c>
      <c r="B126" s="546" t="s">
        <v>112</v>
      </c>
      <c r="C126" s="1046"/>
      <c r="D126" s="802" t="s">
        <v>1076</v>
      </c>
      <c r="E126" s="1966">
        <v>42700</v>
      </c>
      <c r="F126" s="617">
        <f>'exchange rates'!$O$31</f>
        <v>112.66098</v>
      </c>
      <c r="G126" s="929" t="s">
        <v>18</v>
      </c>
      <c r="H126" s="546" t="s">
        <v>112</v>
      </c>
      <c r="I126" s="1046"/>
      <c r="J126" s="802" t="s">
        <v>1076</v>
      </c>
      <c r="K126" s="988">
        <v>42700</v>
      </c>
      <c r="L126" s="567">
        <f>6720/F126</f>
        <v>59.647981048984306</v>
      </c>
      <c r="M126" s="560">
        <f>530/F126</f>
        <v>4.7043794577323936</v>
      </c>
      <c r="N126" s="568">
        <v>0</v>
      </c>
      <c r="O126" s="560">
        <v>0</v>
      </c>
      <c r="P126" s="569">
        <v>0</v>
      </c>
      <c r="Q126" s="560">
        <v>0</v>
      </c>
      <c r="R126" s="570" t="e">
        <f>Tabel6689212733[[#This Row],[landcode 3]]+Tabel6689212733[[#This Row],[VAT Sew. 2017]]+Tabel6689212733[[#This Row],[VAT WW 2017]]+Tabel6689212733[[#This Row],[VAT Other ch. 2017]]</f>
        <v>#VALUE!</v>
      </c>
      <c r="S126" s="571">
        <f>Tabel6689212733[[#This Row],[GDP 2017]]+Tabel6689212733[[#This Row],[Sew. 2017]]+Tabel6689212733[[#This Row],[VAT Sew. 2017]]+Tabel6689212733[[#This Row],[WW 2017]]+Tabel6689212733[[#This Row],[VAT WW 2017]]+Tabel6689212733[[#This Row],[Other ch. 2017]]+Tabel6689212733[[#This Row],[VAT Other ch. 2017]]</f>
        <v>42764.352360506717</v>
      </c>
      <c r="T126" s="397"/>
      <c r="U126" s="1800" t="e">
        <f>MEDIAN(G126:G133)</f>
        <v>#NUM!</v>
      </c>
      <c r="V126" s="1802" t="e">
        <f>MEDIAN(H126:H133)</f>
        <v>#NUM!</v>
      </c>
      <c r="W126" s="1804" t="e">
        <f>MEDIAN(I126:I133)</f>
        <v>#NUM!</v>
      </c>
      <c r="X126" s="1771" t="e">
        <f>MEDIAN(J126:J133)</f>
        <v>#NUM!</v>
      </c>
      <c r="Y126" s="1806" t="e">
        <f>SUM(U126:X133)</f>
        <v>#NUM!</v>
      </c>
      <c r="Z126" s="1808">
        <f t="shared" ref="Z126:AF126" si="20">MEDIAN(L126:L133)</f>
        <v>65.861312408253511</v>
      </c>
      <c r="AA126" s="1771">
        <f t="shared" si="20"/>
        <v>5.2458269047544235</v>
      </c>
      <c r="AB126" s="1780">
        <f t="shared" si="20"/>
        <v>0</v>
      </c>
      <c r="AC126" s="1771">
        <f t="shared" si="20"/>
        <v>0</v>
      </c>
      <c r="AD126" s="1784">
        <f t="shared" si="20"/>
        <v>0</v>
      </c>
      <c r="AE126" s="1771">
        <f t="shared" si="20"/>
        <v>0</v>
      </c>
      <c r="AF126" s="1787" t="e">
        <f t="shared" si="20"/>
        <v>#VALUE!</v>
      </c>
      <c r="AG126" s="1790" t="e">
        <f>Y126+Z126+AA126+AB126+AC126+AD126+AE126</f>
        <v>#NUM!</v>
      </c>
      <c r="AH126" s="397"/>
      <c r="AI126" s="591" t="s">
        <v>429</v>
      </c>
      <c r="AJ126" s="396"/>
      <c r="AK126" s="398"/>
      <c r="AL126" s="591" t="s">
        <v>429</v>
      </c>
      <c r="AM126" s="398"/>
      <c r="AN126" s="398"/>
      <c r="AO126" s="398"/>
      <c r="AP126" s="397"/>
    </row>
    <row r="127" spans="1:42" ht="15.6" hidden="1" customHeight="1" x14ac:dyDescent="0.25">
      <c r="A127" s="1819"/>
      <c r="B127" s="547" t="s">
        <v>113</v>
      </c>
      <c r="C127" s="1046"/>
      <c r="D127" s="802" t="s">
        <v>1076</v>
      </c>
      <c r="E127" s="1967"/>
      <c r="F127" s="617">
        <f>'exchange rates'!$O$31</f>
        <v>112.66098</v>
      </c>
      <c r="G127" s="930"/>
      <c r="H127" s="547" t="s">
        <v>113</v>
      </c>
      <c r="I127" s="1046"/>
      <c r="J127" s="802" t="s">
        <v>1076</v>
      </c>
      <c r="K127" s="986"/>
      <c r="L127" s="567">
        <f>6600/F127</f>
        <v>58.582838530252445</v>
      </c>
      <c r="M127" s="560">
        <f>527/F127</f>
        <v>4.6777508947640971</v>
      </c>
      <c r="N127" s="568">
        <v>0</v>
      </c>
      <c r="O127" s="560">
        <v>0</v>
      </c>
      <c r="P127" s="569">
        <v>0</v>
      </c>
      <c r="Q127" s="560">
        <v>0</v>
      </c>
      <c r="R127" s="570" t="e">
        <f>Tabel6689212733[[#This Row],[landcode 3]]+Tabel6689212733[[#This Row],[VAT Sew. 2017]]+Tabel6689212733[[#This Row],[VAT WW 2017]]+Tabel6689212733[[#This Row],[VAT Other ch. 2017]]</f>
        <v>#VALUE!</v>
      </c>
      <c r="S127" s="571">
        <f>Tabel6689212733[[#This Row],[GDP 2017]]+Tabel6689212733[[#This Row],[Sew. 2017]]+Tabel6689212733[[#This Row],[VAT Sew. 2017]]+Tabel6689212733[[#This Row],[WW 2017]]+Tabel6689212733[[#This Row],[VAT WW 2017]]+Tabel6689212733[[#This Row],[Other ch. 2017]]+Tabel6689212733[[#This Row],[VAT Other ch. 2017]]</f>
        <v>63.260589425016541</v>
      </c>
      <c r="T127" s="397"/>
      <c r="U127" s="1763"/>
      <c r="V127" s="1766"/>
      <c r="W127" s="1769"/>
      <c r="X127" s="1772"/>
      <c r="Y127" s="1775"/>
      <c r="Z127" s="1778"/>
      <c r="AA127" s="1772"/>
      <c r="AB127" s="1781"/>
      <c r="AC127" s="1772"/>
      <c r="AD127" s="1785"/>
      <c r="AE127" s="1772"/>
      <c r="AF127" s="1788"/>
      <c r="AG127" s="1791"/>
      <c r="AH127" s="397"/>
      <c r="AI127" s="591" t="s">
        <v>429</v>
      </c>
      <c r="AJ127" s="396"/>
      <c r="AK127" s="398"/>
      <c r="AL127" s="591" t="s">
        <v>429</v>
      </c>
      <c r="AM127" s="398"/>
      <c r="AN127" s="398"/>
      <c r="AO127" s="398"/>
      <c r="AP127" s="397"/>
    </row>
    <row r="128" spans="1:42" ht="15.6" hidden="1" customHeight="1" x14ac:dyDescent="0.25">
      <c r="A128" s="1819"/>
      <c r="B128" s="547" t="s">
        <v>114</v>
      </c>
      <c r="C128" s="1046"/>
      <c r="D128" s="802" t="s">
        <v>1076</v>
      </c>
      <c r="E128" s="1967"/>
      <c r="F128" s="617">
        <f>'exchange rates'!$O$31</f>
        <v>112.66098</v>
      </c>
      <c r="G128" s="930"/>
      <c r="H128" s="547" t="s">
        <v>114</v>
      </c>
      <c r="I128" s="1046"/>
      <c r="J128" s="802" t="s">
        <v>1076</v>
      </c>
      <c r="K128" s="986"/>
      <c r="L128" s="567">
        <f>8480/F128</f>
        <v>75.270071323718298</v>
      </c>
      <c r="M128" s="560">
        <f>677/F128</f>
        <v>6.0091790431789249</v>
      </c>
      <c r="N128" s="568">
        <v>0</v>
      </c>
      <c r="O128" s="560">
        <v>0</v>
      </c>
      <c r="P128" s="569">
        <v>0</v>
      </c>
      <c r="Q128" s="560">
        <v>0</v>
      </c>
      <c r="R128" s="570" t="e">
        <f>Tabel6689212733[[#This Row],[landcode 3]]+Tabel6689212733[[#This Row],[VAT Sew. 2017]]+Tabel6689212733[[#This Row],[VAT WW 2017]]+Tabel6689212733[[#This Row],[VAT Other ch. 2017]]</f>
        <v>#VALUE!</v>
      </c>
      <c r="S128" s="571">
        <f>Tabel6689212733[[#This Row],[GDP 2017]]+Tabel6689212733[[#This Row],[Sew. 2017]]+Tabel6689212733[[#This Row],[VAT Sew. 2017]]+Tabel6689212733[[#This Row],[WW 2017]]+Tabel6689212733[[#This Row],[VAT WW 2017]]+Tabel6689212733[[#This Row],[Other ch. 2017]]+Tabel6689212733[[#This Row],[VAT Other ch. 2017]]</f>
        <v>81.27925036689723</v>
      </c>
      <c r="T128" s="397"/>
      <c r="U128" s="1763"/>
      <c r="V128" s="1766"/>
      <c r="W128" s="1769"/>
      <c r="X128" s="1772"/>
      <c r="Y128" s="1775"/>
      <c r="Z128" s="1778"/>
      <c r="AA128" s="1772"/>
      <c r="AB128" s="1781"/>
      <c r="AC128" s="1772"/>
      <c r="AD128" s="1785"/>
      <c r="AE128" s="1772"/>
      <c r="AF128" s="1788"/>
      <c r="AG128" s="1791"/>
      <c r="AH128" s="397"/>
      <c r="AI128" s="591" t="s">
        <v>429</v>
      </c>
      <c r="AJ128" s="396"/>
      <c r="AK128" s="398"/>
      <c r="AL128" s="591" t="s">
        <v>429</v>
      </c>
      <c r="AM128" s="398"/>
      <c r="AN128" s="398"/>
      <c r="AO128" s="398"/>
      <c r="AP128" s="397"/>
    </row>
    <row r="129" spans="1:42" ht="15.6" hidden="1" customHeight="1" x14ac:dyDescent="0.25">
      <c r="A129" s="1819"/>
      <c r="B129" s="547" t="s">
        <v>115</v>
      </c>
      <c r="C129" s="1046"/>
      <c r="D129" s="802" t="s">
        <v>1076</v>
      </c>
      <c r="E129" s="1967"/>
      <c r="F129" s="617">
        <f>'exchange rates'!$O$31</f>
        <v>112.66098</v>
      </c>
      <c r="G129" s="930"/>
      <c r="H129" s="547" t="s">
        <v>115</v>
      </c>
      <c r="I129" s="1046"/>
      <c r="J129" s="802" t="s">
        <v>1076</v>
      </c>
      <c r="K129" s="986"/>
      <c r="L129" s="567">
        <f>10368/F129</f>
        <v>92.028313618432932</v>
      </c>
      <c r="M129" s="560">
        <f>824/F129</f>
        <v>7.3139786286254571</v>
      </c>
      <c r="N129" s="568">
        <v>0</v>
      </c>
      <c r="O129" s="560">
        <v>0</v>
      </c>
      <c r="P129" s="569">
        <v>0</v>
      </c>
      <c r="Q129" s="560">
        <v>0</v>
      </c>
      <c r="R129" s="570" t="e">
        <f>Tabel6689212733[[#This Row],[landcode 3]]+Tabel6689212733[[#This Row],[VAT Sew. 2017]]+Tabel6689212733[[#This Row],[VAT WW 2017]]+Tabel6689212733[[#This Row],[VAT Other ch. 2017]]</f>
        <v>#VALUE!</v>
      </c>
      <c r="S129" s="571">
        <f>Tabel6689212733[[#This Row],[GDP 2017]]+Tabel6689212733[[#This Row],[Sew. 2017]]+Tabel6689212733[[#This Row],[VAT Sew. 2017]]+Tabel6689212733[[#This Row],[WW 2017]]+Tabel6689212733[[#This Row],[VAT WW 2017]]+Tabel6689212733[[#This Row],[Other ch. 2017]]+Tabel6689212733[[#This Row],[VAT Other ch. 2017]]</f>
        <v>99.342292247058396</v>
      </c>
      <c r="T129" s="397"/>
      <c r="U129" s="1763"/>
      <c r="V129" s="1766"/>
      <c r="W129" s="1769"/>
      <c r="X129" s="1772"/>
      <c r="Y129" s="1775"/>
      <c r="Z129" s="1778"/>
      <c r="AA129" s="1772"/>
      <c r="AB129" s="1781"/>
      <c r="AC129" s="1772"/>
      <c r="AD129" s="1785"/>
      <c r="AE129" s="1772"/>
      <c r="AF129" s="1788"/>
      <c r="AG129" s="1791"/>
      <c r="AH129" s="397"/>
      <c r="AI129" s="591" t="s">
        <v>429</v>
      </c>
      <c r="AJ129" s="396"/>
      <c r="AK129" s="398"/>
      <c r="AL129" s="591" t="s">
        <v>429</v>
      </c>
      <c r="AM129" s="398"/>
      <c r="AN129" s="398"/>
      <c r="AO129" s="398"/>
      <c r="AP129" s="397"/>
    </row>
    <row r="130" spans="1:42" ht="15.6" hidden="1" customHeight="1" x14ac:dyDescent="0.25">
      <c r="A130" s="1819"/>
      <c r="B130" s="547" t="s">
        <v>116</v>
      </c>
      <c r="C130" s="1046"/>
      <c r="D130" s="802" t="s">
        <v>1076</v>
      </c>
      <c r="E130" s="1967"/>
      <c r="F130" s="617">
        <f>'exchange rates'!$O$31</f>
        <v>112.66098</v>
      </c>
      <c r="G130" s="930"/>
      <c r="H130" s="547" t="s">
        <v>116</v>
      </c>
      <c r="I130" s="1046"/>
      <c r="J130" s="802" t="s">
        <v>1076</v>
      </c>
      <c r="K130" s="986"/>
      <c r="L130" s="567">
        <f>7200/F130</f>
        <v>63.908551123911757</v>
      </c>
      <c r="M130" s="560">
        <f>574/F130</f>
        <v>5.0949317146007429</v>
      </c>
      <c r="N130" s="568">
        <v>0</v>
      </c>
      <c r="O130" s="560">
        <v>0</v>
      </c>
      <c r="P130" s="569">
        <v>0</v>
      </c>
      <c r="Q130" s="560">
        <v>0</v>
      </c>
      <c r="R130" s="570" t="e">
        <f>Tabel6689212733[[#This Row],[landcode 3]]+Tabel6689212733[[#This Row],[VAT Sew. 2017]]+Tabel6689212733[[#This Row],[VAT WW 2017]]+Tabel6689212733[[#This Row],[VAT Other ch. 2017]]</f>
        <v>#VALUE!</v>
      </c>
      <c r="S130" s="571">
        <f>Tabel6689212733[[#This Row],[GDP 2017]]+Tabel6689212733[[#This Row],[Sew. 2017]]+Tabel6689212733[[#This Row],[VAT Sew. 2017]]+Tabel6689212733[[#This Row],[WW 2017]]+Tabel6689212733[[#This Row],[VAT WW 2017]]+Tabel6689212733[[#This Row],[Other ch. 2017]]+Tabel6689212733[[#This Row],[VAT Other ch. 2017]]</f>
        <v>69.003482838512497</v>
      </c>
      <c r="T130" s="397"/>
      <c r="U130" s="1763"/>
      <c r="V130" s="1766"/>
      <c r="W130" s="1769"/>
      <c r="X130" s="1772"/>
      <c r="Y130" s="1775"/>
      <c r="Z130" s="1778"/>
      <c r="AA130" s="1772"/>
      <c r="AB130" s="1781"/>
      <c r="AC130" s="1772"/>
      <c r="AD130" s="1785"/>
      <c r="AE130" s="1772"/>
      <c r="AF130" s="1788"/>
      <c r="AG130" s="1791"/>
      <c r="AH130" s="397"/>
      <c r="AI130" s="591" t="s">
        <v>429</v>
      </c>
      <c r="AJ130" s="396"/>
      <c r="AK130" s="398"/>
      <c r="AL130" s="591" t="s">
        <v>429</v>
      </c>
      <c r="AM130" s="398"/>
      <c r="AN130" s="398"/>
      <c r="AO130" s="398"/>
      <c r="AP130" s="397"/>
    </row>
    <row r="131" spans="1:42" ht="15.6" hidden="1" customHeight="1" x14ac:dyDescent="0.25">
      <c r="A131" s="1819"/>
      <c r="B131" s="547" t="s">
        <v>117</v>
      </c>
      <c r="C131" s="1046"/>
      <c r="D131" s="802" t="s">
        <v>1076</v>
      </c>
      <c r="E131" s="1967"/>
      <c r="F131" s="617">
        <f>'exchange rates'!$O$31</f>
        <v>112.66098</v>
      </c>
      <c r="G131" s="930"/>
      <c r="H131" s="547" t="s">
        <v>117</v>
      </c>
      <c r="I131" s="1046"/>
      <c r="J131" s="802" t="s">
        <v>1076</v>
      </c>
      <c r="K131" s="986"/>
      <c r="L131" s="567">
        <f>8436/F131</f>
        <v>74.879519066849952</v>
      </c>
      <c r="M131" s="560">
        <f>674/F131</f>
        <v>5.9825504802106284</v>
      </c>
      <c r="N131" s="568">
        <v>0</v>
      </c>
      <c r="O131" s="560">
        <v>0</v>
      </c>
      <c r="P131" s="569">
        <v>0</v>
      </c>
      <c r="Q131" s="560">
        <v>0</v>
      </c>
      <c r="R131" s="570" t="e">
        <f>Tabel6689212733[[#This Row],[landcode 3]]+Tabel6689212733[[#This Row],[VAT Sew. 2017]]+Tabel6689212733[[#This Row],[VAT WW 2017]]+Tabel6689212733[[#This Row],[VAT Other ch. 2017]]</f>
        <v>#VALUE!</v>
      </c>
      <c r="S131" s="571">
        <f>Tabel6689212733[[#This Row],[GDP 2017]]+Tabel6689212733[[#This Row],[Sew. 2017]]+Tabel6689212733[[#This Row],[VAT Sew. 2017]]+Tabel6689212733[[#This Row],[WW 2017]]+Tabel6689212733[[#This Row],[VAT WW 2017]]+Tabel6689212733[[#This Row],[Other ch. 2017]]+Tabel6689212733[[#This Row],[VAT Other ch. 2017]]</f>
        <v>80.862069547060585</v>
      </c>
      <c r="T131" s="397"/>
      <c r="U131" s="1763"/>
      <c r="V131" s="1766"/>
      <c r="W131" s="1769"/>
      <c r="X131" s="1772"/>
      <c r="Y131" s="1775"/>
      <c r="Z131" s="1778"/>
      <c r="AA131" s="1772"/>
      <c r="AB131" s="1781"/>
      <c r="AC131" s="1772"/>
      <c r="AD131" s="1785"/>
      <c r="AE131" s="1772"/>
      <c r="AF131" s="1788"/>
      <c r="AG131" s="1791"/>
      <c r="AH131" s="397"/>
      <c r="AI131" s="591" t="s">
        <v>429</v>
      </c>
      <c r="AJ131" s="396"/>
      <c r="AK131" s="398"/>
      <c r="AL131" s="591" t="s">
        <v>429</v>
      </c>
      <c r="AM131" s="398"/>
      <c r="AN131" s="398"/>
      <c r="AO131" s="398"/>
      <c r="AP131" s="397"/>
    </row>
    <row r="132" spans="1:42" ht="15.6" hidden="1" customHeight="1" x14ac:dyDescent="0.25">
      <c r="A132" s="1819"/>
      <c r="B132" s="547" t="s">
        <v>118</v>
      </c>
      <c r="C132" s="1046" t="s">
        <v>429</v>
      </c>
      <c r="D132" s="802" t="s">
        <v>1076</v>
      </c>
      <c r="E132" s="1967"/>
      <c r="F132" s="617">
        <f>'exchange rates'!$O$31</f>
        <v>112.66098</v>
      </c>
      <c r="G132" s="930"/>
      <c r="H132" s="547" t="s">
        <v>118</v>
      </c>
      <c r="I132" s="1046" t="s">
        <v>429</v>
      </c>
      <c r="J132" s="802" t="s">
        <v>1076</v>
      </c>
      <c r="K132" s="986"/>
      <c r="L132" s="567">
        <f>7160/F132</f>
        <v>63.553503617667808</v>
      </c>
      <c r="M132" s="560">
        <f>567/F132</f>
        <v>5.0327984010080513</v>
      </c>
      <c r="N132" s="568">
        <v>0</v>
      </c>
      <c r="O132" s="560">
        <v>0</v>
      </c>
      <c r="P132" s="569">
        <v>0</v>
      </c>
      <c r="Q132" s="560">
        <v>0</v>
      </c>
      <c r="R132" s="570" t="e">
        <f>Tabel6689212733[[#This Row],[landcode 3]]+Tabel6689212733[[#This Row],[VAT Sew. 2017]]+Tabel6689212733[[#This Row],[VAT WW 2017]]+Tabel6689212733[[#This Row],[VAT Other ch. 2017]]</f>
        <v>#VALUE!</v>
      </c>
      <c r="S132" s="571">
        <f>Tabel6689212733[[#This Row],[GDP 2017]]+Tabel6689212733[[#This Row],[Sew. 2017]]+Tabel6689212733[[#This Row],[VAT Sew. 2017]]+Tabel6689212733[[#This Row],[WW 2017]]+Tabel6689212733[[#This Row],[VAT WW 2017]]+Tabel6689212733[[#This Row],[Other ch. 2017]]+Tabel6689212733[[#This Row],[VAT Other ch. 2017]]</f>
        <v>68.586302018675866</v>
      </c>
      <c r="T132" s="397"/>
      <c r="U132" s="1763"/>
      <c r="V132" s="1766"/>
      <c r="W132" s="1769"/>
      <c r="X132" s="1772"/>
      <c r="Y132" s="1775"/>
      <c r="Z132" s="1778"/>
      <c r="AA132" s="1772"/>
      <c r="AB132" s="1781"/>
      <c r="AC132" s="1772"/>
      <c r="AD132" s="1785"/>
      <c r="AE132" s="1772"/>
      <c r="AF132" s="1788"/>
      <c r="AG132" s="1791"/>
      <c r="AH132" s="397"/>
      <c r="AI132" s="591" t="s">
        <v>429</v>
      </c>
      <c r="AJ132" s="396"/>
      <c r="AK132" s="398"/>
      <c r="AL132" s="591" t="s">
        <v>429</v>
      </c>
      <c r="AM132" s="398"/>
      <c r="AN132" s="398"/>
      <c r="AO132" s="398"/>
      <c r="AP132" s="397"/>
    </row>
    <row r="133" spans="1:42" ht="16.149999999999999" hidden="1" customHeight="1" thickBot="1" x14ac:dyDescent="0.3">
      <c r="A133" s="1820"/>
      <c r="B133" s="613" t="s">
        <v>119</v>
      </c>
      <c r="C133" s="1046"/>
      <c r="D133" s="802" t="s">
        <v>1076</v>
      </c>
      <c r="E133" s="1799"/>
      <c r="F133" s="617">
        <f>'exchange rates'!$O$31</f>
        <v>112.66098</v>
      </c>
      <c r="G133" s="931"/>
      <c r="H133" s="613" t="s">
        <v>119</v>
      </c>
      <c r="I133" s="1046"/>
      <c r="J133" s="802" t="s">
        <v>1076</v>
      </c>
      <c r="K133" s="987"/>
      <c r="L133" s="567">
        <f>7640/F133</f>
        <v>67.814073692595258</v>
      </c>
      <c r="M133" s="560">
        <f>608/F133</f>
        <v>5.3967220949081041</v>
      </c>
      <c r="N133" s="568">
        <v>0</v>
      </c>
      <c r="O133" s="560">
        <v>0</v>
      </c>
      <c r="P133" s="569">
        <v>0</v>
      </c>
      <c r="Q133" s="560">
        <v>0</v>
      </c>
      <c r="R133" s="570" t="e">
        <f>Tabel6689212733[[#This Row],[landcode 3]]+Tabel6689212733[[#This Row],[VAT Sew. 2017]]+Tabel6689212733[[#This Row],[VAT WW 2017]]+Tabel6689212733[[#This Row],[VAT Other ch. 2017]]</f>
        <v>#VALUE!</v>
      </c>
      <c r="S133" s="571">
        <f>Tabel6689212733[[#This Row],[GDP 2017]]+Tabel6689212733[[#This Row],[Sew. 2017]]+Tabel6689212733[[#This Row],[VAT Sew. 2017]]+Tabel6689212733[[#This Row],[WW 2017]]+Tabel6689212733[[#This Row],[VAT WW 2017]]+Tabel6689212733[[#This Row],[Other ch. 2017]]+Tabel6689212733[[#This Row],[VAT Other ch. 2017]]</f>
        <v>73.210795787503358</v>
      </c>
      <c r="T133" s="397"/>
      <c r="U133" s="1801"/>
      <c r="V133" s="1803"/>
      <c r="W133" s="1805"/>
      <c r="X133" s="1773"/>
      <c r="Y133" s="1807"/>
      <c r="Z133" s="1809"/>
      <c r="AA133" s="1773"/>
      <c r="AB133" s="1782"/>
      <c r="AC133" s="1773"/>
      <c r="AD133" s="1786"/>
      <c r="AE133" s="1773"/>
      <c r="AF133" s="1789"/>
      <c r="AG133" s="1792"/>
      <c r="AH133" s="397"/>
      <c r="AI133" s="591" t="s">
        <v>429</v>
      </c>
      <c r="AJ133" s="396"/>
      <c r="AK133" s="398"/>
      <c r="AL133" s="591" t="s">
        <v>429</v>
      </c>
      <c r="AM133" s="398"/>
      <c r="AN133" s="398"/>
      <c r="AO133" s="398"/>
      <c r="AP133" s="397"/>
    </row>
    <row r="134" spans="1:42" ht="18.600000000000001" hidden="1" customHeight="1" thickBot="1" x14ac:dyDescent="0.3">
      <c r="A134" s="959" t="s">
        <v>742</v>
      </c>
      <c r="B134" s="260" t="s">
        <v>743</v>
      </c>
      <c r="C134" s="1049"/>
      <c r="D134" s="817" t="s">
        <v>1078</v>
      </c>
      <c r="E134" s="1014">
        <v>3300</v>
      </c>
      <c r="F134" s="307">
        <f>'exchange rates'!M32</f>
        <v>102.86302000000001</v>
      </c>
      <c r="G134" s="959" t="s">
        <v>742</v>
      </c>
      <c r="H134" s="260" t="s">
        <v>743</v>
      </c>
      <c r="I134" s="1049"/>
      <c r="J134" s="817" t="s">
        <v>1078</v>
      </c>
      <c r="K134" s="1014">
        <v>3300</v>
      </c>
      <c r="L134" s="322">
        <f>0</f>
        <v>0</v>
      </c>
      <c r="M134" s="559"/>
      <c r="N134" s="323">
        <f>3452.31/F134</f>
        <v>33.56220729276663</v>
      </c>
      <c r="O134" s="559"/>
      <c r="P134" s="324">
        <f>0</f>
        <v>0</v>
      </c>
      <c r="Q134" s="559"/>
      <c r="R134" s="317" t="e">
        <f>Tabel6689212733[[#This Row],[landcode 3]]+Tabel6689212733[[#This Row],[VAT Sew. 2017]]+Tabel6689212733[[#This Row],[VAT WW 2017]]+Tabel6689212733[[#This Row],[VAT Other ch. 2017]]</f>
        <v>#VALUE!</v>
      </c>
      <c r="S134" s="318">
        <f>Tabel6689212733[[#This Row],[GDP 2017]]+Tabel6689212733[[#This Row],[Sew. 2017]]+Tabel6689212733[[#This Row],[VAT Sew. 2017]]+Tabel6689212733[[#This Row],[WW 2017]]+Tabel6689212733[[#This Row],[VAT WW 2017]]+Tabel6689212733[[#This Row],[Other ch. 2017]]+Tabel6689212733[[#This Row],[VAT Other ch. 2017]]</f>
        <v>3333.5622072927667</v>
      </c>
      <c r="T134" s="397"/>
      <c r="U134" s="1016" t="str">
        <f>Tabel6689212733[[#This Row],[Country]]</f>
        <v>Kenya</v>
      </c>
      <c r="V134" s="1009" t="str">
        <f>Tabel6689212733[[#This Row],[City]]</f>
        <v>Kenya Average</v>
      </c>
      <c r="W134" s="1008">
        <f>Tabel6689212733[[#This Row],[capital]]</f>
        <v>0</v>
      </c>
      <c r="X134" s="576"/>
      <c r="Y134" s="991">
        <f>SUM(U134:W134)</f>
        <v>0</v>
      </c>
      <c r="Z134" s="1024">
        <f>Tabel6689212733[[#This Row],[Sew. 2017]]</f>
        <v>0</v>
      </c>
      <c r="AA134" s="576"/>
      <c r="AB134" s="1023">
        <f>Tabel6689212733[[#This Row],[WW 2017]]</f>
        <v>33.56220729276663</v>
      </c>
      <c r="AC134" s="576"/>
      <c r="AD134" s="973">
        <f>Tabel6689212733[[#This Row],[Other ch. 2017]]</f>
        <v>0</v>
      </c>
      <c r="AE134" s="576"/>
      <c r="AF134" s="1027" t="e">
        <f>Tabel6689212733[[#This Row],[Total VAT 2017]]</f>
        <v>#VALUE!</v>
      </c>
      <c r="AG134" s="1026" t="e">
        <f>SUM(Y134:AF134)</f>
        <v>#VALUE!</v>
      </c>
      <c r="AH134" s="397"/>
      <c r="AI134" s="396"/>
      <c r="AJ134" s="396" t="s">
        <v>429</v>
      </c>
      <c r="AK134" s="398"/>
      <c r="AL134" s="396" t="s">
        <v>429</v>
      </c>
      <c r="AM134" s="396" t="s">
        <v>429</v>
      </c>
      <c r="AN134" s="398"/>
      <c r="AO134" s="398" t="s">
        <v>745</v>
      </c>
      <c r="AP134" s="397"/>
    </row>
    <row r="135" spans="1:42" ht="18.75" hidden="1" customHeight="1" x14ac:dyDescent="0.25">
      <c r="A135" s="1833" t="s">
        <v>19</v>
      </c>
      <c r="B135" s="291" t="s">
        <v>120</v>
      </c>
      <c r="C135" s="1048"/>
      <c r="D135" s="805" t="s">
        <v>1080</v>
      </c>
      <c r="E135" s="2054">
        <v>18700</v>
      </c>
      <c r="F135" s="307">
        <v>2.6644800000000002</v>
      </c>
      <c r="G135" s="958" t="s">
        <v>19</v>
      </c>
      <c r="H135" s="291" t="s">
        <v>120</v>
      </c>
      <c r="I135" s="1048"/>
      <c r="J135" s="805" t="s">
        <v>1080</v>
      </c>
      <c r="K135" s="1010">
        <v>18700</v>
      </c>
      <c r="L135" s="322">
        <f>398/F135</f>
        <v>149.37248543805919</v>
      </c>
      <c r="M135" s="559"/>
      <c r="N135" s="323">
        <v>0</v>
      </c>
      <c r="O135" s="559"/>
      <c r="P135" s="324">
        <v>0</v>
      </c>
      <c r="Q135" s="559"/>
      <c r="R135" s="317" t="e">
        <f>Tabel6689212733[[#This Row],[landcode 3]]+Tabel6689212733[[#This Row],[VAT Sew. 2017]]+Tabel6689212733[[#This Row],[VAT WW 2017]]+Tabel6689212733[[#This Row],[VAT Other ch. 2017]]</f>
        <v>#VALUE!</v>
      </c>
      <c r="S135" s="318">
        <f>Tabel6689212733[[#This Row],[GDP 2017]]+Tabel6689212733[[#This Row],[Sew. 2017]]+Tabel6689212733[[#This Row],[VAT Sew. 2017]]+Tabel6689212733[[#This Row],[WW 2017]]+Tabel6689212733[[#This Row],[VAT WW 2017]]+Tabel6689212733[[#This Row],[Other ch. 2017]]+Tabel6689212733[[#This Row],[VAT Other ch. 2017]]</f>
        <v>18849.37248543806</v>
      </c>
      <c r="T135" s="397"/>
      <c r="U135" s="2057">
        <f>SUM(G135:G139)/5</f>
        <v>0</v>
      </c>
      <c r="V135" s="2059">
        <f>SUM(H135:H139)/5</f>
        <v>0</v>
      </c>
      <c r="W135" s="2061">
        <f>SUM(I135:I139)/5</f>
        <v>0</v>
      </c>
      <c r="X135" s="575"/>
      <c r="Y135" s="2063">
        <f>SUM(K135:K139)/5</f>
        <v>3740</v>
      </c>
      <c r="Z135" s="2065">
        <f>SUM(L135:L139)/5</f>
        <v>181.19858283792709</v>
      </c>
      <c r="AA135" s="575"/>
      <c r="AB135" s="2067">
        <f>SUM(N135:N139)/5</f>
        <v>0</v>
      </c>
      <c r="AC135" s="575"/>
      <c r="AD135" s="2069">
        <f>SUM(P135:P139)/5</f>
        <v>0</v>
      </c>
      <c r="AE135" s="575"/>
      <c r="AF135" s="2071" t="e">
        <f t="shared" ref="AF135:AG135" si="21">SUM(R135:R139)/5</f>
        <v>#VALUE!</v>
      </c>
      <c r="AG135" s="2049">
        <f t="shared" si="21"/>
        <v>3921.198582837927</v>
      </c>
      <c r="AH135" s="397"/>
      <c r="AI135" s="398"/>
      <c r="AJ135" s="398"/>
      <c r="AK135" s="398"/>
      <c r="AL135" s="398"/>
      <c r="AM135" s="396" t="s">
        <v>429</v>
      </c>
      <c r="AN135" s="398"/>
      <c r="AO135" s="398" t="s">
        <v>444</v>
      </c>
      <c r="AP135" s="397"/>
    </row>
    <row r="136" spans="1:42" ht="18.75" hidden="1" customHeight="1" x14ac:dyDescent="0.25">
      <c r="A136" s="1834"/>
      <c r="B136" s="269" t="s">
        <v>121</v>
      </c>
      <c r="C136" s="1048"/>
      <c r="D136" s="805" t="s">
        <v>1080</v>
      </c>
      <c r="E136" s="2055"/>
      <c r="F136" s="307">
        <v>2.6644800000000002</v>
      </c>
      <c r="G136" s="959"/>
      <c r="H136" s="269" t="s">
        <v>121</v>
      </c>
      <c r="I136" s="1048"/>
      <c r="J136" s="805" t="s">
        <v>1080</v>
      </c>
      <c r="K136" s="1011"/>
      <c r="L136" s="322">
        <f>468/F136</f>
        <v>175.64402810304449</v>
      </c>
      <c r="M136" s="559"/>
      <c r="N136" s="323">
        <v>0</v>
      </c>
      <c r="O136" s="559"/>
      <c r="P136" s="324">
        <v>0</v>
      </c>
      <c r="Q136" s="559"/>
      <c r="R136" s="317" t="e">
        <f>Tabel6689212733[[#This Row],[landcode 3]]+Tabel6689212733[[#This Row],[VAT Sew. 2017]]+Tabel6689212733[[#This Row],[VAT WW 2017]]+Tabel6689212733[[#This Row],[VAT Other ch. 2017]]</f>
        <v>#VALUE!</v>
      </c>
      <c r="S136" s="318">
        <f>Tabel6689212733[[#This Row],[GDP 2017]]+Tabel6689212733[[#This Row],[Sew. 2017]]+Tabel6689212733[[#This Row],[VAT Sew. 2017]]+Tabel6689212733[[#This Row],[WW 2017]]+Tabel6689212733[[#This Row],[VAT WW 2017]]+Tabel6689212733[[#This Row],[Other ch. 2017]]+Tabel6689212733[[#This Row],[VAT Other ch. 2017]]</f>
        <v>175.64402810304449</v>
      </c>
      <c r="T136" s="397"/>
      <c r="U136" s="2058"/>
      <c r="V136" s="2060"/>
      <c r="W136" s="2062"/>
      <c r="X136" s="576"/>
      <c r="Y136" s="2064"/>
      <c r="Z136" s="2066"/>
      <c r="AA136" s="576"/>
      <c r="AB136" s="2068"/>
      <c r="AC136" s="576"/>
      <c r="AD136" s="2070"/>
      <c r="AE136" s="576"/>
      <c r="AF136" s="2072"/>
      <c r="AG136" s="2050"/>
      <c r="AH136" s="397"/>
      <c r="AI136" s="398"/>
      <c r="AJ136" s="398"/>
      <c r="AK136" s="398"/>
      <c r="AL136" s="398"/>
      <c r="AM136" s="396" t="s">
        <v>429</v>
      </c>
      <c r="AN136" s="398"/>
      <c r="AO136" s="398" t="s">
        <v>444</v>
      </c>
      <c r="AP136" s="397"/>
    </row>
    <row r="137" spans="1:42" ht="18.75" hidden="1" customHeight="1" x14ac:dyDescent="0.25">
      <c r="A137" s="1834"/>
      <c r="B137" s="269" t="s">
        <v>122</v>
      </c>
      <c r="C137" s="1048"/>
      <c r="D137" s="805" t="s">
        <v>1080</v>
      </c>
      <c r="E137" s="2055"/>
      <c r="F137" s="307">
        <v>2.6644800000000002</v>
      </c>
      <c r="G137" s="959"/>
      <c r="H137" s="269" t="s">
        <v>122</v>
      </c>
      <c r="I137" s="1048"/>
      <c r="J137" s="805" t="s">
        <v>1080</v>
      </c>
      <c r="K137" s="1011"/>
      <c r="L137" s="322">
        <f>636/F137</f>
        <v>238.69573049900916</v>
      </c>
      <c r="M137" s="559"/>
      <c r="N137" s="323">
        <v>0</v>
      </c>
      <c r="O137" s="559"/>
      <c r="P137" s="324">
        <v>0</v>
      </c>
      <c r="Q137" s="559"/>
      <c r="R137" s="317" t="e">
        <f>Tabel6689212733[[#This Row],[landcode 3]]+Tabel6689212733[[#This Row],[VAT Sew. 2017]]+Tabel6689212733[[#This Row],[VAT WW 2017]]+Tabel6689212733[[#This Row],[VAT Other ch. 2017]]</f>
        <v>#VALUE!</v>
      </c>
      <c r="S137" s="318">
        <f>Tabel6689212733[[#This Row],[GDP 2017]]+Tabel6689212733[[#This Row],[Sew. 2017]]+Tabel6689212733[[#This Row],[VAT Sew. 2017]]+Tabel6689212733[[#This Row],[WW 2017]]+Tabel6689212733[[#This Row],[VAT WW 2017]]+Tabel6689212733[[#This Row],[Other ch. 2017]]+Tabel6689212733[[#This Row],[VAT Other ch. 2017]]</f>
        <v>238.69573049900916</v>
      </c>
      <c r="T137" s="397"/>
      <c r="U137" s="2058"/>
      <c r="V137" s="2060"/>
      <c r="W137" s="2062"/>
      <c r="X137" s="576"/>
      <c r="Y137" s="2064"/>
      <c r="Z137" s="2066"/>
      <c r="AA137" s="576"/>
      <c r="AB137" s="2068"/>
      <c r="AC137" s="576"/>
      <c r="AD137" s="2070"/>
      <c r="AE137" s="576"/>
      <c r="AF137" s="2072"/>
      <c r="AG137" s="2050"/>
      <c r="AH137" s="397"/>
      <c r="AI137" s="398"/>
      <c r="AJ137" s="398"/>
      <c r="AK137" s="398"/>
      <c r="AL137" s="398"/>
      <c r="AM137" s="396" t="s">
        <v>429</v>
      </c>
      <c r="AN137" s="398"/>
      <c r="AO137" s="398" t="s">
        <v>444</v>
      </c>
      <c r="AP137" s="397"/>
    </row>
    <row r="138" spans="1:42" ht="18.75" hidden="1" customHeight="1" x14ac:dyDescent="0.25">
      <c r="A138" s="1834"/>
      <c r="B138" s="269" t="s">
        <v>123</v>
      </c>
      <c r="C138" s="1048"/>
      <c r="D138" s="805" t="s">
        <v>1080</v>
      </c>
      <c r="E138" s="2055"/>
      <c r="F138" s="307">
        <v>2.6644800000000002</v>
      </c>
      <c r="G138" s="959"/>
      <c r="H138" s="269" t="s">
        <v>123</v>
      </c>
      <c r="I138" s="1048"/>
      <c r="J138" s="805" t="s">
        <v>1080</v>
      </c>
      <c r="K138" s="1011"/>
      <c r="L138" s="322">
        <f>526/F138</f>
        <v>197.41187773974659</v>
      </c>
      <c r="M138" s="559"/>
      <c r="N138" s="323">
        <v>0</v>
      </c>
      <c r="O138" s="559"/>
      <c r="P138" s="324">
        <v>0</v>
      </c>
      <c r="Q138" s="559"/>
      <c r="R138" s="317" t="e">
        <f>Tabel6689212733[[#This Row],[landcode 3]]+Tabel6689212733[[#This Row],[VAT Sew. 2017]]+Tabel6689212733[[#This Row],[VAT WW 2017]]+Tabel6689212733[[#This Row],[VAT Other ch. 2017]]</f>
        <v>#VALUE!</v>
      </c>
      <c r="S138" s="318">
        <f>Tabel6689212733[[#This Row],[GDP 2017]]+Tabel6689212733[[#This Row],[Sew. 2017]]+Tabel6689212733[[#This Row],[VAT Sew. 2017]]+Tabel6689212733[[#This Row],[WW 2017]]+Tabel6689212733[[#This Row],[VAT WW 2017]]+Tabel6689212733[[#This Row],[Other ch. 2017]]+Tabel6689212733[[#This Row],[VAT Other ch. 2017]]</f>
        <v>197.41187773974659</v>
      </c>
      <c r="T138" s="397"/>
      <c r="U138" s="2058"/>
      <c r="V138" s="2060"/>
      <c r="W138" s="2062"/>
      <c r="X138" s="576"/>
      <c r="Y138" s="2064"/>
      <c r="Z138" s="2066"/>
      <c r="AA138" s="576"/>
      <c r="AB138" s="2068"/>
      <c r="AC138" s="576"/>
      <c r="AD138" s="2070"/>
      <c r="AE138" s="576"/>
      <c r="AF138" s="2072"/>
      <c r="AG138" s="2050"/>
      <c r="AH138" s="397"/>
      <c r="AI138" s="398"/>
      <c r="AJ138" s="398"/>
      <c r="AK138" s="398"/>
      <c r="AL138" s="398"/>
      <c r="AM138" s="396" t="s">
        <v>429</v>
      </c>
      <c r="AN138" s="398"/>
      <c r="AO138" s="398" t="s">
        <v>444</v>
      </c>
      <c r="AP138" s="397"/>
    </row>
    <row r="139" spans="1:42" ht="19.5" hidden="1" customHeight="1" thickBot="1" x14ac:dyDescent="0.3">
      <c r="A139" s="1835"/>
      <c r="B139" s="290" t="s">
        <v>124</v>
      </c>
      <c r="C139" s="1048" t="s">
        <v>429</v>
      </c>
      <c r="D139" s="805" t="s">
        <v>1080</v>
      </c>
      <c r="E139" s="2056"/>
      <c r="F139" s="307">
        <v>2.6644800000000002</v>
      </c>
      <c r="G139" s="960"/>
      <c r="H139" s="290" t="s">
        <v>124</v>
      </c>
      <c r="I139" s="1048" t="s">
        <v>429</v>
      </c>
      <c r="J139" s="805" t="s">
        <v>1080</v>
      </c>
      <c r="K139" s="1012"/>
      <c r="L139" s="322">
        <f>386/F139</f>
        <v>144.86879240977601</v>
      </c>
      <c r="M139" s="559"/>
      <c r="N139" s="323">
        <v>0</v>
      </c>
      <c r="O139" s="559"/>
      <c r="P139" s="324">
        <v>0</v>
      </c>
      <c r="Q139" s="559"/>
      <c r="R139" s="317" t="e">
        <f>Tabel6689212733[[#This Row],[landcode 3]]+Tabel6689212733[[#This Row],[VAT Sew. 2017]]+Tabel6689212733[[#This Row],[VAT WW 2017]]+Tabel6689212733[[#This Row],[VAT Other ch. 2017]]</f>
        <v>#VALUE!</v>
      </c>
      <c r="S139" s="318">
        <f>Tabel6689212733[[#This Row],[GDP 2017]]+Tabel6689212733[[#This Row],[Sew. 2017]]+Tabel6689212733[[#This Row],[VAT Sew. 2017]]+Tabel6689212733[[#This Row],[WW 2017]]+Tabel6689212733[[#This Row],[VAT WW 2017]]+Tabel6689212733[[#This Row],[Other ch. 2017]]+Tabel6689212733[[#This Row],[VAT Other ch. 2017]]</f>
        <v>144.86879240977601</v>
      </c>
      <c r="T139" s="397"/>
      <c r="U139" s="1841"/>
      <c r="V139" s="1844"/>
      <c r="W139" s="1847"/>
      <c r="X139" s="577"/>
      <c r="Y139" s="1850"/>
      <c r="Z139" s="1853"/>
      <c r="AA139" s="577"/>
      <c r="AB139" s="1856"/>
      <c r="AC139" s="577"/>
      <c r="AD139" s="1859"/>
      <c r="AE139" s="577"/>
      <c r="AF139" s="1874"/>
      <c r="AG139" s="2051"/>
      <c r="AH139" s="397"/>
      <c r="AI139" s="398"/>
      <c r="AJ139" s="398"/>
      <c r="AK139" s="398"/>
      <c r="AL139" s="398"/>
      <c r="AM139" s="396" t="s">
        <v>429</v>
      </c>
      <c r="AN139" s="398"/>
      <c r="AO139" s="398" t="s">
        <v>444</v>
      </c>
      <c r="AP139" s="397"/>
    </row>
    <row r="140" spans="1:42" ht="16.149999999999999" hidden="1" customHeight="1" thickBot="1" x14ac:dyDescent="0.3">
      <c r="A140" s="270" t="s">
        <v>50</v>
      </c>
      <c r="B140" s="297"/>
      <c r="C140" s="1050"/>
      <c r="D140" s="817" t="s">
        <v>1082</v>
      </c>
      <c r="E140" s="303"/>
      <c r="F140" s="309"/>
      <c r="G140" s="270" t="s">
        <v>50</v>
      </c>
      <c r="H140" s="297"/>
      <c r="I140" s="1050"/>
      <c r="J140" s="817" t="s">
        <v>1082</v>
      </c>
      <c r="K140" s="303"/>
      <c r="L140" s="328"/>
      <c r="M140" s="561"/>
      <c r="N140" s="329"/>
      <c r="O140" s="561"/>
      <c r="P140" s="330"/>
      <c r="Q140" s="561"/>
      <c r="R140" s="317" t="e">
        <f>Tabel6689212733[[#This Row],[landcode 3]]+Tabel6689212733[[#This Row],[VAT Sew. 2017]]+Tabel6689212733[[#This Row],[VAT WW 2017]]+Tabel6689212733[[#This Row],[VAT Other ch. 2017]]</f>
        <v>#VALUE!</v>
      </c>
      <c r="S140" s="318">
        <f>Tabel6689212733[[#This Row],[GDP 2017]]+Tabel6689212733[[#This Row],[Sew. 2017]]+Tabel6689212733[[#This Row],[VAT Sew. 2017]]+Tabel6689212733[[#This Row],[WW 2017]]+Tabel6689212733[[#This Row],[VAT WW 2017]]+Tabel6689212733[[#This Row],[Other ch. 2017]]+Tabel6689212733[[#This Row],[VAT Other ch. 2017]]</f>
        <v>0</v>
      </c>
      <c r="T140" s="397"/>
      <c r="U140" s="349"/>
      <c r="V140" s="350"/>
      <c r="W140" s="351"/>
      <c r="X140" s="582"/>
      <c r="Y140" s="352"/>
      <c r="Z140" s="353"/>
      <c r="AA140" s="582"/>
      <c r="AB140" s="354"/>
      <c r="AC140" s="582"/>
      <c r="AD140" s="355"/>
      <c r="AE140" s="582"/>
      <c r="AF140" s="356"/>
      <c r="AG140" s="357"/>
      <c r="AH140" s="397"/>
      <c r="AI140" s="398"/>
      <c r="AJ140" s="398"/>
      <c r="AK140" s="398"/>
      <c r="AL140" s="398"/>
      <c r="AM140" s="398"/>
      <c r="AN140" s="398"/>
      <c r="AO140" s="398"/>
      <c r="AP140" s="397"/>
    </row>
    <row r="141" spans="1:42" ht="18.600000000000001" hidden="1" customHeight="1" thickBot="1" x14ac:dyDescent="0.35">
      <c r="A141" s="695" t="s">
        <v>586</v>
      </c>
      <c r="B141" s="696" t="s">
        <v>587</v>
      </c>
      <c r="C141" s="760"/>
      <c r="D141" s="812" t="s">
        <v>1084</v>
      </c>
      <c r="E141" s="697">
        <v>114400</v>
      </c>
      <c r="F141" s="616">
        <f>'exchange rates'!O37</f>
        <v>8.0445100000000007</v>
      </c>
      <c r="G141" s="695" t="s">
        <v>586</v>
      </c>
      <c r="H141" s="813" t="s">
        <v>587</v>
      </c>
      <c r="I141" s="760"/>
      <c r="J141" s="812" t="s">
        <v>1084</v>
      </c>
      <c r="K141" s="697">
        <v>114400</v>
      </c>
      <c r="L141" s="567">
        <v>0</v>
      </c>
      <c r="M141" s="560">
        <v>0</v>
      </c>
      <c r="N141" s="568">
        <v>0</v>
      </c>
      <c r="O141" s="560">
        <v>0</v>
      </c>
      <c r="P141" s="569">
        <v>0</v>
      </c>
      <c r="Q141" s="560">
        <v>0</v>
      </c>
      <c r="R141" s="570" t="e">
        <f>Tabel6689212733[[#This Row],[landcode 3]]+Tabel6689212733[[#This Row],[VAT Sew. 2017]]+Tabel6689212733[[#This Row],[VAT WW 2017]]+Tabel6689212733[[#This Row],[VAT Other ch. 2017]]</f>
        <v>#VALUE!</v>
      </c>
      <c r="S141" s="571">
        <f>Tabel6689212733[[#This Row],[GDP 2017]]+Tabel6689212733[[#This Row],[Sew. 2017]]+Tabel6689212733[[#This Row],[VAT Sew. 2017]]+Tabel6689212733[[#This Row],[WW 2017]]+Tabel6689212733[[#This Row],[VAT WW 2017]]+Tabel6689212733[[#This Row],[Other ch. 2017]]+Tabel6689212733[[#This Row],[VAT Other ch. 2017]]</f>
        <v>114400</v>
      </c>
      <c r="T141" s="397"/>
      <c r="U141" s="672">
        <v>0</v>
      </c>
      <c r="V141" s="673" t="str">
        <f>Tabel6689212733[[#This Row],[City]]</f>
        <v>Macao, China Average</v>
      </c>
      <c r="W141" s="674">
        <v>0</v>
      </c>
      <c r="X141" s="675">
        <v>0</v>
      </c>
      <c r="Y141" s="676">
        <f>Tabel6689212733[[#This Row],[GDP 2017]]</f>
        <v>114400</v>
      </c>
      <c r="Z141" s="677">
        <v>0</v>
      </c>
      <c r="AA141" s="675">
        <v>0</v>
      </c>
      <c r="AB141" s="678">
        <v>0</v>
      </c>
      <c r="AC141" s="675">
        <v>0</v>
      </c>
      <c r="AD141" s="679">
        <v>0</v>
      </c>
      <c r="AE141" s="675">
        <v>0</v>
      </c>
      <c r="AF141" s="680">
        <v>0</v>
      </c>
      <c r="AG141" s="681">
        <f>Tabel6689212733[[#This Row],[total charge 2017]]</f>
        <v>114400</v>
      </c>
      <c r="AH141" s="397"/>
      <c r="AI141" s="398"/>
      <c r="AJ141" s="396"/>
      <c r="AK141" s="398"/>
      <c r="AL141" s="591" t="s">
        <v>429</v>
      </c>
      <c r="AM141" s="398"/>
      <c r="AN141" s="398"/>
      <c r="AO141" s="398"/>
      <c r="AP141" s="397"/>
    </row>
    <row r="142" spans="1:42" ht="18.600000000000001" hidden="1" customHeight="1" thickBot="1" x14ac:dyDescent="0.35">
      <c r="A142" s="267" t="s">
        <v>36</v>
      </c>
      <c r="B142" s="261" t="s">
        <v>181</v>
      </c>
      <c r="C142" s="261"/>
      <c r="D142" s="808" t="s">
        <v>1086</v>
      </c>
      <c r="E142" s="301">
        <v>900</v>
      </c>
      <c r="F142" s="306">
        <v>163.83132000000001</v>
      </c>
      <c r="G142" s="267" t="s">
        <v>36</v>
      </c>
      <c r="H142" s="457" t="s">
        <v>181</v>
      </c>
      <c r="I142" s="457"/>
      <c r="J142" s="808" t="s">
        <v>1086</v>
      </c>
      <c r="K142" s="301">
        <v>900</v>
      </c>
      <c r="L142" s="322">
        <v>0</v>
      </c>
      <c r="M142" s="559"/>
      <c r="N142" s="323">
        <v>0</v>
      </c>
      <c r="O142" s="559"/>
      <c r="P142" s="324">
        <v>0</v>
      </c>
      <c r="Q142" s="559"/>
      <c r="R142" s="317" t="e">
        <f>Tabel6689212733[[#This Row],[landcode 3]]+Tabel6689212733[[#This Row],[VAT Sew. 2017]]+Tabel6689212733[[#This Row],[VAT WW 2017]]+Tabel6689212733[[#This Row],[VAT Other ch. 2017]]</f>
        <v>#VALUE!</v>
      </c>
      <c r="S142" s="318">
        <f>Tabel6689212733[[#This Row],[GDP 2017]]+Tabel6689212733[[#This Row],[Sew. 2017]]+Tabel6689212733[[#This Row],[VAT Sew. 2017]]+Tabel6689212733[[#This Row],[WW 2017]]+Tabel6689212733[[#This Row],[VAT WW 2017]]+Tabel6689212733[[#This Row],[Other ch. 2017]]+Tabel6689212733[[#This Row],[VAT Other ch. 2017]]</f>
        <v>900</v>
      </c>
      <c r="T142" s="397"/>
      <c r="U142" s="331" t="str">
        <f>Tabel6689212733[[#This Row],[Country]]</f>
        <v>Malawi</v>
      </c>
      <c r="V142" s="332" t="str">
        <f>Tabel6689212733[[#This Row],[City]]</f>
        <v>Blantyre</v>
      </c>
      <c r="W142" s="333">
        <v>0</v>
      </c>
      <c r="X142" s="574"/>
      <c r="Y142" s="334">
        <v>0</v>
      </c>
      <c r="Z142" s="335">
        <v>0</v>
      </c>
      <c r="AA142" s="574"/>
      <c r="AB142" s="336">
        <v>0</v>
      </c>
      <c r="AC142" s="574"/>
      <c r="AD142" s="337">
        <v>0</v>
      </c>
      <c r="AE142" s="574"/>
      <c r="AF142" s="338">
        <v>0</v>
      </c>
      <c r="AG142" s="339">
        <f>Tabel6689212733[[#This Row],[total charge 2017]]</f>
        <v>900</v>
      </c>
      <c r="AH142" s="397"/>
      <c r="AI142" s="398"/>
      <c r="AJ142" s="398"/>
      <c r="AK142" s="398"/>
      <c r="AL142" s="396" t="s">
        <v>429</v>
      </c>
      <c r="AM142" s="396" t="s">
        <v>429</v>
      </c>
      <c r="AN142" s="398"/>
      <c r="AO142" s="398"/>
      <c r="AP142" s="397"/>
    </row>
    <row r="143" spans="1:42" ht="18.600000000000001" hidden="1" customHeight="1" thickBot="1" x14ac:dyDescent="0.35">
      <c r="A143" s="669" t="s">
        <v>774</v>
      </c>
      <c r="B143" s="645" t="s">
        <v>775</v>
      </c>
      <c r="C143" s="751"/>
      <c r="D143" s="818" t="s">
        <v>1088</v>
      </c>
      <c r="E143" s="671">
        <v>42500</v>
      </c>
      <c r="F143" s="616">
        <f>'exchange rates'!O39</f>
        <v>0.83301000000000003</v>
      </c>
      <c r="G143" s="669" t="s">
        <v>774</v>
      </c>
      <c r="H143" s="776" t="s">
        <v>775</v>
      </c>
      <c r="I143" s="776"/>
      <c r="J143" s="818" t="s">
        <v>1088</v>
      </c>
      <c r="K143" s="671">
        <v>42500</v>
      </c>
      <c r="L143" s="567">
        <v>0</v>
      </c>
      <c r="M143" s="560">
        <v>0</v>
      </c>
      <c r="N143" s="568">
        <v>0</v>
      </c>
      <c r="O143" s="560">
        <v>0</v>
      </c>
      <c r="P143" s="569">
        <v>0</v>
      </c>
      <c r="Q143" s="560">
        <v>0</v>
      </c>
      <c r="R143" s="570" t="e">
        <f>Tabel6689212733[[#This Row],[landcode 3]]+Tabel6689212733[[#This Row],[VAT Sew. 2017]]+Tabel6689212733[[#This Row],[VAT WW 2017]]+Tabel6689212733[[#This Row],[VAT Other ch. 2017]]</f>
        <v>#VALUE!</v>
      </c>
      <c r="S143" s="571">
        <f>Tabel6689212733[[#This Row],[GDP 2017]]+Tabel6689212733[[#This Row],[Sew. 2017]]+Tabel6689212733[[#This Row],[VAT Sew. 2017]]+Tabel6689212733[[#This Row],[WW 2017]]+Tabel6689212733[[#This Row],[VAT WW 2017]]+Tabel6689212733[[#This Row],[Other ch. 2017]]+Tabel6689212733[[#This Row],[VAT Other ch. 2017]]</f>
        <v>42500</v>
      </c>
      <c r="T143" s="397"/>
      <c r="U143" s="672" t="str">
        <f>Tabel6689212733[[#This Row],[Country]]</f>
        <v>Malta</v>
      </c>
      <c r="V143" s="673" t="str">
        <f>Tabel6689212733[[#This Row],[City]]</f>
        <v>Malta Average</v>
      </c>
      <c r="W143" s="674">
        <f>Tabel6689212733[[#This Row],[capital]]</f>
        <v>0</v>
      </c>
      <c r="X143" s="675" t="str">
        <f>Tabel6689212733[[#This Row],[landcode 3]]</f>
        <v>MLT</v>
      </c>
      <c r="Y143" s="676">
        <f>Tabel6689212733[[#This Row],[GDP 2017]]</f>
        <v>42500</v>
      </c>
      <c r="Z143" s="677">
        <f>Tabel6689212733[[#This Row],[Sew. 2017]]</f>
        <v>0</v>
      </c>
      <c r="AA143" s="675">
        <f>Tabel6689212733[[#This Row],[VAT Sew. 2017]]</f>
        <v>0</v>
      </c>
      <c r="AB143" s="678">
        <f>Tabel6689212733[[#This Row],[WW 2017]]</f>
        <v>0</v>
      </c>
      <c r="AC143" s="675">
        <f>Tabel6689212733[[#This Row],[VAT WW 2017]]</f>
        <v>0</v>
      </c>
      <c r="AD143" s="679">
        <f>Tabel6689212733[[#This Row],[Other ch. 2017]]</f>
        <v>0</v>
      </c>
      <c r="AE143" s="675">
        <f>Tabel6689212733[[#This Row],[VAT Other ch. 2017]]</f>
        <v>0</v>
      </c>
      <c r="AF143" s="680" t="e">
        <f>Tabel6689212733[[#This Row],[Total VAT 2017]]</f>
        <v>#VALUE!</v>
      </c>
      <c r="AG143" s="681">
        <f>Tabel6689212733[[#This Row],[total charge 2017]]</f>
        <v>42500</v>
      </c>
      <c r="AH143" s="397"/>
      <c r="AI143" s="398"/>
      <c r="AJ143" s="398"/>
      <c r="AK143" s="398"/>
      <c r="AL143" s="591" t="s">
        <v>429</v>
      </c>
      <c r="AM143" s="591" t="s">
        <v>429</v>
      </c>
      <c r="AN143" s="398"/>
      <c r="AO143" s="398"/>
      <c r="AP143" s="397"/>
    </row>
    <row r="144" spans="1:42" ht="18.600000000000001" hidden="1" customHeight="1" thickBot="1" x14ac:dyDescent="0.35">
      <c r="A144" s="267" t="s">
        <v>37</v>
      </c>
      <c r="B144" s="526" t="s">
        <v>37</v>
      </c>
      <c r="C144" s="808"/>
      <c r="D144" s="808" t="s">
        <v>1090</v>
      </c>
      <c r="E144" s="301">
        <v>19500</v>
      </c>
      <c r="F144" s="306">
        <f>'exchange rates'!M40</f>
        <v>35.849890000000002</v>
      </c>
      <c r="G144" s="267" t="s">
        <v>37</v>
      </c>
      <c r="H144" s="814" t="s">
        <v>37</v>
      </c>
      <c r="I144" s="814"/>
      <c r="J144" s="808" t="s">
        <v>1090</v>
      </c>
      <c r="K144" s="301">
        <v>19500</v>
      </c>
      <c r="L144" s="322">
        <f>7.515/F144</f>
        <v>0.2096240741603391</v>
      </c>
      <c r="M144" s="559"/>
      <c r="N144" s="323">
        <f>1650/F144</f>
        <v>46.025245823627351</v>
      </c>
      <c r="O144" s="559"/>
      <c r="P144" s="324">
        <v>0</v>
      </c>
      <c r="Q144" s="559"/>
      <c r="R144" s="317" t="e">
        <f>Tabel6689212733[[#This Row],[landcode 3]]+Tabel6689212733[[#This Row],[VAT Sew. 2017]]+Tabel6689212733[[#This Row],[VAT WW 2017]]+Tabel6689212733[[#This Row],[VAT Other ch. 2017]]</f>
        <v>#VALUE!</v>
      </c>
      <c r="S144" s="318">
        <f>Tabel6689212733[[#This Row],[GDP 2017]]+Tabel6689212733[[#This Row],[Sew. 2017]]+Tabel6689212733[[#This Row],[VAT Sew. 2017]]+Tabel6689212733[[#This Row],[WW 2017]]+Tabel6689212733[[#This Row],[VAT WW 2017]]+Tabel6689212733[[#This Row],[Other ch. 2017]]+Tabel6689212733[[#This Row],[VAT Other ch. 2017]]</f>
        <v>19546.234869897788</v>
      </c>
      <c r="T144" s="397"/>
      <c r="U144" s="331" t="str">
        <f>Tabel6689212733[[#This Row],[Country]]</f>
        <v>Mauritius</v>
      </c>
      <c r="V144" s="332" t="str">
        <f>Tabel6689212733[[#This Row],[City]]</f>
        <v>Mauritius</v>
      </c>
      <c r="W144" s="333">
        <v>0</v>
      </c>
      <c r="X144" s="574"/>
      <c r="Y144" s="334">
        <f>Tabel6689212733[[#This Row],[GDP 2017]]</f>
        <v>19500</v>
      </c>
      <c r="Z144" s="335">
        <f>Tabel6689212733[[#This Row],[Sew. 2017]]</f>
        <v>0.2096240741603391</v>
      </c>
      <c r="AA144" s="574"/>
      <c r="AB144" s="336">
        <f>Tabel6689212733[[#This Row],[WW 2017]]</f>
        <v>46.025245823627351</v>
      </c>
      <c r="AC144" s="574"/>
      <c r="AD144" s="337">
        <v>0</v>
      </c>
      <c r="AE144" s="574"/>
      <c r="AF144" s="338">
        <v>0</v>
      </c>
      <c r="AG144" s="339">
        <f>Tabel6689212733[[#This Row],[total charge 2017]]</f>
        <v>19546.234869897788</v>
      </c>
      <c r="AH144" s="397"/>
      <c r="AI144" s="398"/>
      <c r="AJ144" s="398"/>
      <c r="AK144" s="398"/>
      <c r="AL144" s="396" t="s">
        <v>429</v>
      </c>
      <c r="AM144" s="398"/>
      <c r="AN144" s="398"/>
      <c r="AO144" s="398"/>
      <c r="AP144" s="397"/>
    </row>
    <row r="145" spans="1:42" ht="18" hidden="1" customHeight="1" x14ac:dyDescent="0.25">
      <c r="A145" s="1795" t="s">
        <v>38</v>
      </c>
      <c r="B145" s="659" t="s">
        <v>620</v>
      </c>
      <c r="C145" s="752"/>
      <c r="D145" s="816" t="s">
        <v>1092</v>
      </c>
      <c r="E145" s="1983">
        <v>19500</v>
      </c>
      <c r="F145" s="616">
        <f>'exchange rates'!$O$41</f>
        <v>19.670400000000001</v>
      </c>
      <c r="G145" s="940" t="s">
        <v>38</v>
      </c>
      <c r="H145" s="659" t="s">
        <v>620</v>
      </c>
      <c r="I145" s="752"/>
      <c r="J145" s="816" t="s">
        <v>1092</v>
      </c>
      <c r="K145" s="993">
        <v>19500</v>
      </c>
      <c r="L145" s="567">
        <v>0</v>
      </c>
      <c r="M145" s="560">
        <v>0</v>
      </c>
      <c r="N145" s="568">
        <f>460/F145</f>
        <v>23.385391247763135</v>
      </c>
      <c r="O145" s="560">
        <v>0</v>
      </c>
      <c r="P145" s="569">
        <v>0</v>
      </c>
      <c r="Q145" s="560">
        <v>0</v>
      </c>
      <c r="R145" s="570" t="e">
        <f>Tabel6689212733[[#This Row],[landcode 3]]+Tabel6689212733[[#This Row],[VAT Sew. 2017]]+Tabel6689212733[[#This Row],[VAT WW 2017]]+Tabel6689212733[[#This Row],[VAT Other ch. 2017]]</f>
        <v>#VALUE!</v>
      </c>
      <c r="S145" s="571">
        <f>Tabel6689212733[[#This Row],[GDP 2017]]+Tabel6689212733[[#This Row],[Sew. 2017]]+Tabel6689212733[[#This Row],[VAT Sew. 2017]]+Tabel6689212733[[#This Row],[WW 2017]]+Tabel6689212733[[#This Row],[VAT WW 2017]]+Tabel6689212733[[#This Row],[Other ch. 2017]]+Tabel6689212733[[#This Row],[VAT Other ch. 2017]]</f>
        <v>19523.385391247764</v>
      </c>
      <c r="T145" s="430"/>
      <c r="U145" s="1824" t="e">
        <f>MEDIAN(G145:G150)</f>
        <v>#NUM!</v>
      </c>
      <c r="V145" s="1825" t="e">
        <f>MEDIAN(H145:H150)</f>
        <v>#NUM!</v>
      </c>
      <c r="W145" s="1826" t="e">
        <f>MEDIAN(I145:I150)</f>
        <v>#NUM!</v>
      </c>
      <c r="X145" s="1908" t="e">
        <f>MEDIAN(J145:J150)</f>
        <v>#NUM!</v>
      </c>
      <c r="Y145" s="1827" t="e">
        <f>SUM(U145:X150)</f>
        <v>#NUM!</v>
      </c>
      <c r="Z145" s="1828">
        <f t="shared" ref="Z145:AF145" si="22">MEDIAN(L145:L150)</f>
        <v>0</v>
      </c>
      <c r="AA145" s="1908">
        <f t="shared" si="22"/>
        <v>0</v>
      </c>
      <c r="AB145" s="1829">
        <f t="shared" si="22"/>
        <v>8.6424272002602898</v>
      </c>
      <c r="AC145" s="1908">
        <f t="shared" si="22"/>
        <v>0</v>
      </c>
      <c r="AD145" s="1830">
        <f t="shared" si="22"/>
        <v>0</v>
      </c>
      <c r="AE145" s="1908">
        <f t="shared" si="22"/>
        <v>0</v>
      </c>
      <c r="AF145" s="1816" t="e">
        <f t="shared" si="22"/>
        <v>#VALUE!</v>
      </c>
      <c r="AG145" s="2052" t="e">
        <f>Y145+Z145+AA145+AB145+AC145+AD145+AE145</f>
        <v>#NUM!</v>
      </c>
      <c r="AH145" s="397"/>
      <c r="AI145" s="591" t="s">
        <v>429</v>
      </c>
      <c r="AJ145" s="591" t="s">
        <v>429</v>
      </c>
      <c r="AK145" s="591"/>
      <c r="AL145" s="591"/>
      <c r="AM145" s="591" t="s">
        <v>429</v>
      </c>
      <c r="AN145" s="591" t="s">
        <v>429</v>
      </c>
      <c r="AO145" s="398"/>
      <c r="AP145" s="397"/>
    </row>
    <row r="146" spans="1:42" ht="15.6" hidden="1" customHeight="1" x14ac:dyDescent="0.25">
      <c r="A146" s="1796"/>
      <c r="B146" s="657" t="s">
        <v>889</v>
      </c>
      <c r="C146" s="747" t="s">
        <v>429</v>
      </c>
      <c r="D146" s="815" t="s">
        <v>1092</v>
      </c>
      <c r="E146" s="1880"/>
      <c r="F146" s="616">
        <f>'exchange rates'!$O$41</f>
        <v>19.670400000000001</v>
      </c>
      <c r="G146" s="941"/>
      <c r="H146" s="657" t="s">
        <v>889</v>
      </c>
      <c r="I146" s="747" t="s">
        <v>429</v>
      </c>
      <c r="J146" s="815" t="s">
        <v>1092</v>
      </c>
      <c r="K146" s="999"/>
      <c r="L146" s="567">
        <v>0</v>
      </c>
      <c r="M146" s="560">
        <v>0</v>
      </c>
      <c r="N146" s="568">
        <v>0</v>
      </c>
      <c r="O146" s="560">
        <v>0</v>
      </c>
      <c r="P146" s="569">
        <v>0</v>
      </c>
      <c r="Q146" s="560">
        <v>0</v>
      </c>
      <c r="R146" s="570" t="e">
        <f>Tabel6689212733[[#This Row],[landcode 3]]+Tabel6689212733[[#This Row],[VAT Sew. 2017]]+Tabel6689212733[[#This Row],[VAT WW 2017]]+Tabel6689212733[[#This Row],[VAT Other ch. 2017]]</f>
        <v>#VALUE!</v>
      </c>
      <c r="S146" s="571">
        <f>Tabel6689212733[[#This Row],[GDP 2017]]+Tabel6689212733[[#This Row],[Sew. 2017]]+Tabel6689212733[[#This Row],[VAT Sew. 2017]]+Tabel6689212733[[#This Row],[WW 2017]]+Tabel6689212733[[#This Row],[VAT WW 2017]]+Tabel6689212733[[#This Row],[Other ch. 2017]]+Tabel6689212733[[#This Row],[VAT Other ch. 2017]]</f>
        <v>0</v>
      </c>
      <c r="T146" s="430"/>
      <c r="U146" s="1886"/>
      <c r="V146" s="1888"/>
      <c r="W146" s="1890"/>
      <c r="X146" s="1783"/>
      <c r="Y146" s="1892"/>
      <c r="Z146" s="1894"/>
      <c r="AA146" s="1783"/>
      <c r="AB146" s="1911"/>
      <c r="AC146" s="1783"/>
      <c r="AD146" s="1913"/>
      <c r="AE146" s="1783"/>
      <c r="AF146" s="1915"/>
      <c r="AG146" s="2053"/>
      <c r="AH146" s="397"/>
      <c r="AI146" s="396"/>
      <c r="AJ146" s="398"/>
      <c r="AK146" s="398"/>
      <c r="AL146" s="396"/>
      <c r="AM146" s="591" t="s">
        <v>429</v>
      </c>
      <c r="AN146" s="591" t="s">
        <v>429</v>
      </c>
      <c r="AO146" s="398"/>
      <c r="AP146" s="397"/>
    </row>
    <row r="147" spans="1:42" ht="15.6" hidden="1" customHeight="1" x14ac:dyDescent="0.25">
      <c r="A147" s="1796"/>
      <c r="B147" s="657" t="s">
        <v>621</v>
      </c>
      <c r="C147" s="747"/>
      <c r="D147" s="815" t="s">
        <v>1092</v>
      </c>
      <c r="E147" s="1760"/>
      <c r="F147" s="616">
        <f>'exchange rates'!$O$41</f>
        <v>19.670400000000001</v>
      </c>
      <c r="G147" s="941"/>
      <c r="H147" s="657" t="s">
        <v>621</v>
      </c>
      <c r="I147" s="747"/>
      <c r="J147" s="815" t="s">
        <v>1092</v>
      </c>
      <c r="K147" s="969"/>
      <c r="L147" s="567">
        <v>0</v>
      </c>
      <c r="M147" s="560">
        <v>0</v>
      </c>
      <c r="N147" s="568">
        <f>80/F147</f>
        <v>4.0670245648283716</v>
      </c>
      <c r="O147" s="560">
        <v>0</v>
      </c>
      <c r="P147" s="569">
        <v>0</v>
      </c>
      <c r="Q147" s="560">
        <v>0</v>
      </c>
      <c r="R147" s="570" t="e">
        <f>Tabel6689212733[[#This Row],[landcode 3]]+Tabel6689212733[[#This Row],[VAT Sew. 2017]]+Tabel6689212733[[#This Row],[VAT WW 2017]]+Tabel6689212733[[#This Row],[VAT Other ch. 2017]]</f>
        <v>#VALUE!</v>
      </c>
      <c r="S147" s="571">
        <f>Tabel6689212733[[#This Row],[GDP 2017]]+Tabel6689212733[[#This Row],[Sew. 2017]]+Tabel6689212733[[#This Row],[VAT Sew. 2017]]+Tabel6689212733[[#This Row],[WW 2017]]+Tabel6689212733[[#This Row],[VAT WW 2017]]+Tabel6689212733[[#This Row],[Other ch. 2017]]+Tabel6689212733[[#This Row],[VAT Other ch. 2017]]</f>
        <v>4.0670245648283716</v>
      </c>
      <c r="T147" s="430"/>
      <c r="U147" s="1886"/>
      <c r="V147" s="1888"/>
      <c r="W147" s="1890"/>
      <c r="X147" s="1783"/>
      <c r="Y147" s="1892"/>
      <c r="Z147" s="1894"/>
      <c r="AA147" s="1783"/>
      <c r="AB147" s="1911"/>
      <c r="AC147" s="1783"/>
      <c r="AD147" s="1913"/>
      <c r="AE147" s="1783"/>
      <c r="AF147" s="1915"/>
      <c r="AG147" s="2053"/>
      <c r="AH147" s="397"/>
      <c r="AI147" s="591" t="s">
        <v>429</v>
      </c>
      <c r="AJ147" s="398"/>
      <c r="AK147" s="398"/>
      <c r="AL147" s="396"/>
      <c r="AM147" s="591" t="s">
        <v>429</v>
      </c>
      <c r="AN147" s="591" t="s">
        <v>429</v>
      </c>
      <c r="AO147" s="398"/>
      <c r="AP147" s="397"/>
    </row>
    <row r="148" spans="1:42" ht="15.6" hidden="1" customHeight="1" x14ac:dyDescent="0.25">
      <c r="A148" s="1796"/>
      <c r="B148" s="657" t="s">
        <v>622</v>
      </c>
      <c r="C148" s="747"/>
      <c r="D148" s="815" t="s">
        <v>1092</v>
      </c>
      <c r="E148" s="1760"/>
      <c r="F148" s="616">
        <f>'exchange rates'!$O$41</f>
        <v>19.670400000000001</v>
      </c>
      <c r="G148" s="941"/>
      <c r="H148" s="657" t="s">
        <v>622</v>
      </c>
      <c r="I148" s="747"/>
      <c r="J148" s="815" t="s">
        <v>1092</v>
      </c>
      <c r="K148" s="969"/>
      <c r="L148" s="567">
        <v>0</v>
      </c>
      <c r="M148" s="560">
        <v>0</v>
      </c>
      <c r="N148" s="568">
        <v>0</v>
      </c>
      <c r="O148" s="560">
        <v>0</v>
      </c>
      <c r="P148" s="569">
        <v>0</v>
      </c>
      <c r="Q148" s="560">
        <v>0</v>
      </c>
      <c r="R148" s="570" t="e">
        <f>Tabel6689212733[[#This Row],[landcode 3]]+Tabel6689212733[[#This Row],[VAT Sew. 2017]]+Tabel6689212733[[#This Row],[VAT WW 2017]]+Tabel6689212733[[#This Row],[VAT Other ch. 2017]]</f>
        <v>#VALUE!</v>
      </c>
      <c r="S148" s="571">
        <f>Tabel6689212733[[#This Row],[GDP 2017]]+Tabel6689212733[[#This Row],[Sew. 2017]]+Tabel6689212733[[#This Row],[VAT Sew. 2017]]+Tabel6689212733[[#This Row],[WW 2017]]+Tabel6689212733[[#This Row],[VAT WW 2017]]+Tabel6689212733[[#This Row],[Other ch. 2017]]+Tabel6689212733[[#This Row],[VAT Other ch. 2017]]</f>
        <v>0</v>
      </c>
      <c r="T148" s="430"/>
      <c r="U148" s="1886"/>
      <c r="V148" s="1888"/>
      <c r="W148" s="1890"/>
      <c r="X148" s="1783"/>
      <c r="Y148" s="1892"/>
      <c r="Z148" s="1894"/>
      <c r="AA148" s="1783"/>
      <c r="AB148" s="1911"/>
      <c r="AC148" s="1783"/>
      <c r="AD148" s="1913"/>
      <c r="AE148" s="1783"/>
      <c r="AF148" s="1915"/>
      <c r="AG148" s="2053"/>
      <c r="AH148" s="397"/>
      <c r="AI148" s="396"/>
      <c r="AJ148" s="398"/>
      <c r="AK148" s="398"/>
      <c r="AL148" s="396"/>
      <c r="AM148" s="591" t="s">
        <v>429</v>
      </c>
      <c r="AN148" s="591" t="s">
        <v>429</v>
      </c>
      <c r="AO148" s="398"/>
      <c r="AP148" s="397"/>
    </row>
    <row r="149" spans="1:42" ht="15.6" hidden="1" customHeight="1" x14ac:dyDescent="0.25">
      <c r="A149" s="1796"/>
      <c r="B149" s="657" t="s">
        <v>623</v>
      </c>
      <c r="C149" s="747"/>
      <c r="D149" s="815" t="s">
        <v>1092</v>
      </c>
      <c r="E149" s="1760"/>
      <c r="F149" s="616">
        <f>'exchange rates'!$O$41</f>
        <v>19.670400000000001</v>
      </c>
      <c r="G149" s="941"/>
      <c r="H149" s="657" t="s">
        <v>623</v>
      </c>
      <c r="I149" s="747"/>
      <c r="J149" s="815" t="s">
        <v>1092</v>
      </c>
      <c r="K149" s="969"/>
      <c r="L149" s="567">
        <v>0</v>
      </c>
      <c r="M149" s="560">
        <v>0</v>
      </c>
      <c r="N149" s="568">
        <f>260/F149</f>
        <v>13.217829835692207</v>
      </c>
      <c r="O149" s="560">
        <v>0</v>
      </c>
      <c r="P149" s="569">
        <v>0</v>
      </c>
      <c r="Q149" s="560">
        <v>0</v>
      </c>
      <c r="R149" s="570" t="e">
        <f>Tabel6689212733[[#This Row],[landcode 3]]+Tabel6689212733[[#This Row],[VAT Sew. 2017]]+Tabel6689212733[[#This Row],[VAT WW 2017]]+Tabel6689212733[[#This Row],[VAT Other ch. 2017]]</f>
        <v>#VALUE!</v>
      </c>
      <c r="S149" s="571">
        <f>Tabel6689212733[[#This Row],[GDP 2017]]+Tabel6689212733[[#This Row],[Sew. 2017]]+Tabel6689212733[[#This Row],[VAT Sew. 2017]]+Tabel6689212733[[#This Row],[WW 2017]]+Tabel6689212733[[#This Row],[VAT WW 2017]]+Tabel6689212733[[#This Row],[Other ch. 2017]]+Tabel6689212733[[#This Row],[VAT Other ch. 2017]]</f>
        <v>13.217829835692207</v>
      </c>
      <c r="T149" s="430"/>
      <c r="U149" s="1886"/>
      <c r="V149" s="1888"/>
      <c r="W149" s="1890"/>
      <c r="X149" s="1783"/>
      <c r="Y149" s="1892"/>
      <c r="Z149" s="1894"/>
      <c r="AA149" s="1783"/>
      <c r="AB149" s="1911"/>
      <c r="AC149" s="1783"/>
      <c r="AD149" s="1913"/>
      <c r="AE149" s="1783"/>
      <c r="AF149" s="1915"/>
      <c r="AG149" s="2053"/>
      <c r="AH149" s="397"/>
      <c r="AI149" s="396"/>
      <c r="AJ149" s="398"/>
      <c r="AK149" s="398"/>
      <c r="AL149" s="396"/>
      <c r="AM149" s="591" t="s">
        <v>429</v>
      </c>
      <c r="AN149" s="591" t="s">
        <v>429</v>
      </c>
      <c r="AO149" s="398"/>
      <c r="AP149" s="397"/>
    </row>
    <row r="150" spans="1:42" ht="16.149999999999999" hidden="1" customHeight="1" thickBot="1" x14ac:dyDescent="0.3">
      <c r="A150" s="1797"/>
      <c r="B150" s="657" t="s">
        <v>624</v>
      </c>
      <c r="C150" s="747"/>
      <c r="D150" s="819" t="s">
        <v>1092</v>
      </c>
      <c r="E150" s="1761"/>
      <c r="F150" s="616">
        <f>'exchange rates'!$O$41</f>
        <v>19.670400000000001</v>
      </c>
      <c r="G150" s="942"/>
      <c r="H150" s="657" t="s">
        <v>624</v>
      </c>
      <c r="I150" s="747"/>
      <c r="J150" s="819" t="s">
        <v>1092</v>
      </c>
      <c r="K150" s="970"/>
      <c r="L150" s="567">
        <v>0</v>
      </c>
      <c r="M150" s="560">
        <v>0</v>
      </c>
      <c r="N150" s="568">
        <f>340/F150</f>
        <v>17.28485440052058</v>
      </c>
      <c r="O150" s="560">
        <v>0</v>
      </c>
      <c r="P150" s="569">
        <v>0</v>
      </c>
      <c r="Q150" s="560">
        <v>0</v>
      </c>
      <c r="R150" s="570" t="e">
        <f>Tabel6689212733[[#This Row],[landcode 3]]+Tabel6689212733[[#This Row],[VAT Sew. 2017]]+Tabel6689212733[[#This Row],[VAT WW 2017]]+Tabel6689212733[[#This Row],[VAT Other ch. 2017]]</f>
        <v>#VALUE!</v>
      </c>
      <c r="S150" s="571">
        <f>Tabel6689212733[[#This Row],[GDP 2017]]+Tabel6689212733[[#This Row],[Sew. 2017]]+Tabel6689212733[[#This Row],[VAT Sew. 2017]]+Tabel6689212733[[#This Row],[WW 2017]]+Tabel6689212733[[#This Row],[VAT WW 2017]]+Tabel6689212733[[#This Row],[Other ch. 2017]]+Tabel6689212733[[#This Row],[VAT Other ch. 2017]]</f>
        <v>17.28485440052058</v>
      </c>
      <c r="T150" s="430"/>
      <c r="U150" s="1764"/>
      <c r="V150" s="1767"/>
      <c r="W150" s="1770"/>
      <c r="X150" s="1773"/>
      <c r="Y150" s="1776"/>
      <c r="Z150" s="1779"/>
      <c r="AA150" s="1773"/>
      <c r="AB150" s="1811"/>
      <c r="AC150" s="1773"/>
      <c r="AD150" s="1813"/>
      <c r="AE150" s="1773"/>
      <c r="AF150" s="1815"/>
      <c r="AG150" s="1991"/>
      <c r="AH150" s="397"/>
      <c r="AI150" s="396"/>
      <c r="AJ150" s="398"/>
      <c r="AK150" s="398"/>
      <c r="AL150" s="396"/>
      <c r="AM150" s="591" t="s">
        <v>429</v>
      </c>
      <c r="AN150" s="591" t="s">
        <v>429</v>
      </c>
      <c r="AO150" s="398"/>
      <c r="AP150" s="397"/>
    </row>
    <row r="151" spans="1:42" ht="18" hidden="1" customHeight="1" x14ac:dyDescent="0.25">
      <c r="A151" s="2082" t="s">
        <v>39</v>
      </c>
      <c r="B151" s="271" t="s">
        <v>494</v>
      </c>
      <c r="C151" s="1051"/>
      <c r="D151" s="820" t="s">
        <v>1094</v>
      </c>
      <c r="E151" s="2085">
        <v>5100</v>
      </c>
      <c r="F151" s="306">
        <v>8.5832200000000007</v>
      </c>
      <c r="G151" s="964" t="s">
        <v>39</v>
      </c>
      <c r="H151" s="271" t="s">
        <v>494</v>
      </c>
      <c r="I151" s="1051"/>
      <c r="J151" s="820" t="s">
        <v>1094</v>
      </c>
      <c r="K151" s="1036">
        <v>5100</v>
      </c>
      <c r="L151" s="322">
        <f>343.44/F151</f>
        <v>40.012955510868878</v>
      </c>
      <c r="M151" s="559"/>
      <c r="N151" s="323">
        <v>0</v>
      </c>
      <c r="O151" s="559"/>
      <c r="P151" s="324">
        <v>0</v>
      </c>
      <c r="Q151" s="559"/>
      <c r="R151" s="317" t="e">
        <f>Tabel6689212733[[#This Row],[landcode 3]]+Tabel6689212733[[#This Row],[VAT Sew. 2017]]+Tabel6689212733[[#This Row],[VAT WW 2017]]+Tabel6689212733[[#This Row],[VAT Other ch. 2017]]</f>
        <v>#VALUE!</v>
      </c>
      <c r="S151" s="318">
        <f>Tabel6689212733[[#This Row],[GDP 2017]]+Tabel6689212733[[#This Row],[Sew. 2017]]+Tabel6689212733[[#This Row],[VAT Sew. 2017]]+Tabel6689212733[[#This Row],[WW 2017]]+Tabel6689212733[[#This Row],[VAT WW 2017]]+Tabel6689212733[[#This Row],[Other ch. 2017]]+Tabel6689212733[[#This Row],[VAT Other ch. 2017]]</f>
        <v>5140.0129555108688</v>
      </c>
      <c r="T151" s="397"/>
      <c r="U151" s="2087">
        <f>SUM(G151:G155)/5</f>
        <v>0</v>
      </c>
      <c r="V151" s="2089">
        <f>SUM(H151:H155)/5</f>
        <v>0</v>
      </c>
      <c r="W151" s="2090">
        <f>SUM(I151:I155)/5</f>
        <v>0</v>
      </c>
      <c r="X151" s="575"/>
      <c r="Y151" s="2091">
        <f>SUM(K151:K155)/5</f>
        <v>1020</v>
      </c>
      <c r="Z151" s="2092">
        <f>SUM(L151:L155)/5</f>
        <v>34.621971707587591</v>
      </c>
      <c r="AA151" s="575"/>
      <c r="AB151" s="2073">
        <f>SUM(N151:N155)/5</f>
        <v>0</v>
      </c>
      <c r="AC151" s="575"/>
      <c r="AD151" s="2074">
        <f>SUM(P151:P155)/5</f>
        <v>0</v>
      </c>
      <c r="AE151" s="575"/>
      <c r="AF151" s="2075" t="e">
        <f t="shared" ref="AF151:AG151" si="23">SUM(R151:R155)/5</f>
        <v>#VALUE!</v>
      </c>
      <c r="AG151" s="2076">
        <f t="shared" si="23"/>
        <v>1054.6219717075874</v>
      </c>
      <c r="AH151" s="397"/>
      <c r="AI151" s="398"/>
      <c r="AJ151" s="398"/>
      <c r="AK151" s="398"/>
      <c r="AL151" s="396" t="s">
        <v>429</v>
      </c>
      <c r="AM151" s="398"/>
      <c r="AN151" s="398"/>
      <c r="AO151" s="398"/>
      <c r="AP151" s="397"/>
    </row>
    <row r="152" spans="1:42" ht="18" hidden="1" customHeight="1" x14ac:dyDescent="0.25">
      <c r="A152" s="2083"/>
      <c r="B152" s="272" t="s">
        <v>495</v>
      </c>
      <c r="C152" s="764" t="s">
        <v>429</v>
      </c>
      <c r="D152" s="821" t="s">
        <v>1094</v>
      </c>
      <c r="E152" s="2086"/>
      <c r="F152" s="306">
        <v>8.5832200000000007</v>
      </c>
      <c r="G152" s="965"/>
      <c r="H152" s="272" t="s">
        <v>495</v>
      </c>
      <c r="I152" s="764" t="s">
        <v>429</v>
      </c>
      <c r="J152" s="821" t="s">
        <v>1094</v>
      </c>
      <c r="K152" s="995"/>
      <c r="L152" s="322">
        <f>328.8/F152</f>
        <v>38.307301921656439</v>
      </c>
      <c r="M152" s="559"/>
      <c r="N152" s="323">
        <v>0</v>
      </c>
      <c r="O152" s="559"/>
      <c r="P152" s="324">
        <v>0</v>
      </c>
      <c r="Q152" s="559"/>
      <c r="R152" s="317" t="e">
        <f>Tabel6689212733[[#This Row],[landcode 3]]+Tabel6689212733[[#This Row],[VAT Sew. 2017]]+Tabel6689212733[[#This Row],[VAT WW 2017]]+Tabel6689212733[[#This Row],[VAT Other ch. 2017]]</f>
        <v>#VALUE!</v>
      </c>
      <c r="S152" s="318">
        <f>Tabel6689212733[[#This Row],[GDP 2017]]+Tabel6689212733[[#This Row],[Sew. 2017]]+Tabel6689212733[[#This Row],[VAT Sew. 2017]]+Tabel6689212733[[#This Row],[WW 2017]]+Tabel6689212733[[#This Row],[VAT WW 2017]]+Tabel6689212733[[#This Row],[Other ch. 2017]]+Tabel6689212733[[#This Row],[VAT Other ch. 2017]]</f>
        <v>38.307301921656439</v>
      </c>
      <c r="T152" s="397"/>
      <c r="U152" s="2058"/>
      <c r="V152" s="2060"/>
      <c r="W152" s="2062"/>
      <c r="X152" s="576"/>
      <c r="Y152" s="2064"/>
      <c r="Z152" s="2066"/>
      <c r="AA152" s="576"/>
      <c r="AB152" s="2068"/>
      <c r="AC152" s="576"/>
      <c r="AD152" s="2070"/>
      <c r="AE152" s="576"/>
      <c r="AF152" s="2072"/>
      <c r="AG152" s="2077"/>
      <c r="AH152" s="397"/>
      <c r="AI152" s="398"/>
      <c r="AJ152" s="398"/>
      <c r="AK152" s="398"/>
      <c r="AL152" s="396" t="s">
        <v>429</v>
      </c>
      <c r="AM152" s="398"/>
      <c r="AN152" s="398"/>
      <c r="AO152" s="398"/>
      <c r="AP152" s="397"/>
    </row>
    <row r="153" spans="1:42" ht="18" hidden="1" customHeight="1" x14ac:dyDescent="0.25">
      <c r="A153" s="2083"/>
      <c r="B153" s="272" t="s">
        <v>496</v>
      </c>
      <c r="C153" s="764"/>
      <c r="D153" s="821" t="s">
        <v>1094</v>
      </c>
      <c r="E153" s="2086"/>
      <c r="F153" s="306">
        <v>8.5832200000000007</v>
      </c>
      <c r="G153" s="965"/>
      <c r="H153" s="272" t="s">
        <v>496</v>
      </c>
      <c r="I153" s="764"/>
      <c r="J153" s="821" t="s">
        <v>1094</v>
      </c>
      <c r="K153" s="995"/>
      <c r="L153" s="322">
        <f>223.4/F153</f>
        <v>26.027528130468518</v>
      </c>
      <c r="M153" s="559"/>
      <c r="N153" s="323">
        <v>0</v>
      </c>
      <c r="O153" s="559"/>
      <c r="P153" s="324">
        <v>0</v>
      </c>
      <c r="Q153" s="559"/>
      <c r="R153" s="317" t="e">
        <f>Tabel6689212733[[#This Row],[landcode 3]]+Tabel6689212733[[#This Row],[VAT Sew. 2017]]+Tabel6689212733[[#This Row],[VAT WW 2017]]+Tabel6689212733[[#This Row],[VAT Other ch. 2017]]</f>
        <v>#VALUE!</v>
      </c>
      <c r="S153" s="318">
        <f>Tabel6689212733[[#This Row],[GDP 2017]]+Tabel6689212733[[#This Row],[Sew. 2017]]+Tabel6689212733[[#This Row],[VAT Sew. 2017]]+Tabel6689212733[[#This Row],[WW 2017]]+Tabel6689212733[[#This Row],[VAT WW 2017]]+Tabel6689212733[[#This Row],[Other ch. 2017]]+Tabel6689212733[[#This Row],[VAT Other ch. 2017]]</f>
        <v>26.027528130468518</v>
      </c>
      <c r="T153" s="397"/>
      <c r="U153" s="2058"/>
      <c r="V153" s="2060"/>
      <c r="W153" s="2062"/>
      <c r="X153" s="576"/>
      <c r="Y153" s="2064"/>
      <c r="Z153" s="2066"/>
      <c r="AA153" s="576"/>
      <c r="AB153" s="2068"/>
      <c r="AC153" s="576"/>
      <c r="AD153" s="2070"/>
      <c r="AE153" s="576"/>
      <c r="AF153" s="2072"/>
      <c r="AG153" s="2077"/>
      <c r="AH153" s="397"/>
      <c r="AI153" s="398"/>
      <c r="AJ153" s="398"/>
      <c r="AK153" s="398"/>
      <c r="AL153" s="396" t="s">
        <v>429</v>
      </c>
      <c r="AM153" s="398"/>
      <c r="AN153" s="398"/>
      <c r="AO153" s="398"/>
      <c r="AP153" s="397"/>
    </row>
    <row r="154" spans="1:42" ht="18" hidden="1" customHeight="1" x14ac:dyDescent="0.25">
      <c r="A154" s="2083"/>
      <c r="B154" s="272" t="s">
        <v>497</v>
      </c>
      <c r="C154" s="764"/>
      <c r="D154" s="821" t="s">
        <v>1094</v>
      </c>
      <c r="E154" s="2086"/>
      <c r="F154" s="306">
        <v>8.5832200000000007</v>
      </c>
      <c r="G154" s="965"/>
      <c r="H154" s="272" t="s">
        <v>497</v>
      </c>
      <c r="I154" s="764"/>
      <c r="J154" s="821" t="s">
        <v>1094</v>
      </c>
      <c r="K154" s="995"/>
      <c r="L154" s="322">
        <f>233.08/F154</f>
        <v>27.155310011860351</v>
      </c>
      <c r="M154" s="559"/>
      <c r="N154" s="323">
        <v>0</v>
      </c>
      <c r="O154" s="559"/>
      <c r="P154" s="324">
        <v>0</v>
      </c>
      <c r="Q154" s="559"/>
      <c r="R154" s="317" t="e">
        <f>Tabel6689212733[[#This Row],[landcode 3]]+Tabel6689212733[[#This Row],[VAT Sew. 2017]]+Tabel6689212733[[#This Row],[VAT WW 2017]]+Tabel6689212733[[#This Row],[VAT Other ch. 2017]]</f>
        <v>#VALUE!</v>
      </c>
      <c r="S154" s="318">
        <f>Tabel6689212733[[#This Row],[GDP 2017]]+Tabel6689212733[[#This Row],[Sew. 2017]]+Tabel6689212733[[#This Row],[VAT Sew. 2017]]+Tabel6689212733[[#This Row],[WW 2017]]+Tabel6689212733[[#This Row],[VAT WW 2017]]+Tabel6689212733[[#This Row],[Other ch. 2017]]+Tabel6689212733[[#This Row],[VAT Other ch. 2017]]</f>
        <v>27.155310011860351</v>
      </c>
      <c r="T154" s="397"/>
      <c r="U154" s="2058"/>
      <c r="V154" s="2060"/>
      <c r="W154" s="2062"/>
      <c r="X154" s="576"/>
      <c r="Y154" s="2064"/>
      <c r="Z154" s="2066"/>
      <c r="AA154" s="576"/>
      <c r="AB154" s="2068"/>
      <c r="AC154" s="576"/>
      <c r="AD154" s="2070"/>
      <c r="AE154" s="576"/>
      <c r="AF154" s="2072"/>
      <c r="AG154" s="2077"/>
      <c r="AH154" s="397"/>
      <c r="AI154" s="398"/>
      <c r="AJ154" s="398"/>
      <c r="AK154" s="398"/>
      <c r="AL154" s="396" t="s">
        <v>429</v>
      </c>
      <c r="AM154" s="398"/>
      <c r="AN154" s="398"/>
      <c r="AO154" s="398"/>
      <c r="AP154" s="397"/>
    </row>
    <row r="155" spans="1:42" ht="18.600000000000001" hidden="1" customHeight="1" thickBot="1" x14ac:dyDescent="0.3">
      <c r="A155" s="2084"/>
      <c r="B155" s="273" t="s">
        <v>498</v>
      </c>
      <c r="C155" s="1052"/>
      <c r="D155" s="822" t="s">
        <v>1094</v>
      </c>
      <c r="E155" s="2008"/>
      <c r="F155" s="306">
        <v>8.5832200000000007</v>
      </c>
      <c r="G155" s="966"/>
      <c r="H155" s="273" t="s">
        <v>498</v>
      </c>
      <c r="I155" s="1052"/>
      <c r="J155" s="822" t="s">
        <v>1094</v>
      </c>
      <c r="K155" s="1032"/>
      <c r="L155" s="322">
        <f>357.12/F155</f>
        <v>41.606762963083781</v>
      </c>
      <c r="M155" s="559"/>
      <c r="N155" s="323">
        <v>0</v>
      </c>
      <c r="O155" s="559"/>
      <c r="P155" s="324">
        <v>0</v>
      </c>
      <c r="Q155" s="559"/>
      <c r="R155" s="317" t="e">
        <f>Tabel6689212733[[#This Row],[landcode 3]]+Tabel6689212733[[#This Row],[VAT Sew. 2017]]+Tabel6689212733[[#This Row],[VAT WW 2017]]+Tabel6689212733[[#This Row],[VAT Other ch. 2017]]</f>
        <v>#VALUE!</v>
      </c>
      <c r="S155" s="318">
        <f>Tabel6689212733[[#This Row],[GDP 2017]]+Tabel6689212733[[#This Row],[Sew. 2017]]+Tabel6689212733[[#This Row],[VAT Sew. 2017]]+Tabel6689212733[[#This Row],[WW 2017]]+Tabel6689212733[[#This Row],[VAT WW 2017]]+Tabel6689212733[[#This Row],[Other ch. 2017]]+Tabel6689212733[[#This Row],[VAT Other ch. 2017]]</f>
        <v>41.606762963083781</v>
      </c>
      <c r="T155" s="397"/>
      <c r="U155" s="2088"/>
      <c r="V155" s="2013"/>
      <c r="W155" s="2015"/>
      <c r="X155" s="577"/>
      <c r="Y155" s="2017"/>
      <c r="Z155" s="2019"/>
      <c r="AA155" s="577"/>
      <c r="AB155" s="2021"/>
      <c r="AC155" s="577"/>
      <c r="AD155" s="2030"/>
      <c r="AE155" s="577"/>
      <c r="AF155" s="1993"/>
      <c r="AG155" s="1995"/>
      <c r="AH155" s="397"/>
      <c r="AI155" s="398"/>
      <c r="AJ155" s="398"/>
      <c r="AK155" s="398"/>
      <c r="AL155" s="396" t="s">
        <v>429</v>
      </c>
      <c r="AM155" s="398"/>
      <c r="AN155" s="398"/>
      <c r="AO155" s="398"/>
      <c r="AP155" s="397"/>
    </row>
    <row r="156" spans="1:42" ht="18.600000000000001" hidden="1" customHeight="1" thickBot="1" x14ac:dyDescent="0.3">
      <c r="A156" s="961" t="s">
        <v>734</v>
      </c>
      <c r="B156" s="260" t="s">
        <v>735</v>
      </c>
      <c r="C156" s="1049"/>
      <c r="D156" s="817" t="s">
        <v>1104</v>
      </c>
      <c r="E156" s="1041">
        <v>11300</v>
      </c>
      <c r="F156" s="306">
        <f>'exchange rates'!M43</f>
        <v>15.682219999999999</v>
      </c>
      <c r="G156" s="961" t="s">
        <v>734</v>
      </c>
      <c r="H156" s="260" t="s">
        <v>735</v>
      </c>
      <c r="I156" s="1049"/>
      <c r="J156" s="817" t="s">
        <v>1104</v>
      </c>
      <c r="K156" s="1041">
        <v>11300</v>
      </c>
      <c r="L156" s="322"/>
      <c r="M156" s="559"/>
      <c r="N156" s="323"/>
      <c r="O156" s="559"/>
      <c r="P156" s="324"/>
      <c r="Q156" s="559"/>
      <c r="R156" s="317" t="e">
        <f>Tabel6689212733[[#This Row],[landcode 3]]+Tabel6689212733[[#This Row],[VAT Sew. 2017]]+Tabel6689212733[[#This Row],[VAT WW 2017]]+Tabel6689212733[[#This Row],[VAT Other ch. 2017]]</f>
        <v>#VALUE!</v>
      </c>
      <c r="S156" s="318">
        <f>Tabel6689212733[[#This Row],[GDP 2017]]+Tabel6689212733[[#This Row],[Sew. 2017]]+Tabel6689212733[[#This Row],[VAT Sew. 2017]]+Tabel6689212733[[#This Row],[WW 2017]]+Tabel6689212733[[#This Row],[VAT WW 2017]]+Tabel6689212733[[#This Row],[Other ch. 2017]]+Tabel6689212733[[#This Row],[VAT Other ch. 2017]]</f>
        <v>11300</v>
      </c>
      <c r="T156" s="397"/>
      <c r="U156" s="992"/>
      <c r="V156" s="1043"/>
      <c r="W156" s="1042"/>
      <c r="X156" s="576"/>
      <c r="Y156" s="977"/>
      <c r="Z156" s="978"/>
      <c r="AA156" s="576"/>
      <c r="AB156" s="980"/>
      <c r="AC156" s="576"/>
      <c r="AD156" s="976"/>
      <c r="AE156" s="576"/>
      <c r="AF156" s="1028"/>
      <c r="AG156" s="1044"/>
      <c r="AH156" s="397"/>
      <c r="AI156" s="398"/>
      <c r="AJ156" s="398"/>
      <c r="AK156" s="398"/>
      <c r="AL156" s="396"/>
      <c r="AM156" s="398"/>
      <c r="AN156" s="398"/>
      <c r="AO156" s="398"/>
      <c r="AP156" s="397"/>
    </row>
    <row r="157" spans="1:42" ht="15.75" hidden="1" customHeight="1" x14ac:dyDescent="0.25">
      <c r="A157" s="2078" t="s">
        <v>20</v>
      </c>
      <c r="B157" s="631" t="s">
        <v>182</v>
      </c>
      <c r="C157" s="631" t="s">
        <v>429</v>
      </c>
      <c r="D157" s="631" t="s">
        <v>1106</v>
      </c>
      <c r="E157" s="1966">
        <v>53600</v>
      </c>
      <c r="F157" s="616">
        <f>'exchange rates'!$O$44</f>
        <v>0.83301000000000003</v>
      </c>
      <c r="G157" s="1033" t="s">
        <v>20</v>
      </c>
      <c r="H157" s="631" t="s">
        <v>182</v>
      </c>
      <c r="I157" s="631" t="s">
        <v>429</v>
      </c>
      <c r="J157" s="631" t="s">
        <v>1106</v>
      </c>
      <c r="K157" s="988">
        <v>53600</v>
      </c>
      <c r="L157" s="567">
        <f>128/F157</f>
        <v>153.65961993253381</v>
      </c>
      <c r="M157" s="560">
        <f>0</f>
        <v>0</v>
      </c>
      <c r="N157" s="568">
        <f>157.95/F157</f>
        <v>189.61357006518529</v>
      </c>
      <c r="O157" s="560">
        <v>0</v>
      </c>
      <c r="P157" s="569">
        <f>33.6/F157</f>
        <v>40.335650232290128</v>
      </c>
      <c r="Q157" s="560">
        <f>2.02/F157</f>
        <v>2.4249408770602994</v>
      </c>
      <c r="R157" s="570" t="e">
        <f>Tabel6689212733[[#This Row],[landcode 3]]+Tabel6689212733[[#This Row],[VAT Sew. 2017]]+Tabel6689212733[[#This Row],[VAT WW 2017]]+Tabel6689212733[[#This Row],[VAT Other ch. 2017]]</f>
        <v>#VALUE!</v>
      </c>
      <c r="S157" s="571">
        <f>Tabel6689212733[[#This Row],[GDP 2017]]+Tabel6689212733[[#This Row],[Sew. 2017]]+Tabel6689212733[[#This Row],[VAT Sew. 2017]]+Tabel6689212733[[#This Row],[WW 2017]]+Tabel6689212733[[#This Row],[VAT WW 2017]]+Tabel6689212733[[#This Row],[Other ch. 2017]]+Tabel6689212733[[#This Row],[VAT Other ch. 2017]]</f>
        <v>53986.033781107079</v>
      </c>
      <c r="T157" s="397"/>
      <c r="U157" s="2080" t="e">
        <f>MEDIAN(G157:G161)</f>
        <v>#NUM!</v>
      </c>
      <c r="V157" s="1825" t="e">
        <f>MEDIAN(H157:H161)</f>
        <v>#NUM!</v>
      </c>
      <c r="W157" s="1826" t="e">
        <f>MEDIAN(I157:I161)</f>
        <v>#NUM!</v>
      </c>
      <c r="X157" s="1771" t="e">
        <f>MEDIAN(J157:J161)</f>
        <v>#NUM!</v>
      </c>
      <c r="Y157" s="1827" t="e">
        <f>SUM(U157:X161)</f>
        <v>#NUM!</v>
      </c>
      <c r="Z157" s="1828">
        <f t="shared" ref="Z157" si="24">MEDIAN(L157:L161)</f>
        <v>172.86707242410054</v>
      </c>
      <c r="AA157" s="1771">
        <f>MEDIAN(M157:M161)</f>
        <v>0</v>
      </c>
      <c r="AB157" s="1829">
        <f t="shared" ref="AB157" si="25">MEDIAN(N157:N161)</f>
        <v>191.94247367978772</v>
      </c>
      <c r="AC157" s="1771">
        <f>MEDIAN(O157:O161)</f>
        <v>0</v>
      </c>
      <c r="AD157" s="1830">
        <f t="shared" ref="AD157" si="26">MEDIAN(P157:P161)</f>
        <v>40.335650232290128</v>
      </c>
      <c r="AE157" s="1771">
        <f>MEDIAN(Q157:Q161)</f>
        <v>2.4249408770602994</v>
      </c>
      <c r="AF157" s="1816" t="e">
        <f t="shared" ref="AF157" si="27">MEDIAN(R157:R161)</f>
        <v>#VALUE!</v>
      </c>
      <c r="AG157" s="1817" t="e">
        <f>Y157+Z157+AA157+AB157+AC157+AD157+AE157</f>
        <v>#NUM!</v>
      </c>
      <c r="AH157" s="397"/>
      <c r="AI157" s="591" t="s">
        <v>429</v>
      </c>
      <c r="AJ157" s="591" t="s">
        <v>429</v>
      </c>
      <c r="AK157" s="591"/>
      <c r="AL157" s="591"/>
      <c r="AM157" s="591" t="s">
        <v>429</v>
      </c>
      <c r="AN157" s="591"/>
      <c r="AO157" s="712" t="s">
        <v>925</v>
      </c>
      <c r="AP157" s="397"/>
    </row>
    <row r="158" spans="1:42" ht="15.75" hidden="1" customHeight="1" x14ac:dyDescent="0.25">
      <c r="A158" s="2079"/>
      <c r="B158" s="631" t="s">
        <v>183</v>
      </c>
      <c r="C158" s="631"/>
      <c r="D158" s="631" t="s">
        <v>1106</v>
      </c>
      <c r="E158" s="1967"/>
      <c r="F158" s="616">
        <f>'exchange rates'!$O$44</f>
        <v>0.83301000000000003</v>
      </c>
      <c r="G158" s="1034"/>
      <c r="H158" s="631" t="s">
        <v>183</v>
      </c>
      <c r="I158" s="631"/>
      <c r="J158" s="631" t="s">
        <v>1106</v>
      </c>
      <c r="K158" s="986"/>
      <c r="L158" s="567">
        <f>190/F158</f>
        <v>228.08849833735488</v>
      </c>
      <c r="M158" s="560">
        <v>0</v>
      </c>
      <c r="N158" s="568">
        <f>159.89/F158</f>
        <v>191.94247367978772</v>
      </c>
      <c r="O158" s="560">
        <v>0</v>
      </c>
      <c r="P158" s="569">
        <f>33.6/F158</f>
        <v>40.335650232290128</v>
      </c>
      <c r="Q158" s="560">
        <f t="shared" ref="Q158:Q161" si="28">2.02/F158</f>
        <v>2.4249408770602994</v>
      </c>
      <c r="R158" s="570" t="e">
        <f>Tabel6689212733[[#This Row],[landcode 3]]+Tabel6689212733[[#This Row],[VAT Sew. 2017]]+Tabel6689212733[[#This Row],[VAT WW 2017]]+Tabel6689212733[[#This Row],[VAT Other ch. 2017]]</f>
        <v>#VALUE!</v>
      </c>
      <c r="S158" s="571">
        <f>Tabel6689212733[[#This Row],[GDP 2017]]+Tabel6689212733[[#This Row],[Sew. 2017]]+Tabel6689212733[[#This Row],[VAT Sew. 2017]]+Tabel6689212733[[#This Row],[WW 2017]]+Tabel6689212733[[#This Row],[VAT WW 2017]]+Tabel6689212733[[#This Row],[Other ch. 2017]]+Tabel6689212733[[#This Row],[VAT Other ch. 2017]]</f>
        <v>462.79156312649303</v>
      </c>
      <c r="T158" s="397"/>
      <c r="U158" s="2081"/>
      <c r="V158" s="1766"/>
      <c r="W158" s="1769"/>
      <c r="X158" s="1772"/>
      <c r="Y158" s="1775"/>
      <c r="Z158" s="1778"/>
      <c r="AA158" s="1772"/>
      <c r="AB158" s="1781"/>
      <c r="AC158" s="1772"/>
      <c r="AD158" s="1785"/>
      <c r="AE158" s="1772"/>
      <c r="AF158" s="1788"/>
      <c r="AG158" s="1791"/>
      <c r="AH158" s="397"/>
      <c r="AI158" s="591" t="s">
        <v>429</v>
      </c>
      <c r="AJ158" s="591" t="s">
        <v>429</v>
      </c>
      <c r="AK158" s="591"/>
      <c r="AL158" s="591"/>
      <c r="AM158" s="591" t="s">
        <v>429</v>
      </c>
      <c r="AN158" s="591"/>
      <c r="AO158" s="712" t="s">
        <v>925</v>
      </c>
      <c r="AP158" s="397"/>
    </row>
    <row r="159" spans="1:42" ht="15.75" hidden="1" customHeight="1" x14ac:dyDescent="0.25">
      <c r="A159" s="2079"/>
      <c r="B159" s="631" t="s">
        <v>184</v>
      </c>
      <c r="C159" s="631"/>
      <c r="D159" s="631" t="s">
        <v>1106</v>
      </c>
      <c r="E159" s="1967"/>
      <c r="F159" s="616">
        <f>'exchange rates'!$O$44</f>
        <v>0.83301000000000003</v>
      </c>
      <c r="G159" s="1034"/>
      <c r="H159" s="631" t="s">
        <v>184</v>
      </c>
      <c r="I159" s="631"/>
      <c r="J159" s="631" t="s">
        <v>1106</v>
      </c>
      <c r="K159" s="986"/>
      <c r="L159" s="567">
        <f>137/F159</f>
        <v>164.4638119590401</v>
      </c>
      <c r="M159" s="560">
        <v>0</v>
      </c>
      <c r="N159" s="568">
        <f>280.5/F159</f>
        <v>336.7306514927792</v>
      </c>
      <c r="O159" s="560">
        <v>0</v>
      </c>
      <c r="P159" s="569">
        <f>33.6/F159</f>
        <v>40.335650232290128</v>
      </c>
      <c r="Q159" s="560">
        <f t="shared" si="28"/>
        <v>2.4249408770602994</v>
      </c>
      <c r="R159" s="570" t="e">
        <f>Tabel6689212733[[#This Row],[landcode 3]]+Tabel6689212733[[#This Row],[VAT Sew. 2017]]+Tabel6689212733[[#This Row],[VAT WW 2017]]+Tabel6689212733[[#This Row],[VAT Other ch. 2017]]</f>
        <v>#VALUE!</v>
      </c>
      <c r="S159" s="571">
        <f>Tabel6689212733[[#This Row],[GDP 2017]]+Tabel6689212733[[#This Row],[Sew. 2017]]+Tabel6689212733[[#This Row],[VAT Sew. 2017]]+Tabel6689212733[[#This Row],[WW 2017]]+Tabel6689212733[[#This Row],[VAT WW 2017]]+Tabel6689212733[[#This Row],[Other ch. 2017]]+Tabel6689212733[[#This Row],[VAT Other ch. 2017]]</f>
        <v>543.95505456116973</v>
      </c>
      <c r="T159" s="397"/>
      <c r="U159" s="2081"/>
      <c r="V159" s="1766"/>
      <c r="W159" s="1769"/>
      <c r="X159" s="1772"/>
      <c r="Y159" s="1775"/>
      <c r="Z159" s="1778"/>
      <c r="AA159" s="1772"/>
      <c r="AB159" s="1781"/>
      <c r="AC159" s="1772"/>
      <c r="AD159" s="1785"/>
      <c r="AE159" s="1772"/>
      <c r="AF159" s="1788"/>
      <c r="AG159" s="1791"/>
      <c r="AH159" s="397"/>
      <c r="AI159" s="614"/>
      <c r="AJ159" s="591" t="s">
        <v>429</v>
      </c>
      <c r="AK159" s="591"/>
      <c r="AL159" s="591"/>
      <c r="AM159" s="591" t="s">
        <v>429</v>
      </c>
      <c r="AN159" s="591"/>
      <c r="AO159" s="712" t="s">
        <v>925</v>
      </c>
      <c r="AP159" s="397"/>
    </row>
    <row r="160" spans="1:42" ht="15.75" hidden="1" customHeight="1" x14ac:dyDescent="0.25">
      <c r="A160" s="2079"/>
      <c r="B160" s="631" t="s">
        <v>185</v>
      </c>
      <c r="C160" s="631"/>
      <c r="D160" s="631" t="s">
        <v>1106</v>
      </c>
      <c r="E160" s="1967"/>
      <c r="F160" s="616">
        <f>'exchange rates'!$O$44</f>
        <v>0.83301000000000003</v>
      </c>
      <c r="G160" s="1034"/>
      <c r="H160" s="631" t="s">
        <v>185</v>
      </c>
      <c r="I160" s="631"/>
      <c r="J160" s="631" t="s">
        <v>1106</v>
      </c>
      <c r="K160" s="986"/>
      <c r="L160" s="567">
        <f>220/F160</f>
        <v>264.10247175904249</v>
      </c>
      <c r="M160" s="560">
        <v>0</v>
      </c>
      <c r="N160" s="568">
        <f>192.24/F160</f>
        <v>230.77754168617423</v>
      </c>
      <c r="O160" s="560">
        <v>0</v>
      </c>
      <c r="P160" s="569">
        <f>33.6/F160</f>
        <v>40.335650232290128</v>
      </c>
      <c r="Q160" s="560">
        <f t="shared" si="28"/>
        <v>2.4249408770602994</v>
      </c>
      <c r="R160" s="570" t="e">
        <f>Tabel6689212733[[#This Row],[landcode 3]]+Tabel6689212733[[#This Row],[VAT Sew. 2017]]+Tabel6689212733[[#This Row],[VAT WW 2017]]+Tabel6689212733[[#This Row],[VAT Other ch. 2017]]</f>
        <v>#VALUE!</v>
      </c>
      <c r="S160" s="571">
        <f>Tabel6689212733[[#This Row],[GDP 2017]]+Tabel6689212733[[#This Row],[Sew. 2017]]+Tabel6689212733[[#This Row],[VAT Sew. 2017]]+Tabel6689212733[[#This Row],[WW 2017]]+Tabel6689212733[[#This Row],[VAT WW 2017]]+Tabel6689212733[[#This Row],[Other ch. 2017]]+Tabel6689212733[[#This Row],[VAT Other ch. 2017]]</f>
        <v>537.64060455456718</v>
      </c>
      <c r="T160" s="397"/>
      <c r="U160" s="2081"/>
      <c r="V160" s="1766"/>
      <c r="W160" s="1769"/>
      <c r="X160" s="1772"/>
      <c r="Y160" s="1775"/>
      <c r="Z160" s="1778"/>
      <c r="AA160" s="1772"/>
      <c r="AB160" s="1781"/>
      <c r="AC160" s="1772"/>
      <c r="AD160" s="1785"/>
      <c r="AE160" s="1772"/>
      <c r="AF160" s="1788"/>
      <c r="AG160" s="1791"/>
      <c r="AH160" s="397"/>
      <c r="AI160" s="614"/>
      <c r="AJ160" s="591" t="s">
        <v>429</v>
      </c>
      <c r="AK160" s="591"/>
      <c r="AL160" s="591"/>
      <c r="AM160" s="591" t="s">
        <v>429</v>
      </c>
      <c r="AN160" s="591"/>
      <c r="AO160" s="712" t="s">
        <v>925</v>
      </c>
      <c r="AP160" s="397"/>
    </row>
    <row r="161" spans="1:42" ht="16.5" hidden="1" customHeight="1" thickBot="1" x14ac:dyDescent="0.3">
      <c r="A161" s="2079"/>
      <c r="B161" s="631" t="s">
        <v>186</v>
      </c>
      <c r="C161" s="631"/>
      <c r="D161" s="631" t="s">
        <v>1106</v>
      </c>
      <c r="E161" s="1967"/>
      <c r="F161" s="616">
        <f>'exchange rates'!$O$44</f>
        <v>0.83301000000000003</v>
      </c>
      <c r="G161" s="1034"/>
      <c r="H161" s="631" t="s">
        <v>186</v>
      </c>
      <c r="I161" s="631"/>
      <c r="J161" s="631" t="s">
        <v>1106</v>
      </c>
      <c r="K161" s="986"/>
      <c r="L161" s="567">
        <f>144/F161</f>
        <v>172.86707242410054</v>
      </c>
      <c r="M161" s="560">
        <v>0</v>
      </c>
      <c r="N161" s="568">
        <f>145.44/F161</f>
        <v>174.59574314834154</v>
      </c>
      <c r="O161" s="560">
        <v>0</v>
      </c>
      <c r="P161" s="569">
        <f>33.6/F161</f>
        <v>40.335650232290128</v>
      </c>
      <c r="Q161" s="560">
        <f t="shared" si="28"/>
        <v>2.4249408770602994</v>
      </c>
      <c r="R161" s="570" t="e">
        <f>Tabel6689212733[[#This Row],[landcode 3]]+Tabel6689212733[[#This Row],[VAT Sew. 2017]]+Tabel6689212733[[#This Row],[VAT WW 2017]]+Tabel6689212733[[#This Row],[VAT Other ch. 2017]]</f>
        <v>#VALUE!</v>
      </c>
      <c r="S161" s="571">
        <f>Tabel6689212733[[#This Row],[GDP 2017]]+Tabel6689212733[[#This Row],[Sew. 2017]]+Tabel6689212733[[#This Row],[VAT Sew. 2017]]+Tabel6689212733[[#This Row],[WW 2017]]+Tabel6689212733[[#This Row],[VAT WW 2017]]+Tabel6689212733[[#This Row],[Other ch. 2017]]+Tabel6689212733[[#This Row],[VAT Other ch. 2017]]</f>
        <v>390.22340668179248</v>
      </c>
      <c r="T161" s="397"/>
      <c r="U161" s="2081"/>
      <c r="V161" s="1766"/>
      <c r="W161" s="1769"/>
      <c r="X161" s="1773"/>
      <c r="Y161" s="1775"/>
      <c r="Z161" s="1778"/>
      <c r="AA161" s="1773"/>
      <c r="AB161" s="1781"/>
      <c r="AC161" s="1773"/>
      <c r="AD161" s="1785"/>
      <c r="AE161" s="1773"/>
      <c r="AF161" s="1788"/>
      <c r="AG161" s="1791"/>
      <c r="AH161" s="397"/>
      <c r="AI161" s="614"/>
      <c r="AJ161" s="591" t="s">
        <v>429</v>
      </c>
      <c r="AK161" s="591"/>
      <c r="AL161" s="591"/>
      <c r="AM161" s="591" t="s">
        <v>429</v>
      </c>
      <c r="AN161" s="591"/>
      <c r="AO161" s="712" t="s">
        <v>925</v>
      </c>
      <c r="AP161" s="397"/>
    </row>
    <row r="162" spans="1:42" ht="18" hidden="1" customHeight="1" x14ac:dyDescent="0.25">
      <c r="A162" s="2004" t="s">
        <v>527</v>
      </c>
      <c r="B162" s="275" t="s">
        <v>528</v>
      </c>
      <c r="C162" s="809" t="s">
        <v>429</v>
      </c>
      <c r="D162" s="809" t="s">
        <v>1108</v>
      </c>
      <c r="E162" s="2111">
        <v>27900</v>
      </c>
      <c r="F162" s="306">
        <v>1.28559</v>
      </c>
      <c r="G162" s="963" t="s">
        <v>527</v>
      </c>
      <c r="H162" s="275" t="s">
        <v>528</v>
      </c>
      <c r="I162" s="809" t="s">
        <v>429</v>
      </c>
      <c r="J162" s="809" t="s">
        <v>1108</v>
      </c>
      <c r="K162" s="1035">
        <v>27900</v>
      </c>
      <c r="L162" s="322">
        <v>0</v>
      </c>
      <c r="M162" s="559"/>
      <c r="N162" s="323">
        <f>280/F162</f>
        <v>217.7988316648387</v>
      </c>
      <c r="O162" s="559"/>
      <c r="P162" s="324">
        <v>0</v>
      </c>
      <c r="Q162" s="559"/>
      <c r="R162" s="317" t="e">
        <f>Tabel6689212733[[#This Row],[landcode 3]]+Tabel6689212733[[#This Row],[VAT Sew. 2017]]+Tabel6689212733[[#This Row],[VAT WW 2017]]+Tabel6689212733[[#This Row],[VAT Other ch. 2017]]</f>
        <v>#VALUE!</v>
      </c>
      <c r="S162" s="318">
        <f>Tabel6689212733[[#This Row],[GDP 2017]]+Tabel6689212733[[#This Row],[Sew. 2017]]+Tabel6689212733[[#This Row],[VAT Sew. 2017]]+Tabel6689212733[[#This Row],[WW 2017]]+Tabel6689212733[[#This Row],[VAT WW 2017]]+Tabel6689212733[[#This Row],[Other ch. 2017]]+Tabel6689212733[[#This Row],[VAT Other ch. 2017]]</f>
        <v>28117.798831664837</v>
      </c>
      <c r="T162" s="397"/>
      <c r="U162" s="2112">
        <f>SUM(G162:G166)/5</f>
        <v>0</v>
      </c>
      <c r="V162" s="2113">
        <f>SUM(H162:H166)/5</f>
        <v>0</v>
      </c>
      <c r="W162" s="2114">
        <f>SUM(I162:I166)/5</f>
        <v>0</v>
      </c>
      <c r="X162" s="575"/>
      <c r="Y162" s="2115">
        <f>SUM(K162:K166)/5</f>
        <v>5580</v>
      </c>
      <c r="Z162" s="2116">
        <f>SUM(L162:L166)/5</f>
        <v>0</v>
      </c>
      <c r="AA162" s="575"/>
      <c r="AB162" s="2117">
        <f>SUM(N162:N166)/5</f>
        <v>238.80086186109102</v>
      </c>
      <c r="AC162" s="575"/>
      <c r="AD162" s="2118">
        <f>SUM(P162:P166)/5</f>
        <v>0</v>
      </c>
      <c r="AE162" s="575"/>
      <c r="AF162" s="2093" t="e">
        <f t="shared" ref="AF162:AG162" si="29">SUM(R162:R166)/5</f>
        <v>#VALUE!</v>
      </c>
      <c r="AG162" s="2094">
        <f t="shared" si="29"/>
        <v>5818.8008618610893</v>
      </c>
      <c r="AH162" s="397"/>
      <c r="AI162" s="398"/>
      <c r="AJ162" s="398"/>
      <c r="AK162" s="398"/>
      <c r="AL162" s="398"/>
      <c r="AM162" s="398"/>
      <c r="AN162" s="398"/>
      <c r="AO162" s="398"/>
      <c r="AP162" s="397"/>
    </row>
    <row r="163" spans="1:42" ht="18" hidden="1" customHeight="1" x14ac:dyDescent="0.25">
      <c r="A163" s="2005"/>
      <c r="B163" s="261" t="s">
        <v>529</v>
      </c>
      <c r="C163" s="261"/>
      <c r="D163" s="261" t="s">
        <v>1108</v>
      </c>
      <c r="E163" s="1837"/>
      <c r="F163" s="306">
        <v>1.28559</v>
      </c>
      <c r="G163" s="961"/>
      <c r="H163" s="261" t="s">
        <v>529</v>
      </c>
      <c r="I163" s="261"/>
      <c r="J163" s="261" t="s">
        <v>1108</v>
      </c>
      <c r="K163" s="1014"/>
      <c r="L163" s="322">
        <v>0</v>
      </c>
      <c r="M163" s="559"/>
      <c r="N163" s="323">
        <f>310/F163</f>
        <v>241.13442077178573</v>
      </c>
      <c r="O163" s="559"/>
      <c r="P163" s="324">
        <v>0</v>
      </c>
      <c r="Q163" s="559"/>
      <c r="R163" s="317" t="e">
        <f>Tabel6689212733[[#This Row],[landcode 3]]+Tabel6689212733[[#This Row],[VAT Sew. 2017]]+Tabel6689212733[[#This Row],[VAT WW 2017]]+Tabel6689212733[[#This Row],[VAT Other ch. 2017]]</f>
        <v>#VALUE!</v>
      </c>
      <c r="S163" s="318">
        <f>Tabel6689212733[[#This Row],[GDP 2017]]+Tabel6689212733[[#This Row],[Sew. 2017]]+Tabel6689212733[[#This Row],[VAT Sew. 2017]]+Tabel6689212733[[#This Row],[WW 2017]]+Tabel6689212733[[#This Row],[VAT WW 2017]]+Tabel6689212733[[#This Row],[Other ch. 2017]]+Tabel6689212733[[#This Row],[VAT Other ch. 2017]]</f>
        <v>241.13442077178573</v>
      </c>
      <c r="T163" s="397"/>
      <c r="U163" s="1840"/>
      <c r="V163" s="1843"/>
      <c r="W163" s="1846"/>
      <c r="X163" s="576"/>
      <c r="Y163" s="1849"/>
      <c r="Z163" s="1852"/>
      <c r="AA163" s="576"/>
      <c r="AB163" s="1855"/>
      <c r="AC163" s="576"/>
      <c r="AD163" s="1858"/>
      <c r="AE163" s="576"/>
      <c r="AF163" s="1873"/>
      <c r="AG163" s="1876"/>
      <c r="AH163" s="397"/>
      <c r="AI163" s="398"/>
      <c r="AJ163" s="398"/>
      <c r="AK163" s="398"/>
      <c r="AL163" s="398"/>
      <c r="AM163" s="398"/>
      <c r="AN163" s="398"/>
      <c r="AO163" s="398"/>
      <c r="AP163" s="397"/>
    </row>
    <row r="164" spans="1:42" ht="18" hidden="1" customHeight="1" x14ac:dyDescent="0.25">
      <c r="A164" s="2005"/>
      <c r="B164" s="261" t="s">
        <v>530</v>
      </c>
      <c r="C164" s="261"/>
      <c r="D164" s="261" t="s">
        <v>1108</v>
      </c>
      <c r="E164" s="1837"/>
      <c r="F164" s="306">
        <v>1.28559</v>
      </c>
      <c r="G164" s="961"/>
      <c r="H164" s="261" t="s">
        <v>530</v>
      </c>
      <c r="I164" s="261"/>
      <c r="J164" s="261" t="s">
        <v>1108</v>
      </c>
      <c r="K164" s="1014"/>
      <c r="L164" s="322">
        <v>0</v>
      </c>
      <c r="M164" s="559"/>
      <c r="N164" s="323">
        <f>125/F164</f>
        <v>97.231621278945852</v>
      </c>
      <c r="O164" s="559"/>
      <c r="P164" s="324">
        <v>0</v>
      </c>
      <c r="Q164" s="559"/>
      <c r="R164" s="317" t="e">
        <f>Tabel6689212733[[#This Row],[landcode 3]]+Tabel6689212733[[#This Row],[VAT Sew. 2017]]+Tabel6689212733[[#This Row],[VAT WW 2017]]+Tabel6689212733[[#This Row],[VAT Other ch. 2017]]</f>
        <v>#VALUE!</v>
      </c>
      <c r="S164" s="318">
        <f>Tabel6689212733[[#This Row],[GDP 2017]]+Tabel6689212733[[#This Row],[Sew. 2017]]+Tabel6689212733[[#This Row],[VAT Sew. 2017]]+Tabel6689212733[[#This Row],[WW 2017]]+Tabel6689212733[[#This Row],[VAT WW 2017]]+Tabel6689212733[[#This Row],[Other ch. 2017]]+Tabel6689212733[[#This Row],[VAT Other ch. 2017]]</f>
        <v>97.231621278945852</v>
      </c>
      <c r="T164" s="397"/>
      <c r="U164" s="1840"/>
      <c r="V164" s="1843"/>
      <c r="W164" s="1846"/>
      <c r="X164" s="576"/>
      <c r="Y164" s="1849"/>
      <c r="Z164" s="1852"/>
      <c r="AA164" s="576"/>
      <c r="AB164" s="1855"/>
      <c r="AC164" s="576"/>
      <c r="AD164" s="1858"/>
      <c r="AE164" s="576"/>
      <c r="AF164" s="1873"/>
      <c r="AG164" s="1876"/>
      <c r="AH164" s="397"/>
      <c r="AI164" s="398"/>
      <c r="AJ164" s="398"/>
      <c r="AK164" s="398"/>
      <c r="AL164" s="398"/>
      <c r="AM164" s="398"/>
      <c r="AN164" s="398"/>
      <c r="AO164" s="398"/>
      <c r="AP164" s="397"/>
    </row>
    <row r="165" spans="1:42" ht="18" hidden="1" customHeight="1" x14ac:dyDescent="0.25">
      <c r="A165" s="2005"/>
      <c r="B165" s="261" t="s">
        <v>531</v>
      </c>
      <c r="C165" s="261"/>
      <c r="D165" s="261" t="s">
        <v>1108</v>
      </c>
      <c r="E165" s="1837"/>
      <c r="F165" s="306">
        <v>1.28559</v>
      </c>
      <c r="G165" s="961"/>
      <c r="H165" s="261" t="s">
        <v>531</v>
      </c>
      <c r="I165" s="261"/>
      <c r="J165" s="261" t="s">
        <v>1108</v>
      </c>
      <c r="K165" s="1014"/>
      <c r="L165" s="322">
        <v>0</v>
      </c>
      <c r="M165" s="559"/>
      <c r="N165" s="323">
        <f>280/F165</f>
        <v>217.7988316648387</v>
      </c>
      <c r="O165" s="559"/>
      <c r="P165" s="324">
        <v>0</v>
      </c>
      <c r="Q165" s="559"/>
      <c r="R165" s="317" t="e">
        <f>Tabel6689212733[[#This Row],[landcode 3]]+Tabel6689212733[[#This Row],[VAT Sew. 2017]]+Tabel6689212733[[#This Row],[VAT WW 2017]]+Tabel6689212733[[#This Row],[VAT Other ch. 2017]]</f>
        <v>#VALUE!</v>
      </c>
      <c r="S165" s="318">
        <f>Tabel6689212733[[#This Row],[GDP 2017]]+Tabel6689212733[[#This Row],[Sew. 2017]]+Tabel6689212733[[#This Row],[VAT Sew. 2017]]+Tabel6689212733[[#This Row],[WW 2017]]+Tabel6689212733[[#This Row],[VAT WW 2017]]+Tabel6689212733[[#This Row],[Other ch. 2017]]+Tabel6689212733[[#This Row],[VAT Other ch. 2017]]</f>
        <v>217.7988316648387</v>
      </c>
      <c r="T165" s="397"/>
      <c r="U165" s="1840"/>
      <c r="V165" s="1843"/>
      <c r="W165" s="1846"/>
      <c r="X165" s="576"/>
      <c r="Y165" s="1849"/>
      <c r="Z165" s="1852"/>
      <c r="AA165" s="576"/>
      <c r="AB165" s="1855"/>
      <c r="AC165" s="576"/>
      <c r="AD165" s="1858"/>
      <c r="AE165" s="576"/>
      <c r="AF165" s="1873"/>
      <c r="AG165" s="1876"/>
      <c r="AH165" s="397"/>
      <c r="AI165" s="398"/>
      <c r="AJ165" s="398"/>
      <c r="AK165" s="398"/>
      <c r="AL165" s="398"/>
      <c r="AM165" s="398"/>
      <c r="AN165" s="398"/>
      <c r="AO165" s="398"/>
      <c r="AP165" s="397"/>
    </row>
    <row r="166" spans="1:42" ht="18.600000000000001" hidden="1" customHeight="1" thickBot="1" x14ac:dyDescent="0.3">
      <c r="A166" s="2006"/>
      <c r="B166" s="262" t="s">
        <v>532</v>
      </c>
      <c r="C166" s="800"/>
      <c r="D166" s="800" t="s">
        <v>1108</v>
      </c>
      <c r="E166" s="1838"/>
      <c r="F166" s="306">
        <v>1.28559</v>
      </c>
      <c r="G166" s="962"/>
      <c r="H166" s="262" t="s">
        <v>532</v>
      </c>
      <c r="I166" s="800"/>
      <c r="J166" s="800" t="s">
        <v>1108</v>
      </c>
      <c r="K166" s="996"/>
      <c r="L166" s="322">
        <v>0</v>
      </c>
      <c r="M166" s="559"/>
      <c r="N166" s="323">
        <f>540/F166</f>
        <v>420.04060392504607</v>
      </c>
      <c r="O166" s="559"/>
      <c r="P166" s="324">
        <v>0</v>
      </c>
      <c r="Q166" s="559"/>
      <c r="R166" s="317" t="e">
        <f>Tabel6689212733[[#This Row],[landcode 3]]+Tabel6689212733[[#This Row],[VAT Sew. 2017]]+Tabel6689212733[[#This Row],[VAT WW 2017]]+Tabel6689212733[[#This Row],[VAT Other ch. 2017]]</f>
        <v>#VALUE!</v>
      </c>
      <c r="S166" s="318">
        <f>Tabel6689212733[[#This Row],[GDP 2017]]+Tabel6689212733[[#This Row],[Sew. 2017]]+Tabel6689212733[[#This Row],[VAT Sew. 2017]]+Tabel6689212733[[#This Row],[WW 2017]]+Tabel6689212733[[#This Row],[VAT WW 2017]]+Tabel6689212733[[#This Row],[Other ch. 2017]]+Tabel6689212733[[#This Row],[VAT Other ch. 2017]]</f>
        <v>420.04060392504607</v>
      </c>
      <c r="T166" s="397"/>
      <c r="U166" s="1841"/>
      <c r="V166" s="1844"/>
      <c r="W166" s="1847"/>
      <c r="X166" s="577"/>
      <c r="Y166" s="1850"/>
      <c r="Z166" s="1853"/>
      <c r="AA166" s="577"/>
      <c r="AB166" s="1856"/>
      <c r="AC166" s="577"/>
      <c r="AD166" s="1859"/>
      <c r="AE166" s="577"/>
      <c r="AF166" s="1874"/>
      <c r="AG166" s="1877"/>
      <c r="AH166" s="397"/>
      <c r="AI166" s="398"/>
      <c r="AJ166" s="398"/>
      <c r="AK166" s="398"/>
      <c r="AL166" s="398"/>
      <c r="AM166" s="398"/>
      <c r="AN166" s="398"/>
      <c r="AO166" s="398"/>
      <c r="AP166" s="397"/>
    </row>
    <row r="167" spans="1:42" ht="18.600000000000001" hidden="1" customHeight="1" thickBot="1" x14ac:dyDescent="0.35">
      <c r="A167" s="267" t="s">
        <v>46</v>
      </c>
      <c r="B167" s="295" t="s">
        <v>477</v>
      </c>
      <c r="C167" s="1048"/>
      <c r="D167" s="811" t="s">
        <v>1110</v>
      </c>
      <c r="E167" s="302">
        <v>39500</v>
      </c>
      <c r="F167" s="306">
        <v>0.64417999999999997</v>
      </c>
      <c r="G167" s="267" t="s">
        <v>46</v>
      </c>
      <c r="H167" s="295" t="s">
        <v>477</v>
      </c>
      <c r="I167" s="1048"/>
      <c r="J167" s="811" t="s">
        <v>1110</v>
      </c>
      <c r="K167" s="302">
        <v>39500</v>
      </c>
      <c r="L167" s="322">
        <v>0</v>
      </c>
      <c r="M167" s="559"/>
      <c r="N167" s="323">
        <f>449/F167</f>
        <v>697.01015244186408</v>
      </c>
      <c r="O167" s="559"/>
      <c r="P167" s="324">
        <v>0</v>
      </c>
      <c r="Q167" s="559"/>
      <c r="R167" s="317" t="e">
        <f>Tabel6689212733[[#This Row],[landcode 3]]+Tabel6689212733[[#This Row],[VAT Sew. 2017]]+Tabel6689212733[[#This Row],[VAT WW 2017]]+Tabel6689212733[[#This Row],[VAT Other ch. 2017]]</f>
        <v>#VALUE!</v>
      </c>
      <c r="S167" s="318">
        <f>Tabel6689212733[[#This Row],[GDP 2017]]+Tabel6689212733[[#This Row],[Sew. 2017]]+Tabel6689212733[[#This Row],[VAT Sew. 2017]]+Tabel6689212733[[#This Row],[WW 2017]]+Tabel6689212733[[#This Row],[VAT WW 2017]]+Tabel6689212733[[#This Row],[Other ch. 2017]]+Tabel6689212733[[#This Row],[VAT Other ch. 2017]]</f>
        <v>40197.010152441864</v>
      </c>
      <c r="T167" s="397"/>
      <c r="U167" s="385" t="str">
        <f>Tabel6689212733[[#This Row],[Country]]</f>
        <v>Northern Ireland (UK)</v>
      </c>
      <c r="V167" s="386" t="str">
        <f>Tabel6689212733[[#This Row],[City]]</f>
        <v>Average N. Ireland</v>
      </c>
      <c r="W167" s="387">
        <v>0</v>
      </c>
      <c r="X167" s="574"/>
      <c r="Y167" s="388">
        <f>Tabel6689212733[[#This Row],[GDP 2017]]</f>
        <v>39500</v>
      </c>
      <c r="Z167" s="389">
        <v>0</v>
      </c>
      <c r="AA167" s="574"/>
      <c r="AB167" s="390">
        <f>Tabel6689212733[[#This Row],[WW 2017]]</f>
        <v>697.01015244186408</v>
      </c>
      <c r="AC167" s="574"/>
      <c r="AD167" s="391">
        <v>0</v>
      </c>
      <c r="AE167" s="574"/>
      <c r="AF167" s="392" t="e">
        <f>Tabel6689212733[[#This Row],[Total VAT 2017]]</f>
        <v>#VALUE!</v>
      </c>
      <c r="AG167" s="393">
        <f>Tabel6689212733[[#This Row],[total charge 2017]]</f>
        <v>40197.010152441864</v>
      </c>
      <c r="AH167" s="397"/>
      <c r="AI167" s="398"/>
      <c r="AJ167" s="398"/>
      <c r="AK167" s="398"/>
      <c r="AL167" s="398"/>
      <c r="AM167" s="398"/>
      <c r="AN167" s="398"/>
      <c r="AO167" s="398" t="s">
        <v>476</v>
      </c>
      <c r="AP167" s="397"/>
    </row>
    <row r="168" spans="1:42" ht="15.75" hidden="1" customHeight="1" x14ac:dyDescent="0.25">
      <c r="A168" s="1818" t="s">
        <v>21</v>
      </c>
      <c r="B168" s="546" t="s">
        <v>125</v>
      </c>
      <c r="C168" s="1046"/>
      <c r="D168" s="802" t="s">
        <v>1112</v>
      </c>
      <c r="E168" s="1983">
        <v>70600</v>
      </c>
      <c r="F168" s="617">
        <f>'exchange rates'!$O$47</f>
        <v>8.20533</v>
      </c>
      <c r="G168" s="929" t="s">
        <v>21</v>
      </c>
      <c r="H168" s="546" t="s">
        <v>125</v>
      </c>
      <c r="I168" s="1046"/>
      <c r="J168" s="802" t="s">
        <v>1112</v>
      </c>
      <c r="K168" s="993">
        <v>70600</v>
      </c>
      <c r="L168" s="567">
        <f>1714/F168</f>
        <v>208.88861264568274</v>
      </c>
      <c r="M168" s="560">
        <f>428.5/F168</f>
        <v>52.222153161420685</v>
      </c>
      <c r="N168" s="568">
        <f>0</f>
        <v>0</v>
      </c>
      <c r="O168" s="560">
        <v>0</v>
      </c>
      <c r="P168" s="569">
        <v>0</v>
      </c>
      <c r="Q168" s="560">
        <v>0</v>
      </c>
      <c r="R168" s="570" t="e">
        <f>Tabel6689212733[[#This Row],[landcode 3]]+Tabel6689212733[[#This Row],[VAT Sew. 2017]]+Tabel6689212733[[#This Row],[VAT WW 2017]]+Tabel6689212733[[#This Row],[VAT Other ch. 2017]]</f>
        <v>#VALUE!</v>
      </c>
      <c r="S168" s="571">
        <f>Tabel6689212733[[#This Row],[GDP 2017]]+Tabel6689212733[[#This Row],[Sew. 2017]]+Tabel6689212733[[#This Row],[VAT Sew. 2017]]+Tabel6689212733[[#This Row],[WW 2017]]+Tabel6689212733[[#This Row],[VAT WW 2017]]+Tabel6689212733[[#This Row],[Other ch. 2017]]+Tabel6689212733[[#This Row],[VAT Other ch. 2017]]</f>
        <v>70861.110765807098</v>
      </c>
      <c r="T168" s="397"/>
      <c r="U168" s="2080" t="e">
        <f>MEDIAN(G168:G170)</f>
        <v>#NUM!</v>
      </c>
      <c r="V168" s="2096" t="e">
        <f>MEDIAN(H168:H170)</f>
        <v>#NUM!</v>
      </c>
      <c r="W168" s="2099" t="e">
        <f>MEDIAN(I168:I170)</f>
        <v>#NUM!</v>
      </c>
      <c r="X168" s="2102" t="e">
        <f>MEDIAN(J168:J170)</f>
        <v>#NUM!</v>
      </c>
      <c r="Y168" s="2105" t="e">
        <f>SUM(U168:X170)</f>
        <v>#NUM!</v>
      </c>
      <c r="Z168" s="2108">
        <f t="shared" ref="Z168:AF168" si="30">MEDIAN(L168:L170)</f>
        <v>178.66435597349528</v>
      </c>
      <c r="AA168" s="2102">
        <f t="shared" si="30"/>
        <v>49.3581610977255</v>
      </c>
      <c r="AB168" s="2119">
        <f t="shared" si="30"/>
        <v>0</v>
      </c>
      <c r="AC168" s="2102">
        <f t="shared" si="30"/>
        <v>0</v>
      </c>
      <c r="AD168" s="2122">
        <f t="shared" si="30"/>
        <v>0</v>
      </c>
      <c r="AE168" s="2102">
        <f t="shared" si="30"/>
        <v>0</v>
      </c>
      <c r="AF168" s="2125" t="e">
        <f t="shared" si="30"/>
        <v>#VALUE!</v>
      </c>
      <c r="AG168" s="1817" t="e">
        <f>Y168+Z168+AA168+AB168+AC168+AD168+AE168</f>
        <v>#NUM!</v>
      </c>
      <c r="AH168" s="397"/>
      <c r="AI168" s="591" t="s">
        <v>429</v>
      </c>
      <c r="AJ168" s="591" t="s">
        <v>429</v>
      </c>
      <c r="AK168" s="591"/>
      <c r="AL168" s="591"/>
      <c r="AM168" s="591" t="s">
        <v>429</v>
      </c>
      <c r="AN168" s="591" t="s">
        <v>429</v>
      </c>
      <c r="AO168" s="614"/>
      <c r="AP168" s="397"/>
    </row>
    <row r="169" spans="1:42" ht="16.5" hidden="1" customHeight="1" x14ac:dyDescent="0.25">
      <c r="A169" s="1819"/>
      <c r="B169" s="547" t="s">
        <v>126</v>
      </c>
      <c r="C169" s="1046" t="s">
        <v>429</v>
      </c>
      <c r="D169" s="802" t="s">
        <v>1112</v>
      </c>
      <c r="E169" s="1760"/>
      <c r="F169" s="617">
        <f>'exchange rates'!$O$47</f>
        <v>8.20533</v>
      </c>
      <c r="G169" s="930"/>
      <c r="H169" s="547" t="s">
        <v>126</v>
      </c>
      <c r="I169" s="1046" t="s">
        <v>429</v>
      </c>
      <c r="J169" s="802" t="s">
        <v>1112</v>
      </c>
      <c r="K169" s="969"/>
      <c r="L169" s="567">
        <f>1466/F169</f>
        <v>178.66435597349528</v>
      </c>
      <c r="M169" s="560">
        <f>405/F169</f>
        <v>49.3581610977255</v>
      </c>
      <c r="N169" s="568">
        <v>0</v>
      </c>
      <c r="O169" s="560">
        <v>0</v>
      </c>
      <c r="P169" s="569">
        <v>0</v>
      </c>
      <c r="Q169" s="560">
        <v>0</v>
      </c>
      <c r="R169" s="570" t="e">
        <f>Tabel6689212733[[#This Row],[landcode 3]]+Tabel6689212733[[#This Row],[VAT Sew. 2017]]+Tabel6689212733[[#This Row],[VAT WW 2017]]+Tabel6689212733[[#This Row],[VAT Other ch. 2017]]</f>
        <v>#VALUE!</v>
      </c>
      <c r="S169" s="571">
        <f>Tabel6689212733[[#This Row],[GDP 2017]]+Tabel6689212733[[#This Row],[Sew. 2017]]+Tabel6689212733[[#This Row],[VAT Sew. 2017]]+Tabel6689212733[[#This Row],[WW 2017]]+Tabel6689212733[[#This Row],[VAT WW 2017]]+Tabel6689212733[[#This Row],[Other ch. 2017]]+Tabel6689212733[[#This Row],[VAT Other ch. 2017]]</f>
        <v>228.02251707122076</v>
      </c>
      <c r="T169" s="397"/>
      <c r="U169" s="2081"/>
      <c r="V169" s="2097"/>
      <c r="W169" s="2100"/>
      <c r="X169" s="2103"/>
      <c r="Y169" s="2106"/>
      <c r="Z169" s="2109"/>
      <c r="AA169" s="2103"/>
      <c r="AB169" s="2120"/>
      <c r="AC169" s="2103"/>
      <c r="AD169" s="2123"/>
      <c r="AE169" s="2103"/>
      <c r="AF169" s="2126"/>
      <c r="AG169" s="1791"/>
      <c r="AH169" s="397"/>
      <c r="AI169" s="591" t="s">
        <v>429</v>
      </c>
      <c r="AJ169" s="591" t="s">
        <v>429</v>
      </c>
      <c r="AK169" s="591"/>
      <c r="AL169" s="591"/>
      <c r="AM169" s="591" t="s">
        <v>429</v>
      </c>
      <c r="AN169" s="591" t="s">
        <v>429</v>
      </c>
      <c r="AO169" s="614"/>
      <c r="AP169" s="397"/>
    </row>
    <row r="170" spans="1:42" ht="18" hidden="1" customHeight="1" thickBot="1" x14ac:dyDescent="0.3">
      <c r="A170" s="1820"/>
      <c r="B170" s="641" t="s">
        <v>127</v>
      </c>
      <c r="C170" s="1046"/>
      <c r="D170" s="807" t="s">
        <v>1112</v>
      </c>
      <c r="E170" s="1996"/>
      <c r="F170" s="617">
        <f>'exchange rates'!$O$47</f>
        <v>8.20533</v>
      </c>
      <c r="G170" s="931"/>
      <c r="H170" s="641" t="s">
        <v>127</v>
      </c>
      <c r="I170" s="1046"/>
      <c r="J170" s="807" t="s">
        <v>1112</v>
      </c>
      <c r="K170" s="994"/>
      <c r="L170" s="567">
        <f>1334.6/F170</f>
        <v>162.65037481734433</v>
      </c>
      <c r="M170" s="560">
        <f>333.65/F170</f>
        <v>40.662593704336082</v>
      </c>
      <c r="N170" s="568">
        <v>0</v>
      </c>
      <c r="O170" s="560">
        <v>0</v>
      </c>
      <c r="P170" s="569">
        <v>0</v>
      </c>
      <c r="Q170" s="560">
        <v>0</v>
      </c>
      <c r="R170" s="570" t="e">
        <f>Tabel6689212733[[#This Row],[landcode 3]]+Tabel6689212733[[#This Row],[VAT Sew. 2017]]+Tabel6689212733[[#This Row],[VAT WW 2017]]+Tabel6689212733[[#This Row],[VAT Other ch. 2017]]</f>
        <v>#VALUE!</v>
      </c>
      <c r="S170" s="571">
        <f>Tabel6689212733[[#This Row],[GDP 2017]]+Tabel6689212733[[#This Row],[Sew. 2017]]+Tabel6689212733[[#This Row],[VAT Sew. 2017]]+Tabel6689212733[[#This Row],[WW 2017]]+Tabel6689212733[[#This Row],[VAT WW 2017]]+Tabel6689212733[[#This Row],[Other ch. 2017]]+Tabel6689212733[[#This Row],[VAT Other ch. 2017]]</f>
        <v>203.3129685216804</v>
      </c>
      <c r="T170" s="397"/>
      <c r="U170" s="2095"/>
      <c r="V170" s="2098"/>
      <c r="W170" s="2101"/>
      <c r="X170" s="2104"/>
      <c r="Y170" s="2107"/>
      <c r="Z170" s="2110"/>
      <c r="AA170" s="2104"/>
      <c r="AB170" s="2121"/>
      <c r="AC170" s="2104"/>
      <c r="AD170" s="2124"/>
      <c r="AE170" s="2104"/>
      <c r="AF170" s="2127"/>
      <c r="AG170" s="2002"/>
      <c r="AH170" s="397"/>
      <c r="AI170" s="591" t="s">
        <v>429</v>
      </c>
      <c r="AJ170" s="591" t="s">
        <v>429</v>
      </c>
      <c r="AK170" s="591"/>
      <c r="AL170" s="591"/>
      <c r="AM170" s="591" t="s">
        <v>429</v>
      </c>
      <c r="AN170" s="591" t="s">
        <v>429</v>
      </c>
      <c r="AO170" s="614"/>
      <c r="AP170" s="397"/>
    </row>
    <row r="171" spans="1:42" ht="18" hidden="1" customHeight="1" x14ac:dyDescent="0.25">
      <c r="A171" s="1818" t="s">
        <v>22</v>
      </c>
      <c r="B171" s="546" t="s">
        <v>128</v>
      </c>
      <c r="C171" s="1046"/>
      <c r="D171" s="802" t="s">
        <v>1114</v>
      </c>
      <c r="E171" s="1884">
        <v>29300</v>
      </c>
      <c r="F171" s="661">
        <f>'exchange rates'!$O$48</f>
        <v>3.4784999999999999</v>
      </c>
      <c r="G171" s="929" t="s">
        <v>22</v>
      </c>
      <c r="H171" s="546" t="s">
        <v>128</v>
      </c>
      <c r="I171" s="1046"/>
      <c r="J171" s="802" t="s">
        <v>1114</v>
      </c>
      <c r="K171" s="1018">
        <v>29300</v>
      </c>
      <c r="L171" s="567">
        <v>0</v>
      </c>
      <c r="M171" s="560">
        <v>0</v>
      </c>
      <c r="N171" s="568">
        <f>488/F171</f>
        <v>140.29035503809112</v>
      </c>
      <c r="O171" s="560">
        <f>39.04/F171</f>
        <v>11.22322840304729</v>
      </c>
      <c r="P171" s="569">
        <v>0</v>
      </c>
      <c r="Q171" s="560">
        <v>0</v>
      </c>
      <c r="R171" s="570" t="e">
        <f>Tabel6689212733[[#This Row],[landcode 3]]+Tabel6689212733[[#This Row],[VAT Sew. 2017]]+Tabel6689212733[[#This Row],[VAT WW 2017]]+Tabel6689212733[[#This Row],[VAT Other ch. 2017]]</f>
        <v>#VALUE!</v>
      </c>
      <c r="S171" s="571">
        <f>Tabel6689212733[[#This Row],[GDP 2017]]+Tabel6689212733[[#This Row],[Sew. 2017]]+Tabel6689212733[[#This Row],[VAT Sew. 2017]]+Tabel6689212733[[#This Row],[WW 2017]]+Tabel6689212733[[#This Row],[VAT WW 2017]]+Tabel6689212733[[#This Row],[Other ch. 2017]]+Tabel6689212733[[#This Row],[VAT Other ch. 2017]]</f>
        <v>29451.513583441138</v>
      </c>
      <c r="T171" s="397"/>
      <c r="U171" s="1885" t="e">
        <f>MEDIAN(G171:G176)</f>
        <v>#NUM!</v>
      </c>
      <c r="V171" s="1887" t="e">
        <f>MEDIAN(H171:H176)</f>
        <v>#NUM!</v>
      </c>
      <c r="W171" s="1889" t="e">
        <f>MEDIAN(I171:I176)</f>
        <v>#NUM!</v>
      </c>
      <c r="X171" s="1771" t="e">
        <f>MEDIAN(J171:J176)</f>
        <v>#NUM!</v>
      </c>
      <c r="Y171" s="1891" t="e">
        <f>SUM(U171:X176)</f>
        <v>#NUM!</v>
      </c>
      <c r="Z171" s="1893">
        <f t="shared" ref="Z171:AF171" si="31">MEDIAN(L171:L176)</f>
        <v>0</v>
      </c>
      <c r="AA171" s="1771">
        <f t="shared" si="31"/>
        <v>0</v>
      </c>
      <c r="AB171" s="1910">
        <f t="shared" si="31"/>
        <v>149.34598246370561</v>
      </c>
      <c r="AC171" s="1771">
        <f t="shared" si="31"/>
        <v>11.947678597096449</v>
      </c>
      <c r="AD171" s="1912">
        <f t="shared" si="31"/>
        <v>0</v>
      </c>
      <c r="AE171" s="1771">
        <f t="shared" si="31"/>
        <v>0</v>
      </c>
      <c r="AF171" s="1914" t="e">
        <f t="shared" si="31"/>
        <v>#VALUE!</v>
      </c>
      <c r="AG171" s="1909" t="e">
        <f>Y171+Z171+AA171+AB171+AC171+AD171+AE171</f>
        <v>#NUM!</v>
      </c>
      <c r="AH171" s="397"/>
      <c r="AI171" s="398"/>
      <c r="AJ171" s="591" t="s">
        <v>429</v>
      </c>
      <c r="AK171" s="398"/>
      <c r="AL171" s="398"/>
      <c r="AM171" s="398"/>
      <c r="AN171" s="398"/>
      <c r="AO171" s="398"/>
      <c r="AP171" s="397"/>
    </row>
    <row r="172" spans="1:42" ht="15.6" hidden="1" customHeight="1" x14ac:dyDescent="0.25">
      <c r="A172" s="1819"/>
      <c r="B172" s="641" t="s">
        <v>891</v>
      </c>
      <c r="C172" s="1046" t="s">
        <v>429</v>
      </c>
      <c r="D172" s="802" t="s">
        <v>1114</v>
      </c>
      <c r="E172" s="1760"/>
      <c r="F172" s="661">
        <f>'exchange rates'!$O$48</f>
        <v>3.4784999999999999</v>
      </c>
      <c r="G172" s="930"/>
      <c r="H172" s="641" t="s">
        <v>891</v>
      </c>
      <c r="I172" s="1046" t="s">
        <v>429</v>
      </c>
      <c r="J172" s="802" t="s">
        <v>1114</v>
      </c>
      <c r="K172" s="969"/>
      <c r="L172" s="567">
        <v>0</v>
      </c>
      <c r="M172" s="560">
        <v>0</v>
      </c>
      <c r="N172" s="568">
        <f>642/F172</f>
        <v>184.5623113410953</v>
      </c>
      <c r="O172" s="560">
        <f>51.36/F172</f>
        <v>14.764984907287625</v>
      </c>
      <c r="P172" s="569">
        <v>0</v>
      </c>
      <c r="Q172" s="560">
        <v>0</v>
      </c>
      <c r="R172" s="570" t="e">
        <f>Tabel6689212733[[#This Row],[landcode 3]]+Tabel6689212733[[#This Row],[VAT Sew. 2017]]+Tabel6689212733[[#This Row],[VAT WW 2017]]+Tabel6689212733[[#This Row],[VAT Other ch. 2017]]</f>
        <v>#VALUE!</v>
      </c>
      <c r="S172" s="571">
        <f>Tabel6689212733[[#This Row],[GDP 2017]]+Tabel6689212733[[#This Row],[Sew. 2017]]+Tabel6689212733[[#This Row],[VAT Sew. 2017]]+Tabel6689212733[[#This Row],[WW 2017]]+Tabel6689212733[[#This Row],[VAT WW 2017]]+Tabel6689212733[[#This Row],[Other ch. 2017]]+Tabel6689212733[[#This Row],[VAT Other ch. 2017]]</f>
        <v>199.32729624838291</v>
      </c>
      <c r="T172" s="397"/>
      <c r="U172" s="1763"/>
      <c r="V172" s="1766"/>
      <c r="W172" s="1769"/>
      <c r="X172" s="1772"/>
      <c r="Y172" s="1775"/>
      <c r="Z172" s="1778"/>
      <c r="AA172" s="1772"/>
      <c r="AB172" s="1781"/>
      <c r="AC172" s="1772"/>
      <c r="AD172" s="1785"/>
      <c r="AE172" s="1772"/>
      <c r="AF172" s="1788"/>
      <c r="AG172" s="1791"/>
      <c r="AH172" s="397"/>
      <c r="AI172" s="398"/>
      <c r="AJ172" s="591" t="s">
        <v>429</v>
      </c>
      <c r="AK172" s="398"/>
      <c r="AL172" s="398"/>
      <c r="AM172" s="398"/>
      <c r="AN172" s="398"/>
      <c r="AO172" s="398"/>
      <c r="AP172" s="397"/>
    </row>
    <row r="173" spans="1:42" ht="15.6" hidden="1" customHeight="1" x14ac:dyDescent="0.25">
      <c r="A173" s="1819"/>
      <c r="B173" s="547" t="s">
        <v>129</v>
      </c>
      <c r="C173" s="1046"/>
      <c r="D173" s="802" t="s">
        <v>1114</v>
      </c>
      <c r="E173" s="1880"/>
      <c r="F173" s="661">
        <f>'exchange rates'!$O$48</f>
        <v>3.4784999999999999</v>
      </c>
      <c r="G173" s="930"/>
      <c r="H173" s="547" t="s">
        <v>129</v>
      </c>
      <c r="I173" s="1046"/>
      <c r="J173" s="802" t="s">
        <v>1114</v>
      </c>
      <c r="K173" s="999"/>
      <c r="L173" s="567">
        <v>0</v>
      </c>
      <c r="M173" s="560">
        <v>0</v>
      </c>
      <c r="N173" s="568">
        <f>551/F173</f>
        <v>158.4016098893201</v>
      </c>
      <c r="O173" s="560">
        <f>44.08/F173</f>
        <v>12.672128791145608</v>
      </c>
      <c r="P173" s="569">
        <v>0</v>
      </c>
      <c r="Q173" s="560">
        <v>0</v>
      </c>
      <c r="R173" s="570" t="e">
        <f>Tabel6689212733[[#This Row],[landcode 3]]+Tabel6689212733[[#This Row],[VAT Sew. 2017]]+Tabel6689212733[[#This Row],[VAT WW 2017]]+Tabel6689212733[[#This Row],[VAT Other ch. 2017]]</f>
        <v>#VALUE!</v>
      </c>
      <c r="S173" s="571">
        <f>Tabel6689212733[[#This Row],[GDP 2017]]+Tabel6689212733[[#This Row],[Sew. 2017]]+Tabel6689212733[[#This Row],[VAT Sew. 2017]]+Tabel6689212733[[#This Row],[WW 2017]]+Tabel6689212733[[#This Row],[VAT WW 2017]]+Tabel6689212733[[#This Row],[Other ch. 2017]]+Tabel6689212733[[#This Row],[VAT Other ch. 2017]]</f>
        <v>171.07373868046571</v>
      </c>
      <c r="T173" s="397"/>
      <c r="U173" s="1886"/>
      <c r="V173" s="1888"/>
      <c r="W173" s="1890"/>
      <c r="X173" s="1772"/>
      <c r="Y173" s="1892"/>
      <c r="Z173" s="1894"/>
      <c r="AA173" s="1772"/>
      <c r="AB173" s="1911"/>
      <c r="AC173" s="1772"/>
      <c r="AD173" s="1913"/>
      <c r="AE173" s="1772"/>
      <c r="AF173" s="1915"/>
      <c r="AG173" s="1832"/>
      <c r="AH173" s="397"/>
      <c r="AI173" s="398"/>
      <c r="AJ173" s="591" t="s">
        <v>429</v>
      </c>
      <c r="AK173" s="398"/>
      <c r="AL173" s="398"/>
      <c r="AM173" s="398"/>
      <c r="AN173" s="398"/>
      <c r="AO173" s="398"/>
      <c r="AP173" s="397"/>
    </row>
    <row r="174" spans="1:42" ht="15.6" hidden="1" customHeight="1" x14ac:dyDescent="0.25">
      <c r="A174" s="1819"/>
      <c r="B174" s="547" t="s">
        <v>130</v>
      </c>
      <c r="C174" s="1046"/>
      <c r="D174" s="802" t="s">
        <v>1114</v>
      </c>
      <c r="E174" s="1880"/>
      <c r="F174" s="661">
        <f>'exchange rates'!$O$48</f>
        <v>3.4784999999999999</v>
      </c>
      <c r="G174" s="930"/>
      <c r="H174" s="547" t="s">
        <v>130</v>
      </c>
      <c r="I174" s="1046"/>
      <c r="J174" s="802" t="s">
        <v>1114</v>
      </c>
      <c r="K174" s="999"/>
      <c r="L174" s="567">
        <v>0</v>
      </c>
      <c r="M174" s="560">
        <v>0</v>
      </c>
      <c r="N174" s="568">
        <f>555/F174</f>
        <v>159.55153083225528</v>
      </c>
      <c r="O174" s="560">
        <f>44.4/F174</f>
        <v>12.764122466580423</v>
      </c>
      <c r="P174" s="569">
        <v>0</v>
      </c>
      <c r="Q174" s="560">
        <v>0</v>
      </c>
      <c r="R174" s="570" t="e">
        <f>Tabel6689212733[[#This Row],[landcode 3]]+Tabel6689212733[[#This Row],[VAT Sew. 2017]]+Tabel6689212733[[#This Row],[VAT WW 2017]]+Tabel6689212733[[#This Row],[VAT Other ch. 2017]]</f>
        <v>#VALUE!</v>
      </c>
      <c r="S174" s="571">
        <f>Tabel6689212733[[#This Row],[GDP 2017]]+Tabel6689212733[[#This Row],[Sew. 2017]]+Tabel6689212733[[#This Row],[VAT Sew. 2017]]+Tabel6689212733[[#This Row],[WW 2017]]+Tabel6689212733[[#This Row],[VAT WW 2017]]+Tabel6689212733[[#This Row],[Other ch. 2017]]+Tabel6689212733[[#This Row],[VAT Other ch. 2017]]</f>
        <v>172.31565329883571</v>
      </c>
      <c r="T174" s="397"/>
      <c r="U174" s="1886"/>
      <c r="V174" s="1888"/>
      <c r="W174" s="1890"/>
      <c r="X174" s="1772"/>
      <c r="Y174" s="1892"/>
      <c r="Z174" s="1894"/>
      <c r="AA174" s="1772"/>
      <c r="AB174" s="1911"/>
      <c r="AC174" s="1772"/>
      <c r="AD174" s="1913"/>
      <c r="AE174" s="1772"/>
      <c r="AF174" s="1915"/>
      <c r="AG174" s="1832"/>
      <c r="AH174" s="397"/>
      <c r="AI174" s="396"/>
      <c r="AJ174" s="591" t="s">
        <v>429</v>
      </c>
      <c r="AK174" s="398"/>
      <c r="AL174" s="398"/>
      <c r="AM174" s="398"/>
      <c r="AN174" s="398"/>
      <c r="AO174" s="398"/>
      <c r="AP174" s="397"/>
    </row>
    <row r="175" spans="1:42" ht="15.6" hidden="1" customHeight="1" x14ac:dyDescent="0.25">
      <c r="A175" s="1819"/>
      <c r="B175" s="547" t="s">
        <v>131</v>
      </c>
      <c r="C175" s="1046"/>
      <c r="D175" s="802" t="s">
        <v>1114</v>
      </c>
      <c r="E175" s="1880"/>
      <c r="F175" s="661">
        <f>'exchange rates'!$O$48</f>
        <v>3.4784999999999999</v>
      </c>
      <c r="G175" s="930"/>
      <c r="H175" s="547" t="s">
        <v>131</v>
      </c>
      <c r="I175" s="1046"/>
      <c r="J175" s="802" t="s">
        <v>1114</v>
      </c>
      <c r="K175" s="999"/>
      <c r="L175" s="567">
        <v>0</v>
      </c>
      <c r="M175" s="560">
        <v>0</v>
      </c>
      <c r="N175" s="568">
        <f>332/F175</f>
        <v>95.443438263619385</v>
      </c>
      <c r="O175" s="560">
        <f>26.56/F175</f>
        <v>7.6354750610895499</v>
      </c>
      <c r="P175" s="569">
        <v>0</v>
      </c>
      <c r="Q175" s="560">
        <v>0</v>
      </c>
      <c r="R175" s="570" t="e">
        <f>Tabel6689212733[[#This Row],[landcode 3]]+Tabel6689212733[[#This Row],[VAT Sew. 2017]]+Tabel6689212733[[#This Row],[VAT WW 2017]]+Tabel6689212733[[#This Row],[VAT Other ch. 2017]]</f>
        <v>#VALUE!</v>
      </c>
      <c r="S175" s="571">
        <f>Tabel6689212733[[#This Row],[GDP 2017]]+Tabel6689212733[[#This Row],[Sew. 2017]]+Tabel6689212733[[#This Row],[VAT Sew. 2017]]+Tabel6689212733[[#This Row],[WW 2017]]+Tabel6689212733[[#This Row],[VAT WW 2017]]+Tabel6689212733[[#This Row],[Other ch. 2017]]+Tabel6689212733[[#This Row],[VAT Other ch. 2017]]</f>
        <v>103.07891332470894</v>
      </c>
      <c r="T175" s="397"/>
      <c r="U175" s="1886"/>
      <c r="V175" s="1888"/>
      <c r="W175" s="1890"/>
      <c r="X175" s="1772"/>
      <c r="Y175" s="1892"/>
      <c r="Z175" s="1894"/>
      <c r="AA175" s="1772"/>
      <c r="AB175" s="1911"/>
      <c r="AC175" s="1772"/>
      <c r="AD175" s="1913"/>
      <c r="AE175" s="1772"/>
      <c r="AF175" s="1915"/>
      <c r="AG175" s="1832"/>
      <c r="AH175" s="397"/>
      <c r="AI175" s="396"/>
      <c r="AJ175" s="591" t="s">
        <v>429</v>
      </c>
      <c r="AK175" s="398"/>
      <c r="AL175" s="398"/>
      <c r="AM175" s="398"/>
      <c r="AN175" s="398"/>
      <c r="AO175" s="398"/>
      <c r="AP175" s="397"/>
    </row>
    <row r="176" spans="1:42" ht="16.149999999999999" hidden="1" customHeight="1" thickBot="1" x14ac:dyDescent="0.3">
      <c r="A176" s="1820"/>
      <c r="B176" s="543" t="s">
        <v>132</v>
      </c>
      <c r="C176" s="1046"/>
      <c r="D176" s="802" t="s">
        <v>1114</v>
      </c>
      <c r="E176" s="1799"/>
      <c r="F176" s="661">
        <f>'exchange rates'!$O$48</f>
        <v>3.4784999999999999</v>
      </c>
      <c r="G176" s="931"/>
      <c r="H176" s="543" t="s">
        <v>132</v>
      </c>
      <c r="I176" s="1046"/>
      <c r="J176" s="802" t="s">
        <v>1114</v>
      </c>
      <c r="K176" s="987"/>
      <c r="L176" s="567">
        <v>0</v>
      </c>
      <c r="M176" s="560">
        <v>0</v>
      </c>
      <c r="N176" s="568">
        <f>451/F176</f>
        <v>129.65358631594077</v>
      </c>
      <c r="O176" s="560">
        <f>36.08/F176</f>
        <v>10.372286905275262</v>
      </c>
      <c r="P176" s="569">
        <v>0</v>
      </c>
      <c r="Q176" s="560">
        <v>0</v>
      </c>
      <c r="R176" s="570" t="e">
        <f>Tabel6689212733[[#This Row],[landcode 3]]+Tabel6689212733[[#This Row],[VAT Sew. 2017]]+Tabel6689212733[[#This Row],[VAT WW 2017]]+Tabel6689212733[[#This Row],[VAT Other ch. 2017]]</f>
        <v>#VALUE!</v>
      </c>
      <c r="S176" s="571">
        <f>Tabel6689212733[[#This Row],[GDP 2017]]+Tabel6689212733[[#This Row],[Sew. 2017]]+Tabel6689212733[[#This Row],[VAT Sew. 2017]]+Tabel6689212733[[#This Row],[WW 2017]]+Tabel6689212733[[#This Row],[VAT WW 2017]]+Tabel6689212733[[#This Row],[Other ch. 2017]]+Tabel6689212733[[#This Row],[VAT Other ch. 2017]]</f>
        <v>140.02587322121605</v>
      </c>
      <c r="T176" s="397"/>
      <c r="U176" s="1801"/>
      <c r="V176" s="1803"/>
      <c r="W176" s="1805"/>
      <c r="X176" s="1773"/>
      <c r="Y176" s="1807"/>
      <c r="Z176" s="1809"/>
      <c r="AA176" s="1773"/>
      <c r="AB176" s="1782"/>
      <c r="AC176" s="1773"/>
      <c r="AD176" s="1786"/>
      <c r="AE176" s="1773"/>
      <c r="AF176" s="1789"/>
      <c r="AG176" s="1792"/>
      <c r="AH176" s="397"/>
      <c r="AI176" s="396"/>
      <c r="AJ176" s="591" t="s">
        <v>429</v>
      </c>
      <c r="AK176" s="398"/>
      <c r="AL176" s="398"/>
      <c r="AM176" s="398"/>
      <c r="AN176" s="398"/>
      <c r="AO176" s="398"/>
      <c r="AP176" s="397"/>
    </row>
    <row r="177" spans="1:42" ht="18" hidden="1" customHeight="1" x14ac:dyDescent="0.25">
      <c r="A177" s="1878" t="s">
        <v>23</v>
      </c>
      <c r="B177" s="638" t="s">
        <v>133</v>
      </c>
      <c r="C177" s="693" t="s">
        <v>429</v>
      </c>
      <c r="D177" s="806" t="s">
        <v>1116</v>
      </c>
      <c r="E177" s="1934">
        <v>30300</v>
      </c>
      <c r="F177" s="616">
        <f>'exchange rates'!$O$49</f>
        <v>0.83301000000000003</v>
      </c>
      <c r="G177" s="951" t="s">
        <v>23</v>
      </c>
      <c r="H177" s="638" t="s">
        <v>133</v>
      </c>
      <c r="I177" s="693" t="s">
        <v>429</v>
      </c>
      <c r="J177" s="806" t="s">
        <v>1116</v>
      </c>
      <c r="K177" s="981">
        <v>30300</v>
      </c>
      <c r="L177" s="567">
        <f>71.28/F177</f>
        <v>85.569200849929771</v>
      </c>
      <c r="M177" s="560">
        <v>0</v>
      </c>
      <c r="N177" s="568">
        <v>0</v>
      </c>
      <c r="O177" s="560">
        <v>0</v>
      </c>
      <c r="P177" s="569">
        <f>14.53/F177</f>
        <v>17.442767793904032</v>
      </c>
      <c r="Q177" s="560">
        <v>0</v>
      </c>
      <c r="R177" s="570" t="e">
        <f>Tabel6689212733[[#This Row],[landcode 3]]+Tabel6689212733[[#This Row],[VAT Sew. 2017]]+Tabel6689212733[[#This Row],[VAT WW 2017]]+Tabel6689212733[[#This Row],[VAT Other ch. 2017]]</f>
        <v>#VALUE!</v>
      </c>
      <c r="S177" s="571">
        <f>Tabel6689212733[[#This Row],[GDP 2017]]+Tabel6689212733[[#This Row],[Sew. 2017]]+Tabel6689212733[[#This Row],[VAT Sew. 2017]]+Tabel6689212733[[#This Row],[WW 2017]]+Tabel6689212733[[#This Row],[VAT WW 2017]]+Tabel6689212733[[#This Row],[Other ch. 2017]]+Tabel6689212733[[#This Row],[VAT Other ch. 2017]]</f>
        <v>30403.011968643834</v>
      </c>
      <c r="T177" s="397"/>
      <c r="U177" s="1935" t="e">
        <f>MEDIAN(G177:G183)</f>
        <v>#NUM!</v>
      </c>
      <c r="V177" s="1936" t="e">
        <f>MEDIAN(H177:H183)</f>
        <v>#NUM!</v>
      </c>
      <c r="W177" s="1937" t="e">
        <f>MEDIAN(I177:I183)</f>
        <v>#NUM!</v>
      </c>
      <c r="X177" s="1938" t="e">
        <f>MEDIAN(J177:J183)</f>
        <v>#NUM!</v>
      </c>
      <c r="Y177" s="1939" t="e">
        <f>SUM(U177:X183)</f>
        <v>#NUM!</v>
      </c>
      <c r="Z177" s="1950">
        <f t="shared" ref="Z177:AF177" si="32">MEDIAN(L177:L183)</f>
        <v>101.27129326178557</v>
      </c>
      <c r="AA177" s="1938">
        <f t="shared" si="32"/>
        <v>0</v>
      </c>
      <c r="AB177" s="1946">
        <f t="shared" si="32"/>
        <v>0</v>
      </c>
      <c r="AC177" s="1938">
        <f t="shared" si="32"/>
        <v>0</v>
      </c>
      <c r="AD177" s="1947">
        <f t="shared" si="32"/>
        <v>0</v>
      </c>
      <c r="AE177" s="1938">
        <f t="shared" si="32"/>
        <v>0</v>
      </c>
      <c r="AF177" s="1944" t="e">
        <f t="shared" si="32"/>
        <v>#VALUE!</v>
      </c>
      <c r="AG177" s="1945" t="e">
        <f>Y177+Z177+AA177+AB177+AC177+AD177+AE177</f>
        <v>#NUM!</v>
      </c>
      <c r="AH177" s="397"/>
      <c r="AI177" s="398"/>
      <c r="AJ177" s="398"/>
      <c r="AK177" s="398"/>
      <c r="AL177" s="591" t="s">
        <v>429</v>
      </c>
      <c r="AM177" s="591" t="s">
        <v>429</v>
      </c>
      <c r="AN177" s="614"/>
      <c r="AO177" s="398"/>
      <c r="AP177" s="397"/>
    </row>
    <row r="178" spans="1:42" ht="15.6" hidden="1" customHeight="1" x14ac:dyDescent="0.25">
      <c r="A178" s="1757"/>
      <c r="B178" s="639" t="s">
        <v>134</v>
      </c>
      <c r="C178" s="639"/>
      <c r="D178" s="724" t="s">
        <v>1116</v>
      </c>
      <c r="E178" s="1760"/>
      <c r="F178" s="616">
        <f>'exchange rates'!$O$49</f>
        <v>0.83301000000000003</v>
      </c>
      <c r="G178" s="952"/>
      <c r="H178" s="639" t="s">
        <v>134</v>
      </c>
      <c r="I178" s="639"/>
      <c r="J178" s="724" t="s">
        <v>1116</v>
      </c>
      <c r="K178" s="969"/>
      <c r="L178" s="567">
        <f>109.92/F178</f>
        <v>131.95519861706342</v>
      </c>
      <c r="M178" s="560">
        <v>0</v>
      </c>
      <c r="N178" s="568">
        <v>0</v>
      </c>
      <c r="O178" s="560">
        <v>0</v>
      </c>
      <c r="P178" s="569">
        <v>0</v>
      </c>
      <c r="Q178" s="560">
        <v>0</v>
      </c>
      <c r="R178" s="570" t="e">
        <f>Tabel6689212733[[#This Row],[landcode 3]]+Tabel6689212733[[#This Row],[VAT Sew. 2017]]+Tabel6689212733[[#This Row],[VAT WW 2017]]+Tabel6689212733[[#This Row],[VAT Other ch. 2017]]</f>
        <v>#VALUE!</v>
      </c>
      <c r="S178" s="571">
        <f>Tabel6689212733[[#This Row],[GDP 2017]]+Tabel6689212733[[#This Row],[Sew. 2017]]+Tabel6689212733[[#This Row],[VAT Sew. 2017]]+Tabel6689212733[[#This Row],[WW 2017]]+Tabel6689212733[[#This Row],[VAT WW 2017]]+Tabel6689212733[[#This Row],[Other ch. 2017]]+Tabel6689212733[[#This Row],[VAT Other ch. 2017]]</f>
        <v>131.95519861706342</v>
      </c>
      <c r="T178" s="397"/>
      <c r="U178" s="1763"/>
      <c r="V178" s="1766"/>
      <c r="W178" s="1769"/>
      <c r="X178" s="1772"/>
      <c r="Y178" s="1775"/>
      <c r="Z178" s="1778"/>
      <c r="AA178" s="1772"/>
      <c r="AB178" s="1781"/>
      <c r="AC178" s="1772"/>
      <c r="AD178" s="1785"/>
      <c r="AE178" s="1772"/>
      <c r="AF178" s="1788"/>
      <c r="AG178" s="1791"/>
      <c r="AH178" s="397"/>
      <c r="AI178" s="398"/>
      <c r="AJ178" s="398"/>
      <c r="AK178" s="398"/>
      <c r="AL178" s="591" t="s">
        <v>429</v>
      </c>
      <c r="AM178" s="591" t="s">
        <v>429</v>
      </c>
      <c r="AN178" s="614"/>
      <c r="AO178" s="398"/>
      <c r="AP178" s="397"/>
    </row>
    <row r="179" spans="1:42" ht="15.6" hidden="1" customHeight="1" x14ac:dyDescent="0.25">
      <c r="A179" s="1757"/>
      <c r="B179" s="639" t="s">
        <v>135</v>
      </c>
      <c r="C179" s="639"/>
      <c r="D179" s="724" t="s">
        <v>1116</v>
      </c>
      <c r="E179" s="1760"/>
      <c r="F179" s="616">
        <f>'exchange rates'!$O$49</f>
        <v>0.83301000000000003</v>
      </c>
      <c r="G179" s="952"/>
      <c r="H179" s="639" t="s">
        <v>135</v>
      </c>
      <c r="I179" s="639"/>
      <c r="J179" s="724" t="s">
        <v>1116</v>
      </c>
      <c r="K179" s="969"/>
      <c r="L179" s="567">
        <f>47.51/F179</f>
        <v>57.034129242145951</v>
      </c>
      <c r="M179" s="560">
        <f>2.85/F179</f>
        <v>3.4213274750603233</v>
      </c>
      <c r="N179" s="568">
        <v>0</v>
      </c>
      <c r="O179" s="560">
        <v>0</v>
      </c>
      <c r="P179" s="569">
        <v>0</v>
      </c>
      <c r="Q179" s="560">
        <v>0</v>
      </c>
      <c r="R179" s="570" t="e">
        <f>Tabel6689212733[[#This Row],[landcode 3]]+Tabel6689212733[[#This Row],[VAT Sew. 2017]]+Tabel6689212733[[#This Row],[VAT WW 2017]]+Tabel6689212733[[#This Row],[VAT Other ch. 2017]]</f>
        <v>#VALUE!</v>
      </c>
      <c r="S179" s="571">
        <f>Tabel6689212733[[#This Row],[GDP 2017]]+Tabel6689212733[[#This Row],[Sew. 2017]]+Tabel6689212733[[#This Row],[VAT Sew. 2017]]+Tabel6689212733[[#This Row],[WW 2017]]+Tabel6689212733[[#This Row],[VAT WW 2017]]+Tabel6689212733[[#This Row],[Other ch. 2017]]+Tabel6689212733[[#This Row],[VAT Other ch. 2017]]</f>
        <v>60.455456717206275</v>
      </c>
      <c r="T179" s="397"/>
      <c r="U179" s="1763"/>
      <c r="V179" s="1766"/>
      <c r="W179" s="1769"/>
      <c r="X179" s="1772"/>
      <c r="Y179" s="1775"/>
      <c r="Z179" s="1778"/>
      <c r="AA179" s="1772"/>
      <c r="AB179" s="1781"/>
      <c r="AC179" s="1772"/>
      <c r="AD179" s="1785"/>
      <c r="AE179" s="1772"/>
      <c r="AF179" s="1788"/>
      <c r="AG179" s="1791"/>
      <c r="AH179" s="397"/>
      <c r="AI179" s="398"/>
      <c r="AJ179" s="398"/>
      <c r="AK179" s="398"/>
      <c r="AL179" s="591" t="s">
        <v>429</v>
      </c>
      <c r="AM179" s="591" t="s">
        <v>429</v>
      </c>
      <c r="AN179" s="614"/>
      <c r="AO179" s="398"/>
      <c r="AP179" s="397"/>
    </row>
    <row r="180" spans="1:42" ht="15.6" hidden="1" customHeight="1" x14ac:dyDescent="0.25">
      <c r="A180" s="1757"/>
      <c r="B180" s="639" t="s">
        <v>136</v>
      </c>
      <c r="C180" s="639"/>
      <c r="D180" s="724" t="s">
        <v>1116</v>
      </c>
      <c r="E180" s="1760"/>
      <c r="F180" s="616">
        <f>'exchange rates'!$O$49</f>
        <v>0.83301000000000003</v>
      </c>
      <c r="G180" s="952"/>
      <c r="H180" s="639" t="s">
        <v>136</v>
      </c>
      <c r="I180" s="639"/>
      <c r="J180" s="724" t="s">
        <v>1116</v>
      </c>
      <c r="K180" s="969"/>
      <c r="L180" s="567">
        <f>102.88/F180</f>
        <v>123.50391952077405</v>
      </c>
      <c r="M180" s="560">
        <v>0</v>
      </c>
      <c r="N180" s="568">
        <v>0</v>
      </c>
      <c r="O180" s="560">
        <v>0</v>
      </c>
      <c r="P180" s="569">
        <v>0</v>
      </c>
      <c r="Q180" s="560">
        <v>0</v>
      </c>
      <c r="R180" s="570" t="e">
        <f>Tabel6689212733[[#This Row],[landcode 3]]+Tabel6689212733[[#This Row],[VAT Sew. 2017]]+Tabel6689212733[[#This Row],[VAT WW 2017]]+Tabel6689212733[[#This Row],[VAT Other ch. 2017]]</f>
        <v>#VALUE!</v>
      </c>
      <c r="S180" s="571">
        <f>Tabel6689212733[[#This Row],[GDP 2017]]+Tabel6689212733[[#This Row],[Sew. 2017]]+Tabel6689212733[[#This Row],[VAT Sew. 2017]]+Tabel6689212733[[#This Row],[WW 2017]]+Tabel6689212733[[#This Row],[VAT WW 2017]]+Tabel6689212733[[#This Row],[Other ch. 2017]]+Tabel6689212733[[#This Row],[VAT Other ch. 2017]]</f>
        <v>123.50391952077405</v>
      </c>
      <c r="T180" s="397"/>
      <c r="U180" s="1763"/>
      <c r="V180" s="1766"/>
      <c r="W180" s="1769"/>
      <c r="X180" s="1772"/>
      <c r="Y180" s="1775"/>
      <c r="Z180" s="1778"/>
      <c r="AA180" s="1772"/>
      <c r="AB180" s="1781"/>
      <c r="AC180" s="1772"/>
      <c r="AD180" s="1785"/>
      <c r="AE180" s="1772"/>
      <c r="AF180" s="1788"/>
      <c r="AG180" s="1791"/>
      <c r="AH180" s="397"/>
      <c r="AI180" s="398"/>
      <c r="AJ180" s="398"/>
      <c r="AK180" s="398"/>
      <c r="AL180" s="591" t="s">
        <v>429</v>
      </c>
      <c r="AM180" s="591" t="s">
        <v>429</v>
      </c>
      <c r="AN180" s="614"/>
      <c r="AO180" s="398"/>
      <c r="AP180" s="397"/>
    </row>
    <row r="181" spans="1:42" ht="15.6" hidden="1" customHeight="1" x14ac:dyDescent="0.25">
      <c r="A181" s="1757"/>
      <c r="B181" s="639" t="s">
        <v>137</v>
      </c>
      <c r="C181" s="639"/>
      <c r="D181" s="724" t="s">
        <v>1116</v>
      </c>
      <c r="E181" s="1760"/>
      <c r="F181" s="616">
        <f>'exchange rates'!$O$49</f>
        <v>0.83301000000000003</v>
      </c>
      <c r="G181" s="952"/>
      <c r="H181" s="639" t="s">
        <v>137</v>
      </c>
      <c r="I181" s="639"/>
      <c r="J181" s="724" t="s">
        <v>1116</v>
      </c>
      <c r="K181" s="969"/>
      <c r="L181" s="567">
        <f>49.09/F181</f>
        <v>58.930865175688169</v>
      </c>
      <c r="M181" s="560">
        <v>0</v>
      </c>
      <c r="N181" s="568">
        <v>0</v>
      </c>
      <c r="O181" s="560">
        <v>0</v>
      </c>
      <c r="P181" s="569">
        <v>0</v>
      </c>
      <c r="Q181" s="560">
        <v>0</v>
      </c>
      <c r="R181" s="570" t="e">
        <f>Tabel6689212733[[#This Row],[landcode 3]]+Tabel6689212733[[#This Row],[VAT Sew. 2017]]+Tabel6689212733[[#This Row],[VAT WW 2017]]+Tabel6689212733[[#This Row],[VAT Other ch. 2017]]</f>
        <v>#VALUE!</v>
      </c>
      <c r="S181" s="571">
        <f>Tabel6689212733[[#This Row],[GDP 2017]]+Tabel6689212733[[#This Row],[Sew. 2017]]+Tabel6689212733[[#This Row],[VAT Sew. 2017]]+Tabel6689212733[[#This Row],[WW 2017]]+Tabel6689212733[[#This Row],[VAT WW 2017]]+Tabel6689212733[[#This Row],[Other ch. 2017]]+Tabel6689212733[[#This Row],[VAT Other ch. 2017]]</f>
        <v>58.930865175688169</v>
      </c>
      <c r="T181" s="397"/>
      <c r="U181" s="1763"/>
      <c r="V181" s="1766"/>
      <c r="W181" s="1769"/>
      <c r="X181" s="1772"/>
      <c r="Y181" s="1775"/>
      <c r="Z181" s="1778"/>
      <c r="AA181" s="1772"/>
      <c r="AB181" s="1781"/>
      <c r="AC181" s="1772"/>
      <c r="AD181" s="1785"/>
      <c r="AE181" s="1772"/>
      <c r="AF181" s="1788"/>
      <c r="AG181" s="1791"/>
      <c r="AH181" s="397"/>
      <c r="AI181" s="398"/>
      <c r="AJ181" s="398"/>
      <c r="AK181" s="398"/>
      <c r="AL181" s="591" t="s">
        <v>429</v>
      </c>
      <c r="AM181" s="591" t="s">
        <v>429</v>
      </c>
      <c r="AN181" s="614"/>
      <c r="AO181" s="398"/>
      <c r="AP181" s="397"/>
    </row>
    <row r="182" spans="1:42" ht="15.6" hidden="1" customHeight="1" x14ac:dyDescent="0.25">
      <c r="A182" s="1757"/>
      <c r="B182" s="639" t="s">
        <v>138</v>
      </c>
      <c r="C182" s="639"/>
      <c r="D182" s="724" t="s">
        <v>1116</v>
      </c>
      <c r="E182" s="1760"/>
      <c r="F182" s="616">
        <f>'exchange rates'!$O$49</f>
        <v>0.83301000000000003</v>
      </c>
      <c r="G182" s="952"/>
      <c r="H182" s="639" t="s">
        <v>138</v>
      </c>
      <c r="I182" s="639"/>
      <c r="J182" s="724" t="s">
        <v>1116</v>
      </c>
      <c r="K182" s="969"/>
      <c r="L182" s="567">
        <f>84.36/F182</f>
        <v>101.27129326178557</v>
      </c>
      <c r="M182" s="560">
        <f>5.06/F182</f>
        <v>6.0743568504579768</v>
      </c>
      <c r="N182" s="568">
        <v>0</v>
      </c>
      <c r="O182" s="560">
        <v>0</v>
      </c>
      <c r="P182" s="569">
        <v>0</v>
      </c>
      <c r="Q182" s="560">
        <v>0</v>
      </c>
      <c r="R182" s="570" t="e">
        <f>Tabel6689212733[[#This Row],[landcode 3]]+Tabel6689212733[[#This Row],[VAT Sew. 2017]]+Tabel6689212733[[#This Row],[VAT WW 2017]]+Tabel6689212733[[#This Row],[VAT Other ch. 2017]]</f>
        <v>#VALUE!</v>
      </c>
      <c r="S182" s="571">
        <f>Tabel6689212733[[#This Row],[GDP 2017]]+Tabel6689212733[[#This Row],[Sew. 2017]]+Tabel6689212733[[#This Row],[VAT Sew. 2017]]+Tabel6689212733[[#This Row],[WW 2017]]+Tabel6689212733[[#This Row],[VAT WW 2017]]+Tabel6689212733[[#This Row],[Other ch. 2017]]+Tabel6689212733[[#This Row],[VAT Other ch. 2017]]</f>
        <v>107.34565011224355</v>
      </c>
      <c r="T182" s="397"/>
      <c r="U182" s="1763"/>
      <c r="V182" s="1766"/>
      <c r="W182" s="1769"/>
      <c r="X182" s="1772"/>
      <c r="Y182" s="1775"/>
      <c r="Z182" s="1778"/>
      <c r="AA182" s="1772"/>
      <c r="AB182" s="1781"/>
      <c r="AC182" s="1772"/>
      <c r="AD182" s="1785"/>
      <c r="AE182" s="1772"/>
      <c r="AF182" s="1788"/>
      <c r="AG182" s="1791"/>
      <c r="AH182" s="397"/>
      <c r="AI182" s="398"/>
      <c r="AJ182" s="398"/>
      <c r="AK182" s="398"/>
      <c r="AL182" s="591" t="s">
        <v>429</v>
      </c>
      <c r="AM182" s="591" t="s">
        <v>429</v>
      </c>
      <c r="AN182" s="614"/>
      <c r="AO182" s="398"/>
      <c r="AP182" s="397"/>
    </row>
    <row r="183" spans="1:42" ht="16.149999999999999" hidden="1" customHeight="1" thickBot="1" x14ac:dyDescent="0.3">
      <c r="A183" s="1758"/>
      <c r="B183" s="640" t="s">
        <v>139</v>
      </c>
      <c r="C183" s="652"/>
      <c r="D183" s="807" t="s">
        <v>1116</v>
      </c>
      <c r="E183" s="1799"/>
      <c r="F183" s="616">
        <f>'exchange rates'!$O$49</f>
        <v>0.83301000000000003</v>
      </c>
      <c r="G183" s="953"/>
      <c r="H183" s="640" t="s">
        <v>139</v>
      </c>
      <c r="I183" s="652"/>
      <c r="J183" s="807" t="s">
        <v>1116</v>
      </c>
      <c r="K183" s="987"/>
      <c r="L183" s="567">
        <f>114.67/F183</f>
        <v>137.65741107549729</v>
      </c>
      <c r="M183" s="560">
        <v>0</v>
      </c>
      <c r="N183" s="568">
        <v>0</v>
      </c>
      <c r="O183" s="560">
        <v>0</v>
      </c>
      <c r="P183" s="569">
        <v>0</v>
      </c>
      <c r="Q183" s="560">
        <v>0</v>
      </c>
      <c r="R183" s="570" t="e">
        <f>Tabel6689212733[[#This Row],[landcode 3]]+Tabel6689212733[[#This Row],[VAT Sew. 2017]]+Tabel6689212733[[#This Row],[VAT WW 2017]]+Tabel6689212733[[#This Row],[VAT Other ch. 2017]]</f>
        <v>#VALUE!</v>
      </c>
      <c r="S183" s="571">
        <f>Tabel6689212733[[#This Row],[GDP 2017]]+Tabel6689212733[[#This Row],[Sew. 2017]]+Tabel6689212733[[#This Row],[VAT Sew. 2017]]+Tabel6689212733[[#This Row],[WW 2017]]+Tabel6689212733[[#This Row],[VAT WW 2017]]+Tabel6689212733[[#This Row],[Other ch. 2017]]+Tabel6689212733[[#This Row],[VAT Other ch. 2017]]</f>
        <v>137.65741107549729</v>
      </c>
      <c r="T183" s="397"/>
      <c r="U183" s="1801"/>
      <c r="V183" s="1803"/>
      <c r="W183" s="1805"/>
      <c r="X183" s="1773"/>
      <c r="Y183" s="1807"/>
      <c r="Z183" s="1809"/>
      <c r="AA183" s="1773"/>
      <c r="AB183" s="1782"/>
      <c r="AC183" s="1773"/>
      <c r="AD183" s="1786"/>
      <c r="AE183" s="1773"/>
      <c r="AF183" s="1789"/>
      <c r="AG183" s="1792"/>
      <c r="AH183" s="397"/>
      <c r="AI183" s="398"/>
      <c r="AJ183" s="398"/>
      <c r="AK183" s="398"/>
      <c r="AL183" s="591" t="s">
        <v>429</v>
      </c>
      <c r="AM183" s="591" t="s">
        <v>429</v>
      </c>
      <c r="AN183" s="591" t="s">
        <v>429</v>
      </c>
      <c r="AO183" s="398"/>
      <c r="AP183" s="397"/>
    </row>
    <row r="184" spans="1:42" ht="18.75" hidden="1" customHeight="1" x14ac:dyDescent="0.25">
      <c r="A184" s="1878" t="s">
        <v>40</v>
      </c>
      <c r="B184" s="630" t="s">
        <v>869</v>
      </c>
      <c r="C184" s="754"/>
      <c r="D184" s="754" t="s">
        <v>1118</v>
      </c>
      <c r="E184" s="1983">
        <v>24000</v>
      </c>
      <c r="F184" s="616">
        <f>'exchange rates'!$O$50</f>
        <v>3.8868399999999999</v>
      </c>
      <c r="G184" s="951" t="s">
        <v>40</v>
      </c>
      <c r="H184" s="630" t="s">
        <v>869</v>
      </c>
      <c r="I184" s="754"/>
      <c r="J184" s="754" t="s">
        <v>1118</v>
      </c>
      <c r="K184" s="993">
        <v>24000</v>
      </c>
      <c r="L184" s="567">
        <v>0</v>
      </c>
      <c r="M184" s="560">
        <v>0</v>
      </c>
      <c r="N184" s="568">
        <f>279/F184</f>
        <v>71.780675304360358</v>
      </c>
      <c r="O184" s="560">
        <f>53.01/F184</f>
        <v>13.638328307828468</v>
      </c>
      <c r="P184" s="569">
        <v>0</v>
      </c>
      <c r="Q184" s="560">
        <v>0</v>
      </c>
      <c r="R184" s="570" t="e">
        <f>Tabel6689212733[[#This Row],[landcode 3]]+Tabel6689212733[[#This Row],[VAT Sew. 2017]]+Tabel6689212733[[#This Row],[VAT WW 2017]]+Tabel6689212733[[#This Row],[VAT Other ch. 2017]]</f>
        <v>#VALUE!</v>
      </c>
      <c r="S184" s="571">
        <f>Tabel6689212733[[#This Row],[GDP 2017]]+Tabel6689212733[[#This Row],[Sew. 2017]]+Tabel6689212733[[#This Row],[VAT Sew. 2017]]+Tabel6689212733[[#This Row],[WW 2017]]+Tabel6689212733[[#This Row],[VAT WW 2017]]+Tabel6689212733[[#This Row],[Other ch. 2017]]+Tabel6689212733[[#This Row],[VAT Other ch. 2017]]</f>
        <v>24085.419003612187</v>
      </c>
      <c r="T184" s="397"/>
      <c r="U184" s="1824" t="e">
        <f t="shared" ref="U184:AG184" si="33">MEDIAN(G184:G224)</f>
        <v>#NUM!</v>
      </c>
      <c r="V184" s="2338" t="e">
        <f t="shared" si="33"/>
        <v>#NUM!</v>
      </c>
      <c r="W184" s="1826" t="e">
        <f t="shared" si="33"/>
        <v>#NUM!</v>
      </c>
      <c r="X184" s="1938" t="e">
        <f t="shared" si="33"/>
        <v>#NUM!</v>
      </c>
      <c r="Y184" s="1827">
        <f t="shared" si="33"/>
        <v>24000</v>
      </c>
      <c r="Z184" s="1828">
        <f t="shared" si="33"/>
        <v>0</v>
      </c>
      <c r="AA184" s="1938">
        <f t="shared" si="33"/>
        <v>0</v>
      </c>
      <c r="AB184" s="1829">
        <f t="shared" si="33"/>
        <v>66.892385588292811</v>
      </c>
      <c r="AC184" s="1938">
        <f t="shared" si="33"/>
        <v>12.709553261775632</v>
      </c>
      <c r="AD184" s="1830">
        <f t="shared" si="33"/>
        <v>0</v>
      </c>
      <c r="AE184" s="1938">
        <f t="shared" si="33"/>
        <v>0</v>
      </c>
      <c r="AF184" s="2136" t="e">
        <f t="shared" si="33"/>
        <v>#VALUE!</v>
      </c>
      <c r="AG184" s="2052">
        <f t="shared" si="33"/>
        <v>79.60193885006845</v>
      </c>
      <c r="AH184" s="397"/>
      <c r="AI184" s="591" t="s">
        <v>429</v>
      </c>
      <c r="AJ184" s="591" t="s">
        <v>429</v>
      </c>
      <c r="AK184" s="591"/>
      <c r="AL184" s="591"/>
      <c r="AM184" s="591"/>
      <c r="AN184" s="591" t="s">
        <v>429</v>
      </c>
      <c r="AO184" s="614"/>
      <c r="AP184" s="397"/>
    </row>
    <row r="185" spans="1:42" ht="15.75" hidden="1" customHeight="1" x14ac:dyDescent="0.25">
      <c r="A185" s="1757"/>
      <c r="B185" s="274" t="s">
        <v>188</v>
      </c>
      <c r="C185" s="457"/>
      <c r="D185" s="457" t="s">
        <v>1118</v>
      </c>
      <c r="E185" s="1880"/>
      <c r="F185" s="616">
        <f>'exchange rates'!$O$50</f>
        <v>3.8868399999999999</v>
      </c>
      <c r="G185" s="952"/>
      <c r="H185" s="274" t="s">
        <v>188</v>
      </c>
      <c r="I185" s="457"/>
      <c r="J185" s="457" t="s">
        <v>1118</v>
      </c>
      <c r="K185" s="999"/>
      <c r="L185" s="322"/>
      <c r="M185" s="559"/>
      <c r="N185" s="323"/>
      <c r="O185" s="559"/>
      <c r="P185" s="324"/>
      <c r="Q185" s="559"/>
      <c r="R185" s="317"/>
      <c r="S185" s="318"/>
      <c r="T185" s="397"/>
      <c r="U185" s="1763"/>
      <c r="V185" s="2129"/>
      <c r="W185" s="1769"/>
      <c r="X185" s="1772"/>
      <c r="Y185" s="1775"/>
      <c r="Z185" s="1778"/>
      <c r="AA185" s="1772"/>
      <c r="AB185" s="1781"/>
      <c r="AC185" s="1772"/>
      <c r="AD185" s="1785"/>
      <c r="AE185" s="1772"/>
      <c r="AF185" s="2137"/>
      <c r="AG185" s="1990"/>
      <c r="AH185" s="397"/>
      <c r="AI185" s="591"/>
      <c r="AJ185" s="591"/>
      <c r="AK185" s="591"/>
      <c r="AL185" s="591"/>
      <c r="AM185" s="591"/>
      <c r="AN185" s="591"/>
      <c r="AO185" s="614"/>
      <c r="AP185" s="397"/>
    </row>
    <row r="186" spans="1:42" ht="15.75" hidden="1" customHeight="1" x14ac:dyDescent="0.25">
      <c r="A186" s="1757"/>
      <c r="B186" s="630" t="s">
        <v>189</v>
      </c>
      <c r="C186" s="754"/>
      <c r="D186" s="754" t="s">
        <v>1118</v>
      </c>
      <c r="E186" s="1880"/>
      <c r="F186" s="616">
        <f>'exchange rates'!$O$50</f>
        <v>3.8868399999999999</v>
      </c>
      <c r="G186" s="952"/>
      <c r="H186" s="630" t="s">
        <v>189</v>
      </c>
      <c r="I186" s="754"/>
      <c r="J186" s="754" t="s">
        <v>1118</v>
      </c>
      <c r="K186" s="999"/>
      <c r="L186" s="567">
        <v>0</v>
      </c>
      <c r="M186" s="560">
        <v>0</v>
      </c>
      <c r="N186" s="568">
        <f>180/F186</f>
        <v>46.310113099587326</v>
      </c>
      <c r="O186" s="560">
        <f>34.2/F186</f>
        <v>8.798921488921593</v>
      </c>
      <c r="P186" s="569">
        <v>0</v>
      </c>
      <c r="Q186" s="560">
        <v>0</v>
      </c>
      <c r="R186" s="570" t="e">
        <f>Tabel6689212733[[#This Row],[landcode 3]]+Tabel6689212733[[#This Row],[VAT Sew. 2017]]+Tabel6689212733[[#This Row],[VAT WW 2017]]+Tabel6689212733[[#This Row],[VAT Other ch. 2017]]</f>
        <v>#VALUE!</v>
      </c>
      <c r="S186" s="571">
        <f>Tabel6689212733[[#This Row],[GDP 2017]]+Tabel6689212733[[#This Row],[Sew. 2017]]+Tabel6689212733[[#This Row],[VAT Sew. 2017]]+Tabel6689212733[[#This Row],[WW 2017]]+Tabel6689212733[[#This Row],[VAT WW 2017]]+Tabel6689212733[[#This Row],[Other ch. 2017]]+Tabel6689212733[[#This Row],[VAT Other ch. 2017]]</f>
        <v>55.109034588508919</v>
      </c>
      <c r="T186" s="397"/>
      <c r="U186" s="1763"/>
      <c r="V186" s="2129"/>
      <c r="W186" s="1769"/>
      <c r="X186" s="1772"/>
      <c r="Y186" s="1775"/>
      <c r="Z186" s="1778"/>
      <c r="AA186" s="1772"/>
      <c r="AB186" s="1781"/>
      <c r="AC186" s="1772"/>
      <c r="AD186" s="1785"/>
      <c r="AE186" s="1772"/>
      <c r="AF186" s="2137"/>
      <c r="AG186" s="1990"/>
      <c r="AH186" s="397"/>
      <c r="AI186" s="591" t="s">
        <v>429</v>
      </c>
      <c r="AJ186" s="591" t="s">
        <v>429</v>
      </c>
      <c r="AK186" s="591"/>
      <c r="AL186" s="591"/>
      <c r="AM186" s="591"/>
      <c r="AN186" s="591" t="s">
        <v>429</v>
      </c>
      <c r="AO186" s="614"/>
      <c r="AP186" s="397"/>
    </row>
    <row r="187" spans="1:42" ht="15.75" hidden="1" customHeight="1" x14ac:dyDescent="0.25">
      <c r="A187" s="1757"/>
      <c r="B187" s="630" t="s">
        <v>190</v>
      </c>
      <c r="C187" s="754"/>
      <c r="D187" s="754" t="s">
        <v>1118</v>
      </c>
      <c r="E187" s="1880"/>
      <c r="F187" s="616">
        <f>'exchange rates'!$O$50</f>
        <v>3.8868399999999999</v>
      </c>
      <c r="G187" s="952"/>
      <c r="H187" s="630" t="s">
        <v>190</v>
      </c>
      <c r="I187" s="754"/>
      <c r="J187" s="754" t="s">
        <v>1118</v>
      </c>
      <c r="K187" s="999"/>
      <c r="L187" s="567">
        <v>0</v>
      </c>
      <c r="M187" s="560">
        <v>0</v>
      </c>
      <c r="N187" s="568">
        <f>257/F187</f>
        <v>66.120550369966352</v>
      </c>
      <c r="O187" s="560">
        <f>48.83/F187</f>
        <v>12.562904570293606</v>
      </c>
      <c r="P187" s="569">
        <v>0</v>
      </c>
      <c r="Q187" s="560">
        <v>0</v>
      </c>
      <c r="R187" s="570" t="e">
        <f>Tabel6689212733[[#This Row],[landcode 3]]+Tabel6689212733[[#This Row],[VAT Sew. 2017]]+Tabel6689212733[[#This Row],[VAT WW 2017]]+Tabel6689212733[[#This Row],[VAT Other ch. 2017]]</f>
        <v>#VALUE!</v>
      </c>
      <c r="S187" s="571">
        <f>Tabel6689212733[[#This Row],[GDP 2017]]+Tabel6689212733[[#This Row],[Sew. 2017]]+Tabel6689212733[[#This Row],[VAT Sew. 2017]]+Tabel6689212733[[#This Row],[WW 2017]]+Tabel6689212733[[#This Row],[VAT WW 2017]]+Tabel6689212733[[#This Row],[Other ch. 2017]]+Tabel6689212733[[#This Row],[VAT Other ch. 2017]]</f>
        <v>78.683454940259963</v>
      </c>
      <c r="T187" s="397"/>
      <c r="U187" s="1763"/>
      <c r="V187" s="2129"/>
      <c r="W187" s="1769"/>
      <c r="X187" s="1772"/>
      <c r="Y187" s="1775"/>
      <c r="Z187" s="1778"/>
      <c r="AA187" s="1772"/>
      <c r="AB187" s="1781"/>
      <c r="AC187" s="1772"/>
      <c r="AD187" s="1785"/>
      <c r="AE187" s="1772"/>
      <c r="AF187" s="2137"/>
      <c r="AG187" s="1990"/>
      <c r="AH187" s="397"/>
      <c r="AI187" s="591" t="s">
        <v>429</v>
      </c>
      <c r="AJ187" s="591" t="s">
        <v>429</v>
      </c>
      <c r="AK187" s="591"/>
      <c r="AL187" s="591"/>
      <c r="AM187" s="591"/>
      <c r="AN187" s="591" t="s">
        <v>429</v>
      </c>
      <c r="AO187" s="614"/>
      <c r="AP187" s="397"/>
    </row>
    <row r="188" spans="1:42" ht="15.75" hidden="1" customHeight="1" x14ac:dyDescent="0.25">
      <c r="A188" s="1757"/>
      <c r="B188" s="631" t="s">
        <v>191</v>
      </c>
      <c r="C188" s="754"/>
      <c r="D188" s="754" t="s">
        <v>1118</v>
      </c>
      <c r="E188" s="1880"/>
      <c r="F188" s="616">
        <f>'exchange rates'!$O$50</f>
        <v>3.8868399999999999</v>
      </c>
      <c r="G188" s="952"/>
      <c r="H188" s="631" t="s">
        <v>191</v>
      </c>
      <c r="I188" s="754"/>
      <c r="J188" s="754" t="s">
        <v>1118</v>
      </c>
      <c r="K188" s="999"/>
      <c r="L188" s="567">
        <v>0</v>
      </c>
      <c r="M188" s="560">
        <v>0</v>
      </c>
      <c r="N188" s="568">
        <f>284/F188</f>
        <v>73.067067334904451</v>
      </c>
      <c r="O188" s="560">
        <f>53.96/F188</f>
        <v>13.882742793631845</v>
      </c>
      <c r="P188" s="569">
        <v>0</v>
      </c>
      <c r="Q188" s="560">
        <v>0</v>
      </c>
      <c r="R188" s="570" t="e">
        <f>Tabel6689212733[[#This Row],[landcode 3]]+Tabel6689212733[[#This Row],[VAT Sew. 2017]]+Tabel6689212733[[#This Row],[VAT WW 2017]]+Tabel6689212733[[#This Row],[VAT Other ch. 2017]]</f>
        <v>#VALUE!</v>
      </c>
      <c r="S188" s="571">
        <f>Tabel6689212733[[#This Row],[GDP 2017]]+Tabel6689212733[[#This Row],[Sew. 2017]]+Tabel6689212733[[#This Row],[VAT Sew. 2017]]+Tabel6689212733[[#This Row],[WW 2017]]+Tabel6689212733[[#This Row],[VAT WW 2017]]+Tabel6689212733[[#This Row],[Other ch. 2017]]+Tabel6689212733[[#This Row],[VAT Other ch. 2017]]</f>
        <v>86.949810128536299</v>
      </c>
      <c r="T188" s="397"/>
      <c r="U188" s="1763"/>
      <c r="V188" s="2129"/>
      <c r="W188" s="1769"/>
      <c r="X188" s="1772"/>
      <c r="Y188" s="1775"/>
      <c r="Z188" s="1778"/>
      <c r="AA188" s="1772"/>
      <c r="AB188" s="1781"/>
      <c r="AC188" s="1772"/>
      <c r="AD188" s="1785"/>
      <c r="AE188" s="1772"/>
      <c r="AF188" s="2137"/>
      <c r="AG188" s="1990"/>
      <c r="AH188" s="397"/>
      <c r="AI188" s="591" t="s">
        <v>429</v>
      </c>
      <c r="AJ188" s="591" t="s">
        <v>429</v>
      </c>
      <c r="AK188" s="591"/>
      <c r="AL188" s="591"/>
      <c r="AM188" s="591"/>
      <c r="AN188" s="591" t="s">
        <v>429</v>
      </c>
      <c r="AO188" s="614"/>
      <c r="AP188" s="397"/>
    </row>
    <row r="189" spans="1:42" ht="15.75" hidden="1" customHeight="1" x14ac:dyDescent="0.25">
      <c r="A189" s="1757"/>
      <c r="B189" s="631" t="s">
        <v>218</v>
      </c>
      <c r="C189" s="754"/>
      <c r="D189" s="754" t="s">
        <v>1118</v>
      </c>
      <c r="E189" s="1880"/>
      <c r="F189" s="616">
        <f>'exchange rates'!$O$50</f>
        <v>3.8868399999999999</v>
      </c>
      <c r="G189" s="952"/>
      <c r="H189" s="631" t="s">
        <v>218</v>
      </c>
      <c r="I189" s="754"/>
      <c r="J189" s="754" t="s">
        <v>1118</v>
      </c>
      <c r="K189" s="999"/>
      <c r="L189" s="567">
        <v>0</v>
      </c>
      <c r="M189" s="560">
        <v>0</v>
      </c>
      <c r="N189" s="568">
        <f>242/F189</f>
        <v>62.261374278334074</v>
      </c>
      <c r="O189" s="560">
        <f>45.98/F189</f>
        <v>11.829661112883473</v>
      </c>
      <c r="P189" s="569">
        <v>0</v>
      </c>
      <c r="Q189" s="560">
        <v>0</v>
      </c>
      <c r="R189" s="570" t="e">
        <f>Tabel6689212733[[#This Row],[landcode 3]]+Tabel6689212733[[#This Row],[VAT Sew. 2017]]+Tabel6689212733[[#This Row],[VAT WW 2017]]+Tabel6689212733[[#This Row],[VAT Other ch. 2017]]</f>
        <v>#VALUE!</v>
      </c>
      <c r="S189" s="571">
        <f>Tabel6689212733[[#This Row],[GDP 2017]]+Tabel6689212733[[#This Row],[Sew. 2017]]+Tabel6689212733[[#This Row],[VAT Sew. 2017]]+Tabel6689212733[[#This Row],[WW 2017]]+Tabel6689212733[[#This Row],[VAT WW 2017]]+Tabel6689212733[[#This Row],[Other ch. 2017]]+Tabel6689212733[[#This Row],[VAT Other ch. 2017]]</f>
        <v>74.091035391217545</v>
      </c>
      <c r="T189" s="397"/>
      <c r="U189" s="1763"/>
      <c r="V189" s="2129"/>
      <c r="W189" s="1769"/>
      <c r="X189" s="1772"/>
      <c r="Y189" s="1775"/>
      <c r="Z189" s="1778"/>
      <c r="AA189" s="1772"/>
      <c r="AB189" s="1781"/>
      <c r="AC189" s="1772"/>
      <c r="AD189" s="1785"/>
      <c r="AE189" s="1772"/>
      <c r="AF189" s="2137"/>
      <c r="AG189" s="1990"/>
      <c r="AH189" s="397"/>
      <c r="AI189" s="591" t="s">
        <v>429</v>
      </c>
      <c r="AJ189" s="591" t="s">
        <v>429</v>
      </c>
      <c r="AK189" s="591"/>
      <c r="AL189" s="591"/>
      <c r="AM189" s="591"/>
      <c r="AN189" s="591" t="s">
        <v>429</v>
      </c>
      <c r="AO189" s="614"/>
      <c r="AP189" s="397"/>
    </row>
    <row r="190" spans="1:42" ht="16.5" hidden="1" customHeight="1" x14ac:dyDescent="0.25">
      <c r="A190" s="1757"/>
      <c r="B190" s="632" t="s">
        <v>219</v>
      </c>
      <c r="C190" s="925"/>
      <c r="D190" s="754" t="s">
        <v>1118</v>
      </c>
      <c r="E190" s="1880"/>
      <c r="F190" s="616">
        <f>'exchange rates'!$O$50</f>
        <v>3.8868399999999999</v>
      </c>
      <c r="G190" s="952"/>
      <c r="H190" s="632" t="s">
        <v>219</v>
      </c>
      <c r="I190" s="925"/>
      <c r="J190" s="754" t="s">
        <v>1118</v>
      </c>
      <c r="K190" s="999"/>
      <c r="L190" s="567">
        <v>0</v>
      </c>
      <c r="M190" s="560">
        <v>0</v>
      </c>
      <c r="N190" s="568">
        <f>213/F190</f>
        <v>54.800300501178334</v>
      </c>
      <c r="O190" s="560">
        <f>40.47/F190</f>
        <v>10.412057095223883</v>
      </c>
      <c r="P190" s="569">
        <v>0</v>
      </c>
      <c r="Q190" s="560">
        <v>0</v>
      </c>
      <c r="R190" s="570" t="e">
        <f>Tabel6689212733[[#This Row],[landcode 3]]+Tabel6689212733[[#This Row],[VAT Sew. 2017]]+Tabel6689212733[[#This Row],[VAT WW 2017]]+Tabel6689212733[[#This Row],[VAT Other ch. 2017]]</f>
        <v>#VALUE!</v>
      </c>
      <c r="S190" s="571">
        <f>Tabel6689212733[[#This Row],[GDP 2017]]+Tabel6689212733[[#This Row],[Sew. 2017]]+Tabel6689212733[[#This Row],[VAT Sew. 2017]]+Tabel6689212733[[#This Row],[WW 2017]]+Tabel6689212733[[#This Row],[VAT WW 2017]]+Tabel6689212733[[#This Row],[Other ch. 2017]]+Tabel6689212733[[#This Row],[VAT Other ch. 2017]]</f>
        <v>65.212357596402214</v>
      </c>
      <c r="T190" s="397"/>
      <c r="U190" s="1763"/>
      <c r="V190" s="2129"/>
      <c r="W190" s="1769"/>
      <c r="X190" s="1772"/>
      <c r="Y190" s="1775"/>
      <c r="Z190" s="1778"/>
      <c r="AA190" s="1772"/>
      <c r="AB190" s="1781"/>
      <c r="AC190" s="1772"/>
      <c r="AD190" s="1785"/>
      <c r="AE190" s="1772"/>
      <c r="AF190" s="2137"/>
      <c r="AG190" s="1990"/>
      <c r="AH190" s="397"/>
      <c r="AI190" s="591" t="s">
        <v>429</v>
      </c>
      <c r="AJ190" s="591" t="s">
        <v>429</v>
      </c>
      <c r="AK190" s="591"/>
      <c r="AL190" s="591"/>
      <c r="AM190" s="591"/>
      <c r="AN190" s="591" t="s">
        <v>429</v>
      </c>
      <c r="AO190" s="614"/>
      <c r="AP190" s="397"/>
    </row>
    <row r="191" spans="1:42" ht="15.75" hidden="1" customHeight="1" x14ac:dyDescent="0.25">
      <c r="A191" s="1757"/>
      <c r="B191" s="632" t="s">
        <v>513</v>
      </c>
      <c r="C191" s="925"/>
      <c r="D191" s="754" t="s">
        <v>1118</v>
      </c>
      <c r="E191" s="1880"/>
      <c r="F191" s="616">
        <f>'exchange rates'!$O$50</f>
        <v>3.8868399999999999</v>
      </c>
      <c r="G191" s="952"/>
      <c r="H191" s="632" t="s">
        <v>513</v>
      </c>
      <c r="I191" s="925"/>
      <c r="J191" s="754" t="s">
        <v>1118</v>
      </c>
      <c r="K191" s="999"/>
      <c r="L191" s="567">
        <v>0</v>
      </c>
      <c r="M191" s="560">
        <v>0</v>
      </c>
      <c r="N191" s="568">
        <f>363/F191</f>
        <v>93.392061417501111</v>
      </c>
      <c r="O191" s="560">
        <f>68.97/F191</f>
        <v>17.74449166932521</v>
      </c>
      <c r="P191" s="569">
        <v>0</v>
      </c>
      <c r="Q191" s="560">
        <v>0</v>
      </c>
      <c r="R191" s="570" t="e">
        <f>Tabel6689212733[[#This Row],[landcode 3]]+Tabel6689212733[[#This Row],[VAT Sew. 2017]]+Tabel6689212733[[#This Row],[VAT WW 2017]]+Tabel6689212733[[#This Row],[VAT Other ch. 2017]]</f>
        <v>#VALUE!</v>
      </c>
      <c r="S191" s="571">
        <f>Tabel6689212733[[#This Row],[GDP 2017]]+Tabel6689212733[[#This Row],[Sew. 2017]]+Tabel6689212733[[#This Row],[VAT Sew. 2017]]+Tabel6689212733[[#This Row],[WW 2017]]+Tabel6689212733[[#This Row],[VAT WW 2017]]+Tabel6689212733[[#This Row],[Other ch. 2017]]+Tabel6689212733[[#This Row],[VAT Other ch. 2017]]</f>
        <v>111.13655308682632</v>
      </c>
      <c r="T191" s="397"/>
      <c r="U191" s="1763"/>
      <c r="V191" s="2129"/>
      <c r="W191" s="1769"/>
      <c r="X191" s="1772"/>
      <c r="Y191" s="1775"/>
      <c r="Z191" s="1778"/>
      <c r="AA191" s="1772"/>
      <c r="AB191" s="1781"/>
      <c r="AC191" s="1772"/>
      <c r="AD191" s="1785"/>
      <c r="AE191" s="1772"/>
      <c r="AF191" s="2137"/>
      <c r="AG191" s="1990"/>
      <c r="AH191" s="397"/>
      <c r="AI191" s="591" t="s">
        <v>429</v>
      </c>
      <c r="AJ191" s="591" t="s">
        <v>429</v>
      </c>
      <c r="AK191" s="591"/>
      <c r="AL191" s="591"/>
      <c r="AM191" s="591"/>
      <c r="AN191" s="591" t="s">
        <v>429</v>
      </c>
      <c r="AO191" s="614"/>
      <c r="AP191" s="397"/>
    </row>
    <row r="192" spans="1:42" ht="15.75" hidden="1" customHeight="1" x14ac:dyDescent="0.25">
      <c r="A192" s="1757"/>
      <c r="B192" s="632" t="s">
        <v>514</v>
      </c>
      <c r="C192" s="925"/>
      <c r="D192" s="754" t="s">
        <v>1118</v>
      </c>
      <c r="E192" s="1880"/>
      <c r="F192" s="616">
        <f>'exchange rates'!$O$50</f>
        <v>3.8868399999999999</v>
      </c>
      <c r="G192" s="952"/>
      <c r="H192" s="632" t="s">
        <v>514</v>
      </c>
      <c r="I192" s="925"/>
      <c r="J192" s="754" t="s">
        <v>1118</v>
      </c>
      <c r="K192" s="999"/>
      <c r="L192" s="567">
        <v>0</v>
      </c>
      <c r="M192" s="560">
        <v>0</v>
      </c>
      <c r="N192" s="568">
        <f>321/F192</f>
        <v>82.586368360930734</v>
      </c>
      <c r="O192" s="560">
        <f>60.99/F192</f>
        <v>15.69140998857684</v>
      </c>
      <c r="P192" s="569">
        <v>0</v>
      </c>
      <c r="Q192" s="560">
        <v>0</v>
      </c>
      <c r="R192" s="570" t="e">
        <f>Tabel6689212733[[#This Row],[landcode 3]]+Tabel6689212733[[#This Row],[VAT Sew. 2017]]+Tabel6689212733[[#This Row],[VAT WW 2017]]+Tabel6689212733[[#This Row],[VAT Other ch. 2017]]</f>
        <v>#VALUE!</v>
      </c>
      <c r="S192" s="571">
        <f>Tabel6689212733[[#This Row],[GDP 2017]]+Tabel6689212733[[#This Row],[Sew. 2017]]+Tabel6689212733[[#This Row],[VAT Sew. 2017]]+Tabel6689212733[[#This Row],[WW 2017]]+Tabel6689212733[[#This Row],[VAT WW 2017]]+Tabel6689212733[[#This Row],[Other ch. 2017]]+Tabel6689212733[[#This Row],[VAT Other ch. 2017]]</f>
        <v>98.277778349507571</v>
      </c>
      <c r="T192" s="397"/>
      <c r="U192" s="1763"/>
      <c r="V192" s="2129"/>
      <c r="W192" s="1769"/>
      <c r="X192" s="1772"/>
      <c r="Y192" s="1775"/>
      <c r="Z192" s="1778"/>
      <c r="AA192" s="1772"/>
      <c r="AB192" s="1781"/>
      <c r="AC192" s="1772"/>
      <c r="AD192" s="1785"/>
      <c r="AE192" s="1772"/>
      <c r="AF192" s="2137"/>
      <c r="AG192" s="1990"/>
      <c r="AH192" s="397"/>
      <c r="AI192" s="591" t="s">
        <v>429</v>
      </c>
      <c r="AJ192" s="591" t="s">
        <v>429</v>
      </c>
      <c r="AK192" s="591"/>
      <c r="AL192" s="591"/>
      <c r="AM192" s="591"/>
      <c r="AN192" s="591" t="s">
        <v>429</v>
      </c>
      <c r="AO192" s="614"/>
      <c r="AP192" s="397"/>
    </row>
    <row r="193" spans="1:42" ht="15.75" hidden="1" customHeight="1" x14ac:dyDescent="0.25">
      <c r="A193" s="1757"/>
      <c r="B193" s="632" t="s">
        <v>515</v>
      </c>
      <c r="C193" s="925"/>
      <c r="D193" s="754" t="s">
        <v>1118</v>
      </c>
      <c r="E193" s="1880"/>
      <c r="F193" s="616">
        <f>'exchange rates'!$O$50</f>
        <v>3.8868399999999999</v>
      </c>
      <c r="G193" s="952"/>
      <c r="H193" s="632" t="s">
        <v>515</v>
      </c>
      <c r="I193" s="925"/>
      <c r="J193" s="754" t="s">
        <v>1118</v>
      </c>
      <c r="K193" s="999"/>
      <c r="L193" s="567">
        <v>0</v>
      </c>
      <c r="M193" s="560">
        <v>0</v>
      </c>
      <c r="N193" s="568">
        <f>276/F193</f>
        <v>71.008840086033899</v>
      </c>
      <c r="O193" s="560">
        <f>52.44/F193</f>
        <v>13.49167961634644</v>
      </c>
      <c r="P193" s="569">
        <v>0</v>
      </c>
      <c r="Q193" s="560">
        <v>0</v>
      </c>
      <c r="R193" s="570" t="e">
        <f>Tabel6689212733[[#This Row],[landcode 3]]+Tabel6689212733[[#This Row],[VAT Sew. 2017]]+Tabel6689212733[[#This Row],[VAT WW 2017]]+Tabel6689212733[[#This Row],[VAT Other ch. 2017]]</f>
        <v>#VALUE!</v>
      </c>
      <c r="S193" s="571">
        <f>Tabel6689212733[[#This Row],[GDP 2017]]+Tabel6689212733[[#This Row],[Sew. 2017]]+Tabel6689212733[[#This Row],[VAT Sew. 2017]]+Tabel6689212733[[#This Row],[WW 2017]]+Tabel6689212733[[#This Row],[VAT WW 2017]]+Tabel6689212733[[#This Row],[Other ch. 2017]]+Tabel6689212733[[#This Row],[VAT Other ch. 2017]]</f>
        <v>84.500519702380345</v>
      </c>
      <c r="T193" s="397"/>
      <c r="U193" s="1763"/>
      <c r="V193" s="2129"/>
      <c r="W193" s="1769"/>
      <c r="X193" s="1772"/>
      <c r="Y193" s="1775"/>
      <c r="Z193" s="1778"/>
      <c r="AA193" s="1772"/>
      <c r="AB193" s="1781"/>
      <c r="AC193" s="1772"/>
      <c r="AD193" s="1785"/>
      <c r="AE193" s="1772"/>
      <c r="AF193" s="2137"/>
      <c r="AG193" s="1990"/>
      <c r="AH193" s="397"/>
      <c r="AI193" s="591" t="s">
        <v>429</v>
      </c>
      <c r="AJ193" s="591" t="s">
        <v>429</v>
      </c>
      <c r="AK193" s="591"/>
      <c r="AL193" s="591"/>
      <c r="AM193" s="591"/>
      <c r="AN193" s="591" t="s">
        <v>429</v>
      </c>
      <c r="AO193" s="614"/>
      <c r="AP193" s="397"/>
    </row>
    <row r="194" spans="1:42" ht="15.75" hidden="1" customHeight="1" x14ac:dyDescent="0.25">
      <c r="A194" s="1757"/>
      <c r="B194" s="632" t="s">
        <v>516</v>
      </c>
      <c r="C194" s="925"/>
      <c r="D194" s="754" t="s">
        <v>1118</v>
      </c>
      <c r="E194" s="1880"/>
      <c r="F194" s="616">
        <f>'exchange rates'!$O$50</f>
        <v>3.8868399999999999</v>
      </c>
      <c r="G194" s="952"/>
      <c r="H194" s="632" t="s">
        <v>516</v>
      </c>
      <c r="I194" s="925"/>
      <c r="J194" s="754" t="s">
        <v>1118</v>
      </c>
      <c r="K194" s="999"/>
      <c r="L194" s="567">
        <v>0</v>
      </c>
      <c r="M194" s="560">
        <v>0</v>
      </c>
      <c r="N194" s="568">
        <f>260/F194</f>
        <v>66.892385588292811</v>
      </c>
      <c r="O194" s="560">
        <f>49.4/F194</f>
        <v>12.709553261775632</v>
      </c>
      <c r="P194" s="569">
        <v>0</v>
      </c>
      <c r="Q194" s="560">
        <v>0</v>
      </c>
      <c r="R194" s="570" t="e">
        <f>Tabel6689212733[[#This Row],[landcode 3]]+Tabel6689212733[[#This Row],[VAT Sew. 2017]]+Tabel6689212733[[#This Row],[VAT WW 2017]]+Tabel6689212733[[#This Row],[VAT Other ch. 2017]]</f>
        <v>#VALUE!</v>
      </c>
      <c r="S194" s="571">
        <f>Tabel6689212733[[#This Row],[GDP 2017]]+Tabel6689212733[[#This Row],[Sew. 2017]]+Tabel6689212733[[#This Row],[VAT Sew. 2017]]+Tabel6689212733[[#This Row],[WW 2017]]+Tabel6689212733[[#This Row],[VAT WW 2017]]+Tabel6689212733[[#This Row],[Other ch. 2017]]+Tabel6689212733[[#This Row],[VAT Other ch. 2017]]</f>
        <v>79.60193885006845</v>
      </c>
      <c r="T194" s="397"/>
      <c r="U194" s="1763"/>
      <c r="V194" s="2129"/>
      <c r="W194" s="1769"/>
      <c r="X194" s="1772"/>
      <c r="Y194" s="1775"/>
      <c r="Z194" s="1778"/>
      <c r="AA194" s="1772"/>
      <c r="AB194" s="1781"/>
      <c r="AC194" s="1772"/>
      <c r="AD194" s="1785"/>
      <c r="AE194" s="1772"/>
      <c r="AF194" s="2137"/>
      <c r="AG194" s="1990"/>
      <c r="AH194" s="397"/>
      <c r="AI194" s="591" t="s">
        <v>429</v>
      </c>
      <c r="AJ194" s="591" t="s">
        <v>429</v>
      </c>
      <c r="AK194" s="591"/>
      <c r="AL194" s="591"/>
      <c r="AM194" s="591"/>
      <c r="AN194" s="591" t="s">
        <v>429</v>
      </c>
      <c r="AO194" s="614"/>
      <c r="AP194" s="397"/>
    </row>
    <row r="195" spans="1:42" ht="15.75" hidden="1" customHeight="1" x14ac:dyDescent="0.25">
      <c r="A195" s="1757"/>
      <c r="B195" s="632" t="s">
        <v>875</v>
      </c>
      <c r="C195" s="925"/>
      <c r="D195" s="754" t="s">
        <v>1118</v>
      </c>
      <c r="E195" s="1880"/>
      <c r="F195" s="616">
        <f>'exchange rates'!$O$50</f>
        <v>3.8868399999999999</v>
      </c>
      <c r="G195" s="952"/>
      <c r="H195" s="632" t="s">
        <v>875</v>
      </c>
      <c r="I195" s="925"/>
      <c r="J195" s="754" t="s">
        <v>1118</v>
      </c>
      <c r="K195" s="999"/>
      <c r="L195" s="567">
        <v>0</v>
      </c>
      <c r="M195" s="560">
        <v>0</v>
      </c>
      <c r="N195" s="568">
        <f>297/F195</f>
        <v>76.411686614319095</v>
      </c>
      <c r="O195" s="560">
        <f>56.43/F195</f>
        <v>14.518220456720627</v>
      </c>
      <c r="P195" s="569">
        <v>0</v>
      </c>
      <c r="Q195" s="560">
        <v>0</v>
      </c>
      <c r="R195" s="570" t="e">
        <f>Tabel6689212733[[#This Row],[landcode 3]]+Tabel6689212733[[#This Row],[VAT Sew. 2017]]+Tabel6689212733[[#This Row],[VAT WW 2017]]+Tabel6689212733[[#This Row],[VAT Other ch. 2017]]</f>
        <v>#VALUE!</v>
      </c>
      <c r="S195" s="571">
        <f>Tabel6689212733[[#This Row],[GDP 2017]]+Tabel6689212733[[#This Row],[Sew. 2017]]+Tabel6689212733[[#This Row],[VAT Sew. 2017]]+Tabel6689212733[[#This Row],[WW 2017]]+Tabel6689212733[[#This Row],[VAT WW 2017]]+Tabel6689212733[[#This Row],[Other ch. 2017]]+Tabel6689212733[[#This Row],[VAT Other ch. 2017]]</f>
        <v>90.929907071039722</v>
      </c>
      <c r="T195" s="397"/>
      <c r="U195" s="1763"/>
      <c r="V195" s="2129"/>
      <c r="W195" s="1769"/>
      <c r="X195" s="1772"/>
      <c r="Y195" s="1775"/>
      <c r="Z195" s="1778"/>
      <c r="AA195" s="1772"/>
      <c r="AB195" s="1781"/>
      <c r="AC195" s="1772"/>
      <c r="AD195" s="1785"/>
      <c r="AE195" s="1772"/>
      <c r="AF195" s="2137"/>
      <c r="AG195" s="1990"/>
      <c r="AH195" s="397"/>
      <c r="AI195" s="591" t="s">
        <v>429</v>
      </c>
      <c r="AJ195" s="591" t="s">
        <v>429</v>
      </c>
      <c r="AK195" s="591"/>
      <c r="AL195" s="591"/>
      <c r="AM195" s="591"/>
      <c r="AN195" s="591" t="s">
        <v>429</v>
      </c>
      <c r="AO195" s="614"/>
      <c r="AP195" s="397"/>
    </row>
    <row r="196" spans="1:42" ht="15.75" hidden="1" customHeight="1" x14ac:dyDescent="0.25">
      <c r="A196" s="1757"/>
      <c r="B196" s="632" t="s">
        <v>517</v>
      </c>
      <c r="C196" s="925"/>
      <c r="D196" s="754" t="s">
        <v>1118</v>
      </c>
      <c r="E196" s="1880"/>
      <c r="F196" s="616">
        <f>'exchange rates'!$O$50</f>
        <v>3.8868399999999999</v>
      </c>
      <c r="G196" s="952"/>
      <c r="H196" s="632" t="s">
        <v>517</v>
      </c>
      <c r="I196" s="925"/>
      <c r="J196" s="754" t="s">
        <v>1118</v>
      </c>
      <c r="K196" s="999"/>
      <c r="L196" s="567">
        <v>0</v>
      </c>
      <c r="M196" s="560">
        <v>0</v>
      </c>
      <c r="N196" s="568">
        <f>299/F196</f>
        <v>76.926243426536729</v>
      </c>
      <c r="O196" s="560">
        <f>56.81/F196</f>
        <v>14.61598625104198</v>
      </c>
      <c r="P196" s="569">
        <v>0</v>
      </c>
      <c r="Q196" s="560">
        <v>0</v>
      </c>
      <c r="R196" s="570" t="e">
        <f>Tabel6689212733[[#This Row],[landcode 3]]+Tabel6689212733[[#This Row],[VAT Sew. 2017]]+Tabel6689212733[[#This Row],[VAT WW 2017]]+Tabel6689212733[[#This Row],[VAT Other ch. 2017]]</f>
        <v>#VALUE!</v>
      </c>
      <c r="S196" s="571">
        <f>Tabel6689212733[[#This Row],[GDP 2017]]+Tabel6689212733[[#This Row],[Sew. 2017]]+Tabel6689212733[[#This Row],[VAT Sew. 2017]]+Tabel6689212733[[#This Row],[WW 2017]]+Tabel6689212733[[#This Row],[VAT WW 2017]]+Tabel6689212733[[#This Row],[Other ch. 2017]]+Tabel6689212733[[#This Row],[VAT Other ch. 2017]]</f>
        <v>91.542229677578703</v>
      </c>
      <c r="T196" s="397"/>
      <c r="U196" s="1763"/>
      <c r="V196" s="2129"/>
      <c r="W196" s="1769"/>
      <c r="X196" s="1772"/>
      <c r="Y196" s="1775"/>
      <c r="Z196" s="1778"/>
      <c r="AA196" s="1772"/>
      <c r="AB196" s="1781"/>
      <c r="AC196" s="1772"/>
      <c r="AD196" s="1785"/>
      <c r="AE196" s="1772"/>
      <c r="AF196" s="2137"/>
      <c r="AG196" s="1990"/>
      <c r="AH196" s="397"/>
      <c r="AI196" s="591" t="s">
        <v>429</v>
      </c>
      <c r="AJ196" s="591" t="s">
        <v>429</v>
      </c>
      <c r="AK196" s="591"/>
      <c r="AL196" s="591"/>
      <c r="AM196" s="591"/>
      <c r="AN196" s="591" t="s">
        <v>429</v>
      </c>
      <c r="AO196" s="614"/>
      <c r="AP196" s="397"/>
    </row>
    <row r="197" spans="1:42" ht="15.75" hidden="1" customHeight="1" x14ac:dyDescent="0.25">
      <c r="A197" s="1757"/>
      <c r="B197" s="456" t="s">
        <v>518</v>
      </c>
      <c r="C197" s="804"/>
      <c r="D197" s="804" t="s">
        <v>1118</v>
      </c>
      <c r="E197" s="1880"/>
      <c r="F197" s="616">
        <f>'exchange rates'!$O$50</f>
        <v>3.8868399999999999</v>
      </c>
      <c r="G197" s="952"/>
      <c r="H197" s="456" t="s">
        <v>518</v>
      </c>
      <c r="I197" s="804"/>
      <c r="J197" s="804" t="s">
        <v>1118</v>
      </c>
      <c r="K197" s="999"/>
      <c r="L197" s="322"/>
      <c r="M197" s="559"/>
      <c r="N197" s="323"/>
      <c r="O197" s="559"/>
      <c r="P197" s="324"/>
      <c r="Q197" s="559"/>
      <c r="R197" s="317"/>
      <c r="S197" s="318"/>
      <c r="T197" s="397"/>
      <c r="U197" s="1763"/>
      <c r="V197" s="2129"/>
      <c r="W197" s="1769"/>
      <c r="X197" s="1772"/>
      <c r="Y197" s="1775"/>
      <c r="Z197" s="1778"/>
      <c r="AA197" s="1772"/>
      <c r="AB197" s="1781"/>
      <c r="AC197" s="1772"/>
      <c r="AD197" s="1785"/>
      <c r="AE197" s="1772"/>
      <c r="AF197" s="2137"/>
      <c r="AG197" s="1990"/>
      <c r="AH197" s="397"/>
      <c r="AI197" s="591"/>
      <c r="AJ197" s="591"/>
      <c r="AK197" s="591"/>
      <c r="AL197" s="591"/>
      <c r="AM197" s="591"/>
      <c r="AN197" s="591"/>
      <c r="AO197" s="614"/>
      <c r="AP197" s="397"/>
    </row>
    <row r="198" spans="1:42" ht="15.75" hidden="1" customHeight="1" x14ac:dyDescent="0.25">
      <c r="A198" s="1757"/>
      <c r="B198" s="456" t="s">
        <v>519</v>
      </c>
      <c r="C198" s="804"/>
      <c r="D198" s="804" t="s">
        <v>1118</v>
      </c>
      <c r="E198" s="1880"/>
      <c r="F198" s="616">
        <f>'exchange rates'!$O$50</f>
        <v>3.8868399999999999</v>
      </c>
      <c r="G198" s="952"/>
      <c r="H198" s="456" t="s">
        <v>519</v>
      </c>
      <c r="I198" s="804"/>
      <c r="J198" s="804" t="s">
        <v>1118</v>
      </c>
      <c r="K198" s="999"/>
      <c r="L198" s="322"/>
      <c r="M198" s="559"/>
      <c r="N198" s="323"/>
      <c r="O198" s="559"/>
      <c r="P198" s="324"/>
      <c r="Q198" s="559"/>
      <c r="R198" s="317"/>
      <c r="S198" s="318"/>
      <c r="T198" s="397"/>
      <c r="U198" s="1763"/>
      <c r="V198" s="2129"/>
      <c r="W198" s="1769"/>
      <c r="X198" s="1772"/>
      <c r="Y198" s="1775"/>
      <c r="Z198" s="1778"/>
      <c r="AA198" s="1772"/>
      <c r="AB198" s="1781"/>
      <c r="AC198" s="1772"/>
      <c r="AD198" s="1785"/>
      <c r="AE198" s="1772"/>
      <c r="AF198" s="2137"/>
      <c r="AG198" s="1990"/>
      <c r="AH198" s="397"/>
      <c r="AI198" s="591"/>
      <c r="AJ198" s="591"/>
      <c r="AK198" s="591"/>
      <c r="AL198" s="591"/>
      <c r="AM198" s="591"/>
      <c r="AN198" s="591"/>
      <c r="AO198" s="614"/>
      <c r="AP198" s="397"/>
    </row>
    <row r="199" spans="1:42" ht="15.75" hidden="1" customHeight="1" x14ac:dyDescent="0.25">
      <c r="A199" s="1757"/>
      <c r="B199" s="456" t="s">
        <v>596</v>
      </c>
      <c r="C199" s="804"/>
      <c r="D199" s="804" t="s">
        <v>1118</v>
      </c>
      <c r="E199" s="1880"/>
      <c r="F199" s="616">
        <f>'exchange rates'!$O$50</f>
        <v>3.8868399999999999</v>
      </c>
      <c r="G199" s="952"/>
      <c r="H199" s="456" t="s">
        <v>596</v>
      </c>
      <c r="I199" s="804"/>
      <c r="J199" s="804" t="s">
        <v>1118</v>
      </c>
      <c r="K199" s="999"/>
      <c r="L199" s="322"/>
      <c r="M199" s="559"/>
      <c r="N199" s="323"/>
      <c r="O199" s="559"/>
      <c r="P199" s="324"/>
      <c r="Q199" s="559"/>
      <c r="R199" s="317"/>
      <c r="S199" s="318"/>
      <c r="T199" s="397"/>
      <c r="U199" s="1763"/>
      <c r="V199" s="2129"/>
      <c r="W199" s="1769"/>
      <c r="X199" s="1772"/>
      <c r="Y199" s="1775"/>
      <c r="Z199" s="1778"/>
      <c r="AA199" s="1772"/>
      <c r="AB199" s="1781"/>
      <c r="AC199" s="1772"/>
      <c r="AD199" s="1785"/>
      <c r="AE199" s="1772"/>
      <c r="AF199" s="2137"/>
      <c r="AG199" s="1990"/>
      <c r="AH199" s="397"/>
      <c r="AI199" s="591"/>
      <c r="AJ199" s="591"/>
      <c r="AK199" s="591"/>
      <c r="AL199" s="591"/>
      <c r="AM199" s="591"/>
      <c r="AN199" s="591"/>
      <c r="AO199" s="614"/>
      <c r="AP199" s="397"/>
    </row>
    <row r="200" spans="1:42" ht="15.75" hidden="1" customHeight="1" x14ac:dyDescent="0.25">
      <c r="A200" s="1757"/>
      <c r="B200" s="632" t="s">
        <v>873</v>
      </c>
      <c r="C200" s="803"/>
      <c r="D200" s="803" t="s">
        <v>1118</v>
      </c>
      <c r="E200" s="1880"/>
      <c r="F200" s="616">
        <f>'exchange rates'!$O$50</f>
        <v>3.8868399999999999</v>
      </c>
      <c r="G200" s="952"/>
      <c r="H200" s="632" t="s">
        <v>873</v>
      </c>
      <c r="I200" s="803"/>
      <c r="J200" s="803" t="s">
        <v>1118</v>
      </c>
      <c r="K200" s="999"/>
      <c r="L200" s="567">
        <v>0</v>
      </c>
      <c r="M200" s="560">
        <v>0</v>
      </c>
      <c r="N200" s="568">
        <f>152/F200</f>
        <v>39.106317728540411</v>
      </c>
      <c r="O200" s="560">
        <f>28.88/F200</f>
        <v>7.4302003684226774</v>
      </c>
      <c r="P200" s="569">
        <v>0</v>
      </c>
      <c r="Q200" s="560">
        <v>0</v>
      </c>
      <c r="R200" s="570" t="e">
        <f>Tabel6689212733[[#This Row],[landcode 3]]+Tabel6689212733[[#This Row],[VAT Sew. 2017]]+Tabel6689212733[[#This Row],[VAT WW 2017]]+Tabel6689212733[[#This Row],[VAT Other ch. 2017]]</f>
        <v>#VALUE!</v>
      </c>
      <c r="S200" s="571">
        <f>Tabel6689212733[[#This Row],[GDP 2017]]+Tabel6689212733[[#This Row],[Sew. 2017]]+Tabel6689212733[[#This Row],[VAT Sew. 2017]]+Tabel6689212733[[#This Row],[WW 2017]]+Tabel6689212733[[#This Row],[VAT WW 2017]]+Tabel6689212733[[#This Row],[Other ch. 2017]]+Tabel6689212733[[#This Row],[VAT Other ch. 2017]]</f>
        <v>46.536518096963086</v>
      </c>
      <c r="T200" s="397"/>
      <c r="U200" s="1763"/>
      <c r="V200" s="2129"/>
      <c r="W200" s="1769"/>
      <c r="X200" s="1772"/>
      <c r="Y200" s="1775"/>
      <c r="Z200" s="1778"/>
      <c r="AA200" s="1772"/>
      <c r="AB200" s="1781"/>
      <c r="AC200" s="1772"/>
      <c r="AD200" s="1785"/>
      <c r="AE200" s="1772"/>
      <c r="AF200" s="2137"/>
      <c r="AG200" s="1990"/>
      <c r="AH200" s="397"/>
      <c r="AI200" s="591" t="s">
        <v>429</v>
      </c>
      <c r="AJ200" s="591" t="s">
        <v>429</v>
      </c>
      <c r="AK200" s="591"/>
      <c r="AL200" s="591"/>
      <c r="AM200" s="591"/>
      <c r="AN200" s="591" t="s">
        <v>429</v>
      </c>
      <c r="AO200" s="614"/>
      <c r="AP200" s="397"/>
    </row>
    <row r="201" spans="1:42" ht="16.5" hidden="1" customHeight="1" x14ac:dyDescent="0.25">
      <c r="A201" s="1757"/>
      <c r="B201" s="633" t="s">
        <v>520</v>
      </c>
      <c r="C201" s="803"/>
      <c r="D201" s="803" t="s">
        <v>1118</v>
      </c>
      <c r="E201" s="1880"/>
      <c r="F201" s="616">
        <f>'exchange rates'!$O$50</f>
        <v>3.8868399999999999</v>
      </c>
      <c r="G201" s="952"/>
      <c r="H201" s="633" t="s">
        <v>520</v>
      </c>
      <c r="I201" s="803"/>
      <c r="J201" s="803" t="s">
        <v>1118</v>
      </c>
      <c r="K201" s="999"/>
      <c r="L201" s="567">
        <v>0</v>
      </c>
      <c r="M201" s="560">
        <v>0</v>
      </c>
      <c r="N201" s="568">
        <f>307/F201</f>
        <v>78.98447067540728</v>
      </c>
      <c r="O201" s="560">
        <f>58.33/F201</f>
        <v>15.007049428327381</v>
      </c>
      <c r="P201" s="569">
        <v>0</v>
      </c>
      <c r="Q201" s="560">
        <v>0</v>
      </c>
      <c r="R201" s="570" t="e">
        <f>Tabel6689212733[[#This Row],[landcode 3]]+Tabel6689212733[[#This Row],[VAT Sew. 2017]]+Tabel6689212733[[#This Row],[VAT WW 2017]]+Tabel6689212733[[#This Row],[VAT Other ch. 2017]]</f>
        <v>#VALUE!</v>
      </c>
      <c r="S201" s="571">
        <f>Tabel6689212733[[#This Row],[GDP 2017]]+Tabel6689212733[[#This Row],[Sew. 2017]]+Tabel6689212733[[#This Row],[VAT Sew. 2017]]+Tabel6689212733[[#This Row],[WW 2017]]+Tabel6689212733[[#This Row],[VAT WW 2017]]+Tabel6689212733[[#This Row],[Other ch. 2017]]+Tabel6689212733[[#This Row],[VAT Other ch. 2017]]</f>
        <v>93.991520103734658</v>
      </c>
      <c r="T201" s="397"/>
      <c r="U201" s="1763"/>
      <c r="V201" s="2129"/>
      <c r="W201" s="1769"/>
      <c r="X201" s="1772"/>
      <c r="Y201" s="1775"/>
      <c r="Z201" s="1778"/>
      <c r="AA201" s="1772"/>
      <c r="AB201" s="1781"/>
      <c r="AC201" s="1772"/>
      <c r="AD201" s="1785"/>
      <c r="AE201" s="1772"/>
      <c r="AF201" s="2137"/>
      <c r="AG201" s="1990"/>
      <c r="AH201" s="397"/>
      <c r="AI201" s="591" t="s">
        <v>429</v>
      </c>
      <c r="AJ201" s="591" t="s">
        <v>429</v>
      </c>
      <c r="AK201" s="591"/>
      <c r="AL201" s="591"/>
      <c r="AM201" s="591"/>
      <c r="AN201" s="591" t="s">
        <v>429</v>
      </c>
      <c r="AO201" s="614"/>
      <c r="AP201" s="397"/>
    </row>
    <row r="202" spans="1:42" ht="18" hidden="1" customHeight="1" x14ac:dyDescent="0.25">
      <c r="A202" s="1757"/>
      <c r="B202" s="633" t="s">
        <v>597</v>
      </c>
      <c r="C202" s="803"/>
      <c r="D202" s="803" t="s">
        <v>1118</v>
      </c>
      <c r="E202" s="1880"/>
      <c r="F202" s="616">
        <f>'exchange rates'!$O$50</f>
        <v>3.8868399999999999</v>
      </c>
      <c r="G202" s="952"/>
      <c r="H202" s="633" t="s">
        <v>597</v>
      </c>
      <c r="I202" s="803"/>
      <c r="J202" s="803" t="s">
        <v>1118</v>
      </c>
      <c r="K202" s="999"/>
      <c r="L202" s="567">
        <v>0</v>
      </c>
      <c r="M202" s="560">
        <v>0</v>
      </c>
      <c r="N202" s="568">
        <f>289/F202</f>
        <v>74.353459365448543</v>
      </c>
      <c r="O202" s="560">
        <f>54.91/F202</f>
        <v>14.127157279435222</v>
      </c>
      <c r="P202" s="569">
        <v>0</v>
      </c>
      <c r="Q202" s="560">
        <v>0</v>
      </c>
      <c r="R202" s="570" t="e">
        <f>Tabel6689212733[[#This Row],[landcode 3]]+Tabel6689212733[[#This Row],[VAT Sew. 2017]]+Tabel6689212733[[#This Row],[VAT WW 2017]]+Tabel6689212733[[#This Row],[VAT Other ch. 2017]]</f>
        <v>#VALUE!</v>
      </c>
      <c r="S202" s="571">
        <f>Tabel6689212733[[#This Row],[GDP 2017]]+Tabel6689212733[[#This Row],[Sew. 2017]]+Tabel6689212733[[#This Row],[VAT Sew. 2017]]+Tabel6689212733[[#This Row],[WW 2017]]+Tabel6689212733[[#This Row],[VAT WW 2017]]+Tabel6689212733[[#This Row],[Other ch. 2017]]+Tabel6689212733[[#This Row],[VAT Other ch. 2017]]</f>
        <v>88.480616644883767</v>
      </c>
      <c r="T202" s="397"/>
      <c r="U202" s="1763"/>
      <c r="V202" s="2129"/>
      <c r="W202" s="1769"/>
      <c r="X202" s="1772"/>
      <c r="Y202" s="1775"/>
      <c r="Z202" s="1778"/>
      <c r="AA202" s="1772"/>
      <c r="AB202" s="1781"/>
      <c r="AC202" s="1772"/>
      <c r="AD202" s="1785"/>
      <c r="AE202" s="1772"/>
      <c r="AF202" s="2137"/>
      <c r="AG202" s="1990"/>
      <c r="AH202" s="397"/>
      <c r="AI202" s="591" t="s">
        <v>429</v>
      </c>
      <c r="AJ202" s="591" t="s">
        <v>429</v>
      </c>
      <c r="AK202" s="591"/>
      <c r="AL202" s="591"/>
      <c r="AM202" s="591"/>
      <c r="AN202" s="591" t="s">
        <v>429</v>
      </c>
      <c r="AO202" s="614"/>
      <c r="AP202" s="397"/>
    </row>
    <row r="203" spans="1:42" ht="18" hidden="1" customHeight="1" x14ac:dyDescent="0.25">
      <c r="A203" s="1757"/>
      <c r="B203" s="503" t="s">
        <v>765</v>
      </c>
      <c r="C203" s="804"/>
      <c r="D203" s="804" t="s">
        <v>1118</v>
      </c>
      <c r="E203" s="1880"/>
      <c r="F203" s="616">
        <f>'exchange rates'!$O$50</f>
        <v>3.8868399999999999</v>
      </c>
      <c r="G203" s="952"/>
      <c r="H203" s="503" t="s">
        <v>765</v>
      </c>
      <c r="I203" s="804"/>
      <c r="J203" s="804" t="s">
        <v>1118</v>
      </c>
      <c r="K203" s="999"/>
      <c r="L203" s="322"/>
      <c r="M203" s="559"/>
      <c r="N203" s="323"/>
      <c r="O203" s="559"/>
      <c r="P203" s="324"/>
      <c r="Q203" s="559"/>
      <c r="R203" s="317"/>
      <c r="S203" s="318"/>
      <c r="T203" s="397"/>
      <c r="U203" s="1886"/>
      <c r="V203" s="2129"/>
      <c r="W203" s="1890"/>
      <c r="X203" s="1772"/>
      <c r="Y203" s="1892"/>
      <c r="Z203" s="1894"/>
      <c r="AA203" s="1772"/>
      <c r="AB203" s="1911"/>
      <c r="AC203" s="1772"/>
      <c r="AD203" s="1913"/>
      <c r="AE203" s="1772"/>
      <c r="AF203" s="2138"/>
      <c r="AG203" s="2053"/>
      <c r="AH203" s="397"/>
      <c r="AI203" s="591"/>
      <c r="AJ203" s="591"/>
      <c r="AK203" s="591"/>
      <c r="AL203" s="591"/>
      <c r="AM203" s="591"/>
      <c r="AN203" s="591"/>
      <c r="AO203" s="614"/>
      <c r="AP203" s="397"/>
    </row>
    <row r="204" spans="1:42" ht="18" hidden="1" customHeight="1" x14ac:dyDescent="0.25">
      <c r="A204" s="1757"/>
      <c r="B204" s="633" t="s">
        <v>860</v>
      </c>
      <c r="C204" s="803" t="s">
        <v>429</v>
      </c>
      <c r="D204" s="803" t="s">
        <v>1118</v>
      </c>
      <c r="E204" s="1880"/>
      <c r="F204" s="616">
        <f>'exchange rates'!$O$50</f>
        <v>3.8868399999999999</v>
      </c>
      <c r="G204" s="952"/>
      <c r="H204" s="633" t="s">
        <v>860</v>
      </c>
      <c r="I204" s="803" t="s">
        <v>429</v>
      </c>
      <c r="J204" s="803" t="s">
        <v>1118</v>
      </c>
      <c r="K204" s="999"/>
      <c r="L204" s="567">
        <v>0</v>
      </c>
      <c r="M204" s="560">
        <v>0</v>
      </c>
      <c r="N204" s="568">
        <f>174/F204</f>
        <v>44.766442662934416</v>
      </c>
      <c r="O204" s="560">
        <f>33.06/F204</f>
        <v>8.5056241059575388</v>
      </c>
      <c r="P204" s="569">
        <v>0</v>
      </c>
      <c r="Q204" s="560">
        <v>0</v>
      </c>
      <c r="R204" s="570" t="e">
        <f>Tabel6689212733[[#This Row],[landcode 3]]+Tabel6689212733[[#This Row],[VAT Sew. 2017]]+Tabel6689212733[[#This Row],[VAT WW 2017]]+Tabel6689212733[[#This Row],[VAT Other ch. 2017]]</f>
        <v>#VALUE!</v>
      </c>
      <c r="S204" s="571">
        <f>Tabel6689212733[[#This Row],[GDP 2017]]+Tabel6689212733[[#This Row],[Sew. 2017]]+Tabel6689212733[[#This Row],[VAT Sew. 2017]]+Tabel6689212733[[#This Row],[WW 2017]]+Tabel6689212733[[#This Row],[VAT WW 2017]]+Tabel6689212733[[#This Row],[Other ch. 2017]]+Tabel6689212733[[#This Row],[VAT Other ch. 2017]]</f>
        <v>53.272066768891953</v>
      </c>
      <c r="T204" s="397"/>
      <c r="U204" s="1886"/>
      <c r="V204" s="2129"/>
      <c r="W204" s="1890"/>
      <c r="X204" s="1772"/>
      <c r="Y204" s="1892"/>
      <c r="Z204" s="1894"/>
      <c r="AA204" s="1772"/>
      <c r="AB204" s="1911"/>
      <c r="AC204" s="1772"/>
      <c r="AD204" s="1913"/>
      <c r="AE204" s="1772"/>
      <c r="AF204" s="2138"/>
      <c r="AG204" s="2053"/>
      <c r="AH204" s="397"/>
      <c r="AI204" s="591" t="s">
        <v>429</v>
      </c>
      <c r="AJ204" s="591" t="s">
        <v>429</v>
      </c>
      <c r="AK204" s="591"/>
      <c r="AL204" s="591"/>
      <c r="AM204" s="591"/>
      <c r="AN204" s="591" t="s">
        <v>429</v>
      </c>
      <c r="AO204" s="614"/>
      <c r="AP204" s="397"/>
    </row>
    <row r="205" spans="1:42" ht="18" hidden="1" customHeight="1" x14ac:dyDescent="0.25">
      <c r="A205" s="1757"/>
      <c r="B205" s="503" t="s">
        <v>766</v>
      </c>
      <c r="C205" s="804"/>
      <c r="D205" s="804" t="s">
        <v>1118</v>
      </c>
      <c r="E205" s="1880"/>
      <c r="F205" s="616">
        <f>'exchange rates'!$O$50</f>
        <v>3.8868399999999999</v>
      </c>
      <c r="G205" s="952"/>
      <c r="H205" s="503" t="s">
        <v>766</v>
      </c>
      <c r="I205" s="804"/>
      <c r="J205" s="804" t="s">
        <v>1118</v>
      </c>
      <c r="K205" s="999"/>
      <c r="L205" s="322"/>
      <c r="M205" s="559"/>
      <c r="N205" s="323"/>
      <c r="O205" s="559"/>
      <c r="P205" s="324"/>
      <c r="Q205" s="559"/>
      <c r="R205" s="317"/>
      <c r="S205" s="318"/>
      <c r="T205" s="397"/>
      <c r="U205" s="1886"/>
      <c r="V205" s="2129"/>
      <c r="W205" s="1890"/>
      <c r="X205" s="1772"/>
      <c r="Y205" s="1892"/>
      <c r="Z205" s="1894"/>
      <c r="AA205" s="1772"/>
      <c r="AB205" s="1911"/>
      <c r="AC205" s="1772"/>
      <c r="AD205" s="1913"/>
      <c r="AE205" s="1772"/>
      <c r="AF205" s="2138"/>
      <c r="AG205" s="2053"/>
      <c r="AH205" s="397"/>
      <c r="AI205" s="591"/>
      <c r="AJ205" s="591"/>
      <c r="AK205" s="591"/>
      <c r="AL205" s="591"/>
      <c r="AM205" s="591"/>
      <c r="AN205" s="591"/>
      <c r="AO205" s="614"/>
      <c r="AP205" s="397"/>
    </row>
    <row r="206" spans="1:42" ht="18" hidden="1" customHeight="1" x14ac:dyDescent="0.25">
      <c r="A206" s="1757"/>
      <c r="B206" s="503" t="s">
        <v>767</v>
      </c>
      <c r="C206" s="804"/>
      <c r="D206" s="804" t="s">
        <v>1118</v>
      </c>
      <c r="E206" s="1880"/>
      <c r="F206" s="616">
        <f>'exchange rates'!$O$50</f>
        <v>3.8868399999999999</v>
      </c>
      <c r="G206" s="952"/>
      <c r="H206" s="503" t="s">
        <v>767</v>
      </c>
      <c r="I206" s="804"/>
      <c r="J206" s="804" t="s">
        <v>1118</v>
      </c>
      <c r="K206" s="999"/>
      <c r="L206" s="322"/>
      <c r="M206" s="559"/>
      <c r="N206" s="323"/>
      <c r="O206" s="559"/>
      <c r="P206" s="324"/>
      <c r="Q206" s="559"/>
      <c r="R206" s="317"/>
      <c r="S206" s="318"/>
      <c r="T206" s="397"/>
      <c r="U206" s="1886"/>
      <c r="V206" s="2129"/>
      <c r="W206" s="1890"/>
      <c r="X206" s="1772"/>
      <c r="Y206" s="1892"/>
      <c r="Z206" s="1894"/>
      <c r="AA206" s="1772"/>
      <c r="AB206" s="1911"/>
      <c r="AC206" s="1772"/>
      <c r="AD206" s="1913"/>
      <c r="AE206" s="1772"/>
      <c r="AF206" s="2138"/>
      <c r="AG206" s="2053"/>
      <c r="AH206" s="397"/>
      <c r="AI206" s="591"/>
      <c r="AJ206" s="591"/>
      <c r="AK206" s="591"/>
      <c r="AL206" s="591"/>
      <c r="AM206" s="591"/>
      <c r="AN206" s="591"/>
      <c r="AO206" s="614"/>
      <c r="AP206" s="397"/>
    </row>
    <row r="207" spans="1:42" ht="18" hidden="1" customHeight="1" x14ac:dyDescent="0.25">
      <c r="A207" s="1757"/>
      <c r="B207" s="503" t="s">
        <v>768</v>
      </c>
      <c r="C207" s="804"/>
      <c r="D207" s="804" t="s">
        <v>1118</v>
      </c>
      <c r="E207" s="1880"/>
      <c r="F207" s="616">
        <f>'exchange rates'!$O$50</f>
        <v>3.8868399999999999</v>
      </c>
      <c r="G207" s="952"/>
      <c r="H207" s="503" t="s">
        <v>768</v>
      </c>
      <c r="I207" s="804"/>
      <c r="J207" s="804" t="s">
        <v>1118</v>
      </c>
      <c r="K207" s="999"/>
      <c r="L207" s="322"/>
      <c r="M207" s="559"/>
      <c r="N207" s="323"/>
      <c r="O207" s="559"/>
      <c r="P207" s="324"/>
      <c r="Q207" s="559"/>
      <c r="R207" s="317"/>
      <c r="S207" s="318"/>
      <c r="T207" s="397"/>
      <c r="U207" s="1886"/>
      <c r="V207" s="2129"/>
      <c r="W207" s="1890"/>
      <c r="X207" s="1772"/>
      <c r="Y207" s="1892"/>
      <c r="Z207" s="1894"/>
      <c r="AA207" s="1772"/>
      <c r="AB207" s="1911"/>
      <c r="AC207" s="1772"/>
      <c r="AD207" s="1913"/>
      <c r="AE207" s="1772"/>
      <c r="AF207" s="2138"/>
      <c r="AG207" s="2053"/>
      <c r="AH207" s="397"/>
      <c r="AI207" s="591"/>
      <c r="AJ207" s="591"/>
      <c r="AK207" s="591"/>
      <c r="AL207" s="591"/>
      <c r="AM207" s="591"/>
      <c r="AN207" s="591"/>
      <c r="AO207" s="614"/>
      <c r="AP207" s="397"/>
    </row>
    <row r="208" spans="1:42" ht="18" hidden="1" customHeight="1" x14ac:dyDescent="0.25">
      <c r="A208" s="1757"/>
      <c r="B208" s="633" t="s">
        <v>769</v>
      </c>
      <c r="C208" s="803"/>
      <c r="D208" s="803" t="s">
        <v>1118</v>
      </c>
      <c r="E208" s="1880"/>
      <c r="F208" s="616">
        <f>'exchange rates'!$O$50</f>
        <v>3.8868399999999999</v>
      </c>
      <c r="G208" s="952"/>
      <c r="H208" s="633" t="s">
        <v>769</v>
      </c>
      <c r="I208" s="803"/>
      <c r="J208" s="803" t="s">
        <v>1118</v>
      </c>
      <c r="K208" s="999"/>
      <c r="L208" s="567">
        <v>0</v>
      </c>
      <c r="M208" s="560">
        <v>0</v>
      </c>
      <c r="N208" s="568">
        <f>276/F208</f>
        <v>71.008840086033899</v>
      </c>
      <c r="O208" s="560">
        <f>52.44/F208</f>
        <v>13.49167961634644</v>
      </c>
      <c r="P208" s="569">
        <v>0</v>
      </c>
      <c r="Q208" s="560">
        <v>0</v>
      </c>
      <c r="R208" s="570" t="e">
        <f>Tabel6689212733[[#This Row],[landcode 3]]+Tabel6689212733[[#This Row],[VAT Sew. 2017]]+Tabel6689212733[[#This Row],[VAT WW 2017]]+Tabel6689212733[[#This Row],[VAT Other ch. 2017]]</f>
        <v>#VALUE!</v>
      </c>
      <c r="S208" s="571">
        <f>Tabel6689212733[[#This Row],[GDP 2017]]+Tabel6689212733[[#This Row],[Sew. 2017]]+Tabel6689212733[[#This Row],[VAT Sew. 2017]]+Tabel6689212733[[#This Row],[WW 2017]]+Tabel6689212733[[#This Row],[VAT WW 2017]]+Tabel6689212733[[#This Row],[Other ch. 2017]]+Tabel6689212733[[#This Row],[VAT Other ch. 2017]]</f>
        <v>84.500519702380345</v>
      </c>
      <c r="T208" s="397"/>
      <c r="U208" s="1886"/>
      <c r="V208" s="2129"/>
      <c r="W208" s="1890"/>
      <c r="X208" s="1772"/>
      <c r="Y208" s="1892"/>
      <c r="Z208" s="1894"/>
      <c r="AA208" s="1772"/>
      <c r="AB208" s="1911"/>
      <c r="AC208" s="1772"/>
      <c r="AD208" s="1913"/>
      <c r="AE208" s="1772"/>
      <c r="AF208" s="2138"/>
      <c r="AG208" s="2053"/>
      <c r="AH208" s="397"/>
      <c r="AI208" s="591" t="s">
        <v>429</v>
      </c>
      <c r="AJ208" s="591" t="s">
        <v>429</v>
      </c>
      <c r="AK208" s="591"/>
      <c r="AL208" s="591"/>
      <c r="AM208" s="591"/>
      <c r="AN208" s="591" t="s">
        <v>429</v>
      </c>
      <c r="AO208" s="614"/>
      <c r="AP208" s="397"/>
    </row>
    <row r="209" spans="1:42" ht="18" hidden="1" customHeight="1" x14ac:dyDescent="0.25">
      <c r="A209" s="1757"/>
      <c r="B209" s="503" t="s">
        <v>770</v>
      </c>
      <c r="C209" s="804"/>
      <c r="D209" s="804" t="s">
        <v>1118</v>
      </c>
      <c r="E209" s="1880"/>
      <c r="F209" s="616">
        <f>'exchange rates'!$O$50</f>
        <v>3.8868399999999999</v>
      </c>
      <c r="G209" s="952"/>
      <c r="H209" s="503" t="s">
        <v>770</v>
      </c>
      <c r="I209" s="804"/>
      <c r="J209" s="804" t="s">
        <v>1118</v>
      </c>
      <c r="K209" s="999"/>
      <c r="L209" s="322"/>
      <c r="M209" s="559"/>
      <c r="N209" s="323"/>
      <c r="O209" s="559"/>
      <c r="P209" s="324"/>
      <c r="Q209" s="559"/>
      <c r="R209" s="317"/>
      <c r="S209" s="318"/>
      <c r="T209" s="397"/>
      <c r="U209" s="1886"/>
      <c r="V209" s="2129"/>
      <c r="W209" s="1890"/>
      <c r="X209" s="1772"/>
      <c r="Y209" s="1892"/>
      <c r="Z209" s="1894"/>
      <c r="AA209" s="1772"/>
      <c r="AB209" s="1911"/>
      <c r="AC209" s="1772"/>
      <c r="AD209" s="1913"/>
      <c r="AE209" s="1772"/>
      <c r="AF209" s="2138"/>
      <c r="AG209" s="2053"/>
      <c r="AH209" s="397"/>
      <c r="AI209" s="591"/>
      <c r="AJ209" s="591"/>
      <c r="AK209" s="591"/>
      <c r="AL209" s="591"/>
      <c r="AM209" s="591"/>
      <c r="AN209" s="591"/>
      <c r="AO209" s="614"/>
      <c r="AP209" s="397"/>
    </row>
    <row r="210" spans="1:42" ht="18" hidden="1" customHeight="1" x14ac:dyDescent="0.25">
      <c r="A210" s="1757"/>
      <c r="B210" s="633" t="s">
        <v>771</v>
      </c>
      <c r="C210" s="803"/>
      <c r="D210" s="803" t="s">
        <v>1118</v>
      </c>
      <c r="E210" s="1880"/>
      <c r="F210" s="616">
        <f>'exchange rates'!$O$50</f>
        <v>3.8868399999999999</v>
      </c>
      <c r="G210" s="952"/>
      <c r="H210" s="633" t="s">
        <v>771</v>
      </c>
      <c r="I210" s="803"/>
      <c r="J210" s="803" t="s">
        <v>1118</v>
      </c>
      <c r="K210" s="999"/>
      <c r="L210" s="567">
        <v>0</v>
      </c>
      <c r="M210" s="560">
        <v>0</v>
      </c>
      <c r="N210" s="568">
        <f>244/F210</f>
        <v>62.775931090551708</v>
      </c>
      <c r="O210" s="560">
        <f>46.36/F210</f>
        <v>11.927426907204826</v>
      </c>
      <c r="P210" s="569">
        <v>0</v>
      </c>
      <c r="Q210" s="560">
        <v>0</v>
      </c>
      <c r="R210" s="570" t="e">
        <f>Tabel6689212733[[#This Row],[landcode 3]]+Tabel6689212733[[#This Row],[VAT Sew. 2017]]+Tabel6689212733[[#This Row],[VAT WW 2017]]+Tabel6689212733[[#This Row],[VAT Other ch. 2017]]</f>
        <v>#VALUE!</v>
      </c>
      <c r="S210" s="571">
        <f>Tabel6689212733[[#This Row],[GDP 2017]]+Tabel6689212733[[#This Row],[Sew. 2017]]+Tabel6689212733[[#This Row],[VAT Sew. 2017]]+Tabel6689212733[[#This Row],[WW 2017]]+Tabel6689212733[[#This Row],[VAT WW 2017]]+Tabel6689212733[[#This Row],[Other ch. 2017]]+Tabel6689212733[[#This Row],[VAT Other ch. 2017]]</f>
        <v>74.703357997756541</v>
      </c>
      <c r="T210" s="397"/>
      <c r="U210" s="1886"/>
      <c r="V210" s="2129"/>
      <c r="W210" s="1890"/>
      <c r="X210" s="1772"/>
      <c r="Y210" s="1892"/>
      <c r="Z210" s="1894"/>
      <c r="AA210" s="1772"/>
      <c r="AB210" s="1911"/>
      <c r="AC210" s="1772"/>
      <c r="AD210" s="1913"/>
      <c r="AE210" s="1772"/>
      <c r="AF210" s="2138"/>
      <c r="AG210" s="2053"/>
      <c r="AH210" s="397"/>
      <c r="AI210" s="591" t="s">
        <v>429</v>
      </c>
      <c r="AJ210" s="591" t="s">
        <v>429</v>
      </c>
      <c r="AK210" s="591"/>
      <c r="AL210" s="591"/>
      <c r="AM210" s="591"/>
      <c r="AN210" s="591" t="s">
        <v>429</v>
      </c>
      <c r="AO210" s="614"/>
      <c r="AP210" s="397"/>
    </row>
    <row r="211" spans="1:42" ht="18" hidden="1" customHeight="1" x14ac:dyDescent="0.25">
      <c r="A211" s="1757"/>
      <c r="B211" s="503" t="s">
        <v>772</v>
      </c>
      <c r="C211" s="804"/>
      <c r="D211" s="804" t="s">
        <v>1118</v>
      </c>
      <c r="E211" s="1880"/>
      <c r="F211" s="616">
        <f>'exchange rates'!$O$50</f>
        <v>3.8868399999999999</v>
      </c>
      <c r="G211" s="952"/>
      <c r="H211" s="503" t="s">
        <v>772</v>
      </c>
      <c r="I211" s="804"/>
      <c r="J211" s="804" t="s">
        <v>1118</v>
      </c>
      <c r="K211" s="999"/>
      <c r="L211" s="322"/>
      <c r="M211" s="559"/>
      <c r="N211" s="323"/>
      <c r="O211" s="559"/>
      <c r="P211" s="324"/>
      <c r="Q211" s="559"/>
      <c r="R211" s="317"/>
      <c r="S211" s="318"/>
      <c r="T211" s="397"/>
      <c r="U211" s="1886"/>
      <c r="V211" s="2129"/>
      <c r="W211" s="1890"/>
      <c r="X211" s="1772"/>
      <c r="Y211" s="1892"/>
      <c r="Z211" s="1894"/>
      <c r="AA211" s="1772"/>
      <c r="AB211" s="1911"/>
      <c r="AC211" s="1772"/>
      <c r="AD211" s="1913"/>
      <c r="AE211" s="1772"/>
      <c r="AF211" s="2138"/>
      <c r="AG211" s="2053"/>
      <c r="AH211" s="397"/>
      <c r="AI211" s="591"/>
      <c r="AJ211" s="591"/>
      <c r="AK211" s="591"/>
      <c r="AL211" s="591"/>
      <c r="AM211" s="591"/>
      <c r="AN211" s="591"/>
      <c r="AO211" s="614"/>
      <c r="AP211" s="397"/>
    </row>
    <row r="212" spans="1:42" ht="18" hidden="1" customHeight="1" x14ac:dyDescent="0.25">
      <c r="A212" s="1757"/>
      <c r="B212" s="633" t="s">
        <v>861</v>
      </c>
      <c r="C212" s="803"/>
      <c r="D212" s="803" t="s">
        <v>1118</v>
      </c>
      <c r="E212" s="1880"/>
      <c r="F212" s="616">
        <f>'exchange rates'!$O$50</f>
        <v>3.8868399999999999</v>
      </c>
      <c r="G212" s="952"/>
      <c r="H212" s="633" t="s">
        <v>861</v>
      </c>
      <c r="I212" s="803"/>
      <c r="J212" s="803" t="s">
        <v>1118</v>
      </c>
      <c r="K212" s="999"/>
      <c r="L212" s="567">
        <v>0</v>
      </c>
      <c r="M212" s="560">
        <v>0</v>
      </c>
      <c r="N212" s="568">
        <f>343/F212</f>
        <v>88.24649329532474</v>
      </c>
      <c r="O212" s="560">
        <f>65.17/F212</f>
        <v>16.766833726111702</v>
      </c>
      <c r="P212" s="569">
        <v>0</v>
      </c>
      <c r="Q212" s="560">
        <v>0</v>
      </c>
      <c r="R212" s="570" t="e">
        <f>Tabel6689212733[[#This Row],[landcode 3]]+Tabel6689212733[[#This Row],[VAT Sew. 2017]]+Tabel6689212733[[#This Row],[VAT WW 2017]]+Tabel6689212733[[#This Row],[VAT Other ch. 2017]]</f>
        <v>#VALUE!</v>
      </c>
      <c r="S212" s="571">
        <f>Tabel6689212733[[#This Row],[GDP 2017]]+Tabel6689212733[[#This Row],[Sew. 2017]]+Tabel6689212733[[#This Row],[VAT Sew. 2017]]+Tabel6689212733[[#This Row],[WW 2017]]+Tabel6689212733[[#This Row],[VAT WW 2017]]+Tabel6689212733[[#This Row],[Other ch. 2017]]+Tabel6689212733[[#This Row],[VAT Other ch. 2017]]</f>
        <v>105.01332702143644</v>
      </c>
      <c r="T212" s="397"/>
      <c r="U212" s="1886"/>
      <c r="V212" s="2129"/>
      <c r="W212" s="1890"/>
      <c r="X212" s="1772"/>
      <c r="Y212" s="1892"/>
      <c r="Z212" s="1894"/>
      <c r="AA212" s="1772"/>
      <c r="AB212" s="1911"/>
      <c r="AC212" s="1772"/>
      <c r="AD212" s="1913"/>
      <c r="AE212" s="1772"/>
      <c r="AF212" s="2138"/>
      <c r="AG212" s="2053"/>
      <c r="AH212" s="397"/>
      <c r="AI212" s="591" t="s">
        <v>429</v>
      </c>
      <c r="AJ212" s="591" t="s">
        <v>429</v>
      </c>
      <c r="AK212" s="591"/>
      <c r="AL212" s="591"/>
      <c r="AM212" s="591"/>
      <c r="AN212" s="591" t="s">
        <v>429</v>
      </c>
      <c r="AO212" s="614"/>
      <c r="AP212" s="397"/>
    </row>
    <row r="213" spans="1:42" ht="18" hidden="1" customHeight="1" x14ac:dyDescent="0.25">
      <c r="A213" s="1757"/>
      <c r="B213" s="633" t="s">
        <v>862</v>
      </c>
      <c r="C213" s="803"/>
      <c r="D213" s="803" t="s">
        <v>1118</v>
      </c>
      <c r="E213" s="1880"/>
      <c r="F213" s="616">
        <f>'exchange rates'!$O$50</f>
        <v>3.8868399999999999</v>
      </c>
      <c r="G213" s="952"/>
      <c r="H213" s="633" t="s">
        <v>862</v>
      </c>
      <c r="I213" s="803"/>
      <c r="J213" s="803" t="s">
        <v>1118</v>
      </c>
      <c r="K213" s="999"/>
      <c r="L213" s="567">
        <v>0</v>
      </c>
      <c r="M213" s="560">
        <v>0</v>
      </c>
      <c r="N213" s="568">
        <f>260/F213</f>
        <v>66.892385588292811</v>
      </c>
      <c r="O213" s="560">
        <f>49.4/F213</f>
        <v>12.709553261775632</v>
      </c>
      <c r="P213" s="569">
        <v>0</v>
      </c>
      <c r="Q213" s="560">
        <v>0</v>
      </c>
      <c r="R213" s="570" t="e">
        <f>Tabel6689212733[[#This Row],[landcode 3]]+Tabel6689212733[[#This Row],[VAT Sew. 2017]]+Tabel6689212733[[#This Row],[VAT WW 2017]]+Tabel6689212733[[#This Row],[VAT Other ch. 2017]]</f>
        <v>#VALUE!</v>
      </c>
      <c r="S213" s="571">
        <f>Tabel6689212733[[#This Row],[GDP 2017]]+Tabel6689212733[[#This Row],[Sew. 2017]]+Tabel6689212733[[#This Row],[VAT Sew. 2017]]+Tabel6689212733[[#This Row],[WW 2017]]+Tabel6689212733[[#This Row],[VAT WW 2017]]+Tabel6689212733[[#This Row],[Other ch. 2017]]+Tabel6689212733[[#This Row],[VAT Other ch. 2017]]</f>
        <v>79.60193885006845</v>
      </c>
      <c r="T213" s="397"/>
      <c r="U213" s="1886"/>
      <c r="V213" s="2129"/>
      <c r="W213" s="1890"/>
      <c r="X213" s="1772"/>
      <c r="Y213" s="1892"/>
      <c r="Z213" s="1894"/>
      <c r="AA213" s="1772"/>
      <c r="AB213" s="1911"/>
      <c r="AC213" s="1772"/>
      <c r="AD213" s="1913"/>
      <c r="AE213" s="1772"/>
      <c r="AF213" s="2138"/>
      <c r="AG213" s="2053"/>
      <c r="AH213" s="397"/>
      <c r="AI213" s="591" t="s">
        <v>429</v>
      </c>
      <c r="AJ213" s="591" t="s">
        <v>429</v>
      </c>
      <c r="AK213" s="591"/>
      <c r="AL213" s="591"/>
      <c r="AM213" s="591"/>
      <c r="AN213" s="591" t="s">
        <v>429</v>
      </c>
      <c r="AO213" s="614"/>
      <c r="AP213" s="397"/>
    </row>
    <row r="214" spans="1:42" ht="18" hidden="1" customHeight="1" x14ac:dyDescent="0.25">
      <c r="A214" s="1757"/>
      <c r="B214" s="633" t="s">
        <v>863</v>
      </c>
      <c r="C214" s="803"/>
      <c r="D214" s="803" t="s">
        <v>1118</v>
      </c>
      <c r="E214" s="1880"/>
      <c r="F214" s="616">
        <f>'exchange rates'!$O$50</f>
        <v>3.8868399999999999</v>
      </c>
      <c r="G214" s="952"/>
      <c r="H214" s="633" t="s">
        <v>863</v>
      </c>
      <c r="I214" s="803"/>
      <c r="J214" s="803" t="s">
        <v>1118</v>
      </c>
      <c r="K214" s="999"/>
      <c r="L214" s="567">
        <v>0</v>
      </c>
      <c r="M214" s="560">
        <v>0</v>
      </c>
      <c r="N214" s="568">
        <f>259/F214</f>
        <v>66.635107182183987</v>
      </c>
      <c r="O214" s="560">
        <f>49.21/F214</f>
        <v>12.660670364614958</v>
      </c>
      <c r="P214" s="569">
        <v>0</v>
      </c>
      <c r="Q214" s="560">
        <v>0</v>
      </c>
      <c r="R214" s="570" t="e">
        <f>Tabel6689212733[[#This Row],[landcode 3]]+Tabel6689212733[[#This Row],[VAT Sew. 2017]]+Tabel6689212733[[#This Row],[VAT WW 2017]]+Tabel6689212733[[#This Row],[VAT Other ch. 2017]]</f>
        <v>#VALUE!</v>
      </c>
      <c r="S214" s="571">
        <f>Tabel6689212733[[#This Row],[GDP 2017]]+Tabel6689212733[[#This Row],[Sew. 2017]]+Tabel6689212733[[#This Row],[VAT Sew. 2017]]+Tabel6689212733[[#This Row],[WW 2017]]+Tabel6689212733[[#This Row],[VAT WW 2017]]+Tabel6689212733[[#This Row],[Other ch. 2017]]+Tabel6689212733[[#This Row],[VAT Other ch. 2017]]</f>
        <v>79.295777546798945</v>
      </c>
      <c r="T214" s="397"/>
      <c r="U214" s="1886"/>
      <c r="V214" s="2129"/>
      <c r="W214" s="1890"/>
      <c r="X214" s="1772"/>
      <c r="Y214" s="1892"/>
      <c r="Z214" s="1894"/>
      <c r="AA214" s="1772"/>
      <c r="AB214" s="1911"/>
      <c r="AC214" s="1772"/>
      <c r="AD214" s="1913"/>
      <c r="AE214" s="1772"/>
      <c r="AF214" s="2138"/>
      <c r="AG214" s="2053"/>
      <c r="AH214" s="397"/>
      <c r="AI214" s="591" t="s">
        <v>429</v>
      </c>
      <c r="AJ214" s="591" t="s">
        <v>429</v>
      </c>
      <c r="AK214" s="591"/>
      <c r="AL214" s="591"/>
      <c r="AM214" s="591"/>
      <c r="AN214" s="591" t="s">
        <v>429</v>
      </c>
      <c r="AO214" s="614"/>
      <c r="AP214" s="397"/>
    </row>
    <row r="215" spans="1:42" ht="18" hidden="1" customHeight="1" x14ac:dyDescent="0.25">
      <c r="A215" s="1757"/>
      <c r="B215" s="633" t="s">
        <v>864</v>
      </c>
      <c r="C215" s="803"/>
      <c r="D215" s="803" t="s">
        <v>1118</v>
      </c>
      <c r="E215" s="1880"/>
      <c r="F215" s="616">
        <f>'exchange rates'!$O$50</f>
        <v>3.8868399999999999</v>
      </c>
      <c r="G215" s="952"/>
      <c r="H215" s="633" t="s">
        <v>864</v>
      </c>
      <c r="I215" s="803"/>
      <c r="J215" s="803" t="s">
        <v>1118</v>
      </c>
      <c r="K215" s="999"/>
      <c r="L215" s="567">
        <v>0</v>
      </c>
      <c r="M215" s="560">
        <v>0</v>
      </c>
      <c r="N215" s="568">
        <f>304/F215</f>
        <v>78.212635457080822</v>
      </c>
      <c r="O215" s="560">
        <f>57.76/F215</f>
        <v>14.860400736845355</v>
      </c>
      <c r="P215" s="569">
        <v>0</v>
      </c>
      <c r="Q215" s="560">
        <v>0</v>
      </c>
      <c r="R215" s="570" t="e">
        <f>Tabel6689212733[[#This Row],[landcode 3]]+Tabel6689212733[[#This Row],[VAT Sew. 2017]]+Tabel6689212733[[#This Row],[VAT WW 2017]]+Tabel6689212733[[#This Row],[VAT Other ch. 2017]]</f>
        <v>#VALUE!</v>
      </c>
      <c r="S215" s="571">
        <f>Tabel6689212733[[#This Row],[GDP 2017]]+Tabel6689212733[[#This Row],[Sew. 2017]]+Tabel6689212733[[#This Row],[VAT Sew. 2017]]+Tabel6689212733[[#This Row],[WW 2017]]+Tabel6689212733[[#This Row],[VAT WW 2017]]+Tabel6689212733[[#This Row],[Other ch. 2017]]+Tabel6689212733[[#This Row],[VAT Other ch. 2017]]</f>
        <v>93.073036193926171</v>
      </c>
      <c r="T215" s="397"/>
      <c r="U215" s="1886"/>
      <c r="V215" s="2129"/>
      <c r="W215" s="1890"/>
      <c r="X215" s="1772"/>
      <c r="Y215" s="1892"/>
      <c r="Z215" s="1894"/>
      <c r="AA215" s="1772"/>
      <c r="AB215" s="1911"/>
      <c r="AC215" s="1772"/>
      <c r="AD215" s="1913"/>
      <c r="AE215" s="1772"/>
      <c r="AF215" s="2138"/>
      <c r="AG215" s="2053"/>
      <c r="AH215" s="397"/>
      <c r="AI215" s="591" t="s">
        <v>429</v>
      </c>
      <c r="AJ215" s="591" t="s">
        <v>429</v>
      </c>
      <c r="AK215" s="591"/>
      <c r="AL215" s="591"/>
      <c r="AM215" s="591"/>
      <c r="AN215" s="591" t="s">
        <v>429</v>
      </c>
      <c r="AO215" s="614"/>
      <c r="AP215" s="397"/>
    </row>
    <row r="216" spans="1:42" ht="18" hidden="1" customHeight="1" x14ac:dyDescent="0.25">
      <c r="A216" s="1757"/>
      <c r="B216" s="633" t="s">
        <v>865</v>
      </c>
      <c r="C216" s="803"/>
      <c r="D216" s="803" t="s">
        <v>1118</v>
      </c>
      <c r="E216" s="1880"/>
      <c r="F216" s="616">
        <f>'exchange rates'!$O$50</f>
        <v>3.8868399999999999</v>
      </c>
      <c r="G216" s="952"/>
      <c r="H216" s="633" t="s">
        <v>865</v>
      </c>
      <c r="I216" s="803"/>
      <c r="J216" s="803" t="s">
        <v>1118</v>
      </c>
      <c r="K216" s="999"/>
      <c r="L216" s="567">
        <v>0</v>
      </c>
      <c r="M216" s="560">
        <v>0</v>
      </c>
      <c r="N216" s="568">
        <f>257/F216</f>
        <v>66.120550369966352</v>
      </c>
      <c r="O216" s="560">
        <f>48.83/F216</f>
        <v>12.562904570293606</v>
      </c>
      <c r="P216" s="569">
        <v>0</v>
      </c>
      <c r="Q216" s="560">
        <v>0</v>
      </c>
      <c r="R216" s="570" t="e">
        <f>Tabel6689212733[[#This Row],[landcode 3]]+Tabel6689212733[[#This Row],[VAT Sew. 2017]]+Tabel6689212733[[#This Row],[VAT WW 2017]]+Tabel6689212733[[#This Row],[VAT Other ch. 2017]]</f>
        <v>#VALUE!</v>
      </c>
      <c r="S216" s="571">
        <f>Tabel6689212733[[#This Row],[GDP 2017]]+Tabel6689212733[[#This Row],[Sew. 2017]]+Tabel6689212733[[#This Row],[VAT Sew. 2017]]+Tabel6689212733[[#This Row],[WW 2017]]+Tabel6689212733[[#This Row],[VAT WW 2017]]+Tabel6689212733[[#This Row],[Other ch. 2017]]+Tabel6689212733[[#This Row],[VAT Other ch. 2017]]</f>
        <v>78.683454940259963</v>
      </c>
      <c r="T216" s="397"/>
      <c r="U216" s="1886"/>
      <c r="V216" s="2129"/>
      <c r="W216" s="1890"/>
      <c r="X216" s="1772"/>
      <c r="Y216" s="1892"/>
      <c r="Z216" s="1894"/>
      <c r="AA216" s="1772"/>
      <c r="AB216" s="1911"/>
      <c r="AC216" s="1772"/>
      <c r="AD216" s="1913"/>
      <c r="AE216" s="1772"/>
      <c r="AF216" s="2138"/>
      <c r="AG216" s="2053"/>
      <c r="AH216" s="397"/>
      <c r="AI216" s="591" t="s">
        <v>429</v>
      </c>
      <c r="AJ216" s="591" t="s">
        <v>429</v>
      </c>
      <c r="AK216" s="591"/>
      <c r="AL216" s="591"/>
      <c r="AM216" s="591"/>
      <c r="AN216" s="591" t="s">
        <v>429</v>
      </c>
      <c r="AO216" s="614"/>
      <c r="AP216" s="397"/>
    </row>
    <row r="217" spans="1:42" ht="18" hidden="1" customHeight="1" x14ac:dyDescent="0.25">
      <c r="A217" s="1757"/>
      <c r="B217" s="633" t="s">
        <v>866</v>
      </c>
      <c r="C217" s="803"/>
      <c r="D217" s="803" t="s">
        <v>1118</v>
      </c>
      <c r="E217" s="1880"/>
      <c r="F217" s="616">
        <f>'exchange rates'!$O$50</f>
        <v>3.8868399999999999</v>
      </c>
      <c r="G217" s="952"/>
      <c r="H217" s="633" t="s">
        <v>866</v>
      </c>
      <c r="I217" s="803"/>
      <c r="J217" s="803" t="s">
        <v>1118</v>
      </c>
      <c r="K217" s="999"/>
      <c r="L217" s="567">
        <v>0</v>
      </c>
      <c r="M217" s="560">
        <v>0</v>
      </c>
      <c r="N217" s="568">
        <f>226/F217</f>
        <v>58.144919780592978</v>
      </c>
      <c r="O217" s="560">
        <f>42.94/F217</f>
        <v>11.047534758312665</v>
      </c>
      <c r="P217" s="569">
        <v>0</v>
      </c>
      <c r="Q217" s="560">
        <v>0</v>
      </c>
      <c r="R217" s="570" t="e">
        <f>Tabel6689212733[[#This Row],[landcode 3]]+Tabel6689212733[[#This Row],[VAT Sew. 2017]]+Tabel6689212733[[#This Row],[VAT WW 2017]]+Tabel6689212733[[#This Row],[VAT Other ch. 2017]]</f>
        <v>#VALUE!</v>
      </c>
      <c r="S217" s="571">
        <f>Tabel6689212733[[#This Row],[GDP 2017]]+Tabel6689212733[[#This Row],[Sew. 2017]]+Tabel6689212733[[#This Row],[VAT Sew. 2017]]+Tabel6689212733[[#This Row],[WW 2017]]+Tabel6689212733[[#This Row],[VAT WW 2017]]+Tabel6689212733[[#This Row],[Other ch. 2017]]+Tabel6689212733[[#This Row],[VAT Other ch. 2017]]</f>
        <v>69.19245453890565</v>
      </c>
      <c r="T217" s="397"/>
      <c r="U217" s="1886"/>
      <c r="V217" s="2129"/>
      <c r="W217" s="1890"/>
      <c r="X217" s="1772"/>
      <c r="Y217" s="1892"/>
      <c r="Z217" s="1894"/>
      <c r="AA217" s="1772"/>
      <c r="AB217" s="1911"/>
      <c r="AC217" s="1772"/>
      <c r="AD217" s="1913"/>
      <c r="AE217" s="1772"/>
      <c r="AF217" s="2138"/>
      <c r="AG217" s="2053"/>
      <c r="AH217" s="397"/>
      <c r="AI217" s="591" t="s">
        <v>429</v>
      </c>
      <c r="AJ217" s="591" t="s">
        <v>429</v>
      </c>
      <c r="AK217" s="591"/>
      <c r="AL217" s="591"/>
      <c r="AM217" s="591"/>
      <c r="AN217" s="591" t="s">
        <v>429</v>
      </c>
      <c r="AO217" s="614"/>
      <c r="AP217" s="397"/>
    </row>
    <row r="218" spans="1:42" ht="18" hidden="1" customHeight="1" x14ac:dyDescent="0.25">
      <c r="A218" s="1757"/>
      <c r="B218" s="633" t="s">
        <v>867</v>
      </c>
      <c r="C218" s="803"/>
      <c r="D218" s="803" t="s">
        <v>1118</v>
      </c>
      <c r="E218" s="1880"/>
      <c r="F218" s="616">
        <f>'exchange rates'!$O$50</f>
        <v>3.8868399999999999</v>
      </c>
      <c r="G218" s="952"/>
      <c r="H218" s="633" t="s">
        <v>867</v>
      </c>
      <c r="I218" s="803"/>
      <c r="J218" s="803" t="s">
        <v>1118</v>
      </c>
      <c r="K218" s="999"/>
      <c r="L218" s="567">
        <v>0</v>
      </c>
      <c r="M218" s="560">
        <v>0</v>
      </c>
      <c r="N218" s="568">
        <f>309/F218</f>
        <v>79.499027487624915</v>
      </c>
      <c r="O218" s="560">
        <f>58.71/F218</f>
        <v>15.104815222648734</v>
      </c>
      <c r="P218" s="569">
        <v>0</v>
      </c>
      <c r="Q218" s="560">
        <v>0</v>
      </c>
      <c r="R218" s="570" t="e">
        <f>Tabel6689212733[[#This Row],[landcode 3]]+Tabel6689212733[[#This Row],[VAT Sew. 2017]]+Tabel6689212733[[#This Row],[VAT WW 2017]]+Tabel6689212733[[#This Row],[VAT Other ch. 2017]]</f>
        <v>#VALUE!</v>
      </c>
      <c r="S218" s="571">
        <f>Tabel6689212733[[#This Row],[GDP 2017]]+Tabel6689212733[[#This Row],[Sew. 2017]]+Tabel6689212733[[#This Row],[VAT Sew. 2017]]+Tabel6689212733[[#This Row],[WW 2017]]+Tabel6689212733[[#This Row],[VAT WW 2017]]+Tabel6689212733[[#This Row],[Other ch. 2017]]+Tabel6689212733[[#This Row],[VAT Other ch. 2017]]</f>
        <v>94.603842710273653</v>
      </c>
      <c r="T218" s="397"/>
      <c r="U218" s="1886"/>
      <c r="V218" s="2129"/>
      <c r="W218" s="1890"/>
      <c r="X218" s="1772"/>
      <c r="Y218" s="1892"/>
      <c r="Z218" s="1894"/>
      <c r="AA218" s="1772"/>
      <c r="AB218" s="1911"/>
      <c r="AC218" s="1772"/>
      <c r="AD218" s="1913"/>
      <c r="AE218" s="1772"/>
      <c r="AF218" s="2138"/>
      <c r="AG218" s="2053"/>
      <c r="AH218" s="397"/>
      <c r="AI218" s="591" t="s">
        <v>429</v>
      </c>
      <c r="AJ218" s="591" t="s">
        <v>429</v>
      </c>
      <c r="AK218" s="591"/>
      <c r="AL218" s="591"/>
      <c r="AM218" s="591"/>
      <c r="AN218" s="591" t="s">
        <v>429</v>
      </c>
      <c r="AO218" s="614"/>
      <c r="AP218" s="397"/>
    </row>
    <row r="219" spans="1:42" ht="18" hidden="1" customHeight="1" x14ac:dyDescent="0.25">
      <c r="A219" s="1757"/>
      <c r="B219" s="633" t="s">
        <v>868</v>
      </c>
      <c r="C219" s="803"/>
      <c r="D219" s="803" t="s">
        <v>1118</v>
      </c>
      <c r="E219" s="1880"/>
      <c r="F219" s="616">
        <f>'exchange rates'!$O$50</f>
        <v>3.8868399999999999</v>
      </c>
      <c r="G219" s="952"/>
      <c r="H219" s="633" t="s">
        <v>868</v>
      </c>
      <c r="I219" s="803"/>
      <c r="J219" s="803" t="s">
        <v>1118</v>
      </c>
      <c r="K219" s="999"/>
      <c r="L219" s="567">
        <v>0</v>
      </c>
      <c r="M219" s="560">
        <v>0</v>
      </c>
      <c r="N219" s="568">
        <f>213/F219</f>
        <v>54.800300501178334</v>
      </c>
      <c r="O219" s="560">
        <f>40.47/F219</f>
        <v>10.412057095223883</v>
      </c>
      <c r="P219" s="569">
        <v>0</v>
      </c>
      <c r="Q219" s="560">
        <v>0</v>
      </c>
      <c r="R219" s="570" t="e">
        <f>Tabel6689212733[[#This Row],[landcode 3]]+Tabel6689212733[[#This Row],[VAT Sew. 2017]]+Tabel6689212733[[#This Row],[VAT WW 2017]]+Tabel6689212733[[#This Row],[VAT Other ch. 2017]]</f>
        <v>#VALUE!</v>
      </c>
      <c r="S219" s="571">
        <f>Tabel6689212733[[#This Row],[GDP 2017]]+Tabel6689212733[[#This Row],[Sew. 2017]]+Tabel6689212733[[#This Row],[VAT Sew. 2017]]+Tabel6689212733[[#This Row],[WW 2017]]+Tabel6689212733[[#This Row],[VAT WW 2017]]+Tabel6689212733[[#This Row],[Other ch. 2017]]+Tabel6689212733[[#This Row],[VAT Other ch. 2017]]</f>
        <v>65.212357596402214</v>
      </c>
      <c r="T219" s="397"/>
      <c r="U219" s="1886"/>
      <c r="V219" s="2129"/>
      <c r="W219" s="1890"/>
      <c r="X219" s="1772"/>
      <c r="Y219" s="1892"/>
      <c r="Z219" s="1894"/>
      <c r="AA219" s="1772"/>
      <c r="AB219" s="1911"/>
      <c r="AC219" s="1772"/>
      <c r="AD219" s="1913"/>
      <c r="AE219" s="1772"/>
      <c r="AF219" s="2138"/>
      <c r="AG219" s="2053"/>
      <c r="AH219" s="397"/>
      <c r="AI219" s="591" t="s">
        <v>429</v>
      </c>
      <c r="AJ219" s="591" t="s">
        <v>429</v>
      </c>
      <c r="AK219" s="591"/>
      <c r="AL219" s="591"/>
      <c r="AM219" s="591"/>
      <c r="AN219" s="591" t="s">
        <v>429</v>
      </c>
      <c r="AO219" s="614"/>
      <c r="AP219" s="397"/>
    </row>
    <row r="220" spans="1:42" ht="18" hidden="1" customHeight="1" x14ac:dyDescent="0.25">
      <c r="A220" s="1757"/>
      <c r="B220" s="633" t="s">
        <v>870</v>
      </c>
      <c r="C220" s="803"/>
      <c r="D220" s="803" t="s">
        <v>1118</v>
      </c>
      <c r="E220" s="1880"/>
      <c r="F220" s="616">
        <f>'exchange rates'!$O$50</f>
        <v>3.8868399999999999</v>
      </c>
      <c r="G220" s="952"/>
      <c r="H220" s="633" t="s">
        <v>870</v>
      </c>
      <c r="I220" s="803"/>
      <c r="J220" s="803" t="s">
        <v>1118</v>
      </c>
      <c r="K220" s="999"/>
      <c r="L220" s="567">
        <v>0</v>
      </c>
      <c r="M220" s="560">
        <v>0</v>
      </c>
      <c r="N220" s="568">
        <f>218/F220</f>
        <v>56.086692531722427</v>
      </c>
      <c r="O220" s="560">
        <f>41.42/F220</f>
        <v>10.656471581027262</v>
      </c>
      <c r="P220" s="569">
        <v>0</v>
      </c>
      <c r="Q220" s="560">
        <v>0</v>
      </c>
      <c r="R220" s="570" t="e">
        <f>Tabel6689212733[[#This Row],[landcode 3]]+Tabel6689212733[[#This Row],[VAT Sew. 2017]]+Tabel6689212733[[#This Row],[VAT WW 2017]]+Tabel6689212733[[#This Row],[VAT Other ch. 2017]]</f>
        <v>#VALUE!</v>
      </c>
      <c r="S220" s="571">
        <f>Tabel6689212733[[#This Row],[GDP 2017]]+Tabel6689212733[[#This Row],[Sew. 2017]]+Tabel6689212733[[#This Row],[VAT Sew. 2017]]+Tabel6689212733[[#This Row],[WW 2017]]+Tabel6689212733[[#This Row],[VAT WW 2017]]+Tabel6689212733[[#This Row],[Other ch. 2017]]+Tabel6689212733[[#This Row],[VAT Other ch. 2017]]</f>
        <v>66.743164112749696</v>
      </c>
      <c r="T220" s="397"/>
      <c r="U220" s="1886"/>
      <c r="V220" s="2129"/>
      <c r="W220" s="1890"/>
      <c r="X220" s="1772"/>
      <c r="Y220" s="1892"/>
      <c r="Z220" s="1894"/>
      <c r="AA220" s="1772"/>
      <c r="AB220" s="1911"/>
      <c r="AC220" s="1772"/>
      <c r="AD220" s="1913"/>
      <c r="AE220" s="1772"/>
      <c r="AF220" s="2138"/>
      <c r="AG220" s="2053"/>
      <c r="AH220" s="397"/>
      <c r="AI220" s="591" t="s">
        <v>429</v>
      </c>
      <c r="AJ220" s="591" t="s">
        <v>429</v>
      </c>
      <c r="AK220" s="591"/>
      <c r="AL220" s="591"/>
      <c r="AM220" s="591"/>
      <c r="AN220" s="591" t="s">
        <v>429</v>
      </c>
      <c r="AO220" s="614"/>
      <c r="AP220" s="397"/>
    </row>
    <row r="221" spans="1:42" ht="18" hidden="1" customHeight="1" x14ac:dyDescent="0.25">
      <c r="A221" s="1757"/>
      <c r="B221" s="633" t="s">
        <v>871</v>
      </c>
      <c r="C221" s="803"/>
      <c r="D221" s="803" t="s">
        <v>1118</v>
      </c>
      <c r="E221" s="1880"/>
      <c r="F221" s="616">
        <f>'exchange rates'!$O$50</f>
        <v>3.8868399999999999</v>
      </c>
      <c r="G221" s="952"/>
      <c r="H221" s="633" t="s">
        <v>871</v>
      </c>
      <c r="I221" s="803"/>
      <c r="J221" s="803" t="s">
        <v>1118</v>
      </c>
      <c r="K221" s="999"/>
      <c r="L221" s="567">
        <v>0</v>
      </c>
      <c r="M221" s="560">
        <v>0</v>
      </c>
      <c r="N221" s="568">
        <f>203/F221</f>
        <v>52.227516440090149</v>
      </c>
      <c r="O221" s="560">
        <f>38.57/F221</f>
        <v>9.9232281236171289</v>
      </c>
      <c r="P221" s="569">
        <v>0</v>
      </c>
      <c r="Q221" s="560">
        <v>0</v>
      </c>
      <c r="R221" s="570" t="e">
        <f>Tabel6689212733[[#This Row],[landcode 3]]+Tabel6689212733[[#This Row],[VAT Sew. 2017]]+Tabel6689212733[[#This Row],[VAT WW 2017]]+Tabel6689212733[[#This Row],[VAT Other ch. 2017]]</f>
        <v>#VALUE!</v>
      </c>
      <c r="S221" s="571">
        <f>Tabel6689212733[[#This Row],[GDP 2017]]+Tabel6689212733[[#This Row],[Sew. 2017]]+Tabel6689212733[[#This Row],[VAT Sew. 2017]]+Tabel6689212733[[#This Row],[WW 2017]]+Tabel6689212733[[#This Row],[VAT WW 2017]]+Tabel6689212733[[#This Row],[Other ch. 2017]]+Tabel6689212733[[#This Row],[VAT Other ch. 2017]]</f>
        <v>62.150744563707278</v>
      </c>
      <c r="T221" s="397"/>
      <c r="U221" s="1886"/>
      <c r="V221" s="2129"/>
      <c r="W221" s="1890"/>
      <c r="X221" s="1772"/>
      <c r="Y221" s="1892"/>
      <c r="Z221" s="1894"/>
      <c r="AA221" s="1772"/>
      <c r="AB221" s="1911"/>
      <c r="AC221" s="1772"/>
      <c r="AD221" s="1913"/>
      <c r="AE221" s="1772"/>
      <c r="AF221" s="2138"/>
      <c r="AG221" s="2053"/>
      <c r="AH221" s="397"/>
      <c r="AI221" s="591" t="s">
        <v>429</v>
      </c>
      <c r="AJ221" s="591" t="s">
        <v>429</v>
      </c>
      <c r="AK221" s="591"/>
      <c r="AL221" s="591"/>
      <c r="AM221" s="591"/>
      <c r="AN221" s="591" t="s">
        <v>429</v>
      </c>
      <c r="AO221" s="614"/>
      <c r="AP221" s="397"/>
    </row>
    <row r="222" spans="1:42" ht="18" hidden="1" customHeight="1" x14ac:dyDescent="0.25">
      <c r="A222" s="1757"/>
      <c r="B222" s="633" t="s">
        <v>872</v>
      </c>
      <c r="C222" s="803"/>
      <c r="D222" s="803" t="s">
        <v>1118</v>
      </c>
      <c r="E222" s="1880"/>
      <c r="F222" s="616">
        <f>'exchange rates'!$O$50</f>
        <v>3.8868399999999999</v>
      </c>
      <c r="G222" s="952"/>
      <c r="H222" s="633" t="s">
        <v>872</v>
      </c>
      <c r="I222" s="803"/>
      <c r="J222" s="803" t="s">
        <v>1118</v>
      </c>
      <c r="K222" s="999"/>
      <c r="L222" s="567">
        <v>0</v>
      </c>
      <c r="M222" s="560">
        <v>0</v>
      </c>
      <c r="N222" s="568">
        <f>223/F222</f>
        <v>57.37308456226652</v>
      </c>
      <c r="O222" s="560">
        <f>42.37/F222</f>
        <v>10.900886066830639</v>
      </c>
      <c r="P222" s="569">
        <v>0</v>
      </c>
      <c r="Q222" s="560">
        <v>0</v>
      </c>
      <c r="R222" s="570" t="e">
        <f>Tabel6689212733[[#This Row],[landcode 3]]+Tabel6689212733[[#This Row],[VAT Sew. 2017]]+Tabel6689212733[[#This Row],[VAT WW 2017]]+Tabel6689212733[[#This Row],[VAT Other ch. 2017]]</f>
        <v>#VALUE!</v>
      </c>
      <c r="S222" s="571">
        <f>Tabel6689212733[[#This Row],[GDP 2017]]+Tabel6689212733[[#This Row],[Sew. 2017]]+Tabel6689212733[[#This Row],[VAT Sew. 2017]]+Tabel6689212733[[#This Row],[WW 2017]]+Tabel6689212733[[#This Row],[VAT WW 2017]]+Tabel6689212733[[#This Row],[Other ch. 2017]]+Tabel6689212733[[#This Row],[VAT Other ch. 2017]]</f>
        <v>68.273970629097164</v>
      </c>
      <c r="T222" s="397"/>
      <c r="U222" s="1886"/>
      <c r="V222" s="2129"/>
      <c r="W222" s="1890"/>
      <c r="X222" s="1772"/>
      <c r="Y222" s="1892"/>
      <c r="Z222" s="1894"/>
      <c r="AA222" s="1772"/>
      <c r="AB222" s="1911"/>
      <c r="AC222" s="1772"/>
      <c r="AD222" s="1913"/>
      <c r="AE222" s="1772"/>
      <c r="AF222" s="2138"/>
      <c r="AG222" s="2053"/>
      <c r="AH222" s="397"/>
      <c r="AI222" s="591" t="s">
        <v>429</v>
      </c>
      <c r="AJ222" s="591" t="s">
        <v>429</v>
      </c>
      <c r="AK222" s="591"/>
      <c r="AL222" s="591"/>
      <c r="AM222" s="591"/>
      <c r="AN222" s="591" t="s">
        <v>429</v>
      </c>
      <c r="AO222" s="614"/>
      <c r="AP222" s="397"/>
    </row>
    <row r="223" spans="1:42" ht="18" hidden="1" customHeight="1" x14ac:dyDescent="0.25">
      <c r="A223" s="1757"/>
      <c r="B223" s="633" t="s">
        <v>874</v>
      </c>
      <c r="C223" s="803"/>
      <c r="D223" s="803" t="s">
        <v>1118</v>
      </c>
      <c r="E223" s="1880"/>
      <c r="F223" s="616">
        <f>'exchange rates'!$O$50</f>
        <v>3.8868399999999999</v>
      </c>
      <c r="G223" s="952"/>
      <c r="H223" s="633" t="s">
        <v>874</v>
      </c>
      <c r="I223" s="803"/>
      <c r="J223" s="803" t="s">
        <v>1118</v>
      </c>
      <c r="K223" s="999"/>
      <c r="L223" s="567">
        <v>0</v>
      </c>
      <c r="M223" s="560">
        <v>0</v>
      </c>
      <c r="N223" s="568">
        <f>359/F223</f>
        <v>92.362947793065842</v>
      </c>
      <c r="O223" s="560">
        <f>68.21/F223</f>
        <v>17.548960080682509</v>
      </c>
      <c r="P223" s="569">
        <v>0</v>
      </c>
      <c r="Q223" s="560">
        <v>0</v>
      </c>
      <c r="R223" s="570" t="e">
        <f>Tabel6689212733[[#This Row],[landcode 3]]+Tabel6689212733[[#This Row],[VAT Sew. 2017]]+Tabel6689212733[[#This Row],[VAT WW 2017]]+Tabel6689212733[[#This Row],[VAT Other ch. 2017]]</f>
        <v>#VALUE!</v>
      </c>
      <c r="S223" s="571">
        <f>Tabel6689212733[[#This Row],[GDP 2017]]+Tabel6689212733[[#This Row],[Sew. 2017]]+Tabel6689212733[[#This Row],[VAT Sew. 2017]]+Tabel6689212733[[#This Row],[WW 2017]]+Tabel6689212733[[#This Row],[VAT WW 2017]]+Tabel6689212733[[#This Row],[Other ch. 2017]]+Tabel6689212733[[#This Row],[VAT Other ch. 2017]]</f>
        <v>109.91190787374835</v>
      </c>
      <c r="T223" s="397"/>
      <c r="U223" s="1886"/>
      <c r="V223" s="2129"/>
      <c r="W223" s="1890"/>
      <c r="X223" s="1772"/>
      <c r="Y223" s="1892"/>
      <c r="Z223" s="1894"/>
      <c r="AA223" s="1772"/>
      <c r="AB223" s="1911"/>
      <c r="AC223" s="1772"/>
      <c r="AD223" s="1913"/>
      <c r="AE223" s="1772"/>
      <c r="AF223" s="2138"/>
      <c r="AG223" s="2053"/>
      <c r="AH223" s="397"/>
      <c r="AI223" s="591" t="s">
        <v>429</v>
      </c>
      <c r="AJ223" s="591" t="s">
        <v>429</v>
      </c>
      <c r="AK223" s="591"/>
      <c r="AL223" s="591"/>
      <c r="AM223" s="591"/>
      <c r="AN223" s="591" t="s">
        <v>429</v>
      </c>
      <c r="AO223" s="614"/>
      <c r="AP223" s="397"/>
    </row>
    <row r="224" spans="1:42" ht="18.600000000000001" hidden="1" customHeight="1" thickBot="1" x14ac:dyDescent="0.3">
      <c r="A224" s="1757"/>
      <c r="B224" s="648" t="s">
        <v>598</v>
      </c>
      <c r="C224" s="803"/>
      <c r="D224" s="803" t="s">
        <v>1118</v>
      </c>
      <c r="E224" s="1880"/>
      <c r="F224" s="616">
        <f>'exchange rates'!$O$50</f>
        <v>3.8868399999999999</v>
      </c>
      <c r="G224" s="952"/>
      <c r="H224" s="634" t="s">
        <v>598</v>
      </c>
      <c r="I224" s="803"/>
      <c r="J224" s="803" t="s">
        <v>1118</v>
      </c>
      <c r="K224" s="999"/>
      <c r="L224" s="567">
        <v>0</v>
      </c>
      <c r="M224" s="560">
        <v>0</v>
      </c>
      <c r="N224" s="568">
        <f>379/F224</f>
        <v>97.508515915242199</v>
      </c>
      <c r="O224" s="560">
        <f>72.01/F224</f>
        <v>18.52661802389602</v>
      </c>
      <c r="P224" s="569">
        <v>0</v>
      </c>
      <c r="Q224" s="560">
        <v>0</v>
      </c>
      <c r="R224" s="570" t="e">
        <f>Tabel6689212733[[#This Row],[landcode 3]]+Tabel6689212733[[#This Row],[VAT Sew. 2017]]+Tabel6689212733[[#This Row],[VAT WW 2017]]+Tabel6689212733[[#This Row],[VAT Other ch. 2017]]</f>
        <v>#VALUE!</v>
      </c>
      <c r="S224" s="571">
        <f>Tabel6689212733[[#This Row],[GDP 2017]]+Tabel6689212733[[#This Row],[Sew. 2017]]+Tabel6689212733[[#This Row],[VAT Sew. 2017]]+Tabel6689212733[[#This Row],[WW 2017]]+Tabel6689212733[[#This Row],[VAT WW 2017]]+Tabel6689212733[[#This Row],[Other ch. 2017]]+Tabel6689212733[[#This Row],[VAT Other ch. 2017]]</f>
        <v>116.03513393913822</v>
      </c>
      <c r="T224" s="397"/>
      <c r="U224" s="1886"/>
      <c r="V224" s="2130"/>
      <c r="W224" s="1890"/>
      <c r="X224" s="1783"/>
      <c r="Y224" s="1892"/>
      <c r="Z224" s="1894"/>
      <c r="AA224" s="1783"/>
      <c r="AB224" s="1911"/>
      <c r="AC224" s="1783"/>
      <c r="AD224" s="1913"/>
      <c r="AE224" s="1783"/>
      <c r="AF224" s="2138"/>
      <c r="AG224" s="2053"/>
      <c r="AH224" s="397"/>
      <c r="AI224" s="591" t="s">
        <v>429</v>
      </c>
      <c r="AJ224" s="591" t="s">
        <v>429</v>
      </c>
      <c r="AK224" s="591"/>
      <c r="AL224" s="591"/>
      <c r="AM224" s="591"/>
      <c r="AN224" s="591" t="s">
        <v>429</v>
      </c>
      <c r="AO224" s="614"/>
      <c r="AP224" s="397"/>
    </row>
    <row r="225" spans="1:42" ht="18.600000000000001" hidden="1" customHeight="1" x14ac:dyDescent="0.25">
      <c r="A225" s="2337" t="s">
        <v>693</v>
      </c>
      <c r="B225" s="653" t="s">
        <v>887</v>
      </c>
      <c r="C225" s="653" t="s">
        <v>429</v>
      </c>
      <c r="D225" s="653" t="s">
        <v>1120</v>
      </c>
      <c r="E225" s="2166">
        <v>27900</v>
      </c>
      <c r="F225" s="616">
        <f>'exchange rates'!$O$51</f>
        <v>57.611829999999998</v>
      </c>
      <c r="G225" s="1029" t="s">
        <v>693</v>
      </c>
      <c r="H225" s="650" t="s">
        <v>887</v>
      </c>
      <c r="I225" s="803" t="s">
        <v>429</v>
      </c>
      <c r="J225" s="653" t="s">
        <v>1120</v>
      </c>
      <c r="K225" s="1006">
        <v>27900</v>
      </c>
      <c r="L225" s="567">
        <f>2204/F225</f>
        <v>38.256031790692987</v>
      </c>
      <c r="M225" s="560">
        <v>0</v>
      </c>
      <c r="N225" s="568">
        <v>0</v>
      </c>
      <c r="O225" s="560">
        <v>0</v>
      </c>
      <c r="P225" s="569">
        <v>0</v>
      </c>
      <c r="Q225" s="560">
        <v>0</v>
      </c>
      <c r="R225" s="570" t="e">
        <f>Tabel6689212733[[#This Row],[landcode 3]]+Tabel6689212733[[#This Row],[VAT Sew. 2017]]+Tabel6689212733[[#This Row],[VAT WW 2017]]+Tabel6689212733[[#This Row],[VAT Other ch. 2017]]</f>
        <v>#VALUE!</v>
      </c>
      <c r="S225" s="571">
        <f>Tabel6689212733[[#This Row],[GDP 2017]]+Tabel6689212733[[#This Row],[Sew. 2017]]+Tabel6689212733[[#This Row],[VAT Sew. 2017]]+Tabel6689212733[[#This Row],[WW 2017]]+Tabel6689212733[[#This Row],[VAT WW 2017]]+Tabel6689212733[[#This Row],[Other ch. 2017]]+Tabel6689212733[[#This Row],[VAT Other ch. 2017]]</f>
        <v>27938.256031790694</v>
      </c>
      <c r="T225" s="397"/>
      <c r="U225" s="1762">
        <f>G226</f>
        <v>0</v>
      </c>
      <c r="V225" s="2271" t="str">
        <f>H226</f>
        <v>Russia Average</v>
      </c>
      <c r="W225" s="1768">
        <f>I226</f>
        <v>0</v>
      </c>
      <c r="X225" s="1771" t="str">
        <f>J226</f>
        <v>RUS</v>
      </c>
      <c r="Y225" s="1774">
        <f>SUM(U225:X226)</f>
        <v>0</v>
      </c>
      <c r="Z225" s="1777">
        <f t="shared" ref="Z225:AF225" si="34">L226</f>
        <v>42.19619477458015</v>
      </c>
      <c r="AA225" s="1771">
        <f t="shared" si="34"/>
        <v>0</v>
      </c>
      <c r="AB225" s="1810">
        <f t="shared" si="34"/>
        <v>0</v>
      </c>
      <c r="AC225" s="1771">
        <f t="shared" si="34"/>
        <v>0</v>
      </c>
      <c r="AD225" s="1812">
        <f t="shared" si="34"/>
        <v>2.1870508192501439</v>
      </c>
      <c r="AE225" s="1771">
        <f t="shared" si="34"/>
        <v>0</v>
      </c>
      <c r="AF225" s="1814" t="e">
        <f t="shared" si="34"/>
        <v>#VALUE!</v>
      </c>
      <c r="AG225" s="2260">
        <f>Y225+Z225+AA225+AB225+AC225+AD225+AE225</f>
        <v>44.383245593830296</v>
      </c>
      <c r="AH225" s="397"/>
      <c r="AI225" s="591"/>
      <c r="AJ225" s="591"/>
      <c r="AK225" s="591"/>
      <c r="AL225" s="591"/>
      <c r="AM225" s="591"/>
      <c r="AN225" s="591"/>
      <c r="AO225" s="614"/>
      <c r="AP225" s="397"/>
    </row>
    <row r="226" spans="1:42" ht="16.149999999999999" hidden="1" customHeight="1" thickBot="1" x14ac:dyDescent="0.3">
      <c r="A226" s="1758"/>
      <c r="B226" s="652" t="s">
        <v>694</v>
      </c>
      <c r="C226" s="651"/>
      <c r="D226" s="823" t="s">
        <v>1120</v>
      </c>
      <c r="E226" s="1761"/>
      <c r="F226" s="616">
        <f>'exchange rates'!$O$51</f>
        <v>57.611829999999998</v>
      </c>
      <c r="G226" s="1030"/>
      <c r="H226" s="651" t="s">
        <v>694</v>
      </c>
      <c r="I226" s="651"/>
      <c r="J226" s="823" t="s">
        <v>1120</v>
      </c>
      <c r="K226" s="970"/>
      <c r="L226" s="567">
        <f>2431/F226</f>
        <v>42.19619477458015</v>
      </c>
      <c r="M226" s="560">
        <v>0</v>
      </c>
      <c r="N226" s="568">
        <f>0</f>
        <v>0</v>
      </c>
      <c r="O226" s="560">
        <v>0</v>
      </c>
      <c r="P226" s="569">
        <f>126/F226</f>
        <v>2.1870508192501439</v>
      </c>
      <c r="Q226" s="560">
        <v>0</v>
      </c>
      <c r="R226" s="570" t="e">
        <f>Tabel6689212733[[#This Row],[landcode 3]]+Tabel6689212733[[#This Row],[VAT Sew. 2017]]+Tabel6689212733[[#This Row],[VAT WW 2017]]+Tabel6689212733[[#This Row],[VAT Other ch. 2017]]</f>
        <v>#VALUE!</v>
      </c>
      <c r="S226" s="571">
        <f>Tabel6689212733[[#This Row],[GDP 2017]]+Tabel6689212733[[#This Row],[Sew. 2017]]+Tabel6689212733[[#This Row],[VAT Sew. 2017]]+Tabel6689212733[[#This Row],[WW 2017]]+Tabel6689212733[[#This Row],[VAT WW 2017]]+Tabel6689212733[[#This Row],[Other ch. 2017]]+Tabel6689212733[[#This Row],[VAT Other ch. 2017]]</f>
        <v>44.383245593830296</v>
      </c>
      <c r="T226" s="397"/>
      <c r="U226" s="1764"/>
      <c r="V226" s="2132"/>
      <c r="W226" s="1770"/>
      <c r="X226" s="1773"/>
      <c r="Y226" s="1776"/>
      <c r="Z226" s="1779"/>
      <c r="AA226" s="1773"/>
      <c r="AB226" s="1811"/>
      <c r="AC226" s="1773"/>
      <c r="AD226" s="1813"/>
      <c r="AE226" s="1773"/>
      <c r="AF226" s="1815"/>
      <c r="AG226" s="1991"/>
      <c r="AH226" s="397"/>
      <c r="AI226" s="591" t="s">
        <v>429</v>
      </c>
      <c r="AJ226" s="396"/>
      <c r="AK226" s="398"/>
      <c r="AL226" s="398"/>
      <c r="AM226" s="398"/>
      <c r="AN226" s="396"/>
      <c r="AO226" s="398"/>
      <c r="AP226" s="397"/>
    </row>
    <row r="227" spans="1:42" ht="18" hidden="1" customHeight="1" x14ac:dyDescent="0.25">
      <c r="A227" s="1878" t="s">
        <v>47</v>
      </c>
      <c r="B227" s="837" t="s">
        <v>1154</v>
      </c>
      <c r="C227" s="1046" t="s">
        <v>429</v>
      </c>
      <c r="D227" s="802" t="s">
        <v>1121</v>
      </c>
      <c r="E227" s="2166">
        <v>43600</v>
      </c>
      <c r="F227" s="617">
        <f>'exchange rates'!$O$52</f>
        <v>0.73992000000000002</v>
      </c>
      <c r="G227" s="1004" t="s">
        <v>47</v>
      </c>
      <c r="H227" s="693" t="s">
        <v>1154</v>
      </c>
      <c r="I227" s="1046" t="s">
        <v>429</v>
      </c>
      <c r="J227" s="802"/>
      <c r="K227" s="968">
        <v>43600</v>
      </c>
      <c r="L227" s="567"/>
      <c r="M227" s="560"/>
      <c r="N227" s="568"/>
      <c r="O227" s="560"/>
      <c r="P227" s="569"/>
      <c r="Q227" s="560"/>
      <c r="R227" s="570">
        <f>Tabel6689212733[[#This Row],[landcode 3]]+Tabel6689212733[[#This Row],[VAT Sew. 2017]]+Tabel6689212733[[#This Row],[VAT WW 2017]]+Tabel6689212733[[#This Row],[VAT Other ch. 2017]]</f>
        <v>0</v>
      </c>
      <c r="S227" s="571">
        <f>Tabel6689212733[[#This Row],[GDP 2017]]+Tabel6689212733[[#This Row],[Sew. 2017]]+Tabel6689212733[[#This Row],[VAT Sew. 2017]]+Tabel6689212733[[#This Row],[WW 2017]]+Tabel6689212733[[#This Row],[VAT WW 2017]]+Tabel6689212733[[#This Row],[Other ch. 2017]]+Tabel6689212733[[#This Row],[VAT Other ch. 2017]]</f>
        <v>43600</v>
      </c>
      <c r="T227" s="397"/>
      <c r="U227" s="825"/>
      <c r="V227" s="826"/>
      <c r="W227" s="827"/>
      <c r="X227" s="828"/>
      <c r="Y227" s="829"/>
      <c r="Z227" s="830"/>
      <c r="AA227" s="828"/>
      <c r="AB227" s="831"/>
      <c r="AC227" s="828"/>
      <c r="AD227" s="832"/>
      <c r="AE227" s="828"/>
      <c r="AF227" s="836"/>
      <c r="AG227" s="834"/>
      <c r="AH227" s="397"/>
      <c r="AI227" s="591" t="s">
        <v>429</v>
      </c>
      <c r="AJ227" s="396"/>
      <c r="AK227" s="398"/>
      <c r="AL227" s="398"/>
      <c r="AM227" s="591" t="s">
        <v>429</v>
      </c>
      <c r="AN227" s="396"/>
      <c r="AO227" s="398"/>
      <c r="AP227" s="397"/>
    </row>
    <row r="228" spans="1:42" ht="15.6" hidden="1" customHeight="1" x14ac:dyDescent="0.25">
      <c r="A228" s="1757"/>
      <c r="B228" s="276" t="s">
        <v>204</v>
      </c>
      <c r="C228" s="1048"/>
      <c r="D228" s="805" t="s">
        <v>1121</v>
      </c>
      <c r="E228" s="1760"/>
      <c r="F228" s="617">
        <f>'exchange rates'!$O$52</f>
        <v>0.73992000000000002</v>
      </c>
      <c r="G228" s="998"/>
      <c r="H228" s="276" t="s">
        <v>204</v>
      </c>
      <c r="I228" s="1048"/>
      <c r="J228" s="805" t="s">
        <v>1121</v>
      </c>
      <c r="K228" s="969"/>
      <c r="L228" s="322"/>
      <c r="M228" s="559"/>
      <c r="N228" s="323"/>
      <c r="O228" s="559"/>
      <c r="P228" s="324"/>
      <c r="Q228" s="559"/>
      <c r="R228" s="317" t="e">
        <f>Tabel6689212733[[#This Row],[landcode 3]]+Tabel6689212733[[#This Row],[VAT Sew. 2017]]+Tabel6689212733[[#This Row],[VAT WW 2017]]+Tabel6689212733[[#This Row],[VAT Other ch. 2017]]</f>
        <v>#VALUE!</v>
      </c>
      <c r="S228" s="318">
        <f>Tabel6689212733[[#This Row],[GDP 2017]]+Tabel6689212733[[#This Row],[Sew. 2017]]+Tabel6689212733[[#This Row],[VAT Sew. 2017]]+Tabel6689212733[[#This Row],[WW 2017]]+Tabel6689212733[[#This Row],[VAT WW 2017]]+Tabel6689212733[[#This Row],[Other ch. 2017]]+Tabel6689212733[[#This Row],[VAT Other ch. 2017]]</f>
        <v>0</v>
      </c>
      <c r="T228" s="397"/>
      <c r="U228" s="349"/>
      <c r="V228" s="350"/>
      <c r="W228" s="351"/>
      <c r="X228" s="582"/>
      <c r="Y228" s="352"/>
      <c r="Z228" s="353"/>
      <c r="AA228" s="582"/>
      <c r="AB228" s="354"/>
      <c r="AC228" s="582"/>
      <c r="AD228" s="355"/>
      <c r="AE228" s="582"/>
      <c r="AF228" s="356"/>
      <c r="AG228" s="357"/>
      <c r="AH228" s="397"/>
      <c r="AI228" s="400"/>
      <c r="AJ228" s="400"/>
      <c r="AK228" s="398"/>
      <c r="AL228" s="398"/>
      <c r="AM228" s="398"/>
      <c r="AN228" s="398"/>
      <c r="AO228" s="398"/>
      <c r="AP228" s="397"/>
    </row>
    <row r="229" spans="1:42" ht="15.6" hidden="1" customHeight="1" x14ac:dyDescent="0.25">
      <c r="A229" s="1757"/>
      <c r="B229" s="276" t="s">
        <v>205</v>
      </c>
      <c r="C229" s="1048"/>
      <c r="D229" s="805" t="s">
        <v>1121</v>
      </c>
      <c r="E229" s="1760"/>
      <c r="F229" s="617">
        <f>'exchange rates'!$O$52</f>
        <v>0.73992000000000002</v>
      </c>
      <c r="G229" s="998"/>
      <c r="H229" s="276" t="s">
        <v>205</v>
      </c>
      <c r="I229" s="1048"/>
      <c r="J229" s="805" t="s">
        <v>1121</v>
      </c>
      <c r="K229" s="969"/>
      <c r="L229" s="322"/>
      <c r="M229" s="559"/>
      <c r="N229" s="323"/>
      <c r="O229" s="559"/>
      <c r="P229" s="324"/>
      <c r="Q229" s="559"/>
      <c r="R229" s="317" t="e">
        <f>Tabel6689212733[[#This Row],[landcode 3]]+Tabel6689212733[[#This Row],[VAT Sew. 2017]]+Tabel6689212733[[#This Row],[VAT WW 2017]]+Tabel6689212733[[#This Row],[VAT Other ch. 2017]]</f>
        <v>#VALUE!</v>
      </c>
      <c r="S229" s="318">
        <f>Tabel6689212733[[#This Row],[GDP 2017]]+Tabel6689212733[[#This Row],[Sew. 2017]]+Tabel6689212733[[#This Row],[VAT Sew. 2017]]+Tabel6689212733[[#This Row],[WW 2017]]+Tabel6689212733[[#This Row],[VAT WW 2017]]+Tabel6689212733[[#This Row],[Other ch. 2017]]+Tabel6689212733[[#This Row],[VAT Other ch. 2017]]</f>
        <v>0</v>
      </c>
      <c r="T229" s="397"/>
      <c r="U229" s="358"/>
      <c r="V229" s="359"/>
      <c r="W229" s="360"/>
      <c r="X229" s="586"/>
      <c r="Y229" s="361"/>
      <c r="Z229" s="362"/>
      <c r="AA229" s="586"/>
      <c r="AB229" s="363"/>
      <c r="AC229" s="586"/>
      <c r="AD229" s="364"/>
      <c r="AE229" s="586"/>
      <c r="AF229" s="365"/>
      <c r="AG229" s="366"/>
      <c r="AH229" s="397"/>
      <c r="AI229" s="400"/>
      <c r="AJ229" s="400"/>
      <c r="AK229" s="398"/>
      <c r="AL229" s="398"/>
      <c r="AM229" s="398"/>
      <c r="AN229" s="398"/>
      <c r="AO229" s="398"/>
      <c r="AP229" s="397"/>
    </row>
    <row r="230" spans="1:42" ht="15.6" hidden="1" customHeight="1" x14ac:dyDescent="0.25">
      <c r="A230" s="1757"/>
      <c r="B230" s="276" t="s">
        <v>206</v>
      </c>
      <c r="C230" s="1048"/>
      <c r="D230" s="805" t="s">
        <v>1121</v>
      </c>
      <c r="E230" s="1760"/>
      <c r="F230" s="617">
        <f>'exchange rates'!$O$52</f>
        <v>0.73992000000000002</v>
      </c>
      <c r="G230" s="998"/>
      <c r="H230" s="276" t="s">
        <v>206</v>
      </c>
      <c r="I230" s="1048"/>
      <c r="J230" s="805" t="s">
        <v>1121</v>
      </c>
      <c r="K230" s="969"/>
      <c r="L230" s="322"/>
      <c r="M230" s="559"/>
      <c r="N230" s="323"/>
      <c r="O230" s="559"/>
      <c r="P230" s="324"/>
      <c r="Q230" s="559"/>
      <c r="R230" s="317" t="e">
        <f>Tabel6689212733[[#This Row],[landcode 3]]+Tabel6689212733[[#This Row],[VAT Sew. 2017]]+Tabel6689212733[[#This Row],[VAT WW 2017]]+Tabel6689212733[[#This Row],[VAT Other ch. 2017]]</f>
        <v>#VALUE!</v>
      </c>
      <c r="S230" s="318">
        <f>Tabel6689212733[[#This Row],[GDP 2017]]+Tabel6689212733[[#This Row],[Sew. 2017]]+Tabel6689212733[[#This Row],[VAT Sew. 2017]]+Tabel6689212733[[#This Row],[WW 2017]]+Tabel6689212733[[#This Row],[VAT WW 2017]]+Tabel6689212733[[#This Row],[Other ch. 2017]]+Tabel6689212733[[#This Row],[VAT Other ch. 2017]]</f>
        <v>0</v>
      </c>
      <c r="T230" s="397"/>
      <c r="U230" s="358"/>
      <c r="V230" s="359"/>
      <c r="W230" s="360"/>
      <c r="X230" s="586"/>
      <c r="Y230" s="361"/>
      <c r="Z230" s="362"/>
      <c r="AA230" s="586"/>
      <c r="AB230" s="363"/>
      <c r="AC230" s="586"/>
      <c r="AD230" s="364"/>
      <c r="AE230" s="586"/>
      <c r="AF230" s="365"/>
      <c r="AG230" s="366"/>
      <c r="AH230" s="397"/>
      <c r="AI230" s="400"/>
      <c r="AJ230" s="400"/>
      <c r="AK230" s="398"/>
      <c r="AL230" s="398"/>
      <c r="AM230" s="398"/>
      <c r="AN230" s="398"/>
      <c r="AO230" s="398"/>
      <c r="AP230" s="397"/>
    </row>
    <row r="231" spans="1:42" ht="15.6" hidden="1" customHeight="1" x14ac:dyDescent="0.25">
      <c r="A231" s="1757"/>
      <c r="B231" s="276" t="s">
        <v>207</v>
      </c>
      <c r="C231" s="1048"/>
      <c r="D231" s="805" t="s">
        <v>1121</v>
      </c>
      <c r="E231" s="1760"/>
      <c r="F231" s="617">
        <f>'exchange rates'!$O$52</f>
        <v>0.73992000000000002</v>
      </c>
      <c r="G231" s="998"/>
      <c r="H231" s="276" t="s">
        <v>207</v>
      </c>
      <c r="I231" s="1048"/>
      <c r="J231" s="805" t="s">
        <v>1121</v>
      </c>
      <c r="K231" s="969"/>
      <c r="L231" s="322"/>
      <c r="M231" s="559"/>
      <c r="N231" s="323"/>
      <c r="O231" s="559"/>
      <c r="P231" s="324"/>
      <c r="Q231" s="559"/>
      <c r="R231" s="317" t="e">
        <f>Tabel6689212733[[#This Row],[landcode 3]]+Tabel6689212733[[#This Row],[VAT Sew. 2017]]+Tabel6689212733[[#This Row],[VAT WW 2017]]+Tabel6689212733[[#This Row],[VAT Other ch. 2017]]</f>
        <v>#VALUE!</v>
      </c>
      <c r="S231" s="318">
        <f>Tabel6689212733[[#This Row],[GDP 2017]]+Tabel6689212733[[#This Row],[Sew. 2017]]+Tabel6689212733[[#This Row],[VAT Sew. 2017]]+Tabel6689212733[[#This Row],[WW 2017]]+Tabel6689212733[[#This Row],[VAT WW 2017]]+Tabel6689212733[[#This Row],[Other ch. 2017]]+Tabel6689212733[[#This Row],[VAT Other ch. 2017]]</f>
        <v>0</v>
      </c>
      <c r="T231" s="397"/>
      <c r="U231" s="358"/>
      <c r="V231" s="359"/>
      <c r="W231" s="360"/>
      <c r="X231" s="586"/>
      <c r="Y231" s="361"/>
      <c r="Z231" s="362"/>
      <c r="AA231" s="586"/>
      <c r="AB231" s="363"/>
      <c r="AC231" s="586"/>
      <c r="AD231" s="364"/>
      <c r="AE231" s="586"/>
      <c r="AF231" s="365"/>
      <c r="AG231" s="366"/>
      <c r="AH231" s="397"/>
      <c r="AI231" s="400"/>
      <c r="AJ231" s="400"/>
      <c r="AK231" s="398"/>
      <c r="AL231" s="398"/>
      <c r="AM231" s="398"/>
      <c r="AN231" s="398"/>
      <c r="AO231" s="398"/>
      <c r="AP231" s="397"/>
    </row>
    <row r="232" spans="1:42" ht="15.6" hidden="1" customHeight="1" x14ac:dyDescent="0.25">
      <c r="A232" s="1757"/>
      <c r="B232" s="276" t="s">
        <v>208</v>
      </c>
      <c r="C232" s="1048"/>
      <c r="D232" s="805" t="s">
        <v>1121</v>
      </c>
      <c r="E232" s="1760"/>
      <c r="F232" s="617">
        <f>'exchange rates'!$O$52</f>
        <v>0.73992000000000002</v>
      </c>
      <c r="G232" s="998"/>
      <c r="H232" s="276" t="s">
        <v>208</v>
      </c>
      <c r="I232" s="1048"/>
      <c r="J232" s="805" t="s">
        <v>1121</v>
      </c>
      <c r="K232" s="969"/>
      <c r="L232" s="322"/>
      <c r="M232" s="559"/>
      <c r="N232" s="323"/>
      <c r="O232" s="559"/>
      <c r="P232" s="324"/>
      <c r="Q232" s="559"/>
      <c r="R232" s="317" t="e">
        <f>Tabel6689212733[[#This Row],[landcode 3]]+Tabel6689212733[[#This Row],[VAT Sew. 2017]]+Tabel6689212733[[#This Row],[VAT WW 2017]]+Tabel6689212733[[#This Row],[VAT Other ch. 2017]]</f>
        <v>#VALUE!</v>
      </c>
      <c r="S232" s="318">
        <f>Tabel6689212733[[#This Row],[GDP 2017]]+Tabel6689212733[[#This Row],[Sew. 2017]]+Tabel6689212733[[#This Row],[VAT Sew. 2017]]+Tabel6689212733[[#This Row],[WW 2017]]+Tabel6689212733[[#This Row],[VAT WW 2017]]+Tabel6689212733[[#This Row],[Other ch. 2017]]+Tabel6689212733[[#This Row],[VAT Other ch. 2017]]</f>
        <v>0</v>
      </c>
      <c r="T232" s="397"/>
      <c r="U232" s="358"/>
      <c r="V232" s="359"/>
      <c r="W232" s="360"/>
      <c r="X232" s="586"/>
      <c r="Y232" s="361"/>
      <c r="Z232" s="362"/>
      <c r="AA232" s="586"/>
      <c r="AB232" s="363"/>
      <c r="AC232" s="586"/>
      <c r="AD232" s="364"/>
      <c r="AE232" s="586"/>
      <c r="AF232" s="365"/>
      <c r="AG232" s="366"/>
      <c r="AH232" s="397"/>
      <c r="AI232" s="400"/>
      <c r="AJ232" s="400"/>
      <c r="AK232" s="398"/>
      <c r="AL232" s="398"/>
      <c r="AM232" s="398"/>
      <c r="AN232" s="398"/>
      <c r="AO232" s="398"/>
      <c r="AP232" s="397"/>
    </row>
    <row r="233" spans="1:42" ht="15.6" hidden="1" customHeight="1" x14ac:dyDescent="0.25">
      <c r="A233" s="1757"/>
      <c r="B233" s="276" t="s">
        <v>209</v>
      </c>
      <c r="C233" s="1048"/>
      <c r="D233" s="805" t="s">
        <v>1121</v>
      </c>
      <c r="E233" s="1760"/>
      <c r="F233" s="617">
        <f>'exchange rates'!$O$52</f>
        <v>0.73992000000000002</v>
      </c>
      <c r="G233" s="998"/>
      <c r="H233" s="276" t="s">
        <v>209</v>
      </c>
      <c r="I233" s="1048"/>
      <c r="J233" s="805" t="s">
        <v>1121</v>
      </c>
      <c r="K233" s="969"/>
      <c r="L233" s="322"/>
      <c r="M233" s="559"/>
      <c r="N233" s="323"/>
      <c r="O233" s="559"/>
      <c r="P233" s="324"/>
      <c r="Q233" s="559"/>
      <c r="R233" s="317" t="e">
        <f>Tabel6689212733[[#This Row],[landcode 3]]+Tabel6689212733[[#This Row],[VAT Sew. 2017]]+Tabel6689212733[[#This Row],[VAT WW 2017]]+Tabel6689212733[[#This Row],[VAT Other ch. 2017]]</f>
        <v>#VALUE!</v>
      </c>
      <c r="S233" s="318">
        <f>Tabel6689212733[[#This Row],[GDP 2017]]+Tabel6689212733[[#This Row],[Sew. 2017]]+Tabel6689212733[[#This Row],[VAT Sew. 2017]]+Tabel6689212733[[#This Row],[WW 2017]]+Tabel6689212733[[#This Row],[VAT WW 2017]]+Tabel6689212733[[#This Row],[Other ch. 2017]]+Tabel6689212733[[#This Row],[VAT Other ch. 2017]]</f>
        <v>0</v>
      </c>
      <c r="T233" s="397"/>
      <c r="U233" s="358"/>
      <c r="V233" s="359"/>
      <c r="W233" s="360"/>
      <c r="X233" s="586"/>
      <c r="Y233" s="361"/>
      <c r="Z233" s="362"/>
      <c r="AA233" s="586"/>
      <c r="AB233" s="363"/>
      <c r="AC233" s="586"/>
      <c r="AD233" s="364"/>
      <c r="AE233" s="586"/>
      <c r="AF233" s="365"/>
      <c r="AG233" s="366"/>
      <c r="AH233" s="397"/>
      <c r="AI233" s="400"/>
      <c r="AJ233" s="400"/>
      <c r="AK233" s="398"/>
      <c r="AL233" s="398"/>
      <c r="AM233" s="398"/>
      <c r="AN233" s="398"/>
      <c r="AO233" s="398"/>
      <c r="AP233" s="397"/>
    </row>
    <row r="234" spans="1:42" ht="15.6" hidden="1" customHeight="1" x14ac:dyDescent="0.25">
      <c r="A234" s="1757"/>
      <c r="B234" s="276" t="s">
        <v>210</v>
      </c>
      <c r="C234" s="1048"/>
      <c r="D234" s="805" t="s">
        <v>1121</v>
      </c>
      <c r="E234" s="1760"/>
      <c r="F234" s="617">
        <f>'exchange rates'!$O$52</f>
        <v>0.73992000000000002</v>
      </c>
      <c r="G234" s="998"/>
      <c r="H234" s="276" t="s">
        <v>210</v>
      </c>
      <c r="I234" s="1048"/>
      <c r="J234" s="805" t="s">
        <v>1121</v>
      </c>
      <c r="K234" s="969"/>
      <c r="L234" s="322"/>
      <c r="M234" s="559"/>
      <c r="N234" s="323"/>
      <c r="O234" s="559"/>
      <c r="P234" s="324"/>
      <c r="Q234" s="559"/>
      <c r="R234" s="317" t="e">
        <f>Tabel6689212733[[#This Row],[landcode 3]]+Tabel6689212733[[#This Row],[VAT Sew. 2017]]+Tabel6689212733[[#This Row],[VAT WW 2017]]+Tabel6689212733[[#This Row],[VAT Other ch. 2017]]</f>
        <v>#VALUE!</v>
      </c>
      <c r="S234" s="318">
        <f>Tabel6689212733[[#This Row],[GDP 2017]]+Tabel6689212733[[#This Row],[Sew. 2017]]+Tabel6689212733[[#This Row],[VAT Sew. 2017]]+Tabel6689212733[[#This Row],[WW 2017]]+Tabel6689212733[[#This Row],[VAT WW 2017]]+Tabel6689212733[[#This Row],[Other ch. 2017]]+Tabel6689212733[[#This Row],[VAT Other ch. 2017]]</f>
        <v>0</v>
      </c>
      <c r="T234" s="397"/>
      <c r="U234" s="358"/>
      <c r="V234" s="359"/>
      <c r="W234" s="360"/>
      <c r="X234" s="586"/>
      <c r="Y234" s="361"/>
      <c r="Z234" s="362"/>
      <c r="AA234" s="586"/>
      <c r="AB234" s="363"/>
      <c r="AC234" s="586"/>
      <c r="AD234" s="364"/>
      <c r="AE234" s="586"/>
      <c r="AF234" s="365"/>
      <c r="AG234" s="366"/>
      <c r="AH234" s="397"/>
      <c r="AI234" s="400"/>
      <c r="AJ234" s="400"/>
      <c r="AK234" s="398"/>
      <c r="AL234" s="398"/>
      <c r="AM234" s="398"/>
      <c r="AN234" s="398"/>
      <c r="AO234" s="398"/>
      <c r="AP234" s="397"/>
    </row>
    <row r="235" spans="1:42" ht="16.149999999999999" hidden="1" customHeight="1" thickBot="1" x14ac:dyDescent="0.3">
      <c r="A235" s="1758"/>
      <c r="B235" s="835" t="s">
        <v>211</v>
      </c>
      <c r="C235" s="835"/>
      <c r="D235" s="801" t="s">
        <v>1121</v>
      </c>
      <c r="E235" s="1761"/>
      <c r="F235" s="617">
        <f>'exchange rates'!$O$52</f>
        <v>0.73992000000000002</v>
      </c>
      <c r="G235" s="1005"/>
      <c r="H235" s="835" t="s">
        <v>211</v>
      </c>
      <c r="I235" s="835"/>
      <c r="J235" s="801" t="s">
        <v>1121</v>
      </c>
      <c r="K235" s="970"/>
      <c r="L235" s="322"/>
      <c r="M235" s="559"/>
      <c r="N235" s="323"/>
      <c r="O235" s="559"/>
      <c r="P235" s="324"/>
      <c r="Q235" s="559"/>
      <c r="R235" s="317" t="e">
        <f>Tabel6689212733[[#This Row],[landcode 3]]+Tabel6689212733[[#This Row],[VAT Sew. 2017]]+Tabel6689212733[[#This Row],[VAT WW 2017]]+Tabel6689212733[[#This Row],[VAT Other ch. 2017]]</f>
        <v>#VALUE!</v>
      </c>
      <c r="S235" s="318">
        <f>Tabel6689212733[[#This Row],[GDP 2017]]+Tabel6689212733[[#This Row],[Sew. 2017]]+Tabel6689212733[[#This Row],[VAT Sew. 2017]]+Tabel6689212733[[#This Row],[WW 2017]]+Tabel6689212733[[#This Row],[VAT WW 2017]]+Tabel6689212733[[#This Row],[Other ch. 2017]]+Tabel6689212733[[#This Row],[VAT Other ch. 2017]]</f>
        <v>0</v>
      </c>
      <c r="T235" s="397"/>
      <c r="U235" s="358"/>
      <c r="V235" s="359"/>
      <c r="W235" s="360"/>
      <c r="X235" s="586"/>
      <c r="Y235" s="361"/>
      <c r="Z235" s="362"/>
      <c r="AA235" s="586"/>
      <c r="AB235" s="363"/>
      <c r="AC235" s="586"/>
      <c r="AD235" s="364"/>
      <c r="AE235" s="586"/>
      <c r="AF235" s="365"/>
      <c r="AG235" s="366"/>
      <c r="AH235" s="397"/>
      <c r="AI235" s="400"/>
      <c r="AJ235" s="400"/>
      <c r="AK235" s="398"/>
      <c r="AL235" s="398"/>
      <c r="AM235" s="398"/>
      <c r="AN235" s="398"/>
      <c r="AO235" s="398"/>
      <c r="AP235" s="397"/>
    </row>
    <row r="236" spans="1:42" ht="15.6" hidden="1" customHeight="1" x14ac:dyDescent="0.25">
      <c r="A236" s="2150" t="s">
        <v>41</v>
      </c>
      <c r="B236" s="261" t="s">
        <v>192</v>
      </c>
      <c r="C236" s="261" t="s">
        <v>429</v>
      </c>
      <c r="D236" s="261" t="s">
        <v>1123</v>
      </c>
      <c r="E236" s="2153"/>
      <c r="F236" s="306"/>
      <c r="G236" s="955" t="s">
        <v>41</v>
      </c>
      <c r="H236" s="261" t="s">
        <v>192</v>
      </c>
      <c r="I236" s="261" t="s">
        <v>429</v>
      </c>
      <c r="J236" s="261" t="s">
        <v>1123</v>
      </c>
      <c r="K236" s="1037"/>
      <c r="L236" s="328"/>
      <c r="M236" s="561"/>
      <c r="N236" s="329"/>
      <c r="O236" s="561"/>
      <c r="P236" s="330"/>
      <c r="Q236" s="561"/>
      <c r="R236" s="317" t="e">
        <f>Tabel6689212733[[#This Row],[landcode 3]]+Tabel6689212733[[#This Row],[VAT Sew. 2017]]+Tabel6689212733[[#This Row],[VAT WW 2017]]+Tabel6689212733[[#This Row],[VAT Other ch. 2017]]</f>
        <v>#VALUE!</v>
      </c>
      <c r="S236" s="318">
        <f>Tabel6689212733[[#This Row],[GDP 2017]]+Tabel6689212733[[#This Row],[Sew. 2017]]+Tabel6689212733[[#This Row],[VAT Sew. 2017]]+Tabel6689212733[[#This Row],[WW 2017]]+Tabel6689212733[[#This Row],[VAT WW 2017]]+Tabel6689212733[[#This Row],[Other ch. 2017]]+Tabel6689212733[[#This Row],[VAT Other ch. 2017]]</f>
        <v>0</v>
      </c>
      <c r="T236" s="397"/>
      <c r="U236" s="358"/>
      <c r="V236" s="359"/>
      <c r="W236" s="360"/>
      <c r="X236" s="586"/>
      <c r="Y236" s="361"/>
      <c r="Z236" s="362"/>
      <c r="AA236" s="586"/>
      <c r="AB236" s="363"/>
      <c r="AC236" s="586"/>
      <c r="AD236" s="364"/>
      <c r="AE236" s="586"/>
      <c r="AF236" s="365"/>
      <c r="AG236" s="366"/>
      <c r="AH236" s="397"/>
      <c r="AI236" s="398"/>
      <c r="AJ236" s="398"/>
      <c r="AK236" s="398"/>
      <c r="AL236" s="398"/>
      <c r="AM236" s="398"/>
      <c r="AN236" s="398"/>
      <c r="AO236" s="398"/>
      <c r="AP236" s="397"/>
    </row>
    <row r="237" spans="1:42" ht="15.6" hidden="1" customHeight="1" x14ac:dyDescent="0.25">
      <c r="A237" s="2151"/>
      <c r="B237" s="261" t="s">
        <v>193</v>
      </c>
      <c r="C237" s="261"/>
      <c r="D237" s="261" t="s">
        <v>1123</v>
      </c>
      <c r="E237" s="2154"/>
      <c r="F237" s="306"/>
      <c r="G237" s="956"/>
      <c r="H237" s="261" t="s">
        <v>193</v>
      </c>
      <c r="I237" s="261"/>
      <c r="J237" s="261" t="s">
        <v>1123</v>
      </c>
      <c r="K237" s="1038"/>
      <c r="L237" s="328"/>
      <c r="M237" s="561"/>
      <c r="N237" s="329"/>
      <c r="O237" s="561"/>
      <c r="P237" s="330"/>
      <c r="Q237" s="561"/>
      <c r="R237" s="317" t="e">
        <f>Tabel6689212733[[#This Row],[landcode 3]]+Tabel6689212733[[#This Row],[VAT Sew. 2017]]+Tabel6689212733[[#This Row],[VAT WW 2017]]+Tabel6689212733[[#This Row],[VAT Other ch. 2017]]</f>
        <v>#VALUE!</v>
      </c>
      <c r="S237" s="318">
        <f>Tabel6689212733[[#This Row],[GDP 2017]]+Tabel6689212733[[#This Row],[Sew. 2017]]+Tabel6689212733[[#This Row],[VAT Sew. 2017]]+Tabel6689212733[[#This Row],[WW 2017]]+Tabel6689212733[[#This Row],[VAT WW 2017]]+Tabel6689212733[[#This Row],[Other ch. 2017]]+Tabel6689212733[[#This Row],[VAT Other ch. 2017]]</f>
        <v>0</v>
      </c>
      <c r="T237" s="397"/>
      <c r="U237" s="358"/>
      <c r="V237" s="359"/>
      <c r="W237" s="360"/>
      <c r="X237" s="586"/>
      <c r="Y237" s="361"/>
      <c r="Z237" s="362"/>
      <c r="AA237" s="586"/>
      <c r="AB237" s="363"/>
      <c r="AC237" s="586"/>
      <c r="AD237" s="364"/>
      <c r="AE237" s="586"/>
      <c r="AF237" s="365"/>
      <c r="AG237" s="366"/>
      <c r="AH237" s="397"/>
      <c r="AI237" s="398"/>
      <c r="AJ237" s="398"/>
      <c r="AK237" s="398"/>
      <c r="AL237" s="398"/>
      <c r="AM237" s="398"/>
      <c r="AN237" s="398"/>
      <c r="AO237" s="398"/>
      <c r="AP237" s="397"/>
    </row>
    <row r="238" spans="1:42" ht="16.149999999999999" hidden="1" customHeight="1" thickBot="1" x14ac:dyDescent="0.3">
      <c r="A238" s="2152"/>
      <c r="B238" s="261" t="s">
        <v>194</v>
      </c>
      <c r="C238" s="261"/>
      <c r="D238" s="261" t="s">
        <v>1123</v>
      </c>
      <c r="E238" s="2155"/>
      <c r="F238" s="306"/>
      <c r="G238" s="957"/>
      <c r="H238" s="261" t="s">
        <v>194</v>
      </c>
      <c r="I238" s="261"/>
      <c r="J238" s="261" t="s">
        <v>1123</v>
      </c>
      <c r="K238" s="1039"/>
      <c r="L238" s="328"/>
      <c r="M238" s="561"/>
      <c r="N238" s="329"/>
      <c r="O238" s="561"/>
      <c r="P238" s="330"/>
      <c r="Q238" s="561"/>
      <c r="R238" s="317" t="e">
        <f>Tabel6689212733[[#This Row],[landcode 3]]+Tabel6689212733[[#This Row],[VAT Sew. 2017]]+Tabel6689212733[[#This Row],[VAT WW 2017]]+Tabel6689212733[[#This Row],[VAT Other ch. 2017]]</f>
        <v>#VALUE!</v>
      </c>
      <c r="S238" s="318">
        <f>Tabel6689212733[[#This Row],[GDP 2017]]+Tabel6689212733[[#This Row],[Sew. 2017]]+Tabel6689212733[[#This Row],[VAT Sew. 2017]]+Tabel6689212733[[#This Row],[WW 2017]]+Tabel6689212733[[#This Row],[VAT WW 2017]]+Tabel6689212733[[#This Row],[Other ch. 2017]]+Tabel6689212733[[#This Row],[VAT Other ch. 2017]]</f>
        <v>0</v>
      </c>
      <c r="T238" s="397"/>
      <c r="U238" s="367"/>
      <c r="V238" s="368"/>
      <c r="W238" s="369"/>
      <c r="X238" s="587"/>
      <c r="Y238" s="370"/>
      <c r="Z238" s="371"/>
      <c r="AA238" s="587"/>
      <c r="AB238" s="372"/>
      <c r="AC238" s="587"/>
      <c r="AD238" s="373"/>
      <c r="AE238" s="587"/>
      <c r="AF238" s="374"/>
      <c r="AG238" s="375"/>
      <c r="AH238" s="397"/>
      <c r="AI238" s="398"/>
      <c r="AJ238" s="398"/>
      <c r="AK238" s="398"/>
      <c r="AL238" s="398"/>
      <c r="AM238" s="398"/>
      <c r="AN238" s="398"/>
      <c r="AO238" s="398"/>
      <c r="AP238" s="397"/>
    </row>
    <row r="239" spans="1:42" ht="18.600000000000001" hidden="1" customHeight="1" thickBot="1" x14ac:dyDescent="0.35">
      <c r="A239" s="270" t="s">
        <v>42</v>
      </c>
      <c r="B239" s="260" t="s">
        <v>42</v>
      </c>
      <c r="C239" s="1049" t="s">
        <v>429</v>
      </c>
      <c r="D239" s="817" t="s">
        <v>1125</v>
      </c>
      <c r="E239" s="301">
        <v>59900</v>
      </c>
      <c r="F239" s="306">
        <v>1.2966299999999999</v>
      </c>
      <c r="G239" s="270" t="s">
        <v>42</v>
      </c>
      <c r="H239" s="260" t="s">
        <v>42</v>
      </c>
      <c r="I239" s="1049" t="s">
        <v>429</v>
      </c>
      <c r="J239" s="817" t="s">
        <v>1125</v>
      </c>
      <c r="K239" s="301">
        <v>59900</v>
      </c>
      <c r="L239" s="322">
        <v>0</v>
      </c>
      <c r="M239" s="559"/>
      <c r="N239" s="323">
        <f>56.06/F239</f>
        <v>43.23515574990553</v>
      </c>
      <c r="O239" s="559"/>
      <c r="P239" s="324">
        <f>67.29/F239</f>
        <v>51.896069040512721</v>
      </c>
      <c r="Q239" s="559"/>
      <c r="R239" s="317" t="e">
        <f>Tabel6689212733[[#This Row],[landcode 3]]+Tabel6689212733[[#This Row],[VAT Sew. 2017]]+Tabel6689212733[[#This Row],[VAT WW 2017]]+Tabel6689212733[[#This Row],[VAT Other ch. 2017]]</f>
        <v>#VALUE!</v>
      </c>
      <c r="S239" s="318">
        <f>Tabel6689212733[[#This Row],[GDP 2017]]+Tabel6689212733[[#This Row],[Sew. 2017]]+Tabel6689212733[[#This Row],[VAT Sew. 2017]]+Tabel6689212733[[#This Row],[WW 2017]]+Tabel6689212733[[#This Row],[VAT WW 2017]]+Tabel6689212733[[#This Row],[Other ch. 2017]]+Tabel6689212733[[#This Row],[VAT Other ch. 2017]]</f>
        <v>59995.131224790421</v>
      </c>
      <c r="T239" s="397"/>
      <c r="U239" s="331" t="str">
        <f>Tabel6689212733[[#This Row],[Country]]</f>
        <v>Singapore</v>
      </c>
      <c r="V239" s="332" t="str">
        <f>Tabel6689212733[[#This Row],[City]]</f>
        <v>Singapore</v>
      </c>
      <c r="W239" s="333" t="str">
        <f>Tabel6689212733[[#This Row],[capital]]</f>
        <v>X</v>
      </c>
      <c r="X239" s="574"/>
      <c r="Y239" s="334">
        <f>Tabel6689212733[[#This Row],[GDP 2017]]</f>
        <v>59900</v>
      </c>
      <c r="Z239" s="335">
        <f>Tabel6689212733[[#This Row],[Sew. 2017]]</f>
        <v>0</v>
      </c>
      <c r="AA239" s="574"/>
      <c r="AB239" s="336">
        <f>Tabel6689212733[[#This Row],[WW 2017]]</f>
        <v>43.23515574990553</v>
      </c>
      <c r="AC239" s="574"/>
      <c r="AD239" s="337">
        <f>Tabel6689212733[[#This Row],[Other ch. 2017]]</f>
        <v>51.896069040512721</v>
      </c>
      <c r="AE239" s="574"/>
      <c r="AF239" s="338" t="e">
        <f>Tabel6689212733[[#This Row],[Total VAT 2017]]</f>
        <v>#VALUE!</v>
      </c>
      <c r="AG239" s="339">
        <f>Tabel6689212733[[#This Row],[total charge 2017]]</f>
        <v>59995.131224790421</v>
      </c>
      <c r="AH239" s="397"/>
      <c r="AI239" s="398"/>
      <c r="AJ239" s="398"/>
      <c r="AK239" s="398"/>
      <c r="AL239" s="396" t="s">
        <v>429</v>
      </c>
      <c r="AM239" s="398"/>
      <c r="AN239" s="398"/>
      <c r="AO239" s="398"/>
      <c r="AP239" s="397"/>
    </row>
    <row r="240" spans="1:42" ht="18" hidden="1" customHeight="1" x14ac:dyDescent="0.25">
      <c r="A240" s="1833" t="s">
        <v>24</v>
      </c>
      <c r="B240" s="289" t="s">
        <v>140</v>
      </c>
      <c r="C240" s="1048" t="s">
        <v>429</v>
      </c>
      <c r="D240" s="805" t="s">
        <v>1127</v>
      </c>
      <c r="E240" s="2156">
        <v>23400</v>
      </c>
      <c r="F240" s="307">
        <v>0.77166999999999997</v>
      </c>
      <c r="G240" s="958" t="s">
        <v>24</v>
      </c>
      <c r="H240" s="289" t="s">
        <v>140</v>
      </c>
      <c r="I240" s="1048" t="s">
        <v>429</v>
      </c>
      <c r="J240" s="805" t="s">
        <v>1127</v>
      </c>
      <c r="K240" s="1040">
        <v>23400</v>
      </c>
      <c r="L240" s="322">
        <f>1.02*200/F240</f>
        <v>264.3617090206954</v>
      </c>
      <c r="M240" s="559"/>
      <c r="N240" s="323">
        <v>0</v>
      </c>
      <c r="O240" s="559"/>
      <c r="P240" s="324">
        <v>0</v>
      </c>
      <c r="Q240" s="559"/>
      <c r="R240" s="317" t="e">
        <f>Tabel6689212733[[#This Row],[landcode 3]]+Tabel6689212733[[#This Row],[VAT Sew. 2017]]+Tabel6689212733[[#This Row],[VAT WW 2017]]+Tabel6689212733[[#This Row],[VAT Other ch. 2017]]</f>
        <v>#VALUE!</v>
      </c>
      <c r="S240" s="318">
        <f>Tabel6689212733[[#This Row],[GDP 2017]]+Tabel6689212733[[#This Row],[Sew. 2017]]+Tabel6689212733[[#This Row],[VAT Sew. 2017]]+Tabel6689212733[[#This Row],[WW 2017]]+Tabel6689212733[[#This Row],[VAT WW 2017]]+Tabel6689212733[[#This Row],[Other ch. 2017]]+Tabel6689212733[[#This Row],[VAT Other ch. 2017]]</f>
        <v>23664.361709020697</v>
      </c>
      <c r="T240" s="397"/>
      <c r="U240" s="1839">
        <f>SUM(G240:G242)/3</f>
        <v>0</v>
      </c>
      <c r="V240" s="1842">
        <v>0</v>
      </c>
      <c r="W240" s="1845">
        <v>0</v>
      </c>
      <c r="X240" s="575"/>
      <c r="Y240" s="1848">
        <f>SUM(K240:K242)/3</f>
        <v>7800</v>
      </c>
      <c r="Z240" s="1851">
        <f>SUM(L240:L242)/3</f>
        <v>282.50417924760586</v>
      </c>
      <c r="AA240" s="575"/>
      <c r="AB240" s="1854">
        <v>0</v>
      </c>
      <c r="AC240" s="575"/>
      <c r="AD240" s="1857">
        <v>0</v>
      </c>
      <c r="AE240" s="575"/>
      <c r="AF240" s="1872" t="e">
        <f>SUM(R240:R242)/3</f>
        <v>#VALUE!</v>
      </c>
      <c r="AG240" s="1875">
        <f>SUM(S240:S242)/3</f>
        <v>8082.5041792476068</v>
      </c>
      <c r="AH240" s="397"/>
      <c r="AI240" s="398"/>
      <c r="AJ240" s="396" t="s">
        <v>429</v>
      </c>
      <c r="AK240" s="396" t="s">
        <v>429</v>
      </c>
      <c r="AL240" s="396"/>
      <c r="AM240" s="396" t="s">
        <v>429</v>
      </c>
      <c r="AN240" s="398"/>
      <c r="AO240" s="398"/>
      <c r="AP240" s="397"/>
    </row>
    <row r="241" spans="1:42" ht="18" hidden="1" customHeight="1" x14ac:dyDescent="0.25">
      <c r="A241" s="1834"/>
      <c r="B241" s="269" t="s">
        <v>141</v>
      </c>
      <c r="C241" s="1048"/>
      <c r="D241" s="805" t="s">
        <v>1127</v>
      </c>
      <c r="E241" s="2157"/>
      <c r="F241" s="307">
        <v>0.77166999999999997</v>
      </c>
      <c r="G241" s="959"/>
      <c r="H241" s="269" t="s">
        <v>141</v>
      </c>
      <c r="I241" s="1048"/>
      <c r="J241" s="805" t="s">
        <v>1127</v>
      </c>
      <c r="K241" s="1041"/>
      <c r="L241" s="322">
        <f>1.1*200/F241</f>
        <v>285.09596070859311</v>
      </c>
      <c r="M241" s="559"/>
      <c r="N241" s="323">
        <v>0</v>
      </c>
      <c r="O241" s="559"/>
      <c r="P241" s="324">
        <v>0</v>
      </c>
      <c r="Q241" s="559"/>
      <c r="R241" s="317" t="e">
        <f>Tabel6689212733[[#This Row],[landcode 3]]+Tabel6689212733[[#This Row],[VAT Sew. 2017]]+Tabel6689212733[[#This Row],[VAT WW 2017]]+Tabel6689212733[[#This Row],[VAT Other ch. 2017]]</f>
        <v>#VALUE!</v>
      </c>
      <c r="S241" s="318">
        <f>Tabel6689212733[[#This Row],[GDP 2017]]+Tabel6689212733[[#This Row],[Sew. 2017]]+Tabel6689212733[[#This Row],[VAT Sew. 2017]]+Tabel6689212733[[#This Row],[WW 2017]]+Tabel6689212733[[#This Row],[VAT WW 2017]]+Tabel6689212733[[#This Row],[Other ch. 2017]]+Tabel6689212733[[#This Row],[VAT Other ch. 2017]]</f>
        <v>285.09596070859311</v>
      </c>
      <c r="T241" s="397"/>
      <c r="U241" s="2158"/>
      <c r="V241" s="2159"/>
      <c r="W241" s="2160"/>
      <c r="X241" s="576"/>
      <c r="Y241" s="2141"/>
      <c r="Z241" s="2142"/>
      <c r="AA241" s="576"/>
      <c r="AB241" s="2143"/>
      <c r="AC241" s="576"/>
      <c r="AD241" s="2144"/>
      <c r="AE241" s="576"/>
      <c r="AF241" s="2145"/>
      <c r="AG241" s="2146"/>
      <c r="AH241" s="397"/>
      <c r="AI241" s="398"/>
      <c r="AJ241" s="396" t="s">
        <v>429</v>
      </c>
      <c r="AK241" s="396" t="s">
        <v>429</v>
      </c>
      <c r="AL241" s="396"/>
      <c r="AM241" s="396" t="s">
        <v>429</v>
      </c>
      <c r="AN241" s="398"/>
      <c r="AO241" s="398"/>
      <c r="AP241" s="397"/>
    </row>
    <row r="242" spans="1:42" ht="18.600000000000001" hidden="1" customHeight="1" thickBot="1" x14ac:dyDescent="0.3">
      <c r="A242" s="1835"/>
      <c r="B242" s="290" t="s">
        <v>142</v>
      </c>
      <c r="C242" s="1048"/>
      <c r="D242" s="805" t="s">
        <v>1127</v>
      </c>
      <c r="E242" s="1838"/>
      <c r="F242" s="307">
        <v>0.77166999999999997</v>
      </c>
      <c r="G242" s="960"/>
      <c r="H242" s="290" t="s">
        <v>142</v>
      </c>
      <c r="I242" s="1048"/>
      <c r="J242" s="805" t="s">
        <v>1127</v>
      </c>
      <c r="K242" s="996"/>
      <c r="L242" s="322">
        <f>1.15*200/F242</f>
        <v>298.05486801352907</v>
      </c>
      <c r="M242" s="559"/>
      <c r="N242" s="323">
        <v>0</v>
      </c>
      <c r="O242" s="559"/>
      <c r="P242" s="324">
        <v>0</v>
      </c>
      <c r="Q242" s="559"/>
      <c r="R242" s="317" t="e">
        <f>Tabel6689212733[[#This Row],[landcode 3]]+Tabel6689212733[[#This Row],[VAT Sew. 2017]]+Tabel6689212733[[#This Row],[VAT WW 2017]]+Tabel6689212733[[#This Row],[VAT Other ch. 2017]]</f>
        <v>#VALUE!</v>
      </c>
      <c r="S242" s="318">
        <f>Tabel6689212733[[#This Row],[GDP 2017]]+Tabel6689212733[[#This Row],[Sew. 2017]]+Tabel6689212733[[#This Row],[VAT Sew. 2017]]+Tabel6689212733[[#This Row],[WW 2017]]+Tabel6689212733[[#This Row],[VAT WW 2017]]+Tabel6689212733[[#This Row],[Other ch. 2017]]+Tabel6689212733[[#This Row],[VAT Other ch. 2017]]</f>
        <v>298.05486801352907</v>
      </c>
      <c r="T242" s="397"/>
      <c r="U242" s="1841"/>
      <c r="V242" s="1844"/>
      <c r="W242" s="1847"/>
      <c r="X242" s="577"/>
      <c r="Y242" s="1850"/>
      <c r="Z242" s="1853"/>
      <c r="AA242" s="577"/>
      <c r="AB242" s="1856"/>
      <c r="AC242" s="577"/>
      <c r="AD242" s="1859"/>
      <c r="AE242" s="577"/>
      <c r="AF242" s="1874"/>
      <c r="AG242" s="1877"/>
      <c r="AH242" s="397"/>
      <c r="AI242" s="398"/>
      <c r="AJ242" s="396" t="s">
        <v>429</v>
      </c>
      <c r="AK242" s="396" t="s">
        <v>429</v>
      </c>
      <c r="AL242" s="396"/>
      <c r="AM242" s="396" t="s">
        <v>429</v>
      </c>
      <c r="AN242" s="398"/>
      <c r="AO242" s="398"/>
      <c r="AP242" s="397"/>
    </row>
    <row r="243" spans="1:42" ht="18.600000000000001" hidden="1" customHeight="1" thickBot="1" x14ac:dyDescent="0.35">
      <c r="A243" s="267" t="s">
        <v>43</v>
      </c>
      <c r="B243" s="294" t="s">
        <v>644</v>
      </c>
      <c r="C243" s="261" t="s">
        <v>429</v>
      </c>
      <c r="D243" s="808" t="s">
        <v>1129</v>
      </c>
      <c r="E243" s="301">
        <v>11500</v>
      </c>
      <c r="F243" s="306">
        <f>'exchange rates'!K56</f>
        <v>10.498559999999999</v>
      </c>
      <c r="G243" s="267" t="s">
        <v>43</v>
      </c>
      <c r="H243" s="294" t="s">
        <v>644</v>
      </c>
      <c r="I243" s="261" t="s">
        <v>429</v>
      </c>
      <c r="J243" s="808" t="s">
        <v>1129</v>
      </c>
      <c r="K243" s="301">
        <v>11500</v>
      </c>
      <c r="L243" s="322">
        <f>860.9/F243</f>
        <v>82.00172214094124</v>
      </c>
      <c r="M243" s="559"/>
      <c r="N243" s="323">
        <v>0</v>
      </c>
      <c r="O243" s="559"/>
      <c r="P243" s="324">
        <v>0</v>
      </c>
      <c r="Q243" s="559"/>
      <c r="R243" s="317" t="e">
        <f>Tabel6689212733[[#This Row],[landcode 3]]+Tabel6689212733[[#This Row],[VAT Sew. 2017]]+Tabel6689212733[[#This Row],[VAT WW 2017]]+Tabel6689212733[[#This Row],[VAT Other ch. 2017]]</f>
        <v>#VALUE!</v>
      </c>
      <c r="S243" s="318">
        <f>Tabel6689212733[[#This Row],[GDP 2017]]+Tabel6689212733[[#This Row],[Sew. 2017]]+Tabel6689212733[[#This Row],[VAT Sew. 2017]]+Tabel6689212733[[#This Row],[WW 2017]]+Tabel6689212733[[#This Row],[VAT WW 2017]]+Tabel6689212733[[#This Row],[Other ch. 2017]]+Tabel6689212733[[#This Row],[VAT Other ch. 2017]]</f>
        <v>11582.001722140942</v>
      </c>
      <c r="T243" s="397"/>
      <c r="U243" s="340" t="str">
        <f>Tabel6689212733[[#This Row],[Country]]</f>
        <v>South Africa</v>
      </c>
      <c r="V243" s="341" t="str">
        <f>Tabel6689212733[[#This Row],[City]]</f>
        <v>Cape Town</v>
      </c>
      <c r="W243" s="333" t="str">
        <f>Tabel6689212733[[#This Row],[capital]]</f>
        <v>X</v>
      </c>
      <c r="X243" s="574"/>
      <c r="Y243" s="334">
        <f>Tabel6689212733[[#This Row],[GDP 2017]]</f>
        <v>11500</v>
      </c>
      <c r="Z243" s="335">
        <f>Tabel6689212733[[#This Row],[Sew. 2017]]</f>
        <v>82.00172214094124</v>
      </c>
      <c r="AA243" s="574"/>
      <c r="AB243" s="336">
        <f>Tabel6689212733[[#This Row],[WW 2017]]</f>
        <v>0</v>
      </c>
      <c r="AC243" s="574"/>
      <c r="AD243" s="337">
        <f>Tabel6689212733[[#This Row],[Other ch. 2017]]</f>
        <v>0</v>
      </c>
      <c r="AE243" s="574"/>
      <c r="AF243" s="338" t="e">
        <f>Tabel6689212733[[#This Row],[Total VAT 2017]]</f>
        <v>#VALUE!</v>
      </c>
      <c r="AG243" s="458" t="e">
        <f>SUM(Y243:AF243)</f>
        <v>#VALUE!</v>
      </c>
      <c r="AH243" s="397"/>
      <c r="AI243" s="398"/>
      <c r="AJ243" s="398"/>
      <c r="AK243" s="398"/>
      <c r="AL243" s="396" t="s">
        <v>429</v>
      </c>
      <c r="AM243" s="396"/>
      <c r="AN243" s="396" t="s">
        <v>429</v>
      </c>
      <c r="AO243" s="398"/>
      <c r="AP243" s="397"/>
    </row>
    <row r="244" spans="1:42" ht="18.600000000000001" hidden="1" customHeight="1" thickBot="1" x14ac:dyDescent="0.3">
      <c r="A244" s="267" t="s">
        <v>450</v>
      </c>
      <c r="B244" s="261" t="s">
        <v>177</v>
      </c>
      <c r="C244" s="261"/>
      <c r="D244" s="808" t="s">
        <v>1028</v>
      </c>
      <c r="E244" s="301">
        <v>40800</v>
      </c>
      <c r="F244" s="306">
        <v>0.97958999999999996</v>
      </c>
      <c r="G244" s="267" t="s">
        <v>450</v>
      </c>
      <c r="H244" s="261" t="s">
        <v>177</v>
      </c>
      <c r="I244" s="261"/>
      <c r="J244" s="808" t="s">
        <v>1028</v>
      </c>
      <c r="K244" s="301">
        <v>40800</v>
      </c>
      <c r="L244" s="314">
        <f>457.3/F244</f>
        <v>466.82795863575581</v>
      </c>
      <c r="M244" s="558"/>
      <c r="N244" s="315">
        <f>0</f>
        <v>0</v>
      </c>
      <c r="O244" s="558"/>
      <c r="P244" s="316">
        <v>0</v>
      </c>
      <c r="Q244" s="558"/>
      <c r="R244" s="317" t="e">
        <f>Tabel6689212733[[#This Row],[landcode 3]]+Tabel6689212733[[#This Row],[VAT Sew. 2017]]+Tabel6689212733[[#This Row],[VAT WW 2017]]+Tabel6689212733[[#This Row],[VAT Other ch. 2017]]</f>
        <v>#VALUE!</v>
      </c>
      <c r="S244" s="318">
        <f>Tabel6689212733[[#This Row],[GDP 2017]]+Tabel6689212733[[#This Row],[Sew. 2017]]+Tabel6689212733[[#This Row],[VAT Sew. 2017]]+Tabel6689212733[[#This Row],[WW 2017]]+Tabel6689212733[[#This Row],[VAT WW 2017]]+Tabel6689212733[[#This Row],[Other ch. 2017]]+Tabel6689212733[[#This Row],[VAT Other ch. 2017]]</f>
        <v>41266.827958635753</v>
      </c>
      <c r="T244" s="397"/>
      <c r="U244" s="340" t="str">
        <f>Tabel6689212733[[#This Row],[Country]]</f>
        <v>South Australia</v>
      </c>
      <c r="V244" s="341">
        <v>359.33400708459664</v>
      </c>
      <c r="W244" s="342">
        <v>36.750068906379198</v>
      </c>
      <c r="X244" s="581"/>
      <c r="Y244" s="343">
        <v>541.45101522065352</v>
      </c>
      <c r="Z244" s="344">
        <v>466.82795863575581</v>
      </c>
      <c r="AA244" s="581"/>
      <c r="AB244" s="345">
        <v>0</v>
      </c>
      <c r="AC244" s="581"/>
      <c r="AD244" s="346">
        <v>0</v>
      </c>
      <c r="AE244" s="581"/>
      <c r="AF244" s="347">
        <v>0</v>
      </c>
      <c r="AG244" s="348">
        <v>1008.2789738564093</v>
      </c>
      <c r="AH244" s="397"/>
      <c r="AI244" s="398"/>
      <c r="AJ244" s="398"/>
      <c r="AK244" s="398"/>
      <c r="AL244" s="396" t="s">
        <v>429</v>
      </c>
      <c r="AM244" s="396" t="s">
        <v>429</v>
      </c>
      <c r="AN244" s="396" t="s">
        <v>429</v>
      </c>
      <c r="AO244" s="398" t="s">
        <v>452</v>
      </c>
      <c r="AP244" s="397"/>
    </row>
    <row r="245" spans="1:42" ht="18" hidden="1" customHeight="1" x14ac:dyDescent="0.25">
      <c r="A245" s="1878" t="s">
        <v>25</v>
      </c>
      <c r="B245" s="638" t="s">
        <v>143</v>
      </c>
      <c r="C245" s="693" t="s">
        <v>429</v>
      </c>
      <c r="D245" s="806" t="s">
        <v>1131</v>
      </c>
      <c r="E245" s="1934">
        <v>39400</v>
      </c>
      <c r="F245" s="617">
        <f>'exchange rates'!$O$57</f>
        <v>1066.97433</v>
      </c>
      <c r="G245" s="951" t="s">
        <v>25</v>
      </c>
      <c r="H245" s="638" t="s">
        <v>143</v>
      </c>
      <c r="I245" s="693" t="s">
        <v>429</v>
      </c>
      <c r="J245" s="806" t="s">
        <v>1131</v>
      </c>
      <c r="K245" s="981">
        <v>39400</v>
      </c>
      <c r="L245" s="567">
        <v>0</v>
      </c>
      <c r="M245" s="560">
        <v>0</v>
      </c>
      <c r="N245" s="568">
        <v>0</v>
      </c>
      <c r="O245" s="560">
        <v>0</v>
      </c>
      <c r="P245" s="569">
        <v>0</v>
      </c>
      <c r="Q245" s="560">
        <v>0</v>
      </c>
      <c r="R245" s="570" t="e">
        <f>Tabel6689212733[[#This Row],[landcode 3]]+Tabel6689212733[[#This Row],[VAT Sew. 2017]]+Tabel6689212733[[#This Row],[VAT WW 2017]]+Tabel6689212733[[#This Row],[VAT Other ch. 2017]]</f>
        <v>#VALUE!</v>
      </c>
      <c r="S245" s="571">
        <f>Tabel6689212733[[#This Row],[GDP 2017]]+Tabel6689212733[[#This Row],[Sew. 2017]]+Tabel6689212733[[#This Row],[VAT Sew. 2017]]+Tabel6689212733[[#This Row],[WW 2017]]+Tabel6689212733[[#This Row],[VAT WW 2017]]+Tabel6689212733[[#This Row],[Other ch. 2017]]+Tabel6689212733[[#This Row],[VAT Other ch. 2017]]</f>
        <v>39400</v>
      </c>
      <c r="T245" s="397"/>
      <c r="U245" s="1935" t="e">
        <f>MEDIAN(G245:G252)</f>
        <v>#NUM!</v>
      </c>
      <c r="V245" s="1936" t="e">
        <f>MEDIAN(H245:H252)</f>
        <v>#NUM!</v>
      </c>
      <c r="W245" s="1937" t="e">
        <f>MEDIAN(I245:I252)</f>
        <v>#NUM!</v>
      </c>
      <c r="X245" s="1771" t="e">
        <f>MEDIAN(J245:J252)</f>
        <v>#NUM!</v>
      </c>
      <c r="Y245" s="1939" t="e">
        <f>SUM(U245:X252)</f>
        <v>#NUM!</v>
      </c>
      <c r="Z245" s="1950">
        <f t="shared" ref="Z245:AF245" si="35">MEDIAN(L245:L252)</f>
        <v>0</v>
      </c>
      <c r="AA245" s="1771">
        <f t="shared" si="35"/>
        <v>0</v>
      </c>
      <c r="AB245" s="1946">
        <f t="shared" si="35"/>
        <v>0</v>
      </c>
      <c r="AC245" s="1771">
        <f t="shared" si="35"/>
        <v>0</v>
      </c>
      <c r="AD245" s="1947">
        <f t="shared" si="35"/>
        <v>0</v>
      </c>
      <c r="AE245" s="1771">
        <f t="shared" si="35"/>
        <v>0</v>
      </c>
      <c r="AF245" s="1944" t="e">
        <f t="shared" si="35"/>
        <v>#VALUE!</v>
      </c>
      <c r="AG245" s="1945" t="e">
        <f>Y245+Z245+AA245+AB245+AC245+AD245+AE245</f>
        <v>#NUM!</v>
      </c>
      <c r="AH245" s="397"/>
      <c r="AI245" s="398"/>
      <c r="AJ245" s="398"/>
      <c r="AK245" s="398"/>
      <c r="AL245" s="591" t="s">
        <v>429</v>
      </c>
      <c r="AM245" s="398"/>
      <c r="AN245" s="398"/>
      <c r="AO245" s="398"/>
      <c r="AP245" s="397"/>
    </row>
    <row r="246" spans="1:42" ht="15.6" hidden="1" customHeight="1" x14ac:dyDescent="0.25">
      <c r="A246" s="1757"/>
      <c r="B246" s="639" t="s">
        <v>144</v>
      </c>
      <c r="C246" s="639"/>
      <c r="D246" s="724" t="s">
        <v>1131</v>
      </c>
      <c r="E246" s="1760"/>
      <c r="F246" s="617">
        <f>'exchange rates'!$O$57</f>
        <v>1066.97433</v>
      </c>
      <c r="G246" s="952"/>
      <c r="H246" s="639" t="s">
        <v>144</v>
      </c>
      <c r="I246" s="639"/>
      <c r="J246" s="724" t="s">
        <v>1131</v>
      </c>
      <c r="K246" s="969"/>
      <c r="L246" s="567">
        <v>0</v>
      </c>
      <c r="M246" s="560">
        <v>0</v>
      </c>
      <c r="N246" s="568">
        <v>0</v>
      </c>
      <c r="O246" s="560">
        <v>0</v>
      </c>
      <c r="P246" s="569">
        <v>0</v>
      </c>
      <c r="Q246" s="560">
        <v>0</v>
      </c>
      <c r="R246" s="570" t="e">
        <f>Tabel6689212733[[#This Row],[landcode 3]]+Tabel6689212733[[#This Row],[VAT Sew. 2017]]+Tabel6689212733[[#This Row],[VAT WW 2017]]+Tabel6689212733[[#This Row],[VAT Other ch. 2017]]</f>
        <v>#VALUE!</v>
      </c>
      <c r="S246" s="571">
        <f>Tabel6689212733[[#This Row],[GDP 2017]]+Tabel6689212733[[#This Row],[Sew. 2017]]+Tabel6689212733[[#This Row],[VAT Sew. 2017]]+Tabel6689212733[[#This Row],[WW 2017]]+Tabel6689212733[[#This Row],[VAT WW 2017]]+Tabel6689212733[[#This Row],[Other ch. 2017]]+Tabel6689212733[[#This Row],[VAT Other ch. 2017]]</f>
        <v>0</v>
      </c>
      <c r="T246" s="397"/>
      <c r="U246" s="1763"/>
      <c r="V246" s="1766"/>
      <c r="W246" s="1769"/>
      <c r="X246" s="1772"/>
      <c r="Y246" s="1775"/>
      <c r="Z246" s="1778"/>
      <c r="AA246" s="1772"/>
      <c r="AB246" s="1781"/>
      <c r="AC246" s="1772"/>
      <c r="AD246" s="1785"/>
      <c r="AE246" s="1772"/>
      <c r="AF246" s="1788"/>
      <c r="AG246" s="1791"/>
      <c r="AH246" s="397"/>
      <c r="AI246" s="398"/>
      <c r="AJ246" s="398"/>
      <c r="AK246" s="398"/>
      <c r="AL246" s="591" t="s">
        <v>429</v>
      </c>
      <c r="AM246" s="398"/>
      <c r="AN246" s="398"/>
      <c r="AO246" s="398"/>
      <c r="AP246" s="397"/>
    </row>
    <row r="247" spans="1:42" ht="15.6" hidden="1" customHeight="1" x14ac:dyDescent="0.25">
      <c r="A247" s="1757"/>
      <c r="B247" s="639" t="s">
        <v>145</v>
      </c>
      <c r="C247" s="639"/>
      <c r="D247" s="724" t="s">
        <v>1131</v>
      </c>
      <c r="E247" s="1760"/>
      <c r="F247" s="617">
        <f>'exchange rates'!$O$57</f>
        <v>1066.97433</v>
      </c>
      <c r="G247" s="952"/>
      <c r="H247" s="639" t="s">
        <v>145</v>
      </c>
      <c r="I247" s="639"/>
      <c r="J247" s="724" t="s">
        <v>1131</v>
      </c>
      <c r="K247" s="969"/>
      <c r="L247" s="567">
        <v>0</v>
      </c>
      <c r="M247" s="560">
        <v>0</v>
      </c>
      <c r="N247" s="568">
        <v>0</v>
      </c>
      <c r="O247" s="560">
        <v>0</v>
      </c>
      <c r="P247" s="569">
        <v>0</v>
      </c>
      <c r="Q247" s="560">
        <v>0</v>
      </c>
      <c r="R247" s="570" t="e">
        <f>Tabel6689212733[[#This Row],[landcode 3]]+Tabel6689212733[[#This Row],[VAT Sew. 2017]]+Tabel6689212733[[#This Row],[VAT WW 2017]]+Tabel6689212733[[#This Row],[VAT Other ch. 2017]]</f>
        <v>#VALUE!</v>
      </c>
      <c r="S247" s="571">
        <f>Tabel6689212733[[#This Row],[GDP 2017]]+Tabel6689212733[[#This Row],[Sew. 2017]]+Tabel6689212733[[#This Row],[VAT Sew. 2017]]+Tabel6689212733[[#This Row],[WW 2017]]+Tabel6689212733[[#This Row],[VAT WW 2017]]+Tabel6689212733[[#This Row],[Other ch. 2017]]+Tabel6689212733[[#This Row],[VAT Other ch. 2017]]</f>
        <v>0</v>
      </c>
      <c r="T247" s="397"/>
      <c r="U247" s="1763"/>
      <c r="V247" s="1766"/>
      <c r="W247" s="1769"/>
      <c r="X247" s="1772"/>
      <c r="Y247" s="1775"/>
      <c r="Z247" s="1778"/>
      <c r="AA247" s="1772"/>
      <c r="AB247" s="1781"/>
      <c r="AC247" s="1772"/>
      <c r="AD247" s="1785"/>
      <c r="AE247" s="1772"/>
      <c r="AF247" s="1788"/>
      <c r="AG247" s="1791"/>
      <c r="AH247" s="397"/>
      <c r="AI247" s="398"/>
      <c r="AJ247" s="398"/>
      <c r="AK247" s="398"/>
      <c r="AL247" s="591" t="s">
        <v>429</v>
      </c>
      <c r="AM247" s="398"/>
      <c r="AN247" s="398"/>
      <c r="AO247" s="398"/>
      <c r="AP247" s="397"/>
    </row>
    <row r="248" spans="1:42" ht="15.6" hidden="1" customHeight="1" x14ac:dyDescent="0.25">
      <c r="A248" s="1757"/>
      <c r="B248" s="639" t="s">
        <v>146</v>
      </c>
      <c r="C248" s="639"/>
      <c r="D248" s="724" t="s">
        <v>1131</v>
      </c>
      <c r="E248" s="1760"/>
      <c r="F248" s="617">
        <f>'exchange rates'!$O$57</f>
        <v>1066.97433</v>
      </c>
      <c r="G248" s="952"/>
      <c r="H248" s="639" t="s">
        <v>146</v>
      </c>
      <c r="I248" s="639"/>
      <c r="J248" s="724" t="s">
        <v>1131</v>
      </c>
      <c r="K248" s="969"/>
      <c r="L248" s="567">
        <v>0</v>
      </c>
      <c r="M248" s="560">
        <v>0</v>
      </c>
      <c r="N248" s="568">
        <v>0</v>
      </c>
      <c r="O248" s="560">
        <v>0</v>
      </c>
      <c r="P248" s="569">
        <v>0</v>
      </c>
      <c r="Q248" s="560">
        <v>0</v>
      </c>
      <c r="R248" s="570" t="e">
        <f>Tabel6689212733[[#This Row],[landcode 3]]+Tabel6689212733[[#This Row],[VAT Sew. 2017]]+Tabel6689212733[[#This Row],[VAT WW 2017]]+Tabel6689212733[[#This Row],[VAT Other ch. 2017]]</f>
        <v>#VALUE!</v>
      </c>
      <c r="S248" s="571">
        <f>Tabel6689212733[[#This Row],[GDP 2017]]+Tabel6689212733[[#This Row],[Sew. 2017]]+Tabel6689212733[[#This Row],[VAT Sew. 2017]]+Tabel6689212733[[#This Row],[WW 2017]]+Tabel6689212733[[#This Row],[VAT WW 2017]]+Tabel6689212733[[#This Row],[Other ch. 2017]]+Tabel6689212733[[#This Row],[VAT Other ch. 2017]]</f>
        <v>0</v>
      </c>
      <c r="T248" s="397"/>
      <c r="U248" s="1763"/>
      <c r="V248" s="1766"/>
      <c r="W248" s="1769"/>
      <c r="X248" s="1772"/>
      <c r="Y248" s="1775"/>
      <c r="Z248" s="1778"/>
      <c r="AA248" s="1772"/>
      <c r="AB248" s="1781"/>
      <c r="AC248" s="1772"/>
      <c r="AD248" s="1785"/>
      <c r="AE248" s="1772"/>
      <c r="AF248" s="1788"/>
      <c r="AG248" s="1791"/>
      <c r="AH248" s="397"/>
      <c r="AI248" s="398"/>
      <c r="AJ248" s="398"/>
      <c r="AK248" s="398"/>
      <c r="AL248" s="591" t="s">
        <v>429</v>
      </c>
      <c r="AM248" s="398"/>
      <c r="AN248" s="398"/>
      <c r="AO248" s="398"/>
      <c r="AP248" s="397"/>
    </row>
    <row r="249" spans="1:42" ht="15.6" hidden="1" customHeight="1" x14ac:dyDescent="0.25">
      <c r="A249" s="1757"/>
      <c r="B249" s="639" t="s">
        <v>147</v>
      </c>
      <c r="C249" s="639"/>
      <c r="D249" s="724" t="s">
        <v>1131</v>
      </c>
      <c r="E249" s="1760"/>
      <c r="F249" s="617">
        <f>'exchange rates'!$O$57</f>
        <v>1066.97433</v>
      </c>
      <c r="G249" s="952"/>
      <c r="H249" s="639" t="s">
        <v>147</v>
      </c>
      <c r="I249" s="639"/>
      <c r="J249" s="724" t="s">
        <v>1131</v>
      </c>
      <c r="K249" s="969"/>
      <c r="L249" s="567">
        <v>0</v>
      </c>
      <c r="M249" s="560">
        <v>0</v>
      </c>
      <c r="N249" s="568">
        <v>0</v>
      </c>
      <c r="O249" s="560">
        <v>0</v>
      </c>
      <c r="P249" s="569">
        <v>0</v>
      </c>
      <c r="Q249" s="560">
        <v>0</v>
      </c>
      <c r="R249" s="570" t="e">
        <f>Tabel6689212733[[#This Row],[landcode 3]]+Tabel6689212733[[#This Row],[VAT Sew. 2017]]+Tabel6689212733[[#This Row],[VAT WW 2017]]+Tabel6689212733[[#This Row],[VAT Other ch. 2017]]</f>
        <v>#VALUE!</v>
      </c>
      <c r="S249" s="571">
        <f>Tabel6689212733[[#This Row],[GDP 2017]]+Tabel6689212733[[#This Row],[Sew. 2017]]+Tabel6689212733[[#This Row],[VAT Sew. 2017]]+Tabel6689212733[[#This Row],[WW 2017]]+Tabel6689212733[[#This Row],[VAT WW 2017]]+Tabel6689212733[[#This Row],[Other ch. 2017]]+Tabel6689212733[[#This Row],[VAT Other ch. 2017]]</f>
        <v>0</v>
      </c>
      <c r="T249" s="397"/>
      <c r="U249" s="1763"/>
      <c r="V249" s="1766"/>
      <c r="W249" s="1769"/>
      <c r="X249" s="1772"/>
      <c r="Y249" s="1775"/>
      <c r="Z249" s="1778"/>
      <c r="AA249" s="1772"/>
      <c r="AB249" s="1781"/>
      <c r="AC249" s="1772"/>
      <c r="AD249" s="1785"/>
      <c r="AE249" s="1772"/>
      <c r="AF249" s="1788"/>
      <c r="AG249" s="1791"/>
      <c r="AH249" s="397"/>
      <c r="AI249" s="398"/>
      <c r="AJ249" s="398"/>
      <c r="AK249" s="398"/>
      <c r="AL249" s="591" t="s">
        <v>429</v>
      </c>
      <c r="AM249" s="398"/>
      <c r="AN249" s="398"/>
      <c r="AO249" s="398"/>
      <c r="AP249" s="397"/>
    </row>
    <row r="250" spans="1:42" ht="15.6" hidden="1" customHeight="1" x14ac:dyDescent="0.25">
      <c r="A250" s="1757"/>
      <c r="B250" s="639" t="s">
        <v>148</v>
      </c>
      <c r="C250" s="639"/>
      <c r="D250" s="724" t="s">
        <v>1131</v>
      </c>
      <c r="E250" s="1760"/>
      <c r="F250" s="617">
        <f>'exchange rates'!$O$57</f>
        <v>1066.97433</v>
      </c>
      <c r="G250" s="952"/>
      <c r="H250" s="639" t="s">
        <v>148</v>
      </c>
      <c r="I250" s="639"/>
      <c r="J250" s="724" t="s">
        <v>1131</v>
      </c>
      <c r="K250" s="969"/>
      <c r="L250" s="567">
        <v>0</v>
      </c>
      <c r="M250" s="560">
        <v>0</v>
      </c>
      <c r="N250" s="568">
        <v>0</v>
      </c>
      <c r="O250" s="560">
        <v>0</v>
      </c>
      <c r="P250" s="569">
        <v>0</v>
      </c>
      <c r="Q250" s="560">
        <v>0</v>
      </c>
      <c r="R250" s="570" t="e">
        <f>Tabel6689212733[[#This Row],[landcode 3]]+Tabel6689212733[[#This Row],[VAT Sew. 2017]]+Tabel6689212733[[#This Row],[VAT WW 2017]]+Tabel6689212733[[#This Row],[VAT Other ch. 2017]]</f>
        <v>#VALUE!</v>
      </c>
      <c r="S250" s="571">
        <f>Tabel6689212733[[#This Row],[GDP 2017]]+Tabel6689212733[[#This Row],[Sew. 2017]]+Tabel6689212733[[#This Row],[VAT Sew. 2017]]+Tabel6689212733[[#This Row],[WW 2017]]+Tabel6689212733[[#This Row],[VAT WW 2017]]+Tabel6689212733[[#This Row],[Other ch. 2017]]+Tabel6689212733[[#This Row],[VAT Other ch. 2017]]</f>
        <v>0</v>
      </c>
      <c r="T250" s="397"/>
      <c r="U250" s="1763"/>
      <c r="V250" s="1766"/>
      <c r="W250" s="1769"/>
      <c r="X250" s="1772"/>
      <c r="Y250" s="1775"/>
      <c r="Z250" s="1778"/>
      <c r="AA250" s="1772"/>
      <c r="AB250" s="1781"/>
      <c r="AC250" s="1772"/>
      <c r="AD250" s="1785"/>
      <c r="AE250" s="1772"/>
      <c r="AF250" s="1788"/>
      <c r="AG250" s="1791"/>
      <c r="AH250" s="397"/>
      <c r="AI250" s="398"/>
      <c r="AJ250" s="398"/>
      <c r="AK250" s="398"/>
      <c r="AL250" s="591" t="s">
        <v>429</v>
      </c>
      <c r="AM250" s="398"/>
      <c r="AN250" s="398"/>
      <c r="AO250" s="398"/>
      <c r="AP250" s="397"/>
    </row>
    <row r="251" spans="1:42" ht="15.6" hidden="1" customHeight="1" x14ac:dyDescent="0.25">
      <c r="A251" s="1757"/>
      <c r="B251" s="639" t="s">
        <v>149</v>
      </c>
      <c r="C251" s="639"/>
      <c r="D251" s="724" t="s">
        <v>1131</v>
      </c>
      <c r="E251" s="1760"/>
      <c r="F251" s="617">
        <f>'exchange rates'!$O$57</f>
        <v>1066.97433</v>
      </c>
      <c r="G251" s="952"/>
      <c r="H251" s="639" t="s">
        <v>149</v>
      </c>
      <c r="I251" s="639"/>
      <c r="J251" s="724" t="s">
        <v>1131</v>
      </c>
      <c r="K251" s="969"/>
      <c r="L251" s="567">
        <v>0</v>
      </c>
      <c r="M251" s="560">
        <v>0</v>
      </c>
      <c r="N251" s="568">
        <v>0</v>
      </c>
      <c r="O251" s="560">
        <v>0</v>
      </c>
      <c r="P251" s="569">
        <v>0</v>
      </c>
      <c r="Q251" s="560">
        <v>0</v>
      </c>
      <c r="R251" s="570" t="e">
        <f>Tabel6689212733[[#This Row],[landcode 3]]+Tabel6689212733[[#This Row],[VAT Sew. 2017]]+Tabel6689212733[[#This Row],[VAT WW 2017]]+Tabel6689212733[[#This Row],[VAT Other ch. 2017]]</f>
        <v>#VALUE!</v>
      </c>
      <c r="S251" s="571">
        <f>Tabel6689212733[[#This Row],[GDP 2017]]+Tabel6689212733[[#This Row],[Sew. 2017]]+Tabel6689212733[[#This Row],[VAT Sew. 2017]]+Tabel6689212733[[#This Row],[WW 2017]]+Tabel6689212733[[#This Row],[VAT WW 2017]]+Tabel6689212733[[#This Row],[Other ch. 2017]]+Tabel6689212733[[#This Row],[VAT Other ch. 2017]]</f>
        <v>0</v>
      </c>
      <c r="T251" s="397"/>
      <c r="U251" s="1763"/>
      <c r="V251" s="1766"/>
      <c r="W251" s="1769"/>
      <c r="X251" s="1772"/>
      <c r="Y251" s="1775"/>
      <c r="Z251" s="1778"/>
      <c r="AA251" s="1772"/>
      <c r="AB251" s="1781"/>
      <c r="AC251" s="1772"/>
      <c r="AD251" s="1785"/>
      <c r="AE251" s="1772"/>
      <c r="AF251" s="1788"/>
      <c r="AG251" s="1791"/>
      <c r="AH251" s="397"/>
      <c r="AI251" s="398"/>
      <c r="AJ251" s="398"/>
      <c r="AK251" s="398"/>
      <c r="AL251" s="591" t="s">
        <v>429</v>
      </c>
      <c r="AM251" s="398"/>
      <c r="AN251" s="398"/>
      <c r="AO251" s="398"/>
      <c r="AP251" s="397"/>
    </row>
    <row r="252" spans="1:42" ht="16.149999999999999" hidden="1" customHeight="1" thickBot="1" x14ac:dyDescent="0.3">
      <c r="A252" s="1758"/>
      <c r="B252" s="640" t="s">
        <v>150</v>
      </c>
      <c r="C252" s="652"/>
      <c r="D252" s="807" t="s">
        <v>1131</v>
      </c>
      <c r="E252" s="1799"/>
      <c r="F252" s="617">
        <f>'exchange rates'!$O$57</f>
        <v>1066.97433</v>
      </c>
      <c r="G252" s="953"/>
      <c r="H252" s="640" t="s">
        <v>150</v>
      </c>
      <c r="I252" s="652"/>
      <c r="J252" s="807" t="s">
        <v>1131</v>
      </c>
      <c r="K252" s="987"/>
      <c r="L252" s="567">
        <v>0</v>
      </c>
      <c r="M252" s="560">
        <v>0</v>
      </c>
      <c r="N252" s="568">
        <v>0</v>
      </c>
      <c r="O252" s="560">
        <v>0</v>
      </c>
      <c r="P252" s="569">
        <v>0</v>
      </c>
      <c r="Q252" s="560">
        <v>0</v>
      </c>
      <c r="R252" s="570" t="e">
        <f>Tabel6689212733[[#This Row],[landcode 3]]+Tabel6689212733[[#This Row],[VAT Sew. 2017]]+Tabel6689212733[[#This Row],[VAT WW 2017]]+Tabel6689212733[[#This Row],[VAT Other ch. 2017]]</f>
        <v>#VALUE!</v>
      </c>
      <c r="S252" s="571">
        <f>Tabel6689212733[[#This Row],[GDP 2017]]+Tabel6689212733[[#This Row],[Sew. 2017]]+Tabel6689212733[[#This Row],[VAT Sew. 2017]]+Tabel6689212733[[#This Row],[WW 2017]]+Tabel6689212733[[#This Row],[VAT WW 2017]]+Tabel6689212733[[#This Row],[Other ch. 2017]]+Tabel6689212733[[#This Row],[VAT Other ch. 2017]]</f>
        <v>0</v>
      </c>
      <c r="T252" s="397"/>
      <c r="U252" s="1801"/>
      <c r="V252" s="1803"/>
      <c r="W252" s="1805"/>
      <c r="X252" s="1773"/>
      <c r="Y252" s="1807"/>
      <c r="Z252" s="1809"/>
      <c r="AA252" s="1773"/>
      <c r="AB252" s="1782"/>
      <c r="AC252" s="1773"/>
      <c r="AD252" s="1786"/>
      <c r="AE252" s="1773"/>
      <c r="AF252" s="1789"/>
      <c r="AG252" s="1792"/>
      <c r="AH252" s="397"/>
      <c r="AI252" s="398"/>
      <c r="AJ252" s="398"/>
      <c r="AK252" s="398"/>
      <c r="AL252" s="591" t="s">
        <v>429</v>
      </c>
      <c r="AM252" s="398"/>
      <c r="AN252" s="398"/>
      <c r="AO252" s="398"/>
      <c r="AP252" s="397"/>
    </row>
    <row r="253" spans="1:42" ht="18" hidden="1" customHeight="1" x14ac:dyDescent="0.25">
      <c r="A253" s="1878" t="s">
        <v>26</v>
      </c>
      <c r="B253" s="638" t="s">
        <v>151</v>
      </c>
      <c r="C253" s="693"/>
      <c r="D253" s="806" t="s">
        <v>1133</v>
      </c>
      <c r="E253" s="1934">
        <v>38200</v>
      </c>
      <c r="F253" s="617">
        <f>'exchange rates'!$O$58</f>
        <v>0.83301000000000003</v>
      </c>
      <c r="G253" s="951" t="s">
        <v>26</v>
      </c>
      <c r="H253" s="638" t="s">
        <v>151</v>
      </c>
      <c r="I253" s="693"/>
      <c r="J253" s="806" t="s">
        <v>1133</v>
      </c>
      <c r="K253" s="981">
        <v>38200</v>
      </c>
      <c r="L253" s="567">
        <f>15.29/F253</f>
        <v>18.355121787253452</v>
      </c>
      <c r="M253" s="560">
        <f>1.53/F253</f>
        <v>1.8367126445060684</v>
      </c>
      <c r="N253" s="568">
        <f>48.63/F253</f>
        <v>58.378650916555628</v>
      </c>
      <c r="O253" s="560">
        <f>4.86/F253</f>
        <v>5.8342636943133934</v>
      </c>
      <c r="P253" s="569">
        <v>0</v>
      </c>
      <c r="Q253" s="560">
        <v>0</v>
      </c>
      <c r="R253" s="570" t="e">
        <f>Tabel6689212733[[#This Row],[landcode 3]]+Tabel6689212733[[#This Row],[VAT Sew. 2017]]+Tabel6689212733[[#This Row],[VAT WW 2017]]+Tabel6689212733[[#This Row],[VAT Other ch. 2017]]</f>
        <v>#VALUE!</v>
      </c>
      <c r="S253" s="571">
        <f>Tabel6689212733[[#This Row],[GDP 2017]]+Tabel6689212733[[#This Row],[Sew. 2017]]+Tabel6689212733[[#This Row],[VAT Sew. 2017]]+Tabel6689212733[[#This Row],[WW 2017]]+Tabel6689212733[[#This Row],[VAT WW 2017]]+Tabel6689212733[[#This Row],[Other ch. 2017]]+Tabel6689212733[[#This Row],[VAT Other ch. 2017]]</f>
        <v>38284.404749042631</v>
      </c>
      <c r="T253" s="397"/>
      <c r="U253" s="1935" t="e">
        <f>MEDIAN(G253:G257)</f>
        <v>#NUM!</v>
      </c>
      <c r="V253" s="1936" t="e">
        <f>MEDIAN(H253:H257)</f>
        <v>#NUM!</v>
      </c>
      <c r="W253" s="1937" t="e">
        <f>MEDIAN(I253:I257)</f>
        <v>#NUM!</v>
      </c>
      <c r="X253" s="1771" t="e">
        <f>MEDIAN(J253:J257)</f>
        <v>#NUM!</v>
      </c>
      <c r="Y253" s="1939" t="e">
        <f>SUM(U253:X257)</f>
        <v>#NUM!</v>
      </c>
      <c r="Z253" s="1950">
        <f t="shared" ref="Z253:AF253" si="36">MEDIAN(L253:L257)</f>
        <v>20.840085953349899</v>
      </c>
      <c r="AA253" s="1771">
        <f t="shared" si="36"/>
        <v>2.0888104584578815</v>
      </c>
      <c r="AB253" s="1946">
        <f t="shared" si="36"/>
        <v>91.811622909688964</v>
      </c>
      <c r="AC253" s="1771">
        <f t="shared" si="36"/>
        <v>9.1835632225303421</v>
      </c>
      <c r="AD253" s="1947">
        <f t="shared" si="36"/>
        <v>0</v>
      </c>
      <c r="AE253" s="1771">
        <f t="shared" si="36"/>
        <v>0</v>
      </c>
      <c r="AF253" s="1944" t="e">
        <f t="shared" si="36"/>
        <v>#VALUE!</v>
      </c>
      <c r="AG253" s="1945" t="e">
        <f>Y253+Z253+AA253+AB253+AC253+AD253+AE253</f>
        <v>#NUM!</v>
      </c>
      <c r="AH253" s="397"/>
      <c r="AI253" s="398"/>
      <c r="AJ253" s="398"/>
      <c r="AK253" s="398"/>
      <c r="AL253" s="591" t="s">
        <v>429</v>
      </c>
      <c r="AM253" s="591" t="s">
        <v>429</v>
      </c>
      <c r="AN253" s="614"/>
      <c r="AO253" s="398"/>
      <c r="AP253" s="430" t="s">
        <v>937</v>
      </c>
    </row>
    <row r="254" spans="1:42" ht="15.6" hidden="1" customHeight="1" x14ac:dyDescent="0.25">
      <c r="A254" s="1757"/>
      <c r="B254" s="639" t="s">
        <v>152</v>
      </c>
      <c r="C254" s="639"/>
      <c r="D254" s="724" t="s">
        <v>1133</v>
      </c>
      <c r="E254" s="1760"/>
      <c r="F254" s="617">
        <f>'exchange rates'!$O$58</f>
        <v>0.83301000000000003</v>
      </c>
      <c r="G254" s="952"/>
      <c r="H254" s="639" t="s">
        <v>152</v>
      </c>
      <c r="I254" s="639"/>
      <c r="J254" s="724" t="s">
        <v>1133</v>
      </c>
      <c r="K254" s="969"/>
      <c r="L254" s="567">
        <v>0</v>
      </c>
      <c r="M254" s="560">
        <v>0</v>
      </c>
      <c r="N254" s="568">
        <f>80.93/F254</f>
        <v>97.153695633905954</v>
      </c>
      <c r="O254" s="560">
        <f>8.09/F254</f>
        <v>9.7117681660484259</v>
      </c>
      <c r="P254" s="569">
        <v>0</v>
      </c>
      <c r="Q254" s="560">
        <v>0</v>
      </c>
      <c r="R254" s="570" t="e">
        <f>Tabel6689212733[[#This Row],[landcode 3]]+Tabel6689212733[[#This Row],[VAT Sew. 2017]]+Tabel6689212733[[#This Row],[VAT WW 2017]]+Tabel6689212733[[#This Row],[VAT Other ch. 2017]]</f>
        <v>#VALUE!</v>
      </c>
      <c r="S254" s="571">
        <f>Tabel6689212733[[#This Row],[GDP 2017]]+Tabel6689212733[[#This Row],[Sew. 2017]]+Tabel6689212733[[#This Row],[VAT Sew. 2017]]+Tabel6689212733[[#This Row],[WW 2017]]+Tabel6689212733[[#This Row],[VAT WW 2017]]+Tabel6689212733[[#This Row],[Other ch. 2017]]+Tabel6689212733[[#This Row],[VAT Other ch. 2017]]</f>
        <v>106.86546379995438</v>
      </c>
      <c r="T254" s="397"/>
      <c r="U254" s="1763"/>
      <c r="V254" s="1766"/>
      <c r="W254" s="1769"/>
      <c r="X254" s="1772"/>
      <c r="Y254" s="1775"/>
      <c r="Z254" s="1778"/>
      <c r="AA254" s="1772"/>
      <c r="AB254" s="1781"/>
      <c r="AC254" s="1772"/>
      <c r="AD254" s="1785"/>
      <c r="AE254" s="1772"/>
      <c r="AF254" s="1788"/>
      <c r="AG254" s="1791"/>
      <c r="AH254" s="397"/>
      <c r="AI254" s="398"/>
      <c r="AJ254" s="398"/>
      <c r="AK254" s="398"/>
      <c r="AL254" s="591" t="s">
        <v>429</v>
      </c>
      <c r="AM254" s="591" t="s">
        <v>429</v>
      </c>
      <c r="AN254" s="591" t="s">
        <v>429</v>
      </c>
      <c r="AO254" s="398"/>
      <c r="AP254" s="430" t="s">
        <v>937</v>
      </c>
    </row>
    <row r="255" spans="1:42" ht="15.6" hidden="1" customHeight="1" x14ac:dyDescent="0.25">
      <c r="A255" s="1757"/>
      <c r="B255" s="639" t="s">
        <v>153</v>
      </c>
      <c r="C255" s="639" t="s">
        <v>429</v>
      </c>
      <c r="D255" s="724" t="s">
        <v>1133</v>
      </c>
      <c r="E255" s="1760"/>
      <c r="F255" s="617">
        <f>'exchange rates'!$O$58</f>
        <v>0.83301000000000003</v>
      </c>
      <c r="G255" s="952"/>
      <c r="H255" s="639" t="s">
        <v>153</v>
      </c>
      <c r="I255" s="639" t="s">
        <v>429</v>
      </c>
      <c r="J255" s="724" t="s">
        <v>1133</v>
      </c>
      <c r="K255" s="969"/>
      <c r="L255" s="567">
        <f>17.36/F255</f>
        <v>20.840085953349899</v>
      </c>
      <c r="M255" s="560">
        <f>1.74/F255</f>
        <v>2.0888104584578815</v>
      </c>
      <c r="N255" s="568">
        <f>49.97/F255</f>
        <v>59.987275062724336</v>
      </c>
      <c r="O255" s="560">
        <f>5/F255</f>
        <v>6.0023289036146021</v>
      </c>
      <c r="P255" s="569">
        <v>0</v>
      </c>
      <c r="Q255" s="560">
        <v>0</v>
      </c>
      <c r="R255" s="570" t="e">
        <f>Tabel6689212733[[#This Row],[landcode 3]]+Tabel6689212733[[#This Row],[VAT Sew. 2017]]+Tabel6689212733[[#This Row],[VAT WW 2017]]+Tabel6689212733[[#This Row],[VAT Other ch. 2017]]</f>
        <v>#VALUE!</v>
      </c>
      <c r="S255" s="571">
        <f>Tabel6689212733[[#This Row],[GDP 2017]]+Tabel6689212733[[#This Row],[Sew. 2017]]+Tabel6689212733[[#This Row],[VAT Sew. 2017]]+Tabel6689212733[[#This Row],[WW 2017]]+Tabel6689212733[[#This Row],[VAT WW 2017]]+Tabel6689212733[[#This Row],[Other ch. 2017]]+Tabel6689212733[[#This Row],[VAT Other ch. 2017]]</f>
        <v>88.918500378146717</v>
      </c>
      <c r="T255" s="397"/>
      <c r="U255" s="1763"/>
      <c r="V255" s="1766"/>
      <c r="W255" s="1769"/>
      <c r="X255" s="1772"/>
      <c r="Y255" s="1775"/>
      <c r="Z255" s="1778"/>
      <c r="AA255" s="1772"/>
      <c r="AB255" s="1781"/>
      <c r="AC255" s="1772"/>
      <c r="AD255" s="1785"/>
      <c r="AE255" s="1772"/>
      <c r="AF255" s="1788"/>
      <c r="AG255" s="1791"/>
      <c r="AH255" s="397"/>
      <c r="AI255" s="398"/>
      <c r="AJ255" s="398"/>
      <c r="AK255" s="398"/>
      <c r="AL255" s="591" t="s">
        <v>429</v>
      </c>
      <c r="AM255" s="591" t="s">
        <v>429</v>
      </c>
      <c r="AN255" s="614"/>
      <c r="AO255" s="398"/>
      <c r="AP255" s="430" t="s">
        <v>937</v>
      </c>
    </row>
    <row r="256" spans="1:42" ht="15.6" hidden="1" customHeight="1" x14ac:dyDescent="0.25">
      <c r="A256" s="1757"/>
      <c r="B256" s="639" t="s">
        <v>214</v>
      </c>
      <c r="C256" s="639"/>
      <c r="D256" s="724" t="s">
        <v>1133</v>
      </c>
      <c r="E256" s="1760"/>
      <c r="F256" s="617">
        <f>'exchange rates'!$O$58</f>
        <v>0.83301000000000003</v>
      </c>
      <c r="G256" s="952"/>
      <c r="H256" s="639" t="s">
        <v>214</v>
      </c>
      <c r="I256" s="639"/>
      <c r="J256" s="724" t="s">
        <v>1133</v>
      </c>
      <c r="K256" s="969"/>
      <c r="L256" s="567">
        <f>38.21/F256</f>
        <v>45.869797481422793</v>
      </c>
      <c r="M256" s="560">
        <f>3.82/F256</f>
        <v>4.585779282361556</v>
      </c>
      <c r="N256" s="568">
        <f>76.48/F256</f>
        <v>91.811622909688964</v>
      </c>
      <c r="O256" s="560">
        <f>7.65/F256</f>
        <v>9.1835632225303421</v>
      </c>
      <c r="P256" s="569">
        <v>0</v>
      </c>
      <c r="Q256" s="560">
        <v>0</v>
      </c>
      <c r="R256" s="570" t="e">
        <f>Tabel6689212733[[#This Row],[landcode 3]]+Tabel6689212733[[#This Row],[VAT Sew. 2017]]+Tabel6689212733[[#This Row],[VAT WW 2017]]+Tabel6689212733[[#This Row],[VAT Other ch. 2017]]</f>
        <v>#VALUE!</v>
      </c>
      <c r="S256" s="571">
        <f>Tabel6689212733[[#This Row],[GDP 2017]]+Tabel6689212733[[#This Row],[Sew. 2017]]+Tabel6689212733[[#This Row],[VAT Sew. 2017]]+Tabel6689212733[[#This Row],[WW 2017]]+Tabel6689212733[[#This Row],[VAT WW 2017]]+Tabel6689212733[[#This Row],[Other ch. 2017]]+Tabel6689212733[[#This Row],[VAT Other ch. 2017]]</f>
        <v>151.45076289600368</v>
      </c>
      <c r="T256" s="397"/>
      <c r="U256" s="1763"/>
      <c r="V256" s="1766"/>
      <c r="W256" s="1769"/>
      <c r="X256" s="1772"/>
      <c r="Y256" s="1775"/>
      <c r="Z256" s="1778"/>
      <c r="AA256" s="1772"/>
      <c r="AB256" s="1781"/>
      <c r="AC256" s="1772"/>
      <c r="AD256" s="1785"/>
      <c r="AE256" s="1772"/>
      <c r="AF256" s="1788"/>
      <c r="AG256" s="1791"/>
      <c r="AH256" s="397"/>
      <c r="AI256" s="398"/>
      <c r="AJ256" s="398"/>
      <c r="AK256" s="398"/>
      <c r="AL256" s="591" t="s">
        <v>429</v>
      </c>
      <c r="AM256" s="591" t="s">
        <v>429</v>
      </c>
      <c r="AN256" s="614"/>
      <c r="AO256" s="398"/>
      <c r="AP256" s="430" t="s">
        <v>937</v>
      </c>
    </row>
    <row r="257" spans="1:42" ht="16.149999999999999" hidden="1" customHeight="1" thickBot="1" x14ac:dyDescent="0.3">
      <c r="A257" s="1758"/>
      <c r="B257" s="640" t="s">
        <v>154</v>
      </c>
      <c r="C257" s="652"/>
      <c r="D257" s="807" t="s">
        <v>1133</v>
      </c>
      <c r="E257" s="1799"/>
      <c r="F257" s="617">
        <f>'exchange rates'!$O$58</f>
        <v>0.83301000000000003</v>
      </c>
      <c r="G257" s="953"/>
      <c r="H257" s="640" t="s">
        <v>154</v>
      </c>
      <c r="I257" s="652"/>
      <c r="J257" s="807" t="s">
        <v>1133</v>
      </c>
      <c r="K257" s="987"/>
      <c r="L257" s="567">
        <f>30.29/F257</f>
        <v>36.362108498097257</v>
      </c>
      <c r="M257" s="560">
        <f>3.03/F257</f>
        <v>3.6374113155904486</v>
      </c>
      <c r="N257" s="568">
        <f>88.93/F257</f>
        <v>106.75742187968932</v>
      </c>
      <c r="O257" s="560">
        <f>8.89/F257</f>
        <v>10.672140790626763</v>
      </c>
      <c r="P257" s="569">
        <v>0</v>
      </c>
      <c r="Q257" s="560">
        <v>0</v>
      </c>
      <c r="R257" s="570" t="e">
        <f>Tabel6689212733[[#This Row],[landcode 3]]+Tabel6689212733[[#This Row],[VAT Sew. 2017]]+Tabel6689212733[[#This Row],[VAT WW 2017]]+Tabel6689212733[[#This Row],[VAT Other ch. 2017]]</f>
        <v>#VALUE!</v>
      </c>
      <c r="S257" s="571">
        <f>Tabel6689212733[[#This Row],[GDP 2017]]+Tabel6689212733[[#This Row],[Sew. 2017]]+Tabel6689212733[[#This Row],[VAT Sew. 2017]]+Tabel6689212733[[#This Row],[WW 2017]]+Tabel6689212733[[#This Row],[VAT WW 2017]]+Tabel6689212733[[#This Row],[Other ch. 2017]]+Tabel6689212733[[#This Row],[VAT Other ch. 2017]]</f>
        <v>157.4290824840038</v>
      </c>
      <c r="T257" s="397"/>
      <c r="U257" s="1801"/>
      <c r="V257" s="1803"/>
      <c r="W257" s="1805"/>
      <c r="X257" s="1773"/>
      <c r="Y257" s="1807"/>
      <c r="Z257" s="1809"/>
      <c r="AA257" s="1773"/>
      <c r="AB257" s="1782"/>
      <c r="AC257" s="1773"/>
      <c r="AD257" s="1786"/>
      <c r="AE257" s="1773"/>
      <c r="AF257" s="1789"/>
      <c r="AG257" s="1792"/>
      <c r="AH257" s="397"/>
      <c r="AI257" s="398"/>
      <c r="AJ257" s="396"/>
      <c r="AK257" s="396"/>
      <c r="AL257" s="591" t="s">
        <v>429</v>
      </c>
      <c r="AM257" s="591" t="s">
        <v>429</v>
      </c>
      <c r="AN257" s="614"/>
      <c r="AO257" s="398"/>
      <c r="AP257" s="430" t="s">
        <v>937</v>
      </c>
    </row>
    <row r="258" spans="1:42" ht="15.75" hidden="1" customHeight="1" x14ac:dyDescent="0.25">
      <c r="A258" s="1878" t="s">
        <v>48</v>
      </c>
      <c r="B258" s="638" t="s">
        <v>155</v>
      </c>
      <c r="C258" s="693" t="s">
        <v>429</v>
      </c>
      <c r="D258" s="806" t="s">
        <v>1135</v>
      </c>
      <c r="E258" s="1934">
        <v>51300</v>
      </c>
      <c r="F258" s="617">
        <f>'exchange rates'!$O$59</f>
        <v>8.1602899999999998</v>
      </c>
      <c r="G258" s="951" t="s">
        <v>48</v>
      </c>
      <c r="H258" s="638" t="s">
        <v>155</v>
      </c>
      <c r="I258" s="693" t="s">
        <v>429</v>
      </c>
      <c r="J258" s="806" t="s">
        <v>1135</v>
      </c>
      <c r="K258" s="981">
        <v>51300</v>
      </c>
      <c r="L258" s="567">
        <f>325/F258</f>
        <v>39.827015951638977</v>
      </c>
      <c r="M258" s="560">
        <f>81.25/F258</f>
        <v>9.9567539879097442</v>
      </c>
      <c r="N258" s="568">
        <v>0</v>
      </c>
      <c r="O258" s="560">
        <v>0</v>
      </c>
      <c r="P258" s="569">
        <v>0</v>
      </c>
      <c r="Q258" s="560">
        <v>0</v>
      </c>
      <c r="R258" s="570" t="e">
        <f>Tabel6689212733[[#This Row],[landcode 3]]+Tabel6689212733[[#This Row],[VAT Sew. 2017]]+Tabel6689212733[[#This Row],[VAT WW 2017]]+Tabel6689212733[[#This Row],[VAT Other ch. 2017]]</f>
        <v>#VALUE!</v>
      </c>
      <c r="S258" s="571">
        <f>Tabel6689212733[[#This Row],[GDP 2017]]+Tabel6689212733[[#This Row],[Sew. 2017]]+Tabel6689212733[[#This Row],[VAT Sew. 2017]]+Tabel6689212733[[#This Row],[WW 2017]]+Tabel6689212733[[#This Row],[VAT WW 2017]]+Tabel6689212733[[#This Row],[Other ch. 2017]]+Tabel6689212733[[#This Row],[VAT Other ch. 2017]]</f>
        <v>51349.783769939546</v>
      </c>
      <c r="T258" s="397"/>
      <c r="U258" s="1824" t="e">
        <f>MEDIAN(G258:G262)</f>
        <v>#NUM!</v>
      </c>
      <c r="V258" s="1825" t="e">
        <f t="shared" ref="V258:X258" si="37">MEDIAN(H258:H262)</f>
        <v>#NUM!</v>
      </c>
      <c r="W258" s="1826" t="e">
        <f t="shared" si="37"/>
        <v>#NUM!</v>
      </c>
      <c r="X258" s="1908" t="e">
        <f t="shared" si="37"/>
        <v>#NUM!</v>
      </c>
      <c r="Y258" s="1827" t="e">
        <f>SUM(U258:X262)</f>
        <v>#NUM!</v>
      </c>
      <c r="Z258" s="1828">
        <f t="shared" ref="Z258:AF258" si="38">MEDIAN(L258:L262)</f>
        <v>90.805596369736861</v>
      </c>
      <c r="AA258" s="1908">
        <f t="shared" si="38"/>
        <v>22.701399092434215</v>
      </c>
      <c r="AB258" s="1829">
        <f t="shared" si="38"/>
        <v>0</v>
      </c>
      <c r="AC258" s="1908">
        <f t="shared" si="38"/>
        <v>0</v>
      </c>
      <c r="AD258" s="1830">
        <f t="shared" si="38"/>
        <v>0</v>
      </c>
      <c r="AE258" s="1908">
        <f t="shared" si="38"/>
        <v>0</v>
      </c>
      <c r="AF258" s="1816" t="e">
        <f t="shared" si="38"/>
        <v>#VALUE!</v>
      </c>
      <c r="AG258" s="1817" t="e">
        <f>Y258+Z258+AA258+AB258+AC258+AD258+AE258</f>
        <v>#NUM!</v>
      </c>
      <c r="AH258" s="397"/>
      <c r="AI258" s="398"/>
      <c r="AJ258" s="591" t="s">
        <v>429</v>
      </c>
      <c r="AK258" s="591"/>
      <c r="AL258" s="396"/>
      <c r="AM258" s="591" t="s">
        <v>429</v>
      </c>
      <c r="AN258" s="396"/>
      <c r="AO258" s="398"/>
      <c r="AP258" s="397"/>
    </row>
    <row r="259" spans="1:42" ht="15.75" hidden="1" customHeight="1" x14ac:dyDescent="0.25">
      <c r="A259" s="1757"/>
      <c r="B259" s="639" t="s">
        <v>156</v>
      </c>
      <c r="C259" s="639"/>
      <c r="D259" s="724" t="s">
        <v>1135</v>
      </c>
      <c r="E259" s="1967"/>
      <c r="F259" s="617">
        <f>'exchange rates'!$O$59</f>
        <v>8.1602899999999998</v>
      </c>
      <c r="G259" s="952"/>
      <c r="H259" s="639" t="s">
        <v>156</v>
      </c>
      <c r="I259" s="639"/>
      <c r="J259" s="724" t="s">
        <v>1135</v>
      </c>
      <c r="K259" s="986"/>
      <c r="L259" s="567">
        <f>741/F259</f>
        <v>90.805596369736861</v>
      </c>
      <c r="M259" s="560">
        <f>185.25/F259</f>
        <v>22.701399092434215</v>
      </c>
      <c r="N259" s="568">
        <v>0</v>
      </c>
      <c r="O259" s="560">
        <v>0</v>
      </c>
      <c r="P259" s="569">
        <v>0</v>
      </c>
      <c r="Q259" s="560">
        <v>0</v>
      </c>
      <c r="R259" s="570" t="e">
        <f>Tabel6689212733[[#This Row],[landcode 3]]+Tabel6689212733[[#This Row],[VAT Sew. 2017]]+Tabel6689212733[[#This Row],[VAT WW 2017]]+Tabel6689212733[[#This Row],[VAT Other ch. 2017]]</f>
        <v>#VALUE!</v>
      </c>
      <c r="S259" s="571">
        <f>Tabel6689212733[[#This Row],[GDP 2017]]+Tabel6689212733[[#This Row],[Sew. 2017]]+Tabel6689212733[[#This Row],[VAT Sew. 2017]]+Tabel6689212733[[#This Row],[WW 2017]]+Tabel6689212733[[#This Row],[VAT WW 2017]]+Tabel6689212733[[#This Row],[Other ch. 2017]]+Tabel6689212733[[#This Row],[VAT Other ch. 2017]]</f>
        <v>113.50699546217108</v>
      </c>
      <c r="T259" s="397"/>
      <c r="U259" s="1763"/>
      <c r="V259" s="1766"/>
      <c r="W259" s="1769"/>
      <c r="X259" s="1772"/>
      <c r="Y259" s="1775"/>
      <c r="Z259" s="1778"/>
      <c r="AA259" s="1772"/>
      <c r="AB259" s="1781"/>
      <c r="AC259" s="1772"/>
      <c r="AD259" s="1785"/>
      <c r="AE259" s="1772"/>
      <c r="AF259" s="1788"/>
      <c r="AG259" s="1791"/>
      <c r="AH259" s="397"/>
      <c r="AI259" s="398"/>
      <c r="AJ259" s="591" t="s">
        <v>429</v>
      </c>
      <c r="AK259" s="591"/>
      <c r="AL259" s="396"/>
      <c r="AM259" s="591" t="s">
        <v>429</v>
      </c>
      <c r="AN259" s="396"/>
      <c r="AO259" s="398"/>
      <c r="AP259" s="397"/>
    </row>
    <row r="260" spans="1:42" ht="15.75" hidden="1" customHeight="1" x14ac:dyDescent="0.25">
      <c r="A260" s="1757"/>
      <c r="B260" s="639" t="s">
        <v>157</v>
      </c>
      <c r="C260" s="639"/>
      <c r="D260" s="724" t="s">
        <v>1135</v>
      </c>
      <c r="E260" s="1967"/>
      <c r="F260" s="617">
        <f>'exchange rates'!$O$59</f>
        <v>8.1602899999999998</v>
      </c>
      <c r="G260" s="952"/>
      <c r="H260" s="639" t="s">
        <v>157</v>
      </c>
      <c r="I260" s="639"/>
      <c r="J260" s="724" t="s">
        <v>1135</v>
      </c>
      <c r="K260" s="986"/>
      <c r="L260" s="567">
        <f>514/F260</f>
        <v>62.987957535822872</v>
      </c>
      <c r="M260" s="560">
        <f>128.5/F260</f>
        <v>15.746989383955718</v>
      </c>
      <c r="N260" s="568">
        <v>0</v>
      </c>
      <c r="O260" s="560">
        <v>0</v>
      </c>
      <c r="P260" s="569">
        <v>0</v>
      </c>
      <c r="Q260" s="560">
        <v>0</v>
      </c>
      <c r="R260" s="570" t="e">
        <f>Tabel6689212733[[#This Row],[landcode 3]]+Tabel6689212733[[#This Row],[VAT Sew. 2017]]+Tabel6689212733[[#This Row],[VAT WW 2017]]+Tabel6689212733[[#This Row],[VAT Other ch. 2017]]</f>
        <v>#VALUE!</v>
      </c>
      <c r="S260" s="571">
        <f>Tabel6689212733[[#This Row],[GDP 2017]]+Tabel6689212733[[#This Row],[Sew. 2017]]+Tabel6689212733[[#This Row],[VAT Sew. 2017]]+Tabel6689212733[[#This Row],[WW 2017]]+Tabel6689212733[[#This Row],[VAT WW 2017]]+Tabel6689212733[[#This Row],[Other ch. 2017]]+Tabel6689212733[[#This Row],[VAT Other ch. 2017]]</f>
        <v>78.734946919778594</v>
      </c>
      <c r="T260" s="397"/>
      <c r="U260" s="1763"/>
      <c r="V260" s="1766"/>
      <c r="W260" s="1769"/>
      <c r="X260" s="1772"/>
      <c r="Y260" s="1775"/>
      <c r="Z260" s="1778"/>
      <c r="AA260" s="1772"/>
      <c r="AB260" s="1781"/>
      <c r="AC260" s="1772"/>
      <c r="AD260" s="1785"/>
      <c r="AE260" s="1772"/>
      <c r="AF260" s="1788"/>
      <c r="AG260" s="1791"/>
      <c r="AH260" s="397"/>
      <c r="AI260" s="398"/>
      <c r="AJ260" s="591" t="s">
        <v>429</v>
      </c>
      <c r="AK260" s="591"/>
      <c r="AL260" s="396"/>
      <c r="AM260" s="591" t="s">
        <v>429</v>
      </c>
      <c r="AN260" s="396"/>
      <c r="AO260" s="398"/>
      <c r="AP260" s="397"/>
    </row>
    <row r="261" spans="1:42" ht="15.75" hidden="1" customHeight="1" x14ac:dyDescent="0.25">
      <c r="A261" s="1757"/>
      <c r="B261" s="639" t="s">
        <v>158</v>
      </c>
      <c r="C261" s="639"/>
      <c r="D261" s="724" t="s">
        <v>1135</v>
      </c>
      <c r="E261" s="1967"/>
      <c r="F261" s="617">
        <f>'exchange rates'!$O$59</f>
        <v>8.1602899999999998</v>
      </c>
      <c r="G261" s="952"/>
      <c r="H261" s="639" t="s">
        <v>158</v>
      </c>
      <c r="I261" s="639"/>
      <c r="J261" s="724" t="s">
        <v>1135</v>
      </c>
      <c r="K261" s="986"/>
      <c r="L261" s="567">
        <f>1853/F261</f>
        <v>227.07526325657545</v>
      </c>
      <c r="M261" s="560">
        <f>463.25/F261</f>
        <v>56.768815814143863</v>
      </c>
      <c r="N261" s="568">
        <v>0</v>
      </c>
      <c r="O261" s="560">
        <v>0</v>
      </c>
      <c r="P261" s="569">
        <v>0</v>
      </c>
      <c r="Q261" s="560">
        <v>0</v>
      </c>
      <c r="R261" s="570" t="e">
        <f>Tabel6689212733[[#This Row],[landcode 3]]+Tabel6689212733[[#This Row],[VAT Sew. 2017]]+Tabel6689212733[[#This Row],[VAT WW 2017]]+Tabel6689212733[[#This Row],[VAT Other ch. 2017]]</f>
        <v>#VALUE!</v>
      </c>
      <c r="S261" s="571">
        <f>Tabel6689212733[[#This Row],[GDP 2017]]+Tabel6689212733[[#This Row],[Sew. 2017]]+Tabel6689212733[[#This Row],[VAT Sew. 2017]]+Tabel6689212733[[#This Row],[WW 2017]]+Tabel6689212733[[#This Row],[VAT WW 2017]]+Tabel6689212733[[#This Row],[Other ch. 2017]]+Tabel6689212733[[#This Row],[VAT Other ch. 2017]]</f>
        <v>283.84407907071932</v>
      </c>
      <c r="T261" s="397"/>
      <c r="U261" s="1763"/>
      <c r="V261" s="1766"/>
      <c r="W261" s="1769"/>
      <c r="X261" s="1772"/>
      <c r="Y261" s="1775"/>
      <c r="Z261" s="1778"/>
      <c r="AA261" s="1772"/>
      <c r="AB261" s="1781"/>
      <c r="AC261" s="1772"/>
      <c r="AD261" s="1785"/>
      <c r="AE261" s="1772"/>
      <c r="AF261" s="1788"/>
      <c r="AG261" s="1791"/>
      <c r="AH261" s="397"/>
      <c r="AI261" s="398"/>
      <c r="AJ261" s="591" t="s">
        <v>429</v>
      </c>
      <c r="AK261" s="591"/>
      <c r="AL261" s="396"/>
      <c r="AM261" s="591"/>
      <c r="AN261" s="396"/>
      <c r="AO261" s="398"/>
      <c r="AP261" s="397"/>
    </row>
    <row r="262" spans="1:42" ht="16.5" hidden="1" customHeight="1" thickBot="1" x14ac:dyDescent="0.3">
      <c r="A262" s="1758"/>
      <c r="B262" s="640" t="s">
        <v>159</v>
      </c>
      <c r="C262" s="652"/>
      <c r="D262" s="807" t="s">
        <v>1135</v>
      </c>
      <c r="E262" s="1799"/>
      <c r="F262" s="617">
        <f>'exchange rates'!$O$59</f>
        <v>8.1602899999999998</v>
      </c>
      <c r="G262" s="953"/>
      <c r="H262" s="640" t="s">
        <v>159</v>
      </c>
      <c r="I262" s="652"/>
      <c r="J262" s="807" t="s">
        <v>1135</v>
      </c>
      <c r="K262" s="987"/>
      <c r="L262" s="567">
        <f>855/F262</f>
        <v>104.77568811892715</v>
      </c>
      <c r="M262" s="560">
        <f>213.75/F262</f>
        <v>26.193922029731787</v>
      </c>
      <c r="N262" s="568">
        <v>0</v>
      </c>
      <c r="O262" s="560">
        <v>0</v>
      </c>
      <c r="P262" s="569">
        <v>0</v>
      </c>
      <c r="Q262" s="560">
        <v>0</v>
      </c>
      <c r="R262" s="570" t="e">
        <f>Tabel6689212733[[#This Row],[landcode 3]]+Tabel6689212733[[#This Row],[VAT Sew. 2017]]+Tabel6689212733[[#This Row],[VAT WW 2017]]+Tabel6689212733[[#This Row],[VAT Other ch. 2017]]</f>
        <v>#VALUE!</v>
      </c>
      <c r="S262" s="571">
        <f>Tabel6689212733[[#This Row],[GDP 2017]]+Tabel6689212733[[#This Row],[Sew. 2017]]+Tabel6689212733[[#This Row],[VAT Sew. 2017]]+Tabel6689212733[[#This Row],[WW 2017]]+Tabel6689212733[[#This Row],[VAT WW 2017]]+Tabel6689212733[[#This Row],[Other ch. 2017]]+Tabel6689212733[[#This Row],[VAT Other ch. 2017]]</f>
        <v>130.96961014865894</v>
      </c>
      <c r="T262" s="397"/>
      <c r="U262" s="2182"/>
      <c r="V262" s="2183"/>
      <c r="W262" s="2184"/>
      <c r="X262" s="1773"/>
      <c r="Y262" s="2168"/>
      <c r="Z262" s="2169"/>
      <c r="AA262" s="1773"/>
      <c r="AB262" s="2179"/>
      <c r="AC262" s="1773"/>
      <c r="AD262" s="2180"/>
      <c r="AE262" s="1773"/>
      <c r="AF262" s="2181"/>
      <c r="AG262" s="2174"/>
      <c r="AH262" s="397"/>
      <c r="AI262" s="398"/>
      <c r="AJ262" s="591" t="s">
        <v>429</v>
      </c>
      <c r="AK262" s="591"/>
      <c r="AL262" s="396"/>
      <c r="AM262" s="591" t="s">
        <v>429</v>
      </c>
      <c r="AN262" s="396"/>
      <c r="AO262" s="398"/>
      <c r="AP262" s="397"/>
    </row>
    <row r="263" spans="1:42" ht="18" hidden="1" customHeight="1" x14ac:dyDescent="0.25">
      <c r="A263" s="1818" t="s">
        <v>28</v>
      </c>
      <c r="B263" s="547" t="s">
        <v>160</v>
      </c>
      <c r="C263" s="1046"/>
      <c r="D263" s="802" t="s">
        <v>1137</v>
      </c>
      <c r="E263" s="1966">
        <v>61400</v>
      </c>
      <c r="F263" s="617">
        <f>'exchange rates'!$O$60</f>
        <v>0.97441999999999995</v>
      </c>
      <c r="G263" s="929" t="s">
        <v>28</v>
      </c>
      <c r="H263" s="547" t="s">
        <v>160</v>
      </c>
      <c r="I263" s="1046"/>
      <c r="J263" s="802" t="s">
        <v>1137</v>
      </c>
      <c r="K263" s="988">
        <v>61400</v>
      </c>
      <c r="L263" s="567">
        <f>265/F263</f>
        <v>271.95665113606043</v>
      </c>
      <c r="M263" s="560">
        <f>6.63/F263</f>
        <v>6.804047535970116</v>
      </c>
      <c r="N263" s="568">
        <v>0</v>
      </c>
      <c r="O263" s="560">
        <v>0</v>
      </c>
      <c r="P263" s="569">
        <v>0</v>
      </c>
      <c r="Q263" s="560">
        <v>0</v>
      </c>
      <c r="R263" s="570" t="e">
        <f>Tabel6689212733[[#This Row],[landcode 3]]+Tabel6689212733[[#This Row],[VAT Sew. 2017]]+Tabel6689212733[[#This Row],[VAT WW 2017]]+Tabel6689212733[[#This Row],[VAT Other ch. 2017]]</f>
        <v>#VALUE!</v>
      </c>
      <c r="S263" s="571">
        <f>Tabel6689212733[[#This Row],[GDP 2017]]+Tabel6689212733[[#This Row],[Sew. 2017]]+Tabel6689212733[[#This Row],[VAT Sew. 2017]]+Tabel6689212733[[#This Row],[WW 2017]]+Tabel6689212733[[#This Row],[VAT WW 2017]]+Tabel6689212733[[#This Row],[Other ch. 2017]]+Tabel6689212733[[#This Row],[VAT Other ch. 2017]]</f>
        <v>61678.760698672028</v>
      </c>
      <c r="T263" s="397"/>
      <c r="U263" s="1968" t="e">
        <f>MEDIAN(G263:G267)</f>
        <v>#NUM!</v>
      </c>
      <c r="V263" s="1971" t="e">
        <f>MEDIAN(H263:H267)</f>
        <v>#NUM!</v>
      </c>
      <c r="W263" s="2175" t="e">
        <f>MEDIAN(I263:I267)</f>
        <v>#NUM!</v>
      </c>
      <c r="X263" s="2178" t="e">
        <f>MEDIAN(J263:J267)</f>
        <v>#NUM!</v>
      </c>
      <c r="Y263" s="1939" t="e">
        <f>SUM(U263:X267)</f>
        <v>#NUM!</v>
      </c>
      <c r="Z263" s="1980">
        <f t="shared" ref="Z263:AF263" si="39">MEDIAN(L263:L267)</f>
        <v>262.54592475523901</v>
      </c>
      <c r="AA263" s="1938">
        <f t="shared" si="39"/>
        <v>6.56800968781429</v>
      </c>
      <c r="AB263" s="1954">
        <f t="shared" si="39"/>
        <v>0</v>
      </c>
      <c r="AC263" s="1938">
        <f t="shared" si="39"/>
        <v>0</v>
      </c>
      <c r="AD263" s="1957">
        <f t="shared" si="39"/>
        <v>0</v>
      </c>
      <c r="AE263" s="1938">
        <f t="shared" si="39"/>
        <v>0</v>
      </c>
      <c r="AF263" s="1960" t="e">
        <f t="shared" si="39"/>
        <v>#VALUE!</v>
      </c>
      <c r="AG263" s="2171" t="e">
        <f>Y263+Z263+AA263+AB263+AC263+AD263+AE263</f>
        <v>#NUM!</v>
      </c>
      <c r="AH263" s="397"/>
      <c r="AI263" s="398"/>
      <c r="AJ263" s="591" t="s">
        <v>429</v>
      </c>
      <c r="AK263" s="614"/>
      <c r="AL263" s="614"/>
      <c r="AM263" s="591" t="s">
        <v>429</v>
      </c>
      <c r="AN263" s="398"/>
      <c r="AO263" s="398"/>
      <c r="AP263" s="397"/>
    </row>
    <row r="264" spans="1:42" ht="15.6" hidden="1" customHeight="1" x14ac:dyDescent="0.25">
      <c r="A264" s="1819"/>
      <c r="B264" s="547" t="s">
        <v>603</v>
      </c>
      <c r="C264" s="1046"/>
      <c r="D264" s="802" t="s">
        <v>1137</v>
      </c>
      <c r="E264" s="1967"/>
      <c r="F264" s="617">
        <f>'exchange rates'!$O$60</f>
        <v>0.97441999999999995</v>
      </c>
      <c r="G264" s="930"/>
      <c r="H264" s="547" t="s">
        <v>603</v>
      </c>
      <c r="I264" s="1046"/>
      <c r="J264" s="802" t="s">
        <v>1137</v>
      </c>
      <c r="K264" s="986"/>
      <c r="L264" s="567">
        <f>291.62/F264</f>
        <v>299.27546643131302</v>
      </c>
      <c r="M264" s="560">
        <f>7.29/F264</f>
        <v>7.4813735350259645</v>
      </c>
      <c r="N264" s="568">
        <v>0</v>
      </c>
      <c r="O264" s="560">
        <v>0</v>
      </c>
      <c r="P264" s="569">
        <v>0</v>
      </c>
      <c r="Q264" s="560">
        <v>0</v>
      </c>
      <c r="R264" s="570" t="e">
        <f>Tabel6689212733[[#This Row],[landcode 3]]+Tabel6689212733[[#This Row],[VAT Sew. 2017]]+Tabel6689212733[[#This Row],[VAT WW 2017]]+Tabel6689212733[[#This Row],[VAT Other ch. 2017]]</f>
        <v>#VALUE!</v>
      </c>
      <c r="S264" s="571">
        <f>Tabel6689212733[[#This Row],[GDP 2017]]+Tabel6689212733[[#This Row],[Sew. 2017]]+Tabel6689212733[[#This Row],[VAT Sew. 2017]]+Tabel6689212733[[#This Row],[WW 2017]]+Tabel6689212733[[#This Row],[VAT WW 2017]]+Tabel6689212733[[#This Row],[Other ch. 2017]]+Tabel6689212733[[#This Row],[VAT Other ch. 2017]]</f>
        <v>306.75683996633899</v>
      </c>
      <c r="T264" s="397"/>
      <c r="U264" s="1969"/>
      <c r="V264" s="1972"/>
      <c r="W264" s="2176"/>
      <c r="X264" s="2103"/>
      <c r="Y264" s="1775"/>
      <c r="Z264" s="1981"/>
      <c r="AA264" s="1772"/>
      <c r="AB264" s="2170"/>
      <c r="AC264" s="1772"/>
      <c r="AD264" s="1958"/>
      <c r="AE264" s="1772"/>
      <c r="AF264" s="1961"/>
      <c r="AG264" s="2172"/>
      <c r="AH264" s="397"/>
      <c r="AI264" s="398"/>
      <c r="AJ264" s="591" t="s">
        <v>429</v>
      </c>
      <c r="AK264" s="614"/>
      <c r="AL264" s="614"/>
      <c r="AM264" s="591" t="s">
        <v>429</v>
      </c>
      <c r="AN264" s="398"/>
      <c r="AO264" s="398"/>
      <c r="AP264" s="397"/>
    </row>
    <row r="265" spans="1:42" ht="15.6" hidden="1" customHeight="1" x14ac:dyDescent="0.25">
      <c r="A265" s="1819"/>
      <c r="B265" s="547" t="s">
        <v>162</v>
      </c>
      <c r="C265" s="1046"/>
      <c r="D265" s="802" t="s">
        <v>1137</v>
      </c>
      <c r="E265" s="1967"/>
      <c r="F265" s="617">
        <f>'exchange rates'!$O$60</f>
        <v>0.97441999999999995</v>
      </c>
      <c r="G265" s="930"/>
      <c r="H265" s="547" t="s">
        <v>162</v>
      </c>
      <c r="I265" s="1046"/>
      <c r="J265" s="802" t="s">
        <v>1137</v>
      </c>
      <c r="K265" s="986"/>
      <c r="L265" s="567">
        <f>120/F265</f>
        <v>123.15018164651794</v>
      </c>
      <c r="M265" s="560">
        <f>3/F265</f>
        <v>3.0787545411629482</v>
      </c>
      <c r="N265" s="568">
        <v>0</v>
      </c>
      <c r="O265" s="560">
        <v>0</v>
      </c>
      <c r="P265" s="569">
        <v>0</v>
      </c>
      <c r="Q265" s="560">
        <v>0</v>
      </c>
      <c r="R265" s="570" t="e">
        <f>Tabel6689212733[[#This Row],[landcode 3]]+Tabel6689212733[[#This Row],[VAT Sew. 2017]]+Tabel6689212733[[#This Row],[VAT WW 2017]]+Tabel6689212733[[#This Row],[VAT Other ch. 2017]]</f>
        <v>#VALUE!</v>
      </c>
      <c r="S265" s="571">
        <f>Tabel6689212733[[#This Row],[GDP 2017]]+Tabel6689212733[[#This Row],[Sew. 2017]]+Tabel6689212733[[#This Row],[VAT Sew. 2017]]+Tabel6689212733[[#This Row],[WW 2017]]+Tabel6689212733[[#This Row],[VAT WW 2017]]+Tabel6689212733[[#This Row],[Other ch. 2017]]+Tabel6689212733[[#This Row],[VAT Other ch. 2017]]</f>
        <v>126.22893618768089</v>
      </c>
      <c r="T265" s="397"/>
      <c r="U265" s="1969"/>
      <c r="V265" s="1972"/>
      <c r="W265" s="2176"/>
      <c r="X265" s="2103"/>
      <c r="Y265" s="1775"/>
      <c r="Z265" s="1981"/>
      <c r="AA265" s="1772"/>
      <c r="AB265" s="2170"/>
      <c r="AC265" s="1772"/>
      <c r="AD265" s="1958"/>
      <c r="AE265" s="1772"/>
      <c r="AF265" s="1961"/>
      <c r="AG265" s="2172"/>
      <c r="AH265" s="397"/>
      <c r="AI265" s="398"/>
      <c r="AJ265" s="591" t="s">
        <v>429</v>
      </c>
      <c r="AK265" s="614"/>
      <c r="AL265" s="614"/>
      <c r="AM265" s="591" t="s">
        <v>429</v>
      </c>
      <c r="AN265" s="398"/>
      <c r="AO265" s="398"/>
      <c r="AP265" s="397"/>
    </row>
    <row r="266" spans="1:42" ht="15.6" hidden="1" customHeight="1" x14ac:dyDescent="0.25">
      <c r="A266" s="1819"/>
      <c r="B266" s="547" t="s">
        <v>161</v>
      </c>
      <c r="C266" s="1046"/>
      <c r="D266" s="802" t="s">
        <v>1137</v>
      </c>
      <c r="E266" s="1967"/>
      <c r="F266" s="617">
        <f>'exchange rates'!$O$60</f>
        <v>0.97441999999999995</v>
      </c>
      <c r="G266" s="930"/>
      <c r="H266" s="547" t="s">
        <v>161</v>
      </c>
      <c r="I266" s="1046"/>
      <c r="J266" s="802" t="s">
        <v>1137</v>
      </c>
      <c r="K266" s="986"/>
      <c r="L266" s="567">
        <f>240/F266</f>
        <v>246.30036329303587</v>
      </c>
      <c r="M266" s="560">
        <f>6/F266</f>
        <v>6.1575090823258964</v>
      </c>
      <c r="N266" s="568">
        <v>0</v>
      </c>
      <c r="O266" s="560">
        <v>0</v>
      </c>
      <c r="P266" s="569">
        <v>0</v>
      </c>
      <c r="Q266" s="560">
        <v>0</v>
      </c>
      <c r="R266" s="570" t="e">
        <f>Tabel6689212733[[#This Row],[landcode 3]]+Tabel6689212733[[#This Row],[VAT Sew. 2017]]+Tabel6689212733[[#This Row],[VAT WW 2017]]+Tabel6689212733[[#This Row],[VAT Other ch. 2017]]</f>
        <v>#VALUE!</v>
      </c>
      <c r="S266" s="571">
        <f>Tabel6689212733[[#This Row],[GDP 2017]]+Tabel6689212733[[#This Row],[Sew. 2017]]+Tabel6689212733[[#This Row],[VAT Sew. 2017]]+Tabel6689212733[[#This Row],[WW 2017]]+Tabel6689212733[[#This Row],[VAT WW 2017]]+Tabel6689212733[[#This Row],[Other ch. 2017]]+Tabel6689212733[[#This Row],[VAT Other ch. 2017]]</f>
        <v>252.45787237536177</v>
      </c>
      <c r="T266" s="397"/>
      <c r="U266" s="1969"/>
      <c r="V266" s="1972"/>
      <c r="W266" s="2176"/>
      <c r="X266" s="2103"/>
      <c r="Y266" s="1775"/>
      <c r="Z266" s="1981"/>
      <c r="AA266" s="1772"/>
      <c r="AB266" s="2170"/>
      <c r="AC266" s="1772"/>
      <c r="AD266" s="1958"/>
      <c r="AE266" s="1772"/>
      <c r="AF266" s="1961"/>
      <c r="AG266" s="2172"/>
      <c r="AH266" s="397"/>
      <c r="AI266" s="398"/>
      <c r="AJ266" s="591" t="s">
        <v>429</v>
      </c>
      <c r="AK266" s="614"/>
      <c r="AL266" s="614"/>
      <c r="AM266" s="591" t="s">
        <v>429</v>
      </c>
      <c r="AN266" s="398"/>
      <c r="AO266" s="398"/>
      <c r="AP266" s="397"/>
    </row>
    <row r="267" spans="1:42" ht="16.149999999999999" hidden="1" customHeight="1" thickBot="1" x14ac:dyDescent="0.3">
      <c r="A267" s="1820"/>
      <c r="B267" s="613" t="s">
        <v>163</v>
      </c>
      <c r="C267" s="1046" t="s">
        <v>429</v>
      </c>
      <c r="D267" s="802" t="s">
        <v>1137</v>
      </c>
      <c r="E267" s="1799"/>
      <c r="F267" s="617">
        <f>'exchange rates'!$O$60</f>
        <v>0.97441999999999995</v>
      </c>
      <c r="G267" s="931"/>
      <c r="H267" s="613" t="s">
        <v>163</v>
      </c>
      <c r="I267" s="1046" t="s">
        <v>429</v>
      </c>
      <c r="J267" s="802" t="s">
        <v>1137</v>
      </c>
      <c r="K267" s="987"/>
      <c r="L267" s="567">
        <f>255.83/F267</f>
        <v>262.54592475523901</v>
      </c>
      <c r="M267" s="560">
        <f>6.4/F267</f>
        <v>6.56800968781429</v>
      </c>
      <c r="N267" s="568">
        <v>0</v>
      </c>
      <c r="O267" s="560">
        <v>0</v>
      </c>
      <c r="P267" s="569">
        <v>0</v>
      </c>
      <c r="Q267" s="560">
        <v>0</v>
      </c>
      <c r="R267" s="570" t="e">
        <f>Tabel6689212733[[#This Row],[landcode 3]]+Tabel6689212733[[#This Row],[VAT Sew. 2017]]+Tabel6689212733[[#This Row],[VAT WW 2017]]+Tabel6689212733[[#This Row],[VAT Other ch. 2017]]</f>
        <v>#VALUE!</v>
      </c>
      <c r="S267" s="571">
        <f>Tabel6689212733[[#This Row],[GDP 2017]]+Tabel6689212733[[#This Row],[Sew. 2017]]+Tabel6689212733[[#This Row],[VAT Sew. 2017]]+Tabel6689212733[[#This Row],[WW 2017]]+Tabel6689212733[[#This Row],[VAT WW 2017]]+Tabel6689212733[[#This Row],[Other ch. 2017]]+Tabel6689212733[[#This Row],[VAT Other ch. 2017]]</f>
        <v>269.11393444305332</v>
      </c>
      <c r="T267" s="397"/>
      <c r="U267" s="1801"/>
      <c r="V267" s="1803"/>
      <c r="W267" s="2177"/>
      <c r="X267" s="2104"/>
      <c r="Y267" s="1807"/>
      <c r="Z267" s="1809"/>
      <c r="AA267" s="1773"/>
      <c r="AB267" s="1865"/>
      <c r="AC267" s="1773"/>
      <c r="AD267" s="1786"/>
      <c r="AE267" s="1773"/>
      <c r="AF267" s="1789"/>
      <c r="AG267" s="2173"/>
      <c r="AH267" s="397"/>
      <c r="AI267" s="398"/>
      <c r="AJ267" s="591" t="s">
        <v>429</v>
      </c>
      <c r="AK267" s="614"/>
      <c r="AL267" s="614"/>
      <c r="AM267" s="591" t="s">
        <v>429</v>
      </c>
      <c r="AN267" s="398"/>
      <c r="AO267" s="398"/>
      <c r="AP267" s="397"/>
    </row>
    <row r="268" spans="1:42" ht="18.600000000000001" hidden="1" customHeight="1" thickBot="1" x14ac:dyDescent="0.3">
      <c r="A268" s="962" t="s">
        <v>706</v>
      </c>
      <c r="B268" s="455" t="s">
        <v>708</v>
      </c>
      <c r="C268" s="1048"/>
      <c r="D268" s="811" t="s">
        <v>1139</v>
      </c>
      <c r="E268" s="589">
        <v>3000</v>
      </c>
      <c r="F268" s="307">
        <f>'exchange rates'!M61</f>
        <v>2171.8366799999999</v>
      </c>
      <c r="G268" s="962" t="s">
        <v>706</v>
      </c>
      <c r="H268" s="455" t="s">
        <v>708</v>
      </c>
      <c r="I268" s="1048"/>
      <c r="J268" s="811" t="s">
        <v>1139</v>
      </c>
      <c r="K268" s="589">
        <v>3000</v>
      </c>
      <c r="L268" s="322"/>
      <c r="M268" s="559"/>
      <c r="N268" s="323"/>
      <c r="O268" s="559"/>
      <c r="P268" s="324"/>
      <c r="Q268" s="559"/>
      <c r="R268" s="317" t="e">
        <f>Tabel6689212733[[#This Row],[landcode 3]]+Tabel6689212733[[#This Row],[VAT Sew. 2017]]+Tabel6689212733[[#This Row],[VAT WW 2017]]+Tabel6689212733[[#This Row],[VAT Other ch. 2017]]</f>
        <v>#VALUE!</v>
      </c>
      <c r="S268" s="318">
        <f>Tabel6689212733[[#This Row],[GDP 2017]]+Tabel6689212733[[#This Row],[Sew. 2017]]+Tabel6689212733[[#This Row],[VAT Sew. 2017]]+Tabel6689212733[[#This Row],[WW 2017]]+Tabel6689212733[[#This Row],[VAT WW 2017]]+Tabel6689212733[[#This Row],[Other ch. 2017]]+Tabel6689212733[[#This Row],[VAT Other ch. 2017]]</f>
        <v>3000</v>
      </c>
      <c r="T268" s="397"/>
      <c r="U268" s="340"/>
      <c r="V268" s="341"/>
      <c r="W268" s="401"/>
      <c r="X268" s="580"/>
      <c r="Y268" s="343"/>
      <c r="Z268" s="344"/>
      <c r="AA268" s="581"/>
      <c r="AB268" s="514"/>
      <c r="AC268" s="592"/>
      <c r="AD268" s="346"/>
      <c r="AE268" s="581"/>
      <c r="AF268" s="347"/>
      <c r="AG268" s="515"/>
      <c r="AH268" s="397"/>
      <c r="AI268" s="398"/>
      <c r="AJ268" s="396"/>
      <c r="AK268" s="398"/>
      <c r="AL268" s="398"/>
      <c r="AM268" s="396"/>
      <c r="AN268" s="398"/>
      <c r="AO268" s="398"/>
      <c r="AP268" s="397"/>
    </row>
    <row r="269" spans="1:42" ht="18.600000000000001" hidden="1" customHeight="1" thickBot="1" x14ac:dyDescent="0.3">
      <c r="A269" s="962" t="s">
        <v>737</v>
      </c>
      <c r="B269" s="292" t="s">
        <v>738</v>
      </c>
      <c r="C269" s="1047"/>
      <c r="D269" s="811" t="s">
        <v>1141</v>
      </c>
      <c r="E269" s="589">
        <v>16100</v>
      </c>
      <c r="F269" s="307">
        <f>'exchange rates'!M62</f>
        <v>36.151380000000003</v>
      </c>
      <c r="G269" s="962" t="s">
        <v>737</v>
      </c>
      <c r="H269" s="292" t="s">
        <v>738</v>
      </c>
      <c r="I269" s="1047"/>
      <c r="J269" s="811" t="s">
        <v>1141</v>
      </c>
      <c r="K269" s="589">
        <v>16100</v>
      </c>
      <c r="L269" s="322"/>
      <c r="M269" s="559"/>
      <c r="N269" s="323">
        <f>(3.358*200)/F269</f>
        <v>18.577437431157538</v>
      </c>
      <c r="O269" s="559"/>
      <c r="P269" s="324"/>
      <c r="Q269" s="559"/>
      <c r="R269" s="317" t="e">
        <f>Tabel6689212733[[#This Row],[landcode 3]]+Tabel6689212733[[#This Row],[VAT Sew. 2017]]+Tabel6689212733[[#This Row],[VAT WW 2017]]+Tabel6689212733[[#This Row],[VAT Other ch. 2017]]</f>
        <v>#VALUE!</v>
      </c>
      <c r="S269" s="318">
        <f>Tabel6689212733[[#This Row],[GDP 2017]]+Tabel6689212733[[#This Row],[Sew. 2017]]+Tabel6689212733[[#This Row],[VAT Sew. 2017]]+Tabel6689212733[[#This Row],[WW 2017]]+Tabel6689212733[[#This Row],[VAT WW 2017]]+Tabel6689212733[[#This Row],[Other ch. 2017]]+Tabel6689212733[[#This Row],[VAT Other ch. 2017]]</f>
        <v>16118.577437431157</v>
      </c>
      <c r="T269" s="397"/>
      <c r="U269" s="340"/>
      <c r="V269" s="341"/>
      <c r="W269" s="401"/>
      <c r="X269" s="580"/>
      <c r="Y269" s="343">
        <f>Tabel6689212733[[#This Row],[GDP 2017]]</f>
        <v>16100</v>
      </c>
      <c r="Z269" s="344"/>
      <c r="AA269" s="581"/>
      <c r="AB269" s="345">
        <f>Tabel6689212733[[#This Row],[WW 2017]]</f>
        <v>18.577437431157538</v>
      </c>
      <c r="AC269" s="581"/>
      <c r="AD269" s="346"/>
      <c r="AE269" s="581"/>
      <c r="AF269" s="347"/>
      <c r="AG269" s="516">
        <f>SUM(Y269:AF269)</f>
        <v>16118.577437431157</v>
      </c>
      <c r="AH269" s="397"/>
      <c r="AI269" s="398"/>
      <c r="AJ269" s="396"/>
      <c r="AK269" s="396" t="s">
        <v>429</v>
      </c>
      <c r="AL269" s="398"/>
      <c r="AM269" s="396" t="s">
        <v>429</v>
      </c>
      <c r="AN269" s="398"/>
      <c r="AO269" s="398"/>
      <c r="AP269" s="397"/>
    </row>
    <row r="270" spans="1:42" ht="16.149999999999999" hidden="1" customHeight="1" thickBot="1" x14ac:dyDescent="0.3">
      <c r="A270" s="267" t="s">
        <v>29</v>
      </c>
      <c r="B270" s="455" t="s">
        <v>164</v>
      </c>
      <c r="C270" s="1048"/>
      <c r="D270" s="811" t="s">
        <v>1143</v>
      </c>
      <c r="E270" s="304"/>
      <c r="F270" s="307"/>
      <c r="G270" s="267" t="s">
        <v>29</v>
      </c>
      <c r="H270" s="455" t="s">
        <v>164</v>
      </c>
      <c r="I270" s="1048"/>
      <c r="J270" s="811" t="s">
        <v>1143</v>
      </c>
      <c r="K270" s="304"/>
      <c r="L270" s="322"/>
      <c r="M270" s="559"/>
      <c r="N270" s="323"/>
      <c r="O270" s="559"/>
      <c r="P270" s="324"/>
      <c r="Q270" s="559"/>
      <c r="R270" s="317" t="e">
        <f>Tabel6689212733[[#This Row],[landcode 3]]+Tabel6689212733[[#This Row],[VAT Sew. 2017]]+Tabel6689212733[[#This Row],[VAT WW 2017]]+Tabel6689212733[[#This Row],[VAT Other ch. 2017]]</f>
        <v>#VALUE!</v>
      </c>
      <c r="S270" s="318">
        <f>Tabel6689212733[[#This Row],[GDP 2017]]+Tabel6689212733[[#This Row],[Sew. 2017]]+Tabel6689212733[[#This Row],[VAT Sew. 2017]]+Tabel6689212733[[#This Row],[WW 2017]]+Tabel6689212733[[#This Row],[VAT WW 2017]]+Tabel6689212733[[#This Row],[Other ch. 2017]]+Tabel6689212733[[#This Row],[VAT Other ch. 2017]]</f>
        <v>0</v>
      </c>
      <c r="T270" s="397"/>
      <c r="U270" s="376"/>
      <c r="V270" s="377"/>
      <c r="W270" s="378"/>
      <c r="X270" s="588"/>
      <c r="Y270" s="379"/>
      <c r="Z270" s="380"/>
      <c r="AA270" s="588"/>
      <c r="AB270" s="381"/>
      <c r="AC270" s="588"/>
      <c r="AD270" s="382"/>
      <c r="AE270" s="588"/>
      <c r="AF270" s="383"/>
      <c r="AG270" s="384"/>
      <c r="AH270" s="397"/>
      <c r="AI270" s="398"/>
      <c r="AJ270" s="398"/>
      <c r="AK270" s="398"/>
      <c r="AL270" s="398"/>
      <c r="AM270" s="398"/>
      <c r="AN270" s="398"/>
      <c r="AO270" s="398"/>
      <c r="AP270" s="397"/>
    </row>
    <row r="271" spans="1:42" ht="15.6" hidden="1" customHeight="1" x14ac:dyDescent="0.25">
      <c r="A271" s="1878" t="s">
        <v>927</v>
      </c>
      <c r="B271" s="693" t="s">
        <v>928</v>
      </c>
      <c r="C271" s="693" t="s">
        <v>429</v>
      </c>
      <c r="D271" s="806" t="s">
        <v>1145</v>
      </c>
      <c r="E271" s="1759">
        <v>26500</v>
      </c>
      <c r="F271" s="617">
        <f>'exchange rates'!$O$64</f>
        <v>3.7947000000000002</v>
      </c>
      <c r="G271" s="951" t="s">
        <v>927</v>
      </c>
      <c r="H271" s="693" t="s">
        <v>928</v>
      </c>
      <c r="I271" s="693" t="s">
        <v>429</v>
      </c>
      <c r="J271" s="806" t="s">
        <v>1145</v>
      </c>
      <c r="K271" s="968">
        <v>26500</v>
      </c>
      <c r="L271" s="567">
        <v>0</v>
      </c>
      <c r="M271" s="560">
        <v>0</v>
      </c>
      <c r="N271" s="568">
        <f>221/F271</f>
        <v>58.239122987324421</v>
      </c>
      <c r="O271" s="560">
        <f>17.68/F271</f>
        <v>4.6591298389859537</v>
      </c>
      <c r="P271" s="569">
        <f>24/F271</f>
        <v>6.3246106411574035</v>
      </c>
      <c r="Q271" s="560">
        <v>0</v>
      </c>
      <c r="R271" s="570" t="e">
        <f>Tabel6689212733[[#This Row],[landcode 3]]+Tabel6689212733[[#This Row],[VAT Sew. 2017]]+Tabel6689212733[[#This Row],[VAT WW 2017]]+Tabel6689212733[[#This Row],[VAT Other ch. 2017]]</f>
        <v>#VALUE!</v>
      </c>
      <c r="S271" s="571">
        <f>Tabel6689212733[[#This Row],[GDP 2017]]+Tabel6689212733[[#This Row],[Sew. 2017]]+Tabel6689212733[[#This Row],[VAT Sew. 2017]]+Tabel6689212733[[#This Row],[WW 2017]]+Tabel6689212733[[#This Row],[VAT WW 2017]]+Tabel6689212733[[#This Row],[Other ch. 2017]]+Tabel6689212733[[#This Row],[VAT Other ch. 2017]]</f>
        <v>26569.222863467468</v>
      </c>
      <c r="T271" s="397"/>
      <c r="U271" s="1762" t="e">
        <f xml:space="preserve"> MEDIAN(G271:G273)</f>
        <v>#NUM!</v>
      </c>
      <c r="V271" s="1765" t="e">
        <f xml:space="preserve"> MEDIAN(H271:H273)</f>
        <v>#NUM!</v>
      </c>
      <c r="W271" s="1768" t="e">
        <f xml:space="preserve"> MEDIAN(I271:I273)</f>
        <v>#NUM!</v>
      </c>
      <c r="X271" s="1771" t="e">
        <f xml:space="preserve"> MEDIAN(J271:J273)</f>
        <v>#NUM!</v>
      </c>
      <c r="Y271" s="1774" t="e">
        <f>SUM(U271:X273)</f>
        <v>#NUM!</v>
      </c>
      <c r="Z271" s="1777">
        <f t="shared" ref="Z271:AF271" si="40" xml:space="preserve"> MEDIAN(L271:L273)</f>
        <v>0</v>
      </c>
      <c r="AA271" s="1771">
        <f t="shared" si="40"/>
        <v>0</v>
      </c>
      <c r="AB271" s="1810">
        <f t="shared" si="40"/>
        <v>49.279257912351433</v>
      </c>
      <c r="AC271" s="1771">
        <f t="shared" si="40"/>
        <v>3.942340632988115</v>
      </c>
      <c r="AD271" s="1812">
        <f t="shared" si="40"/>
        <v>6.3246106411574035</v>
      </c>
      <c r="AE271" s="1771">
        <f t="shared" si="40"/>
        <v>0</v>
      </c>
      <c r="AF271" s="1814" t="e">
        <f t="shared" si="40"/>
        <v>#VALUE!</v>
      </c>
      <c r="AG271" s="1793" t="e">
        <f>Y271+Z271+AA271+AB271+AC271+AD271+AE271</f>
        <v>#NUM!</v>
      </c>
      <c r="AH271" s="397"/>
      <c r="AI271" s="398"/>
      <c r="AJ271" s="398"/>
      <c r="AK271" s="398"/>
      <c r="AL271" s="398"/>
      <c r="AM271" s="398"/>
      <c r="AN271" s="398"/>
      <c r="AO271" s="398"/>
      <c r="AP271" s="397"/>
    </row>
    <row r="272" spans="1:42" ht="15.6" hidden="1" customHeight="1" x14ac:dyDescent="0.25">
      <c r="A272" s="1757"/>
      <c r="B272" s="639" t="s">
        <v>929</v>
      </c>
      <c r="C272" s="639"/>
      <c r="D272" s="724" t="s">
        <v>1145</v>
      </c>
      <c r="E272" s="1760"/>
      <c r="F272" s="617">
        <f>'exchange rates'!$O$64</f>
        <v>3.7947000000000002</v>
      </c>
      <c r="G272" s="952"/>
      <c r="H272" s="639" t="s">
        <v>929</v>
      </c>
      <c r="I272" s="639"/>
      <c r="J272" s="724" t="s">
        <v>1145</v>
      </c>
      <c r="K272" s="969"/>
      <c r="L272" s="567">
        <v>0</v>
      </c>
      <c r="M272" s="560">
        <v>0</v>
      </c>
      <c r="N272" s="568">
        <f>156/F272</f>
        <v>41.109969167523126</v>
      </c>
      <c r="O272" s="560">
        <f>12.48/F272</f>
        <v>3.28879753340185</v>
      </c>
      <c r="P272" s="569">
        <f t="shared" ref="P272:P273" si="41">24/F272</f>
        <v>6.3246106411574035</v>
      </c>
      <c r="Q272" s="560">
        <v>0</v>
      </c>
      <c r="R272" s="570" t="e">
        <f>Tabel6689212733[[#This Row],[landcode 3]]+Tabel6689212733[[#This Row],[VAT Sew. 2017]]+Tabel6689212733[[#This Row],[VAT WW 2017]]+Tabel6689212733[[#This Row],[VAT Other ch. 2017]]</f>
        <v>#VALUE!</v>
      </c>
      <c r="S272" s="571">
        <f>Tabel6689212733[[#This Row],[GDP 2017]]+Tabel6689212733[[#This Row],[Sew. 2017]]+Tabel6689212733[[#This Row],[VAT Sew. 2017]]+Tabel6689212733[[#This Row],[WW 2017]]+Tabel6689212733[[#This Row],[VAT WW 2017]]+Tabel6689212733[[#This Row],[Other ch. 2017]]+Tabel6689212733[[#This Row],[VAT Other ch. 2017]]</f>
        <v>50.723377342082379</v>
      </c>
      <c r="T272" s="397"/>
      <c r="U272" s="1763"/>
      <c r="V272" s="1766"/>
      <c r="W272" s="1769"/>
      <c r="X272" s="1772"/>
      <c r="Y272" s="1775"/>
      <c r="Z272" s="1778"/>
      <c r="AA272" s="1772"/>
      <c r="AB272" s="1781"/>
      <c r="AC272" s="1772"/>
      <c r="AD272" s="1785"/>
      <c r="AE272" s="1772"/>
      <c r="AF272" s="1788"/>
      <c r="AG272" s="1791"/>
      <c r="AH272" s="397"/>
      <c r="AI272" s="398"/>
      <c r="AJ272" s="398"/>
      <c r="AK272" s="398"/>
      <c r="AL272" s="591" t="s">
        <v>429</v>
      </c>
      <c r="AM272" s="591" t="s">
        <v>429</v>
      </c>
      <c r="AN272" s="398"/>
      <c r="AO272" s="398"/>
      <c r="AP272" s="397"/>
    </row>
    <row r="273" spans="1:42" ht="16.149999999999999" hidden="1" customHeight="1" thickBot="1" x14ac:dyDescent="0.3">
      <c r="A273" s="1758"/>
      <c r="B273" s="652" t="s">
        <v>930</v>
      </c>
      <c r="C273" s="652"/>
      <c r="D273" s="807" t="s">
        <v>1145</v>
      </c>
      <c r="E273" s="1761"/>
      <c r="F273" s="617">
        <f>'exchange rates'!$O$64</f>
        <v>3.7947000000000002</v>
      </c>
      <c r="G273" s="953"/>
      <c r="H273" s="652" t="s">
        <v>930</v>
      </c>
      <c r="I273" s="652"/>
      <c r="J273" s="807" t="s">
        <v>1145</v>
      </c>
      <c r="K273" s="970"/>
      <c r="L273" s="567">
        <v>0</v>
      </c>
      <c r="M273" s="560">
        <v>0</v>
      </c>
      <c r="N273" s="568">
        <f>187/F273</f>
        <v>49.279257912351433</v>
      </c>
      <c r="O273" s="560">
        <f>14.96/F273</f>
        <v>3.942340632988115</v>
      </c>
      <c r="P273" s="569">
        <f t="shared" si="41"/>
        <v>6.3246106411574035</v>
      </c>
      <c r="Q273" s="560">
        <v>0</v>
      </c>
      <c r="R273" s="570" t="e">
        <f>Tabel6689212733[[#This Row],[landcode 3]]+Tabel6689212733[[#This Row],[VAT Sew. 2017]]+Tabel6689212733[[#This Row],[VAT WW 2017]]+Tabel6689212733[[#This Row],[VAT Other ch. 2017]]</f>
        <v>#VALUE!</v>
      </c>
      <c r="S273" s="571">
        <f>Tabel6689212733[[#This Row],[GDP 2017]]+Tabel6689212733[[#This Row],[Sew. 2017]]+Tabel6689212733[[#This Row],[VAT Sew. 2017]]+Tabel6689212733[[#This Row],[WW 2017]]+Tabel6689212733[[#This Row],[VAT WW 2017]]+Tabel6689212733[[#This Row],[Other ch. 2017]]+Tabel6689212733[[#This Row],[VAT Other ch. 2017]]</f>
        <v>59.546209186496952</v>
      </c>
      <c r="T273" s="397"/>
      <c r="U273" s="1764"/>
      <c r="V273" s="1767"/>
      <c r="W273" s="1770"/>
      <c r="X273" s="1773"/>
      <c r="Y273" s="1776"/>
      <c r="Z273" s="1779"/>
      <c r="AA273" s="1773"/>
      <c r="AB273" s="1811"/>
      <c r="AC273" s="1773"/>
      <c r="AD273" s="1813"/>
      <c r="AE273" s="1773"/>
      <c r="AF273" s="1815"/>
      <c r="AG273" s="1794"/>
      <c r="AH273" s="397"/>
      <c r="AI273" s="398"/>
      <c r="AJ273" s="398"/>
      <c r="AK273" s="398"/>
      <c r="AL273" s="398"/>
      <c r="AM273" s="398"/>
      <c r="AN273" s="398"/>
      <c r="AO273" s="398"/>
      <c r="AP273" s="397"/>
    </row>
    <row r="274" spans="1:42" ht="18" hidden="1" customHeight="1" x14ac:dyDescent="0.25">
      <c r="A274" s="1878" t="s">
        <v>505</v>
      </c>
      <c r="B274" s="690" t="s">
        <v>746</v>
      </c>
      <c r="C274" s="693" t="s">
        <v>429</v>
      </c>
      <c r="D274" s="806" t="s">
        <v>1147</v>
      </c>
      <c r="E274" s="2185">
        <v>2400</v>
      </c>
      <c r="F274" s="617">
        <f>'exchange rates'!$O$65</f>
        <v>3628.4174400000002</v>
      </c>
      <c r="G274" s="951" t="s">
        <v>505</v>
      </c>
      <c r="H274" s="690" t="s">
        <v>746</v>
      </c>
      <c r="I274" s="693" t="s">
        <v>429</v>
      </c>
      <c r="J274" s="806" t="s">
        <v>1147</v>
      </c>
      <c r="K274" s="1001">
        <v>2400</v>
      </c>
      <c r="L274" s="567">
        <f>239925/F274</f>
        <v>66.12386914334752</v>
      </c>
      <c r="M274" s="560">
        <f>43187/F274</f>
        <v>11.90243424692612</v>
      </c>
      <c r="N274" s="568">
        <v>0</v>
      </c>
      <c r="O274" s="560">
        <v>0</v>
      </c>
      <c r="P274" s="569">
        <v>0</v>
      </c>
      <c r="Q274" s="560">
        <v>0</v>
      </c>
      <c r="R274" s="570" t="e">
        <f>Tabel6689212733[[#This Row],[landcode 3]]+Tabel6689212733[[#This Row],[VAT Sew. 2017]]+Tabel6689212733[[#This Row],[VAT WW 2017]]+Tabel6689212733[[#This Row],[VAT Other ch. 2017]]</f>
        <v>#VALUE!</v>
      </c>
      <c r="S274" s="571">
        <f>Tabel6689212733[[#This Row],[GDP 2017]]+Tabel6689212733[[#This Row],[Sew. 2017]]+Tabel6689212733[[#This Row],[VAT Sew. 2017]]+Tabel6689212733[[#This Row],[WW 2017]]+Tabel6689212733[[#This Row],[VAT WW 2017]]+Tabel6689212733[[#This Row],[Other ch. 2017]]+Tabel6689212733[[#This Row],[VAT Other ch. 2017]]</f>
        <v>2478.0263033902734</v>
      </c>
      <c r="T274" s="397"/>
      <c r="U274" s="1984" t="e">
        <f>MEDIAN(G274:G277)</f>
        <v>#NUM!</v>
      </c>
      <c r="V274" s="1985" t="e">
        <f>MEDIAN(H274:H277)</f>
        <v>#NUM!</v>
      </c>
      <c r="W274" s="1986" t="e">
        <f>MEDIAN(I274:I277)</f>
        <v>#NUM!</v>
      </c>
      <c r="X274" s="1908" t="e">
        <f>MEDIAN(J274:J277)</f>
        <v>#NUM!</v>
      </c>
      <c r="Y274" s="1987" t="e">
        <f>SUM(U274:X277)</f>
        <v>#NUM!</v>
      </c>
      <c r="Z274" s="2031">
        <f t="shared" ref="Z274:AF274" si="42">MEDIAN(L274:L277)</f>
        <v>66.12386914334752</v>
      </c>
      <c r="AA274" s="1908">
        <f t="shared" si="42"/>
        <v>11.90243424692612</v>
      </c>
      <c r="AB274" s="2032">
        <f t="shared" si="42"/>
        <v>0</v>
      </c>
      <c r="AC274" s="1908">
        <f t="shared" si="42"/>
        <v>0</v>
      </c>
      <c r="AD274" s="2028">
        <f t="shared" si="42"/>
        <v>0</v>
      </c>
      <c r="AE274" s="1908">
        <f t="shared" si="42"/>
        <v>0</v>
      </c>
      <c r="AF274" s="1988" t="e">
        <f t="shared" si="42"/>
        <v>#VALUE!</v>
      </c>
      <c r="AG274" s="2190" t="e">
        <f>Y274+Z274+AA274+AB274+AC274+AD274+AE274</f>
        <v>#NUM!</v>
      </c>
      <c r="AH274" s="397"/>
      <c r="AI274" s="398"/>
      <c r="AJ274" s="591" t="s">
        <v>429</v>
      </c>
      <c r="AK274" s="614"/>
      <c r="AL274" s="614"/>
      <c r="AM274" s="591" t="s">
        <v>429</v>
      </c>
      <c r="AN274" s="396"/>
      <c r="AO274" s="398"/>
      <c r="AP274" s="397"/>
    </row>
    <row r="275" spans="1:42" ht="15.6" hidden="1" customHeight="1" x14ac:dyDescent="0.25">
      <c r="A275" s="1757"/>
      <c r="B275" s="639" t="s">
        <v>747</v>
      </c>
      <c r="C275" s="639"/>
      <c r="D275" s="724" t="s">
        <v>1147</v>
      </c>
      <c r="E275" s="2186"/>
      <c r="F275" s="617">
        <f>'exchange rates'!$O$65</f>
        <v>3628.4174400000002</v>
      </c>
      <c r="G275" s="952"/>
      <c r="H275" s="639" t="s">
        <v>747</v>
      </c>
      <c r="I275" s="639"/>
      <c r="J275" s="724" t="s">
        <v>1147</v>
      </c>
      <c r="K275" s="1002"/>
      <c r="L275" s="567">
        <f t="shared" ref="L275:L277" si="43">239925/F275</f>
        <v>66.12386914334752</v>
      </c>
      <c r="M275" s="560">
        <f t="shared" ref="M275:M277" si="44">43187/F275</f>
        <v>11.90243424692612</v>
      </c>
      <c r="N275" s="568">
        <v>0</v>
      </c>
      <c r="O275" s="560">
        <v>0</v>
      </c>
      <c r="P275" s="569">
        <v>0</v>
      </c>
      <c r="Q275" s="560">
        <v>0</v>
      </c>
      <c r="R275" s="570" t="e">
        <f>Tabel6689212733[[#This Row],[landcode 3]]+Tabel6689212733[[#This Row],[VAT Sew. 2017]]+Tabel6689212733[[#This Row],[VAT WW 2017]]+Tabel6689212733[[#This Row],[VAT Other ch. 2017]]</f>
        <v>#VALUE!</v>
      </c>
      <c r="S275" s="571">
        <f>Tabel6689212733[[#This Row],[GDP 2017]]+Tabel6689212733[[#This Row],[Sew. 2017]]+Tabel6689212733[[#This Row],[VAT Sew. 2017]]+Tabel6689212733[[#This Row],[WW 2017]]+Tabel6689212733[[#This Row],[VAT WW 2017]]+Tabel6689212733[[#This Row],[Other ch. 2017]]+Tabel6689212733[[#This Row],[VAT Other ch. 2017]]</f>
        <v>78.02630339027364</v>
      </c>
      <c r="T275" s="397"/>
      <c r="U275" s="1763"/>
      <c r="V275" s="1766"/>
      <c r="W275" s="1769"/>
      <c r="X275" s="1772"/>
      <c r="Y275" s="1775"/>
      <c r="Z275" s="1778"/>
      <c r="AA275" s="1772"/>
      <c r="AB275" s="1781"/>
      <c r="AC275" s="1772"/>
      <c r="AD275" s="1785"/>
      <c r="AE275" s="1772"/>
      <c r="AF275" s="1788"/>
      <c r="AG275" s="1791"/>
      <c r="AH275" s="397"/>
      <c r="AI275" s="398"/>
      <c r="AJ275" s="591" t="s">
        <v>429</v>
      </c>
      <c r="AK275" s="614"/>
      <c r="AL275" s="614"/>
      <c r="AM275" s="591" t="s">
        <v>429</v>
      </c>
      <c r="AN275" s="396"/>
      <c r="AO275" s="398"/>
      <c r="AP275" s="397"/>
    </row>
    <row r="276" spans="1:42" ht="15.6" hidden="1" customHeight="1" x14ac:dyDescent="0.25">
      <c r="A276" s="1757"/>
      <c r="B276" s="639" t="s">
        <v>748</v>
      </c>
      <c r="C276" s="639"/>
      <c r="D276" s="724" t="s">
        <v>1147</v>
      </c>
      <c r="E276" s="2186"/>
      <c r="F276" s="617">
        <f>'exchange rates'!$O$65</f>
        <v>3628.4174400000002</v>
      </c>
      <c r="G276" s="952"/>
      <c r="H276" s="639" t="s">
        <v>748</v>
      </c>
      <c r="I276" s="639"/>
      <c r="J276" s="724" t="s">
        <v>1147</v>
      </c>
      <c r="K276" s="1002"/>
      <c r="L276" s="567">
        <f t="shared" si="43"/>
        <v>66.12386914334752</v>
      </c>
      <c r="M276" s="560">
        <f t="shared" si="44"/>
        <v>11.90243424692612</v>
      </c>
      <c r="N276" s="568">
        <v>0</v>
      </c>
      <c r="O276" s="560">
        <v>0</v>
      </c>
      <c r="P276" s="569">
        <v>0</v>
      </c>
      <c r="Q276" s="560">
        <v>0</v>
      </c>
      <c r="R276" s="570" t="e">
        <f>Tabel6689212733[[#This Row],[landcode 3]]+Tabel6689212733[[#This Row],[VAT Sew. 2017]]+Tabel6689212733[[#This Row],[VAT WW 2017]]+Tabel6689212733[[#This Row],[VAT Other ch. 2017]]</f>
        <v>#VALUE!</v>
      </c>
      <c r="S276" s="571">
        <f>Tabel6689212733[[#This Row],[GDP 2017]]+Tabel6689212733[[#This Row],[Sew. 2017]]+Tabel6689212733[[#This Row],[VAT Sew. 2017]]+Tabel6689212733[[#This Row],[WW 2017]]+Tabel6689212733[[#This Row],[VAT WW 2017]]+Tabel6689212733[[#This Row],[Other ch. 2017]]+Tabel6689212733[[#This Row],[VAT Other ch. 2017]]</f>
        <v>78.02630339027364</v>
      </c>
      <c r="T276" s="397"/>
      <c r="U276" s="1763"/>
      <c r="V276" s="1766"/>
      <c r="W276" s="1769"/>
      <c r="X276" s="1772"/>
      <c r="Y276" s="1775"/>
      <c r="Z276" s="1778"/>
      <c r="AA276" s="1772"/>
      <c r="AB276" s="1781"/>
      <c r="AC276" s="1772"/>
      <c r="AD276" s="1785"/>
      <c r="AE276" s="1772"/>
      <c r="AF276" s="1788"/>
      <c r="AG276" s="1791"/>
      <c r="AH276" s="397"/>
      <c r="AI276" s="398"/>
      <c r="AJ276" s="591" t="s">
        <v>429</v>
      </c>
      <c r="AK276" s="614"/>
      <c r="AL276" s="614"/>
      <c r="AM276" s="591" t="s">
        <v>429</v>
      </c>
      <c r="AN276" s="396"/>
      <c r="AO276" s="398"/>
      <c r="AP276" s="397"/>
    </row>
    <row r="277" spans="1:42" ht="16.149999999999999" hidden="1" customHeight="1" thickBot="1" x14ac:dyDescent="0.3">
      <c r="A277" s="1758"/>
      <c r="B277" s="652" t="s">
        <v>749</v>
      </c>
      <c r="C277" s="652"/>
      <c r="D277" s="807" t="s">
        <v>1147</v>
      </c>
      <c r="E277" s="2187"/>
      <c r="F277" s="617">
        <f>'exchange rates'!$O$65</f>
        <v>3628.4174400000002</v>
      </c>
      <c r="G277" s="953"/>
      <c r="H277" s="652" t="s">
        <v>749</v>
      </c>
      <c r="I277" s="652"/>
      <c r="J277" s="807" t="s">
        <v>1147</v>
      </c>
      <c r="K277" s="1003"/>
      <c r="L277" s="567">
        <f t="shared" si="43"/>
        <v>66.12386914334752</v>
      </c>
      <c r="M277" s="560">
        <f t="shared" si="44"/>
        <v>11.90243424692612</v>
      </c>
      <c r="N277" s="568">
        <v>0</v>
      </c>
      <c r="O277" s="560">
        <v>0</v>
      </c>
      <c r="P277" s="569">
        <v>0</v>
      </c>
      <c r="Q277" s="560">
        <v>0</v>
      </c>
      <c r="R277" s="570" t="e">
        <f>Tabel6689212733[[#This Row],[landcode 3]]+Tabel6689212733[[#This Row],[VAT Sew. 2017]]+Tabel6689212733[[#This Row],[VAT WW 2017]]+Tabel6689212733[[#This Row],[VAT Other ch. 2017]]</f>
        <v>#VALUE!</v>
      </c>
      <c r="S277" s="571">
        <f>Tabel6689212733[[#This Row],[GDP 2017]]+Tabel6689212733[[#This Row],[Sew. 2017]]+Tabel6689212733[[#This Row],[VAT Sew. 2017]]+Tabel6689212733[[#This Row],[WW 2017]]+Tabel6689212733[[#This Row],[VAT WW 2017]]+Tabel6689212733[[#This Row],[Other ch. 2017]]+Tabel6689212733[[#This Row],[VAT Other ch. 2017]]</f>
        <v>78.02630339027364</v>
      </c>
      <c r="T277" s="397"/>
      <c r="U277" s="1764"/>
      <c r="V277" s="1767"/>
      <c r="W277" s="1770"/>
      <c r="X277" s="1773"/>
      <c r="Y277" s="1776"/>
      <c r="Z277" s="1779"/>
      <c r="AA277" s="1773"/>
      <c r="AB277" s="1811"/>
      <c r="AC277" s="1773"/>
      <c r="AD277" s="1813"/>
      <c r="AE277" s="1773"/>
      <c r="AF277" s="1815"/>
      <c r="AG277" s="1794"/>
      <c r="AH277" s="397"/>
      <c r="AI277" s="398"/>
      <c r="AJ277" s="591" t="s">
        <v>429</v>
      </c>
      <c r="AK277" s="614"/>
      <c r="AL277" s="614"/>
      <c r="AM277" s="591" t="s">
        <v>429</v>
      </c>
      <c r="AN277" s="396"/>
      <c r="AO277" s="398"/>
      <c r="AP277" s="397"/>
    </row>
    <row r="278" spans="1:42" ht="15.75" hidden="1" customHeight="1" x14ac:dyDescent="0.25">
      <c r="A278" s="1818" t="s">
        <v>456</v>
      </c>
      <c r="B278" s="663" t="s">
        <v>165</v>
      </c>
      <c r="C278" s="1046"/>
      <c r="D278" s="802" t="s">
        <v>1149</v>
      </c>
      <c r="E278" s="2196">
        <v>43600</v>
      </c>
      <c r="F278" s="617">
        <f>'exchange rates'!$O$66</f>
        <v>0.73992000000000002</v>
      </c>
      <c r="G278" s="929" t="s">
        <v>456</v>
      </c>
      <c r="H278" s="663" t="s">
        <v>165</v>
      </c>
      <c r="I278" s="1046"/>
      <c r="J278" s="802" t="s">
        <v>1149</v>
      </c>
      <c r="K278" s="1000">
        <v>43600</v>
      </c>
      <c r="L278" s="567">
        <v>0</v>
      </c>
      <c r="M278" s="560">
        <v>0</v>
      </c>
      <c r="N278" s="568">
        <f>170.61/F278</f>
        <v>230.57898151151477</v>
      </c>
      <c r="O278" s="560">
        <v>0</v>
      </c>
      <c r="P278" s="569">
        <v>0</v>
      </c>
      <c r="Q278" s="560">
        <v>0</v>
      </c>
      <c r="R278" s="570" t="e">
        <f>Tabel6689212733[[#This Row],[landcode 3]]+Tabel6689212733[[#This Row],[VAT Sew. 2017]]+Tabel6689212733[[#This Row],[VAT WW 2017]]+Tabel6689212733[[#This Row],[VAT Other ch. 2017]]</f>
        <v>#VALUE!</v>
      </c>
      <c r="S278" s="571">
        <f>Tabel6689212733[[#This Row],[GDP 2017]]+Tabel6689212733[[#This Row],[Sew. 2017]]+Tabel6689212733[[#This Row],[VAT Sew. 2017]]+Tabel6689212733[[#This Row],[WW 2017]]+Tabel6689212733[[#This Row],[VAT WW 2017]]+Tabel6689212733[[#This Row],[Other ch. 2017]]+Tabel6689212733[[#This Row],[VAT Other ch. 2017]]</f>
        <v>43830.578981511513</v>
      </c>
      <c r="T278" s="397"/>
      <c r="U278" s="2197" t="e">
        <f>MEDIAN(G278:G282)</f>
        <v>#NUM!</v>
      </c>
      <c r="V278" s="2198" t="e">
        <f>MEDIAN(H278:H282)</f>
        <v>#NUM!</v>
      </c>
      <c r="W278" s="2199" t="e">
        <f>MEDIAN(I278:I282)</f>
        <v>#NUM!</v>
      </c>
      <c r="X278" s="1908" t="e">
        <f>MEDIAN(J278:J282)</f>
        <v>#NUM!</v>
      </c>
      <c r="Y278" s="2200" t="e">
        <f>SUM(U278:X282)</f>
        <v>#NUM!</v>
      </c>
      <c r="Z278" s="2201">
        <f t="shared" ref="Z278:AF278" si="45">MEDIAN(L278:L282)</f>
        <v>0</v>
      </c>
      <c r="AA278" s="1908">
        <f t="shared" si="45"/>
        <v>0</v>
      </c>
      <c r="AB278" s="2193">
        <f t="shared" si="45"/>
        <v>291.50448697156446</v>
      </c>
      <c r="AC278" s="1908">
        <f t="shared" si="45"/>
        <v>0</v>
      </c>
      <c r="AD278" s="2194">
        <f t="shared" si="45"/>
        <v>0</v>
      </c>
      <c r="AE278" s="1908">
        <f t="shared" si="45"/>
        <v>0</v>
      </c>
      <c r="AF278" s="2195" t="e">
        <f t="shared" si="45"/>
        <v>#VALUE!</v>
      </c>
      <c r="AG278" s="2202" t="e">
        <f>Y278+Z278+AA278+AB278+AC278+AD278+AE278</f>
        <v>#NUM!</v>
      </c>
      <c r="AH278" s="397"/>
      <c r="AI278" s="398"/>
      <c r="AJ278" s="398"/>
      <c r="AK278" s="398"/>
      <c r="AL278" s="398"/>
      <c r="AM278" s="398"/>
      <c r="AN278" s="398"/>
      <c r="AO278" s="398"/>
      <c r="AP278" s="2191"/>
    </row>
    <row r="279" spans="1:42" ht="15.75" hidden="1" customHeight="1" x14ac:dyDescent="0.25">
      <c r="A279" s="1819"/>
      <c r="B279" s="547" t="s">
        <v>166</v>
      </c>
      <c r="C279" s="1046" t="s">
        <v>429</v>
      </c>
      <c r="D279" s="802" t="s">
        <v>1149</v>
      </c>
      <c r="E279" s="1760"/>
      <c r="F279" s="617">
        <f>'exchange rates'!$O$66</f>
        <v>0.73992000000000002</v>
      </c>
      <c r="G279" s="930"/>
      <c r="H279" s="547" t="s">
        <v>166</v>
      </c>
      <c r="I279" s="1046" t="s">
        <v>429</v>
      </c>
      <c r="J279" s="802" t="s">
        <v>1149</v>
      </c>
      <c r="K279" s="969"/>
      <c r="L279" s="567">
        <v>0</v>
      </c>
      <c r="M279" s="560">
        <v>0</v>
      </c>
      <c r="N279" s="568">
        <f>246.31/F279</f>
        <v>332.88733917180235</v>
      </c>
      <c r="O279" s="560">
        <v>0</v>
      </c>
      <c r="P279" s="569">
        <v>0</v>
      </c>
      <c r="Q279" s="560">
        <v>0</v>
      </c>
      <c r="R279" s="570" t="e">
        <f>Tabel6689212733[[#This Row],[landcode 3]]+Tabel6689212733[[#This Row],[VAT Sew. 2017]]+Tabel6689212733[[#This Row],[VAT WW 2017]]+Tabel6689212733[[#This Row],[VAT Other ch. 2017]]</f>
        <v>#VALUE!</v>
      </c>
      <c r="S279" s="571">
        <f>Tabel6689212733[[#This Row],[GDP 2017]]+Tabel6689212733[[#This Row],[Sew. 2017]]+Tabel6689212733[[#This Row],[VAT Sew. 2017]]+Tabel6689212733[[#This Row],[WW 2017]]+Tabel6689212733[[#This Row],[VAT WW 2017]]+Tabel6689212733[[#This Row],[Other ch. 2017]]+Tabel6689212733[[#This Row],[VAT Other ch. 2017]]</f>
        <v>332.88733917180235</v>
      </c>
      <c r="T279" s="397"/>
      <c r="U279" s="1763"/>
      <c r="V279" s="1766"/>
      <c r="W279" s="1769"/>
      <c r="X279" s="1772"/>
      <c r="Y279" s="1775"/>
      <c r="Z279" s="1778"/>
      <c r="AA279" s="1772"/>
      <c r="AB279" s="1781"/>
      <c r="AC279" s="1772"/>
      <c r="AD279" s="1785"/>
      <c r="AE279" s="1772"/>
      <c r="AF279" s="1788"/>
      <c r="AG279" s="1791"/>
      <c r="AH279" s="397"/>
      <c r="AI279" s="398"/>
      <c r="AJ279" s="398"/>
      <c r="AK279" s="398"/>
      <c r="AL279" s="398"/>
      <c r="AM279" s="398"/>
      <c r="AN279" s="398"/>
      <c r="AO279" s="398"/>
      <c r="AP279" s="2191"/>
    </row>
    <row r="280" spans="1:42" ht="15.75" hidden="1" customHeight="1" x14ac:dyDescent="0.25">
      <c r="A280" s="1819"/>
      <c r="B280" s="547" t="s">
        <v>167</v>
      </c>
      <c r="C280" s="1046" t="s">
        <v>429</v>
      </c>
      <c r="D280" s="802" t="s">
        <v>1149</v>
      </c>
      <c r="E280" s="1760"/>
      <c r="F280" s="617">
        <f>'exchange rates'!$O$66</f>
        <v>0.73992000000000002</v>
      </c>
      <c r="G280" s="930"/>
      <c r="H280" s="547" t="s">
        <v>167</v>
      </c>
      <c r="I280" s="1046" t="s">
        <v>429</v>
      </c>
      <c r="J280" s="802" t="s">
        <v>1149</v>
      </c>
      <c r="K280" s="969"/>
      <c r="L280" s="567">
        <v>0</v>
      </c>
      <c r="M280" s="560">
        <v>0</v>
      </c>
      <c r="N280" s="568">
        <f>125.46/F280</f>
        <v>169.55887122932208</v>
      </c>
      <c r="O280" s="560">
        <v>0</v>
      </c>
      <c r="P280" s="569">
        <v>0</v>
      </c>
      <c r="Q280" s="560">
        <v>0</v>
      </c>
      <c r="R280" s="570" t="e">
        <f>Tabel6689212733[[#This Row],[landcode 3]]+Tabel6689212733[[#This Row],[VAT Sew. 2017]]+Tabel6689212733[[#This Row],[VAT WW 2017]]+Tabel6689212733[[#This Row],[VAT Other ch. 2017]]</f>
        <v>#VALUE!</v>
      </c>
      <c r="S280" s="571">
        <f>Tabel6689212733[[#This Row],[GDP 2017]]+Tabel6689212733[[#This Row],[Sew. 2017]]+Tabel6689212733[[#This Row],[VAT Sew. 2017]]+Tabel6689212733[[#This Row],[WW 2017]]+Tabel6689212733[[#This Row],[VAT WW 2017]]+Tabel6689212733[[#This Row],[Other ch. 2017]]+Tabel6689212733[[#This Row],[VAT Other ch. 2017]]</f>
        <v>169.55887122932208</v>
      </c>
      <c r="T280" s="397"/>
      <c r="U280" s="1763"/>
      <c r="V280" s="1766"/>
      <c r="W280" s="1769"/>
      <c r="X280" s="1772"/>
      <c r="Y280" s="1775"/>
      <c r="Z280" s="1778"/>
      <c r="AA280" s="1772"/>
      <c r="AB280" s="1781"/>
      <c r="AC280" s="1772"/>
      <c r="AD280" s="1785"/>
      <c r="AE280" s="1772"/>
      <c r="AF280" s="1788"/>
      <c r="AG280" s="1791"/>
      <c r="AH280" s="397"/>
      <c r="AI280" s="398"/>
      <c r="AJ280" s="398"/>
      <c r="AK280" s="398"/>
      <c r="AL280" s="398"/>
      <c r="AM280" s="398"/>
      <c r="AN280" s="398"/>
      <c r="AO280" s="398"/>
      <c r="AP280" s="2191"/>
    </row>
    <row r="281" spans="1:42" ht="15.75" hidden="1" customHeight="1" x14ac:dyDescent="0.25">
      <c r="A281" s="1819"/>
      <c r="B281" s="547" t="s">
        <v>168</v>
      </c>
      <c r="C281" s="1046"/>
      <c r="D281" s="802" t="s">
        <v>1149</v>
      </c>
      <c r="E281" s="1760"/>
      <c r="F281" s="617">
        <f>'exchange rates'!$O$66</f>
        <v>0.73992000000000002</v>
      </c>
      <c r="G281" s="930"/>
      <c r="H281" s="547" t="s">
        <v>168</v>
      </c>
      <c r="I281" s="1046"/>
      <c r="J281" s="802" t="s">
        <v>1149</v>
      </c>
      <c r="K281" s="969"/>
      <c r="L281" s="567">
        <v>0</v>
      </c>
      <c r="M281" s="560">
        <v>0</v>
      </c>
      <c r="N281" s="568">
        <f>215.69/F281</f>
        <v>291.50448697156446</v>
      </c>
      <c r="O281" s="560">
        <v>0</v>
      </c>
      <c r="P281" s="569">
        <v>0</v>
      </c>
      <c r="Q281" s="560">
        <v>0</v>
      </c>
      <c r="R281" s="570" t="e">
        <f>Tabel6689212733[[#This Row],[landcode 3]]+Tabel6689212733[[#This Row],[VAT Sew. 2017]]+Tabel6689212733[[#This Row],[VAT WW 2017]]+Tabel6689212733[[#This Row],[VAT Other ch. 2017]]</f>
        <v>#VALUE!</v>
      </c>
      <c r="S281" s="571">
        <f>Tabel6689212733[[#This Row],[GDP 2017]]+Tabel6689212733[[#This Row],[Sew. 2017]]+Tabel6689212733[[#This Row],[VAT Sew. 2017]]+Tabel6689212733[[#This Row],[WW 2017]]+Tabel6689212733[[#This Row],[VAT WW 2017]]+Tabel6689212733[[#This Row],[Other ch. 2017]]+Tabel6689212733[[#This Row],[VAT Other ch. 2017]]</f>
        <v>291.50448697156446</v>
      </c>
      <c r="T281" s="397"/>
      <c r="U281" s="1763"/>
      <c r="V281" s="1766"/>
      <c r="W281" s="1769"/>
      <c r="X281" s="1772"/>
      <c r="Y281" s="1775"/>
      <c r="Z281" s="1778"/>
      <c r="AA281" s="1772"/>
      <c r="AB281" s="1781"/>
      <c r="AC281" s="1772"/>
      <c r="AD281" s="1785"/>
      <c r="AE281" s="1772"/>
      <c r="AF281" s="1788"/>
      <c r="AG281" s="1791"/>
      <c r="AH281" s="397"/>
      <c r="AI281" s="398"/>
      <c r="AJ281" s="398"/>
      <c r="AK281" s="398"/>
      <c r="AL281" s="398"/>
      <c r="AM281" s="398"/>
      <c r="AN281" s="398"/>
      <c r="AO281" s="398"/>
      <c r="AP281" s="2191"/>
    </row>
    <row r="282" spans="1:42" ht="16.5" hidden="1" customHeight="1" thickBot="1" x14ac:dyDescent="0.3">
      <c r="A282" s="1820"/>
      <c r="B282" s="547" t="s">
        <v>169</v>
      </c>
      <c r="C282" s="1046"/>
      <c r="D282" s="802" t="s">
        <v>1149</v>
      </c>
      <c r="E282" s="1799"/>
      <c r="F282" s="617">
        <f>'exchange rates'!$O$66</f>
        <v>0.73992000000000002</v>
      </c>
      <c r="G282" s="931"/>
      <c r="H282" s="547" t="s">
        <v>169</v>
      </c>
      <c r="I282" s="1046"/>
      <c r="J282" s="802" t="s">
        <v>1149</v>
      </c>
      <c r="K282" s="987"/>
      <c r="L282" s="567">
        <v>0</v>
      </c>
      <c r="M282" s="560">
        <v>0</v>
      </c>
      <c r="N282" s="568">
        <f>222.83/F282</f>
        <v>301.15417883014379</v>
      </c>
      <c r="O282" s="560">
        <v>0</v>
      </c>
      <c r="P282" s="569">
        <v>0</v>
      </c>
      <c r="Q282" s="560">
        <v>0</v>
      </c>
      <c r="R282" s="570" t="e">
        <f>Tabel6689212733[[#This Row],[landcode 3]]+Tabel6689212733[[#This Row],[VAT Sew. 2017]]+Tabel6689212733[[#This Row],[VAT WW 2017]]+Tabel6689212733[[#This Row],[VAT Other ch. 2017]]</f>
        <v>#VALUE!</v>
      </c>
      <c r="S282" s="571">
        <f>Tabel6689212733[[#This Row],[GDP 2017]]+Tabel6689212733[[#This Row],[Sew. 2017]]+Tabel6689212733[[#This Row],[VAT Sew. 2017]]+Tabel6689212733[[#This Row],[WW 2017]]+Tabel6689212733[[#This Row],[VAT WW 2017]]+Tabel6689212733[[#This Row],[Other ch. 2017]]+Tabel6689212733[[#This Row],[VAT Other ch. 2017]]</f>
        <v>301.15417883014379</v>
      </c>
      <c r="T282" s="397"/>
      <c r="U282" s="1801"/>
      <c r="V282" s="1803"/>
      <c r="W282" s="1805"/>
      <c r="X282" s="1773"/>
      <c r="Y282" s="1807"/>
      <c r="Z282" s="1809"/>
      <c r="AA282" s="1773"/>
      <c r="AB282" s="1782"/>
      <c r="AC282" s="1773"/>
      <c r="AD282" s="1786"/>
      <c r="AE282" s="1773"/>
      <c r="AF282" s="1789"/>
      <c r="AG282" s="1792"/>
      <c r="AH282" s="397"/>
      <c r="AI282" s="398"/>
      <c r="AJ282" s="398"/>
      <c r="AK282" s="398"/>
      <c r="AL282" s="398"/>
      <c r="AM282" s="398"/>
      <c r="AN282" s="398"/>
      <c r="AO282" s="398"/>
      <c r="AP282" s="2191"/>
    </row>
    <row r="283" spans="1:42" ht="18" hidden="1" customHeight="1" x14ac:dyDescent="0.25">
      <c r="A283" s="2192" t="s">
        <v>31</v>
      </c>
      <c r="B283" s="638" t="s">
        <v>170</v>
      </c>
      <c r="C283" s="693"/>
      <c r="D283" s="806" t="s">
        <v>1151</v>
      </c>
      <c r="E283" s="1934">
        <v>59500</v>
      </c>
      <c r="F283" s="715">
        <v>1</v>
      </c>
      <c r="G283" s="997" t="s">
        <v>31</v>
      </c>
      <c r="H283" s="638" t="s">
        <v>170</v>
      </c>
      <c r="I283" s="693"/>
      <c r="J283" s="806" t="s">
        <v>1151</v>
      </c>
      <c r="K283" s="981">
        <v>59500</v>
      </c>
      <c r="L283" s="567" t="s">
        <v>5</v>
      </c>
      <c r="M283" s="560" t="s">
        <v>5</v>
      </c>
      <c r="N283" s="568">
        <v>284.37</v>
      </c>
      <c r="O283" s="560" t="s">
        <v>5</v>
      </c>
      <c r="P283" s="569" t="s">
        <v>5</v>
      </c>
      <c r="Q283" s="560" t="s">
        <v>5</v>
      </c>
      <c r="R283" s="570" t="s">
        <v>5</v>
      </c>
      <c r="S283" s="571">
        <f>Tabel6689212733[[#This Row],[GDP 2017]]+Tabel6689212733[[#This Row],[WW 2017]]</f>
        <v>59784.37</v>
      </c>
      <c r="T283" s="397"/>
      <c r="U283" s="1935" t="e">
        <f>MEDIAN(G283:G289)</f>
        <v>#NUM!</v>
      </c>
      <c r="V283" s="1936" t="e">
        <f>MEDIAN(H283:H289)</f>
        <v>#NUM!</v>
      </c>
      <c r="W283" s="1937" t="e">
        <f>MEDIAN(I283:I289)</f>
        <v>#NUM!</v>
      </c>
      <c r="X283" s="1771" t="s">
        <v>5</v>
      </c>
      <c r="Y283" s="1939" t="e">
        <f>SUM(U283:W289)</f>
        <v>#NUM!</v>
      </c>
      <c r="Z283" s="1950" t="s">
        <v>5</v>
      </c>
      <c r="AA283" s="1771" t="s">
        <v>5</v>
      </c>
      <c r="AB283" s="1946">
        <f>MEDIAN(N283:N289)</f>
        <v>182.97</v>
      </c>
      <c r="AC283" s="1771" t="s">
        <v>5</v>
      </c>
      <c r="AD283" s="1947">
        <f>MEDIAN(P283:P289)</f>
        <v>16.670000000000002</v>
      </c>
      <c r="AE283" s="1771" t="s">
        <v>5</v>
      </c>
      <c r="AF283" s="1944" t="s">
        <v>5</v>
      </c>
      <c r="AG283" s="1945" t="e">
        <f>SUM(Y283:AF289)</f>
        <v>#NUM!</v>
      </c>
      <c r="AH283" s="397"/>
      <c r="AI283" s="396"/>
      <c r="AJ283" s="591" t="s">
        <v>429</v>
      </c>
      <c r="AK283" s="591"/>
      <c r="AL283" s="591"/>
      <c r="AM283" s="591"/>
      <c r="AN283" s="591" t="s">
        <v>429</v>
      </c>
      <c r="AO283" s="396"/>
      <c r="AP283" s="397"/>
    </row>
    <row r="284" spans="1:42" ht="15.6" hidden="1" customHeight="1" x14ac:dyDescent="0.25">
      <c r="A284" s="2148"/>
      <c r="B284" s="639" t="s">
        <v>171</v>
      </c>
      <c r="C284" s="639" t="s">
        <v>429</v>
      </c>
      <c r="D284" s="724" t="s">
        <v>1151</v>
      </c>
      <c r="E284" s="1760"/>
      <c r="F284" s="715">
        <v>1</v>
      </c>
      <c r="G284" s="998"/>
      <c r="H284" s="639" t="s">
        <v>171</v>
      </c>
      <c r="I284" s="639" t="s">
        <v>429</v>
      </c>
      <c r="J284" s="724" t="s">
        <v>1151</v>
      </c>
      <c r="K284" s="969"/>
      <c r="L284" s="567" t="s">
        <v>5</v>
      </c>
      <c r="M284" s="560" t="s">
        <v>5</v>
      </c>
      <c r="N284" s="568">
        <v>294.17</v>
      </c>
      <c r="O284" s="560" t="s">
        <v>5</v>
      </c>
      <c r="P284" s="569">
        <v>334.2</v>
      </c>
      <c r="Q284" s="560" t="s">
        <v>5</v>
      </c>
      <c r="R284" s="570" t="s">
        <v>5</v>
      </c>
      <c r="S284" s="571">
        <f>Tabel6689212733[[#This Row],[GDP 2017]]+Tabel6689212733[[#This Row],[WW 2017]]+Tabel6689212733[[#This Row],[Other ch. 2017]]</f>
        <v>628.37</v>
      </c>
      <c r="T284" s="397"/>
      <c r="U284" s="1969"/>
      <c r="V284" s="1972"/>
      <c r="W284" s="1975"/>
      <c r="X284" s="1772"/>
      <c r="Y284" s="1978"/>
      <c r="Z284" s="1981"/>
      <c r="AA284" s="1772"/>
      <c r="AB284" s="1955"/>
      <c r="AC284" s="1772"/>
      <c r="AD284" s="1958"/>
      <c r="AE284" s="1772"/>
      <c r="AF284" s="1961"/>
      <c r="AG284" s="1964"/>
      <c r="AH284" s="397"/>
      <c r="AI284" s="396"/>
      <c r="AJ284" s="396"/>
      <c r="AK284" s="396"/>
      <c r="AL284" s="591" t="s">
        <v>429</v>
      </c>
      <c r="AM284" s="591" t="s">
        <v>429</v>
      </c>
      <c r="AN284" s="591" t="s">
        <v>429</v>
      </c>
      <c r="AO284" s="396"/>
      <c r="AP284" s="397"/>
    </row>
    <row r="285" spans="1:42" ht="15.6" hidden="1" customHeight="1" x14ac:dyDescent="0.25">
      <c r="A285" s="2148"/>
      <c r="B285" s="639" t="s">
        <v>172</v>
      </c>
      <c r="C285" s="639"/>
      <c r="D285" s="724" t="s">
        <v>1151</v>
      </c>
      <c r="E285" s="1760"/>
      <c r="F285" s="715">
        <v>1</v>
      </c>
      <c r="G285" s="998"/>
      <c r="H285" s="639" t="s">
        <v>172</v>
      </c>
      <c r="I285" s="639"/>
      <c r="J285" s="724" t="s">
        <v>1151</v>
      </c>
      <c r="K285" s="969"/>
      <c r="L285" s="567" t="s">
        <v>5</v>
      </c>
      <c r="M285" s="560" t="s">
        <v>5</v>
      </c>
      <c r="N285" s="568">
        <v>166.12</v>
      </c>
      <c r="O285" s="560" t="s">
        <v>5</v>
      </c>
      <c r="P285" s="569" t="s">
        <v>5</v>
      </c>
      <c r="Q285" s="560" t="s">
        <v>5</v>
      </c>
      <c r="R285" s="570" t="s">
        <v>5</v>
      </c>
      <c r="S285" s="571">
        <f>Tabel6689212733[[#This Row],[GDP 2017]]+Tabel6689212733[[#This Row],[WW 2017]]</f>
        <v>166.12</v>
      </c>
      <c r="T285" s="397"/>
      <c r="U285" s="1969"/>
      <c r="V285" s="1972"/>
      <c r="W285" s="1975"/>
      <c r="X285" s="1772"/>
      <c r="Y285" s="1978"/>
      <c r="Z285" s="1981"/>
      <c r="AA285" s="1772"/>
      <c r="AB285" s="1955"/>
      <c r="AC285" s="1772"/>
      <c r="AD285" s="1958"/>
      <c r="AE285" s="1772"/>
      <c r="AF285" s="1961"/>
      <c r="AG285" s="1964"/>
      <c r="AH285" s="397"/>
      <c r="AI285" s="396"/>
      <c r="AJ285" s="396"/>
      <c r="AK285" s="396"/>
      <c r="AL285" s="591" t="s">
        <v>429</v>
      </c>
      <c r="AM285" s="591"/>
      <c r="AN285" s="591" t="s">
        <v>429</v>
      </c>
      <c r="AO285" s="396"/>
      <c r="AP285" s="397"/>
    </row>
    <row r="286" spans="1:42" ht="15.6" hidden="1" customHeight="1" x14ac:dyDescent="0.25">
      <c r="A286" s="2148"/>
      <c r="B286" s="639" t="s">
        <v>173</v>
      </c>
      <c r="C286" s="639"/>
      <c r="D286" s="724" t="s">
        <v>1151</v>
      </c>
      <c r="E286" s="1760"/>
      <c r="F286" s="715">
        <v>1</v>
      </c>
      <c r="G286" s="998"/>
      <c r="H286" s="639" t="s">
        <v>173</v>
      </c>
      <c r="I286" s="639"/>
      <c r="J286" s="724" t="s">
        <v>1151</v>
      </c>
      <c r="K286" s="969"/>
      <c r="L286" s="567" t="s">
        <v>5</v>
      </c>
      <c r="M286" s="560" t="s">
        <v>5</v>
      </c>
      <c r="N286" s="568">
        <v>102.55</v>
      </c>
      <c r="O286" s="560" t="s">
        <v>5</v>
      </c>
      <c r="P286" s="569" t="s">
        <v>5</v>
      </c>
      <c r="Q286" s="560" t="s">
        <v>5</v>
      </c>
      <c r="R286" s="570" t="s">
        <v>5</v>
      </c>
      <c r="S286" s="571">
        <f>Tabel6689212733[[#This Row],[GDP 2017]]+Tabel6689212733[[#This Row],[WW 2017]]</f>
        <v>102.55</v>
      </c>
      <c r="T286" s="397"/>
      <c r="U286" s="1969"/>
      <c r="V286" s="1972"/>
      <c r="W286" s="1975"/>
      <c r="X286" s="1772"/>
      <c r="Y286" s="1978"/>
      <c r="Z286" s="1981"/>
      <c r="AA286" s="1772"/>
      <c r="AB286" s="1955"/>
      <c r="AC286" s="1772"/>
      <c r="AD286" s="1958"/>
      <c r="AE286" s="1772"/>
      <c r="AF286" s="1961"/>
      <c r="AG286" s="1964"/>
      <c r="AH286" s="397"/>
      <c r="AI286" s="396"/>
      <c r="AJ286" s="591" t="s">
        <v>429</v>
      </c>
      <c r="AK286" s="591"/>
      <c r="AL286" s="591"/>
      <c r="AM286" s="591"/>
      <c r="AN286" s="591" t="s">
        <v>429</v>
      </c>
      <c r="AO286" s="396"/>
      <c r="AP286" s="397"/>
    </row>
    <row r="287" spans="1:42" ht="15.6" hidden="1" customHeight="1" x14ac:dyDescent="0.25">
      <c r="A287" s="2148"/>
      <c r="B287" s="639" t="s">
        <v>174</v>
      </c>
      <c r="C287" s="639"/>
      <c r="D287" s="724" t="s">
        <v>1151</v>
      </c>
      <c r="E287" s="1760"/>
      <c r="F287" s="715">
        <v>1</v>
      </c>
      <c r="G287" s="998"/>
      <c r="H287" s="639" t="s">
        <v>174</v>
      </c>
      <c r="I287" s="639"/>
      <c r="J287" s="724" t="s">
        <v>1151</v>
      </c>
      <c r="K287" s="969"/>
      <c r="L287" s="567" t="s">
        <v>5</v>
      </c>
      <c r="M287" s="560" t="s">
        <v>5</v>
      </c>
      <c r="N287" s="568">
        <v>252.36</v>
      </c>
      <c r="O287" s="560" t="s">
        <v>5</v>
      </c>
      <c r="P287" s="569">
        <v>16.670000000000002</v>
      </c>
      <c r="Q287" s="560" t="s">
        <v>5</v>
      </c>
      <c r="R287" s="570" t="s">
        <v>5</v>
      </c>
      <c r="S287" s="571">
        <f>Tabel6689212733[[#This Row],[GDP 2017]]+Tabel6689212733[[#This Row],[WW 2017]]+Tabel6689212733[[#This Row],[Other ch. 2017]]</f>
        <v>269.03000000000003</v>
      </c>
      <c r="T287" s="397"/>
      <c r="U287" s="1969"/>
      <c r="V287" s="1972"/>
      <c r="W287" s="1975"/>
      <c r="X287" s="1772"/>
      <c r="Y287" s="1978"/>
      <c r="Z287" s="1981"/>
      <c r="AA287" s="1772"/>
      <c r="AB287" s="1955"/>
      <c r="AC287" s="1772"/>
      <c r="AD287" s="1958"/>
      <c r="AE287" s="1772"/>
      <c r="AF287" s="1961"/>
      <c r="AG287" s="1964"/>
      <c r="AH287" s="397"/>
      <c r="AI287" s="396"/>
      <c r="AJ287" s="396"/>
      <c r="AK287" s="396"/>
      <c r="AL287" s="591" t="s">
        <v>429</v>
      </c>
      <c r="AM287" s="591" t="s">
        <v>429</v>
      </c>
      <c r="AN287" s="591" t="s">
        <v>429</v>
      </c>
      <c r="AO287" s="396"/>
      <c r="AP287" s="397"/>
    </row>
    <row r="288" spans="1:42" ht="15.6" hidden="1" customHeight="1" x14ac:dyDescent="0.25">
      <c r="A288" s="2148"/>
      <c r="B288" s="639" t="s">
        <v>175</v>
      </c>
      <c r="C288" s="639"/>
      <c r="D288" s="724" t="s">
        <v>1151</v>
      </c>
      <c r="E288" s="1760"/>
      <c r="F288" s="715">
        <v>1</v>
      </c>
      <c r="G288" s="998"/>
      <c r="H288" s="639" t="s">
        <v>175</v>
      </c>
      <c r="I288" s="639"/>
      <c r="J288" s="724" t="s">
        <v>1151</v>
      </c>
      <c r="K288" s="969"/>
      <c r="L288" s="567" t="s">
        <v>5</v>
      </c>
      <c r="M288" s="560" t="s">
        <v>5</v>
      </c>
      <c r="N288" s="568">
        <v>87.73</v>
      </c>
      <c r="O288" s="560" t="s">
        <v>5</v>
      </c>
      <c r="P288" s="569" t="s">
        <v>5</v>
      </c>
      <c r="Q288" s="560" t="s">
        <v>5</v>
      </c>
      <c r="R288" s="570" t="s">
        <v>5</v>
      </c>
      <c r="S288" s="571">
        <f>Tabel6689212733[[#This Row],[GDP 2017]]+Tabel6689212733[[#This Row],[WW 2017]]</f>
        <v>87.73</v>
      </c>
      <c r="T288" s="397"/>
      <c r="U288" s="1969"/>
      <c r="V288" s="1972"/>
      <c r="W288" s="1975"/>
      <c r="X288" s="1772"/>
      <c r="Y288" s="1978"/>
      <c r="Z288" s="1981"/>
      <c r="AA288" s="1772"/>
      <c r="AB288" s="1955"/>
      <c r="AC288" s="1772"/>
      <c r="AD288" s="1958"/>
      <c r="AE288" s="1772"/>
      <c r="AF288" s="1961"/>
      <c r="AG288" s="1964"/>
      <c r="AH288" s="397"/>
      <c r="AI288" s="396"/>
      <c r="AJ288" s="396"/>
      <c r="AK288" s="396"/>
      <c r="AL288" s="591" t="s">
        <v>429</v>
      </c>
      <c r="AM288" s="591" t="s">
        <v>429</v>
      </c>
      <c r="AN288" s="591" t="s">
        <v>429</v>
      </c>
      <c r="AO288" s="396"/>
      <c r="AP288" s="397"/>
    </row>
    <row r="289" spans="1:42" ht="16.149999999999999" hidden="1" customHeight="1" thickBot="1" x14ac:dyDescent="0.3">
      <c r="A289" s="2148"/>
      <c r="B289" s="714" t="s">
        <v>212</v>
      </c>
      <c r="C289" s="1053"/>
      <c r="D289" s="807" t="s">
        <v>1151</v>
      </c>
      <c r="E289" s="1923"/>
      <c r="F289" s="715">
        <v>1</v>
      </c>
      <c r="G289" s="998"/>
      <c r="H289" s="714" t="s">
        <v>212</v>
      </c>
      <c r="I289" s="1053"/>
      <c r="J289" s="807" t="s">
        <v>1151</v>
      </c>
      <c r="K289" s="982"/>
      <c r="L289" s="567" t="s">
        <v>5</v>
      </c>
      <c r="M289" s="560" t="s">
        <v>5</v>
      </c>
      <c r="N289" s="720">
        <v>182.97</v>
      </c>
      <c r="O289" s="560" t="s">
        <v>5</v>
      </c>
      <c r="P289" s="721">
        <v>12.36</v>
      </c>
      <c r="Q289" s="719" t="s">
        <v>5</v>
      </c>
      <c r="R289" s="570" t="s">
        <v>5</v>
      </c>
      <c r="S289" s="571">
        <f>Tabel6689212733[[#This Row],[GDP 2017]]+Tabel6689212733[[#This Row],[WW 2017]]+Tabel6689212733[[#This Row],[Other ch. 2017]]</f>
        <v>195.32999999999998</v>
      </c>
      <c r="T289" s="397"/>
      <c r="U289" s="1970"/>
      <c r="V289" s="1973"/>
      <c r="W289" s="1976"/>
      <c r="X289" s="1773"/>
      <c r="Y289" s="1979"/>
      <c r="Z289" s="1982"/>
      <c r="AA289" s="1773"/>
      <c r="AB289" s="1956"/>
      <c r="AC289" s="1773"/>
      <c r="AD289" s="1959"/>
      <c r="AE289" s="1773"/>
      <c r="AF289" s="1962"/>
      <c r="AG289" s="1965"/>
      <c r="AH289" s="397"/>
      <c r="AI289" s="396"/>
      <c r="AJ289" s="591" t="s">
        <v>429</v>
      </c>
      <c r="AK289" s="591"/>
      <c r="AL289" s="591"/>
      <c r="AM289" s="591" t="s">
        <v>429</v>
      </c>
      <c r="AN289" s="591" t="s">
        <v>429</v>
      </c>
      <c r="AO289" s="396"/>
      <c r="AP289" s="397"/>
    </row>
    <row r="290" spans="1:42" ht="19.5" hidden="1" thickBot="1" x14ac:dyDescent="0.3">
      <c r="A290" s="1833" t="s">
        <v>718</v>
      </c>
      <c r="B290" s="269" t="s">
        <v>761</v>
      </c>
      <c r="C290" s="1048" t="s">
        <v>429</v>
      </c>
      <c r="D290" s="805" t="s">
        <v>1153</v>
      </c>
      <c r="E290" s="2203">
        <v>4300</v>
      </c>
      <c r="F290" s="517">
        <f>'exchange rates'!$M$68</f>
        <v>11.06053</v>
      </c>
      <c r="G290" s="1833" t="s">
        <v>718</v>
      </c>
      <c r="H290" s="269" t="s">
        <v>761</v>
      </c>
      <c r="I290" s="1048" t="s">
        <v>429</v>
      </c>
      <c r="J290" s="805" t="s">
        <v>1153</v>
      </c>
      <c r="K290" s="2203">
        <v>4300</v>
      </c>
      <c r="L290" s="510">
        <v>0</v>
      </c>
      <c r="M290" s="562"/>
      <c r="N290" s="511">
        <f>272.69/F290</f>
        <v>24.654333924323698</v>
      </c>
      <c r="O290" s="562"/>
      <c r="P290" s="512">
        <f>22.7/F290</f>
        <v>2.0523428804948769</v>
      </c>
      <c r="Q290" s="562"/>
      <c r="R290" s="513" t="e">
        <f>Tabel6689212733[[#This Row],[landcode 3]]+Tabel6689212733[[#This Row],[VAT Sew. 2017]]+Tabel6689212733[[#This Row],[VAT WW 2017]]+Tabel6689212733[[#This Row],[VAT Other ch. 2017]]</f>
        <v>#VALUE!</v>
      </c>
      <c r="S290" s="590" t="e">
        <f>Tabel6689212733[[#This Row],[GDP 2017]]+Tabel6689212733[[#This Row],[Sew. 2017]]+Tabel6689212733[[#This Row],[VAT Sew. 2017]]+Tabel6689212733[[#This Row],[WW 2017]]+Tabel6689212733[[#This Row],[VAT WW 2017]]+Tabel6689212733[[#This Row],[Other ch. 2017]]+Tabel6689212733[[#This Row],[VAT Other ch. 2017]]</f>
        <v>#VALUE!</v>
      </c>
      <c r="T290" s="397"/>
      <c r="U290" s="2057" t="e">
        <f>MEDIAN(G290:G293)</f>
        <v>#NUM!</v>
      </c>
      <c r="V290" s="2059" t="e">
        <f>MEDIAN(H290:H293)</f>
        <v>#NUM!</v>
      </c>
      <c r="W290" s="2204" t="e">
        <f>MEDIAN(I290:I293)</f>
        <v>#NUM!</v>
      </c>
      <c r="X290" s="583"/>
      <c r="Y290" s="2115" t="e">
        <f>SUM(U290:W293)</f>
        <v>#NUM!</v>
      </c>
      <c r="Z290" s="2065">
        <f>MEDIAN(L290:L293)</f>
        <v>0</v>
      </c>
      <c r="AA290" s="575"/>
      <c r="AB290" s="2067">
        <f>MEDIAN(N290:N293)</f>
        <v>24.397112977407048</v>
      </c>
      <c r="AC290" s="575"/>
      <c r="AD290" s="2069">
        <f>MEDIAN(P290:P293)</f>
        <v>1.6011890931085579</v>
      </c>
      <c r="AE290" s="575"/>
      <c r="AF290" s="2071" t="e">
        <f>MEDIAN(R290:R293)</f>
        <v>#VALUE!</v>
      </c>
      <c r="AG290" s="2049" t="e">
        <f>SUM(Y290:AF293)</f>
        <v>#NUM!</v>
      </c>
      <c r="AH290" s="397"/>
      <c r="AI290" s="396" t="s">
        <v>429</v>
      </c>
      <c r="AJ290" s="396"/>
      <c r="AK290" s="398"/>
      <c r="AL290" s="396" t="s">
        <v>429</v>
      </c>
      <c r="AM290" s="396" t="s">
        <v>429</v>
      </c>
      <c r="AN290" s="396" t="s">
        <v>429</v>
      </c>
      <c r="AO290" s="398"/>
      <c r="AP290" s="397"/>
    </row>
    <row r="291" spans="1:42" ht="19.5" hidden="1" thickBot="1" x14ac:dyDescent="0.3">
      <c r="A291" s="1834"/>
      <c r="B291" s="269" t="s">
        <v>762</v>
      </c>
      <c r="C291" s="1048"/>
      <c r="D291" s="805" t="s">
        <v>1153</v>
      </c>
      <c r="E291" s="2086"/>
      <c r="F291" s="519">
        <f>'exchange rates'!$M$68</f>
        <v>11.06053</v>
      </c>
      <c r="G291" s="1834"/>
      <c r="H291" s="269" t="s">
        <v>762</v>
      </c>
      <c r="I291" s="1048"/>
      <c r="J291" s="805" t="s">
        <v>1153</v>
      </c>
      <c r="K291" s="2086"/>
      <c r="L291" s="510">
        <v>0</v>
      </c>
      <c r="M291" s="562"/>
      <c r="N291" s="511">
        <f>267/F291</f>
        <v>24.139892030490401</v>
      </c>
      <c r="O291" s="562"/>
      <c r="P291" s="512">
        <f>16.72/F291</f>
        <v>1.5116816282764025</v>
      </c>
      <c r="Q291" s="562"/>
      <c r="R291" s="513" t="e">
        <f>Tabel6689212733[[#This Row],[landcode 3]]+Tabel6689212733[[#This Row],[VAT Sew. 2017]]+Tabel6689212733[[#This Row],[VAT WW 2017]]+Tabel6689212733[[#This Row],[VAT Other ch. 2017]]</f>
        <v>#VALUE!</v>
      </c>
      <c r="S291" s="590" t="e">
        <f>Tabel6689212733[[#This Row],[GDP 2017]]+Tabel6689212733[[#This Row],[Sew. 2017]]+Tabel6689212733[[#This Row],[VAT Sew. 2017]]+Tabel6689212733[[#This Row],[WW 2017]]+Tabel6689212733[[#This Row],[VAT WW 2017]]+Tabel6689212733[[#This Row],[Other ch. 2017]]+Tabel6689212733[[#This Row],[VAT Other ch. 2017]]</f>
        <v>#VALUE!</v>
      </c>
      <c r="T291" s="397"/>
      <c r="U291" s="2058"/>
      <c r="V291" s="2060"/>
      <c r="W291" s="2205"/>
      <c r="X291" s="584"/>
      <c r="Y291" s="1849"/>
      <c r="Z291" s="2066"/>
      <c r="AA291" s="576"/>
      <c r="AB291" s="2207"/>
      <c r="AC291" s="578"/>
      <c r="AD291" s="2070"/>
      <c r="AE291" s="576"/>
      <c r="AF291" s="2072"/>
      <c r="AG291" s="2050"/>
      <c r="AH291" s="397"/>
      <c r="AI291" s="396" t="s">
        <v>429</v>
      </c>
      <c r="AJ291" s="396"/>
      <c r="AK291" s="398"/>
      <c r="AL291" s="396" t="s">
        <v>429</v>
      </c>
      <c r="AM291" s="396" t="s">
        <v>429</v>
      </c>
      <c r="AN291" s="396" t="s">
        <v>429</v>
      </c>
      <c r="AO291" s="398"/>
      <c r="AP291" s="397"/>
    </row>
    <row r="292" spans="1:42" ht="19.5" hidden="1" thickBot="1" x14ac:dyDescent="0.3">
      <c r="A292" s="1834"/>
      <c r="B292" s="269" t="s">
        <v>763</v>
      </c>
      <c r="C292" s="1048"/>
      <c r="D292" s="805" t="s">
        <v>1153</v>
      </c>
      <c r="E292" s="2086"/>
      <c r="F292" s="519">
        <f>'exchange rates'!$M$68</f>
        <v>11.06053</v>
      </c>
      <c r="G292" s="1834"/>
      <c r="H292" s="269" t="s">
        <v>763</v>
      </c>
      <c r="I292" s="1048"/>
      <c r="J292" s="805" t="s">
        <v>1153</v>
      </c>
      <c r="K292" s="2086"/>
      <c r="L292" s="510">
        <v>0</v>
      </c>
      <c r="M292" s="562"/>
      <c r="N292" s="511">
        <f>150.2/F292</f>
        <v>13.579819411908831</v>
      </c>
      <c r="O292" s="562"/>
      <c r="P292" s="512">
        <f>18.7/F292</f>
        <v>1.6906965579407134</v>
      </c>
      <c r="Q292" s="562"/>
      <c r="R292" s="513" t="e">
        <f>Tabel6689212733[[#This Row],[landcode 3]]+Tabel6689212733[[#This Row],[VAT Sew. 2017]]+Tabel6689212733[[#This Row],[VAT WW 2017]]+Tabel6689212733[[#This Row],[VAT Other ch. 2017]]</f>
        <v>#VALUE!</v>
      </c>
      <c r="S292" s="590" t="e">
        <f>Tabel6689212733[[#This Row],[GDP 2017]]+Tabel6689212733[[#This Row],[Sew. 2017]]+Tabel6689212733[[#This Row],[VAT Sew. 2017]]+Tabel6689212733[[#This Row],[WW 2017]]+Tabel6689212733[[#This Row],[VAT WW 2017]]+Tabel6689212733[[#This Row],[Other ch. 2017]]+Tabel6689212733[[#This Row],[VAT Other ch. 2017]]</f>
        <v>#VALUE!</v>
      </c>
      <c r="T292" s="397"/>
      <c r="U292" s="2058"/>
      <c r="V292" s="2060"/>
      <c r="W292" s="2205"/>
      <c r="X292" s="584"/>
      <c r="Y292" s="1849"/>
      <c r="Z292" s="2066"/>
      <c r="AA292" s="576"/>
      <c r="AB292" s="2207"/>
      <c r="AC292" s="578"/>
      <c r="AD292" s="2070"/>
      <c r="AE292" s="576"/>
      <c r="AF292" s="2072"/>
      <c r="AG292" s="2050"/>
      <c r="AH292" s="397"/>
      <c r="AI292" s="396" t="s">
        <v>429</v>
      </c>
      <c r="AJ292" s="396"/>
      <c r="AK292" s="398"/>
      <c r="AL292" s="396" t="s">
        <v>429</v>
      </c>
      <c r="AM292" s="396" t="s">
        <v>429</v>
      </c>
      <c r="AN292" s="396" t="s">
        <v>429</v>
      </c>
      <c r="AO292" s="398"/>
      <c r="AP292" s="397"/>
    </row>
    <row r="293" spans="1:42" ht="19.5" hidden="1" thickBot="1" x14ac:dyDescent="0.3">
      <c r="A293" s="1835"/>
      <c r="B293" s="290" t="s">
        <v>764</v>
      </c>
      <c r="C293" s="1048"/>
      <c r="D293" s="801" t="s">
        <v>1153</v>
      </c>
      <c r="E293" s="1838"/>
      <c r="F293" s="520">
        <f>'exchange rates'!$M$68</f>
        <v>11.06053</v>
      </c>
      <c r="G293" s="1835"/>
      <c r="H293" s="290" t="s">
        <v>764</v>
      </c>
      <c r="I293" s="1048"/>
      <c r="J293" s="801" t="s">
        <v>1153</v>
      </c>
      <c r="K293" s="1838"/>
      <c r="L293" s="524">
        <v>0</v>
      </c>
      <c r="M293" s="563"/>
      <c r="N293" s="511">
        <f>527.75/F293</f>
        <v>47.714711681989925</v>
      </c>
      <c r="O293" s="562"/>
      <c r="P293" s="512">
        <v>0</v>
      </c>
      <c r="Q293" s="563"/>
      <c r="R293" s="513" t="e">
        <f>Tabel6689212733[[#This Row],[landcode 3]]+Tabel6689212733[[#This Row],[VAT Sew. 2017]]+Tabel6689212733[[#This Row],[VAT WW 2017]]+Tabel6689212733[[#This Row],[VAT Other ch. 2017]]</f>
        <v>#VALUE!</v>
      </c>
      <c r="S293" s="590" t="e">
        <f>Tabel6689212733[[#This Row],[GDP 2017]]+Tabel6689212733[[#This Row],[Sew. 2017]]+Tabel6689212733[[#This Row],[VAT Sew. 2017]]+Tabel6689212733[[#This Row],[WW 2017]]+Tabel6689212733[[#This Row],[VAT WW 2017]]+Tabel6689212733[[#This Row],[Other ch. 2017]]+Tabel6689212733[[#This Row],[VAT Other ch. 2017]]</f>
        <v>#VALUE!</v>
      </c>
      <c r="T293" s="397"/>
      <c r="U293" s="1841"/>
      <c r="V293" s="1844"/>
      <c r="W293" s="2206"/>
      <c r="X293" s="585"/>
      <c r="Y293" s="1850"/>
      <c r="Z293" s="1853"/>
      <c r="AA293" s="577"/>
      <c r="AB293" s="2208"/>
      <c r="AC293" s="579"/>
      <c r="AD293" s="1859"/>
      <c r="AE293" s="577"/>
      <c r="AF293" s="1874"/>
      <c r="AG293" s="2051"/>
      <c r="AH293" s="397"/>
      <c r="AI293" s="398"/>
      <c r="AJ293" s="396"/>
      <c r="AK293" s="398"/>
      <c r="AL293" s="396" t="s">
        <v>429</v>
      </c>
      <c r="AM293" s="396" t="s">
        <v>429</v>
      </c>
      <c r="AN293" s="398"/>
      <c r="AO293" s="398"/>
      <c r="AP293" s="397"/>
    </row>
    <row r="294" spans="1:42" hidden="1" x14ac:dyDescent="0.25">
      <c r="A294" s="29"/>
    </row>
    <row r="295" spans="1:42" hidden="1" x14ac:dyDescent="0.25"/>
    <row r="296" spans="1:42" hidden="1" x14ac:dyDescent="0.25">
      <c r="A296" s="29"/>
    </row>
    <row r="297" spans="1:42" ht="48" hidden="1" thickBot="1" x14ac:dyDescent="0.3">
      <c r="A297" s="250" t="s">
        <v>58</v>
      </c>
      <c r="B297" s="799" t="s">
        <v>1190</v>
      </c>
      <c r="C297" s="799" t="s">
        <v>1022</v>
      </c>
      <c r="D297" s="1061" t="s">
        <v>1192</v>
      </c>
      <c r="E297" s="1062" t="s">
        <v>1193</v>
      </c>
      <c r="F297" s="1063" t="s">
        <v>1194</v>
      </c>
      <c r="G297" s="1064" t="s">
        <v>1195</v>
      </c>
      <c r="H297" s="1065" t="s">
        <v>1196</v>
      </c>
      <c r="I297" s="1066" t="s">
        <v>1198</v>
      </c>
      <c r="J297" s="1064" t="s">
        <v>1197</v>
      </c>
      <c r="K297" s="1067" t="s">
        <v>1199</v>
      </c>
      <c r="L297" s="1064" t="s">
        <v>1200</v>
      </c>
      <c r="M297" s="1081" t="s">
        <v>1205</v>
      </c>
      <c r="N297" s="1082" t="s">
        <v>1208</v>
      </c>
      <c r="O297" s="1070" t="s">
        <v>1206</v>
      </c>
      <c r="P297" s="1064" t="s">
        <v>1207</v>
      </c>
      <c r="Q297" s="1072" t="s">
        <v>1214</v>
      </c>
      <c r="R297" s="618" t="s">
        <v>1203</v>
      </c>
      <c r="S297" s="618" t="s">
        <v>1204</v>
      </c>
    </row>
    <row r="298" spans="1:42" ht="15.75" hidden="1" x14ac:dyDescent="0.25">
      <c r="A298" s="752" t="s">
        <v>217</v>
      </c>
      <c r="B298" s="747" t="s">
        <v>429</v>
      </c>
      <c r="C298" s="815" t="s">
        <v>1024</v>
      </c>
      <c r="D298" s="625" t="s">
        <v>5</v>
      </c>
      <c r="E298" s="593" t="s">
        <v>5</v>
      </c>
      <c r="F298" s="594" t="s">
        <v>5</v>
      </c>
      <c r="G298" s="595" t="s">
        <v>5</v>
      </c>
      <c r="H298" s="566" t="s">
        <v>5</v>
      </c>
      <c r="I298" s="596" t="s">
        <v>5</v>
      </c>
      <c r="J298" s="595" t="s">
        <v>5</v>
      </c>
      <c r="K298" s="626" t="s">
        <v>5</v>
      </c>
      <c r="L298" s="595" t="s">
        <v>5</v>
      </c>
      <c r="M298" s="1076" t="s">
        <v>5</v>
      </c>
      <c r="N298" s="1077" t="s">
        <v>5</v>
      </c>
      <c r="O298" s="597" t="s">
        <v>5</v>
      </c>
      <c r="P298" s="595" t="s">
        <v>5</v>
      </c>
      <c r="Q298" s="571">
        <v>39.878410497900838</v>
      </c>
      <c r="R298" s="1075">
        <f>Q298</f>
        <v>39.878410497900838</v>
      </c>
      <c r="S298" s="1075">
        <f>Q298-R298</f>
        <v>0</v>
      </c>
    </row>
    <row r="299" spans="1:42" ht="15.75" hidden="1" x14ac:dyDescent="0.25">
      <c r="A299" s="747" t="s">
        <v>942</v>
      </c>
      <c r="B299" s="747"/>
      <c r="C299" s="815" t="s">
        <v>1024</v>
      </c>
      <c r="D299" s="625" t="s">
        <v>5</v>
      </c>
      <c r="E299" s="593" t="s">
        <v>5</v>
      </c>
      <c r="F299" s="594" t="s">
        <v>5</v>
      </c>
      <c r="G299" s="595" t="s">
        <v>5</v>
      </c>
      <c r="H299" s="566" t="s">
        <v>5</v>
      </c>
      <c r="I299" s="596" t="s">
        <v>5</v>
      </c>
      <c r="J299" s="595" t="s">
        <v>5</v>
      </c>
      <c r="K299" s="626" t="s">
        <v>5</v>
      </c>
      <c r="L299" s="595" t="s">
        <v>5</v>
      </c>
      <c r="M299" s="1076" t="s">
        <v>5</v>
      </c>
      <c r="N299" s="1077" t="s">
        <v>5</v>
      </c>
      <c r="O299" s="597" t="s">
        <v>5</v>
      </c>
      <c r="P299" s="595" t="s">
        <v>5</v>
      </c>
      <c r="Q299" s="571">
        <v>53.017452953690501</v>
      </c>
      <c r="R299" s="1075">
        <f t="shared" ref="R299:R304" si="46">Q299</f>
        <v>53.017452953690501</v>
      </c>
      <c r="S299" s="1075">
        <f t="shared" ref="S299:S362" si="47">Q299-R299</f>
        <v>0</v>
      </c>
    </row>
    <row r="300" spans="1:42" ht="15.75" hidden="1" x14ac:dyDescent="0.25">
      <c r="A300" s="747" t="s">
        <v>943</v>
      </c>
      <c r="B300" s="747"/>
      <c r="C300" s="815" t="s">
        <v>1024</v>
      </c>
      <c r="D300" s="625" t="s">
        <v>5</v>
      </c>
      <c r="E300" s="593" t="s">
        <v>5</v>
      </c>
      <c r="F300" s="594" t="s">
        <v>5</v>
      </c>
      <c r="G300" s="595" t="s">
        <v>5</v>
      </c>
      <c r="H300" s="566" t="s">
        <v>5</v>
      </c>
      <c r="I300" s="596" t="s">
        <v>5</v>
      </c>
      <c r="J300" s="595" t="s">
        <v>5</v>
      </c>
      <c r="K300" s="626" t="s">
        <v>5</v>
      </c>
      <c r="L300" s="595" t="s">
        <v>5</v>
      </c>
      <c r="M300" s="1076" t="s">
        <v>5</v>
      </c>
      <c r="N300" s="1077" t="s">
        <v>5</v>
      </c>
      <c r="O300" s="597" t="s">
        <v>5</v>
      </c>
      <c r="P300" s="595" t="s">
        <v>5</v>
      </c>
      <c r="Q300" s="571">
        <v>52.186283117091179</v>
      </c>
      <c r="R300" s="1075">
        <f t="shared" si="46"/>
        <v>52.186283117091179</v>
      </c>
      <c r="S300" s="1075">
        <f t="shared" si="47"/>
        <v>0</v>
      </c>
    </row>
    <row r="301" spans="1:42" ht="15.75" hidden="1" x14ac:dyDescent="0.25">
      <c r="A301" s="747" t="s">
        <v>944</v>
      </c>
      <c r="B301" s="747"/>
      <c r="C301" s="815" t="s">
        <v>1024</v>
      </c>
      <c r="D301" s="625" t="s">
        <v>5</v>
      </c>
      <c r="E301" s="593" t="s">
        <v>5</v>
      </c>
      <c r="F301" s="594" t="s">
        <v>5</v>
      </c>
      <c r="G301" s="595" t="s">
        <v>5</v>
      </c>
      <c r="H301" s="566" t="s">
        <v>5</v>
      </c>
      <c r="I301" s="596" t="s">
        <v>5</v>
      </c>
      <c r="J301" s="595" t="s">
        <v>5</v>
      </c>
      <c r="K301" s="626" t="s">
        <v>5</v>
      </c>
      <c r="L301" s="595" t="s">
        <v>5</v>
      </c>
      <c r="M301" s="1076" t="s">
        <v>5</v>
      </c>
      <c r="N301" s="1077" t="s">
        <v>5</v>
      </c>
      <c r="O301" s="597" t="s">
        <v>5</v>
      </c>
      <c r="P301" s="595" t="s">
        <v>5</v>
      </c>
      <c r="Q301" s="571">
        <v>21.048058928113484</v>
      </c>
      <c r="R301" s="1075">
        <f t="shared" si="46"/>
        <v>21.048058928113484</v>
      </c>
      <c r="S301" s="1075">
        <f t="shared" si="47"/>
        <v>0</v>
      </c>
    </row>
    <row r="302" spans="1:42" ht="15.75" hidden="1" x14ac:dyDescent="0.25">
      <c r="A302" s="747" t="s">
        <v>945</v>
      </c>
      <c r="B302" s="747"/>
      <c r="C302" s="815" t="s">
        <v>1024</v>
      </c>
      <c r="D302" s="625" t="s">
        <v>5</v>
      </c>
      <c r="E302" s="593" t="s">
        <v>5</v>
      </c>
      <c r="F302" s="594" t="s">
        <v>5</v>
      </c>
      <c r="G302" s="595" t="s">
        <v>5</v>
      </c>
      <c r="H302" s="566" t="s">
        <v>5</v>
      </c>
      <c r="I302" s="596" t="s">
        <v>5</v>
      </c>
      <c r="J302" s="595" t="s">
        <v>5</v>
      </c>
      <c r="K302" s="626" t="s">
        <v>5</v>
      </c>
      <c r="L302" s="595" t="s">
        <v>5</v>
      </c>
      <c r="M302" s="1076" t="s">
        <v>5</v>
      </c>
      <c r="N302" s="1077" t="s">
        <v>5</v>
      </c>
      <c r="O302" s="597" t="s">
        <v>5</v>
      </c>
      <c r="P302" s="595" t="s">
        <v>5</v>
      </c>
      <c r="Q302" s="571">
        <v>31.054892154907261</v>
      </c>
      <c r="R302" s="1075">
        <f t="shared" si="46"/>
        <v>31.054892154907261</v>
      </c>
      <c r="S302" s="1075">
        <f t="shared" si="47"/>
        <v>0</v>
      </c>
    </row>
    <row r="303" spans="1:42" ht="15.75" hidden="1" x14ac:dyDescent="0.25">
      <c r="A303" s="747" t="s">
        <v>946</v>
      </c>
      <c r="B303" s="747"/>
      <c r="C303" s="815" t="s">
        <v>1024</v>
      </c>
      <c r="D303" s="625" t="s">
        <v>5</v>
      </c>
      <c r="E303" s="593" t="s">
        <v>5</v>
      </c>
      <c r="F303" s="594" t="s">
        <v>5</v>
      </c>
      <c r="G303" s="595" t="s">
        <v>5</v>
      </c>
      <c r="H303" s="566" t="s">
        <v>5</v>
      </c>
      <c r="I303" s="596" t="s">
        <v>5</v>
      </c>
      <c r="J303" s="595" t="s">
        <v>5</v>
      </c>
      <c r="K303" s="626" t="s">
        <v>5</v>
      </c>
      <c r="L303" s="595" t="s">
        <v>5</v>
      </c>
      <c r="M303" s="1076" t="s">
        <v>5</v>
      </c>
      <c r="N303" s="1077" t="s">
        <v>5</v>
      </c>
      <c r="O303" s="597" t="s">
        <v>5</v>
      </c>
      <c r="P303" s="595" t="s">
        <v>5</v>
      </c>
      <c r="Q303" s="571">
        <v>16.652428537404525</v>
      </c>
      <c r="R303" s="1075">
        <f t="shared" si="46"/>
        <v>16.652428537404525</v>
      </c>
      <c r="S303" s="1075">
        <f t="shared" si="47"/>
        <v>0</v>
      </c>
    </row>
    <row r="304" spans="1:42" ht="16.5" hidden="1" thickBot="1" x14ac:dyDescent="0.3">
      <c r="A304" s="658" t="s">
        <v>947</v>
      </c>
      <c r="B304" s="747"/>
      <c r="C304" s="815" t="s">
        <v>1024</v>
      </c>
      <c r="D304" s="625" t="s">
        <v>5</v>
      </c>
      <c r="E304" s="593" t="s">
        <v>5</v>
      </c>
      <c r="F304" s="594" t="s">
        <v>5</v>
      </c>
      <c r="G304" s="595" t="s">
        <v>5</v>
      </c>
      <c r="H304" s="566" t="s">
        <v>5</v>
      </c>
      <c r="I304" s="596" t="s">
        <v>5</v>
      </c>
      <c r="J304" s="595" t="s">
        <v>5</v>
      </c>
      <c r="K304" s="626" t="s">
        <v>5</v>
      </c>
      <c r="L304" s="595" t="s">
        <v>5</v>
      </c>
      <c r="M304" s="1076" t="s">
        <v>5</v>
      </c>
      <c r="N304" s="1077" t="s">
        <v>5</v>
      </c>
      <c r="O304" s="597" t="s">
        <v>5</v>
      </c>
      <c r="P304" s="595" t="s">
        <v>5</v>
      </c>
      <c r="Q304" s="571">
        <v>52.199723767747699</v>
      </c>
      <c r="R304" s="1075">
        <f t="shared" si="46"/>
        <v>52.199723767747699</v>
      </c>
      <c r="S304" s="1075">
        <f t="shared" si="47"/>
        <v>0</v>
      </c>
    </row>
    <row r="305" spans="1:19" ht="16.5" hidden="1" thickBot="1" x14ac:dyDescent="0.3">
      <c r="A305" s="646" t="s">
        <v>526</v>
      </c>
      <c r="B305" s="1054" t="s">
        <v>429</v>
      </c>
      <c r="C305" s="816" t="s">
        <v>1026</v>
      </c>
      <c r="D305" s="625">
        <v>26.392844595536175</v>
      </c>
      <c r="E305" s="593">
        <v>0</v>
      </c>
      <c r="F305" s="594">
        <v>0</v>
      </c>
      <c r="G305" s="595">
        <v>5.2785689191072356</v>
      </c>
      <c r="H305" s="566">
        <v>31.671413514643412</v>
      </c>
      <c r="I305" s="596">
        <v>4.6575608109769719</v>
      </c>
      <c r="J305" s="595">
        <v>0.93151216219539446</v>
      </c>
      <c r="K305" s="626">
        <v>0</v>
      </c>
      <c r="L305" s="595">
        <v>0</v>
      </c>
      <c r="M305" s="1057">
        <f t="shared" ref="M305:N368" si="48">I305+K305</f>
        <v>4.6575608109769719</v>
      </c>
      <c r="N305" s="1058">
        <f t="shared" si="48"/>
        <v>0.93151216219539446</v>
      </c>
      <c r="O305" s="597">
        <v>0</v>
      </c>
      <c r="P305" s="595">
        <v>0</v>
      </c>
      <c r="Q305" s="571">
        <v>37.260486487815783</v>
      </c>
      <c r="R305" s="1075">
        <f>H305+M305+N305+O305+P305</f>
        <v>37.260486487815783</v>
      </c>
      <c r="S305" s="1075">
        <f t="shared" si="47"/>
        <v>0</v>
      </c>
    </row>
    <row r="306" spans="1:19" ht="15.75" hidden="1" x14ac:dyDescent="0.25">
      <c r="A306" s="664" t="s">
        <v>176</v>
      </c>
      <c r="B306" s="653"/>
      <c r="C306" s="653" t="s">
        <v>1028</v>
      </c>
      <c r="D306" s="625">
        <v>149.97854997854998</v>
      </c>
      <c r="E306" s="593">
        <v>274.37307437307436</v>
      </c>
      <c r="F306" s="594">
        <v>0</v>
      </c>
      <c r="G306" s="595">
        <v>0</v>
      </c>
      <c r="H306" s="566">
        <v>424.35162435162431</v>
      </c>
      <c r="I306" s="596">
        <v>407.1604071604072</v>
      </c>
      <c r="J306" s="595">
        <v>0</v>
      </c>
      <c r="K306" s="626">
        <v>0</v>
      </c>
      <c r="L306" s="595">
        <v>0</v>
      </c>
      <c r="M306" s="1057">
        <f t="shared" si="48"/>
        <v>407.1604071604072</v>
      </c>
      <c r="N306" s="1058">
        <f t="shared" si="48"/>
        <v>0</v>
      </c>
      <c r="O306" s="597">
        <v>0</v>
      </c>
      <c r="P306" s="595">
        <v>0</v>
      </c>
      <c r="Q306" s="571">
        <v>831.51203151203151</v>
      </c>
      <c r="R306" s="1075">
        <f t="shared" ref="R306:R319" si="49">H306+M306+N306+O306+P306</f>
        <v>831.51203151203151</v>
      </c>
      <c r="S306" s="1075">
        <f t="shared" si="47"/>
        <v>0</v>
      </c>
    </row>
    <row r="307" spans="1:19" ht="15.75" hidden="1" x14ac:dyDescent="0.25">
      <c r="A307" s="631" t="s">
        <v>178</v>
      </c>
      <c r="B307" s="631"/>
      <c r="C307" s="631" t="s">
        <v>1028</v>
      </c>
      <c r="D307" s="625">
        <v>129.72192972192974</v>
      </c>
      <c r="E307" s="593">
        <v>168.08236808236811</v>
      </c>
      <c r="F307" s="594">
        <v>0</v>
      </c>
      <c r="G307" s="595">
        <v>0</v>
      </c>
      <c r="H307" s="566">
        <v>297.80429780429785</v>
      </c>
      <c r="I307" s="596">
        <v>485.28528528528528</v>
      </c>
      <c r="J307" s="595">
        <v>0</v>
      </c>
      <c r="K307" s="626">
        <v>0</v>
      </c>
      <c r="L307" s="595">
        <v>0</v>
      </c>
      <c r="M307" s="1057">
        <f t="shared" si="48"/>
        <v>485.28528528528528</v>
      </c>
      <c r="N307" s="1058">
        <f t="shared" si="48"/>
        <v>0</v>
      </c>
      <c r="O307" s="597">
        <v>0</v>
      </c>
      <c r="P307" s="595">
        <v>0</v>
      </c>
      <c r="Q307" s="571">
        <v>783.08958308958313</v>
      </c>
      <c r="R307" s="1075">
        <f t="shared" si="49"/>
        <v>783.08958308958313</v>
      </c>
      <c r="S307" s="1075">
        <f t="shared" si="47"/>
        <v>0</v>
      </c>
    </row>
    <row r="308" spans="1:19" ht="15.75" hidden="1" x14ac:dyDescent="0.25">
      <c r="A308" s="631" t="s">
        <v>179</v>
      </c>
      <c r="B308" s="631"/>
      <c r="C308" s="631" t="s">
        <v>1028</v>
      </c>
      <c r="D308" s="625">
        <v>184.32978432978433</v>
      </c>
      <c r="E308" s="593">
        <v>133.61413361413364</v>
      </c>
      <c r="F308" s="594">
        <v>0</v>
      </c>
      <c r="G308" s="595">
        <v>0</v>
      </c>
      <c r="H308" s="566">
        <v>317.943917943918</v>
      </c>
      <c r="I308" s="596">
        <v>591.24059124059124</v>
      </c>
      <c r="J308" s="595">
        <v>0</v>
      </c>
      <c r="K308" s="626">
        <v>0</v>
      </c>
      <c r="L308" s="595">
        <v>0</v>
      </c>
      <c r="M308" s="1057">
        <f t="shared" si="48"/>
        <v>591.24059124059124</v>
      </c>
      <c r="N308" s="1058">
        <f t="shared" si="48"/>
        <v>0</v>
      </c>
      <c r="O308" s="597">
        <v>0</v>
      </c>
      <c r="P308" s="595">
        <v>0</v>
      </c>
      <c r="Q308" s="571">
        <v>909.18450918450924</v>
      </c>
      <c r="R308" s="1075">
        <f t="shared" si="49"/>
        <v>909.18450918450924</v>
      </c>
      <c r="S308" s="1075">
        <f t="shared" si="47"/>
        <v>0</v>
      </c>
    </row>
    <row r="309" spans="1:19" ht="15.75" hidden="1" x14ac:dyDescent="0.25">
      <c r="A309" s="631" t="s">
        <v>180</v>
      </c>
      <c r="B309" s="631"/>
      <c r="C309" s="631" t="s">
        <v>1028</v>
      </c>
      <c r="D309" s="625">
        <v>70.200070200070201</v>
      </c>
      <c r="E309" s="593">
        <v>156.00015600015601</v>
      </c>
      <c r="F309" s="594">
        <v>0</v>
      </c>
      <c r="G309" s="595">
        <v>0</v>
      </c>
      <c r="H309" s="566">
        <v>226.20022620022621</v>
      </c>
      <c r="I309" s="596">
        <v>455.52045552045553</v>
      </c>
      <c r="J309" s="595">
        <v>0</v>
      </c>
      <c r="K309" s="626">
        <v>0</v>
      </c>
      <c r="L309" s="595">
        <v>0</v>
      </c>
      <c r="M309" s="1057">
        <f t="shared" si="48"/>
        <v>455.52045552045553</v>
      </c>
      <c r="N309" s="1058">
        <f t="shared" si="48"/>
        <v>0</v>
      </c>
      <c r="O309" s="597">
        <v>0</v>
      </c>
      <c r="P309" s="595">
        <v>0</v>
      </c>
      <c r="Q309" s="571">
        <v>681.7206817206818</v>
      </c>
      <c r="R309" s="1075">
        <f t="shared" si="49"/>
        <v>681.7206817206818</v>
      </c>
      <c r="S309" s="1075">
        <f t="shared" si="47"/>
        <v>0</v>
      </c>
    </row>
    <row r="310" spans="1:19" ht="16.5" hidden="1" thickBot="1" x14ac:dyDescent="0.3">
      <c r="A310" s="631" t="s">
        <v>544</v>
      </c>
      <c r="B310" s="631" t="s">
        <v>429</v>
      </c>
      <c r="C310" s="631" t="s">
        <v>1028</v>
      </c>
      <c r="D310" s="625">
        <v>79.154479154479162</v>
      </c>
      <c r="E310" s="593">
        <v>203.5802035802036</v>
      </c>
      <c r="F310" s="594">
        <v>0</v>
      </c>
      <c r="G310" s="595">
        <v>0</v>
      </c>
      <c r="H310" s="566">
        <v>282.73468273468279</v>
      </c>
      <c r="I310" s="596">
        <v>412.62041262041265</v>
      </c>
      <c r="J310" s="595">
        <v>0</v>
      </c>
      <c r="K310" s="626">
        <v>0</v>
      </c>
      <c r="L310" s="595">
        <v>0</v>
      </c>
      <c r="M310" s="1057">
        <f t="shared" si="48"/>
        <v>412.62041262041265</v>
      </c>
      <c r="N310" s="1058">
        <f t="shared" si="48"/>
        <v>0</v>
      </c>
      <c r="O310" s="597">
        <v>0</v>
      </c>
      <c r="P310" s="595">
        <v>0</v>
      </c>
      <c r="Q310" s="571">
        <v>695.3550953550955</v>
      </c>
      <c r="R310" s="1075">
        <f t="shared" si="49"/>
        <v>695.3550953550955</v>
      </c>
      <c r="S310" s="1075">
        <f t="shared" si="47"/>
        <v>0</v>
      </c>
    </row>
    <row r="311" spans="1:19" ht="15.75" hidden="1" x14ac:dyDescent="0.25">
      <c r="A311" s="724" t="s">
        <v>932</v>
      </c>
      <c r="B311" s="724"/>
      <c r="C311" s="806" t="s">
        <v>1030</v>
      </c>
      <c r="D311" s="625">
        <v>44.417233886748058</v>
      </c>
      <c r="E311" s="593">
        <v>178.86940132771514</v>
      </c>
      <c r="F311" s="594">
        <v>0</v>
      </c>
      <c r="G311" s="595">
        <v>22.244630916795717</v>
      </c>
      <c r="H311" s="566">
        <v>245.53126613125892</v>
      </c>
      <c r="I311" s="596">
        <v>0</v>
      </c>
      <c r="J311" s="595">
        <v>0</v>
      </c>
      <c r="K311" s="626">
        <v>231.68989567952366</v>
      </c>
      <c r="L311" s="595">
        <v>23.192998883566823</v>
      </c>
      <c r="M311" s="1057">
        <f t="shared" si="48"/>
        <v>231.68989567952366</v>
      </c>
      <c r="N311" s="1058">
        <f t="shared" si="48"/>
        <v>23.192998883566823</v>
      </c>
      <c r="O311" s="597">
        <v>0</v>
      </c>
      <c r="P311" s="595">
        <v>0</v>
      </c>
      <c r="Q311" s="571">
        <v>500.41416069434939</v>
      </c>
      <c r="R311" s="1075">
        <f t="shared" si="49"/>
        <v>500.41416069434939</v>
      </c>
      <c r="S311" s="1075">
        <f t="shared" si="47"/>
        <v>0</v>
      </c>
    </row>
    <row r="312" spans="1:19" ht="15.75" hidden="1" x14ac:dyDescent="0.25">
      <c r="A312" s="735" t="s">
        <v>67</v>
      </c>
      <c r="B312" s="802"/>
      <c r="C312" s="802" t="s">
        <v>1032</v>
      </c>
      <c r="D312" s="625">
        <v>24.009315614458409</v>
      </c>
      <c r="E312" s="593">
        <v>207.12836580593267</v>
      </c>
      <c r="F312" s="594">
        <v>0</v>
      </c>
      <c r="G312" s="595">
        <v>13.865379767349731</v>
      </c>
      <c r="H312" s="566">
        <v>245.00306118774083</v>
      </c>
      <c r="I312" s="596">
        <v>173.63537052376319</v>
      </c>
      <c r="J312" s="595">
        <v>10.420042976674949</v>
      </c>
      <c r="K312" s="626">
        <v>123.33585431147284</v>
      </c>
      <c r="L312" s="595">
        <v>7.3948692092531898</v>
      </c>
      <c r="M312" s="1057">
        <f t="shared" si="48"/>
        <v>296.97122483523606</v>
      </c>
      <c r="N312" s="1058">
        <f t="shared" si="48"/>
        <v>17.81491218592814</v>
      </c>
      <c r="O312" s="597">
        <v>0</v>
      </c>
      <c r="P312" s="595">
        <v>0</v>
      </c>
      <c r="Q312" s="571">
        <v>559.78919820890508</v>
      </c>
      <c r="R312" s="1075">
        <f t="shared" si="49"/>
        <v>559.78919820890508</v>
      </c>
      <c r="S312" s="1075">
        <f t="shared" si="47"/>
        <v>0</v>
      </c>
    </row>
    <row r="313" spans="1:19" ht="15.75" hidden="1" x14ac:dyDescent="0.25">
      <c r="A313" s="685" t="s">
        <v>71</v>
      </c>
      <c r="B313" s="802"/>
      <c r="C313" s="802" t="s">
        <v>1032</v>
      </c>
      <c r="D313" s="625">
        <v>31.212110298795931</v>
      </c>
      <c r="E313" s="593">
        <v>170.98234114836558</v>
      </c>
      <c r="F313" s="594">
        <v>0</v>
      </c>
      <c r="G313" s="595">
        <v>12.136709043108725</v>
      </c>
      <c r="H313" s="566">
        <v>214.33116049027024</v>
      </c>
      <c r="I313" s="596">
        <v>129.35018787289468</v>
      </c>
      <c r="J313" s="595">
        <v>7.767013601277295</v>
      </c>
      <c r="K313" s="626">
        <v>120.55077370019568</v>
      </c>
      <c r="L313" s="595">
        <v>7.2388086577592103</v>
      </c>
      <c r="M313" s="1057">
        <f t="shared" si="48"/>
        <v>249.90096157309034</v>
      </c>
      <c r="N313" s="1058">
        <f t="shared" si="48"/>
        <v>15.005822259036506</v>
      </c>
      <c r="O313" s="597">
        <v>0</v>
      </c>
      <c r="P313" s="595">
        <v>0</v>
      </c>
      <c r="Q313" s="571">
        <v>479.23794432239714</v>
      </c>
      <c r="R313" s="1075">
        <f t="shared" si="49"/>
        <v>479.23794432239708</v>
      </c>
      <c r="S313" s="1075">
        <f t="shared" si="47"/>
        <v>0</v>
      </c>
    </row>
    <row r="314" spans="1:19" ht="15.75" hidden="1" x14ac:dyDescent="0.25">
      <c r="A314" s="685" t="s">
        <v>68</v>
      </c>
      <c r="B314" s="802" t="s">
        <v>429</v>
      </c>
      <c r="C314" s="802" t="s">
        <v>1032</v>
      </c>
      <c r="D314" s="625">
        <v>28.81117873735009</v>
      </c>
      <c r="E314" s="593">
        <v>243.33441375253597</v>
      </c>
      <c r="F314" s="594">
        <v>0</v>
      </c>
      <c r="G314" s="595">
        <v>16.326334617831719</v>
      </c>
      <c r="H314" s="566">
        <v>288.47192710771776</v>
      </c>
      <c r="I314" s="596">
        <v>121.96732332144872</v>
      </c>
      <c r="J314" s="595">
        <v>7.3228412624098143</v>
      </c>
      <c r="K314" s="626">
        <v>65.845548072652193</v>
      </c>
      <c r="L314" s="595">
        <v>3.9495324185784084</v>
      </c>
      <c r="M314" s="1057">
        <f t="shared" si="48"/>
        <v>187.81287139410091</v>
      </c>
      <c r="N314" s="1058">
        <f t="shared" si="48"/>
        <v>11.272373680988222</v>
      </c>
      <c r="O314" s="597">
        <v>0</v>
      </c>
      <c r="P314" s="595">
        <v>0</v>
      </c>
      <c r="Q314" s="571">
        <v>487.55717218280694</v>
      </c>
      <c r="R314" s="1075">
        <f t="shared" si="49"/>
        <v>487.55717218280688</v>
      </c>
      <c r="S314" s="1075">
        <f t="shared" si="47"/>
        <v>0</v>
      </c>
    </row>
    <row r="315" spans="1:19" ht="15.75" hidden="1" x14ac:dyDescent="0.25">
      <c r="A315" s="685" t="s">
        <v>72</v>
      </c>
      <c r="B315" s="802"/>
      <c r="C315" s="802" t="s">
        <v>1032</v>
      </c>
      <c r="D315" s="625">
        <v>67.430162903206437</v>
      </c>
      <c r="E315" s="593">
        <v>286.5871958319828</v>
      </c>
      <c r="F315" s="594">
        <v>3.1092063720723639</v>
      </c>
      <c r="G315" s="595">
        <v>0</v>
      </c>
      <c r="H315" s="566">
        <v>357.12656510726163</v>
      </c>
      <c r="I315" s="596">
        <v>0</v>
      </c>
      <c r="J315" s="595">
        <v>0</v>
      </c>
      <c r="K315" s="626">
        <v>268.90433488193418</v>
      </c>
      <c r="L315" s="595">
        <v>16.134260092916051</v>
      </c>
      <c r="M315" s="1057">
        <f t="shared" si="48"/>
        <v>268.90433488193418</v>
      </c>
      <c r="N315" s="1058">
        <f t="shared" si="48"/>
        <v>16.134260092916051</v>
      </c>
      <c r="O315" s="597">
        <v>0</v>
      </c>
      <c r="P315" s="595">
        <v>0</v>
      </c>
      <c r="Q315" s="571">
        <v>642.16516008211192</v>
      </c>
      <c r="R315" s="1075">
        <f t="shared" si="49"/>
        <v>642.16516008211192</v>
      </c>
      <c r="S315" s="1075">
        <f t="shared" si="47"/>
        <v>0</v>
      </c>
    </row>
    <row r="316" spans="1:19" ht="15.75" hidden="1" x14ac:dyDescent="0.25">
      <c r="A316" s="685" t="s">
        <v>69</v>
      </c>
      <c r="B316" s="802"/>
      <c r="C316" s="802" t="s">
        <v>1032</v>
      </c>
      <c r="D316" s="625">
        <v>24.009315614458409</v>
      </c>
      <c r="E316" s="593">
        <v>207.12836580593267</v>
      </c>
      <c r="F316" s="594">
        <v>0</v>
      </c>
      <c r="G316" s="595">
        <v>13.865379767349731</v>
      </c>
      <c r="H316" s="566">
        <v>245.00306118774083</v>
      </c>
      <c r="I316" s="596">
        <v>173.63537052376319</v>
      </c>
      <c r="J316" s="595">
        <v>10.420042976674949</v>
      </c>
      <c r="K316" s="626">
        <v>123.33585431147284</v>
      </c>
      <c r="L316" s="595">
        <v>7.3948692092531898</v>
      </c>
      <c r="M316" s="1057">
        <f t="shared" si="48"/>
        <v>296.97122483523606</v>
      </c>
      <c r="N316" s="1058">
        <f t="shared" si="48"/>
        <v>17.81491218592814</v>
      </c>
      <c r="O316" s="597">
        <v>0</v>
      </c>
      <c r="P316" s="595">
        <v>0</v>
      </c>
      <c r="Q316" s="571">
        <v>559.78919820890508</v>
      </c>
      <c r="R316" s="1075">
        <f t="shared" si="49"/>
        <v>559.78919820890508</v>
      </c>
      <c r="S316" s="1075">
        <f t="shared" si="47"/>
        <v>0</v>
      </c>
    </row>
    <row r="317" spans="1:19" ht="15.75" hidden="1" x14ac:dyDescent="0.25">
      <c r="A317" s="685" t="s">
        <v>70</v>
      </c>
      <c r="B317" s="802"/>
      <c r="C317" s="802" t="s">
        <v>1032</v>
      </c>
      <c r="D317" s="625">
        <v>24.009315614458409</v>
      </c>
      <c r="E317" s="593">
        <v>207.12836580593267</v>
      </c>
      <c r="F317" s="594">
        <v>0</v>
      </c>
      <c r="G317" s="595">
        <v>13.865379767349731</v>
      </c>
      <c r="H317" s="566">
        <v>245.00306118774083</v>
      </c>
      <c r="I317" s="596">
        <v>173.63537052376319</v>
      </c>
      <c r="J317" s="595">
        <v>10.420042976674949</v>
      </c>
      <c r="K317" s="626">
        <v>123.33585431147284</v>
      </c>
      <c r="L317" s="595">
        <v>7.3948692092531898</v>
      </c>
      <c r="M317" s="1057">
        <f t="shared" si="48"/>
        <v>296.97122483523606</v>
      </c>
      <c r="N317" s="1058">
        <f t="shared" si="48"/>
        <v>17.81491218592814</v>
      </c>
      <c r="O317" s="597">
        <v>0</v>
      </c>
      <c r="P317" s="595">
        <v>0</v>
      </c>
      <c r="Q317" s="571">
        <v>559.78919820890508</v>
      </c>
      <c r="R317" s="1075">
        <f t="shared" si="49"/>
        <v>559.78919820890508</v>
      </c>
      <c r="S317" s="1075">
        <f t="shared" si="47"/>
        <v>0</v>
      </c>
    </row>
    <row r="318" spans="1:19" ht="15.75" hidden="1" x14ac:dyDescent="0.25">
      <c r="A318" s="735" t="s">
        <v>216</v>
      </c>
      <c r="B318" s="802"/>
      <c r="C318" s="802" t="s">
        <v>1032</v>
      </c>
      <c r="D318" s="625">
        <v>31.212110298795931</v>
      </c>
      <c r="E318" s="593">
        <v>249.60084512790959</v>
      </c>
      <c r="F318" s="594">
        <v>0</v>
      </c>
      <c r="G318" s="595">
        <v>16.842534903542575</v>
      </c>
      <c r="H318" s="566">
        <v>297.65549033024809</v>
      </c>
      <c r="I318" s="596">
        <v>168.7854887696426</v>
      </c>
      <c r="J318" s="595">
        <v>10.131931189301447</v>
      </c>
      <c r="K318" s="626">
        <v>120.55077370019568</v>
      </c>
      <c r="L318" s="595">
        <v>7.2388086577592103</v>
      </c>
      <c r="M318" s="1057">
        <f t="shared" si="48"/>
        <v>289.33626246983829</v>
      </c>
      <c r="N318" s="1058">
        <f t="shared" si="48"/>
        <v>17.370739847060658</v>
      </c>
      <c r="O318" s="597">
        <v>0</v>
      </c>
      <c r="P318" s="595">
        <v>0</v>
      </c>
      <c r="Q318" s="571">
        <v>604.36249264714706</v>
      </c>
      <c r="R318" s="1075">
        <f t="shared" si="49"/>
        <v>604.36249264714706</v>
      </c>
      <c r="S318" s="1075">
        <f t="shared" si="47"/>
        <v>0</v>
      </c>
    </row>
    <row r="319" spans="1:19" ht="16.5" hidden="1" thickBot="1" x14ac:dyDescent="0.3">
      <c r="A319" s="736" t="s">
        <v>629</v>
      </c>
      <c r="B319" s="802"/>
      <c r="C319" s="807" t="s">
        <v>1032</v>
      </c>
      <c r="D319" s="625">
        <v>62.904406909881033</v>
      </c>
      <c r="E319" s="593">
        <v>267.34372936699435</v>
      </c>
      <c r="F319" s="594">
        <v>3.1092063720723639</v>
      </c>
      <c r="G319" s="595">
        <v>0</v>
      </c>
      <c r="H319" s="566">
        <v>333.35734264894774</v>
      </c>
      <c r="I319" s="596">
        <v>0</v>
      </c>
      <c r="J319" s="595">
        <v>0</v>
      </c>
      <c r="K319" s="626">
        <v>268.90433488193418</v>
      </c>
      <c r="L319" s="595">
        <v>16.134260092916051</v>
      </c>
      <c r="M319" s="1057">
        <f t="shared" si="48"/>
        <v>268.90433488193418</v>
      </c>
      <c r="N319" s="1058">
        <f t="shared" si="48"/>
        <v>16.134260092916051</v>
      </c>
      <c r="O319" s="597">
        <v>0</v>
      </c>
      <c r="P319" s="595">
        <v>0</v>
      </c>
      <c r="Q319" s="571">
        <v>618.39593762379798</v>
      </c>
      <c r="R319" s="1075">
        <f t="shared" si="49"/>
        <v>618.39593762379798</v>
      </c>
      <c r="S319" s="1075">
        <f t="shared" si="47"/>
        <v>0</v>
      </c>
    </row>
    <row r="320" spans="1:19" ht="15.75" hidden="1" x14ac:dyDescent="0.25">
      <c r="A320" s="729" t="s">
        <v>935</v>
      </c>
      <c r="B320" s="803"/>
      <c r="C320" s="803" t="s">
        <v>1034</v>
      </c>
      <c r="D320" s="625" t="s">
        <v>5</v>
      </c>
      <c r="E320" s="593" t="s">
        <v>5</v>
      </c>
      <c r="F320" s="594" t="s">
        <v>5</v>
      </c>
      <c r="G320" s="595" t="s">
        <v>5</v>
      </c>
      <c r="H320" s="566" t="s">
        <v>5</v>
      </c>
      <c r="I320" s="596" t="s">
        <v>5</v>
      </c>
      <c r="J320" s="595" t="s">
        <v>5</v>
      </c>
      <c r="K320" s="626" t="s">
        <v>5</v>
      </c>
      <c r="L320" s="595" t="s">
        <v>5</v>
      </c>
      <c r="M320" s="1076" t="s">
        <v>5</v>
      </c>
      <c r="N320" s="1077" t="s">
        <v>5</v>
      </c>
      <c r="O320" s="597" t="s">
        <v>5</v>
      </c>
      <c r="P320" s="595" t="s">
        <v>5</v>
      </c>
      <c r="Q320" s="571">
        <v>89.379267029618958</v>
      </c>
      <c r="R320" s="1075">
        <f>Q320</f>
        <v>89.379267029618958</v>
      </c>
      <c r="S320" s="1075">
        <f t="shared" si="47"/>
        <v>0</v>
      </c>
    </row>
    <row r="321" spans="1:19" ht="15.75" hidden="1" x14ac:dyDescent="0.25">
      <c r="A321" s="632" t="s">
        <v>462</v>
      </c>
      <c r="B321" s="803"/>
      <c r="C321" s="803" t="s">
        <v>1034</v>
      </c>
      <c r="D321" s="625" t="s">
        <v>5</v>
      </c>
      <c r="E321" s="593" t="s">
        <v>5</v>
      </c>
      <c r="F321" s="594" t="s">
        <v>5</v>
      </c>
      <c r="G321" s="595" t="s">
        <v>5</v>
      </c>
      <c r="H321" s="566" t="s">
        <v>5</v>
      </c>
      <c r="I321" s="596" t="s">
        <v>5</v>
      </c>
      <c r="J321" s="595" t="s">
        <v>5</v>
      </c>
      <c r="K321" s="626" t="s">
        <v>5</v>
      </c>
      <c r="L321" s="595" t="s">
        <v>5</v>
      </c>
      <c r="M321" s="1076" t="s">
        <v>5</v>
      </c>
      <c r="N321" s="1077" t="s">
        <v>5</v>
      </c>
      <c r="O321" s="597" t="s">
        <v>5</v>
      </c>
      <c r="P321" s="595" t="s">
        <v>5</v>
      </c>
      <c r="Q321" s="571">
        <v>73.375546919585844</v>
      </c>
      <c r="R321" s="1075">
        <f>Q321</f>
        <v>73.375546919585844</v>
      </c>
      <c r="S321" s="1075">
        <f t="shared" si="47"/>
        <v>0</v>
      </c>
    </row>
    <row r="322" spans="1:19" ht="16.5" hidden="1" thickBot="1" x14ac:dyDescent="0.3">
      <c r="A322" s="730" t="s">
        <v>933</v>
      </c>
      <c r="B322" s="803" t="s">
        <v>429</v>
      </c>
      <c r="C322" s="810" t="s">
        <v>1034</v>
      </c>
      <c r="D322" s="625" t="s">
        <v>5</v>
      </c>
      <c r="E322" s="593" t="s">
        <v>5</v>
      </c>
      <c r="F322" s="594" t="s">
        <v>5</v>
      </c>
      <c r="G322" s="595" t="s">
        <v>5</v>
      </c>
      <c r="H322" s="566" t="s">
        <v>5</v>
      </c>
      <c r="I322" s="596" t="s">
        <v>5</v>
      </c>
      <c r="J322" s="595" t="s">
        <v>5</v>
      </c>
      <c r="K322" s="626" t="s">
        <v>5</v>
      </c>
      <c r="L322" s="595" t="s">
        <v>5</v>
      </c>
      <c r="M322" s="1076" t="s">
        <v>5</v>
      </c>
      <c r="N322" s="1077" t="s">
        <v>5</v>
      </c>
      <c r="O322" s="597" t="s">
        <v>5</v>
      </c>
      <c r="P322" s="595" t="s">
        <v>5</v>
      </c>
      <c r="Q322" s="571">
        <v>131.95520166197124</v>
      </c>
      <c r="R322" s="1075">
        <f>Q322</f>
        <v>131.95520166197124</v>
      </c>
      <c r="S322" s="1075">
        <f t="shared" si="47"/>
        <v>0</v>
      </c>
    </row>
    <row r="323" spans="1:19" ht="15.75" hidden="1" x14ac:dyDescent="0.25">
      <c r="A323" s="623" t="s">
        <v>73</v>
      </c>
      <c r="B323" s="802" t="s">
        <v>429</v>
      </c>
      <c r="C323" s="802" t="s">
        <v>1036</v>
      </c>
      <c r="D323" s="625">
        <v>71.806453988633706</v>
      </c>
      <c r="E323" s="593">
        <v>0</v>
      </c>
      <c r="F323" s="594">
        <v>0</v>
      </c>
      <c r="G323" s="595">
        <v>14.11579864733825</v>
      </c>
      <c r="H323" s="566">
        <v>85.922252635971958</v>
      </c>
      <c r="I323" s="596">
        <v>20.866832783021763</v>
      </c>
      <c r="J323" s="595">
        <v>4.2961126317985983</v>
      </c>
      <c r="K323" s="626">
        <v>17.798180903165619</v>
      </c>
      <c r="L323" s="595">
        <v>3.68238225582737</v>
      </c>
      <c r="M323" s="1057">
        <f t="shared" si="48"/>
        <v>38.665013686187379</v>
      </c>
      <c r="N323" s="1058">
        <f t="shared" si="48"/>
        <v>7.9784948876259687</v>
      </c>
      <c r="O323" s="597">
        <v>0</v>
      </c>
      <c r="P323" s="595">
        <v>0</v>
      </c>
      <c r="Q323" s="571">
        <v>132.56576120978531</v>
      </c>
      <c r="R323" s="1075">
        <f t="shared" ref="R323:R386" si="50">H323+M323+N323+O323+P323</f>
        <v>132.56576120978531</v>
      </c>
      <c r="S323" s="1075">
        <f t="shared" si="47"/>
        <v>0</v>
      </c>
    </row>
    <row r="324" spans="1:19" ht="15.75" hidden="1" x14ac:dyDescent="0.25">
      <c r="A324" s="685" t="s">
        <v>74</v>
      </c>
      <c r="B324" s="802"/>
      <c r="C324" s="802" t="s">
        <v>1036</v>
      </c>
      <c r="D324" s="625">
        <v>79.171218500288447</v>
      </c>
      <c r="E324" s="593">
        <v>0</v>
      </c>
      <c r="F324" s="594">
        <v>0</v>
      </c>
      <c r="G324" s="595">
        <v>15.956989775251936</v>
      </c>
      <c r="H324" s="566">
        <v>95.128208275540388</v>
      </c>
      <c r="I324" s="596">
        <v>17.798180903165619</v>
      </c>
      <c r="J324" s="595">
        <v>3.68238225582737</v>
      </c>
      <c r="K324" s="626">
        <v>34.368901054388786</v>
      </c>
      <c r="L324" s="595">
        <v>6.7510341356835113</v>
      </c>
      <c r="M324" s="1057">
        <f t="shared" si="48"/>
        <v>52.167081957554402</v>
      </c>
      <c r="N324" s="1058">
        <f t="shared" si="48"/>
        <v>10.433416391510882</v>
      </c>
      <c r="O324" s="597">
        <v>0</v>
      </c>
      <c r="P324" s="595">
        <v>0</v>
      </c>
      <c r="Q324" s="571">
        <v>157.72870662460568</v>
      </c>
      <c r="R324" s="1075">
        <f t="shared" si="50"/>
        <v>157.72870662460568</v>
      </c>
      <c r="S324" s="1075">
        <f t="shared" si="47"/>
        <v>0</v>
      </c>
    </row>
    <row r="325" spans="1:19" ht="15.75" hidden="1" x14ac:dyDescent="0.25">
      <c r="A325" s="685" t="s">
        <v>75</v>
      </c>
      <c r="B325" s="802"/>
      <c r="C325" s="802" t="s">
        <v>1036</v>
      </c>
      <c r="D325" s="625">
        <v>90.832095643741795</v>
      </c>
      <c r="E325" s="593">
        <v>0</v>
      </c>
      <c r="F325" s="594">
        <v>0</v>
      </c>
      <c r="G325" s="595">
        <v>18.411911279136849</v>
      </c>
      <c r="H325" s="566">
        <v>109.24400692287864</v>
      </c>
      <c r="I325" s="596">
        <v>7.36476451165474</v>
      </c>
      <c r="J325" s="595">
        <v>1.2274607519424565</v>
      </c>
      <c r="K325" s="626">
        <v>19.025641655108078</v>
      </c>
      <c r="L325" s="595">
        <v>3.68238225582737</v>
      </c>
      <c r="M325" s="1057">
        <f t="shared" si="48"/>
        <v>26.390406166762819</v>
      </c>
      <c r="N325" s="1058">
        <f t="shared" si="48"/>
        <v>4.9098430077698261</v>
      </c>
      <c r="O325" s="597">
        <v>0</v>
      </c>
      <c r="P325" s="595">
        <v>0</v>
      </c>
      <c r="Q325" s="571">
        <v>140.54425609741131</v>
      </c>
      <c r="R325" s="1075">
        <f t="shared" si="50"/>
        <v>140.54425609741131</v>
      </c>
      <c r="S325" s="1075">
        <f t="shared" si="47"/>
        <v>0</v>
      </c>
    </row>
    <row r="326" spans="1:19" ht="15.75" hidden="1" x14ac:dyDescent="0.25">
      <c r="A326" s="685" t="s">
        <v>76</v>
      </c>
      <c r="B326" s="802"/>
      <c r="C326" s="802" t="s">
        <v>1036</v>
      </c>
      <c r="D326" s="625">
        <v>128.88337895395793</v>
      </c>
      <c r="E326" s="593">
        <v>0</v>
      </c>
      <c r="F326" s="594">
        <v>0</v>
      </c>
      <c r="G326" s="595">
        <v>25.77667579079159</v>
      </c>
      <c r="H326" s="566">
        <v>154.66005474474952</v>
      </c>
      <c r="I326" s="596">
        <v>4.9098430077698261</v>
      </c>
      <c r="J326" s="595">
        <v>1.2274607519424565</v>
      </c>
      <c r="K326" s="626">
        <v>10.433416391510882</v>
      </c>
      <c r="L326" s="595">
        <v>1.841191127913685</v>
      </c>
      <c r="M326" s="1057">
        <f t="shared" si="48"/>
        <v>15.343259399280708</v>
      </c>
      <c r="N326" s="1058">
        <f t="shared" si="48"/>
        <v>3.0686518798561417</v>
      </c>
      <c r="O326" s="597">
        <v>0</v>
      </c>
      <c r="P326" s="595">
        <v>0</v>
      </c>
      <c r="Q326" s="571">
        <v>173.07196602388638</v>
      </c>
      <c r="R326" s="1075">
        <f t="shared" si="50"/>
        <v>173.07196602388635</v>
      </c>
      <c r="S326" s="1075">
        <f t="shared" si="47"/>
        <v>0</v>
      </c>
    </row>
    <row r="327" spans="1:19" ht="16.5" hidden="1" thickBot="1" x14ac:dyDescent="0.3">
      <c r="A327" s="624" t="s">
        <v>77</v>
      </c>
      <c r="B327" s="802"/>
      <c r="C327" s="802" t="s">
        <v>1036</v>
      </c>
      <c r="D327" s="625">
        <v>111.08519805079233</v>
      </c>
      <c r="E327" s="593">
        <v>0</v>
      </c>
      <c r="F327" s="594">
        <v>0</v>
      </c>
      <c r="G327" s="595">
        <v>22.094293534964219</v>
      </c>
      <c r="H327" s="566">
        <v>133.17949158575655</v>
      </c>
      <c r="I327" s="596">
        <v>6.1373037597122826</v>
      </c>
      <c r="J327" s="595">
        <v>1.2274607519424565</v>
      </c>
      <c r="K327" s="626">
        <v>22.094293534964219</v>
      </c>
      <c r="L327" s="595">
        <v>4.2961126317985983</v>
      </c>
      <c r="M327" s="1057">
        <f t="shared" si="48"/>
        <v>28.231597294676501</v>
      </c>
      <c r="N327" s="1058">
        <f t="shared" si="48"/>
        <v>5.5235733837410548</v>
      </c>
      <c r="O327" s="597">
        <v>0</v>
      </c>
      <c r="P327" s="595">
        <v>0</v>
      </c>
      <c r="Q327" s="571">
        <v>166.93466226417411</v>
      </c>
      <c r="R327" s="1075">
        <f t="shared" si="50"/>
        <v>166.93466226417411</v>
      </c>
      <c r="S327" s="1075">
        <f t="shared" si="47"/>
        <v>0</v>
      </c>
    </row>
    <row r="328" spans="1:19" ht="15.75" hidden="1" x14ac:dyDescent="0.25">
      <c r="A328" s="740" t="s">
        <v>548</v>
      </c>
      <c r="B328" s="806"/>
      <c r="C328" s="806" t="s">
        <v>1040</v>
      </c>
      <c r="D328" s="625">
        <v>148.76072487853753</v>
      </c>
      <c r="E328" s="593">
        <v>138.29626507844367</v>
      </c>
      <c r="F328" s="594">
        <v>0</v>
      </c>
      <c r="G328" s="595">
        <v>0</v>
      </c>
      <c r="H328" s="566">
        <v>287.05698995698117</v>
      </c>
      <c r="I328" s="596">
        <v>0</v>
      </c>
      <c r="J328" s="595">
        <v>0</v>
      </c>
      <c r="K328" s="626">
        <v>346.69486875690808</v>
      </c>
      <c r="L328" s="595">
        <v>0</v>
      </c>
      <c r="M328" s="1057">
        <f t="shared" si="48"/>
        <v>346.69486875690808</v>
      </c>
      <c r="N328" s="1058">
        <f t="shared" si="48"/>
        <v>0</v>
      </c>
      <c r="O328" s="597">
        <v>0</v>
      </c>
      <c r="P328" s="595">
        <v>0</v>
      </c>
      <c r="Q328" s="571">
        <v>633.75185871388931</v>
      </c>
      <c r="R328" s="1075">
        <f t="shared" si="50"/>
        <v>633.75185871388931</v>
      </c>
      <c r="S328" s="1075">
        <f t="shared" si="47"/>
        <v>0</v>
      </c>
    </row>
    <row r="329" spans="1:19" ht="15.75" hidden="1" x14ac:dyDescent="0.25">
      <c r="A329" s="724" t="s">
        <v>940</v>
      </c>
      <c r="B329" s="724" t="s">
        <v>429</v>
      </c>
      <c r="C329" s="724" t="s">
        <v>1040</v>
      </c>
      <c r="D329" s="625">
        <v>87.214433957013028</v>
      </c>
      <c r="E329" s="593">
        <v>149.74673780802965</v>
      </c>
      <c r="F329" s="594">
        <v>0</v>
      </c>
      <c r="G329" s="595">
        <v>0</v>
      </c>
      <c r="H329" s="566">
        <v>236.96117176504268</v>
      </c>
      <c r="I329" s="596">
        <v>0</v>
      </c>
      <c r="J329" s="595">
        <v>0</v>
      </c>
      <c r="K329" s="626">
        <v>252.06943439435747</v>
      </c>
      <c r="L329" s="595">
        <v>0</v>
      </c>
      <c r="M329" s="1057">
        <f t="shared" si="48"/>
        <v>252.06943439435747</v>
      </c>
      <c r="N329" s="1058">
        <f t="shared" si="48"/>
        <v>0</v>
      </c>
      <c r="O329" s="597">
        <v>0</v>
      </c>
      <c r="P329" s="595">
        <v>0</v>
      </c>
      <c r="Q329" s="571">
        <v>489.03060615940012</v>
      </c>
      <c r="R329" s="1075">
        <f t="shared" si="50"/>
        <v>489.03060615940012</v>
      </c>
      <c r="S329" s="1075">
        <f t="shared" si="47"/>
        <v>0</v>
      </c>
    </row>
    <row r="330" spans="1:19" ht="15.75" hidden="1" x14ac:dyDescent="0.25">
      <c r="A330" s="724" t="s">
        <v>549</v>
      </c>
      <c r="B330" s="724"/>
      <c r="C330" s="724" t="s">
        <v>1040</v>
      </c>
      <c r="D330" s="625">
        <v>142.60609578638508</v>
      </c>
      <c r="E330" s="593">
        <v>141.27020730126671</v>
      </c>
      <c r="F330" s="594">
        <v>0</v>
      </c>
      <c r="G330" s="595">
        <v>0</v>
      </c>
      <c r="H330" s="566">
        <v>283.87630308765176</v>
      </c>
      <c r="I330" s="596">
        <v>0</v>
      </c>
      <c r="J330" s="595">
        <v>0</v>
      </c>
      <c r="K330" s="626">
        <v>201.97361620241892</v>
      </c>
      <c r="L330" s="595">
        <v>0</v>
      </c>
      <c r="M330" s="1057">
        <f t="shared" si="48"/>
        <v>201.97361620241892</v>
      </c>
      <c r="N330" s="1058">
        <f t="shared" si="48"/>
        <v>0</v>
      </c>
      <c r="O330" s="597">
        <v>0</v>
      </c>
      <c r="P330" s="595">
        <v>0</v>
      </c>
      <c r="Q330" s="571">
        <v>485.84991929007072</v>
      </c>
      <c r="R330" s="1075">
        <f t="shared" si="50"/>
        <v>485.84991929007072</v>
      </c>
      <c r="S330" s="1075">
        <f t="shared" si="47"/>
        <v>0</v>
      </c>
    </row>
    <row r="331" spans="1:19" ht="15.75" hidden="1" x14ac:dyDescent="0.25">
      <c r="A331" s="724" t="s">
        <v>722</v>
      </c>
      <c r="B331" s="724"/>
      <c r="C331" s="724" t="s">
        <v>1040</v>
      </c>
      <c r="D331" s="625">
        <v>190.84121215976592</v>
      </c>
      <c r="E331" s="593">
        <v>284.67147480498414</v>
      </c>
      <c r="F331" s="594">
        <v>0</v>
      </c>
      <c r="G331" s="595">
        <v>0</v>
      </c>
      <c r="H331" s="566">
        <v>475.51268696475006</v>
      </c>
      <c r="I331" s="596">
        <v>0</v>
      </c>
      <c r="J331" s="595">
        <v>0</v>
      </c>
      <c r="K331" s="626">
        <v>196.40741418109241</v>
      </c>
      <c r="L331" s="595">
        <v>0</v>
      </c>
      <c r="M331" s="1057">
        <f t="shared" si="48"/>
        <v>196.40741418109241</v>
      </c>
      <c r="N331" s="1058">
        <f t="shared" si="48"/>
        <v>0</v>
      </c>
      <c r="O331" s="597">
        <v>0</v>
      </c>
      <c r="P331" s="595">
        <v>0</v>
      </c>
      <c r="Q331" s="571">
        <v>671.92010114584241</v>
      </c>
      <c r="R331" s="1075">
        <f t="shared" si="50"/>
        <v>671.92010114584241</v>
      </c>
      <c r="S331" s="1075">
        <f t="shared" si="47"/>
        <v>0</v>
      </c>
    </row>
    <row r="332" spans="1:19" ht="15.75" hidden="1" x14ac:dyDescent="0.25">
      <c r="A332" s="724" t="s">
        <v>723</v>
      </c>
      <c r="B332" s="724"/>
      <c r="C332" s="724" t="s">
        <v>1040</v>
      </c>
      <c r="D332" s="625">
        <v>489.8257778767325</v>
      </c>
      <c r="E332" s="593">
        <v>0</v>
      </c>
      <c r="F332" s="594">
        <v>0</v>
      </c>
      <c r="G332" s="595">
        <v>0</v>
      </c>
      <c r="H332" s="566">
        <v>489.8257778767325</v>
      </c>
      <c r="I332" s="596">
        <v>0</v>
      </c>
      <c r="J332" s="595">
        <v>0</v>
      </c>
      <c r="K332" s="626">
        <v>305.34593945562546</v>
      </c>
      <c r="L332" s="595">
        <v>0</v>
      </c>
      <c r="M332" s="1057">
        <f t="shared" si="48"/>
        <v>305.34593945562546</v>
      </c>
      <c r="N332" s="1058">
        <f t="shared" si="48"/>
        <v>0</v>
      </c>
      <c r="O332" s="597">
        <v>0</v>
      </c>
      <c r="P332" s="595">
        <v>0</v>
      </c>
      <c r="Q332" s="571">
        <v>795.17171733235796</v>
      </c>
      <c r="R332" s="1075">
        <f t="shared" si="50"/>
        <v>795.17171733235796</v>
      </c>
      <c r="S332" s="1075">
        <f t="shared" si="47"/>
        <v>0</v>
      </c>
    </row>
    <row r="333" spans="1:19" ht="16.5" hidden="1" thickBot="1" x14ac:dyDescent="0.3">
      <c r="A333" s="743" t="s">
        <v>552</v>
      </c>
      <c r="B333" s="807"/>
      <c r="C333" s="807" t="s">
        <v>1040</v>
      </c>
      <c r="D333" s="625">
        <v>167.65400488235434</v>
      </c>
      <c r="E333" s="593">
        <v>82.825086077338398</v>
      </c>
      <c r="F333" s="594">
        <v>0</v>
      </c>
      <c r="G333" s="595">
        <v>0</v>
      </c>
      <c r="H333" s="566">
        <v>250.47909095969274</v>
      </c>
      <c r="I333" s="596">
        <v>0</v>
      </c>
      <c r="J333" s="595">
        <v>0</v>
      </c>
      <c r="K333" s="626">
        <v>199.58810105042184</v>
      </c>
      <c r="L333" s="595">
        <v>0</v>
      </c>
      <c r="M333" s="1057">
        <f t="shared" si="48"/>
        <v>199.58810105042184</v>
      </c>
      <c r="N333" s="1058">
        <f t="shared" si="48"/>
        <v>0</v>
      </c>
      <c r="O333" s="597">
        <v>0</v>
      </c>
      <c r="P333" s="595">
        <v>0</v>
      </c>
      <c r="Q333" s="571">
        <v>450.06719201011458</v>
      </c>
      <c r="R333" s="1075">
        <f t="shared" si="50"/>
        <v>450.06719201011458</v>
      </c>
      <c r="S333" s="1075">
        <f t="shared" si="47"/>
        <v>0</v>
      </c>
    </row>
    <row r="334" spans="1:19" ht="15.75" hidden="1" x14ac:dyDescent="0.25">
      <c r="A334" s="623" t="s">
        <v>78</v>
      </c>
      <c r="B334" s="802" t="s">
        <v>429</v>
      </c>
      <c r="C334" s="802" t="s">
        <v>1044</v>
      </c>
      <c r="D334" s="686">
        <v>31.837533221773793</v>
      </c>
      <c r="E334" s="593">
        <v>0</v>
      </c>
      <c r="F334" s="594">
        <v>0</v>
      </c>
      <c r="G334" s="595">
        <v>0</v>
      </c>
      <c r="H334" s="566">
        <v>31.837533221773793</v>
      </c>
      <c r="I334" s="596">
        <v>0</v>
      </c>
      <c r="J334" s="595">
        <v>0</v>
      </c>
      <c r="K334" s="626">
        <v>20.917413131213703</v>
      </c>
      <c r="L334" s="595">
        <v>0</v>
      </c>
      <c r="M334" s="1057">
        <f t="shared" si="48"/>
        <v>20.917413131213703</v>
      </c>
      <c r="N334" s="1058">
        <f t="shared" si="48"/>
        <v>0</v>
      </c>
      <c r="O334" s="597">
        <v>24.147307805886406</v>
      </c>
      <c r="P334" s="595">
        <v>0</v>
      </c>
      <c r="Q334" s="571">
        <v>76.902254158873902</v>
      </c>
      <c r="R334" s="1075">
        <f t="shared" si="50"/>
        <v>76.902254158873902</v>
      </c>
      <c r="S334" s="1075">
        <f t="shared" si="47"/>
        <v>0</v>
      </c>
    </row>
    <row r="335" spans="1:19" ht="15.75" hidden="1" x14ac:dyDescent="0.25">
      <c r="A335" s="685" t="s">
        <v>79</v>
      </c>
      <c r="B335" s="802"/>
      <c r="C335" s="802" t="s">
        <v>1044</v>
      </c>
      <c r="D335" s="686">
        <v>29.530465597007581</v>
      </c>
      <c r="E335" s="593">
        <v>0</v>
      </c>
      <c r="F335" s="594">
        <v>0</v>
      </c>
      <c r="G335" s="595">
        <v>0</v>
      </c>
      <c r="H335" s="566">
        <v>29.530465597007581</v>
      </c>
      <c r="I335" s="596">
        <v>0</v>
      </c>
      <c r="J335" s="595">
        <v>0</v>
      </c>
      <c r="K335" s="626">
        <v>26.146766414017129</v>
      </c>
      <c r="L335" s="595">
        <v>0</v>
      </c>
      <c r="M335" s="1057">
        <f t="shared" si="48"/>
        <v>26.146766414017129</v>
      </c>
      <c r="N335" s="1058">
        <f t="shared" si="48"/>
        <v>0</v>
      </c>
      <c r="O335" s="597">
        <v>0</v>
      </c>
      <c r="P335" s="595">
        <v>0</v>
      </c>
      <c r="Q335" s="571">
        <v>55.677232011024714</v>
      </c>
      <c r="R335" s="1075">
        <f t="shared" si="50"/>
        <v>55.677232011024714</v>
      </c>
      <c r="S335" s="1075">
        <f t="shared" si="47"/>
        <v>0</v>
      </c>
    </row>
    <row r="336" spans="1:19" ht="15.75" hidden="1" x14ac:dyDescent="0.25">
      <c r="A336" s="685" t="s">
        <v>80</v>
      </c>
      <c r="B336" s="802"/>
      <c r="C336" s="802" t="s">
        <v>1044</v>
      </c>
      <c r="D336" s="686">
        <v>40.142976670932178</v>
      </c>
      <c r="E336" s="593">
        <v>0</v>
      </c>
      <c r="F336" s="594">
        <v>21.378826656166947</v>
      </c>
      <c r="G336" s="595">
        <v>0</v>
      </c>
      <c r="H336" s="566">
        <v>61.521803327099121</v>
      </c>
      <c r="I336" s="596">
        <v>0</v>
      </c>
      <c r="J336" s="595">
        <v>0</v>
      </c>
      <c r="K336" s="626">
        <v>13.842405748597303</v>
      </c>
      <c r="L336" s="595">
        <v>0</v>
      </c>
      <c r="M336" s="1057">
        <f t="shared" si="48"/>
        <v>13.842405748597303</v>
      </c>
      <c r="N336" s="1058">
        <f t="shared" si="48"/>
        <v>0</v>
      </c>
      <c r="O336" s="597">
        <v>0</v>
      </c>
      <c r="P336" s="595">
        <v>0</v>
      </c>
      <c r="Q336" s="571">
        <v>75.364209075696422</v>
      </c>
      <c r="R336" s="1075">
        <f t="shared" si="50"/>
        <v>75.364209075696422</v>
      </c>
      <c r="S336" s="1075">
        <f t="shared" si="47"/>
        <v>0</v>
      </c>
    </row>
    <row r="337" spans="1:19" ht="15.75" hidden="1" x14ac:dyDescent="0.25">
      <c r="A337" s="624" t="s">
        <v>81</v>
      </c>
      <c r="B337" s="802"/>
      <c r="C337" s="802" t="s">
        <v>1044</v>
      </c>
      <c r="D337" s="686">
        <v>41.065803720838666</v>
      </c>
      <c r="E337" s="593">
        <v>0</v>
      </c>
      <c r="F337" s="594">
        <v>0</v>
      </c>
      <c r="G337" s="595">
        <v>0</v>
      </c>
      <c r="H337" s="566">
        <v>41.065803720838666</v>
      </c>
      <c r="I337" s="596">
        <v>0</v>
      </c>
      <c r="J337" s="595">
        <v>0</v>
      </c>
      <c r="K337" s="626">
        <v>13.842405748597303</v>
      </c>
      <c r="L337" s="595">
        <v>0</v>
      </c>
      <c r="M337" s="1057">
        <f t="shared" si="48"/>
        <v>13.842405748597303</v>
      </c>
      <c r="N337" s="1058">
        <f t="shared" si="48"/>
        <v>0</v>
      </c>
      <c r="O337" s="597">
        <v>0</v>
      </c>
      <c r="P337" s="595">
        <v>0</v>
      </c>
      <c r="Q337" s="571">
        <v>54.908209469435967</v>
      </c>
      <c r="R337" s="1075">
        <f t="shared" si="50"/>
        <v>54.908209469435967</v>
      </c>
      <c r="S337" s="1075">
        <f t="shared" si="47"/>
        <v>0</v>
      </c>
    </row>
    <row r="338" spans="1:19" ht="16.5" hidden="1" thickBot="1" x14ac:dyDescent="0.3">
      <c r="A338" s="684" t="s">
        <v>468</v>
      </c>
      <c r="B338" s="802"/>
      <c r="C338" s="802" t="s">
        <v>1044</v>
      </c>
      <c r="D338" s="686">
        <v>30.453292646914065</v>
      </c>
      <c r="E338" s="593">
        <v>0</v>
      </c>
      <c r="F338" s="594">
        <v>0</v>
      </c>
      <c r="G338" s="595">
        <v>0</v>
      </c>
      <c r="H338" s="566">
        <v>30.453292646914065</v>
      </c>
      <c r="I338" s="596">
        <v>0</v>
      </c>
      <c r="J338" s="595">
        <v>0</v>
      </c>
      <c r="K338" s="626">
        <v>13.842405748597303</v>
      </c>
      <c r="L338" s="595">
        <v>0</v>
      </c>
      <c r="M338" s="1057">
        <f t="shared" si="48"/>
        <v>13.842405748597303</v>
      </c>
      <c r="N338" s="1058">
        <f t="shared" si="48"/>
        <v>0</v>
      </c>
      <c r="O338" s="597">
        <v>0</v>
      </c>
      <c r="P338" s="595">
        <v>0</v>
      </c>
      <c r="Q338" s="571">
        <v>44.295698395511366</v>
      </c>
      <c r="R338" s="1075">
        <f t="shared" si="50"/>
        <v>44.295698395511366</v>
      </c>
      <c r="S338" s="1075">
        <f t="shared" si="47"/>
        <v>0</v>
      </c>
    </row>
    <row r="339" spans="1:19" ht="16.5" hidden="1" thickBot="1" x14ac:dyDescent="0.3">
      <c r="A339" s="685" t="s">
        <v>84</v>
      </c>
      <c r="B339" s="802" t="s">
        <v>429</v>
      </c>
      <c r="C339" s="812" t="s">
        <v>1046</v>
      </c>
      <c r="D339" s="625">
        <v>0</v>
      </c>
      <c r="E339" s="593">
        <v>33.546712337709714</v>
      </c>
      <c r="F339" s="594">
        <v>0</v>
      </c>
      <c r="G339" s="595">
        <v>0</v>
      </c>
      <c r="H339" s="566">
        <v>33.546712337709714</v>
      </c>
      <c r="I339" s="596">
        <v>0</v>
      </c>
      <c r="J339" s="595">
        <v>0</v>
      </c>
      <c r="K339" s="626">
        <v>37.376526261489765</v>
      </c>
      <c r="L339" s="595">
        <v>0</v>
      </c>
      <c r="M339" s="1057">
        <f t="shared" si="48"/>
        <v>37.376526261489765</v>
      </c>
      <c r="N339" s="1058">
        <f t="shared" si="48"/>
        <v>0</v>
      </c>
      <c r="O339" s="597">
        <v>0</v>
      </c>
      <c r="P339" s="595">
        <v>0</v>
      </c>
      <c r="Q339" s="571">
        <v>70.923238599199479</v>
      </c>
      <c r="R339" s="1075">
        <f t="shared" si="50"/>
        <v>70.923238599199479</v>
      </c>
      <c r="S339" s="1075">
        <f t="shared" si="47"/>
        <v>0</v>
      </c>
    </row>
    <row r="340" spans="1:19" ht="15.75" hidden="1" x14ac:dyDescent="0.25">
      <c r="A340" s="623" t="s">
        <v>82</v>
      </c>
      <c r="B340" s="802" t="s">
        <v>429</v>
      </c>
      <c r="C340" s="802" t="s">
        <v>1048</v>
      </c>
      <c r="D340" s="625">
        <v>27.2</v>
      </c>
      <c r="E340" s="593">
        <v>23.6</v>
      </c>
      <c r="F340" s="594">
        <v>1.67</v>
      </c>
      <c r="G340" s="595">
        <v>0</v>
      </c>
      <c r="H340" s="566">
        <v>52.47</v>
      </c>
      <c r="I340" s="596">
        <v>0</v>
      </c>
      <c r="J340" s="595">
        <v>0</v>
      </c>
      <c r="K340" s="626">
        <v>16.7</v>
      </c>
      <c r="L340" s="595">
        <v>0</v>
      </c>
      <c r="M340" s="1057">
        <f t="shared" si="48"/>
        <v>16.7</v>
      </c>
      <c r="N340" s="1058">
        <f t="shared" si="48"/>
        <v>0</v>
      </c>
      <c r="O340" s="597">
        <v>0</v>
      </c>
      <c r="P340" s="595">
        <v>2.54</v>
      </c>
      <c r="Q340" s="571">
        <v>71.710000000000008</v>
      </c>
      <c r="R340" s="1075">
        <f t="shared" si="50"/>
        <v>71.710000000000008</v>
      </c>
      <c r="S340" s="1075">
        <f t="shared" si="47"/>
        <v>0</v>
      </c>
    </row>
    <row r="341" spans="1:19" ht="16.5" hidden="1" thickBot="1" x14ac:dyDescent="0.3">
      <c r="A341" s="624" t="s">
        <v>83</v>
      </c>
      <c r="B341" s="802"/>
      <c r="C341" s="802" t="s">
        <v>1048</v>
      </c>
      <c r="D341" s="625">
        <v>14.28</v>
      </c>
      <c r="E341" s="593">
        <v>36.57</v>
      </c>
      <c r="F341" s="594">
        <v>1.67</v>
      </c>
      <c r="G341" s="595">
        <v>0</v>
      </c>
      <c r="H341" s="566">
        <v>52.52</v>
      </c>
      <c r="I341" s="596">
        <v>0</v>
      </c>
      <c r="J341" s="595">
        <v>0</v>
      </c>
      <c r="K341" s="626">
        <v>16.7</v>
      </c>
      <c r="L341" s="595">
        <v>0</v>
      </c>
      <c r="M341" s="1057">
        <f t="shared" si="48"/>
        <v>16.7</v>
      </c>
      <c r="N341" s="1058">
        <f t="shared" si="48"/>
        <v>0</v>
      </c>
      <c r="O341" s="597">
        <v>0</v>
      </c>
      <c r="P341" s="595">
        <v>2.54</v>
      </c>
      <c r="Q341" s="571">
        <v>71.760000000000005</v>
      </c>
      <c r="R341" s="1075">
        <f t="shared" si="50"/>
        <v>71.760000000000005</v>
      </c>
      <c r="S341" s="1075">
        <f t="shared" si="47"/>
        <v>0</v>
      </c>
    </row>
    <row r="342" spans="1:19" ht="15.75" hidden="1" x14ac:dyDescent="0.25">
      <c r="A342" s="638" t="s">
        <v>85</v>
      </c>
      <c r="B342" s="693"/>
      <c r="C342" s="806" t="s">
        <v>1050</v>
      </c>
      <c r="D342" s="625">
        <v>79.230741527712752</v>
      </c>
      <c r="E342" s="593">
        <v>112.84378338795452</v>
      </c>
      <c r="F342" s="594">
        <v>0</v>
      </c>
      <c r="G342" s="595">
        <v>9.6037262457833634</v>
      </c>
      <c r="H342" s="566">
        <v>201.67825116145065</v>
      </c>
      <c r="I342" s="596">
        <v>60.023289036146025</v>
      </c>
      <c r="J342" s="595">
        <v>0</v>
      </c>
      <c r="K342" s="626">
        <v>107.56173395277366</v>
      </c>
      <c r="L342" s="595">
        <v>0</v>
      </c>
      <c r="M342" s="1057">
        <f t="shared" si="48"/>
        <v>167.58502298891969</v>
      </c>
      <c r="N342" s="1058">
        <f t="shared" si="48"/>
        <v>0</v>
      </c>
      <c r="O342" s="597">
        <v>30.731923986506764</v>
      </c>
      <c r="P342" s="595">
        <v>0</v>
      </c>
      <c r="Q342" s="571">
        <v>399.99519813687709</v>
      </c>
      <c r="R342" s="1075">
        <f t="shared" si="50"/>
        <v>399.99519813687709</v>
      </c>
      <c r="S342" s="1075">
        <f t="shared" si="47"/>
        <v>0</v>
      </c>
    </row>
    <row r="343" spans="1:19" ht="15.75" hidden="1" x14ac:dyDescent="0.25">
      <c r="A343" s="639" t="s">
        <v>878</v>
      </c>
      <c r="B343" s="639" t="s">
        <v>429</v>
      </c>
      <c r="C343" s="724" t="s">
        <v>1050</v>
      </c>
      <c r="D343" s="625">
        <v>50.419562790362662</v>
      </c>
      <c r="E343" s="593">
        <v>115.24471494940036</v>
      </c>
      <c r="F343" s="594">
        <v>0</v>
      </c>
      <c r="G343" s="595">
        <v>8.2832138869881522</v>
      </c>
      <c r="H343" s="566">
        <v>173.94749162675117</v>
      </c>
      <c r="I343" s="596">
        <v>66.025617939760622</v>
      </c>
      <c r="J343" s="595">
        <v>0</v>
      </c>
      <c r="K343" s="626">
        <v>131.4510029891598</v>
      </c>
      <c r="L343" s="595">
        <v>0</v>
      </c>
      <c r="M343" s="1057">
        <f t="shared" si="48"/>
        <v>197.47662092892043</v>
      </c>
      <c r="N343" s="1058">
        <f t="shared" si="48"/>
        <v>0</v>
      </c>
      <c r="O343" s="597">
        <v>0</v>
      </c>
      <c r="P343" s="595">
        <v>0</v>
      </c>
      <c r="Q343" s="571">
        <v>371.42411255567163</v>
      </c>
      <c r="R343" s="1075">
        <f t="shared" si="50"/>
        <v>371.42411255567163</v>
      </c>
      <c r="S343" s="1075">
        <f t="shared" si="47"/>
        <v>0</v>
      </c>
    </row>
    <row r="344" spans="1:19" ht="15.75" hidden="1" x14ac:dyDescent="0.25">
      <c r="A344" s="639" t="s">
        <v>879</v>
      </c>
      <c r="B344" s="639"/>
      <c r="C344" s="724" t="s">
        <v>1050</v>
      </c>
      <c r="D344" s="625">
        <v>79.230741527712752</v>
      </c>
      <c r="E344" s="593">
        <v>108.04192026506284</v>
      </c>
      <c r="F344" s="594">
        <v>0</v>
      </c>
      <c r="G344" s="595">
        <v>9.36363308963878</v>
      </c>
      <c r="H344" s="566">
        <v>196.63629488241435</v>
      </c>
      <c r="I344" s="596">
        <v>76.829809966266907</v>
      </c>
      <c r="J344" s="595">
        <v>0</v>
      </c>
      <c r="K344" s="626">
        <v>188.53315086253468</v>
      </c>
      <c r="L344" s="595">
        <v>0</v>
      </c>
      <c r="M344" s="1057">
        <f t="shared" si="48"/>
        <v>265.36296082880159</v>
      </c>
      <c r="N344" s="1058">
        <f t="shared" si="48"/>
        <v>0</v>
      </c>
      <c r="O344" s="597">
        <v>43.216768106025135</v>
      </c>
      <c r="P344" s="595">
        <v>0</v>
      </c>
      <c r="Q344" s="571">
        <v>505.21602381724108</v>
      </c>
      <c r="R344" s="1075">
        <f t="shared" si="50"/>
        <v>505.21602381724108</v>
      </c>
      <c r="S344" s="1075">
        <f t="shared" si="47"/>
        <v>0</v>
      </c>
    </row>
    <row r="345" spans="1:19" ht="16.5" hidden="1" thickBot="1" x14ac:dyDescent="0.3">
      <c r="A345" s="640" t="s">
        <v>86</v>
      </c>
      <c r="B345" s="652"/>
      <c r="C345" s="807" t="s">
        <v>1050</v>
      </c>
      <c r="D345" s="625">
        <v>57.622357474700181</v>
      </c>
      <c r="E345" s="593">
        <v>101.55940504915907</v>
      </c>
      <c r="F345" s="594">
        <v>0</v>
      </c>
      <c r="G345" s="595">
        <v>7.9590881261929622</v>
      </c>
      <c r="H345" s="566">
        <v>167.14085065005222</v>
      </c>
      <c r="I345" s="596">
        <v>51.283898152483161</v>
      </c>
      <c r="J345" s="595">
        <v>0</v>
      </c>
      <c r="K345" s="626">
        <v>189.07336046385998</v>
      </c>
      <c r="L345" s="595">
        <v>0</v>
      </c>
      <c r="M345" s="1057">
        <f t="shared" si="48"/>
        <v>240.35725861634313</v>
      </c>
      <c r="N345" s="1058">
        <f t="shared" si="48"/>
        <v>0</v>
      </c>
      <c r="O345" s="597">
        <v>42.016302325302213</v>
      </c>
      <c r="P345" s="595">
        <v>0</v>
      </c>
      <c r="Q345" s="571">
        <v>449.51441159169752</v>
      </c>
      <c r="R345" s="1075">
        <f t="shared" si="50"/>
        <v>449.51441159169752</v>
      </c>
      <c r="S345" s="1075">
        <f t="shared" si="47"/>
        <v>0</v>
      </c>
    </row>
    <row r="346" spans="1:19" ht="15.75" hidden="1" x14ac:dyDescent="0.25">
      <c r="A346" s="693" t="s">
        <v>911</v>
      </c>
      <c r="B346" s="693" t="s">
        <v>429</v>
      </c>
      <c r="C346" s="806" t="s">
        <v>1052</v>
      </c>
      <c r="D346" s="625">
        <v>0</v>
      </c>
      <c r="E346" s="593">
        <v>189.74895043496079</v>
      </c>
      <c r="F346" s="594">
        <v>0</v>
      </c>
      <c r="G346" s="595">
        <v>28.483493674408283</v>
      </c>
      <c r="H346" s="566">
        <v>218.23244410936908</v>
      </c>
      <c r="I346" s="596">
        <v>0</v>
      </c>
      <c r="J346" s="595">
        <v>0</v>
      </c>
      <c r="K346" s="626">
        <v>159.38535816818234</v>
      </c>
      <c r="L346" s="595">
        <v>23.877252123101332</v>
      </c>
      <c r="M346" s="1057">
        <f t="shared" si="48"/>
        <v>159.38535816818234</v>
      </c>
      <c r="N346" s="1058">
        <f t="shared" si="48"/>
        <v>23.877252123101332</v>
      </c>
      <c r="O346" s="597">
        <v>0</v>
      </c>
      <c r="P346" s="595">
        <v>0</v>
      </c>
      <c r="Q346" s="571">
        <v>401.49505440065275</v>
      </c>
      <c r="R346" s="1075">
        <f t="shared" si="50"/>
        <v>401.49505440065275</v>
      </c>
      <c r="S346" s="1075">
        <f t="shared" si="47"/>
        <v>0</v>
      </c>
    </row>
    <row r="347" spans="1:19" ht="15.75" hidden="1" x14ac:dyDescent="0.25">
      <c r="A347" s="639" t="s">
        <v>912</v>
      </c>
      <c r="B347" s="639"/>
      <c r="C347" s="724" t="s">
        <v>1052</v>
      </c>
      <c r="D347" s="625">
        <v>0</v>
      </c>
      <c r="E347" s="593">
        <v>151.53594654503681</v>
      </c>
      <c r="F347" s="594">
        <v>0</v>
      </c>
      <c r="G347" s="595">
        <v>22.749192967679225</v>
      </c>
      <c r="H347" s="566">
        <v>174.28513951271603</v>
      </c>
      <c r="I347" s="596">
        <v>0</v>
      </c>
      <c r="J347" s="595">
        <v>0</v>
      </c>
      <c r="K347" s="626">
        <v>158.02228668871393</v>
      </c>
      <c r="L347" s="595">
        <v>23.689242263864315</v>
      </c>
      <c r="M347" s="1057">
        <f t="shared" si="48"/>
        <v>158.02228668871393</v>
      </c>
      <c r="N347" s="1058">
        <f t="shared" si="48"/>
        <v>23.689242263864315</v>
      </c>
      <c r="O347" s="597">
        <v>0</v>
      </c>
      <c r="P347" s="595">
        <v>0</v>
      </c>
      <c r="Q347" s="571">
        <v>355.99666846529431</v>
      </c>
      <c r="R347" s="1075">
        <f t="shared" si="50"/>
        <v>355.99666846529431</v>
      </c>
      <c r="S347" s="1075">
        <f t="shared" si="47"/>
        <v>0</v>
      </c>
    </row>
    <row r="348" spans="1:19" ht="15.75" hidden="1" x14ac:dyDescent="0.25">
      <c r="A348" s="639" t="s">
        <v>913</v>
      </c>
      <c r="B348" s="639"/>
      <c r="C348" s="724" t="s">
        <v>1052</v>
      </c>
      <c r="D348" s="625">
        <v>0</v>
      </c>
      <c r="E348" s="593">
        <v>152.52299830603116</v>
      </c>
      <c r="F348" s="594">
        <v>0</v>
      </c>
      <c r="G348" s="595">
        <v>22.890200362106988</v>
      </c>
      <c r="H348" s="566">
        <v>175.41319866813814</v>
      </c>
      <c r="I348" s="596">
        <v>0</v>
      </c>
      <c r="J348" s="595">
        <v>0</v>
      </c>
      <c r="K348" s="626">
        <v>160.60742225322295</v>
      </c>
      <c r="L348" s="595">
        <v>24.112264447147606</v>
      </c>
      <c r="M348" s="1057">
        <f t="shared" si="48"/>
        <v>160.60742225322295</v>
      </c>
      <c r="N348" s="1058">
        <f t="shared" si="48"/>
        <v>24.112264447147606</v>
      </c>
      <c r="O348" s="597">
        <v>0</v>
      </c>
      <c r="P348" s="595">
        <v>0</v>
      </c>
      <c r="Q348" s="571">
        <v>360.13288536850871</v>
      </c>
      <c r="R348" s="1075">
        <f t="shared" si="50"/>
        <v>360.13288536850871</v>
      </c>
      <c r="S348" s="1075">
        <f t="shared" si="47"/>
        <v>0</v>
      </c>
    </row>
    <row r="349" spans="1:19" ht="15.75" hidden="1" x14ac:dyDescent="0.25">
      <c r="A349" s="639" t="s">
        <v>914</v>
      </c>
      <c r="B349" s="639"/>
      <c r="C349" s="724" t="s">
        <v>1052</v>
      </c>
      <c r="D349" s="625">
        <v>0</v>
      </c>
      <c r="E349" s="593">
        <v>211.79310643050121</v>
      </c>
      <c r="F349" s="594">
        <v>0</v>
      </c>
      <c r="G349" s="595">
        <v>31.773666211056106</v>
      </c>
      <c r="H349" s="566">
        <v>243.56677264155732</v>
      </c>
      <c r="I349" s="596">
        <v>0</v>
      </c>
      <c r="J349" s="595">
        <v>0</v>
      </c>
      <c r="K349" s="626">
        <v>140.2553549908157</v>
      </c>
      <c r="L349" s="595">
        <v>21.057104234546056</v>
      </c>
      <c r="M349" s="1057">
        <f t="shared" si="48"/>
        <v>140.2553549908157</v>
      </c>
      <c r="N349" s="1058">
        <f t="shared" si="48"/>
        <v>21.057104234546056</v>
      </c>
      <c r="O349" s="597">
        <v>0</v>
      </c>
      <c r="P349" s="595">
        <v>0</v>
      </c>
      <c r="Q349" s="571">
        <v>404.8792318669191</v>
      </c>
      <c r="R349" s="1075">
        <f t="shared" si="50"/>
        <v>404.8792318669191</v>
      </c>
      <c r="S349" s="1075">
        <f t="shared" si="47"/>
        <v>0</v>
      </c>
    </row>
    <row r="350" spans="1:19" ht="16.5" hidden="1" thickBot="1" x14ac:dyDescent="0.3">
      <c r="A350" s="652" t="s">
        <v>915</v>
      </c>
      <c r="B350" s="652"/>
      <c r="C350" s="807" t="s">
        <v>1052</v>
      </c>
      <c r="D350" s="625">
        <v>0</v>
      </c>
      <c r="E350" s="593">
        <v>204.27271206102046</v>
      </c>
      <c r="F350" s="594">
        <v>0</v>
      </c>
      <c r="G350" s="595">
        <v>30.645607055633995</v>
      </c>
      <c r="H350" s="566">
        <v>234.91831911665446</v>
      </c>
      <c r="I350" s="596">
        <v>0</v>
      </c>
      <c r="J350" s="595">
        <v>0</v>
      </c>
      <c r="K350" s="626">
        <v>197.50435712848781</v>
      </c>
      <c r="L350" s="595">
        <v>29.611552829830394</v>
      </c>
      <c r="M350" s="1057">
        <f t="shared" si="48"/>
        <v>197.50435712848781</v>
      </c>
      <c r="N350" s="1058">
        <f t="shared" si="48"/>
        <v>29.611552829830394</v>
      </c>
      <c r="O350" s="597">
        <v>0</v>
      </c>
      <c r="P350" s="595">
        <v>0</v>
      </c>
      <c r="Q350" s="571">
        <v>462.03422907497264</v>
      </c>
      <c r="R350" s="1075">
        <f t="shared" si="50"/>
        <v>462.03422907497264</v>
      </c>
      <c r="S350" s="1075">
        <f t="shared" si="47"/>
        <v>0</v>
      </c>
    </row>
    <row r="351" spans="1:19" ht="15.75" hidden="1" x14ac:dyDescent="0.25">
      <c r="A351" s="663" t="s">
        <v>87</v>
      </c>
      <c r="B351" s="1046"/>
      <c r="C351" s="802" t="s">
        <v>1054</v>
      </c>
      <c r="D351" s="625">
        <v>88.720674947692842</v>
      </c>
      <c r="E351" s="593">
        <v>132.01713804898336</v>
      </c>
      <c r="F351" s="594">
        <v>105.25908564833472</v>
      </c>
      <c r="G351" s="595">
        <v>81.49922466125274</v>
      </c>
      <c r="H351" s="566">
        <v>407.49612330626366</v>
      </c>
      <c r="I351" s="596">
        <v>0</v>
      </c>
      <c r="J351" s="595">
        <v>440.34405052436114</v>
      </c>
      <c r="K351" s="626">
        <v>9.1912298065360574</v>
      </c>
      <c r="L351" s="595">
        <v>112.3838200827243</v>
      </c>
      <c r="M351" s="1057">
        <f t="shared" si="48"/>
        <v>9.1912298065360574</v>
      </c>
      <c r="N351" s="1058">
        <f t="shared" si="48"/>
        <v>552.72787060708538</v>
      </c>
      <c r="O351" s="597">
        <v>0</v>
      </c>
      <c r="P351" s="595">
        <v>0</v>
      </c>
      <c r="Q351" s="571">
        <v>969.41522371988503</v>
      </c>
      <c r="R351" s="1075">
        <f t="shared" si="50"/>
        <v>969.41522371988503</v>
      </c>
      <c r="S351" s="1075">
        <f t="shared" si="47"/>
        <v>0</v>
      </c>
    </row>
    <row r="352" spans="1:19" ht="15.75" hidden="1" x14ac:dyDescent="0.25">
      <c r="A352" s="547" t="s">
        <v>213</v>
      </c>
      <c r="B352" s="1046"/>
      <c r="C352" s="802" t="s">
        <v>1054</v>
      </c>
      <c r="D352" s="625">
        <v>61.898145312343843</v>
      </c>
      <c r="E352" s="593">
        <v>129.82491206917118</v>
      </c>
      <c r="F352" s="594">
        <v>105.25908564833472</v>
      </c>
      <c r="G352" s="595">
        <v>74.245535757462434</v>
      </c>
      <c r="H352" s="566">
        <v>371.22767878731219</v>
      </c>
      <c r="I352" s="596">
        <v>0</v>
      </c>
      <c r="J352" s="595">
        <v>250.56175790732689</v>
      </c>
      <c r="K352" s="626">
        <v>11.215814976127303</v>
      </c>
      <c r="L352" s="595">
        <v>65.444393220863546</v>
      </c>
      <c r="M352" s="1057">
        <f t="shared" si="48"/>
        <v>11.215814976127303</v>
      </c>
      <c r="N352" s="1058">
        <f t="shared" si="48"/>
        <v>316.00615112819042</v>
      </c>
      <c r="O352" s="597">
        <v>0</v>
      </c>
      <c r="P352" s="595">
        <v>0</v>
      </c>
      <c r="Q352" s="571">
        <v>698.44964489162987</v>
      </c>
      <c r="R352" s="1075">
        <f t="shared" si="50"/>
        <v>698.44964489162999</v>
      </c>
      <c r="S352" s="1075">
        <f t="shared" si="47"/>
        <v>0</v>
      </c>
    </row>
    <row r="353" spans="1:19" ht="15.75" hidden="1" x14ac:dyDescent="0.25">
      <c r="A353" s="547" t="s">
        <v>88</v>
      </c>
      <c r="B353" s="1046" t="s">
        <v>429</v>
      </c>
      <c r="C353" s="802" t="s">
        <v>1054</v>
      </c>
      <c r="D353" s="625">
        <v>161.19308675089545</v>
      </c>
      <c r="E353" s="593">
        <v>77.727306431281775</v>
      </c>
      <c r="F353" s="594">
        <v>105.25908564833472</v>
      </c>
      <c r="G353" s="595">
        <v>86.044869707627981</v>
      </c>
      <c r="H353" s="566">
        <v>430.22434853813991</v>
      </c>
      <c r="I353" s="596">
        <v>0</v>
      </c>
      <c r="J353" s="595">
        <v>430.7611215170204</v>
      </c>
      <c r="K353" s="626">
        <v>12.326435343840974</v>
      </c>
      <c r="L353" s="595">
        <v>110.77188921521535</v>
      </c>
      <c r="M353" s="1057">
        <f t="shared" si="48"/>
        <v>12.326435343840974</v>
      </c>
      <c r="N353" s="1058">
        <f t="shared" si="48"/>
        <v>541.53301073223577</v>
      </c>
      <c r="O353" s="597">
        <v>0</v>
      </c>
      <c r="P353" s="595">
        <v>0</v>
      </c>
      <c r="Q353" s="571">
        <v>984.08379461421657</v>
      </c>
      <c r="R353" s="1075">
        <f t="shared" si="50"/>
        <v>984.08379461421669</v>
      </c>
      <c r="S353" s="1075">
        <f t="shared" si="47"/>
        <v>0</v>
      </c>
    </row>
    <row r="354" spans="1:19" ht="15.75" hidden="1" x14ac:dyDescent="0.25">
      <c r="A354" s="547" t="s">
        <v>89</v>
      </c>
      <c r="B354" s="1046"/>
      <c r="C354" s="802" t="s">
        <v>1054</v>
      </c>
      <c r="D354" s="625">
        <v>106.77430066379313</v>
      </c>
      <c r="E354" s="593">
        <v>73.729717879859564</v>
      </c>
      <c r="F354" s="594">
        <v>105.25908564833472</v>
      </c>
      <c r="G354" s="595">
        <v>71.440776047996849</v>
      </c>
      <c r="H354" s="566">
        <v>357.20388023998424</v>
      </c>
      <c r="I354" s="596">
        <v>0</v>
      </c>
      <c r="J354" s="595">
        <v>464.23608984257885</v>
      </c>
      <c r="K354" s="626">
        <v>8.1241315722451297</v>
      </c>
      <c r="L354" s="595">
        <v>118.41244152720779</v>
      </c>
      <c r="M354" s="1057">
        <f t="shared" si="48"/>
        <v>8.1241315722451297</v>
      </c>
      <c r="N354" s="1058">
        <f t="shared" si="48"/>
        <v>582.64853136978661</v>
      </c>
      <c r="O354" s="597">
        <v>0</v>
      </c>
      <c r="P354" s="595">
        <v>0</v>
      </c>
      <c r="Q354" s="571">
        <v>947.97654318201603</v>
      </c>
      <c r="R354" s="1075">
        <f t="shared" si="50"/>
        <v>947.97654318201603</v>
      </c>
      <c r="S354" s="1075">
        <f t="shared" si="47"/>
        <v>0</v>
      </c>
    </row>
    <row r="355" spans="1:19" ht="16.5" hidden="1" thickBot="1" x14ac:dyDescent="0.3">
      <c r="A355" s="613" t="s">
        <v>90</v>
      </c>
      <c r="B355" s="1046"/>
      <c r="C355" s="807" t="s">
        <v>1054</v>
      </c>
      <c r="D355" s="625">
        <v>77.372681640429803</v>
      </c>
      <c r="E355" s="593">
        <v>148.65226460167577</v>
      </c>
      <c r="F355" s="594">
        <v>105.25908564833472</v>
      </c>
      <c r="G355" s="595">
        <v>82.821007972610062</v>
      </c>
      <c r="H355" s="566">
        <v>414.10503986305031</v>
      </c>
      <c r="I355" s="596">
        <v>0</v>
      </c>
      <c r="J355" s="595">
        <v>592.64572661007719</v>
      </c>
      <c r="K355" s="626">
        <v>8.6689642054631566</v>
      </c>
      <c r="L355" s="595">
        <v>150.32867270388508</v>
      </c>
      <c r="M355" s="1057">
        <f t="shared" si="48"/>
        <v>8.6689642054631566</v>
      </c>
      <c r="N355" s="1058">
        <f t="shared" si="48"/>
        <v>742.97439931396229</v>
      </c>
      <c r="O355" s="597">
        <v>0</v>
      </c>
      <c r="P355" s="595">
        <v>0</v>
      </c>
      <c r="Q355" s="571">
        <v>1165.7484033824755</v>
      </c>
      <c r="R355" s="1075">
        <f t="shared" si="50"/>
        <v>1165.7484033824758</v>
      </c>
      <c r="S355" s="1075">
        <f t="shared" si="47"/>
        <v>0</v>
      </c>
    </row>
    <row r="356" spans="1:19" ht="15.75" hidden="1" x14ac:dyDescent="0.25">
      <c r="A356" s="546" t="s">
        <v>91</v>
      </c>
      <c r="B356" s="1046"/>
      <c r="C356" s="802" t="s">
        <v>1056</v>
      </c>
      <c r="D356" s="625">
        <v>47.44240765416982</v>
      </c>
      <c r="E356" s="593">
        <v>135.65263322169002</v>
      </c>
      <c r="F356" s="594">
        <v>0</v>
      </c>
      <c r="G356" s="595">
        <v>43.937047574458887</v>
      </c>
      <c r="H356" s="566">
        <v>227.03208845031872</v>
      </c>
      <c r="I356" s="596">
        <v>166.86474352048594</v>
      </c>
      <c r="J356" s="595">
        <v>40.047538444916626</v>
      </c>
      <c r="K356" s="626">
        <v>0</v>
      </c>
      <c r="L356" s="595">
        <v>0</v>
      </c>
      <c r="M356" s="1057">
        <f t="shared" si="48"/>
        <v>166.86474352048594</v>
      </c>
      <c r="N356" s="1058">
        <f t="shared" si="48"/>
        <v>40.047538444916626</v>
      </c>
      <c r="O356" s="597">
        <v>47.44240765416982</v>
      </c>
      <c r="P356" s="595">
        <v>11.380415601253286</v>
      </c>
      <c r="Q356" s="571">
        <v>492.76719367114441</v>
      </c>
      <c r="R356" s="1075">
        <f t="shared" si="50"/>
        <v>492.76719367114441</v>
      </c>
      <c r="S356" s="1075">
        <f t="shared" si="47"/>
        <v>0</v>
      </c>
    </row>
    <row r="357" spans="1:19" ht="15.75" hidden="1" x14ac:dyDescent="0.25">
      <c r="A357" s="547" t="s">
        <v>92</v>
      </c>
      <c r="B357" s="1046" t="s">
        <v>429</v>
      </c>
      <c r="C357" s="802" t="s">
        <v>1056</v>
      </c>
      <c r="D357" s="625">
        <v>47.44240765416982</v>
      </c>
      <c r="E357" s="593">
        <v>135.65263322169002</v>
      </c>
      <c r="F357" s="594">
        <v>0</v>
      </c>
      <c r="G357" s="595">
        <v>43.937047574458887</v>
      </c>
      <c r="H357" s="566">
        <v>227.03208845031872</v>
      </c>
      <c r="I357" s="596">
        <v>166.86474352048594</v>
      </c>
      <c r="J357" s="595">
        <v>40.047538444916626</v>
      </c>
      <c r="K357" s="626">
        <v>0</v>
      </c>
      <c r="L357" s="595">
        <v>0</v>
      </c>
      <c r="M357" s="1057">
        <f t="shared" si="48"/>
        <v>166.86474352048594</v>
      </c>
      <c r="N357" s="1058">
        <f t="shared" si="48"/>
        <v>40.047538444916626</v>
      </c>
      <c r="O357" s="597">
        <v>47.44240765416982</v>
      </c>
      <c r="P357" s="595">
        <v>11.380415601253286</v>
      </c>
      <c r="Q357" s="571">
        <v>492.76719367114441</v>
      </c>
      <c r="R357" s="1075">
        <f t="shared" si="50"/>
        <v>492.76719367114441</v>
      </c>
      <c r="S357" s="1075">
        <f t="shared" si="47"/>
        <v>0</v>
      </c>
    </row>
    <row r="358" spans="1:19" ht="15.75" hidden="1" x14ac:dyDescent="0.25">
      <c r="A358" s="547" t="s">
        <v>93</v>
      </c>
      <c r="B358" s="1046"/>
      <c r="C358" s="802" t="s">
        <v>1056</v>
      </c>
      <c r="D358" s="625">
        <v>50.347534843519284</v>
      </c>
      <c r="E358" s="593">
        <v>147.65729102891922</v>
      </c>
      <c r="F358" s="594">
        <v>0</v>
      </c>
      <c r="G358" s="595">
        <v>47.526440258820422</v>
      </c>
      <c r="H358" s="566">
        <v>245.53126613125895</v>
      </c>
      <c r="I358" s="596">
        <v>192.07452491566727</v>
      </c>
      <c r="J358" s="595">
        <v>46.097885979760143</v>
      </c>
      <c r="K358" s="626">
        <v>0</v>
      </c>
      <c r="L358" s="595">
        <v>0</v>
      </c>
      <c r="M358" s="1057">
        <f t="shared" si="48"/>
        <v>192.07452491566727</v>
      </c>
      <c r="N358" s="1058">
        <f t="shared" si="48"/>
        <v>46.097885979760143</v>
      </c>
      <c r="O358" s="597">
        <v>50.347534843519284</v>
      </c>
      <c r="P358" s="595">
        <v>12.08869041187981</v>
      </c>
      <c r="Q358" s="571">
        <v>546.13990228208547</v>
      </c>
      <c r="R358" s="1075">
        <f t="shared" si="50"/>
        <v>546.13990228208547</v>
      </c>
      <c r="S358" s="1075">
        <f t="shared" si="47"/>
        <v>0</v>
      </c>
    </row>
    <row r="359" spans="1:19" ht="15.75" hidden="1" x14ac:dyDescent="0.25">
      <c r="A359" s="547" t="s">
        <v>94</v>
      </c>
      <c r="B359" s="1046"/>
      <c r="C359" s="802" t="s">
        <v>1056</v>
      </c>
      <c r="D359" s="625">
        <v>96.817565215303546</v>
      </c>
      <c r="E359" s="593">
        <v>138.05356478313584</v>
      </c>
      <c r="F359" s="594">
        <v>0</v>
      </c>
      <c r="G359" s="595">
        <v>56.373873062748345</v>
      </c>
      <c r="H359" s="566">
        <v>291.24500306118773</v>
      </c>
      <c r="I359" s="596">
        <v>199.2773196000048</v>
      </c>
      <c r="J359" s="595">
        <v>47.826556704001156</v>
      </c>
      <c r="K359" s="626">
        <v>0</v>
      </c>
      <c r="L359" s="595">
        <v>0</v>
      </c>
      <c r="M359" s="1057">
        <f t="shared" si="48"/>
        <v>199.2773196000048</v>
      </c>
      <c r="N359" s="1058">
        <f t="shared" si="48"/>
        <v>47.826556704001156</v>
      </c>
      <c r="O359" s="597">
        <v>0</v>
      </c>
      <c r="P359" s="595">
        <v>0</v>
      </c>
      <c r="Q359" s="571">
        <v>538.34887936519374</v>
      </c>
      <c r="R359" s="1075">
        <f t="shared" si="50"/>
        <v>538.34887936519374</v>
      </c>
      <c r="S359" s="1075">
        <f t="shared" si="47"/>
        <v>0</v>
      </c>
    </row>
    <row r="360" spans="1:19" ht="15.75" hidden="1" x14ac:dyDescent="0.25">
      <c r="A360" s="547" t="s">
        <v>95</v>
      </c>
      <c r="B360" s="1046"/>
      <c r="C360" s="802" t="s">
        <v>1056</v>
      </c>
      <c r="D360" s="625">
        <v>129.72233226491878</v>
      </c>
      <c r="E360" s="593">
        <v>169.42173563342575</v>
      </c>
      <c r="F360" s="594">
        <v>0</v>
      </c>
      <c r="G360" s="595">
        <v>71.799858345037876</v>
      </c>
      <c r="H360" s="566">
        <v>370.94392624338241</v>
      </c>
      <c r="I360" s="596">
        <v>185.88012148713702</v>
      </c>
      <c r="J360" s="595">
        <v>44.609308411663719</v>
      </c>
      <c r="K360" s="626">
        <v>0</v>
      </c>
      <c r="L360" s="595">
        <v>0</v>
      </c>
      <c r="M360" s="1057">
        <f t="shared" si="48"/>
        <v>185.88012148713702</v>
      </c>
      <c r="N360" s="1058">
        <f t="shared" si="48"/>
        <v>44.609308411663719</v>
      </c>
      <c r="O360" s="597">
        <v>0</v>
      </c>
      <c r="P360" s="595">
        <v>0</v>
      </c>
      <c r="Q360" s="571">
        <v>601.43335614218313</v>
      </c>
      <c r="R360" s="1075">
        <f t="shared" si="50"/>
        <v>601.43335614218313</v>
      </c>
      <c r="S360" s="1075">
        <f t="shared" si="47"/>
        <v>0</v>
      </c>
    </row>
    <row r="361" spans="1:19" ht="16.5" hidden="1" thickBot="1" x14ac:dyDescent="0.3">
      <c r="A361" s="613" t="s">
        <v>195</v>
      </c>
      <c r="B361" s="1046"/>
      <c r="C361" s="807" t="s">
        <v>1056</v>
      </c>
      <c r="D361" s="625">
        <v>47.44240765416982</v>
      </c>
      <c r="E361" s="593">
        <v>135.65263322169002</v>
      </c>
      <c r="F361" s="594">
        <v>0</v>
      </c>
      <c r="G361" s="595">
        <v>43.937047574458887</v>
      </c>
      <c r="H361" s="566">
        <v>227.03208845031872</v>
      </c>
      <c r="I361" s="596">
        <v>166.86474352048594</v>
      </c>
      <c r="J361" s="595">
        <v>40.047538444916626</v>
      </c>
      <c r="K361" s="626">
        <v>0</v>
      </c>
      <c r="L361" s="595">
        <v>0</v>
      </c>
      <c r="M361" s="1057">
        <f t="shared" si="48"/>
        <v>166.86474352048594</v>
      </c>
      <c r="N361" s="1058">
        <f t="shared" si="48"/>
        <v>40.047538444916626</v>
      </c>
      <c r="O361" s="597">
        <v>47.44240765416982</v>
      </c>
      <c r="P361" s="595">
        <v>11.380415601253286</v>
      </c>
      <c r="Q361" s="571">
        <v>492.76719367114441</v>
      </c>
      <c r="R361" s="1075">
        <f t="shared" si="50"/>
        <v>492.76719367114441</v>
      </c>
      <c r="S361" s="1075">
        <f t="shared" si="47"/>
        <v>0</v>
      </c>
    </row>
    <row r="362" spans="1:19" ht="15.75" hidden="1" x14ac:dyDescent="0.25">
      <c r="A362" s="546" t="s">
        <v>97</v>
      </c>
      <c r="B362" s="1046"/>
      <c r="C362" s="802" t="s">
        <v>1058</v>
      </c>
      <c r="D362" s="625">
        <v>66.409766989591958</v>
      </c>
      <c r="E362" s="593">
        <v>129.6503043180754</v>
      </c>
      <c r="F362" s="594">
        <v>46.818165448193895</v>
      </c>
      <c r="G362" s="595">
        <v>13.313165508217187</v>
      </c>
      <c r="H362" s="566">
        <v>256.19140226407842</v>
      </c>
      <c r="I362" s="596">
        <v>132.05123587952127</v>
      </c>
      <c r="J362" s="595">
        <v>16.038222830458217</v>
      </c>
      <c r="K362" s="626">
        <v>0</v>
      </c>
      <c r="L362" s="595">
        <v>0</v>
      </c>
      <c r="M362" s="1057">
        <f t="shared" si="48"/>
        <v>132.05123587952127</v>
      </c>
      <c r="N362" s="1058">
        <f t="shared" si="48"/>
        <v>16.038222830458217</v>
      </c>
      <c r="O362" s="597">
        <v>28.81117873735009</v>
      </c>
      <c r="P362" s="595">
        <v>0</v>
      </c>
      <c r="Q362" s="571">
        <v>433.09203971140801</v>
      </c>
      <c r="R362" s="1075">
        <f t="shared" si="50"/>
        <v>433.09203971140801</v>
      </c>
      <c r="S362" s="1075">
        <f t="shared" si="47"/>
        <v>0</v>
      </c>
    </row>
    <row r="363" spans="1:19" ht="15.75" hidden="1" x14ac:dyDescent="0.25">
      <c r="A363" s="547" t="s">
        <v>98</v>
      </c>
      <c r="B363" s="1046"/>
      <c r="C363" s="802" t="s">
        <v>1058</v>
      </c>
      <c r="D363" s="625">
        <v>27.178545275566918</v>
      </c>
      <c r="E363" s="593">
        <v>141.65496212530462</v>
      </c>
      <c r="F363" s="594">
        <v>60.023289036146025</v>
      </c>
      <c r="G363" s="595">
        <v>12.604890697590665</v>
      </c>
      <c r="H363" s="566">
        <v>241.46168713460824</v>
      </c>
      <c r="I363" s="596">
        <v>192.07452491566727</v>
      </c>
      <c r="J363" s="595">
        <v>0</v>
      </c>
      <c r="K363" s="626">
        <v>148.85775680964213</v>
      </c>
      <c r="L363" s="595">
        <v>37.670616199085245</v>
      </c>
      <c r="M363" s="1057">
        <f t="shared" si="48"/>
        <v>340.93228172530939</v>
      </c>
      <c r="N363" s="1058">
        <f t="shared" si="48"/>
        <v>37.670616199085245</v>
      </c>
      <c r="O363" s="597">
        <v>36.013973421687616</v>
      </c>
      <c r="P363" s="595">
        <v>0</v>
      </c>
      <c r="Q363" s="571">
        <v>656.07855848069039</v>
      </c>
      <c r="R363" s="1075">
        <f t="shared" si="50"/>
        <v>656.0785584806905</v>
      </c>
      <c r="S363" s="1075">
        <f t="shared" ref="S363:S426" si="51">Q363-R363</f>
        <v>0</v>
      </c>
    </row>
    <row r="364" spans="1:19" ht="15.75" hidden="1" x14ac:dyDescent="0.25">
      <c r="A364" s="547" t="s">
        <v>99</v>
      </c>
      <c r="B364" s="1046"/>
      <c r="C364" s="802" t="s">
        <v>1058</v>
      </c>
      <c r="D364" s="625">
        <v>44.801382936579394</v>
      </c>
      <c r="E364" s="593">
        <v>136.8530990024129</v>
      </c>
      <c r="F364" s="594">
        <v>55.221425913254343</v>
      </c>
      <c r="G364" s="595">
        <v>13.013049063036458</v>
      </c>
      <c r="H364" s="566">
        <v>249.88895691528307</v>
      </c>
      <c r="I364" s="596">
        <v>175.26800398554639</v>
      </c>
      <c r="J364" s="595">
        <v>20.756053348699293</v>
      </c>
      <c r="K364" s="626">
        <v>0</v>
      </c>
      <c r="L364" s="595">
        <v>0</v>
      </c>
      <c r="M364" s="1057">
        <f t="shared" si="48"/>
        <v>175.26800398554639</v>
      </c>
      <c r="N364" s="1058">
        <f t="shared" si="48"/>
        <v>20.756053348699293</v>
      </c>
      <c r="O364" s="597">
        <v>31.932389767229687</v>
      </c>
      <c r="P364" s="595">
        <v>0</v>
      </c>
      <c r="Q364" s="571">
        <v>477.84540401675844</v>
      </c>
      <c r="R364" s="1075">
        <f t="shared" si="50"/>
        <v>477.84540401675844</v>
      </c>
      <c r="S364" s="1075">
        <f t="shared" si="51"/>
        <v>0</v>
      </c>
    </row>
    <row r="365" spans="1:19" ht="15.75" hidden="1" x14ac:dyDescent="0.25">
      <c r="A365" s="547" t="s">
        <v>100</v>
      </c>
      <c r="B365" s="1046"/>
      <c r="C365" s="802" t="s">
        <v>1058</v>
      </c>
      <c r="D365" s="625">
        <v>49.447185507977089</v>
      </c>
      <c r="E365" s="593">
        <v>123.6479754144608</v>
      </c>
      <c r="F365" s="594">
        <v>42.016302325302213</v>
      </c>
      <c r="G365" s="595">
        <v>11.800578624506308</v>
      </c>
      <c r="H365" s="566">
        <v>226.91204187224639</v>
      </c>
      <c r="I365" s="596">
        <v>117.64564651084621</v>
      </c>
      <c r="J365" s="595">
        <v>14.645682524819629</v>
      </c>
      <c r="K365" s="626">
        <v>0</v>
      </c>
      <c r="L365" s="595">
        <v>0</v>
      </c>
      <c r="M365" s="1057">
        <f t="shared" si="48"/>
        <v>117.64564651084621</v>
      </c>
      <c r="N365" s="1058">
        <f t="shared" si="48"/>
        <v>14.645682524819629</v>
      </c>
      <c r="O365" s="597">
        <v>28.968439754624793</v>
      </c>
      <c r="P365" s="595">
        <v>0</v>
      </c>
      <c r="Q365" s="571">
        <v>388.17181066253698</v>
      </c>
      <c r="R365" s="1075">
        <f t="shared" si="50"/>
        <v>388.17181066253698</v>
      </c>
      <c r="S365" s="1075">
        <f t="shared" si="51"/>
        <v>0</v>
      </c>
    </row>
    <row r="366" spans="1:19" ht="15.75" hidden="1" x14ac:dyDescent="0.25">
      <c r="A366" s="547" t="s">
        <v>101</v>
      </c>
      <c r="B366" s="1046" t="s">
        <v>429</v>
      </c>
      <c r="C366" s="802" t="s">
        <v>1058</v>
      </c>
      <c r="D366" s="625">
        <v>24.741599740699389</v>
      </c>
      <c r="E366" s="593">
        <v>122.44750963373788</v>
      </c>
      <c r="F366" s="594">
        <v>57.622357474700181</v>
      </c>
      <c r="G366" s="595">
        <v>11.308387654409911</v>
      </c>
      <c r="H366" s="566">
        <v>216.11985450354734</v>
      </c>
      <c r="I366" s="596">
        <v>37.214439202410531</v>
      </c>
      <c r="J366" s="595">
        <v>0</v>
      </c>
      <c r="K366" s="626">
        <v>124.84844119518372</v>
      </c>
      <c r="L366" s="595">
        <v>19.843699355349877</v>
      </c>
      <c r="M366" s="1057">
        <f t="shared" si="48"/>
        <v>162.06288039759426</v>
      </c>
      <c r="N366" s="1058">
        <f t="shared" si="48"/>
        <v>19.843699355349877</v>
      </c>
      <c r="O366" s="597">
        <v>36.013973421687616</v>
      </c>
      <c r="P366" s="595">
        <v>0</v>
      </c>
      <c r="Q366" s="571">
        <v>434.04040767817912</v>
      </c>
      <c r="R366" s="1075">
        <f t="shared" si="50"/>
        <v>434.04040767817912</v>
      </c>
      <c r="S366" s="1075">
        <f t="shared" si="51"/>
        <v>0</v>
      </c>
    </row>
    <row r="367" spans="1:19" ht="15.75" hidden="1" x14ac:dyDescent="0.25">
      <c r="A367" s="547" t="s">
        <v>630</v>
      </c>
      <c r="B367" s="1046"/>
      <c r="C367" s="802" t="s">
        <v>1058</v>
      </c>
      <c r="D367" s="625">
        <v>32.040431687494745</v>
      </c>
      <c r="E367" s="593">
        <v>120.04657807229205</v>
      </c>
      <c r="F367" s="594">
        <v>42.016302325302213</v>
      </c>
      <c r="G367" s="595">
        <v>10.672140790626763</v>
      </c>
      <c r="H367" s="566">
        <v>204.77545287571576</v>
      </c>
      <c r="I367" s="596">
        <v>60.023289036146025</v>
      </c>
      <c r="J367" s="595">
        <v>0</v>
      </c>
      <c r="K367" s="626">
        <v>56.421891693977258</v>
      </c>
      <c r="L367" s="595">
        <v>15.82213898992809</v>
      </c>
      <c r="M367" s="1057">
        <f t="shared" si="48"/>
        <v>116.44518073012328</v>
      </c>
      <c r="N367" s="1058">
        <f t="shared" si="48"/>
        <v>15.82213898992809</v>
      </c>
      <c r="O367" s="597">
        <v>42.016302325302213</v>
      </c>
      <c r="P367" s="595">
        <v>0</v>
      </c>
      <c r="Q367" s="571">
        <v>379.05907492106934</v>
      </c>
      <c r="R367" s="1075">
        <f t="shared" si="50"/>
        <v>379.05907492106934</v>
      </c>
      <c r="S367" s="1075">
        <f t="shared" si="51"/>
        <v>0</v>
      </c>
    </row>
    <row r="368" spans="1:19" ht="15.75" hidden="1" x14ac:dyDescent="0.25">
      <c r="A368" s="547" t="s">
        <v>631</v>
      </c>
      <c r="B368" s="1046"/>
      <c r="C368" s="802" t="s">
        <v>1058</v>
      </c>
      <c r="D368" s="625">
        <v>13.145100298915978</v>
      </c>
      <c r="E368" s="593">
        <v>111.64331760723161</v>
      </c>
      <c r="F368" s="594">
        <v>52.820494351808499</v>
      </c>
      <c r="G368" s="595">
        <v>9.7597867972773447</v>
      </c>
      <c r="H368" s="566">
        <v>187.36869905523344</v>
      </c>
      <c r="I368" s="596">
        <v>139.25403056385875</v>
      </c>
      <c r="J368" s="595">
        <v>17.526800398554638</v>
      </c>
      <c r="K368" s="626">
        <v>0</v>
      </c>
      <c r="L368" s="595">
        <v>0</v>
      </c>
      <c r="M368" s="1057">
        <f t="shared" si="48"/>
        <v>139.25403056385875</v>
      </c>
      <c r="N368" s="1058">
        <f t="shared" si="48"/>
        <v>17.526800398554638</v>
      </c>
      <c r="O368" s="597">
        <v>36.013973421687616</v>
      </c>
      <c r="P368" s="595">
        <v>0</v>
      </c>
      <c r="Q368" s="571">
        <v>380.16350343933448</v>
      </c>
      <c r="R368" s="1075">
        <f t="shared" si="50"/>
        <v>380.16350343933448</v>
      </c>
      <c r="S368" s="1075">
        <f t="shared" si="51"/>
        <v>0</v>
      </c>
    </row>
    <row r="369" spans="1:19" ht="15.75" hidden="1" x14ac:dyDescent="0.25">
      <c r="A369" s="547" t="s">
        <v>632</v>
      </c>
      <c r="B369" s="1046"/>
      <c r="C369" s="802" t="s">
        <v>1058</v>
      </c>
      <c r="D369" s="625">
        <v>49.147069062796362</v>
      </c>
      <c r="E369" s="593">
        <v>171.66660664337763</v>
      </c>
      <c r="F369" s="594">
        <v>49.219097009639739</v>
      </c>
      <c r="G369" s="595">
        <v>14.873771023156985</v>
      </c>
      <c r="H369" s="566">
        <v>284.9065437389707</v>
      </c>
      <c r="I369" s="596">
        <v>109.24238604578576</v>
      </c>
      <c r="J369" s="595">
        <v>13.481230717518397</v>
      </c>
      <c r="K369" s="626">
        <v>0</v>
      </c>
      <c r="L369" s="595">
        <v>0</v>
      </c>
      <c r="M369" s="1057">
        <f t="shared" ref="M369:N432" si="52">I369+K369</f>
        <v>109.24238604578576</v>
      </c>
      <c r="N369" s="1058">
        <f t="shared" si="52"/>
        <v>13.481230717518397</v>
      </c>
      <c r="O369" s="597">
        <v>25.173767421759642</v>
      </c>
      <c r="P369" s="595">
        <v>0</v>
      </c>
      <c r="Q369" s="571">
        <v>432.80392792403444</v>
      </c>
      <c r="R369" s="1075">
        <f t="shared" si="50"/>
        <v>432.80392792403444</v>
      </c>
      <c r="S369" s="1075">
        <f t="shared" si="51"/>
        <v>0</v>
      </c>
    </row>
    <row r="370" spans="1:19" ht="15.75" hidden="1" x14ac:dyDescent="0.25">
      <c r="A370" s="547" t="s">
        <v>633</v>
      </c>
      <c r="B370" s="1046"/>
      <c r="C370" s="802" t="s">
        <v>1058</v>
      </c>
      <c r="D370" s="625">
        <v>36.458145760555098</v>
      </c>
      <c r="E370" s="593">
        <v>181.27033288916098</v>
      </c>
      <c r="F370" s="594">
        <v>62.424220597591862</v>
      </c>
      <c r="G370" s="595">
        <v>15.401975966675069</v>
      </c>
      <c r="H370" s="566">
        <v>295.55467521398299</v>
      </c>
      <c r="I370" s="596">
        <v>241.29362192530698</v>
      </c>
      <c r="J370" s="595">
        <v>27.766773508121148</v>
      </c>
      <c r="K370" s="626">
        <v>0</v>
      </c>
      <c r="L370" s="595">
        <v>0</v>
      </c>
      <c r="M370" s="1057">
        <f t="shared" si="52"/>
        <v>241.29362192530698</v>
      </c>
      <c r="N370" s="1058">
        <f t="shared" si="52"/>
        <v>27.766773508121148</v>
      </c>
      <c r="O370" s="597">
        <v>36.013973421687616</v>
      </c>
      <c r="P370" s="595">
        <v>0</v>
      </c>
      <c r="Q370" s="571">
        <v>600.62904406909877</v>
      </c>
      <c r="R370" s="1075">
        <f t="shared" si="50"/>
        <v>600.62904406909877</v>
      </c>
      <c r="S370" s="1075">
        <f t="shared" si="51"/>
        <v>0</v>
      </c>
    </row>
    <row r="371" spans="1:19" ht="15.75" hidden="1" x14ac:dyDescent="0.25">
      <c r="A371" s="547" t="s">
        <v>634</v>
      </c>
      <c r="B371" s="1046"/>
      <c r="C371" s="802" t="s">
        <v>1058</v>
      </c>
      <c r="D371" s="625">
        <v>11.356406285638828</v>
      </c>
      <c r="E371" s="593">
        <v>169.26567508193179</v>
      </c>
      <c r="F371" s="594">
        <v>44.417233886748058</v>
      </c>
      <c r="G371" s="595">
        <v>12.364797541446082</v>
      </c>
      <c r="H371" s="566">
        <v>237.40411279576475</v>
      </c>
      <c r="I371" s="596">
        <v>154.86008571325675</v>
      </c>
      <c r="J371" s="595">
        <v>17.430763136096804</v>
      </c>
      <c r="K371" s="626">
        <v>0</v>
      </c>
      <c r="L371" s="595">
        <v>0</v>
      </c>
      <c r="M371" s="1057">
        <f t="shared" si="52"/>
        <v>154.86008571325675</v>
      </c>
      <c r="N371" s="1058">
        <f t="shared" si="52"/>
        <v>17.430763136096804</v>
      </c>
      <c r="O371" s="597">
        <v>19.207452491566727</v>
      </c>
      <c r="P371" s="595">
        <v>0</v>
      </c>
      <c r="Q371" s="571">
        <v>428.90241413668502</v>
      </c>
      <c r="R371" s="1075">
        <f t="shared" si="50"/>
        <v>428.90241413668502</v>
      </c>
      <c r="S371" s="1075">
        <f t="shared" si="51"/>
        <v>0</v>
      </c>
    </row>
    <row r="372" spans="1:19" ht="16.5" hidden="1" thickBot="1" x14ac:dyDescent="0.3">
      <c r="A372" s="547" t="s">
        <v>635</v>
      </c>
      <c r="B372" s="1046"/>
      <c r="C372" s="802" t="s">
        <v>1058</v>
      </c>
      <c r="D372" s="625">
        <v>14.837757049735297</v>
      </c>
      <c r="E372" s="593">
        <v>194.47545647711311</v>
      </c>
      <c r="F372" s="594">
        <v>45.61769966747098</v>
      </c>
      <c r="G372" s="595">
        <v>14.021440318843711</v>
      </c>
      <c r="H372" s="566">
        <v>268.95235351316313</v>
      </c>
      <c r="I372" s="596">
        <v>244.89501926747576</v>
      </c>
      <c r="J372" s="595">
        <v>26.986470750651254</v>
      </c>
      <c r="K372" s="626">
        <v>0</v>
      </c>
      <c r="L372" s="595">
        <v>0</v>
      </c>
      <c r="M372" s="1057">
        <f t="shared" si="52"/>
        <v>244.89501926747576</v>
      </c>
      <c r="N372" s="1058">
        <f t="shared" si="52"/>
        <v>26.986470750651254</v>
      </c>
      <c r="O372" s="597">
        <v>25.089734817109036</v>
      </c>
      <c r="P372" s="595">
        <v>0</v>
      </c>
      <c r="Q372" s="571">
        <v>565.92357834839925</v>
      </c>
      <c r="R372" s="1075">
        <f t="shared" si="50"/>
        <v>565.92357834839925</v>
      </c>
      <c r="S372" s="1075">
        <f t="shared" si="51"/>
        <v>0</v>
      </c>
    </row>
    <row r="373" spans="1:19" ht="16.5" hidden="1" thickBot="1" x14ac:dyDescent="0.3">
      <c r="A373" s="544" t="s">
        <v>939</v>
      </c>
      <c r="B373" s="1046" t="s">
        <v>429</v>
      </c>
      <c r="C373" s="812" t="s">
        <v>1062</v>
      </c>
      <c r="D373" s="549">
        <v>19.723652777277582</v>
      </c>
      <c r="E373" s="550">
        <v>203.35890325446272</v>
      </c>
      <c r="F373" s="551">
        <v>0</v>
      </c>
      <c r="G373" s="560">
        <v>15.606055149397966</v>
      </c>
      <c r="H373" s="566">
        <v>238.68861118113827</v>
      </c>
      <c r="I373" s="567">
        <v>0</v>
      </c>
      <c r="J373" s="560">
        <v>0</v>
      </c>
      <c r="K373" s="568">
        <v>265.30293753976542</v>
      </c>
      <c r="L373" s="560">
        <v>0</v>
      </c>
      <c r="M373" s="1057">
        <f t="shared" si="52"/>
        <v>265.30293753976542</v>
      </c>
      <c r="N373" s="1058">
        <f t="shared" si="52"/>
        <v>0</v>
      </c>
      <c r="O373" s="569">
        <v>0</v>
      </c>
      <c r="P373" s="560">
        <v>0</v>
      </c>
      <c r="Q373" s="571">
        <v>503.99154872090367</v>
      </c>
      <c r="R373" s="1075">
        <f t="shared" si="50"/>
        <v>503.99154872090367</v>
      </c>
      <c r="S373" s="1075">
        <f t="shared" si="51"/>
        <v>0</v>
      </c>
    </row>
    <row r="374" spans="1:19" ht="15.75" hidden="1" x14ac:dyDescent="0.25">
      <c r="A374" s="546" t="s">
        <v>102</v>
      </c>
      <c r="B374" s="1046" t="s">
        <v>429</v>
      </c>
      <c r="C374" s="802" t="s">
        <v>1066</v>
      </c>
      <c r="D374" s="549">
        <v>6.5670679389832856</v>
      </c>
      <c r="E374" s="550">
        <v>66.597794863571664</v>
      </c>
      <c r="F374" s="551">
        <v>0</v>
      </c>
      <c r="G374" s="560">
        <v>19.75451295668984</v>
      </c>
      <c r="H374" s="566">
        <v>92.919375759244787</v>
      </c>
      <c r="I374" s="567">
        <v>1.7653823812443303</v>
      </c>
      <c r="J374" s="560">
        <v>0.47665324293596917</v>
      </c>
      <c r="K374" s="568">
        <v>114.21290040234106</v>
      </c>
      <c r="L374" s="560">
        <v>30.837483108632089</v>
      </c>
      <c r="M374" s="1057">
        <f t="shared" si="52"/>
        <v>115.9782827835854</v>
      </c>
      <c r="N374" s="1058">
        <f t="shared" si="52"/>
        <v>31.31413635156806</v>
      </c>
      <c r="O374" s="569">
        <v>0</v>
      </c>
      <c r="P374" s="560">
        <v>0</v>
      </c>
      <c r="Q374" s="571">
        <v>240.21179489439825</v>
      </c>
      <c r="R374" s="1075">
        <f t="shared" si="50"/>
        <v>240.21179489439825</v>
      </c>
      <c r="S374" s="1075">
        <f t="shared" si="51"/>
        <v>0</v>
      </c>
    </row>
    <row r="375" spans="1:19" ht="15.75" hidden="1" x14ac:dyDescent="0.25">
      <c r="A375" s="547" t="s">
        <v>103</v>
      </c>
      <c r="B375" s="1046"/>
      <c r="C375" s="802" t="s">
        <v>1066</v>
      </c>
      <c r="D375" s="549">
        <v>4.7553297840520141</v>
      </c>
      <c r="E375" s="550">
        <v>94.604408132765101</v>
      </c>
      <c r="F375" s="551">
        <v>0</v>
      </c>
      <c r="G375" s="560">
        <v>26.827129237540621</v>
      </c>
      <c r="H375" s="566">
        <v>126.18686715435773</v>
      </c>
      <c r="I375" s="567">
        <v>1.6494929470269781</v>
      </c>
      <c r="J375" s="560">
        <v>0.44536309569728411</v>
      </c>
      <c r="K375" s="568">
        <v>75.212242807061514</v>
      </c>
      <c r="L375" s="560">
        <v>20.307305557906606</v>
      </c>
      <c r="M375" s="1057">
        <f t="shared" si="52"/>
        <v>76.8617357540885</v>
      </c>
      <c r="N375" s="1058">
        <f t="shared" si="52"/>
        <v>20.752668653603891</v>
      </c>
      <c r="O375" s="569">
        <v>4.7553297840520141</v>
      </c>
      <c r="P375" s="560">
        <v>1.2839390416940439</v>
      </c>
      <c r="Q375" s="571">
        <v>229.84054038779615</v>
      </c>
      <c r="R375" s="1075">
        <f t="shared" si="50"/>
        <v>229.84054038779621</v>
      </c>
      <c r="S375" s="1075">
        <f t="shared" si="51"/>
        <v>0</v>
      </c>
    </row>
    <row r="376" spans="1:19" ht="15.75" hidden="1" x14ac:dyDescent="0.25">
      <c r="A376" s="547" t="s">
        <v>104</v>
      </c>
      <c r="B376" s="1046"/>
      <c r="C376" s="802" t="s">
        <v>1066</v>
      </c>
      <c r="D376" s="549">
        <v>0</v>
      </c>
      <c r="E376" s="550">
        <v>96.234586174089173</v>
      </c>
      <c r="F376" s="551">
        <v>0</v>
      </c>
      <c r="G376" s="560">
        <v>25.983338267004079</v>
      </c>
      <c r="H376" s="566">
        <v>122.21792444109326</v>
      </c>
      <c r="I376" s="567">
        <v>0</v>
      </c>
      <c r="J376" s="560">
        <v>0</v>
      </c>
      <c r="K376" s="568">
        <v>74.018581634622777</v>
      </c>
      <c r="L376" s="560">
        <v>19.985017041348154</v>
      </c>
      <c r="M376" s="1057">
        <f t="shared" si="52"/>
        <v>74.018581634622777</v>
      </c>
      <c r="N376" s="1058">
        <f t="shared" si="52"/>
        <v>19.985017041348154</v>
      </c>
      <c r="O376" s="569">
        <v>0</v>
      </c>
      <c r="P376" s="560">
        <v>0</v>
      </c>
      <c r="Q376" s="571">
        <v>216.22152311706418</v>
      </c>
      <c r="R376" s="1075">
        <f t="shared" si="50"/>
        <v>216.22152311706418</v>
      </c>
      <c r="S376" s="1075">
        <f t="shared" si="51"/>
        <v>0</v>
      </c>
    </row>
    <row r="377" spans="1:19" ht="15.75" hidden="1" x14ac:dyDescent="0.25">
      <c r="A377" s="543" t="s">
        <v>105</v>
      </c>
      <c r="B377" s="1046"/>
      <c r="C377" s="802" t="s">
        <v>1066</v>
      </c>
      <c r="D377" s="549">
        <v>0</v>
      </c>
      <c r="E377" s="550">
        <v>131.34135877966571</v>
      </c>
      <c r="F377" s="551">
        <v>0</v>
      </c>
      <c r="G377" s="560">
        <v>35.462166870509741</v>
      </c>
      <c r="H377" s="566">
        <v>166.80352565017546</v>
      </c>
      <c r="I377" s="567">
        <v>1.5451924562313613</v>
      </c>
      <c r="J377" s="560">
        <v>0.41720196318246755</v>
      </c>
      <c r="K377" s="568">
        <v>95.801932286344396</v>
      </c>
      <c r="L377" s="560">
        <v>25.866521717312988</v>
      </c>
      <c r="M377" s="1057">
        <f t="shared" si="52"/>
        <v>97.347124742575758</v>
      </c>
      <c r="N377" s="1058">
        <f t="shared" si="52"/>
        <v>26.283723680495456</v>
      </c>
      <c r="O377" s="569">
        <v>0</v>
      </c>
      <c r="P377" s="560">
        <v>0</v>
      </c>
      <c r="Q377" s="571">
        <v>290.43437407324666</v>
      </c>
      <c r="R377" s="1075">
        <f t="shared" si="50"/>
        <v>290.43437407324666</v>
      </c>
      <c r="S377" s="1075">
        <f t="shared" si="51"/>
        <v>0</v>
      </c>
    </row>
    <row r="378" spans="1:19" ht="16.5" hidden="1" thickBot="1" x14ac:dyDescent="0.3">
      <c r="A378" s="548" t="s">
        <v>613</v>
      </c>
      <c r="B378" s="1046"/>
      <c r="C378" s="802" t="s">
        <v>1066</v>
      </c>
      <c r="D378" s="549">
        <v>0</v>
      </c>
      <c r="E378" s="550">
        <v>84.13572924179762</v>
      </c>
      <c r="F378" s="551">
        <v>0</v>
      </c>
      <c r="G378" s="560">
        <v>22.71432910660101</v>
      </c>
      <c r="H378" s="566">
        <v>106.85005834839863</v>
      </c>
      <c r="I378" s="567">
        <v>2.4336781185643939</v>
      </c>
      <c r="J378" s="560">
        <v>0.65709309201238641</v>
      </c>
      <c r="K378" s="568">
        <v>51.107240489852273</v>
      </c>
      <c r="L378" s="560">
        <v>13.798568634146056</v>
      </c>
      <c r="M378" s="1057">
        <f t="shared" si="52"/>
        <v>53.540918608416668</v>
      </c>
      <c r="N378" s="1058">
        <f t="shared" si="52"/>
        <v>14.455661726158443</v>
      </c>
      <c r="O378" s="569">
        <v>0</v>
      </c>
      <c r="P378" s="560">
        <v>0</v>
      </c>
      <c r="Q378" s="571">
        <v>174.84663868297375</v>
      </c>
      <c r="R378" s="1075">
        <f t="shared" si="50"/>
        <v>174.84663868297375</v>
      </c>
      <c r="S378" s="1075">
        <f t="shared" si="51"/>
        <v>0</v>
      </c>
    </row>
    <row r="379" spans="1:19" ht="15.75" hidden="1" x14ac:dyDescent="0.25">
      <c r="A379" s="546" t="s">
        <v>107</v>
      </c>
      <c r="B379" s="1046"/>
      <c r="C379" s="802" t="s">
        <v>1074</v>
      </c>
      <c r="D379" s="549">
        <v>30.419802883518805</v>
      </c>
      <c r="E379" s="550">
        <v>50.203478949832537</v>
      </c>
      <c r="F379" s="551">
        <v>0.48018631228916819</v>
      </c>
      <c r="G379" s="560">
        <v>8.1151486776869426</v>
      </c>
      <c r="H379" s="566">
        <v>89.218616823327451</v>
      </c>
      <c r="I379" s="567">
        <v>26.326214571253644</v>
      </c>
      <c r="J379" s="560">
        <v>2.6290200597831959</v>
      </c>
      <c r="K379" s="568">
        <v>70.935522982917377</v>
      </c>
      <c r="L379" s="560">
        <v>7.0947527640724601</v>
      </c>
      <c r="M379" s="1057">
        <f t="shared" si="52"/>
        <v>97.26173755417102</v>
      </c>
      <c r="N379" s="1058">
        <f t="shared" si="52"/>
        <v>9.723772823855656</v>
      </c>
      <c r="O379" s="569">
        <v>0.96037262457833639</v>
      </c>
      <c r="P379" s="560">
        <v>9.6037262457833644E-2</v>
      </c>
      <c r="Q379" s="571">
        <v>197.26053708839029</v>
      </c>
      <c r="R379" s="1075">
        <f t="shared" si="50"/>
        <v>197.26053708839029</v>
      </c>
      <c r="S379" s="1075">
        <f t="shared" si="51"/>
        <v>0</v>
      </c>
    </row>
    <row r="380" spans="1:19" ht="15.75" hidden="1" x14ac:dyDescent="0.25">
      <c r="A380" s="547" t="s">
        <v>108</v>
      </c>
      <c r="B380" s="1046"/>
      <c r="C380" s="802" t="s">
        <v>1074</v>
      </c>
      <c r="D380" s="549">
        <v>0.36013973421687612</v>
      </c>
      <c r="E380" s="550">
        <v>17.022604770651011</v>
      </c>
      <c r="F380" s="551">
        <v>0.48018631228916819</v>
      </c>
      <c r="G380" s="560">
        <v>1.7886940132771514</v>
      </c>
      <c r="H380" s="566">
        <v>19.651624830434205</v>
      </c>
      <c r="I380" s="567">
        <v>16.72248832547028</v>
      </c>
      <c r="J380" s="560">
        <v>1.6686474352048593</v>
      </c>
      <c r="K380" s="568">
        <v>42.88063768742272</v>
      </c>
      <c r="L380" s="560">
        <v>4.2856628371808254</v>
      </c>
      <c r="M380" s="1057">
        <f t="shared" si="52"/>
        <v>59.603126012893</v>
      </c>
      <c r="N380" s="1058">
        <f t="shared" si="52"/>
        <v>5.9543102723856851</v>
      </c>
      <c r="O380" s="569">
        <v>0.96037262457833639</v>
      </c>
      <c r="P380" s="560">
        <v>9.6037262457833644E-2</v>
      </c>
      <c r="Q380" s="571">
        <v>86.265471002749052</v>
      </c>
      <c r="R380" s="1075">
        <f t="shared" si="50"/>
        <v>86.265471002749052</v>
      </c>
      <c r="S380" s="1075">
        <f t="shared" si="51"/>
        <v>0</v>
      </c>
    </row>
    <row r="381" spans="1:19" ht="15.75" hidden="1" x14ac:dyDescent="0.25">
      <c r="A381" s="547" t="s">
        <v>109</v>
      </c>
      <c r="B381" s="1046"/>
      <c r="C381" s="802" t="s">
        <v>1074</v>
      </c>
      <c r="D381" s="549">
        <v>13.013049063036458</v>
      </c>
      <c r="E381" s="550">
        <v>73.900673461302986</v>
      </c>
      <c r="F381" s="551">
        <v>0.48018631228916819</v>
      </c>
      <c r="G381" s="560">
        <v>8.7393908836628604</v>
      </c>
      <c r="H381" s="566">
        <v>96.133299720291475</v>
      </c>
      <c r="I381" s="567">
        <v>13.949412372000335</v>
      </c>
      <c r="J381" s="560">
        <v>1.3925403056385877</v>
      </c>
      <c r="K381" s="568">
        <v>37.262457833639452</v>
      </c>
      <c r="L381" s="560">
        <v>3.7214439202410534</v>
      </c>
      <c r="M381" s="1057">
        <f t="shared" si="52"/>
        <v>51.211870205639784</v>
      </c>
      <c r="N381" s="1058">
        <f t="shared" si="52"/>
        <v>5.1139842258796406</v>
      </c>
      <c r="O381" s="569">
        <v>0.96037262457833639</v>
      </c>
      <c r="P381" s="560">
        <v>9.6037262457833644E-2</v>
      </c>
      <c r="Q381" s="571">
        <v>153.51556403884706</v>
      </c>
      <c r="R381" s="1075">
        <f t="shared" si="50"/>
        <v>153.51556403884706</v>
      </c>
      <c r="S381" s="1075">
        <f t="shared" si="51"/>
        <v>0</v>
      </c>
    </row>
    <row r="382" spans="1:19" ht="15.75" hidden="1" x14ac:dyDescent="0.25">
      <c r="A382" s="547" t="s">
        <v>110</v>
      </c>
      <c r="B382" s="1046" t="s">
        <v>429</v>
      </c>
      <c r="C382" s="802" t="s">
        <v>1074</v>
      </c>
      <c r="D382" s="549">
        <v>22.028547076265593</v>
      </c>
      <c r="E382" s="550">
        <v>30.97201714265135</v>
      </c>
      <c r="F382" s="551">
        <v>0.48018631228916819</v>
      </c>
      <c r="G382" s="560">
        <v>5.3420727242169965</v>
      </c>
      <c r="H382" s="566">
        <v>58.82282325542311</v>
      </c>
      <c r="I382" s="567">
        <v>30.599872750627242</v>
      </c>
      <c r="J382" s="560">
        <v>3.0611877408434469</v>
      </c>
      <c r="K382" s="568">
        <v>88.714421195423824</v>
      </c>
      <c r="L382" s="560">
        <v>8.8714421195423814</v>
      </c>
      <c r="M382" s="1057">
        <f t="shared" si="52"/>
        <v>119.31429394605107</v>
      </c>
      <c r="N382" s="1058">
        <f t="shared" si="52"/>
        <v>11.932629860385829</v>
      </c>
      <c r="O382" s="569">
        <v>0.96037262457833639</v>
      </c>
      <c r="P382" s="560">
        <v>9.6037262457833644E-2</v>
      </c>
      <c r="Q382" s="571">
        <v>191.12615694889618</v>
      </c>
      <c r="R382" s="1075">
        <f t="shared" si="50"/>
        <v>191.12615694889615</v>
      </c>
      <c r="S382" s="1075">
        <f t="shared" si="51"/>
        <v>0</v>
      </c>
    </row>
    <row r="383" spans="1:19" ht="16.5" hidden="1" thickBot="1" x14ac:dyDescent="0.3">
      <c r="A383" s="613" t="s">
        <v>111</v>
      </c>
      <c r="B383" s="1046"/>
      <c r="C383" s="807" t="s">
        <v>1074</v>
      </c>
      <c r="D383" s="549">
        <v>10.372024345446034</v>
      </c>
      <c r="E383" s="550">
        <v>54.249048630868771</v>
      </c>
      <c r="F383" s="551">
        <v>0.48018631228916819</v>
      </c>
      <c r="G383" s="560">
        <v>6.5065245315182292</v>
      </c>
      <c r="H383" s="566">
        <v>71.607783820122194</v>
      </c>
      <c r="I383" s="567">
        <v>32.964790338651397</v>
      </c>
      <c r="J383" s="560">
        <v>3.3012808969880312</v>
      </c>
      <c r="K383" s="568">
        <v>87.898104464532238</v>
      </c>
      <c r="L383" s="560">
        <v>8.7874095148917775</v>
      </c>
      <c r="M383" s="1057">
        <f t="shared" si="52"/>
        <v>120.86289480318364</v>
      </c>
      <c r="N383" s="1058">
        <f t="shared" si="52"/>
        <v>12.088690411879808</v>
      </c>
      <c r="O383" s="569">
        <v>0.96037262457833639</v>
      </c>
      <c r="P383" s="560">
        <v>9.6037262457833644E-2</v>
      </c>
      <c r="Q383" s="571">
        <v>205.61577892222181</v>
      </c>
      <c r="R383" s="1075">
        <f t="shared" si="50"/>
        <v>205.61577892222181</v>
      </c>
      <c r="S383" s="1075">
        <f t="shared" si="51"/>
        <v>0</v>
      </c>
    </row>
    <row r="384" spans="1:19" ht="15.75" hidden="1" x14ac:dyDescent="0.25">
      <c r="A384" s="546" t="s">
        <v>112</v>
      </c>
      <c r="B384" s="1046"/>
      <c r="C384" s="802" t="s">
        <v>1076</v>
      </c>
      <c r="D384" s="549">
        <v>66.571407420741423</v>
      </c>
      <c r="E384" s="550">
        <v>2.1302850374637252</v>
      </c>
      <c r="F384" s="551">
        <v>0</v>
      </c>
      <c r="G384" s="560">
        <v>5.414474470220302</v>
      </c>
      <c r="H384" s="566">
        <v>74.116166928425443</v>
      </c>
      <c r="I384" s="567">
        <v>59.647981048984306</v>
      </c>
      <c r="J384" s="560">
        <v>4.7043794577323936</v>
      </c>
      <c r="K384" s="568">
        <v>0</v>
      </c>
      <c r="L384" s="560">
        <v>0</v>
      </c>
      <c r="M384" s="1057">
        <f t="shared" si="52"/>
        <v>59.647981048984306</v>
      </c>
      <c r="N384" s="1058">
        <f t="shared" si="52"/>
        <v>4.7043794577323936</v>
      </c>
      <c r="O384" s="569">
        <v>0</v>
      </c>
      <c r="P384" s="560">
        <v>0</v>
      </c>
      <c r="Q384" s="571">
        <v>138.46852743514214</v>
      </c>
      <c r="R384" s="1075">
        <f t="shared" si="50"/>
        <v>138.46852743514214</v>
      </c>
      <c r="S384" s="1075">
        <f t="shared" si="51"/>
        <v>0</v>
      </c>
    </row>
    <row r="385" spans="1:19" ht="15.75" hidden="1" x14ac:dyDescent="0.25">
      <c r="A385" s="547" t="s">
        <v>113</v>
      </c>
      <c r="B385" s="1046"/>
      <c r="C385" s="802" t="s">
        <v>1076</v>
      </c>
      <c r="D385" s="549">
        <v>90.537114092208327</v>
      </c>
      <c r="E385" s="550">
        <v>8.8761876560988551</v>
      </c>
      <c r="F385" s="551">
        <v>0</v>
      </c>
      <c r="G385" s="560">
        <v>7.926435576896278</v>
      </c>
      <c r="H385" s="566">
        <v>107.33973732520346</v>
      </c>
      <c r="I385" s="567">
        <v>58.582838530252445</v>
      </c>
      <c r="J385" s="560">
        <v>4.6777508947640971</v>
      </c>
      <c r="K385" s="568">
        <v>0</v>
      </c>
      <c r="L385" s="560">
        <v>0</v>
      </c>
      <c r="M385" s="1057">
        <f t="shared" si="52"/>
        <v>58.582838530252445</v>
      </c>
      <c r="N385" s="1058">
        <f t="shared" si="52"/>
        <v>4.6777508947640971</v>
      </c>
      <c r="O385" s="569">
        <v>0</v>
      </c>
      <c r="P385" s="560">
        <v>0</v>
      </c>
      <c r="Q385" s="571">
        <v>170.60032675022001</v>
      </c>
      <c r="R385" s="1075">
        <f t="shared" si="50"/>
        <v>170.60032675022001</v>
      </c>
      <c r="S385" s="1075">
        <f t="shared" si="51"/>
        <v>0</v>
      </c>
    </row>
    <row r="386" spans="1:19" ht="15.75" hidden="1" x14ac:dyDescent="0.25">
      <c r="A386" s="547" t="s">
        <v>114</v>
      </c>
      <c r="B386" s="1046"/>
      <c r="C386" s="802" t="s">
        <v>1076</v>
      </c>
      <c r="D386" s="549">
        <v>86.27654401728087</v>
      </c>
      <c r="E386" s="550">
        <v>4.4380938280494275</v>
      </c>
      <c r="F386" s="551">
        <v>0</v>
      </c>
      <c r="G386" s="560">
        <v>7.2340929397205675</v>
      </c>
      <c r="H386" s="566">
        <v>97.94873078505087</v>
      </c>
      <c r="I386" s="567">
        <v>75.270071323718298</v>
      </c>
      <c r="J386" s="560">
        <v>6.0091790431789249</v>
      </c>
      <c r="K386" s="568">
        <v>0</v>
      </c>
      <c r="L386" s="560">
        <v>0</v>
      </c>
      <c r="M386" s="1057">
        <f t="shared" si="52"/>
        <v>75.270071323718298</v>
      </c>
      <c r="N386" s="1058">
        <f t="shared" si="52"/>
        <v>6.0091790431789249</v>
      </c>
      <c r="O386" s="569">
        <v>0</v>
      </c>
      <c r="P386" s="560">
        <v>0</v>
      </c>
      <c r="Q386" s="571">
        <v>179.22798115194811</v>
      </c>
      <c r="R386" s="1075">
        <f t="shared" si="50"/>
        <v>179.22798115194811</v>
      </c>
      <c r="S386" s="1075">
        <f t="shared" si="51"/>
        <v>0</v>
      </c>
    </row>
    <row r="387" spans="1:19" ht="15.75" hidden="1" x14ac:dyDescent="0.25">
      <c r="A387" s="547" t="s">
        <v>115</v>
      </c>
      <c r="B387" s="1046"/>
      <c r="C387" s="802" t="s">
        <v>1076</v>
      </c>
      <c r="D387" s="549">
        <v>90.537114092208327</v>
      </c>
      <c r="E387" s="550">
        <v>14.485938254753332</v>
      </c>
      <c r="F387" s="551">
        <v>0</v>
      </c>
      <c r="G387" s="560">
        <v>8.3436163967329247</v>
      </c>
      <c r="H387" s="566">
        <v>113.36666874369459</v>
      </c>
      <c r="I387" s="567">
        <v>92.028313618432932</v>
      </c>
      <c r="J387" s="560">
        <v>7.3139786286254571</v>
      </c>
      <c r="K387" s="568">
        <v>0</v>
      </c>
      <c r="L387" s="560">
        <v>0</v>
      </c>
      <c r="M387" s="1057">
        <f t="shared" si="52"/>
        <v>92.028313618432932</v>
      </c>
      <c r="N387" s="1058">
        <f t="shared" si="52"/>
        <v>7.3139786286254571</v>
      </c>
      <c r="O387" s="569">
        <v>0</v>
      </c>
      <c r="P387" s="560">
        <v>0</v>
      </c>
      <c r="Q387" s="571">
        <v>212.70896099075296</v>
      </c>
      <c r="R387" s="1075">
        <f t="shared" ref="R387:R450" si="53">H387+M387+N387+O387+P387</f>
        <v>212.70896099075296</v>
      </c>
      <c r="S387" s="1075">
        <f t="shared" si="51"/>
        <v>0</v>
      </c>
    </row>
    <row r="388" spans="1:19" ht="15.75" hidden="1" x14ac:dyDescent="0.25">
      <c r="A388" s="547" t="s">
        <v>116</v>
      </c>
      <c r="B388" s="1046"/>
      <c r="C388" s="802" t="s">
        <v>1076</v>
      </c>
      <c r="D388" s="549">
        <v>140.59881247260589</v>
      </c>
      <c r="E388" s="550">
        <v>0</v>
      </c>
      <c r="F388" s="551">
        <v>0</v>
      </c>
      <c r="G388" s="560">
        <v>11.201748821996755</v>
      </c>
      <c r="H388" s="566">
        <v>151.80056129460263</v>
      </c>
      <c r="I388" s="567">
        <v>63.908551123911757</v>
      </c>
      <c r="J388" s="560">
        <v>5.0949317146007429</v>
      </c>
      <c r="K388" s="568">
        <v>0</v>
      </c>
      <c r="L388" s="560">
        <v>0</v>
      </c>
      <c r="M388" s="1057">
        <f t="shared" si="52"/>
        <v>63.908551123911757</v>
      </c>
      <c r="N388" s="1058">
        <f t="shared" si="52"/>
        <v>5.0949317146007429</v>
      </c>
      <c r="O388" s="569">
        <v>0</v>
      </c>
      <c r="P388" s="560">
        <v>0</v>
      </c>
      <c r="Q388" s="571">
        <v>220.80404413311513</v>
      </c>
      <c r="R388" s="1075">
        <f t="shared" si="53"/>
        <v>220.80404413311513</v>
      </c>
      <c r="S388" s="1075">
        <f t="shared" si="51"/>
        <v>0</v>
      </c>
    </row>
    <row r="389" spans="1:19" ht="15.75" hidden="1" x14ac:dyDescent="0.25">
      <c r="A389" s="547" t="s">
        <v>117</v>
      </c>
      <c r="B389" s="1046"/>
      <c r="C389" s="802" t="s">
        <v>1076</v>
      </c>
      <c r="D389" s="549">
        <v>133.14281484148285</v>
      </c>
      <c r="E389" s="550">
        <v>70.725463243795687</v>
      </c>
      <c r="F389" s="551">
        <v>0</v>
      </c>
      <c r="G389" s="560">
        <v>16.2789281612853</v>
      </c>
      <c r="H389" s="566">
        <v>220.14720624656383</v>
      </c>
      <c r="I389" s="567">
        <v>74.879519066849952</v>
      </c>
      <c r="J389" s="560">
        <v>5.9825504802106284</v>
      </c>
      <c r="K389" s="568">
        <v>0</v>
      </c>
      <c r="L389" s="560">
        <v>0</v>
      </c>
      <c r="M389" s="1057">
        <f t="shared" si="52"/>
        <v>74.879519066849952</v>
      </c>
      <c r="N389" s="1058">
        <f t="shared" si="52"/>
        <v>5.9825504802106284</v>
      </c>
      <c r="O389" s="569">
        <v>0</v>
      </c>
      <c r="P389" s="560">
        <v>0</v>
      </c>
      <c r="Q389" s="571">
        <v>301.0092757936244</v>
      </c>
      <c r="R389" s="1075">
        <f t="shared" si="53"/>
        <v>301.0092757936244</v>
      </c>
      <c r="S389" s="1075">
        <f t="shared" si="51"/>
        <v>0</v>
      </c>
    </row>
    <row r="390" spans="1:19" ht="15.75" hidden="1" x14ac:dyDescent="0.25">
      <c r="A390" s="547" t="s">
        <v>118</v>
      </c>
      <c r="B390" s="1046" t="s">
        <v>429</v>
      </c>
      <c r="C390" s="802" t="s">
        <v>1076</v>
      </c>
      <c r="D390" s="549">
        <v>124.62167469162793</v>
      </c>
      <c r="E390" s="550">
        <v>7.8110451373669925</v>
      </c>
      <c r="F390" s="551">
        <v>0</v>
      </c>
      <c r="G390" s="560">
        <v>10.482777621852748</v>
      </c>
      <c r="H390" s="566">
        <v>142.91549745084768</v>
      </c>
      <c r="I390" s="567">
        <v>63.553503617667808</v>
      </c>
      <c r="J390" s="560">
        <v>5.0327984010080513</v>
      </c>
      <c r="K390" s="568">
        <v>0</v>
      </c>
      <c r="L390" s="560">
        <v>0</v>
      </c>
      <c r="M390" s="1057">
        <f t="shared" si="52"/>
        <v>63.553503617667808</v>
      </c>
      <c r="N390" s="1058">
        <f t="shared" si="52"/>
        <v>5.0327984010080513</v>
      </c>
      <c r="O390" s="569">
        <v>0</v>
      </c>
      <c r="P390" s="560">
        <v>0</v>
      </c>
      <c r="Q390" s="571">
        <v>211.50179946952355</v>
      </c>
      <c r="R390" s="1075">
        <f t="shared" si="53"/>
        <v>211.50179946952355</v>
      </c>
      <c r="S390" s="1075">
        <f t="shared" si="51"/>
        <v>0</v>
      </c>
    </row>
    <row r="391" spans="1:19" ht="16.5" hidden="1" thickBot="1" x14ac:dyDescent="0.3">
      <c r="A391" s="613" t="s">
        <v>119</v>
      </c>
      <c r="B391" s="1046"/>
      <c r="C391" s="802" t="s">
        <v>1076</v>
      </c>
      <c r="D391" s="549">
        <v>84.146258979817148</v>
      </c>
      <c r="E391" s="550">
        <v>1.5267042768490031</v>
      </c>
      <c r="F391" s="551">
        <v>0</v>
      </c>
      <c r="G391" s="560">
        <v>6.8169121198839209</v>
      </c>
      <c r="H391" s="566">
        <v>92.489875376550074</v>
      </c>
      <c r="I391" s="567">
        <v>67.814073692595258</v>
      </c>
      <c r="J391" s="560">
        <v>5.3967220949081041</v>
      </c>
      <c r="K391" s="568">
        <v>0</v>
      </c>
      <c r="L391" s="560">
        <v>0</v>
      </c>
      <c r="M391" s="1057">
        <f t="shared" si="52"/>
        <v>67.814073692595258</v>
      </c>
      <c r="N391" s="1058">
        <f t="shared" si="52"/>
        <v>5.3967220949081041</v>
      </c>
      <c r="O391" s="569">
        <v>0</v>
      </c>
      <c r="P391" s="560">
        <v>0</v>
      </c>
      <c r="Q391" s="571">
        <v>165.70067116405346</v>
      </c>
      <c r="R391" s="1075">
        <f t="shared" si="53"/>
        <v>165.70067116405346</v>
      </c>
      <c r="S391" s="1075">
        <f t="shared" si="51"/>
        <v>0</v>
      </c>
    </row>
    <row r="392" spans="1:19" ht="16.5" hidden="1" thickBot="1" x14ac:dyDescent="0.3">
      <c r="A392" s="696" t="s">
        <v>587</v>
      </c>
      <c r="B392" s="760"/>
      <c r="C392" s="812" t="s">
        <v>1084</v>
      </c>
      <c r="D392" s="549">
        <v>0</v>
      </c>
      <c r="E392" s="550">
        <v>84.287296553798782</v>
      </c>
      <c r="F392" s="551">
        <v>0</v>
      </c>
      <c r="G392" s="560">
        <v>0</v>
      </c>
      <c r="H392" s="566">
        <v>84.287296553798782</v>
      </c>
      <c r="I392" s="567">
        <v>0</v>
      </c>
      <c r="J392" s="560">
        <v>0</v>
      </c>
      <c r="K392" s="568">
        <v>0</v>
      </c>
      <c r="L392" s="560">
        <v>0</v>
      </c>
      <c r="M392" s="1057">
        <f t="shared" si="52"/>
        <v>0</v>
      </c>
      <c r="N392" s="1058">
        <f t="shared" si="52"/>
        <v>0</v>
      </c>
      <c r="O392" s="569">
        <v>0</v>
      </c>
      <c r="P392" s="560">
        <v>0</v>
      </c>
      <c r="Q392" s="571">
        <v>84.287296553798782</v>
      </c>
      <c r="R392" s="1075">
        <f t="shared" si="53"/>
        <v>84.287296553798782</v>
      </c>
      <c r="S392" s="1075">
        <f t="shared" si="51"/>
        <v>0</v>
      </c>
    </row>
    <row r="393" spans="1:19" ht="16.5" hidden="1" thickBot="1" x14ac:dyDescent="0.3">
      <c r="A393" s="645" t="s">
        <v>775</v>
      </c>
      <c r="B393" s="751"/>
      <c r="C393" s="818" t="s">
        <v>1088</v>
      </c>
      <c r="D393" s="549">
        <v>70.827481062652311</v>
      </c>
      <c r="E393" s="550">
        <v>172.13478829785956</v>
      </c>
      <c r="F393" s="551">
        <v>0</v>
      </c>
      <c r="G393" s="560">
        <v>0</v>
      </c>
      <c r="H393" s="566">
        <v>242.96226936051187</v>
      </c>
      <c r="I393" s="567">
        <v>0</v>
      </c>
      <c r="J393" s="560">
        <v>0</v>
      </c>
      <c r="K393" s="568">
        <v>0</v>
      </c>
      <c r="L393" s="560">
        <v>0</v>
      </c>
      <c r="M393" s="1057">
        <f t="shared" si="52"/>
        <v>0</v>
      </c>
      <c r="N393" s="1058">
        <f t="shared" si="52"/>
        <v>0</v>
      </c>
      <c r="O393" s="569">
        <v>0</v>
      </c>
      <c r="P393" s="560">
        <v>0</v>
      </c>
      <c r="Q393" s="571">
        <v>242.96226936051187</v>
      </c>
      <c r="R393" s="1075">
        <f t="shared" si="53"/>
        <v>242.96226936051187</v>
      </c>
      <c r="S393" s="1075">
        <f t="shared" si="51"/>
        <v>0</v>
      </c>
    </row>
    <row r="394" spans="1:19" ht="15.75" hidden="1" x14ac:dyDescent="0.25">
      <c r="A394" s="659" t="s">
        <v>620</v>
      </c>
      <c r="B394" s="752"/>
      <c r="C394" s="816" t="s">
        <v>1092</v>
      </c>
      <c r="D394" s="549">
        <v>70.664551813892956</v>
      </c>
      <c r="E394" s="550">
        <v>0</v>
      </c>
      <c r="F394" s="551">
        <v>0</v>
      </c>
      <c r="G394" s="560">
        <v>0</v>
      </c>
      <c r="H394" s="566">
        <v>70.664551813892956</v>
      </c>
      <c r="I394" s="567">
        <v>0</v>
      </c>
      <c r="J394" s="560">
        <v>0</v>
      </c>
      <c r="K394" s="568">
        <v>23.385391247763135</v>
      </c>
      <c r="L394" s="560">
        <v>0</v>
      </c>
      <c r="M394" s="1057">
        <f t="shared" si="52"/>
        <v>23.385391247763135</v>
      </c>
      <c r="N394" s="1058">
        <f t="shared" si="52"/>
        <v>0</v>
      </c>
      <c r="O394" s="569">
        <v>0</v>
      </c>
      <c r="P394" s="560">
        <v>0</v>
      </c>
      <c r="Q394" s="571">
        <v>94.049943061656094</v>
      </c>
      <c r="R394" s="1075">
        <f t="shared" si="53"/>
        <v>94.049943061656094</v>
      </c>
      <c r="S394" s="1075">
        <f t="shared" si="51"/>
        <v>0</v>
      </c>
    </row>
    <row r="395" spans="1:19" ht="15.75" hidden="1" x14ac:dyDescent="0.25">
      <c r="A395" s="657" t="s">
        <v>889</v>
      </c>
      <c r="B395" s="747" t="s">
        <v>429</v>
      </c>
      <c r="C395" s="815" t="s">
        <v>1092</v>
      </c>
      <c r="D395" s="549">
        <v>105.74263868553766</v>
      </c>
      <c r="E395" s="550">
        <v>0</v>
      </c>
      <c r="F395" s="551">
        <v>0</v>
      </c>
      <c r="G395" s="560">
        <v>0</v>
      </c>
      <c r="H395" s="566">
        <v>105.74263868553766</v>
      </c>
      <c r="I395" s="567">
        <v>0</v>
      </c>
      <c r="J395" s="560">
        <v>0</v>
      </c>
      <c r="K395" s="568">
        <v>0</v>
      </c>
      <c r="L395" s="560">
        <v>0</v>
      </c>
      <c r="M395" s="1057">
        <f t="shared" si="52"/>
        <v>0</v>
      </c>
      <c r="N395" s="1058">
        <f t="shared" si="52"/>
        <v>0</v>
      </c>
      <c r="O395" s="569">
        <v>0</v>
      </c>
      <c r="P395" s="560">
        <v>0</v>
      </c>
      <c r="Q395" s="571">
        <v>105.74263868553766</v>
      </c>
      <c r="R395" s="1075">
        <f t="shared" si="53"/>
        <v>105.74263868553766</v>
      </c>
      <c r="S395" s="1075">
        <f t="shared" si="51"/>
        <v>0</v>
      </c>
    </row>
    <row r="396" spans="1:19" ht="15.75" hidden="1" x14ac:dyDescent="0.25">
      <c r="A396" s="657" t="s">
        <v>621</v>
      </c>
      <c r="B396" s="747"/>
      <c r="C396" s="815" t="s">
        <v>1092</v>
      </c>
      <c r="D396" s="549">
        <v>57.446721978200749</v>
      </c>
      <c r="E396" s="550">
        <v>0</v>
      </c>
      <c r="F396" s="551">
        <v>0</v>
      </c>
      <c r="G396" s="560">
        <v>0</v>
      </c>
      <c r="H396" s="566">
        <v>57.446721978200749</v>
      </c>
      <c r="I396" s="567">
        <v>0</v>
      </c>
      <c r="J396" s="560">
        <v>0</v>
      </c>
      <c r="K396" s="568">
        <v>4.0670245648283716</v>
      </c>
      <c r="L396" s="560">
        <v>0</v>
      </c>
      <c r="M396" s="1057">
        <f t="shared" si="52"/>
        <v>4.0670245648283716</v>
      </c>
      <c r="N396" s="1058">
        <f t="shared" si="52"/>
        <v>0</v>
      </c>
      <c r="O396" s="569">
        <v>0</v>
      </c>
      <c r="P396" s="560">
        <v>0</v>
      </c>
      <c r="Q396" s="571">
        <v>61.513746543029121</v>
      </c>
      <c r="R396" s="1075">
        <f t="shared" si="53"/>
        <v>61.513746543029121</v>
      </c>
      <c r="S396" s="1075">
        <f t="shared" si="51"/>
        <v>0</v>
      </c>
    </row>
    <row r="397" spans="1:19" ht="15.75" hidden="1" x14ac:dyDescent="0.25">
      <c r="A397" s="657" t="s">
        <v>622</v>
      </c>
      <c r="B397" s="747"/>
      <c r="C397" s="815" t="s">
        <v>1092</v>
      </c>
      <c r="D397" s="549">
        <v>116.92695623881568</v>
      </c>
      <c r="E397" s="550">
        <v>0</v>
      </c>
      <c r="F397" s="551">
        <v>0</v>
      </c>
      <c r="G397" s="560">
        <v>0</v>
      </c>
      <c r="H397" s="566">
        <v>116.92695623881568</v>
      </c>
      <c r="I397" s="567">
        <v>0</v>
      </c>
      <c r="J397" s="560">
        <v>0</v>
      </c>
      <c r="K397" s="568">
        <v>0</v>
      </c>
      <c r="L397" s="560">
        <v>0</v>
      </c>
      <c r="M397" s="1057">
        <f t="shared" si="52"/>
        <v>0</v>
      </c>
      <c r="N397" s="1058">
        <f t="shared" si="52"/>
        <v>0</v>
      </c>
      <c r="O397" s="569">
        <v>0</v>
      </c>
      <c r="P397" s="560">
        <v>0</v>
      </c>
      <c r="Q397" s="571">
        <v>116.92695623881568</v>
      </c>
      <c r="R397" s="1075">
        <f t="shared" si="53"/>
        <v>116.92695623881568</v>
      </c>
      <c r="S397" s="1075">
        <f t="shared" si="51"/>
        <v>0</v>
      </c>
    </row>
    <row r="398" spans="1:19" ht="15.75" hidden="1" x14ac:dyDescent="0.25">
      <c r="A398" s="657" t="s">
        <v>623</v>
      </c>
      <c r="B398" s="747"/>
      <c r="C398" s="815" t="s">
        <v>1092</v>
      </c>
      <c r="D398" s="549">
        <v>61.005368472425573</v>
      </c>
      <c r="E398" s="550">
        <v>0</v>
      </c>
      <c r="F398" s="551">
        <v>0</v>
      </c>
      <c r="G398" s="560">
        <v>0</v>
      </c>
      <c r="H398" s="566">
        <v>61.005368472425573</v>
      </c>
      <c r="I398" s="567">
        <v>0</v>
      </c>
      <c r="J398" s="560">
        <v>0</v>
      </c>
      <c r="K398" s="568">
        <v>13.217829835692207</v>
      </c>
      <c r="L398" s="560">
        <v>0</v>
      </c>
      <c r="M398" s="1057">
        <f t="shared" si="52"/>
        <v>13.217829835692207</v>
      </c>
      <c r="N398" s="1058">
        <f t="shared" si="52"/>
        <v>0</v>
      </c>
      <c r="O398" s="569">
        <v>0</v>
      </c>
      <c r="P398" s="560">
        <v>0</v>
      </c>
      <c r="Q398" s="571">
        <v>74.223198308117787</v>
      </c>
      <c r="R398" s="1075">
        <f t="shared" si="53"/>
        <v>74.223198308117787</v>
      </c>
      <c r="S398" s="1075">
        <f t="shared" si="51"/>
        <v>0</v>
      </c>
    </row>
    <row r="399" spans="1:19" ht="16.5" hidden="1" thickBot="1" x14ac:dyDescent="0.3">
      <c r="A399" s="657" t="s">
        <v>624</v>
      </c>
      <c r="B399" s="747"/>
      <c r="C399" s="819" t="s">
        <v>1092</v>
      </c>
      <c r="D399" s="549">
        <v>104.21750447372702</v>
      </c>
      <c r="E399" s="550">
        <v>0</v>
      </c>
      <c r="F399" s="551">
        <v>0</v>
      </c>
      <c r="G399" s="560">
        <v>0</v>
      </c>
      <c r="H399" s="566">
        <v>104.21750447372702</v>
      </c>
      <c r="I399" s="567">
        <v>0</v>
      </c>
      <c r="J399" s="560">
        <v>0</v>
      </c>
      <c r="K399" s="568">
        <v>17.28485440052058</v>
      </c>
      <c r="L399" s="560">
        <v>0</v>
      </c>
      <c r="M399" s="1057">
        <f t="shared" si="52"/>
        <v>17.28485440052058</v>
      </c>
      <c r="N399" s="1058">
        <f t="shared" si="52"/>
        <v>0</v>
      </c>
      <c r="O399" s="569">
        <v>0</v>
      </c>
      <c r="P399" s="560">
        <v>0</v>
      </c>
      <c r="Q399" s="571">
        <v>121.50235887424759</v>
      </c>
      <c r="R399" s="1075">
        <f t="shared" si="53"/>
        <v>121.50235887424759</v>
      </c>
      <c r="S399" s="1075">
        <f t="shared" si="51"/>
        <v>0</v>
      </c>
    </row>
    <row r="400" spans="1:19" ht="15.75" hidden="1" x14ac:dyDescent="0.25">
      <c r="A400" s="631" t="s">
        <v>182</v>
      </c>
      <c r="B400" s="631" t="s">
        <v>429</v>
      </c>
      <c r="C400" s="631" t="s">
        <v>1106</v>
      </c>
      <c r="D400" s="549">
        <v>50.599632657471098</v>
      </c>
      <c r="E400" s="550">
        <v>141.65496212530462</v>
      </c>
      <c r="F400" s="551">
        <v>0</v>
      </c>
      <c r="G400" s="560">
        <v>11.536476152747264</v>
      </c>
      <c r="H400" s="566">
        <v>203.79107093552298</v>
      </c>
      <c r="I400" s="567">
        <v>153.65961993253381</v>
      </c>
      <c r="J400" s="560">
        <v>0</v>
      </c>
      <c r="K400" s="568">
        <v>189.61357006518529</v>
      </c>
      <c r="L400" s="560">
        <v>0</v>
      </c>
      <c r="M400" s="1057">
        <f t="shared" si="52"/>
        <v>343.2731899977191</v>
      </c>
      <c r="N400" s="1058">
        <f t="shared" si="52"/>
        <v>0</v>
      </c>
      <c r="O400" s="569">
        <v>40.335650232290128</v>
      </c>
      <c r="P400" s="560">
        <v>2.4249408770602994</v>
      </c>
      <c r="Q400" s="571">
        <v>589.82485204259251</v>
      </c>
      <c r="R400" s="1075">
        <f t="shared" si="53"/>
        <v>589.82485204259251</v>
      </c>
      <c r="S400" s="1075">
        <f t="shared" si="51"/>
        <v>0</v>
      </c>
    </row>
    <row r="401" spans="1:19" ht="15.75" hidden="1" x14ac:dyDescent="0.25">
      <c r="A401" s="631" t="s">
        <v>183</v>
      </c>
      <c r="B401" s="631"/>
      <c r="C401" s="631" t="s">
        <v>1106</v>
      </c>
      <c r="D401" s="549">
        <v>70.827481062652311</v>
      </c>
      <c r="E401" s="550">
        <v>108.04192026506284</v>
      </c>
      <c r="F401" s="551">
        <v>9.4116517208676953</v>
      </c>
      <c r="G401" s="560">
        <v>11.296382996602681</v>
      </c>
      <c r="H401" s="566">
        <v>199.57743604518552</v>
      </c>
      <c r="I401" s="567">
        <v>228.08849833735488</v>
      </c>
      <c r="J401" s="560">
        <v>0</v>
      </c>
      <c r="K401" s="568">
        <v>191.94247367978772</v>
      </c>
      <c r="L401" s="560">
        <v>0</v>
      </c>
      <c r="M401" s="1057">
        <f t="shared" si="52"/>
        <v>420.03097201714263</v>
      </c>
      <c r="N401" s="1058">
        <f t="shared" si="52"/>
        <v>0</v>
      </c>
      <c r="O401" s="569">
        <v>40.335650232290128</v>
      </c>
      <c r="P401" s="560">
        <v>2.4249408770602994</v>
      </c>
      <c r="Q401" s="571">
        <v>662.36899917167864</v>
      </c>
      <c r="R401" s="1075">
        <f t="shared" si="53"/>
        <v>662.36899917167864</v>
      </c>
      <c r="S401" s="1075">
        <f t="shared" si="51"/>
        <v>0</v>
      </c>
    </row>
    <row r="402" spans="1:19" ht="15.75" hidden="1" x14ac:dyDescent="0.25">
      <c r="A402" s="631" t="s">
        <v>184</v>
      </c>
      <c r="B402" s="631"/>
      <c r="C402" s="631" t="s">
        <v>1106</v>
      </c>
      <c r="D402" s="549">
        <v>73.444496464628273</v>
      </c>
      <c r="E402" s="550">
        <v>122.44750963373788</v>
      </c>
      <c r="F402" s="551">
        <v>22.088570365301734</v>
      </c>
      <c r="G402" s="560">
        <v>13.073072352072604</v>
      </c>
      <c r="H402" s="566">
        <v>231.0536488157405</v>
      </c>
      <c r="I402" s="567">
        <v>164.4638119590401</v>
      </c>
      <c r="J402" s="560">
        <v>0</v>
      </c>
      <c r="K402" s="568">
        <v>336.7306514927792</v>
      </c>
      <c r="L402" s="560">
        <v>0</v>
      </c>
      <c r="M402" s="1057">
        <f t="shared" si="52"/>
        <v>501.19446345181927</v>
      </c>
      <c r="N402" s="1058">
        <f t="shared" si="52"/>
        <v>0</v>
      </c>
      <c r="O402" s="569">
        <v>40.335650232290128</v>
      </c>
      <c r="P402" s="560">
        <v>2.4249408770602994</v>
      </c>
      <c r="Q402" s="571">
        <v>775.00870337691026</v>
      </c>
      <c r="R402" s="1075">
        <f t="shared" si="53"/>
        <v>775.00870337691026</v>
      </c>
      <c r="S402" s="1075">
        <f t="shared" si="51"/>
        <v>0</v>
      </c>
    </row>
    <row r="403" spans="1:19" ht="15.75" hidden="1" x14ac:dyDescent="0.25">
      <c r="A403" s="631" t="s">
        <v>185</v>
      </c>
      <c r="B403" s="631"/>
      <c r="C403" s="631" t="s">
        <v>1106</v>
      </c>
      <c r="D403" s="549">
        <v>54.020960132531421</v>
      </c>
      <c r="E403" s="550">
        <v>75.629344185543985</v>
      </c>
      <c r="F403" s="551">
        <v>0</v>
      </c>
      <c r="G403" s="560">
        <v>7.7790182590845252</v>
      </c>
      <c r="H403" s="566">
        <v>137.42932257715992</v>
      </c>
      <c r="I403" s="567">
        <v>264.10247175904249</v>
      </c>
      <c r="J403" s="560">
        <v>0</v>
      </c>
      <c r="K403" s="568">
        <v>230.77754168617423</v>
      </c>
      <c r="L403" s="560">
        <v>0</v>
      </c>
      <c r="M403" s="1057">
        <f t="shared" si="52"/>
        <v>494.88001344521672</v>
      </c>
      <c r="N403" s="1058">
        <f t="shared" si="52"/>
        <v>0</v>
      </c>
      <c r="O403" s="569">
        <v>40.335650232290128</v>
      </c>
      <c r="P403" s="560">
        <v>2.4249408770602994</v>
      </c>
      <c r="Q403" s="571">
        <v>675.06992713172713</v>
      </c>
      <c r="R403" s="1075">
        <f t="shared" si="53"/>
        <v>675.06992713172713</v>
      </c>
      <c r="S403" s="1075">
        <f t="shared" si="51"/>
        <v>0</v>
      </c>
    </row>
    <row r="404" spans="1:19" ht="16.5" hidden="1" thickBot="1" x14ac:dyDescent="0.3">
      <c r="A404" s="631" t="s">
        <v>186</v>
      </c>
      <c r="B404" s="631"/>
      <c r="C404" s="631" t="s">
        <v>1106</v>
      </c>
      <c r="D404" s="549">
        <v>84.560809594122517</v>
      </c>
      <c r="E404" s="550">
        <v>55.401495780362779</v>
      </c>
      <c r="F404" s="551">
        <v>0</v>
      </c>
      <c r="G404" s="560">
        <v>8.403260465060443</v>
      </c>
      <c r="H404" s="566">
        <v>148.36556583954575</v>
      </c>
      <c r="I404" s="567">
        <v>172.86707242410054</v>
      </c>
      <c r="J404" s="560">
        <v>0</v>
      </c>
      <c r="K404" s="568">
        <v>174.59574314834154</v>
      </c>
      <c r="L404" s="560">
        <v>0</v>
      </c>
      <c r="M404" s="1057">
        <f t="shared" si="52"/>
        <v>347.46281557244208</v>
      </c>
      <c r="N404" s="1058">
        <f t="shared" si="52"/>
        <v>0</v>
      </c>
      <c r="O404" s="569">
        <v>40.335650232290128</v>
      </c>
      <c r="P404" s="560">
        <v>2.4249408770602994</v>
      </c>
      <c r="Q404" s="571">
        <v>538.58897252133829</v>
      </c>
      <c r="R404" s="1075">
        <f t="shared" si="53"/>
        <v>538.58897252133829</v>
      </c>
      <c r="S404" s="1075">
        <f t="shared" si="51"/>
        <v>0</v>
      </c>
    </row>
    <row r="405" spans="1:19" ht="15.75" hidden="1" x14ac:dyDescent="0.25">
      <c r="A405" s="546" t="s">
        <v>125</v>
      </c>
      <c r="B405" s="1046"/>
      <c r="C405" s="802" t="s">
        <v>1112</v>
      </c>
      <c r="D405" s="549">
        <v>149.78069133112257</v>
      </c>
      <c r="E405" s="550">
        <v>0</v>
      </c>
      <c r="F405" s="551">
        <v>0</v>
      </c>
      <c r="G405" s="560">
        <v>37.445172832780642</v>
      </c>
      <c r="H405" s="566">
        <v>187.22586416390322</v>
      </c>
      <c r="I405" s="567">
        <v>208.88861264568274</v>
      </c>
      <c r="J405" s="560">
        <v>52.222153161420685</v>
      </c>
      <c r="K405" s="568">
        <v>0</v>
      </c>
      <c r="L405" s="560">
        <v>0</v>
      </c>
      <c r="M405" s="1057">
        <f t="shared" si="52"/>
        <v>208.88861264568274</v>
      </c>
      <c r="N405" s="1058">
        <f t="shared" si="52"/>
        <v>52.222153161420685</v>
      </c>
      <c r="O405" s="569">
        <v>0</v>
      </c>
      <c r="P405" s="560">
        <v>0</v>
      </c>
      <c r="Q405" s="571">
        <v>448.33662997100669</v>
      </c>
      <c r="R405" s="1075">
        <f t="shared" si="53"/>
        <v>448.33662997100669</v>
      </c>
      <c r="S405" s="1075">
        <f t="shared" si="51"/>
        <v>0</v>
      </c>
    </row>
    <row r="406" spans="1:19" ht="15.75" hidden="1" x14ac:dyDescent="0.25">
      <c r="A406" s="547" t="s">
        <v>126</v>
      </c>
      <c r="B406" s="1046" t="s">
        <v>429</v>
      </c>
      <c r="C406" s="802" t="s">
        <v>1112</v>
      </c>
      <c r="D406" s="549">
        <v>37.536576834813467</v>
      </c>
      <c r="E406" s="550">
        <v>119.06894664809337</v>
      </c>
      <c r="F406" s="551">
        <v>0</v>
      </c>
      <c r="G406" s="560">
        <v>34.459308766375024</v>
      </c>
      <c r="H406" s="566">
        <v>191.06483224928186</v>
      </c>
      <c r="I406" s="567">
        <v>178.66435597349528</v>
      </c>
      <c r="J406" s="560">
        <v>49.3581610977255</v>
      </c>
      <c r="K406" s="568">
        <v>0</v>
      </c>
      <c r="L406" s="560">
        <v>0</v>
      </c>
      <c r="M406" s="1057">
        <f t="shared" si="52"/>
        <v>178.66435597349528</v>
      </c>
      <c r="N406" s="1058">
        <f t="shared" si="52"/>
        <v>49.3581610977255</v>
      </c>
      <c r="O406" s="569">
        <v>0</v>
      </c>
      <c r="P406" s="560">
        <v>0</v>
      </c>
      <c r="Q406" s="571">
        <v>419.0873493205026</v>
      </c>
      <c r="R406" s="1075">
        <f t="shared" si="53"/>
        <v>419.0873493205026</v>
      </c>
      <c r="S406" s="1075">
        <f t="shared" si="51"/>
        <v>0</v>
      </c>
    </row>
    <row r="407" spans="1:19" ht="16.5" hidden="1" thickBot="1" x14ac:dyDescent="0.3">
      <c r="A407" s="641" t="s">
        <v>127</v>
      </c>
      <c r="B407" s="1046"/>
      <c r="C407" s="807" t="s">
        <v>1112</v>
      </c>
      <c r="D407" s="549">
        <v>38.609050458665287</v>
      </c>
      <c r="E407" s="550">
        <v>106.51613036891874</v>
      </c>
      <c r="F407" s="551">
        <v>11.894707464538293</v>
      </c>
      <c r="G407" s="560">
        <v>39.254972073030579</v>
      </c>
      <c r="H407" s="566">
        <v>196.2748603651529</v>
      </c>
      <c r="I407" s="567">
        <v>162.65037481734433</v>
      </c>
      <c r="J407" s="560">
        <v>40.662593704336082</v>
      </c>
      <c r="K407" s="568">
        <v>0</v>
      </c>
      <c r="L407" s="560">
        <v>0</v>
      </c>
      <c r="M407" s="1057">
        <f t="shared" si="52"/>
        <v>162.65037481734433</v>
      </c>
      <c r="N407" s="1058">
        <f t="shared" si="52"/>
        <v>40.662593704336082</v>
      </c>
      <c r="O407" s="569">
        <v>0</v>
      </c>
      <c r="P407" s="560">
        <v>0</v>
      </c>
      <c r="Q407" s="571">
        <v>399.58782888683328</v>
      </c>
      <c r="R407" s="1075">
        <f t="shared" si="53"/>
        <v>399.58782888683328</v>
      </c>
      <c r="S407" s="1075">
        <f t="shared" si="51"/>
        <v>0</v>
      </c>
    </row>
    <row r="408" spans="1:19" ht="15.75" hidden="1" x14ac:dyDescent="0.25">
      <c r="A408" s="546" t="s">
        <v>128</v>
      </c>
      <c r="B408" s="1046"/>
      <c r="C408" s="802" t="s">
        <v>1114</v>
      </c>
      <c r="D408" s="549">
        <v>0</v>
      </c>
      <c r="E408" s="550">
        <v>137.1280724450194</v>
      </c>
      <c r="F408" s="551">
        <v>0</v>
      </c>
      <c r="G408" s="560">
        <v>10.970245795601551</v>
      </c>
      <c r="H408" s="566">
        <v>148.09831824062096</v>
      </c>
      <c r="I408" s="567">
        <v>0</v>
      </c>
      <c r="J408" s="560">
        <v>0</v>
      </c>
      <c r="K408" s="568">
        <v>140.29035503809112</v>
      </c>
      <c r="L408" s="560">
        <v>11.22322840304729</v>
      </c>
      <c r="M408" s="1057">
        <f t="shared" si="52"/>
        <v>140.29035503809112</v>
      </c>
      <c r="N408" s="1058">
        <f t="shared" si="52"/>
        <v>11.22322840304729</v>
      </c>
      <c r="O408" s="569">
        <v>0</v>
      </c>
      <c r="P408" s="560">
        <v>0</v>
      </c>
      <c r="Q408" s="571">
        <v>299.61190168175938</v>
      </c>
      <c r="R408" s="1075">
        <f t="shared" si="53"/>
        <v>299.61190168175938</v>
      </c>
      <c r="S408" s="1075">
        <f t="shared" si="51"/>
        <v>0</v>
      </c>
    </row>
    <row r="409" spans="1:19" ht="15.75" hidden="1" x14ac:dyDescent="0.25">
      <c r="A409" s="641" t="s">
        <v>891</v>
      </c>
      <c r="B409" s="1046" t="s">
        <v>429</v>
      </c>
      <c r="C409" s="802" t="s">
        <v>1114</v>
      </c>
      <c r="D409" s="549">
        <v>0</v>
      </c>
      <c r="E409" s="550">
        <v>120.74169900819319</v>
      </c>
      <c r="F409" s="551">
        <v>0</v>
      </c>
      <c r="G409" s="560">
        <v>9.6593359206554563</v>
      </c>
      <c r="H409" s="566">
        <v>130.40103492884865</v>
      </c>
      <c r="I409" s="567">
        <v>0</v>
      </c>
      <c r="J409" s="560">
        <v>0</v>
      </c>
      <c r="K409" s="568">
        <v>184.5623113410953</v>
      </c>
      <c r="L409" s="560">
        <v>14.764984907287625</v>
      </c>
      <c r="M409" s="1057">
        <f t="shared" si="52"/>
        <v>184.5623113410953</v>
      </c>
      <c r="N409" s="1058">
        <f t="shared" si="52"/>
        <v>14.764984907287625</v>
      </c>
      <c r="O409" s="569">
        <v>0</v>
      </c>
      <c r="P409" s="560">
        <v>0</v>
      </c>
      <c r="Q409" s="571">
        <v>329.72833117723155</v>
      </c>
      <c r="R409" s="1075">
        <f t="shared" si="53"/>
        <v>329.72833117723155</v>
      </c>
      <c r="S409" s="1075">
        <f t="shared" si="51"/>
        <v>0</v>
      </c>
    </row>
    <row r="410" spans="1:19" ht="15.75" hidden="1" x14ac:dyDescent="0.25">
      <c r="A410" s="547" t="s">
        <v>129</v>
      </c>
      <c r="B410" s="1046"/>
      <c r="C410" s="802" t="s">
        <v>1114</v>
      </c>
      <c r="D410" s="549">
        <v>0</v>
      </c>
      <c r="E410" s="550">
        <v>128.79114560873941</v>
      </c>
      <c r="F410" s="551">
        <v>0</v>
      </c>
      <c r="G410" s="560">
        <v>10.303291648699153</v>
      </c>
      <c r="H410" s="566">
        <v>139.09443725743856</v>
      </c>
      <c r="I410" s="567">
        <v>0</v>
      </c>
      <c r="J410" s="560">
        <v>0</v>
      </c>
      <c r="K410" s="568">
        <v>158.4016098893201</v>
      </c>
      <c r="L410" s="560">
        <v>12.672128791145608</v>
      </c>
      <c r="M410" s="1057">
        <f t="shared" si="52"/>
        <v>158.4016098893201</v>
      </c>
      <c r="N410" s="1058">
        <f t="shared" si="52"/>
        <v>12.672128791145608</v>
      </c>
      <c r="O410" s="569">
        <v>0</v>
      </c>
      <c r="P410" s="560">
        <v>0</v>
      </c>
      <c r="Q410" s="571">
        <v>310.16817593790427</v>
      </c>
      <c r="R410" s="1075">
        <f t="shared" si="53"/>
        <v>310.16817593790427</v>
      </c>
      <c r="S410" s="1075">
        <f t="shared" si="51"/>
        <v>0</v>
      </c>
    </row>
    <row r="411" spans="1:19" ht="15.75" hidden="1" x14ac:dyDescent="0.25">
      <c r="A411" s="547" t="s">
        <v>130</v>
      </c>
      <c r="B411" s="1046"/>
      <c r="C411" s="802" t="s">
        <v>1114</v>
      </c>
      <c r="D411" s="549">
        <v>0</v>
      </c>
      <c r="E411" s="550">
        <v>96.018398735086961</v>
      </c>
      <c r="F411" s="551">
        <v>0</v>
      </c>
      <c r="G411" s="560">
        <v>7.681471898806957</v>
      </c>
      <c r="H411" s="566">
        <v>103.69987063389392</v>
      </c>
      <c r="I411" s="567">
        <v>0</v>
      </c>
      <c r="J411" s="560">
        <v>0</v>
      </c>
      <c r="K411" s="568">
        <v>159.55153083225528</v>
      </c>
      <c r="L411" s="560">
        <v>12.764122466580423</v>
      </c>
      <c r="M411" s="1057">
        <f t="shared" si="52"/>
        <v>159.55153083225528</v>
      </c>
      <c r="N411" s="1058">
        <f t="shared" si="52"/>
        <v>12.764122466580423</v>
      </c>
      <c r="O411" s="569">
        <v>0</v>
      </c>
      <c r="P411" s="560">
        <v>0</v>
      </c>
      <c r="Q411" s="571">
        <v>276.01552393272965</v>
      </c>
      <c r="R411" s="1075">
        <f t="shared" si="53"/>
        <v>276.01552393272965</v>
      </c>
      <c r="S411" s="1075">
        <f t="shared" si="51"/>
        <v>0</v>
      </c>
    </row>
    <row r="412" spans="1:19" ht="15.75" hidden="1" x14ac:dyDescent="0.25">
      <c r="A412" s="547" t="s">
        <v>131</v>
      </c>
      <c r="B412" s="1046"/>
      <c r="C412" s="802" t="s">
        <v>1114</v>
      </c>
      <c r="D412" s="549">
        <v>0</v>
      </c>
      <c r="E412" s="550">
        <v>97.168319678022144</v>
      </c>
      <c r="F412" s="551">
        <v>0</v>
      </c>
      <c r="G412" s="560">
        <v>7.7734655742417704</v>
      </c>
      <c r="H412" s="566">
        <v>104.94178525226391</v>
      </c>
      <c r="I412" s="567">
        <v>0</v>
      </c>
      <c r="J412" s="560">
        <v>0</v>
      </c>
      <c r="K412" s="568">
        <v>95.443438263619385</v>
      </c>
      <c r="L412" s="560">
        <v>7.6354750610895499</v>
      </c>
      <c r="M412" s="1057">
        <f t="shared" si="52"/>
        <v>95.443438263619385</v>
      </c>
      <c r="N412" s="1058">
        <f t="shared" si="52"/>
        <v>7.6354750610895499</v>
      </c>
      <c r="O412" s="569">
        <v>0</v>
      </c>
      <c r="P412" s="560">
        <v>0</v>
      </c>
      <c r="Q412" s="571">
        <v>208.02069857697285</v>
      </c>
      <c r="R412" s="1075">
        <f t="shared" si="53"/>
        <v>208.02069857697285</v>
      </c>
      <c r="S412" s="1075">
        <f t="shared" si="51"/>
        <v>0</v>
      </c>
    </row>
    <row r="413" spans="1:19" ht="16.5" hidden="1" thickBot="1" x14ac:dyDescent="0.3">
      <c r="A413" s="543" t="s">
        <v>132</v>
      </c>
      <c r="B413" s="1046"/>
      <c r="C413" s="802" t="s">
        <v>1114</v>
      </c>
      <c r="D413" s="549">
        <v>0</v>
      </c>
      <c r="E413" s="550">
        <v>84.80666954146902</v>
      </c>
      <c r="F413" s="551">
        <v>0</v>
      </c>
      <c r="G413" s="560">
        <v>6.7845335633175221</v>
      </c>
      <c r="H413" s="566">
        <v>91.591203104786544</v>
      </c>
      <c r="I413" s="567">
        <v>0</v>
      </c>
      <c r="J413" s="560">
        <v>0</v>
      </c>
      <c r="K413" s="568">
        <v>129.65358631594077</v>
      </c>
      <c r="L413" s="560">
        <v>10.372286905275262</v>
      </c>
      <c r="M413" s="1057">
        <f t="shared" si="52"/>
        <v>129.65358631594077</v>
      </c>
      <c r="N413" s="1058">
        <f t="shared" si="52"/>
        <v>10.372286905275262</v>
      </c>
      <c r="O413" s="569">
        <v>0</v>
      </c>
      <c r="P413" s="560">
        <v>0</v>
      </c>
      <c r="Q413" s="571">
        <v>231.6170763260026</v>
      </c>
      <c r="R413" s="1075">
        <f t="shared" si="53"/>
        <v>231.6170763260026</v>
      </c>
      <c r="S413" s="1075">
        <f t="shared" si="51"/>
        <v>0</v>
      </c>
    </row>
    <row r="414" spans="1:19" ht="15.75" hidden="1" x14ac:dyDescent="0.25">
      <c r="A414" s="638" t="s">
        <v>133</v>
      </c>
      <c r="B414" s="693" t="s">
        <v>429</v>
      </c>
      <c r="C414" s="806" t="s">
        <v>1116</v>
      </c>
      <c r="D414" s="549">
        <v>68.426549501206466</v>
      </c>
      <c r="E414" s="550">
        <v>62.244150730483426</v>
      </c>
      <c r="F414" s="551">
        <v>2.7130526644337998</v>
      </c>
      <c r="G414" s="560">
        <v>8.0071067574218802</v>
      </c>
      <c r="H414" s="566">
        <v>141.39085965354559</v>
      </c>
      <c r="I414" s="567">
        <v>85.569200849929771</v>
      </c>
      <c r="J414" s="560">
        <v>0</v>
      </c>
      <c r="K414" s="568">
        <v>0</v>
      </c>
      <c r="L414" s="560">
        <v>0</v>
      </c>
      <c r="M414" s="1057">
        <f t="shared" si="52"/>
        <v>85.569200849929771</v>
      </c>
      <c r="N414" s="1058">
        <f t="shared" si="52"/>
        <v>0</v>
      </c>
      <c r="O414" s="569">
        <v>17.442767793904032</v>
      </c>
      <c r="P414" s="560">
        <v>0</v>
      </c>
      <c r="Q414" s="571">
        <v>244.40282829737939</v>
      </c>
      <c r="R414" s="1075">
        <f t="shared" si="53"/>
        <v>244.40282829737939</v>
      </c>
      <c r="S414" s="1075">
        <f t="shared" si="51"/>
        <v>0</v>
      </c>
    </row>
    <row r="415" spans="1:19" ht="15.75" hidden="1" x14ac:dyDescent="0.25">
      <c r="A415" s="639" t="s">
        <v>134</v>
      </c>
      <c r="B415" s="639"/>
      <c r="C415" s="724" t="s">
        <v>1116</v>
      </c>
      <c r="D415" s="549">
        <v>58.630748730507442</v>
      </c>
      <c r="E415" s="550">
        <v>90.431087261857598</v>
      </c>
      <c r="F415" s="551">
        <v>2.7250573222410295</v>
      </c>
      <c r="G415" s="560">
        <v>9.1115352756869665</v>
      </c>
      <c r="H415" s="566">
        <v>160.89842859029307</v>
      </c>
      <c r="I415" s="567">
        <v>131.95519861706342</v>
      </c>
      <c r="J415" s="560">
        <v>0</v>
      </c>
      <c r="K415" s="568">
        <v>0</v>
      </c>
      <c r="L415" s="560">
        <v>0</v>
      </c>
      <c r="M415" s="1057">
        <f t="shared" si="52"/>
        <v>131.95519861706342</v>
      </c>
      <c r="N415" s="1058">
        <f t="shared" si="52"/>
        <v>0</v>
      </c>
      <c r="O415" s="569">
        <v>0</v>
      </c>
      <c r="P415" s="560">
        <v>0</v>
      </c>
      <c r="Q415" s="571">
        <v>292.85362720735645</v>
      </c>
      <c r="R415" s="1075">
        <f t="shared" si="53"/>
        <v>292.85362720735645</v>
      </c>
      <c r="S415" s="1075">
        <f t="shared" si="51"/>
        <v>0</v>
      </c>
    </row>
    <row r="416" spans="1:19" ht="15.75" hidden="1" x14ac:dyDescent="0.25">
      <c r="A416" s="639" t="s">
        <v>135</v>
      </c>
      <c r="B416" s="639"/>
      <c r="C416" s="724" t="s">
        <v>1116</v>
      </c>
      <c r="D416" s="549">
        <v>49.963385793687948</v>
      </c>
      <c r="E416" s="550">
        <v>94.704745441231196</v>
      </c>
      <c r="F416" s="551">
        <v>2.4489501926747579</v>
      </c>
      <c r="G416" s="560">
        <v>8.8234234883134643</v>
      </c>
      <c r="H416" s="566">
        <v>155.94050491590738</v>
      </c>
      <c r="I416" s="567">
        <v>57.034129242145951</v>
      </c>
      <c r="J416" s="560">
        <v>3.4213274750603233</v>
      </c>
      <c r="K416" s="568">
        <v>0</v>
      </c>
      <c r="L416" s="560">
        <v>0</v>
      </c>
      <c r="M416" s="1057">
        <f t="shared" si="52"/>
        <v>57.034129242145951</v>
      </c>
      <c r="N416" s="1058">
        <f t="shared" si="52"/>
        <v>3.4213274750603233</v>
      </c>
      <c r="O416" s="569">
        <v>0</v>
      </c>
      <c r="P416" s="560">
        <v>0</v>
      </c>
      <c r="Q416" s="571">
        <v>216.39596163311364</v>
      </c>
      <c r="R416" s="1075">
        <f t="shared" si="53"/>
        <v>216.39596163311364</v>
      </c>
      <c r="S416" s="1075">
        <f t="shared" si="51"/>
        <v>0</v>
      </c>
    </row>
    <row r="417" spans="1:19" ht="15.75" hidden="1" x14ac:dyDescent="0.25">
      <c r="A417" s="639" t="s">
        <v>136</v>
      </c>
      <c r="B417" s="639"/>
      <c r="C417" s="724" t="s">
        <v>1116</v>
      </c>
      <c r="D417" s="549">
        <v>45.749750903350495</v>
      </c>
      <c r="E417" s="550">
        <v>105.42490486308687</v>
      </c>
      <c r="F417" s="551">
        <v>3.0011644518073011</v>
      </c>
      <c r="G417" s="560">
        <v>9.2555911693737158</v>
      </c>
      <c r="H417" s="566">
        <v>163.43141138761837</v>
      </c>
      <c r="I417" s="567">
        <v>123.50391952077405</v>
      </c>
      <c r="J417" s="560">
        <v>0</v>
      </c>
      <c r="K417" s="568">
        <v>0</v>
      </c>
      <c r="L417" s="560">
        <v>0</v>
      </c>
      <c r="M417" s="1057">
        <f t="shared" si="52"/>
        <v>123.50391952077405</v>
      </c>
      <c r="N417" s="1058">
        <f t="shared" si="52"/>
        <v>0</v>
      </c>
      <c r="O417" s="569">
        <v>0</v>
      </c>
      <c r="P417" s="560">
        <v>0</v>
      </c>
      <c r="Q417" s="571">
        <v>286.93533090839242</v>
      </c>
      <c r="R417" s="1075">
        <f t="shared" si="53"/>
        <v>286.93533090839242</v>
      </c>
      <c r="S417" s="1075">
        <f t="shared" si="51"/>
        <v>0</v>
      </c>
    </row>
    <row r="418" spans="1:19" ht="15.75" hidden="1" x14ac:dyDescent="0.25">
      <c r="A418" s="639" t="s">
        <v>137</v>
      </c>
      <c r="B418" s="639"/>
      <c r="C418" s="724" t="s">
        <v>1116</v>
      </c>
      <c r="D418" s="549">
        <v>67.190069747061855</v>
      </c>
      <c r="E418" s="550">
        <v>67.454172218820901</v>
      </c>
      <c r="F418" s="551">
        <v>2.0527964850361937</v>
      </c>
      <c r="G418" s="560">
        <v>8.1991812823375465</v>
      </c>
      <c r="H418" s="566">
        <v>144.89621973325652</v>
      </c>
      <c r="I418" s="567">
        <v>58.930865175688169</v>
      </c>
      <c r="J418" s="560">
        <v>0</v>
      </c>
      <c r="K418" s="568">
        <v>0</v>
      </c>
      <c r="L418" s="560">
        <v>0</v>
      </c>
      <c r="M418" s="1057">
        <f t="shared" si="52"/>
        <v>58.930865175688169</v>
      </c>
      <c r="N418" s="1058">
        <f t="shared" si="52"/>
        <v>0</v>
      </c>
      <c r="O418" s="569">
        <v>0</v>
      </c>
      <c r="P418" s="560">
        <v>0</v>
      </c>
      <c r="Q418" s="571">
        <v>203.8270849089447</v>
      </c>
      <c r="R418" s="1075">
        <f t="shared" si="53"/>
        <v>203.8270849089447</v>
      </c>
      <c r="S418" s="1075">
        <f t="shared" si="51"/>
        <v>0</v>
      </c>
    </row>
    <row r="419" spans="1:19" ht="15.75" hidden="1" x14ac:dyDescent="0.25">
      <c r="A419" s="639" t="s">
        <v>138</v>
      </c>
      <c r="B419" s="639"/>
      <c r="C419" s="724" t="s">
        <v>1116</v>
      </c>
      <c r="D419" s="549">
        <v>56.181798537832677</v>
      </c>
      <c r="E419" s="550">
        <v>81.631673089158596</v>
      </c>
      <c r="F419" s="551">
        <v>2.9171318471566967</v>
      </c>
      <c r="G419" s="560">
        <v>8.4392744384821317</v>
      </c>
      <c r="H419" s="566">
        <v>149.16987791263008</v>
      </c>
      <c r="I419" s="567">
        <v>101.27129326178557</v>
      </c>
      <c r="J419" s="560">
        <v>6.0743568504579768</v>
      </c>
      <c r="K419" s="568">
        <v>0</v>
      </c>
      <c r="L419" s="560">
        <v>0</v>
      </c>
      <c r="M419" s="1057">
        <f t="shared" si="52"/>
        <v>101.27129326178557</v>
      </c>
      <c r="N419" s="1058">
        <f t="shared" si="52"/>
        <v>6.0743568504579768</v>
      </c>
      <c r="O419" s="569">
        <v>0</v>
      </c>
      <c r="P419" s="560">
        <v>0</v>
      </c>
      <c r="Q419" s="571">
        <v>256.51552802487367</v>
      </c>
      <c r="R419" s="1075">
        <f t="shared" si="53"/>
        <v>256.51552802487367</v>
      </c>
      <c r="S419" s="1075">
        <f t="shared" si="51"/>
        <v>0</v>
      </c>
    </row>
    <row r="420" spans="1:19" ht="16.5" hidden="1" thickBot="1" x14ac:dyDescent="0.3">
      <c r="A420" s="640" t="s">
        <v>139</v>
      </c>
      <c r="B420" s="652"/>
      <c r="C420" s="807" t="s">
        <v>1116</v>
      </c>
      <c r="D420" s="549">
        <v>40.743808597735921</v>
      </c>
      <c r="E420" s="550">
        <v>66.733892750387156</v>
      </c>
      <c r="F420" s="551">
        <v>3.2172482923374268</v>
      </c>
      <c r="G420" s="560">
        <v>6.6385757673977501</v>
      </c>
      <c r="H420" s="566">
        <v>117.33352540785826</v>
      </c>
      <c r="I420" s="567">
        <v>137.65741107549729</v>
      </c>
      <c r="J420" s="560">
        <v>0</v>
      </c>
      <c r="K420" s="568">
        <v>0</v>
      </c>
      <c r="L420" s="560">
        <v>0</v>
      </c>
      <c r="M420" s="1057">
        <f t="shared" si="52"/>
        <v>137.65741107549729</v>
      </c>
      <c r="N420" s="1058">
        <f t="shared" si="52"/>
        <v>0</v>
      </c>
      <c r="O420" s="569">
        <v>0</v>
      </c>
      <c r="P420" s="560">
        <v>0</v>
      </c>
      <c r="Q420" s="571">
        <v>254.99093648335554</v>
      </c>
      <c r="R420" s="1075">
        <f t="shared" si="53"/>
        <v>254.99093648335554</v>
      </c>
      <c r="S420" s="1075">
        <f t="shared" si="51"/>
        <v>0</v>
      </c>
    </row>
    <row r="421" spans="1:19" ht="15.75" hidden="1" x14ac:dyDescent="0.25">
      <c r="A421" s="630" t="s">
        <v>869</v>
      </c>
      <c r="B421" s="754"/>
      <c r="C421" s="754" t="s">
        <v>1118</v>
      </c>
      <c r="D421" s="549">
        <v>0</v>
      </c>
      <c r="E421" s="550">
        <v>67.664220806619255</v>
      </c>
      <c r="F421" s="551">
        <v>0</v>
      </c>
      <c r="G421" s="560">
        <v>6.0897798725957344</v>
      </c>
      <c r="H421" s="566">
        <v>73.754000679214982</v>
      </c>
      <c r="I421" s="567">
        <v>0</v>
      </c>
      <c r="J421" s="560">
        <v>0</v>
      </c>
      <c r="K421" s="568">
        <v>71.780675304360358</v>
      </c>
      <c r="L421" s="560">
        <v>13.638328307828468</v>
      </c>
      <c r="M421" s="1057">
        <f t="shared" si="52"/>
        <v>71.780675304360358</v>
      </c>
      <c r="N421" s="1058">
        <f t="shared" si="52"/>
        <v>13.638328307828468</v>
      </c>
      <c r="O421" s="569">
        <v>0</v>
      </c>
      <c r="P421" s="560">
        <v>0</v>
      </c>
      <c r="Q421" s="571">
        <v>159.1730042914038</v>
      </c>
      <c r="R421" s="1075">
        <f t="shared" si="53"/>
        <v>159.1730042914038</v>
      </c>
      <c r="S421" s="1075">
        <f t="shared" si="51"/>
        <v>0</v>
      </c>
    </row>
    <row r="422" spans="1:19" ht="15.75" hidden="1" x14ac:dyDescent="0.25">
      <c r="A422" s="630" t="s">
        <v>189</v>
      </c>
      <c r="B422" s="754"/>
      <c r="C422" s="754" t="s">
        <v>1118</v>
      </c>
      <c r="D422" s="549">
        <v>0</v>
      </c>
      <c r="E422" s="550">
        <v>82.32908995482191</v>
      </c>
      <c r="F422" s="551">
        <v>0</v>
      </c>
      <c r="G422" s="560">
        <v>7.4096180959339728</v>
      </c>
      <c r="H422" s="566">
        <v>89.738708050755889</v>
      </c>
      <c r="I422" s="567">
        <v>0</v>
      </c>
      <c r="J422" s="560">
        <v>0</v>
      </c>
      <c r="K422" s="568">
        <v>46.310113099587326</v>
      </c>
      <c r="L422" s="560">
        <v>8.798921488921593</v>
      </c>
      <c r="M422" s="1057">
        <f t="shared" si="52"/>
        <v>46.310113099587326</v>
      </c>
      <c r="N422" s="1058">
        <f t="shared" si="52"/>
        <v>8.798921488921593</v>
      </c>
      <c r="O422" s="569">
        <v>0</v>
      </c>
      <c r="P422" s="560">
        <v>0</v>
      </c>
      <c r="Q422" s="571">
        <v>144.84774263926479</v>
      </c>
      <c r="R422" s="1075">
        <f t="shared" si="53"/>
        <v>144.84774263926479</v>
      </c>
      <c r="S422" s="1075">
        <f t="shared" si="51"/>
        <v>0</v>
      </c>
    </row>
    <row r="423" spans="1:19" ht="15.75" hidden="1" x14ac:dyDescent="0.25">
      <c r="A423" s="630" t="s">
        <v>190</v>
      </c>
      <c r="B423" s="754"/>
      <c r="C423" s="754" t="s">
        <v>1118</v>
      </c>
      <c r="D423" s="549">
        <v>0</v>
      </c>
      <c r="E423" s="550">
        <v>95.707567072480472</v>
      </c>
      <c r="F423" s="551">
        <v>0</v>
      </c>
      <c r="G423" s="560">
        <v>8.6136810365232428</v>
      </c>
      <c r="H423" s="566">
        <v>104.32124810900372</v>
      </c>
      <c r="I423" s="567">
        <v>0</v>
      </c>
      <c r="J423" s="560">
        <v>0</v>
      </c>
      <c r="K423" s="568">
        <v>66.120550369966352</v>
      </c>
      <c r="L423" s="560">
        <v>12.562904570293606</v>
      </c>
      <c r="M423" s="1057">
        <f t="shared" si="52"/>
        <v>66.120550369966352</v>
      </c>
      <c r="N423" s="1058">
        <f t="shared" si="52"/>
        <v>12.562904570293606</v>
      </c>
      <c r="O423" s="569">
        <v>0</v>
      </c>
      <c r="P423" s="560">
        <v>0</v>
      </c>
      <c r="Q423" s="571">
        <v>183.00470304926367</v>
      </c>
      <c r="R423" s="1075">
        <f t="shared" si="53"/>
        <v>183.00470304926367</v>
      </c>
      <c r="S423" s="1075">
        <f t="shared" si="51"/>
        <v>0</v>
      </c>
    </row>
    <row r="424" spans="1:19" ht="15.75" hidden="1" x14ac:dyDescent="0.25">
      <c r="A424" s="631" t="s">
        <v>191</v>
      </c>
      <c r="B424" s="754"/>
      <c r="C424" s="754" t="s">
        <v>1118</v>
      </c>
      <c r="D424" s="549">
        <v>0</v>
      </c>
      <c r="E424" s="550">
        <v>73.324345741013275</v>
      </c>
      <c r="F424" s="551">
        <v>0</v>
      </c>
      <c r="G424" s="560">
        <v>6.5991911166911938</v>
      </c>
      <c r="H424" s="566">
        <v>79.923536857704462</v>
      </c>
      <c r="I424" s="567">
        <v>0</v>
      </c>
      <c r="J424" s="560">
        <v>0</v>
      </c>
      <c r="K424" s="568">
        <v>73.067067334904451</v>
      </c>
      <c r="L424" s="560">
        <v>13.882742793631845</v>
      </c>
      <c r="M424" s="1057">
        <f t="shared" si="52"/>
        <v>73.067067334904451</v>
      </c>
      <c r="N424" s="1058">
        <f t="shared" si="52"/>
        <v>13.882742793631845</v>
      </c>
      <c r="O424" s="569">
        <v>0</v>
      </c>
      <c r="P424" s="560">
        <v>0</v>
      </c>
      <c r="Q424" s="571">
        <v>166.87334698624076</v>
      </c>
      <c r="R424" s="1075">
        <f t="shared" si="53"/>
        <v>166.87334698624076</v>
      </c>
      <c r="S424" s="1075">
        <f t="shared" si="51"/>
        <v>0</v>
      </c>
    </row>
    <row r="425" spans="1:19" ht="15.75" hidden="1" x14ac:dyDescent="0.25">
      <c r="A425" s="631" t="s">
        <v>218</v>
      </c>
      <c r="B425" s="754"/>
      <c r="C425" s="754" t="s">
        <v>1118</v>
      </c>
      <c r="D425" s="549">
        <v>0</v>
      </c>
      <c r="E425" s="550">
        <v>103.42591925574503</v>
      </c>
      <c r="F425" s="551">
        <v>0</v>
      </c>
      <c r="G425" s="560">
        <v>9.3083327330170533</v>
      </c>
      <c r="H425" s="566">
        <v>112.73425198876208</v>
      </c>
      <c r="I425" s="567">
        <v>0</v>
      </c>
      <c r="J425" s="560">
        <v>0</v>
      </c>
      <c r="K425" s="568">
        <v>62.261374278334074</v>
      </c>
      <c r="L425" s="560">
        <v>11.829661112883473</v>
      </c>
      <c r="M425" s="1057">
        <f t="shared" si="52"/>
        <v>62.261374278334074</v>
      </c>
      <c r="N425" s="1058">
        <f t="shared" si="52"/>
        <v>11.829661112883473</v>
      </c>
      <c r="O425" s="569">
        <v>0</v>
      </c>
      <c r="P425" s="560">
        <v>0</v>
      </c>
      <c r="Q425" s="571">
        <v>186.82528737997964</v>
      </c>
      <c r="R425" s="1075">
        <f t="shared" si="53"/>
        <v>186.82528737997964</v>
      </c>
      <c r="S425" s="1075">
        <f t="shared" si="51"/>
        <v>0</v>
      </c>
    </row>
    <row r="426" spans="1:19" ht="15.75" hidden="1" x14ac:dyDescent="0.25">
      <c r="A426" s="632" t="s">
        <v>219</v>
      </c>
      <c r="B426" s="925"/>
      <c r="C426" s="754" t="s">
        <v>1118</v>
      </c>
      <c r="D426" s="549">
        <v>0</v>
      </c>
      <c r="E426" s="550">
        <v>79.24174908151609</v>
      </c>
      <c r="F426" s="551">
        <v>0</v>
      </c>
      <c r="G426" s="560">
        <v>7.1317574173364484</v>
      </c>
      <c r="H426" s="566">
        <v>86.373506498852535</v>
      </c>
      <c r="I426" s="567">
        <v>0</v>
      </c>
      <c r="J426" s="560">
        <v>0</v>
      </c>
      <c r="K426" s="568">
        <v>54.800300501178334</v>
      </c>
      <c r="L426" s="560">
        <v>10.412057095223883</v>
      </c>
      <c r="M426" s="1057">
        <f t="shared" si="52"/>
        <v>54.800300501178334</v>
      </c>
      <c r="N426" s="1058">
        <f t="shared" si="52"/>
        <v>10.412057095223883</v>
      </c>
      <c r="O426" s="569">
        <v>0</v>
      </c>
      <c r="P426" s="560">
        <v>0</v>
      </c>
      <c r="Q426" s="571">
        <v>151.58586409525475</v>
      </c>
      <c r="R426" s="1075">
        <f t="shared" si="53"/>
        <v>151.58586409525475</v>
      </c>
      <c r="S426" s="1075">
        <f t="shared" si="51"/>
        <v>0</v>
      </c>
    </row>
    <row r="427" spans="1:19" ht="15.75" hidden="1" x14ac:dyDescent="0.25">
      <c r="A427" s="632" t="s">
        <v>513</v>
      </c>
      <c r="B427" s="925"/>
      <c r="C427" s="754" t="s">
        <v>1118</v>
      </c>
      <c r="D427" s="549">
        <v>0</v>
      </c>
      <c r="E427" s="550">
        <v>105.22686809850676</v>
      </c>
      <c r="F427" s="551">
        <v>0</v>
      </c>
      <c r="G427" s="560">
        <v>9.4704181288656084</v>
      </c>
      <c r="H427" s="566">
        <v>114.69728622737236</v>
      </c>
      <c r="I427" s="567">
        <v>0</v>
      </c>
      <c r="J427" s="560">
        <v>0</v>
      </c>
      <c r="K427" s="568">
        <v>93.392061417501111</v>
      </c>
      <c r="L427" s="560">
        <v>17.74449166932521</v>
      </c>
      <c r="M427" s="1057">
        <f t="shared" si="52"/>
        <v>93.392061417501111</v>
      </c>
      <c r="N427" s="1058">
        <f t="shared" si="52"/>
        <v>17.74449166932521</v>
      </c>
      <c r="O427" s="569">
        <v>0</v>
      </c>
      <c r="P427" s="560">
        <v>0</v>
      </c>
      <c r="Q427" s="571">
        <v>225.83383931419868</v>
      </c>
      <c r="R427" s="1075">
        <f t="shared" si="53"/>
        <v>225.83383931419868</v>
      </c>
      <c r="S427" s="1075">
        <f t="shared" ref="S427:S490" si="54">Q427-R427</f>
        <v>0</v>
      </c>
    </row>
    <row r="428" spans="1:19" ht="15.75" hidden="1" x14ac:dyDescent="0.25">
      <c r="A428" s="632" t="s">
        <v>514</v>
      </c>
      <c r="B428" s="925"/>
      <c r="C428" s="754" t="s">
        <v>1118</v>
      </c>
      <c r="D428" s="549">
        <v>0</v>
      </c>
      <c r="E428" s="550">
        <v>82.32908995482191</v>
      </c>
      <c r="F428" s="551">
        <v>0</v>
      </c>
      <c r="G428" s="560">
        <v>7.4096180959339728</v>
      </c>
      <c r="H428" s="566">
        <v>89.738708050755889</v>
      </c>
      <c r="I428" s="567">
        <v>0</v>
      </c>
      <c r="J428" s="560">
        <v>0</v>
      </c>
      <c r="K428" s="568">
        <v>82.586368360930734</v>
      </c>
      <c r="L428" s="560">
        <v>15.69140998857684</v>
      </c>
      <c r="M428" s="1057">
        <f t="shared" si="52"/>
        <v>82.586368360930734</v>
      </c>
      <c r="N428" s="1058">
        <f t="shared" si="52"/>
        <v>15.69140998857684</v>
      </c>
      <c r="O428" s="569">
        <v>0</v>
      </c>
      <c r="P428" s="560">
        <v>0</v>
      </c>
      <c r="Q428" s="571">
        <v>188.01648640026346</v>
      </c>
      <c r="R428" s="1075">
        <f t="shared" si="53"/>
        <v>188.01648640026346</v>
      </c>
      <c r="S428" s="1075">
        <f t="shared" si="54"/>
        <v>0</v>
      </c>
    </row>
    <row r="429" spans="1:19" ht="15.75" hidden="1" x14ac:dyDescent="0.25">
      <c r="A429" s="632" t="s">
        <v>515</v>
      </c>
      <c r="B429" s="925"/>
      <c r="C429" s="754" t="s">
        <v>1118</v>
      </c>
      <c r="D429" s="549">
        <v>0</v>
      </c>
      <c r="E429" s="550">
        <v>95.450288666371662</v>
      </c>
      <c r="F429" s="551">
        <v>0</v>
      </c>
      <c r="G429" s="560">
        <v>8.5905259799734495</v>
      </c>
      <c r="H429" s="566">
        <v>104.04081464634511</v>
      </c>
      <c r="I429" s="567">
        <v>0</v>
      </c>
      <c r="J429" s="560">
        <v>0</v>
      </c>
      <c r="K429" s="568">
        <v>71.008840086033899</v>
      </c>
      <c r="L429" s="560">
        <v>13.49167961634644</v>
      </c>
      <c r="M429" s="1057">
        <f t="shared" si="52"/>
        <v>71.008840086033899</v>
      </c>
      <c r="N429" s="1058">
        <f t="shared" si="52"/>
        <v>13.49167961634644</v>
      </c>
      <c r="O429" s="569">
        <v>0</v>
      </c>
      <c r="P429" s="560">
        <v>0</v>
      </c>
      <c r="Q429" s="571">
        <v>188.54133434872543</v>
      </c>
      <c r="R429" s="1075">
        <f t="shared" si="53"/>
        <v>188.54133434872543</v>
      </c>
      <c r="S429" s="1075">
        <f t="shared" si="54"/>
        <v>0</v>
      </c>
    </row>
    <row r="430" spans="1:19" ht="15.75" hidden="1" x14ac:dyDescent="0.25">
      <c r="A430" s="632" t="s">
        <v>516</v>
      </c>
      <c r="B430" s="925"/>
      <c r="C430" s="754" t="s">
        <v>1118</v>
      </c>
      <c r="D430" s="549">
        <v>0</v>
      </c>
      <c r="E430" s="550">
        <v>119.37718043449178</v>
      </c>
      <c r="F430" s="551">
        <v>0</v>
      </c>
      <c r="G430" s="560">
        <v>10.743946239104259</v>
      </c>
      <c r="H430" s="566">
        <v>130.12112667359602</v>
      </c>
      <c r="I430" s="567">
        <v>0</v>
      </c>
      <c r="J430" s="560">
        <v>0</v>
      </c>
      <c r="K430" s="568">
        <v>66.892385588292811</v>
      </c>
      <c r="L430" s="560">
        <v>12.709553261775632</v>
      </c>
      <c r="M430" s="1057">
        <f t="shared" si="52"/>
        <v>66.892385588292811</v>
      </c>
      <c r="N430" s="1058">
        <f t="shared" si="52"/>
        <v>12.709553261775632</v>
      </c>
      <c r="O430" s="569">
        <v>0</v>
      </c>
      <c r="P430" s="560">
        <v>0</v>
      </c>
      <c r="Q430" s="571">
        <v>209.72306552366445</v>
      </c>
      <c r="R430" s="1075">
        <f t="shared" si="53"/>
        <v>209.72306552366445</v>
      </c>
      <c r="S430" s="1075">
        <f t="shared" si="54"/>
        <v>0</v>
      </c>
    </row>
    <row r="431" spans="1:19" ht="15.75" hidden="1" x14ac:dyDescent="0.25">
      <c r="A431" s="632" t="s">
        <v>875</v>
      </c>
      <c r="B431" s="925"/>
      <c r="C431" s="754" t="s">
        <v>1118</v>
      </c>
      <c r="D431" s="549">
        <v>0</v>
      </c>
      <c r="E431" s="550">
        <v>90.047442138086467</v>
      </c>
      <c r="F431" s="551">
        <v>0</v>
      </c>
      <c r="G431" s="560">
        <v>8.1042697924277824</v>
      </c>
      <c r="H431" s="566">
        <v>98.151711930514253</v>
      </c>
      <c r="I431" s="567">
        <v>0</v>
      </c>
      <c r="J431" s="560">
        <v>0</v>
      </c>
      <c r="K431" s="568">
        <v>76.411686614319095</v>
      </c>
      <c r="L431" s="560">
        <v>14.518220456720627</v>
      </c>
      <c r="M431" s="1057">
        <f t="shared" si="52"/>
        <v>76.411686614319095</v>
      </c>
      <c r="N431" s="1058">
        <f t="shared" si="52"/>
        <v>14.518220456720627</v>
      </c>
      <c r="O431" s="569">
        <v>0</v>
      </c>
      <c r="P431" s="560">
        <v>0</v>
      </c>
      <c r="Q431" s="571">
        <v>189.08161900155397</v>
      </c>
      <c r="R431" s="1075">
        <f t="shared" si="53"/>
        <v>189.08161900155397</v>
      </c>
      <c r="S431" s="1075">
        <f t="shared" si="54"/>
        <v>0</v>
      </c>
    </row>
    <row r="432" spans="1:19" ht="15.75" hidden="1" x14ac:dyDescent="0.25">
      <c r="A432" s="632" t="s">
        <v>517</v>
      </c>
      <c r="B432" s="925"/>
      <c r="C432" s="754" t="s">
        <v>1118</v>
      </c>
      <c r="D432" s="549">
        <v>0</v>
      </c>
      <c r="E432" s="550">
        <v>88.503771701433564</v>
      </c>
      <c r="F432" s="551">
        <v>0</v>
      </c>
      <c r="G432" s="560">
        <v>7.9653394531290207</v>
      </c>
      <c r="H432" s="566">
        <v>96.469111154562583</v>
      </c>
      <c r="I432" s="567">
        <v>0</v>
      </c>
      <c r="J432" s="560">
        <v>0</v>
      </c>
      <c r="K432" s="568">
        <v>76.926243426536729</v>
      </c>
      <c r="L432" s="560">
        <v>14.61598625104198</v>
      </c>
      <c r="M432" s="1057">
        <f t="shared" si="52"/>
        <v>76.926243426536729</v>
      </c>
      <c r="N432" s="1058">
        <f t="shared" si="52"/>
        <v>14.61598625104198</v>
      </c>
      <c r="O432" s="569">
        <v>0</v>
      </c>
      <c r="P432" s="560">
        <v>0</v>
      </c>
      <c r="Q432" s="571">
        <v>188.01134083214129</v>
      </c>
      <c r="R432" s="1075">
        <f t="shared" si="53"/>
        <v>188.01134083214129</v>
      </c>
      <c r="S432" s="1075">
        <f t="shared" si="54"/>
        <v>0</v>
      </c>
    </row>
    <row r="433" spans="1:19" ht="15.75" hidden="1" x14ac:dyDescent="0.25">
      <c r="A433" s="632" t="s">
        <v>873</v>
      </c>
      <c r="B433" s="803"/>
      <c r="C433" s="803" t="s">
        <v>1118</v>
      </c>
      <c r="D433" s="549">
        <v>0</v>
      </c>
      <c r="E433" s="550">
        <v>98.280351133568658</v>
      </c>
      <c r="F433" s="551">
        <v>0</v>
      </c>
      <c r="G433" s="560">
        <v>8.8452316020211796</v>
      </c>
      <c r="H433" s="566">
        <v>107.12558273558983</v>
      </c>
      <c r="I433" s="567">
        <v>0</v>
      </c>
      <c r="J433" s="560">
        <v>0</v>
      </c>
      <c r="K433" s="568">
        <v>39.106317728540411</v>
      </c>
      <c r="L433" s="560">
        <v>7.4302003684226774</v>
      </c>
      <c r="M433" s="1057">
        <f t="shared" ref="M433:N488" si="55">I433+K433</f>
        <v>39.106317728540411</v>
      </c>
      <c r="N433" s="1058">
        <f t="shared" si="55"/>
        <v>7.4302003684226774</v>
      </c>
      <c r="O433" s="569">
        <v>0</v>
      </c>
      <c r="P433" s="560">
        <v>0</v>
      </c>
      <c r="Q433" s="571">
        <v>153.66210083255291</v>
      </c>
      <c r="R433" s="1075">
        <f t="shared" si="53"/>
        <v>153.66210083255291</v>
      </c>
      <c r="S433" s="1075">
        <f t="shared" si="54"/>
        <v>0</v>
      </c>
    </row>
    <row r="434" spans="1:19" ht="15.75" hidden="1" x14ac:dyDescent="0.25">
      <c r="A434" s="633" t="s">
        <v>520</v>
      </c>
      <c r="B434" s="803"/>
      <c r="C434" s="803" t="s">
        <v>1118</v>
      </c>
      <c r="D434" s="549">
        <v>0</v>
      </c>
      <c r="E434" s="550">
        <v>82.0718115487131</v>
      </c>
      <c r="F434" s="551">
        <v>0</v>
      </c>
      <c r="G434" s="560">
        <v>7.3864630393841786</v>
      </c>
      <c r="H434" s="566">
        <v>89.458274588097282</v>
      </c>
      <c r="I434" s="567">
        <v>0</v>
      </c>
      <c r="J434" s="560">
        <v>0</v>
      </c>
      <c r="K434" s="568">
        <v>78.98447067540728</v>
      </c>
      <c r="L434" s="560">
        <v>15.007049428327381</v>
      </c>
      <c r="M434" s="1057">
        <f t="shared" si="55"/>
        <v>78.98447067540728</v>
      </c>
      <c r="N434" s="1058">
        <f t="shared" si="55"/>
        <v>15.007049428327381</v>
      </c>
      <c r="O434" s="569">
        <v>0</v>
      </c>
      <c r="P434" s="560">
        <v>0</v>
      </c>
      <c r="Q434" s="571">
        <v>183.44979469183193</v>
      </c>
      <c r="R434" s="1075">
        <f t="shared" si="53"/>
        <v>183.44979469183193</v>
      </c>
      <c r="S434" s="1075">
        <f t="shared" si="54"/>
        <v>0</v>
      </c>
    </row>
    <row r="435" spans="1:19" ht="15.75" hidden="1" x14ac:dyDescent="0.25">
      <c r="A435" s="633" t="s">
        <v>597</v>
      </c>
      <c r="B435" s="803"/>
      <c r="C435" s="803" t="s">
        <v>1118</v>
      </c>
      <c r="D435" s="549">
        <v>0</v>
      </c>
      <c r="E435" s="550">
        <v>105.48414650461558</v>
      </c>
      <c r="F435" s="551">
        <v>0</v>
      </c>
      <c r="G435" s="560">
        <v>9.4935731854154017</v>
      </c>
      <c r="H435" s="566">
        <v>114.97771969003098</v>
      </c>
      <c r="I435" s="567">
        <v>0</v>
      </c>
      <c r="J435" s="560">
        <v>0</v>
      </c>
      <c r="K435" s="568">
        <v>74.353459365448543</v>
      </c>
      <c r="L435" s="560">
        <v>14.127157279435222</v>
      </c>
      <c r="M435" s="1057">
        <f t="shared" si="55"/>
        <v>74.353459365448543</v>
      </c>
      <c r="N435" s="1058">
        <f t="shared" si="55"/>
        <v>14.127157279435222</v>
      </c>
      <c r="O435" s="569">
        <v>0</v>
      </c>
      <c r="P435" s="560">
        <v>0</v>
      </c>
      <c r="Q435" s="571">
        <v>203.45833633491475</v>
      </c>
      <c r="R435" s="1075">
        <f t="shared" si="53"/>
        <v>203.45833633491475</v>
      </c>
      <c r="S435" s="1075">
        <f t="shared" si="54"/>
        <v>0</v>
      </c>
    </row>
    <row r="436" spans="1:19" ht="15.75" hidden="1" x14ac:dyDescent="0.25">
      <c r="A436" s="633" t="s">
        <v>860</v>
      </c>
      <c r="B436" s="803" t="s">
        <v>429</v>
      </c>
      <c r="C436" s="803" t="s">
        <v>1118</v>
      </c>
      <c r="D436" s="549">
        <v>0</v>
      </c>
      <c r="E436" s="550">
        <v>85.15915242201892</v>
      </c>
      <c r="F436" s="551">
        <v>0</v>
      </c>
      <c r="G436" s="560">
        <v>7.6643237179817021</v>
      </c>
      <c r="H436" s="566">
        <v>92.823476140000622</v>
      </c>
      <c r="I436" s="567">
        <v>0</v>
      </c>
      <c r="J436" s="560">
        <v>0</v>
      </c>
      <c r="K436" s="568">
        <v>44.766442662934416</v>
      </c>
      <c r="L436" s="560">
        <v>8.5056241059575388</v>
      </c>
      <c r="M436" s="1057">
        <f t="shared" si="55"/>
        <v>44.766442662934416</v>
      </c>
      <c r="N436" s="1058">
        <f t="shared" si="55"/>
        <v>8.5056241059575388</v>
      </c>
      <c r="O436" s="569">
        <v>0</v>
      </c>
      <c r="P436" s="560">
        <v>0</v>
      </c>
      <c r="Q436" s="571">
        <v>146.09554290889258</v>
      </c>
      <c r="R436" s="1075">
        <f t="shared" si="53"/>
        <v>146.09554290889258</v>
      </c>
      <c r="S436" s="1075">
        <f t="shared" si="54"/>
        <v>0</v>
      </c>
    </row>
    <row r="437" spans="1:19" ht="15.75" hidden="1" x14ac:dyDescent="0.25">
      <c r="A437" s="633" t="s">
        <v>769</v>
      </c>
      <c r="B437" s="803"/>
      <c r="C437" s="803" t="s">
        <v>1118</v>
      </c>
      <c r="D437" s="549">
        <v>0</v>
      </c>
      <c r="E437" s="550">
        <v>89.532885325868833</v>
      </c>
      <c r="F437" s="551">
        <v>0</v>
      </c>
      <c r="G437" s="560">
        <v>8.0579596793281958</v>
      </c>
      <c r="H437" s="566">
        <v>97.590845005197025</v>
      </c>
      <c r="I437" s="567">
        <v>0</v>
      </c>
      <c r="J437" s="560">
        <v>0</v>
      </c>
      <c r="K437" s="568">
        <v>71.008840086033899</v>
      </c>
      <c r="L437" s="560">
        <v>13.49167961634644</v>
      </c>
      <c r="M437" s="1057">
        <f t="shared" si="55"/>
        <v>71.008840086033899</v>
      </c>
      <c r="N437" s="1058">
        <f t="shared" si="55"/>
        <v>13.49167961634644</v>
      </c>
      <c r="O437" s="569">
        <v>0</v>
      </c>
      <c r="P437" s="560">
        <v>0</v>
      </c>
      <c r="Q437" s="571">
        <v>182.09136470757736</v>
      </c>
      <c r="R437" s="1075">
        <f t="shared" si="53"/>
        <v>182.09136470757736</v>
      </c>
      <c r="S437" s="1075">
        <f t="shared" si="54"/>
        <v>0</v>
      </c>
    </row>
    <row r="438" spans="1:19" ht="15.75" hidden="1" x14ac:dyDescent="0.25">
      <c r="A438" s="633" t="s">
        <v>771</v>
      </c>
      <c r="B438" s="803"/>
      <c r="C438" s="803" t="s">
        <v>1118</v>
      </c>
      <c r="D438" s="549">
        <v>0</v>
      </c>
      <c r="E438" s="550">
        <v>91.848390980848194</v>
      </c>
      <c r="F438" s="551">
        <v>0</v>
      </c>
      <c r="G438" s="560">
        <v>8.2663551882763393</v>
      </c>
      <c r="H438" s="566">
        <v>100.11474616912453</v>
      </c>
      <c r="I438" s="567">
        <v>0</v>
      </c>
      <c r="J438" s="560">
        <v>0</v>
      </c>
      <c r="K438" s="568">
        <v>62.775931090551708</v>
      </c>
      <c r="L438" s="560">
        <v>11.927426907204826</v>
      </c>
      <c r="M438" s="1057">
        <f t="shared" si="55"/>
        <v>62.775931090551708</v>
      </c>
      <c r="N438" s="1058">
        <f t="shared" si="55"/>
        <v>11.927426907204826</v>
      </c>
      <c r="O438" s="569">
        <v>0</v>
      </c>
      <c r="P438" s="560">
        <v>0</v>
      </c>
      <c r="Q438" s="571">
        <v>174.81810416688106</v>
      </c>
      <c r="R438" s="1075">
        <f t="shared" si="53"/>
        <v>174.81810416688106</v>
      </c>
      <c r="S438" s="1075">
        <f t="shared" si="54"/>
        <v>0</v>
      </c>
    </row>
    <row r="439" spans="1:19" ht="15.75" hidden="1" x14ac:dyDescent="0.25">
      <c r="A439" s="633" t="s">
        <v>861</v>
      </c>
      <c r="B439" s="803"/>
      <c r="C439" s="803" t="s">
        <v>1118</v>
      </c>
      <c r="D439" s="549">
        <v>0</v>
      </c>
      <c r="E439" s="550">
        <v>100.08129997633038</v>
      </c>
      <c r="F439" s="551">
        <v>0</v>
      </c>
      <c r="G439" s="560">
        <v>9.0073169978697347</v>
      </c>
      <c r="H439" s="566">
        <v>109.08861697420012</v>
      </c>
      <c r="I439" s="567">
        <v>0</v>
      </c>
      <c r="J439" s="560">
        <v>0</v>
      </c>
      <c r="K439" s="568">
        <v>88.24649329532474</v>
      </c>
      <c r="L439" s="560">
        <v>16.766833726111702</v>
      </c>
      <c r="M439" s="1057">
        <f t="shared" si="55"/>
        <v>88.24649329532474</v>
      </c>
      <c r="N439" s="1058">
        <f t="shared" si="55"/>
        <v>16.766833726111702</v>
      </c>
      <c r="O439" s="569">
        <v>0</v>
      </c>
      <c r="P439" s="560">
        <v>0</v>
      </c>
      <c r="Q439" s="571">
        <v>214.10194399563659</v>
      </c>
      <c r="R439" s="1075">
        <f t="shared" si="53"/>
        <v>214.10194399563659</v>
      </c>
      <c r="S439" s="1075">
        <f t="shared" si="54"/>
        <v>0</v>
      </c>
    </row>
    <row r="440" spans="1:19" ht="15.75" hidden="1" x14ac:dyDescent="0.25">
      <c r="A440" s="633" t="s">
        <v>862</v>
      </c>
      <c r="B440" s="803"/>
      <c r="C440" s="803" t="s">
        <v>1118</v>
      </c>
      <c r="D440" s="549">
        <v>0</v>
      </c>
      <c r="E440" s="550">
        <v>106.25598172294204</v>
      </c>
      <c r="F440" s="551">
        <v>0</v>
      </c>
      <c r="G440" s="560">
        <v>9.5630383550647835</v>
      </c>
      <c r="H440" s="566">
        <v>115.81902007800682</v>
      </c>
      <c r="I440" s="567">
        <v>0</v>
      </c>
      <c r="J440" s="560">
        <v>0</v>
      </c>
      <c r="K440" s="568">
        <v>66.892385588292811</v>
      </c>
      <c r="L440" s="560">
        <v>12.709553261775632</v>
      </c>
      <c r="M440" s="1057">
        <f t="shared" si="55"/>
        <v>66.892385588292811</v>
      </c>
      <c r="N440" s="1058">
        <f t="shared" si="55"/>
        <v>12.709553261775632</v>
      </c>
      <c r="O440" s="569">
        <v>0</v>
      </c>
      <c r="P440" s="560">
        <v>0</v>
      </c>
      <c r="Q440" s="571">
        <v>195.42095892807527</v>
      </c>
      <c r="R440" s="1075">
        <f t="shared" si="53"/>
        <v>195.42095892807527</v>
      </c>
      <c r="S440" s="1075">
        <f t="shared" si="54"/>
        <v>0</v>
      </c>
    </row>
    <row r="441" spans="1:19" ht="15.75" hidden="1" x14ac:dyDescent="0.25">
      <c r="A441" s="633" t="s">
        <v>863</v>
      </c>
      <c r="B441" s="803"/>
      <c r="C441" s="803" t="s">
        <v>1118</v>
      </c>
      <c r="D441" s="549">
        <v>0</v>
      </c>
      <c r="E441" s="550">
        <v>91.591112574739384</v>
      </c>
      <c r="F441" s="551">
        <v>0</v>
      </c>
      <c r="G441" s="560">
        <v>8.2432001317265442</v>
      </c>
      <c r="H441" s="566">
        <v>99.834312706465923</v>
      </c>
      <c r="I441" s="567">
        <v>0</v>
      </c>
      <c r="J441" s="560">
        <v>0</v>
      </c>
      <c r="K441" s="568">
        <v>66.635107182183987</v>
      </c>
      <c r="L441" s="560">
        <v>12.660670364614958</v>
      </c>
      <c r="M441" s="1057">
        <f t="shared" si="55"/>
        <v>66.635107182183987</v>
      </c>
      <c r="N441" s="1058">
        <f t="shared" si="55"/>
        <v>12.660670364614958</v>
      </c>
      <c r="O441" s="569">
        <v>0</v>
      </c>
      <c r="P441" s="560">
        <v>0</v>
      </c>
      <c r="Q441" s="571">
        <v>179.13009025326485</v>
      </c>
      <c r="R441" s="1075">
        <f t="shared" si="53"/>
        <v>179.13009025326485</v>
      </c>
      <c r="S441" s="1075">
        <f t="shared" si="54"/>
        <v>0</v>
      </c>
    </row>
    <row r="442" spans="1:19" ht="15.75" hidden="1" x14ac:dyDescent="0.25">
      <c r="A442" s="633" t="s">
        <v>864</v>
      </c>
      <c r="B442" s="803"/>
      <c r="C442" s="803" t="s">
        <v>1118</v>
      </c>
      <c r="D442" s="549">
        <v>0</v>
      </c>
      <c r="E442" s="550">
        <v>91.591112574739384</v>
      </c>
      <c r="F442" s="551">
        <v>0</v>
      </c>
      <c r="G442" s="560">
        <v>8.2432001317265442</v>
      </c>
      <c r="H442" s="566">
        <v>99.834312706465923</v>
      </c>
      <c r="I442" s="567">
        <v>0</v>
      </c>
      <c r="J442" s="560">
        <v>0</v>
      </c>
      <c r="K442" s="568">
        <v>78.212635457080822</v>
      </c>
      <c r="L442" s="560">
        <v>14.860400736845355</v>
      </c>
      <c r="M442" s="1057">
        <f t="shared" si="55"/>
        <v>78.212635457080822</v>
      </c>
      <c r="N442" s="1058">
        <f t="shared" si="55"/>
        <v>14.860400736845355</v>
      </c>
      <c r="O442" s="569">
        <v>0</v>
      </c>
      <c r="P442" s="560">
        <v>0</v>
      </c>
      <c r="Q442" s="571">
        <v>192.90734890039209</v>
      </c>
      <c r="R442" s="1075">
        <f t="shared" si="53"/>
        <v>192.90734890039209</v>
      </c>
      <c r="S442" s="1075">
        <f t="shared" si="54"/>
        <v>0</v>
      </c>
    </row>
    <row r="443" spans="1:19" ht="15.75" hidden="1" x14ac:dyDescent="0.25">
      <c r="A443" s="633" t="s">
        <v>865</v>
      </c>
      <c r="B443" s="803"/>
      <c r="C443" s="803" t="s">
        <v>1118</v>
      </c>
      <c r="D443" s="549">
        <v>0</v>
      </c>
      <c r="E443" s="550">
        <v>89.275606919760008</v>
      </c>
      <c r="F443" s="551">
        <v>0</v>
      </c>
      <c r="G443" s="560">
        <v>8.0348046227784007</v>
      </c>
      <c r="H443" s="566">
        <v>97.310411542538404</v>
      </c>
      <c r="I443" s="567">
        <v>0</v>
      </c>
      <c r="J443" s="560">
        <v>0</v>
      </c>
      <c r="K443" s="568">
        <v>66.120550369966352</v>
      </c>
      <c r="L443" s="560">
        <v>12.562904570293606</v>
      </c>
      <c r="M443" s="1057">
        <f t="shared" si="55"/>
        <v>66.120550369966352</v>
      </c>
      <c r="N443" s="1058">
        <f t="shared" si="55"/>
        <v>12.562904570293606</v>
      </c>
      <c r="O443" s="569">
        <v>0</v>
      </c>
      <c r="P443" s="560">
        <v>0</v>
      </c>
      <c r="Q443" s="571">
        <v>175.99386648279835</v>
      </c>
      <c r="R443" s="1075">
        <f t="shared" si="53"/>
        <v>175.99386648279835</v>
      </c>
      <c r="S443" s="1075">
        <f t="shared" si="54"/>
        <v>0</v>
      </c>
    </row>
    <row r="444" spans="1:19" ht="15.75" hidden="1" x14ac:dyDescent="0.25">
      <c r="A444" s="633" t="s">
        <v>866</v>
      </c>
      <c r="B444" s="803"/>
      <c r="C444" s="803" t="s">
        <v>1118</v>
      </c>
      <c r="D444" s="549">
        <v>0</v>
      </c>
      <c r="E444" s="550">
        <v>104.71231128628912</v>
      </c>
      <c r="F444" s="551">
        <v>0</v>
      </c>
      <c r="G444" s="560">
        <v>9.4241080157660218</v>
      </c>
      <c r="H444" s="566">
        <v>114.13641930205515</v>
      </c>
      <c r="I444" s="567">
        <v>0</v>
      </c>
      <c r="J444" s="560">
        <v>0</v>
      </c>
      <c r="K444" s="568">
        <v>58.144919780592978</v>
      </c>
      <c r="L444" s="560">
        <v>11.047534758312665</v>
      </c>
      <c r="M444" s="1057">
        <f t="shared" si="55"/>
        <v>58.144919780592978</v>
      </c>
      <c r="N444" s="1058">
        <f t="shared" si="55"/>
        <v>11.047534758312665</v>
      </c>
      <c r="O444" s="569">
        <v>0</v>
      </c>
      <c r="P444" s="560">
        <v>0</v>
      </c>
      <c r="Q444" s="571">
        <v>183.3288738409608</v>
      </c>
      <c r="R444" s="1075">
        <f t="shared" si="53"/>
        <v>183.3288738409608</v>
      </c>
      <c r="S444" s="1075">
        <f t="shared" si="54"/>
        <v>0</v>
      </c>
    </row>
    <row r="445" spans="1:19" ht="15.75" hidden="1" x14ac:dyDescent="0.25">
      <c r="A445" s="633" t="s">
        <v>867</v>
      </c>
      <c r="B445" s="803"/>
      <c r="C445" s="803" t="s">
        <v>1118</v>
      </c>
      <c r="D445" s="549">
        <v>0</v>
      </c>
      <c r="E445" s="550">
        <v>81.299976330386642</v>
      </c>
      <c r="F445" s="551">
        <v>0</v>
      </c>
      <c r="G445" s="560">
        <v>7.3169978697347977</v>
      </c>
      <c r="H445" s="566">
        <v>88.616974200121433</v>
      </c>
      <c r="I445" s="567">
        <v>0</v>
      </c>
      <c r="J445" s="560">
        <v>0</v>
      </c>
      <c r="K445" s="568">
        <v>79.499027487624915</v>
      </c>
      <c r="L445" s="560">
        <v>15.104815222648734</v>
      </c>
      <c r="M445" s="1057">
        <f t="shared" si="55"/>
        <v>79.499027487624915</v>
      </c>
      <c r="N445" s="1058">
        <f t="shared" si="55"/>
        <v>15.104815222648734</v>
      </c>
      <c r="O445" s="569">
        <v>0</v>
      </c>
      <c r="P445" s="560">
        <v>0</v>
      </c>
      <c r="Q445" s="571">
        <v>183.22081691039509</v>
      </c>
      <c r="R445" s="1075">
        <f t="shared" si="53"/>
        <v>183.22081691039509</v>
      </c>
      <c r="S445" s="1075">
        <f t="shared" si="54"/>
        <v>0</v>
      </c>
    </row>
    <row r="446" spans="1:19" ht="15.75" hidden="1" x14ac:dyDescent="0.25">
      <c r="A446" s="633" t="s">
        <v>868</v>
      </c>
      <c r="B446" s="803"/>
      <c r="C446" s="803" t="s">
        <v>1118</v>
      </c>
      <c r="D446" s="549">
        <v>0</v>
      </c>
      <c r="E446" s="550">
        <v>82.586368360930734</v>
      </c>
      <c r="F446" s="551">
        <v>0</v>
      </c>
      <c r="G446" s="560">
        <v>7.4327731524837661</v>
      </c>
      <c r="H446" s="566">
        <v>90.019141513414496</v>
      </c>
      <c r="I446" s="567">
        <v>0</v>
      </c>
      <c r="J446" s="560">
        <v>0</v>
      </c>
      <c r="K446" s="568">
        <v>54.800300501178334</v>
      </c>
      <c r="L446" s="560">
        <v>10.412057095223883</v>
      </c>
      <c r="M446" s="1057">
        <f t="shared" si="55"/>
        <v>54.800300501178334</v>
      </c>
      <c r="N446" s="1058">
        <f t="shared" si="55"/>
        <v>10.412057095223883</v>
      </c>
      <c r="O446" s="569">
        <v>0</v>
      </c>
      <c r="P446" s="560">
        <v>0</v>
      </c>
      <c r="Q446" s="571">
        <v>155.2314991098167</v>
      </c>
      <c r="R446" s="1075">
        <f t="shared" si="53"/>
        <v>155.2314991098167</v>
      </c>
      <c r="S446" s="1075">
        <f t="shared" si="54"/>
        <v>0</v>
      </c>
    </row>
    <row r="447" spans="1:19" ht="15.75" hidden="1" x14ac:dyDescent="0.25">
      <c r="A447" s="633" t="s">
        <v>870</v>
      </c>
      <c r="B447" s="803"/>
      <c r="C447" s="803" t="s">
        <v>1118</v>
      </c>
      <c r="D447" s="549">
        <v>0</v>
      </c>
      <c r="E447" s="550">
        <v>108.5714873779214</v>
      </c>
      <c r="F447" s="551">
        <v>0</v>
      </c>
      <c r="G447" s="560">
        <v>9.7714338640129252</v>
      </c>
      <c r="H447" s="566">
        <v>118.34292124193432</v>
      </c>
      <c r="I447" s="567">
        <v>0</v>
      </c>
      <c r="J447" s="560">
        <v>0</v>
      </c>
      <c r="K447" s="568">
        <v>56.086692531722427</v>
      </c>
      <c r="L447" s="560">
        <v>10.656471581027262</v>
      </c>
      <c r="M447" s="1057">
        <f t="shared" si="55"/>
        <v>56.086692531722427</v>
      </c>
      <c r="N447" s="1058">
        <f t="shared" si="55"/>
        <v>10.656471581027262</v>
      </c>
      <c r="O447" s="569">
        <v>0</v>
      </c>
      <c r="P447" s="560">
        <v>0</v>
      </c>
      <c r="Q447" s="571">
        <v>185.086085354684</v>
      </c>
      <c r="R447" s="1075">
        <f t="shared" si="53"/>
        <v>185.086085354684</v>
      </c>
      <c r="S447" s="1075">
        <f t="shared" si="54"/>
        <v>0</v>
      </c>
    </row>
    <row r="448" spans="1:19" ht="15.75" hidden="1" x14ac:dyDescent="0.25">
      <c r="A448" s="633" t="s">
        <v>871</v>
      </c>
      <c r="B448" s="803"/>
      <c r="C448" s="803" t="s">
        <v>1118</v>
      </c>
      <c r="D448" s="549">
        <v>0</v>
      </c>
      <c r="E448" s="550">
        <v>94.935731854154014</v>
      </c>
      <c r="F448" s="551">
        <v>0</v>
      </c>
      <c r="G448" s="560">
        <v>8.5442158668738628</v>
      </c>
      <c r="H448" s="566">
        <v>103.47994772102788</v>
      </c>
      <c r="I448" s="567">
        <v>0</v>
      </c>
      <c r="J448" s="560">
        <v>0</v>
      </c>
      <c r="K448" s="568">
        <v>52.227516440090149</v>
      </c>
      <c r="L448" s="560">
        <v>9.9232281236171289</v>
      </c>
      <c r="M448" s="1057">
        <f t="shared" si="55"/>
        <v>52.227516440090149</v>
      </c>
      <c r="N448" s="1058">
        <f t="shared" si="55"/>
        <v>9.9232281236171289</v>
      </c>
      <c r="O448" s="569">
        <v>0</v>
      </c>
      <c r="P448" s="560">
        <v>0</v>
      </c>
      <c r="Q448" s="571">
        <v>165.63069228473515</v>
      </c>
      <c r="R448" s="1075">
        <f t="shared" si="53"/>
        <v>165.63069228473515</v>
      </c>
      <c r="S448" s="1075">
        <f t="shared" si="54"/>
        <v>0</v>
      </c>
    </row>
    <row r="449" spans="1:19" ht="15.75" hidden="1" x14ac:dyDescent="0.25">
      <c r="A449" s="633" t="s">
        <v>872</v>
      </c>
      <c r="B449" s="803"/>
      <c r="C449" s="803" t="s">
        <v>1118</v>
      </c>
      <c r="D449" s="549">
        <v>0</v>
      </c>
      <c r="E449" s="550">
        <v>103.68319766185385</v>
      </c>
      <c r="F449" s="551">
        <v>0</v>
      </c>
      <c r="G449" s="560">
        <v>9.3314877895668467</v>
      </c>
      <c r="H449" s="566">
        <v>113.0146854514207</v>
      </c>
      <c r="I449" s="567">
        <v>0</v>
      </c>
      <c r="J449" s="560">
        <v>0</v>
      </c>
      <c r="K449" s="568">
        <v>57.37308456226652</v>
      </c>
      <c r="L449" s="560">
        <v>10.900886066830639</v>
      </c>
      <c r="M449" s="1057">
        <f t="shared" si="55"/>
        <v>57.37308456226652</v>
      </c>
      <c r="N449" s="1058">
        <f t="shared" si="55"/>
        <v>10.900886066830639</v>
      </c>
      <c r="O449" s="569">
        <v>0</v>
      </c>
      <c r="P449" s="560">
        <v>0</v>
      </c>
      <c r="Q449" s="571">
        <v>181.28865608051788</v>
      </c>
      <c r="R449" s="1075">
        <f t="shared" si="53"/>
        <v>181.28865608051788</v>
      </c>
      <c r="S449" s="1075">
        <f t="shared" si="54"/>
        <v>0</v>
      </c>
    </row>
    <row r="450" spans="1:19" ht="15.75" hidden="1" x14ac:dyDescent="0.25">
      <c r="A450" s="633" t="s">
        <v>874</v>
      </c>
      <c r="B450" s="803"/>
      <c r="C450" s="803" t="s">
        <v>1118</v>
      </c>
      <c r="D450" s="549">
        <v>0</v>
      </c>
      <c r="E450" s="550">
        <v>98.023072727459848</v>
      </c>
      <c r="F450" s="551">
        <v>0</v>
      </c>
      <c r="G450" s="560">
        <v>8.8220765454713863</v>
      </c>
      <c r="H450" s="566">
        <v>106.84514927293124</v>
      </c>
      <c r="I450" s="567">
        <v>0</v>
      </c>
      <c r="J450" s="560">
        <v>0</v>
      </c>
      <c r="K450" s="568">
        <v>92.362947793065842</v>
      </c>
      <c r="L450" s="560">
        <v>17.548960080682509</v>
      </c>
      <c r="M450" s="1057">
        <f t="shared" si="55"/>
        <v>92.362947793065842</v>
      </c>
      <c r="N450" s="1058">
        <f t="shared" si="55"/>
        <v>17.548960080682509</v>
      </c>
      <c r="O450" s="569">
        <v>0</v>
      </c>
      <c r="P450" s="560">
        <v>0</v>
      </c>
      <c r="Q450" s="571">
        <v>216.75705714667961</v>
      </c>
      <c r="R450" s="1075">
        <f t="shared" si="53"/>
        <v>216.75705714667961</v>
      </c>
      <c r="S450" s="1075">
        <f t="shared" si="54"/>
        <v>0</v>
      </c>
    </row>
    <row r="451" spans="1:19" ht="16.5" hidden="1" thickBot="1" x14ac:dyDescent="0.3">
      <c r="A451" s="648" t="s">
        <v>598</v>
      </c>
      <c r="B451" s="803"/>
      <c r="C451" s="803" t="s">
        <v>1118</v>
      </c>
      <c r="D451" s="549">
        <v>0</v>
      </c>
      <c r="E451" s="550">
        <v>94.42117504193638</v>
      </c>
      <c r="F451" s="551">
        <v>0</v>
      </c>
      <c r="G451" s="560">
        <v>8.4979057537742744</v>
      </c>
      <c r="H451" s="566">
        <v>102.91908079571066</v>
      </c>
      <c r="I451" s="567">
        <v>0</v>
      </c>
      <c r="J451" s="560">
        <v>0</v>
      </c>
      <c r="K451" s="568">
        <v>97.508515915242199</v>
      </c>
      <c r="L451" s="560">
        <v>18.52661802389602</v>
      </c>
      <c r="M451" s="1057">
        <f t="shared" si="55"/>
        <v>97.508515915242199</v>
      </c>
      <c r="N451" s="1058">
        <f t="shared" si="55"/>
        <v>18.52661802389602</v>
      </c>
      <c r="O451" s="569">
        <v>0</v>
      </c>
      <c r="P451" s="560">
        <v>0</v>
      </c>
      <c r="Q451" s="571">
        <v>218.95421473484888</v>
      </c>
      <c r="R451" s="1075">
        <f t="shared" ref="R451:R488" si="56">H451+M451+N451+O451+P451</f>
        <v>218.95421473484888</v>
      </c>
      <c r="S451" s="1075">
        <f t="shared" si="54"/>
        <v>0</v>
      </c>
    </row>
    <row r="452" spans="1:19" ht="15.75" hidden="1" x14ac:dyDescent="0.25">
      <c r="A452" s="653" t="s">
        <v>887</v>
      </c>
      <c r="B452" s="653" t="s">
        <v>429</v>
      </c>
      <c r="C452" s="653" t="s">
        <v>1120</v>
      </c>
      <c r="D452" s="549">
        <v>0</v>
      </c>
      <c r="E452" s="550">
        <v>53.357096971229694</v>
      </c>
      <c r="F452" s="551">
        <v>0</v>
      </c>
      <c r="G452" s="560">
        <v>0</v>
      </c>
      <c r="H452" s="566">
        <v>53.357096971229694</v>
      </c>
      <c r="I452" s="567">
        <v>38.256031790692987</v>
      </c>
      <c r="J452" s="560">
        <v>0</v>
      </c>
      <c r="K452" s="568">
        <v>0</v>
      </c>
      <c r="L452" s="560">
        <v>0</v>
      </c>
      <c r="M452" s="1057">
        <f t="shared" si="55"/>
        <v>38.256031790692987</v>
      </c>
      <c r="N452" s="1058">
        <f t="shared" si="55"/>
        <v>0</v>
      </c>
      <c r="O452" s="569">
        <v>0</v>
      </c>
      <c r="P452" s="560">
        <v>0</v>
      </c>
      <c r="Q452" s="571">
        <v>91.613128761922681</v>
      </c>
      <c r="R452" s="1075">
        <f t="shared" si="56"/>
        <v>91.613128761922681</v>
      </c>
      <c r="S452" s="1075">
        <f t="shared" si="54"/>
        <v>0</v>
      </c>
    </row>
    <row r="453" spans="1:19" ht="16.5" hidden="1" thickBot="1" x14ac:dyDescent="0.3">
      <c r="A453" s="652" t="s">
        <v>694</v>
      </c>
      <c r="B453" s="651"/>
      <c r="C453" s="823" t="s">
        <v>1120</v>
      </c>
      <c r="D453" s="549">
        <v>0</v>
      </c>
      <c r="E453" s="550">
        <v>48.288693485348411</v>
      </c>
      <c r="F453" s="551">
        <v>2.0134753574048943</v>
      </c>
      <c r="G453" s="560">
        <v>0</v>
      </c>
      <c r="H453" s="566">
        <v>50.302168842753304</v>
      </c>
      <c r="I453" s="567">
        <v>42.19619477458015</v>
      </c>
      <c r="J453" s="560">
        <v>0</v>
      </c>
      <c r="K453" s="568">
        <v>0</v>
      </c>
      <c r="L453" s="560">
        <v>0</v>
      </c>
      <c r="M453" s="1057">
        <f t="shared" si="55"/>
        <v>42.19619477458015</v>
      </c>
      <c r="N453" s="1058">
        <f t="shared" si="55"/>
        <v>0</v>
      </c>
      <c r="O453" s="569">
        <v>2.1870508192501439</v>
      </c>
      <c r="P453" s="560">
        <v>0</v>
      </c>
      <c r="Q453" s="571">
        <v>94.685414436583599</v>
      </c>
      <c r="R453" s="1075">
        <f t="shared" si="56"/>
        <v>94.685414436583599</v>
      </c>
      <c r="S453" s="1075">
        <f t="shared" si="54"/>
        <v>0</v>
      </c>
    </row>
    <row r="454" spans="1:19" ht="15.75" hidden="1" x14ac:dyDescent="0.25">
      <c r="A454" s="638" t="s">
        <v>143</v>
      </c>
      <c r="B454" s="693" t="s">
        <v>429</v>
      </c>
      <c r="C454" s="806" t="s">
        <v>1131</v>
      </c>
      <c r="D454" s="549">
        <v>0</v>
      </c>
      <c r="E454" s="550">
        <v>53.618909463360751</v>
      </c>
      <c r="F454" s="551">
        <v>0</v>
      </c>
      <c r="G454" s="560">
        <v>0</v>
      </c>
      <c r="H454" s="566">
        <v>53.618909463360751</v>
      </c>
      <c r="I454" s="567">
        <v>0</v>
      </c>
      <c r="J454" s="560">
        <v>0</v>
      </c>
      <c r="K454" s="568">
        <v>0</v>
      </c>
      <c r="L454" s="560">
        <v>0</v>
      </c>
      <c r="M454" s="1057">
        <f t="shared" si="55"/>
        <v>0</v>
      </c>
      <c r="N454" s="1058">
        <f t="shared" si="55"/>
        <v>0</v>
      </c>
      <c r="O454" s="569">
        <v>0</v>
      </c>
      <c r="P454" s="560">
        <v>0</v>
      </c>
      <c r="Q454" s="571">
        <v>53.618909463360751</v>
      </c>
      <c r="R454" s="1075">
        <f t="shared" si="56"/>
        <v>53.618909463360751</v>
      </c>
      <c r="S454" s="1075">
        <f t="shared" si="54"/>
        <v>0</v>
      </c>
    </row>
    <row r="455" spans="1:19" ht="15.75" hidden="1" x14ac:dyDescent="0.25">
      <c r="A455" s="639" t="s">
        <v>144</v>
      </c>
      <c r="B455" s="639"/>
      <c r="C455" s="724" t="s">
        <v>1131</v>
      </c>
      <c r="D455" s="549">
        <v>0</v>
      </c>
      <c r="E455" s="550">
        <v>72.194801537540272</v>
      </c>
      <c r="F455" s="551">
        <v>0</v>
      </c>
      <c r="G455" s="560">
        <v>0</v>
      </c>
      <c r="H455" s="566">
        <v>72.194801537540272</v>
      </c>
      <c r="I455" s="567">
        <v>0</v>
      </c>
      <c r="J455" s="560">
        <v>0</v>
      </c>
      <c r="K455" s="568">
        <v>0</v>
      </c>
      <c r="L455" s="560">
        <v>0</v>
      </c>
      <c r="M455" s="1057">
        <f t="shared" si="55"/>
        <v>0</v>
      </c>
      <c r="N455" s="1058">
        <f t="shared" si="55"/>
        <v>0</v>
      </c>
      <c r="O455" s="569">
        <v>0</v>
      </c>
      <c r="P455" s="560">
        <v>0</v>
      </c>
      <c r="Q455" s="571">
        <v>72.194801537540272</v>
      </c>
      <c r="R455" s="1075">
        <f t="shared" si="56"/>
        <v>72.194801537540272</v>
      </c>
      <c r="S455" s="1075">
        <f t="shared" si="54"/>
        <v>0</v>
      </c>
    </row>
    <row r="456" spans="1:19" ht="15.75" hidden="1" x14ac:dyDescent="0.25">
      <c r="A456" s="639" t="s">
        <v>145</v>
      </c>
      <c r="B456" s="639"/>
      <c r="C456" s="724" t="s">
        <v>1131</v>
      </c>
      <c r="D456" s="549">
        <v>0</v>
      </c>
      <c r="E456" s="550">
        <v>64.603241204500208</v>
      </c>
      <c r="F456" s="551">
        <v>0</v>
      </c>
      <c r="G456" s="560">
        <v>0</v>
      </c>
      <c r="H456" s="566">
        <v>64.603241204500208</v>
      </c>
      <c r="I456" s="567">
        <v>0</v>
      </c>
      <c r="J456" s="560">
        <v>0</v>
      </c>
      <c r="K456" s="568">
        <v>0</v>
      </c>
      <c r="L456" s="560">
        <v>0</v>
      </c>
      <c r="M456" s="1057">
        <f t="shared" si="55"/>
        <v>0</v>
      </c>
      <c r="N456" s="1058">
        <f t="shared" si="55"/>
        <v>0</v>
      </c>
      <c r="O456" s="569">
        <v>0</v>
      </c>
      <c r="P456" s="560">
        <v>0</v>
      </c>
      <c r="Q456" s="571">
        <v>64.603241204500208</v>
      </c>
      <c r="R456" s="1075">
        <f t="shared" si="56"/>
        <v>64.603241204500208</v>
      </c>
      <c r="S456" s="1075">
        <f t="shared" si="54"/>
        <v>0</v>
      </c>
    </row>
    <row r="457" spans="1:19" ht="15.75" hidden="1" x14ac:dyDescent="0.25">
      <c r="A457" s="639" t="s">
        <v>146</v>
      </c>
      <c r="B457" s="639"/>
      <c r="C457" s="724" t="s">
        <v>1131</v>
      </c>
      <c r="D457" s="549">
        <v>0</v>
      </c>
      <c r="E457" s="550">
        <v>62.934972390572881</v>
      </c>
      <c r="F457" s="551">
        <v>0</v>
      </c>
      <c r="G457" s="560">
        <v>0</v>
      </c>
      <c r="H457" s="566">
        <v>62.934972390572881</v>
      </c>
      <c r="I457" s="567">
        <v>0</v>
      </c>
      <c r="J457" s="560">
        <v>0</v>
      </c>
      <c r="K457" s="568">
        <v>0</v>
      </c>
      <c r="L457" s="560">
        <v>0</v>
      </c>
      <c r="M457" s="1057">
        <f t="shared" si="55"/>
        <v>0</v>
      </c>
      <c r="N457" s="1058">
        <f t="shared" si="55"/>
        <v>0</v>
      </c>
      <c r="O457" s="569">
        <v>0</v>
      </c>
      <c r="P457" s="560">
        <v>0</v>
      </c>
      <c r="Q457" s="571">
        <v>62.934972390572881</v>
      </c>
      <c r="R457" s="1075">
        <f t="shared" si="56"/>
        <v>62.934972390572881</v>
      </c>
      <c r="S457" s="1075">
        <f t="shared" si="54"/>
        <v>0</v>
      </c>
    </row>
    <row r="458" spans="1:19" ht="15.75" hidden="1" x14ac:dyDescent="0.25">
      <c r="A458" s="639" t="s">
        <v>147</v>
      </c>
      <c r="B458" s="639"/>
      <c r="C458" s="724" t="s">
        <v>1131</v>
      </c>
      <c r="D458" s="549">
        <v>0</v>
      </c>
      <c r="E458" s="550">
        <v>58.333174707211562</v>
      </c>
      <c r="F458" s="551">
        <v>0</v>
      </c>
      <c r="G458" s="560">
        <v>0</v>
      </c>
      <c r="H458" s="566">
        <v>58.333174707211562</v>
      </c>
      <c r="I458" s="567">
        <v>0</v>
      </c>
      <c r="J458" s="560">
        <v>0</v>
      </c>
      <c r="K458" s="568">
        <v>0</v>
      </c>
      <c r="L458" s="560">
        <v>0</v>
      </c>
      <c r="M458" s="1057">
        <f t="shared" si="55"/>
        <v>0</v>
      </c>
      <c r="N458" s="1058">
        <f t="shared" si="55"/>
        <v>0</v>
      </c>
      <c r="O458" s="569">
        <v>0</v>
      </c>
      <c r="P458" s="560">
        <v>0</v>
      </c>
      <c r="Q458" s="571">
        <v>58.333174707211562</v>
      </c>
      <c r="R458" s="1075">
        <f t="shared" si="56"/>
        <v>58.333174707211562</v>
      </c>
      <c r="S458" s="1075">
        <f t="shared" si="54"/>
        <v>0</v>
      </c>
    </row>
    <row r="459" spans="1:19" ht="15.75" hidden="1" x14ac:dyDescent="0.25">
      <c r="A459" s="639" t="s">
        <v>148</v>
      </c>
      <c r="B459" s="639"/>
      <c r="C459" s="724" t="s">
        <v>1131</v>
      </c>
      <c r="D459" s="549">
        <v>0</v>
      </c>
      <c r="E459" s="550">
        <v>49.663800252813957</v>
      </c>
      <c r="F459" s="551">
        <v>0</v>
      </c>
      <c r="G459" s="560">
        <v>0</v>
      </c>
      <c r="H459" s="566">
        <v>49.663800252813957</v>
      </c>
      <c r="I459" s="567">
        <v>0</v>
      </c>
      <c r="J459" s="560">
        <v>0</v>
      </c>
      <c r="K459" s="568">
        <v>0</v>
      </c>
      <c r="L459" s="560">
        <v>0</v>
      </c>
      <c r="M459" s="1057">
        <f t="shared" si="55"/>
        <v>0</v>
      </c>
      <c r="N459" s="1058">
        <f t="shared" si="55"/>
        <v>0</v>
      </c>
      <c r="O459" s="569">
        <v>0</v>
      </c>
      <c r="P459" s="560">
        <v>0</v>
      </c>
      <c r="Q459" s="571">
        <v>49.663800252813957</v>
      </c>
      <c r="R459" s="1075">
        <f t="shared" si="56"/>
        <v>49.663800252813957</v>
      </c>
      <c r="S459" s="1075">
        <f t="shared" si="54"/>
        <v>0</v>
      </c>
    </row>
    <row r="460" spans="1:19" ht="15.75" hidden="1" x14ac:dyDescent="0.25">
      <c r="A460" s="639" t="s">
        <v>149</v>
      </c>
      <c r="B460" s="639"/>
      <c r="C460" s="724" t="s">
        <v>1131</v>
      </c>
      <c r="D460" s="549">
        <v>0</v>
      </c>
      <c r="E460" s="550">
        <v>81.107855706331748</v>
      </c>
      <c r="F460" s="551">
        <v>0</v>
      </c>
      <c r="G460" s="560">
        <v>0</v>
      </c>
      <c r="H460" s="566">
        <v>81.107855706331748</v>
      </c>
      <c r="I460" s="567">
        <v>0</v>
      </c>
      <c r="J460" s="560">
        <v>0</v>
      </c>
      <c r="K460" s="568">
        <v>0</v>
      </c>
      <c r="L460" s="560">
        <v>0</v>
      </c>
      <c r="M460" s="1057">
        <f t="shared" si="55"/>
        <v>0</v>
      </c>
      <c r="N460" s="1058">
        <f t="shared" si="55"/>
        <v>0</v>
      </c>
      <c r="O460" s="569">
        <v>0</v>
      </c>
      <c r="P460" s="560">
        <v>0</v>
      </c>
      <c r="Q460" s="571">
        <v>81.107855706331748</v>
      </c>
      <c r="R460" s="1075">
        <f t="shared" si="56"/>
        <v>81.107855706331748</v>
      </c>
      <c r="S460" s="1075">
        <f t="shared" si="54"/>
        <v>0</v>
      </c>
    </row>
    <row r="461" spans="1:19" ht="16.5" hidden="1" thickBot="1" x14ac:dyDescent="0.3">
      <c r="A461" s="640" t="s">
        <v>150</v>
      </c>
      <c r="B461" s="652"/>
      <c r="C461" s="807" t="s">
        <v>1131</v>
      </c>
      <c r="D461" s="549">
        <v>0</v>
      </c>
      <c r="E461" s="550">
        <v>64.462656753888353</v>
      </c>
      <c r="F461" s="551">
        <v>0</v>
      </c>
      <c r="G461" s="560">
        <v>0</v>
      </c>
      <c r="H461" s="566">
        <v>64.462656753888353</v>
      </c>
      <c r="I461" s="567">
        <v>0</v>
      </c>
      <c r="J461" s="560">
        <v>0</v>
      </c>
      <c r="K461" s="568">
        <v>0</v>
      </c>
      <c r="L461" s="560">
        <v>0</v>
      </c>
      <c r="M461" s="1057">
        <f t="shared" si="55"/>
        <v>0</v>
      </c>
      <c r="N461" s="1058">
        <f t="shared" si="55"/>
        <v>0</v>
      </c>
      <c r="O461" s="569">
        <v>0</v>
      </c>
      <c r="P461" s="560">
        <v>0</v>
      </c>
      <c r="Q461" s="571">
        <v>64.462656753888353</v>
      </c>
      <c r="R461" s="1075">
        <f t="shared" si="56"/>
        <v>64.462656753888353</v>
      </c>
      <c r="S461" s="1075">
        <f t="shared" si="54"/>
        <v>0</v>
      </c>
    </row>
    <row r="462" spans="1:19" ht="15.75" hidden="1" x14ac:dyDescent="0.25">
      <c r="A462" s="638" t="s">
        <v>151</v>
      </c>
      <c r="B462" s="693"/>
      <c r="C462" s="806" t="s">
        <v>1133</v>
      </c>
      <c r="D462" s="549">
        <v>0</v>
      </c>
      <c r="E462" s="550">
        <v>192.62673917479984</v>
      </c>
      <c r="F462" s="551">
        <v>0</v>
      </c>
      <c r="G462" s="560">
        <v>19.267475780602876</v>
      </c>
      <c r="H462" s="566">
        <v>211.8942149554027</v>
      </c>
      <c r="I462" s="567">
        <v>18.355121787253452</v>
      </c>
      <c r="J462" s="560">
        <v>1.8367126445060684</v>
      </c>
      <c r="K462" s="568">
        <v>58.378650916555628</v>
      </c>
      <c r="L462" s="560">
        <v>5.8342636943133934</v>
      </c>
      <c r="M462" s="1057">
        <f t="shared" si="55"/>
        <v>76.73377270380908</v>
      </c>
      <c r="N462" s="1058">
        <f t="shared" si="55"/>
        <v>7.6709763388194618</v>
      </c>
      <c r="O462" s="569">
        <v>0</v>
      </c>
      <c r="P462" s="560">
        <v>0</v>
      </c>
      <c r="Q462" s="571">
        <v>296.29896399803124</v>
      </c>
      <c r="R462" s="1075">
        <f t="shared" si="56"/>
        <v>296.29896399803124</v>
      </c>
      <c r="S462" s="1075">
        <f t="shared" si="54"/>
        <v>0</v>
      </c>
    </row>
    <row r="463" spans="1:19" ht="15.75" hidden="1" x14ac:dyDescent="0.25">
      <c r="A463" s="639" t="s">
        <v>152</v>
      </c>
      <c r="B463" s="639"/>
      <c r="C463" s="724" t="s">
        <v>1133</v>
      </c>
      <c r="D463" s="549">
        <v>0</v>
      </c>
      <c r="E463" s="550">
        <v>105.28084896940013</v>
      </c>
      <c r="F463" s="551">
        <v>0</v>
      </c>
      <c r="G463" s="560">
        <v>10.528084896940012</v>
      </c>
      <c r="H463" s="566">
        <v>115.80893386634014</v>
      </c>
      <c r="I463" s="567">
        <v>0</v>
      </c>
      <c r="J463" s="560">
        <v>0</v>
      </c>
      <c r="K463" s="568">
        <v>97.153695633905954</v>
      </c>
      <c r="L463" s="560">
        <v>9.7117681660484259</v>
      </c>
      <c r="M463" s="1057">
        <f t="shared" si="55"/>
        <v>97.153695633905954</v>
      </c>
      <c r="N463" s="1058">
        <f t="shared" si="55"/>
        <v>9.7117681660484259</v>
      </c>
      <c r="O463" s="569">
        <v>0</v>
      </c>
      <c r="P463" s="560">
        <v>0</v>
      </c>
      <c r="Q463" s="571">
        <v>222.67439766629451</v>
      </c>
      <c r="R463" s="1075">
        <f t="shared" si="56"/>
        <v>222.67439766629451</v>
      </c>
      <c r="S463" s="1075">
        <f t="shared" si="54"/>
        <v>0</v>
      </c>
    </row>
    <row r="464" spans="1:19" ht="15.75" hidden="1" x14ac:dyDescent="0.25">
      <c r="A464" s="639" t="s">
        <v>153</v>
      </c>
      <c r="B464" s="639" t="s">
        <v>429</v>
      </c>
      <c r="C464" s="724" t="s">
        <v>1133</v>
      </c>
      <c r="D464" s="549">
        <v>0</v>
      </c>
      <c r="E464" s="550">
        <v>125.11254366694277</v>
      </c>
      <c r="F464" s="551">
        <v>0</v>
      </c>
      <c r="G464" s="560">
        <v>12.508853435132831</v>
      </c>
      <c r="H464" s="566">
        <v>137.6213971020756</v>
      </c>
      <c r="I464" s="567">
        <v>20.840085953349899</v>
      </c>
      <c r="J464" s="560">
        <v>2.0888104584578815</v>
      </c>
      <c r="K464" s="568">
        <v>59.987275062724336</v>
      </c>
      <c r="L464" s="560">
        <v>6.0023289036146021</v>
      </c>
      <c r="M464" s="1057">
        <f t="shared" si="55"/>
        <v>80.827361016074235</v>
      </c>
      <c r="N464" s="1058">
        <f t="shared" si="55"/>
        <v>8.0911393620724841</v>
      </c>
      <c r="O464" s="569">
        <v>0</v>
      </c>
      <c r="P464" s="560">
        <v>0</v>
      </c>
      <c r="Q464" s="571">
        <v>226.53989748022232</v>
      </c>
      <c r="R464" s="1075">
        <f t="shared" si="56"/>
        <v>226.53989748022232</v>
      </c>
      <c r="S464" s="1075">
        <f t="shared" si="54"/>
        <v>0</v>
      </c>
    </row>
    <row r="465" spans="1:19" ht="15.75" hidden="1" x14ac:dyDescent="0.25">
      <c r="A465" s="639" t="s">
        <v>214</v>
      </c>
      <c r="B465" s="639"/>
      <c r="C465" s="724" t="s">
        <v>1133</v>
      </c>
      <c r="D465" s="549">
        <v>0</v>
      </c>
      <c r="E465" s="550">
        <v>104.74063936807481</v>
      </c>
      <c r="F465" s="551">
        <v>0</v>
      </c>
      <c r="G465" s="560">
        <v>10.480066265711097</v>
      </c>
      <c r="H465" s="566">
        <v>115.22070563378591</v>
      </c>
      <c r="I465" s="567">
        <v>45.869797481422793</v>
      </c>
      <c r="J465" s="560">
        <v>4.585779282361556</v>
      </c>
      <c r="K465" s="568">
        <v>91.811622909688964</v>
      </c>
      <c r="L465" s="560">
        <v>9.1835632225303421</v>
      </c>
      <c r="M465" s="1057">
        <f t="shared" si="55"/>
        <v>137.68142039111177</v>
      </c>
      <c r="N465" s="1058">
        <f t="shared" si="55"/>
        <v>13.769342504891899</v>
      </c>
      <c r="O465" s="569">
        <v>0</v>
      </c>
      <c r="P465" s="560">
        <v>0</v>
      </c>
      <c r="Q465" s="571">
        <v>266.67146852978954</v>
      </c>
      <c r="R465" s="1075">
        <f t="shared" si="56"/>
        <v>266.67146852978959</v>
      </c>
      <c r="S465" s="1075">
        <f t="shared" si="54"/>
        <v>0</v>
      </c>
    </row>
    <row r="466" spans="1:19" ht="16.5" hidden="1" thickBot="1" x14ac:dyDescent="0.3">
      <c r="A466" s="640" t="s">
        <v>154</v>
      </c>
      <c r="B466" s="652"/>
      <c r="C466" s="807" t="s">
        <v>1133</v>
      </c>
      <c r="D466" s="549">
        <v>0</v>
      </c>
      <c r="E466" s="550">
        <v>153.34749882954586</v>
      </c>
      <c r="F466" s="551">
        <v>0</v>
      </c>
      <c r="G466" s="560">
        <v>15.329948019831694</v>
      </c>
      <c r="H466" s="566">
        <v>168.67744684937756</v>
      </c>
      <c r="I466" s="567">
        <v>36.362108498097257</v>
      </c>
      <c r="J466" s="560">
        <v>3.6374113155904486</v>
      </c>
      <c r="K466" s="568">
        <v>106.75742187968932</v>
      </c>
      <c r="L466" s="560">
        <v>10.672140790626763</v>
      </c>
      <c r="M466" s="1057">
        <f t="shared" si="55"/>
        <v>143.11953037778659</v>
      </c>
      <c r="N466" s="1058">
        <f t="shared" si="55"/>
        <v>14.309552106217211</v>
      </c>
      <c r="O466" s="569">
        <v>0</v>
      </c>
      <c r="P466" s="560">
        <v>0</v>
      </c>
      <c r="Q466" s="571">
        <v>326.10652933338133</v>
      </c>
      <c r="R466" s="1075">
        <f t="shared" si="56"/>
        <v>326.10652933338133</v>
      </c>
      <c r="S466" s="1075">
        <f t="shared" si="54"/>
        <v>0</v>
      </c>
    </row>
    <row r="467" spans="1:19" ht="15.75" hidden="1" x14ac:dyDescent="0.25">
      <c r="A467" s="638" t="s">
        <v>155</v>
      </c>
      <c r="B467" s="693" t="s">
        <v>429</v>
      </c>
      <c r="C467" s="806" t="s">
        <v>1135</v>
      </c>
      <c r="D467" s="549">
        <v>206.24267029725661</v>
      </c>
      <c r="E467" s="550">
        <v>44.728802530302232</v>
      </c>
      <c r="F467" s="551">
        <v>0</v>
      </c>
      <c r="G467" s="560">
        <v>62.74286820688971</v>
      </c>
      <c r="H467" s="566">
        <v>313.71434103444858</v>
      </c>
      <c r="I467" s="567">
        <v>39.827015951638977</v>
      </c>
      <c r="J467" s="560">
        <v>9.9567539879097442</v>
      </c>
      <c r="K467" s="568">
        <v>0</v>
      </c>
      <c r="L467" s="560">
        <v>0</v>
      </c>
      <c r="M467" s="1057">
        <f t="shared" si="55"/>
        <v>39.827015951638977</v>
      </c>
      <c r="N467" s="1058">
        <f t="shared" si="55"/>
        <v>9.9567539879097442</v>
      </c>
      <c r="O467" s="569">
        <v>0</v>
      </c>
      <c r="P467" s="560">
        <v>0</v>
      </c>
      <c r="Q467" s="571">
        <v>363.49811097399731</v>
      </c>
      <c r="R467" s="1075">
        <f t="shared" si="56"/>
        <v>363.49811097399731</v>
      </c>
      <c r="S467" s="1075">
        <f t="shared" si="54"/>
        <v>0</v>
      </c>
    </row>
    <row r="468" spans="1:19" ht="15.75" hidden="1" x14ac:dyDescent="0.25">
      <c r="A468" s="639" t="s">
        <v>156</v>
      </c>
      <c r="B468" s="639"/>
      <c r="C468" s="724" t="s">
        <v>1135</v>
      </c>
      <c r="D468" s="549">
        <v>299.37661529185851</v>
      </c>
      <c r="E468" s="550">
        <v>88.109613751472068</v>
      </c>
      <c r="F468" s="551">
        <v>0</v>
      </c>
      <c r="G468" s="560">
        <v>96.871557260832645</v>
      </c>
      <c r="H468" s="566">
        <v>484.35778630416326</v>
      </c>
      <c r="I468" s="567">
        <v>90.805596369736861</v>
      </c>
      <c r="J468" s="560">
        <v>22.701399092434215</v>
      </c>
      <c r="K468" s="568">
        <v>0</v>
      </c>
      <c r="L468" s="560">
        <v>0</v>
      </c>
      <c r="M468" s="1057">
        <f t="shared" si="55"/>
        <v>90.805596369736861</v>
      </c>
      <c r="N468" s="1058">
        <f t="shared" si="55"/>
        <v>22.701399092434215</v>
      </c>
      <c r="O468" s="569">
        <v>0</v>
      </c>
      <c r="P468" s="560">
        <v>0</v>
      </c>
      <c r="Q468" s="571">
        <v>597.86478176633432</v>
      </c>
      <c r="R468" s="1075">
        <f t="shared" si="56"/>
        <v>597.86478176633432</v>
      </c>
      <c r="S468" s="1075">
        <f t="shared" si="54"/>
        <v>0</v>
      </c>
    </row>
    <row r="469" spans="1:19" ht="15.75" hidden="1" x14ac:dyDescent="0.25">
      <c r="A469" s="639" t="s">
        <v>157</v>
      </c>
      <c r="B469" s="639"/>
      <c r="C469" s="724" t="s">
        <v>1135</v>
      </c>
      <c r="D469" s="549">
        <v>202.56633036325914</v>
      </c>
      <c r="E469" s="550">
        <v>59.311617601825425</v>
      </c>
      <c r="F469" s="551">
        <v>0</v>
      </c>
      <c r="G469" s="560">
        <v>65.46948699127114</v>
      </c>
      <c r="H469" s="566">
        <v>327.3474349563557</v>
      </c>
      <c r="I469" s="567">
        <v>62.987957535822872</v>
      </c>
      <c r="J469" s="560">
        <v>15.746989383955718</v>
      </c>
      <c r="K469" s="568">
        <v>0</v>
      </c>
      <c r="L469" s="560">
        <v>0</v>
      </c>
      <c r="M469" s="1057">
        <f t="shared" si="55"/>
        <v>62.987957535822872</v>
      </c>
      <c r="N469" s="1058">
        <f t="shared" si="55"/>
        <v>15.746989383955718</v>
      </c>
      <c r="O469" s="569">
        <v>0</v>
      </c>
      <c r="P469" s="560">
        <v>0</v>
      </c>
      <c r="Q469" s="571">
        <v>406.08238187613432</v>
      </c>
      <c r="R469" s="1075">
        <f t="shared" si="56"/>
        <v>406.08238187613432</v>
      </c>
      <c r="S469" s="1075">
        <f t="shared" si="54"/>
        <v>0</v>
      </c>
    </row>
    <row r="470" spans="1:19" ht="15.75" hidden="1" x14ac:dyDescent="0.25">
      <c r="A470" s="639" t="s">
        <v>158</v>
      </c>
      <c r="B470" s="639"/>
      <c r="C470" s="724" t="s">
        <v>1135</v>
      </c>
      <c r="D470" s="549">
        <v>0</v>
      </c>
      <c r="E470" s="550">
        <v>151.3426606162281</v>
      </c>
      <c r="F470" s="551">
        <v>0</v>
      </c>
      <c r="G470" s="560">
        <v>37.835665154057025</v>
      </c>
      <c r="H470" s="566">
        <v>189.17832577028514</v>
      </c>
      <c r="I470" s="567">
        <v>227.07526325657545</v>
      </c>
      <c r="J470" s="560">
        <v>56.768815814143863</v>
      </c>
      <c r="K470" s="568">
        <v>0</v>
      </c>
      <c r="L470" s="560">
        <v>0</v>
      </c>
      <c r="M470" s="1057">
        <f t="shared" si="55"/>
        <v>227.07526325657545</v>
      </c>
      <c r="N470" s="1058">
        <f t="shared" si="55"/>
        <v>56.768815814143863</v>
      </c>
      <c r="O470" s="569">
        <v>0</v>
      </c>
      <c r="P470" s="560">
        <v>0</v>
      </c>
      <c r="Q470" s="571">
        <v>473.02240484100446</v>
      </c>
      <c r="R470" s="1075">
        <f t="shared" si="56"/>
        <v>473.02240484100446</v>
      </c>
      <c r="S470" s="1075">
        <f t="shared" si="54"/>
        <v>0</v>
      </c>
    </row>
    <row r="471" spans="1:19" ht="16.5" hidden="1" thickBot="1" x14ac:dyDescent="0.3">
      <c r="A471" s="640" t="s">
        <v>159</v>
      </c>
      <c r="B471" s="652"/>
      <c r="C471" s="807" t="s">
        <v>1135</v>
      </c>
      <c r="D471" s="549">
        <v>285.5290682071348</v>
      </c>
      <c r="E471" s="550">
        <v>77.815861936279234</v>
      </c>
      <c r="F471" s="551">
        <v>0</v>
      </c>
      <c r="G471" s="560">
        <v>90.836232535853512</v>
      </c>
      <c r="H471" s="566">
        <v>454.18116267926757</v>
      </c>
      <c r="I471" s="567">
        <v>104.77568811892715</v>
      </c>
      <c r="J471" s="560">
        <v>26.193922029731787</v>
      </c>
      <c r="K471" s="568">
        <v>0</v>
      </c>
      <c r="L471" s="560">
        <v>0</v>
      </c>
      <c r="M471" s="1057">
        <f t="shared" si="55"/>
        <v>104.77568811892715</v>
      </c>
      <c r="N471" s="1058">
        <f t="shared" si="55"/>
        <v>26.193922029731787</v>
      </c>
      <c r="O471" s="569">
        <v>0</v>
      </c>
      <c r="P471" s="560">
        <v>0</v>
      </c>
      <c r="Q471" s="571">
        <v>585.15077282792652</v>
      </c>
      <c r="R471" s="1075">
        <f t="shared" si="56"/>
        <v>585.15077282792652</v>
      </c>
      <c r="S471" s="1075">
        <f t="shared" si="54"/>
        <v>0</v>
      </c>
    </row>
    <row r="472" spans="1:19" ht="15.75" hidden="1" x14ac:dyDescent="0.25">
      <c r="A472" s="547" t="s">
        <v>160</v>
      </c>
      <c r="B472" s="1046"/>
      <c r="C472" s="802" t="s">
        <v>1137</v>
      </c>
      <c r="D472" s="549">
        <v>114.94016953675008</v>
      </c>
      <c r="E472" s="550">
        <v>110.83516348186615</v>
      </c>
      <c r="F472" s="551">
        <v>0</v>
      </c>
      <c r="G472" s="560">
        <v>18.0620266414893</v>
      </c>
      <c r="H472" s="566">
        <v>243.83735966010551</v>
      </c>
      <c r="I472" s="567">
        <v>271.95665113606043</v>
      </c>
      <c r="J472" s="560">
        <v>6.804047535970116</v>
      </c>
      <c r="K472" s="568">
        <v>0</v>
      </c>
      <c r="L472" s="560">
        <v>0</v>
      </c>
      <c r="M472" s="1057">
        <f t="shared" si="55"/>
        <v>271.95665113606043</v>
      </c>
      <c r="N472" s="1058">
        <f t="shared" si="55"/>
        <v>6.804047535970116</v>
      </c>
      <c r="O472" s="569">
        <v>0</v>
      </c>
      <c r="P472" s="560">
        <v>0</v>
      </c>
      <c r="Q472" s="571">
        <v>522.59805833213602</v>
      </c>
      <c r="R472" s="1075">
        <f t="shared" si="56"/>
        <v>522.59805833213602</v>
      </c>
      <c r="S472" s="1075">
        <f t="shared" si="54"/>
        <v>0</v>
      </c>
    </row>
    <row r="473" spans="1:19" ht="15.75" hidden="1" x14ac:dyDescent="0.25">
      <c r="A473" s="547" t="s">
        <v>603</v>
      </c>
      <c r="B473" s="1046"/>
      <c r="C473" s="802" t="s">
        <v>1137</v>
      </c>
      <c r="D473" s="549">
        <v>139.57020586605367</v>
      </c>
      <c r="E473" s="550">
        <v>197.04029063442869</v>
      </c>
      <c r="F473" s="551">
        <v>0</v>
      </c>
      <c r="G473" s="560">
        <v>26.928839720038585</v>
      </c>
      <c r="H473" s="566">
        <v>363.53933622052091</v>
      </c>
      <c r="I473" s="567">
        <v>299.27546643131302</v>
      </c>
      <c r="J473" s="560">
        <v>7.4813735350259645</v>
      </c>
      <c r="K473" s="568">
        <v>0</v>
      </c>
      <c r="L473" s="560">
        <v>0</v>
      </c>
      <c r="M473" s="1057">
        <f t="shared" si="55"/>
        <v>299.27546643131302</v>
      </c>
      <c r="N473" s="1058">
        <f t="shared" si="55"/>
        <v>7.4813735350259645</v>
      </c>
      <c r="O473" s="569">
        <v>0</v>
      </c>
      <c r="P473" s="560">
        <v>0</v>
      </c>
      <c r="Q473" s="571">
        <v>670.29617618685984</v>
      </c>
      <c r="R473" s="1075">
        <f t="shared" si="56"/>
        <v>670.29617618685984</v>
      </c>
      <c r="S473" s="1075">
        <f t="shared" si="54"/>
        <v>0</v>
      </c>
    </row>
    <row r="474" spans="1:19" ht="15.75" hidden="1" x14ac:dyDescent="0.25">
      <c r="A474" s="547" t="s">
        <v>162</v>
      </c>
      <c r="B474" s="1046"/>
      <c r="C474" s="802" t="s">
        <v>1137</v>
      </c>
      <c r="D474" s="549">
        <v>71.837605960468792</v>
      </c>
      <c r="E474" s="550">
        <v>149.83272100326349</v>
      </c>
      <c r="F474" s="551">
        <v>0</v>
      </c>
      <c r="G474" s="560">
        <v>17.733626157098584</v>
      </c>
      <c r="H474" s="566">
        <v>239.40395312083086</v>
      </c>
      <c r="I474" s="567">
        <v>123.15018164651794</v>
      </c>
      <c r="J474" s="560">
        <v>3.0787545411629482</v>
      </c>
      <c r="K474" s="568">
        <v>0</v>
      </c>
      <c r="L474" s="560">
        <v>0</v>
      </c>
      <c r="M474" s="1057">
        <f t="shared" si="55"/>
        <v>123.15018164651794</v>
      </c>
      <c r="N474" s="1058">
        <f t="shared" si="55"/>
        <v>3.0787545411629482</v>
      </c>
      <c r="O474" s="569">
        <v>0</v>
      </c>
      <c r="P474" s="560">
        <v>0</v>
      </c>
      <c r="Q474" s="571">
        <v>365.63288930851172</v>
      </c>
      <c r="R474" s="1075">
        <f t="shared" si="56"/>
        <v>365.63288930851172</v>
      </c>
      <c r="S474" s="1075">
        <f t="shared" si="54"/>
        <v>0</v>
      </c>
    </row>
    <row r="475" spans="1:19" ht="15.75" hidden="1" x14ac:dyDescent="0.25">
      <c r="A475" s="547" t="s">
        <v>161</v>
      </c>
      <c r="B475" s="1046"/>
      <c r="C475" s="802" t="s">
        <v>1137</v>
      </c>
      <c r="D475" s="549">
        <v>28.735042384187519</v>
      </c>
      <c r="E475" s="550">
        <v>210.38156031280147</v>
      </c>
      <c r="F475" s="551">
        <v>0</v>
      </c>
      <c r="G475" s="560">
        <v>19.12932821575912</v>
      </c>
      <c r="H475" s="566">
        <v>258.24593091274812</v>
      </c>
      <c r="I475" s="567">
        <v>246.30036329303587</v>
      </c>
      <c r="J475" s="560">
        <v>6.1575090823258964</v>
      </c>
      <c r="K475" s="568">
        <v>0</v>
      </c>
      <c r="L475" s="560">
        <v>0</v>
      </c>
      <c r="M475" s="1057">
        <f t="shared" si="55"/>
        <v>246.30036329303587</v>
      </c>
      <c r="N475" s="1058">
        <f t="shared" si="55"/>
        <v>6.1575090823258964</v>
      </c>
      <c r="O475" s="569">
        <v>0</v>
      </c>
      <c r="P475" s="560">
        <v>0</v>
      </c>
      <c r="Q475" s="571">
        <v>510.70380328810984</v>
      </c>
      <c r="R475" s="1075">
        <f t="shared" si="56"/>
        <v>510.70380328810984</v>
      </c>
      <c r="S475" s="1075">
        <f t="shared" si="54"/>
        <v>0</v>
      </c>
    </row>
    <row r="476" spans="1:19" ht="16.5" hidden="1" thickBot="1" x14ac:dyDescent="0.3">
      <c r="A476" s="613" t="s">
        <v>163</v>
      </c>
      <c r="B476" s="1046" t="s">
        <v>429</v>
      </c>
      <c r="C476" s="802" t="s">
        <v>1137</v>
      </c>
      <c r="D476" s="549">
        <v>55.417581740933073</v>
      </c>
      <c r="E476" s="550">
        <v>238.09035118326801</v>
      </c>
      <c r="F476" s="551">
        <v>0</v>
      </c>
      <c r="G476" s="560">
        <v>23.480634633936084</v>
      </c>
      <c r="H476" s="566">
        <v>316.98856755813716</v>
      </c>
      <c r="I476" s="567">
        <v>262.54592475523901</v>
      </c>
      <c r="J476" s="560">
        <v>6.56800968781429</v>
      </c>
      <c r="K476" s="568">
        <v>0</v>
      </c>
      <c r="L476" s="560">
        <v>0</v>
      </c>
      <c r="M476" s="1057">
        <f t="shared" si="55"/>
        <v>262.54592475523901</v>
      </c>
      <c r="N476" s="1058">
        <f t="shared" si="55"/>
        <v>6.56800968781429</v>
      </c>
      <c r="O476" s="569">
        <v>0</v>
      </c>
      <c r="P476" s="560">
        <v>0</v>
      </c>
      <c r="Q476" s="571">
        <v>586.10250200119049</v>
      </c>
      <c r="R476" s="1075">
        <f t="shared" si="56"/>
        <v>586.10250200119049</v>
      </c>
      <c r="S476" s="1075">
        <f t="shared" si="54"/>
        <v>0</v>
      </c>
    </row>
    <row r="477" spans="1:19" ht="15.75" hidden="1" x14ac:dyDescent="0.25">
      <c r="A477" s="693" t="s">
        <v>928</v>
      </c>
      <c r="B477" s="693" t="s">
        <v>429</v>
      </c>
      <c r="C477" s="806" t="s">
        <v>1145</v>
      </c>
      <c r="D477" s="549">
        <v>116.47824597464884</v>
      </c>
      <c r="E477" s="550">
        <v>0</v>
      </c>
      <c r="F477" s="551">
        <v>0</v>
      </c>
      <c r="G477" s="560">
        <v>9.3182596779719074</v>
      </c>
      <c r="H477" s="566">
        <v>125.79650565262075</v>
      </c>
      <c r="I477" s="567">
        <v>0</v>
      </c>
      <c r="J477" s="560">
        <v>0</v>
      </c>
      <c r="K477" s="568">
        <v>58.239122987324421</v>
      </c>
      <c r="L477" s="560">
        <v>4.6591298389859537</v>
      </c>
      <c r="M477" s="1057">
        <f t="shared" si="55"/>
        <v>58.239122987324421</v>
      </c>
      <c r="N477" s="1058">
        <f t="shared" si="55"/>
        <v>4.6591298389859537</v>
      </c>
      <c r="O477" s="569">
        <v>6.3246106411574035</v>
      </c>
      <c r="P477" s="560">
        <v>0</v>
      </c>
      <c r="Q477" s="571">
        <v>195.01936912008853</v>
      </c>
      <c r="R477" s="1075">
        <f t="shared" si="56"/>
        <v>195.01936912008853</v>
      </c>
      <c r="S477" s="1075">
        <f t="shared" si="54"/>
        <v>0</v>
      </c>
    </row>
    <row r="478" spans="1:19" ht="15.75" hidden="1" x14ac:dyDescent="0.25">
      <c r="A478" s="639" t="s">
        <v>929</v>
      </c>
      <c r="B478" s="639"/>
      <c r="C478" s="724" t="s">
        <v>1145</v>
      </c>
      <c r="D478" s="549">
        <v>117.26882230479352</v>
      </c>
      <c r="E478" s="550">
        <v>0</v>
      </c>
      <c r="F478" s="551">
        <v>14.135504782986796</v>
      </c>
      <c r="G478" s="560">
        <v>9.3815057843834815</v>
      </c>
      <c r="H478" s="566">
        <v>140.78583287216378</v>
      </c>
      <c r="I478" s="567">
        <v>0</v>
      </c>
      <c r="J478" s="560">
        <v>0</v>
      </c>
      <c r="K478" s="568">
        <v>41.109969167523126</v>
      </c>
      <c r="L478" s="560">
        <v>3.28879753340185</v>
      </c>
      <c r="M478" s="1057">
        <f t="shared" si="55"/>
        <v>41.109969167523126</v>
      </c>
      <c r="N478" s="1058">
        <f t="shared" si="55"/>
        <v>3.28879753340185</v>
      </c>
      <c r="O478" s="569">
        <v>6.3246106411574035</v>
      </c>
      <c r="P478" s="560">
        <v>0</v>
      </c>
      <c r="Q478" s="571">
        <v>191.50921021424617</v>
      </c>
      <c r="R478" s="1075">
        <f t="shared" si="56"/>
        <v>191.50921021424617</v>
      </c>
      <c r="S478" s="1075">
        <f t="shared" si="54"/>
        <v>0</v>
      </c>
    </row>
    <row r="479" spans="1:19" ht="16.5" hidden="1" thickBot="1" x14ac:dyDescent="0.3">
      <c r="A479" s="652" t="s">
        <v>930</v>
      </c>
      <c r="B479" s="652"/>
      <c r="C479" s="807" t="s">
        <v>1145</v>
      </c>
      <c r="D479" s="549">
        <v>60.34732653437689</v>
      </c>
      <c r="E479" s="550">
        <v>0</v>
      </c>
      <c r="F479" s="551">
        <v>0</v>
      </c>
      <c r="G479" s="560">
        <v>4.8277861227501511</v>
      </c>
      <c r="H479" s="566">
        <v>65.175112657127045</v>
      </c>
      <c r="I479" s="567">
        <v>0</v>
      </c>
      <c r="J479" s="560">
        <v>0</v>
      </c>
      <c r="K479" s="568">
        <v>49.279257912351433</v>
      </c>
      <c r="L479" s="560">
        <v>3.942340632988115</v>
      </c>
      <c r="M479" s="1057">
        <f t="shared" si="55"/>
        <v>49.279257912351433</v>
      </c>
      <c r="N479" s="1058">
        <f t="shared" si="55"/>
        <v>3.942340632988115</v>
      </c>
      <c r="O479" s="569">
        <v>6.3246106411574035</v>
      </c>
      <c r="P479" s="560">
        <v>0</v>
      </c>
      <c r="Q479" s="571">
        <v>124.721321843624</v>
      </c>
      <c r="R479" s="1075">
        <f t="shared" si="56"/>
        <v>124.721321843624</v>
      </c>
      <c r="S479" s="1075">
        <f t="shared" si="54"/>
        <v>0</v>
      </c>
    </row>
    <row r="480" spans="1:19" ht="15.75" hidden="1" x14ac:dyDescent="0.25">
      <c r="A480" s="690" t="s">
        <v>746</v>
      </c>
      <c r="B480" s="693" t="s">
        <v>429</v>
      </c>
      <c r="C480" s="806" t="s">
        <v>1147</v>
      </c>
      <c r="D480" s="549">
        <v>4.9608404483911857</v>
      </c>
      <c r="E480" s="550">
        <v>88.165158857796683</v>
      </c>
      <c r="F480" s="551">
        <v>0</v>
      </c>
      <c r="G480" s="560">
        <v>15.869728594403403</v>
      </c>
      <c r="H480" s="566">
        <v>108.99572790059126</v>
      </c>
      <c r="I480" s="567">
        <v>66.12386914334752</v>
      </c>
      <c r="J480" s="560">
        <v>11.90243424692612</v>
      </c>
      <c r="K480" s="568">
        <v>0</v>
      </c>
      <c r="L480" s="560">
        <v>0</v>
      </c>
      <c r="M480" s="1057">
        <f t="shared" si="55"/>
        <v>66.12386914334752</v>
      </c>
      <c r="N480" s="1058">
        <f t="shared" si="55"/>
        <v>11.90243424692612</v>
      </c>
      <c r="O480" s="569">
        <v>0</v>
      </c>
      <c r="P480" s="560">
        <v>0</v>
      </c>
      <c r="Q480" s="571">
        <v>187.0220312908649</v>
      </c>
      <c r="R480" s="1075">
        <f t="shared" si="56"/>
        <v>187.0220312908649</v>
      </c>
      <c r="S480" s="1075">
        <f t="shared" si="54"/>
        <v>0</v>
      </c>
    </row>
    <row r="481" spans="1:19" ht="15.75" hidden="1" x14ac:dyDescent="0.25">
      <c r="A481" s="639" t="s">
        <v>747</v>
      </c>
      <c r="B481" s="639"/>
      <c r="C481" s="724" t="s">
        <v>1147</v>
      </c>
      <c r="D481" s="549">
        <v>4.9608404483911857</v>
      </c>
      <c r="E481" s="550">
        <v>88.165158857796683</v>
      </c>
      <c r="F481" s="551">
        <v>0</v>
      </c>
      <c r="G481" s="560">
        <v>15.869728594403403</v>
      </c>
      <c r="H481" s="566">
        <v>108.99572790059126</v>
      </c>
      <c r="I481" s="567">
        <v>66.12386914334752</v>
      </c>
      <c r="J481" s="560">
        <v>11.90243424692612</v>
      </c>
      <c r="K481" s="568">
        <v>0</v>
      </c>
      <c r="L481" s="560">
        <v>0</v>
      </c>
      <c r="M481" s="1057">
        <f t="shared" si="55"/>
        <v>66.12386914334752</v>
      </c>
      <c r="N481" s="1058">
        <f t="shared" si="55"/>
        <v>11.90243424692612</v>
      </c>
      <c r="O481" s="569">
        <v>0</v>
      </c>
      <c r="P481" s="560">
        <v>0</v>
      </c>
      <c r="Q481" s="571">
        <v>187.0220312908649</v>
      </c>
      <c r="R481" s="1075">
        <f t="shared" si="56"/>
        <v>187.0220312908649</v>
      </c>
      <c r="S481" s="1075">
        <f t="shared" si="54"/>
        <v>0</v>
      </c>
    </row>
    <row r="482" spans="1:19" ht="15.75" hidden="1" x14ac:dyDescent="0.25">
      <c r="A482" s="639" t="s">
        <v>748</v>
      </c>
      <c r="B482" s="639"/>
      <c r="C482" s="724" t="s">
        <v>1147</v>
      </c>
      <c r="D482" s="549">
        <v>4.9608404483911857</v>
      </c>
      <c r="E482" s="550">
        <v>88.165158857796683</v>
      </c>
      <c r="F482" s="551">
        <v>0</v>
      </c>
      <c r="G482" s="560">
        <v>15.869728594403403</v>
      </c>
      <c r="H482" s="566">
        <v>108.99572790059126</v>
      </c>
      <c r="I482" s="567">
        <v>66.12386914334752</v>
      </c>
      <c r="J482" s="560">
        <v>11.90243424692612</v>
      </c>
      <c r="K482" s="568">
        <v>0</v>
      </c>
      <c r="L482" s="560">
        <v>0</v>
      </c>
      <c r="M482" s="1057">
        <f t="shared" si="55"/>
        <v>66.12386914334752</v>
      </c>
      <c r="N482" s="1058">
        <f t="shared" si="55"/>
        <v>11.90243424692612</v>
      </c>
      <c r="O482" s="569">
        <v>0</v>
      </c>
      <c r="P482" s="560">
        <v>0</v>
      </c>
      <c r="Q482" s="571">
        <v>187.0220312908649</v>
      </c>
      <c r="R482" s="1075">
        <f t="shared" si="56"/>
        <v>187.0220312908649</v>
      </c>
      <c r="S482" s="1075">
        <f t="shared" si="54"/>
        <v>0</v>
      </c>
    </row>
    <row r="483" spans="1:19" ht="16.5" hidden="1" thickBot="1" x14ac:dyDescent="0.3">
      <c r="A483" s="652" t="s">
        <v>749</v>
      </c>
      <c r="B483" s="652"/>
      <c r="C483" s="807" t="s">
        <v>1147</v>
      </c>
      <c r="D483" s="549">
        <v>4.9608404483911857</v>
      </c>
      <c r="E483" s="550">
        <v>88.165158857796683</v>
      </c>
      <c r="F483" s="551">
        <v>0</v>
      </c>
      <c r="G483" s="560">
        <v>15.869728594403403</v>
      </c>
      <c r="H483" s="566">
        <v>108.99572790059126</v>
      </c>
      <c r="I483" s="567">
        <v>66.12386914334752</v>
      </c>
      <c r="J483" s="560">
        <v>11.90243424692612</v>
      </c>
      <c r="K483" s="568">
        <v>0</v>
      </c>
      <c r="L483" s="560">
        <v>0</v>
      </c>
      <c r="M483" s="1057">
        <f t="shared" si="55"/>
        <v>66.12386914334752</v>
      </c>
      <c r="N483" s="1058">
        <f t="shared" si="55"/>
        <v>11.90243424692612</v>
      </c>
      <c r="O483" s="569">
        <v>0</v>
      </c>
      <c r="P483" s="560">
        <v>0</v>
      </c>
      <c r="Q483" s="571">
        <v>187.0220312908649</v>
      </c>
      <c r="R483" s="1075">
        <f t="shared" si="56"/>
        <v>187.0220312908649</v>
      </c>
      <c r="S483" s="1075">
        <f t="shared" si="54"/>
        <v>0</v>
      </c>
    </row>
    <row r="484" spans="1:19" ht="15.75" hidden="1" x14ac:dyDescent="0.25">
      <c r="A484" s="663" t="s">
        <v>165</v>
      </c>
      <c r="B484" s="1046"/>
      <c r="C484" s="802" t="s">
        <v>1149</v>
      </c>
      <c r="D484" s="549">
        <v>35.247053735538977</v>
      </c>
      <c r="E484" s="550">
        <v>205.33300897394312</v>
      </c>
      <c r="F484" s="551">
        <v>0</v>
      </c>
      <c r="G484" s="560">
        <v>0</v>
      </c>
      <c r="H484" s="566">
        <v>240.58006270948209</v>
      </c>
      <c r="I484" s="567">
        <v>0</v>
      </c>
      <c r="J484" s="560">
        <v>0</v>
      </c>
      <c r="K484" s="568">
        <v>230.57898151151477</v>
      </c>
      <c r="L484" s="560">
        <v>0</v>
      </c>
      <c r="M484" s="1057">
        <f t="shared" si="55"/>
        <v>230.57898151151477</v>
      </c>
      <c r="N484" s="1058">
        <f t="shared" si="55"/>
        <v>0</v>
      </c>
      <c r="O484" s="569">
        <v>0</v>
      </c>
      <c r="P484" s="560">
        <v>0</v>
      </c>
      <c r="Q484" s="571">
        <v>471.15904422099686</v>
      </c>
      <c r="R484" s="1075">
        <f t="shared" si="56"/>
        <v>471.15904422099686</v>
      </c>
      <c r="S484" s="1075">
        <f t="shared" si="54"/>
        <v>0</v>
      </c>
    </row>
    <row r="485" spans="1:19" ht="15.75" hidden="1" x14ac:dyDescent="0.25">
      <c r="A485" s="547" t="s">
        <v>166</v>
      </c>
      <c r="B485" s="1046" t="s">
        <v>429</v>
      </c>
      <c r="C485" s="802" t="s">
        <v>1149</v>
      </c>
      <c r="D485" s="549">
        <v>46.559087468915564</v>
      </c>
      <c r="E485" s="550">
        <v>173.11330954697806</v>
      </c>
      <c r="F485" s="551">
        <v>0</v>
      </c>
      <c r="G485" s="560">
        <v>0</v>
      </c>
      <c r="H485" s="566">
        <v>219.67239701589364</v>
      </c>
      <c r="I485" s="567">
        <v>0</v>
      </c>
      <c r="J485" s="560">
        <v>0</v>
      </c>
      <c r="K485" s="568">
        <v>332.88733917180235</v>
      </c>
      <c r="L485" s="560">
        <v>0</v>
      </c>
      <c r="M485" s="1057">
        <f t="shared" si="55"/>
        <v>332.88733917180235</v>
      </c>
      <c r="N485" s="1058">
        <f t="shared" si="55"/>
        <v>0</v>
      </c>
      <c r="O485" s="569">
        <v>0</v>
      </c>
      <c r="P485" s="560">
        <v>0</v>
      </c>
      <c r="Q485" s="571">
        <v>552.55973618769599</v>
      </c>
      <c r="R485" s="1075">
        <f t="shared" si="56"/>
        <v>552.55973618769599</v>
      </c>
      <c r="S485" s="1075">
        <f t="shared" si="54"/>
        <v>0</v>
      </c>
    </row>
    <row r="486" spans="1:19" ht="15.75" hidden="1" x14ac:dyDescent="0.25">
      <c r="A486" s="547" t="s">
        <v>167</v>
      </c>
      <c r="B486" s="1046" t="s">
        <v>429</v>
      </c>
      <c r="C486" s="802" t="s">
        <v>1149</v>
      </c>
      <c r="D486" s="549">
        <v>42.301870472483515</v>
      </c>
      <c r="E486" s="550">
        <v>173.49172883554979</v>
      </c>
      <c r="F486" s="551">
        <v>0</v>
      </c>
      <c r="G486" s="560">
        <v>0</v>
      </c>
      <c r="H486" s="566">
        <v>215.79359930803332</v>
      </c>
      <c r="I486" s="567">
        <v>0</v>
      </c>
      <c r="J486" s="560">
        <v>0</v>
      </c>
      <c r="K486" s="568">
        <v>169.55887122932208</v>
      </c>
      <c r="L486" s="560">
        <v>0</v>
      </c>
      <c r="M486" s="1057">
        <f t="shared" si="55"/>
        <v>169.55887122932208</v>
      </c>
      <c r="N486" s="1058">
        <f t="shared" si="55"/>
        <v>0</v>
      </c>
      <c r="O486" s="569">
        <v>0</v>
      </c>
      <c r="P486" s="560">
        <v>0</v>
      </c>
      <c r="Q486" s="571">
        <v>385.35247053735543</v>
      </c>
      <c r="R486" s="1075">
        <f t="shared" si="56"/>
        <v>385.35247053735543</v>
      </c>
      <c r="S486" s="1075">
        <f t="shared" si="54"/>
        <v>0</v>
      </c>
    </row>
    <row r="487" spans="1:19" ht="15.75" hidden="1" x14ac:dyDescent="0.25">
      <c r="A487" s="547" t="s">
        <v>168</v>
      </c>
      <c r="B487" s="1046"/>
      <c r="C487" s="802" t="s">
        <v>1149</v>
      </c>
      <c r="D487" s="549">
        <v>43.031679100443291</v>
      </c>
      <c r="E487" s="550">
        <v>238.13385230835763</v>
      </c>
      <c r="F487" s="551">
        <v>0</v>
      </c>
      <c r="G487" s="560">
        <v>0</v>
      </c>
      <c r="H487" s="566">
        <v>281.16553140880092</v>
      </c>
      <c r="I487" s="567">
        <v>0</v>
      </c>
      <c r="J487" s="560">
        <v>0</v>
      </c>
      <c r="K487" s="568">
        <v>291.50448697156446</v>
      </c>
      <c r="L487" s="560">
        <v>0</v>
      </c>
      <c r="M487" s="1057">
        <f t="shared" si="55"/>
        <v>291.50448697156446</v>
      </c>
      <c r="N487" s="1058">
        <f t="shared" si="55"/>
        <v>0</v>
      </c>
      <c r="O487" s="569">
        <v>0</v>
      </c>
      <c r="P487" s="560">
        <v>0</v>
      </c>
      <c r="Q487" s="571">
        <v>572.67001838036538</v>
      </c>
      <c r="R487" s="1075">
        <f t="shared" si="56"/>
        <v>572.67001838036538</v>
      </c>
      <c r="S487" s="1075">
        <f t="shared" si="54"/>
        <v>0</v>
      </c>
    </row>
    <row r="488" spans="1:19" ht="16.5" hidden="1" thickBot="1" x14ac:dyDescent="0.3">
      <c r="A488" s="547" t="s">
        <v>169</v>
      </c>
      <c r="B488" s="1046"/>
      <c r="C488" s="802" t="s">
        <v>1149</v>
      </c>
      <c r="D488" s="549">
        <v>32.530543842577572</v>
      </c>
      <c r="E488" s="550">
        <v>182.18185749810792</v>
      </c>
      <c r="F488" s="551">
        <v>0</v>
      </c>
      <c r="G488" s="560">
        <v>0</v>
      </c>
      <c r="H488" s="566">
        <v>214.71240134068549</v>
      </c>
      <c r="I488" s="567">
        <v>0</v>
      </c>
      <c r="J488" s="560">
        <v>0</v>
      </c>
      <c r="K488" s="568">
        <v>301.15417883014379</v>
      </c>
      <c r="L488" s="560">
        <v>0</v>
      </c>
      <c r="M488" s="1057">
        <f t="shared" si="55"/>
        <v>301.15417883014379</v>
      </c>
      <c r="N488" s="1058">
        <f t="shared" si="55"/>
        <v>0</v>
      </c>
      <c r="O488" s="569">
        <v>0</v>
      </c>
      <c r="P488" s="560">
        <v>0</v>
      </c>
      <c r="Q488" s="571">
        <v>515.86658017082925</v>
      </c>
      <c r="R488" s="1075">
        <f t="shared" si="56"/>
        <v>515.86658017082925</v>
      </c>
      <c r="S488" s="1075">
        <f t="shared" si="54"/>
        <v>0</v>
      </c>
    </row>
    <row r="489" spans="1:19" ht="15.75" hidden="1" x14ac:dyDescent="0.25">
      <c r="A489" s="638" t="s">
        <v>170</v>
      </c>
      <c r="B489" s="693"/>
      <c r="C489" s="806" t="s">
        <v>1151</v>
      </c>
      <c r="D489" s="549" t="s">
        <v>5</v>
      </c>
      <c r="E489" s="550">
        <v>178.85</v>
      </c>
      <c r="F489" s="551" t="s">
        <v>5</v>
      </c>
      <c r="G489" s="560" t="s">
        <v>5</v>
      </c>
      <c r="H489" s="566">
        <v>178.85</v>
      </c>
      <c r="I489" s="567" t="s">
        <v>5</v>
      </c>
      <c r="J489" s="560" t="s">
        <v>5</v>
      </c>
      <c r="K489" s="568">
        <v>284.37</v>
      </c>
      <c r="L489" s="560" t="s">
        <v>5</v>
      </c>
      <c r="M489" s="1057">
        <f t="shared" ref="M489:M495" si="57">K489</f>
        <v>284.37</v>
      </c>
      <c r="N489" s="1077" t="s">
        <v>5</v>
      </c>
      <c r="O489" s="569" t="s">
        <v>5</v>
      </c>
      <c r="P489" s="560" t="s">
        <v>5</v>
      </c>
      <c r="Q489" s="571">
        <v>463.22</v>
      </c>
      <c r="R489" s="1075">
        <f>H489+K489</f>
        <v>463.22</v>
      </c>
      <c r="S489" s="1075">
        <f t="shared" si="54"/>
        <v>0</v>
      </c>
    </row>
    <row r="490" spans="1:19" ht="15.75" hidden="1" x14ac:dyDescent="0.25">
      <c r="A490" s="639" t="s">
        <v>171</v>
      </c>
      <c r="B490" s="639" t="s">
        <v>429</v>
      </c>
      <c r="C490" s="724" t="s">
        <v>1151</v>
      </c>
      <c r="D490" s="549">
        <v>121.92</v>
      </c>
      <c r="E490" s="550">
        <v>119.72</v>
      </c>
      <c r="F490" s="551">
        <v>23.66</v>
      </c>
      <c r="G490" s="560" t="s">
        <v>5</v>
      </c>
      <c r="H490" s="566">
        <v>265.3</v>
      </c>
      <c r="I490" s="567" t="s">
        <v>5</v>
      </c>
      <c r="J490" s="560" t="s">
        <v>5</v>
      </c>
      <c r="K490" s="568">
        <v>294.17</v>
      </c>
      <c r="L490" s="560" t="s">
        <v>5</v>
      </c>
      <c r="M490" s="1057">
        <f t="shared" si="57"/>
        <v>294.17</v>
      </c>
      <c r="N490" s="1077" t="s">
        <v>5</v>
      </c>
      <c r="O490" s="569">
        <v>334.2</v>
      </c>
      <c r="P490" s="560" t="s">
        <v>5</v>
      </c>
      <c r="Q490" s="571">
        <v>893.67000000000007</v>
      </c>
      <c r="R490" s="1075">
        <f>H490+K490+O490</f>
        <v>893.67000000000007</v>
      </c>
      <c r="S490" s="1075">
        <f t="shared" si="54"/>
        <v>0</v>
      </c>
    </row>
    <row r="491" spans="1:19" ht="15.75" hidden="1" x14ac:dyDescent="0.25">
      <c r="A491" s="639" t="s">
        <v>172</v>
      </c>
      <c r="B491" s="639"/>
      <c r="C491" s="724" t="s">
        <v>1151</v>
      </c>
      <c r="D491" s="549" t="s">
        <v>5</v>
      </c>
      <c r="E491" s="550">
        <v>204.17</v>
      </c>
      <c r="F491" s="551" t="s">
        <v>5</v>
      </c>
      <c r="G491" s="560" t="s">
        <v>5</v>
      </c>
      <c r="H491" s="566">
        <v>204.17</v>
      </c>
      <c r="I491" s="567" t="s">
        <v>5</v>
      </c>
      <c r="J491" s="560" t="s">
        <v>5</v>
      </c>
      <c r="K491" s="568">
        <v>166.12</v>
      </c>
      <c r="L491" s="560" t="s">
        <v>5</v>
      </c>
      <c r="M491" s="1057">
        <f t="shared" si="57"/>
        <v>166.12</v>
      </c>
      <c r="N491" s="1077" t="s">
        <v>5</v>
      </c>
      <c r="O491" s="569" t="s">
        <v>5</v>
      </c>
      <c r="P491" s="560" t="s">
        <v>5</v>
      </c>
      <c r="Q491" s="571">
        <v>370.28999999999996</v>
      </c>
      <c r="R491" s="1075">
        <f>H491+K491</f>
        <v>370.28999999999996</v>
      </c>
      <c r="S491" s="1075">
        <f t="shared" ref="S491:S495" si="58">Q491-R491</f>
        <v>0</v>
      </c>
    </row>
    <row r="492" spans="1:19" ht="15.75" hidden="1" x14ac:dyDescent="0.25">
      <c r="A492" s="639" t="s">
        <v>173</v>
      </c>
      <c r="B492" s="639"/>
      <c r="C492" s="724" t="s">
        <v>1151</v>
      </c>
      <c r="D492" s="549" t="s">
        <v>5</v>
      </c>
      <c r="E492" s="550">
        <v>102.55</v>
      </c>
      <c r="F492" s="551" t="s">
        <v>5</v>
      </c>
      <c r="G492" s="560" t="s">
        <v>5</v>
      </c>
      <c r="H492" s="566">
        <v>102.55</v>
      </c>
      <c r="I492" s="567" t="s">
        <v>5</v>
      </c>
      <c r="J492" s="560" t="s">
        <v>5</v>
      </c>
      <c r="K492" s="568">
        <v>102.55</v>
      </c>
      <c r="L492" s="560" t="s">
        <v>5</v>
      </c>
      <c r="M492" s="1057">
        <f t="shared" si="57"/>
        <v>102.55</v>
      </c>
      <c r="N492" s="1077" t="s">
        <v>5</v>
      </c>
      <c r="O492" s="569" t="s">
        <v>5</v>
      </c>
      <c r="P492" s="560" t="s">
        <v>5</v>
      </c>
      <c r="Q492" s="571">
        <v>205.1</v>
      </c>
      <c r="R492" s="1075">
        <f>H492+K492</f>
        <v>205.1</v>
      </c>
      <c r="S492" s="1075">
        <f t="shared" si="58"/>
        <v>0</v>
      </c>
    </row>
    <row r="493" spans="1:19" ht="15.75" hidden="1" x14ac:dyDescent="0.25">
      <c r="A493" s="639" t="s">
        <v>174</v>
      </c>
      <c r="B493" s="639"/>
      <c r="C493" s="724" t="s">
        <v>1151</v>
      </c>
      <c r="D493" s="549">
        <v>142.32</v>
      </c>
      <c r="E493" s="550">
        <v>67.36</v>
      </c>
      <c r="F493" s="551" t="s">
        <v>5</v>
      </c>
      <c r="G493" s="560" t="s">
        <v>5</v>
      </c>
      <c r="H493" s="566">
        <v>209.68</v>
      </c>
      <c r="I493" s="567" t="s">
        <v>5</v>
      </c>
      <c r="J493" s="560" t="s">
        <v>5</v>
      </c>
      <c r="K493" s="568">
        <v>252.36</v>
      </c>
      <c r="L493" s="560" t="s">
        <v>5</v>
      </c>
      <c r="M493" s="1057">
        <f t="shared" si="57"/>
        <v>252.36</v>
      </c>
      <c r="N493" s="1077" t="s">
        <v>5</v>
      </c>
      <c r="O493" s="569">
        <v>16.670000000000002</v>
      </c>
      <c r="P493" s="560" t="s">
        <v>5</v>
      </c>
      <c r="Q493" s="571">
        <v>478.71000000000004</v>
      </c>
      <c r="R493" s="1075">
        <f>H493+K493+O493</f>
        <v>478.71000000000004</v>
      </c>
      <c r="S493" s="1075">
        <f t="shared" si="58"/>
        <v>0</v>
      </c>
    </row>
    <row r="494" spans="1:19" ht="15.75" hidden="1" x14ac:dyDescent="0.25">
      <c r="A494" s="639" t="s">
        <v>175</v>
      </c>
      <c r="B494" s="639"/>
      <c r="C494" s="724" t="s">
        <v>1151</v>
      </c>
      <c r="D494" s="549">
        <v>38.4</v>
      </c>
      <c r="E494" s="550">
        <v>13.07</v>
      </c>
      <c r="F494" s="551" t="s">
        <v>5</v>
      </c>
      <c r="G494" s="560" t="s">
        <v>5</v>
      </c>
      <c r="H494" s="566">
        <v>51.47</v>
      </c>
      <c r="I494" s="567" t="s">
        <v>5</v>
      </c>
      <c r="J494" s="560" t="s">
        <v>5</v>
      </c>
      <c r="K494" s="568">
        <v>87.73</v>
      </c>
      <c r="L494" s="560" t="s">
        <v>5</v>
      </c>
      <c r="M494" s="1057">
        <f t="shared" si="57"/>
        <v>87.73</v>
      </c>
      <c r="N494" s="1077" t="s">
        <v>5</v>
      </c>
      <c r="O494" s="569" t="s">
        <v>5</v>
      </c>
      <c r="P494" s="560" t="s">
        <v>5</v>
      </c>
      <c r="Q494" s="571">
        <v>139.19999999999999</v>
      </c>
      <c r="R494" s="1075">
        <f>H494+K494</f>
        <v>139.19999999999999</v>
      </c>
      <c r="S494" s="1075">
        <f t="shared" si="58"/>
        <v>0</v>
      </c>
    </row>
    <row r="495" spans="1:19" ht="16.5" hidden="1" thickBot="1" x14ac:dyDescent="0.3">
      <c r="A495" s="714" t="s">
        <v>212</v>
      </c>
      <c r="B495" s="1053"/>
      <c r="C495" s="807" t="s">
        <v>1151</v>
      </c>
      <c r="D495" s="716">
        <v>48</v>
      </c>
      <c r="E495" s="717">
        <v>124.66</v>
      </c>
      <c r="F495" s="718" t="s">
        <v>5</v>
      </c>
      <c r="G495" s="560" t="s">
        <v>5</v>
      </c>
      <c r="H495" s="566">
        <v>172.66</v>
      </c>
      <c r="I495" s="567" t="s">
        <v>5</v>
      </c>
      <c r="J495" s="560" t="s">
        <v>5</v>
      </c>
      <c r="K495" s="720">
        <v>182.97</v>
      </c>
      <c r="L495" s="560" t="s">
        <v>5</v>
      </c>
      <c r="M495" s="1057">
        <f t="shared" si="57"/>
        <v>182.97</v>
      </c>
      <c r="N495" s="1077" t="s">
        <v>5</v>
      </c>
      <c r="O495" s="721">
        <v>12.36</v>
      </c>
      <c r="P495" s="719" t="s">
        <v>5</v>
      </c>
      <c r="Q495" s="571">
        <v>367.99</v>
      </c>
      <c r="R495" s="1075">
        <f>H495+K495+O495</f>
        <v>367.99</v>
      </c>
      <c r="S495" s="1075">
        <f t="shared" si="58"/>
        <v>0</v>
      </c>
    </row>
    <row r="496" spans="1:19" hidden="1" x14ac:dyDescent="0.25"/>
    <row r="499" spans="1:8" ht="63.75" thickBot="1" x14ac:dyDescent="0.3">
      <c r="A499" s="250" t="s">
        <v>58</v>
      </c>
      <c r="B499" s="799" t="s">
        <v>1022</v>
      </c>
      <c r="C499" s="1061" t="s">
        <v>1294</v>
      </c>
      <c r="D499" s="1062" t="s">
        <v>1295</v>
      </c>
      <c r="E499" s="1063" t="s">
        <v>1194</v>
      </c>
      <c r="F499" s="1064" t="s">
        <v>1195</v>
      </c>
      <c r="G499" s="1065" t="s">
        <v>1196</v>
      </c>
      <c r="H499" s="618" t="s">
        <v>1203</v>
      </c>
    </row>
    <row r="500" spans="1:8" ht="15.75" x14ac:dyDescent="0.25">
      <c r="A500" s="796" t="s">
        <v>108</v>
      </c>
      <c r="B500" s="805" t="s">
        <v>1074</v>
      </c>
      <c r="C500" s="625">
        <v>0.36013973421687612</v>
      </c>
      <c r="D500" s="550">
        <v>17.022604770651011</v>
      </c>
      <c r="E500" s="551">
        <v>0.48018631228916819</v>
      </c>
      <c r="F500" s="560">
        <v>1.7886940132771514</v>
      </c>
      <c r="G500" s="566">
        <v>19.651624830434205</v>
      </c>
      <c r="H500" s="205">
        <f t="shared" ref="H500:H508" si="59">C500+D500+E500+F500</f>
        <v>19.651624830434205</v>
      </c>
    </row>
    <row r="501" spans="1:8" ht="15.75" x14ac:dyDescent="0.25">
      <c r="A501" s="1090" t="s">
        <v>79</v>
      </c>
      <c r="B501" s="805" t="s">
        <v>1044</v>
      </c>
      <c r="C501" s="625">
        <v>29.530465597007581</v>
      </c>
      <c r="D501" s="593">
        <v>0</v>
      </c>
      <c r="E501" s="594">
        <v>0</v>
      </c>
      <c r="F501" s="595">
        <v>0</v>
      </c>
      <c r="G501" s="566">
        <v>29.530465597007581</v>
      </c>
      <c r="H501" s="205">
        <f t="shared" si="59"/>
        <v>29.530465597007581</v>
      </c>
    </row>
    <row r="502" spans="1:8" ht="15.75" x14ac:dyDescent="0.25">
      <c r="A502" s="1090" t="s">
        <v>468</v>
      </c>
      <c r="B502" s="805" t="s">
        <v>1044</v>
      </c>
      <c r="C502" s="625">
        <v>30.453292646914065</v>
      </c>
      <c r="D502" s="593">
        <v>0</v>
      </c>
      <c r="E502" s="594">
        <v>0</v>
      </c>
      <c r="F502" s="595">
        <v>0</v>
      </c>
      <c r="G502" s="566">
        <v>30.453292646914065</v>
      </c>
      <c r="H502" s="205">
        <f t="shared" si="59"/>
        <v>30.453292646914065</v>
      </c>
    </row>
    <row r="503" spans="1:8" ht="15.75" x14ac:dyDescent="0.25">
      <c r="A503" s="781" t="s">
        <v>526</v>
      </c>
      <c r="B503" s="1083" t="s">
        <v>1026</v>
      </c>
      <c r="C503" s="625">
        <v>26.392844595536175</v>
      </c>
      <c r="D503" s="593">
        <v>0</v>
      </c>
      <c r="E503" s="594">
        <v>0</v>
      </c>
      <c r="F503" s="595">
        <v>5.2785689191072356</v>
      </c>
      <c r="G503" s="566">
        <v>31.671413514643412</v>
      </c>
      <c r="H503" s="205">
        <f t="shared" si="59"/>
        <v>31.671413514643412</v>
      </c>
    </row>
    <row r="504" spans="1:8" ht="15.75" x14ac:dyDescent="0.25">
      <c r="A504" s="1090" t="s">
        <v>78</v>
      </c>
      <c r="B504" s="805" t="s">
        <v>1044</v>
      </c>
      <c r="C504" s="625">
        <v>31.837533221773793</v>
      </c>
      <c r="D504" s="593">
        <v>0</v>
      </c>
      <c r="E504" s="594">
        <v>0</v>
      </c>
      <c r="F504" s="595">
        <v>0</v>
      </c>
      <c r="G504" s="566">
        <v>31.837533221773793</v>
      </c>
      <c r="H504" s="205">
        <f t="shared" si="59"/>
        <v>31.837533221773793</v>
      </c>
    </row>
    <row r="505" spans="1:8" ht="15.75" x14ac:dyDescent="0.25">
      <c r="A505" s="1090" t="s">
        <v>84</v>
      </c>
      <c r="B505" s="805" t="s">
        <v>1046</v>
      </c>
      <c r="C505" s="625">
        <v>0</v>
      </c>
      <c r="D505" s="593">
        <v>33.546712337709714</v>
      </c>
      <c r="E505" s="594">
        <v>0</v>
      </c>
      <c r="F505" s="595">
        <v>0</v>
      </c>
      <c r="G505" s="566">
        <v>33.546712337709714</v>
      </c>
      <c r="H505" s="205">
        <f t="shared" si="59"/>
        <v>33.546712337709714</v>
      </c>
    </row>
    <row r="506" spans="1:8" ht="15.75" x14ac:dyDescent="0.25">
      <c r="A506" s="1090" t="s">
        <v>81</v>
      </c>
      <c r="B506" s="805" t="s">
        <v>1044</v>
      </c>
      <c r="C506" s="625">
        <v>41.065803720838666</v>
      </c>
      <c r="D506" s="593">
        <v>0</v>
      </c>
      <c r="E506" s="594">
        <v>0</v>
      </c>
      <c r="F506" s="595">
        <v>0</v>
      </c>
      <c r="G506" s="566">
        <v>41.065803720838666</v>
      </c>
      <c r="H506" s="205">
        <f t="shared" si="59"/>
        <v>41.065803720838666</v>
      </c>
    </row>
    <row r="507" spans="1:8" ht="15.75" x14ac:dyDescent="0.25">
      <c r="A507" s="762" t="s">
        <v>148</v>
      </c>
      <c r="B507" s="805" t="s">
        <v>1131</v>
      </c>
      <c r="C507" s="625">
        <v>0</v>
      </c>
      <c r="D507" s="550">
        <v>49.663800252813957</v>
      </c>
      <c r="E507" s="551">
        <v>0</v>
      </c>
      <c r="F507" s="560">
        <v>0</v>
      </c>
      <c r="G507" s="566">
        <v>49.663800252813957</v>
      </c>
      <c r="H507" s="205">
        <f t="shared" si="59"/>
        <v>49.663800252813957</v>
      </c>
    </row>
    <row r="508" spans="1:8" ht="15.75" x14ac:dyDescent="0.25">
      <c r="A508" s="1087" t="s">
        <v>1307</v>
      </c>
      <c r="B508" s="805" t="s">
        <v>1120</v>
      </c>
      <c r="C508" s="625">
        <v>0</v>
      </c>
      <c r="D508" s="550">
        <v>48.288693485348411</v>
      </c>
      <c r="E508" s="551">
        <v>2.0134753574048943</v>
      </c>
      <c r="F508" s="560">
        <v>0</v>
      </c>
      <c r="G508" s="566">
        <v>50.302168842753304</v>
      </c>
      <c r="H508" s="205">
        <f t="shared" si="59"/>
        <v>50.302168842753304</v>
      </c>
    </row>
    <row r="509" spans="1:8" ht="15.75" x14ac:dyDescent="0.25">
      <c r="A509" s="1087" t="s">
        <v>175</v>
      </c>
      <c r="B509" s="805" t="s">
        <v>1151</v>
      </c>
      <c r="C509" s="625">
        <v>38.4</v>
      </c>
      <c r="D509" s="550">
        <v>13.07</v>
      </c>
      <c r="E509" s="551" t="s">
        <v>5</v>
      </c>
      <c r="F509" s="560" t="s">
        <v>5</v>
      </c>
      <c r="G509" s="566">
        <v>51.47</v>
      </c>
      <c r="H509" s="205">
        <f>C509+D509</f>
        <v>51.47</v>
      </c>
    </row>
    <row r="510" spans="1:8" ht="15.75" x14ac:dyDescent="0.25">
      <c r="A510" s="1090" t="s">
        <v>82</v>
      </c>
      <c r="B510" s="805" t="s">
        <v>1048</v>
      </c>
      <c r="C510" s="625">
        <v>27.510121600805885</v>
      </c>
      <c r="D510" s="593">
        <v>23.869076094816872</v>
      </c>
      <c r="E510" s="594">
        <v>1.6890405541671261</v>
      </c>
      <c r="F510" s="595">
        <v>0</v>
      </c>
      <c r="G510" s="566">
        <v>53.068238249789886</v>
      </c>
      <c r="H510" s="205">
        <f t="shared" ref="H510:H552" si="60">C510+D510+E510+F510</f>
        <v>53.068238249789886</v>
      </c>
    </row>
    <row r="511" spans="1:8" ht="15.75" x14ac:dyDescent="0.25">
      <c r="A511" s="1090" t="s">
        <v>83</v>
      </c>
      <c r="B511" s="805" t="s">
        <v>1048</v>
      </c>
      <c r="C511" s="625">
        <v>14.442813840423089</v>
      </c>
      <c r="D511" s="593">
        <v>36.986953931671735</v>
      </c>
      <c r="E511" s="594">
        <v>1.6890405541671261</v>
      </c>
      <c r="F511" s="595">
        <v>0</v>
      </c>
      <c r="G511" s="566">
        <v>53.118808326261949</v>
      </c>
      <c r="H511" s="205">
        <f t="shared" si="60"/>
        <v>53.118808326261949</v>
      </c>
    </row>
    <row r="512" spans="1:8" ht="15.75" x14ac:dyDescent="0.25">
      <c r="A512" s="502" t="s">
        <v>887</v>
      </c>
      <c r="B512" s="804" t="s">
        <v>1120</v>
      </c>
      <c r="C512" s="625">
        <v>0</v>
      </c>
      <c r="D512" s="550">
        <v>53.357096971229694</v>
      </c>
      <c r="E512" s="551">
        <v>0</v>
      </c>
      <c r="F512" s="560">
        <v>0</v>
      </c>
      <c r="G512" s="566">
        <v>53.357096971229694</v>
      </c>
      <c r="H512" s="205">
        <f t="shared" si="60"/>
        <v>53.357096971229694</v>
      </c>
    </row>
    <row r="513" spans="1:8" ht="15.75" x14ac:dyDescent="0.25">
      <c r="A513" s="1087" t="s">
        <v>143</v>
      </c>
      <c r="B513" s="805" t="s">
        <v>1131</v>
      </c>
      <c r="C513" s="625">
        <v>0</v>
      </c>
      <c r="D513" s="550">
        <v>53.618909463360751</v>
      </c>
      <c r="E513" s="551">
        <v>0</v>
      </c>
      <c r="F513" s="560">
        <v>0</v>
      </c>
      <c r="G513" s="566">
        <v>53.618909463360751</v>
      </c>
      <c r="H513" s="205">
        <f t="shared" si="60"/>
        <v>53.618909463360751</v>
      </c>
    </row>
    <row r="514" spans="1:8" ht="15.75" x14ac:dyDescent="0.25">
      <c r="A514" s="1086" t="s">
        <v>621</v>
      </c>
      <c r="B514" s="1083" t="s">
        <v>1092</v>
      </c>
      <c r="C514" s="625">
        <v>57.446721978200749</v>
      </c>
      <c r="D514" s="550">
        <v>0</v>
      </c>
      <c r="E514" s="551">
        <v>0</v>
      </c>
      <c r="F514" s="560">
        <v>0</v>
      </c>
      <c r="G514" s="566">
        <v>57.446721978200749</v>
      </c>
      <c r="H514" s="205">
        <f t="shared" si="60"/>
        <v>57.446721978200749</v>
      </c>
    </row>
    <row r="515" spans="1:8" ht="15.75" x14ac:dyDescent="0.25">
      <c r="A515" s="479" t="s">
        <v>147</v>
      </c>
      <c r="B515" s="805" t="s">
        <v>1131</v>
      </c>
      <c r="C515" s="625">
        <v>0</v>
      </c>
      <c r="D515" s="550">
        <v>58.333174707211562</v>
      </c>
      <c r="E515" s="551">
        <v>0</v>
      </c>
      <c r="F515" s="560">
        <v>0</v>
      </c>
      <c r="G515" s="566">
        <v>58.333174707211562</v>
      </c>
      <c r="H515" s="205">
        <f t="shared" si="60"/>
        <v>58.333174707211562</v>
      </c>
    </row>
    <row r="516" spans="1:8" ht="15.75" x14ac:dyDescent="0.25">
      <c r="A516" s="479" t="s">
        <v>110</v>
      </c>
      <c r="B516" s="805" t="s">
        <v>1074</v>
      </c>
      <c r="C516" s="625">
        <v>22.028547076265593</v>
      </c>
      <c r="D516" s="550">
        <v>30.97201714265135</v>
      </c>
      <c r="E516" s="551">
        <v>0.48018631228916819</v>
      </c>
      <c r="F516" s="560">
        <v>5.3420727242169965</v>
      </c>
      <c r="G516" s="566">
        <v>58.82282325542311</v>
      </c>
      <c r="H516" s="205">
        <f t="shared" si="60"/>
        <v>58.82282325542311</v>
      </c>
    </row>
    <row r="517" spans="1:8" ht="15.75" x14ac:dyDescent="0.25">
      <c r="A517" s="1086" t="s">
        <v>623</v>
      </c>
      <c r="B517" s="1083" t="s">
        <v>1092</v>
      </c>
      <c r="C517" s="625">
        <v>61.005368472425573</v>
      </c>
      <c r="D517" s="550">
        <v>0</v>
      </c>
      <c r="E517" s="551">
        <v>0</v>
      </c>
      <c r="F517" s="560">
        <v>0</v>
      </c>
      <c r="G517" s="566">
        <v>61.005368472425573</v>
      </c>
      <c r="H517" s="205">
        <f t="shared" si="60"/>
        <v>61.005368472425573</v>
      </c>
    </row>
    <row r="518" spans="1:8" ht="15.75" x14ac:dyDescent="0.25">
      <c r="A518" s="1085" t="s">
        <v>80</v>
      </c>
      <c r="B518" s="805" t="s">
        <v>1044</v>
      </c>
      <c r="C518" s="625">
        <v>40.142976670932178</v>
      </c>
      <c r="D518" s="593">
        <v>0</v>
      </c>
      <c r="E518" s="594">
        <v>21.378826656166947</v>
      </c>
      <c r="F518" s="595">
        <v>0</v>
      </c>
      <c r="G518" s="566">
        <v>61.521803327099121</v>
      </c>
      <c r="H518" s="205">
        <f t="shared" si="60"/>
        <v>61.521803327099121</v>
      </c>
    </row>
    <row r="519" spans="1:8" ht="15.75" x14ac:dyDescent="0.25">
      <c r="A519" s="479" t="s">
        <v>146</v>
      </c>
      <c r="B519" s="805" t="s">
        <v>1131</v>
      </c>
      <c r="C519" s="625">
        <v>0</v>
      </c>
      <c r="D519" s="550">
        <v>62.934972390572881</v>
      </c>
      <c r="E519" s="551">
        <v>0</v>
      </c>
      <c r="F519" s="560">
        <v>0</v>
      </c>
      <c r="G519" s="566">
        <v>62.934972390572881</v>
      </c>
      <c r="H519" s="205">
        <f t="shared" si="60"/>
        <v>62.934972390572881</v>
      </c>
    </row>
    <row r="520" spans="1:8" ht="15.75" x14ac:dyDescent="0.25">
      <c r="A520" s="479" t="s">
        <v>150</v>
      </c>
      <c r="B520" s="805" t="s">
        <v>1131</v>
      </c>
      <c r="C520" s="625">
        <v>0</v>
      </c>
      <c r="D520" s="550">
        <v>64.462656753888353</v>
      </c>
      <c r="E520" s="551">
        <v>0</v>
      </c>
      <c r="F520" s="560">
        <v>0</v>
      </c>
      <c r="G520" s="566">
        <v>64.462656753888353</v>
      </c>
      <c r="H520" s="205">
        <f t="shared" si="60"/>
        <v>64.462656753888353</v>
      </c>
    </row>
    <row r="521" spans="1:8" ht="15.75" x14ac:dyDescent="0.25">
      <c r="A521" s="479" t="s">
        <v>145</v>
      </c>
      <c r="B521" s="805" t="s">
        <v>1131</v>
      </c>
      <c r="C521" s="625">
        <v>0</v>
      </c>
      <c r="D521" s="550">
        <v>64.603241204500208</v>
      </c>
      <c r="E521" s="551">
        <v>0</v>
      </c>
      <c r="F521" s="560">
        <v>0</v>
      </c>
      <c r="G521" s="566">
        <v>64.603241204500208</v>
      </c>
      <c r="H521" s="205">
        <f t="shared" si="60"/>
        <v>64.603241204500208</v>
      </c>
    </row>
    <row r="522" spans="1:8" ht="15.75" x14ac:dyDescent="0.25">
      <c r="A522" s="479" t="s">
        <v>930</v>
      </c>
      <c r="B522" s="805" t="s">
        <v>1145</v>
      </c>
      <c r="C522" s="625">
        <v>60.34732653437689</v>
      </c>
      <c r="D522" s="550">
        <v>0</v>
      </c>
      <c r="E522" s="551">
        <v>0</v>
      </c>
      <c r="F522" s="560">
        <v>4.8277861227501511</v>
      </c>
      <c r="G522" s="566">
        <v>65.175112657127045</v>
      </c>
      <c r="H522" s="205">
        <f t="shared" si="60"/>
        <v>65.175112657127045</v>
      </c>
    </row>
    <row r="523" spans="1:8" ht="15.75" x14ac:dyDescent="0.25">
      <c r="A523" s="1086" t="s">
        <v>620</v>
      </c>
      <c r="B523" s="1083" t="s">
        <v>1092</v>
      </c>
      <c r="C523" s="625">
        <v>70.664551813892956</v>
      </c>
      <c r="D523" s="550">
        <v>0</v>
      </c>
      <c r="E523" s="551">
        <v>0</v>
      </c>
      <c r="F523" s="560">
        <v>0</v>
      </c>
      <c r="G523" s="566">
        <v>70.664551813892956</v>
      </c>
      <c r="H523" s="205">
        <f t="shared" si="60"/>
        <v>70.664551813892956</v>
      </c>
    </row>
    <row r="524" spans="1:8" ht="15.75" x14ac:dyDescent="0.25">
      <c r="A524" s="479" t="s">
        <v>111</v>
      </c>
      <c r="B524" s="805" t="s">
        <v>1074</v>
      </c>
      <c r="C524" s="625">
        <v>10.372024345446034</v>
      </c>
      <c r="D524" s="550">
        <v>54.249048630868771</v>
      </c>
      <c r="E524" s="551">
        <v>0.48018631228916819</v>
      </c>
      <c r="F524" s="560">
        <v>6.5065245315182292</v>
      </c>
      <c r="G524" s="566">
        <v>71.607783820122194</v>
      </c>
      <c r="H524" s="205">
        <f t="shared" si="60"/>
        <v>71.607783820122194</v>
      </c>
    </row>
    <row r="525" spans="1:8" ht="15.75" x14ac:dyDescent="0.25">
      <c r="A525" s="479" t="s">
        <v>144</v>
      </c>
      <c r="B525" s="805" t="s">
        <v>1131</v>
      </c>
      <c r="C525" s="625">
        <v>0</v>
      </c>
      <c r="D525" s="550">
        <v>72.194801537540272</v>
      </c>
      <c r="E525" s="551">
        <v>0</v>
      </c>
      <c r="F525" s="560">
        <v>0</v>
      </c>
      <c r="G525" s="566">
        <v>72.194801537540272</v>
      </c>
      <c r="H525" s="205">
        <f t="shared" si="60"/>
        <v>72.194801537540272</v>
      </c>
    </row>
    <row r="526" spans="1:8" ht="15.75" x14ac:dyDescent="0.25">
      <c r="A526" s="791" t="s">
        <v>869</v>
      </c>
      <c r="B526" s="804" t="s">
        <v>1118</v>
      </c>
      <c r="C526" s="625">
        <v>0</v>
      </c>
      <c r="D526" s="550">
        <v>67.664220806619255</v>
      </c>
      <c r="E526" s="551">
        <v>0</v>
      </c>
      <c r="F526" s="560">
        <v>6.0897798725957344</v>
      </c>
      <c r="G526" s="566">
        <v>73.754000679214982</v>
      </c>
      <c r="H526" s="205">
        <f t="shared" si="60"/>
        <v>73.754000679214982</v>
      </c>
    </row>
    <row r="527" spans="1:8" ht="15.75" x14ac:dyDescent="0.25">
      <c r="A527" s="479" t="s">
        <v>112</v>
      </c>
      <c r="B527" s="805" t="s">
        <v>1076</v>
      </c>
      <c r="C527" s="625">
        <v>66.571407420741423</v>
      </c>
      <c r="D527" s="550">
        <v>2.1302850374637252</v>
      </c>
      <c r="E527" s="551">
        <v>0</v>
      </c>
      <c r="F527" s="560">
        <v>5.414474470220302</v>
      </c>
      <c r="G527" s="566">
        <v>74.116166928425443</v>
      </c>
      <c r="H527" s="205">
        <f t="shared" si="60"/>
        <v>74.116166928425443</v>
      </c>
    </row>
    <row r="528" spans="1:8" ht="15.75" x14ac:dyDescent="0.25">
      <c r="A528" s="791" t="s">
        <v>191</v>
      </c>
      <c r="B528" s="804" t="s">
        <v>1118</v>
      </c>
      <c r="C528" s="625">
        <v>0</v>
      </c>
      <c r="D528" s="550">
        <v>73.324345741013275</v>
      </c>
      <c r="E528" s="551">
        <v>0</v>
      </c>
      <c r="F528" s="560">
        <v>6.5991911166911938</v>
      </c>
      <c r="G528" s="566">
        <v>79.923536857704462</v>
      </c>
      <c r="H528" s="205">
        <f t="shared" si="60"/>
        <v>79.923536857704462</v>
      </c>
    </row>
    <row r="529" spans="1:8" ht="15.75" x14ac:dyDescent="0.25">
      <c r="A529" s="479" t="s">
        <v>149</v>
      </c>
      <c r="B529" s="805" t="s">
        <v>1131</v>
      </c>
      <c r="C529" s="625">
        <v>0</v>
      </c>
      <c r="D529" s="550">
        <v>81.107855706331748</v>
      </c>
      <c r="E529" s="551">
        <v>0</v>
      </c>
      <c r="F529" s="560">
        <v>0</v>
      </c>
      <c r="G529" s="566">
        <v>81.107855706331748</v>
      </c>
      <c r="H529" s="205">
        <f t="shared" si="60"/>
        <v>81.107855706331748</v>
      </c>
    </row>
    <row r="530" spans="1:8" ht="15.75" x14ac:dyDescent="0.25">
      <c r="A530" s="1087" t="s">
        <v>1305</v>
      </c>
      <c r="B530" s="805" t="s">
        <v>1084</v>
      </c>
      <c r="C530" s="625">
        <v>0</v>
      </c>
      <c r="D530" s="550">
        <v>84.287296553798782</v>
      </c>
      <c r="E530" s="551">
        <v>0</v>
      </c>
      <c r="F530" s="560">
        <v>0</v>
      </c>
      <c r="G530" s="566">
        <v>84.287296553798782</v>
      </c>
      <c r="H530" s="205">
        <f t="shared" si="60"/>
        <v>84.287296553798782</v>
      </c>
    </row>
    <row r="531" spans="1:8" ht="15.75" x14ac:dyDescent="0.25">
      <c r="A531" s="1090" t="s">
        <v>73</v>
      </c>
      <c r="B531" s="805" t="s">
        <v>1036</v>
      </c>
      <c r="C531" s="625">
        <v>71.806453988633706</v>
      </c>
      <c r="D531" s="593">
        <v>0</v>
      </c>
      <c r="E531" s="594">
        <v>0</v>
      </c>
      <c r="F531" s="595">
        <v>14.11579864733825</v>
      </c>
      <c r="G531" s="566">
        <v>85.922252635971958</v>
      </c>
      <c r="H531" s="205">
        <f t="shared" si="60"/>
        <v>85.922252635971958</v>
      </c>
    </row>
    <row r="532" spans="1:8" ht="15.75" x14ac:dyDescent="0.25">
      <c r="A532" s="502" t="s">
        <v>219</v>
      </c>
      <c r="B532" s="804" t="s">
        <v>1118</v>
      </c>
      <c r="C532" s="625">
        <v>0</v>
      </c>
      <c r="D532" s="550">
        <v>79.24174908151609</v>
      </c>
      <c r="E532" s="551">
        <v>0</v>
      </c>
      <c r="F532" s="560">
        <v>7.1317574173364484</v>
      </c>
      <c r="G532" s="566">
        <v>86.373506498852535</v>
      </c>
      <c r="H532" s="205">
        <f t="shared" si="60"/>
        <v>86.373506498852535</v>
      </c>
    </row>
    <row r="533" spans="1:8" ht="15.75" x14ac:dyDescent="0.25">
      <c r="A533" s="502" t="s">
        <v>867</v>
      </c>
      <c r="B533" s="804" t="s">
        <v>1118</v>
      </c>
      <c r="C533" s="625">
        <v>0</v>
      </c>
      <c r="D533" s="550">
        <v>81.299976330386642</v>
      </c>
      <c r="E533" s="551">
        <v>0</v>
      </c>
      <c r="F533" s="560">
        <v>7.3169978697347977</v>
      </c>
      <c r="G533" s="566">
        <v>88.616974200121433</v>
      </c>
      <c r="H533" s="205">
        <f t="shared" si="60"/>
        <v>88.616974200121433</v>
      </c>
    </row>
    <row r="534" spans="1:8" ht="15.75" x14ac:dyDescent="0.25">
      <c r="A534" s="1087" t="s">
        <v>107</v>
      </c>
      <c r="B534" s="805" t="s">
        <v>1074</v>
      </c>
      <c r="C534" s="625">
        <v>30.419802883518805</v>
      </c>
      <c r="D534" s="550">
        <v>50.203478949832537</v>
      </c>
      <c r="E534" s="551">
        <v>0.48018631228916819</v>
      </c>
      <c r="F534" s="560">
        <v>8.1151486776869426</v>
      </c>
      <c r="G534" s="566">
        <v>89.218616823327451</v>
      </c>
      <c r="H534" s="205">
        <f t="shared" si="60"/>
        <v>89.218616823327451</v>
      </c>
    </row>
    <row r="535" spans="1:8" ht="15.75" x14ac:dyDescent="0.25">
      <c r="A535" s="502" t="s">
        <v>520</v>
      </c>
      <c r="B535" s="804" t="s">
        <v>1118</v>
      </c>
      <c r="C535" s="625">
        <v>0</v>
      </c>
      <c r="D535" s="550">
        <v>82.0718115487131</v>
      </c>
      <c r="E535" s="551">
        <v>0</v>
      </c>
      <c r="F535" s="560">
        <v>7.3864630393841786</v>
      </c>
      <c r="G535" s="566">
        <v>89.458274588097282</v>
      </c>
      <c r="H535" s="205">
        <f t="shared" si="60"/>
        <v>89.458274588097282</v>
      </c>
    </row>
    <row r="536" spans="1:8" ht="15.75" x14ac:dyDescent="0.25">
      <c r="A536" s="791" t="s">
        <v>189</v>
      </c>
      <c r="B536" s="804" t="s">
        <v>1118</v>
      </c>
      <c r="C536" s="686">
        <v>0</v>
      </c>
      <c r="D536" s="550">
        <v>82.32908995482191</v>
      </c>
      <c r="E536" s="551">
        <v>0</v>
      </c>
      <c r="F536" s="560">
        <v>7.4096180959339728</v>
      </c>
      <c r="G536" s="566">
        <v>89.738708050755889</v>
      </c>
      <c r="H536" s="205">
        <f t="shared" si="60"/>
        <v>89.738708050755889</v>
      </c>
    </row>
    <row r="537" spans="1:8" ht="15.75" x14ac:dyDescent="0.25">
      <c r="A537" s="791" t="s">
        <v>514</v>
      </c>
      <c r="B537" s="804" t="s">
        <v>1118</v>
      </c>
      <c r="C537" s="686">
        <v>0</v>
      </c>
      <c r="D537" s="550">
        <v>82.32908995482191</v>
      </c>
      <c r="E537" s="551">
        <v>0</v>
      </c>
      <c r="F537" s="560">
        <v>7.4096180959339728</v>
      </c>
      <c r="G537" s="566">
        <v>89.738708050755889</v>
      </c>
      <c r="H537" s="205">
        <f t="shared" si="60"/>
        <v>89.738708050755889</v>
      </c>
    </row>
    <row r="538" spans="1:8" ht="15.75" x14ac:dyDescent="0.25">
      <c r="A538" s="791" t="s">
        <v>868</v>
      </c>
      <c r="B538" s="804" t="s">
        <v>1118</v>
      </c>
      <c r="C538" s="686">
        <v>0</v>
      </c>
      <c r="D538" s="550">
        <v>82.586368360930734</v>
      </c>
      <c r="E538" s="551">
        <v>0</v>
      </c>
      <c r="F538" s="560">
        <v>7.4327731524837661</v>
      </c>
      <c r="G538" s="566">
        <v>90.019141513414496</v>
      </c>
      <c r="H538" s="205">
        <f t="shared" si="60"/>
        <v>90.019141513414496</v>
      </c>
    </row>
    <row r="539" spans="1:8" ht="15.75" x14ac:dyDescent="0.25">
      <c r="A539" s="479" t="s">
        <v>132</v>
      </c>
      <c r="B539" s="805" t="s">
        <v>1114</v>
      </c>
      <c r="C539" s="686">
        <v>0</v>
      </c>
      <c r="D539" s="550">
        <v>84.80666954146902</v>
      </c>
      <c r="E539" s="551">
        <v>0</v>
      </c>
      <c r="F539" s="560">
        <v>6.7845335633175221</v>
      </c>
      <c r="G539" s="566">
        <v>91.591203104786544</v>
      </c>
      <c r="H539" s="205">
        <f t="shared" si="60"/>
        <v>91.591203104786544</v>
      </c>
    </row>
    <row r="540" spans="1:8" ht="15.75" x14ac:dyDescent="0.25">
      <c r="A540" s="479" t="s">
        <v>119</v>
      </c>
      <c r="B540" s="805" t="s">
        <v>1076</v>
      </c>
      <c r="C540" s="686">
        <v>84.146258979817148</v>
      </c>
      <c r="D540" s="550">
        <v>1.5267042768490031</v>
      </c>
      <c r="E540" s="551">
        <v>0</v>
      </c>
      <c r="F540" s="560">
        <v>6.8169121198839209</v>
      </c>
      <c r="G540" s="566">
        <v>92.489875376550074</v>
      </c>
      <c r="H540" s="205">
        <f t="shared" si="60"/>
        <v>92.489875376550074</v>
      </c>
    </row>
    <row r="541" spans="1:8" ht="15.75" x14ac:dyDescent="0.25">
      <c r="A541" s="791" t="s">
        <v>860</v>
      </c>
      <c r="B541" s="804" t="s">
        <v>1118</v>
      </c>
      <c r="C541" s="625">
        <v>0</v>
      </c>
      <c r="D541" s="550">
        <v>85.15915242201892</v>
      </c>
      <c r="E541" s="551">
        <v>0</v>
      </c>
      <c r="F541" s="560">
        <v>7.6643237179817021</v>
      </c>
      <c r="G541" s="566">
        <v>92.823476140000622</v>
      </c>
      <c r="H541" s="205">
        <f t="shared" si="60"/>
        <v>92.823476140000622</v>
      </c>
    </row>
    <row r="542" spans="1:8" ht="15.75" x14ac:dyDescent="0.25">
      <c r="A542" s="479" t="s">
        <v>102</v>
      </c>
      <c r="B542" s="805" t="s">
        <v>1066</v>
      </c>
      <c r="C542" s="625">
        <v>6.5670679389832856</v>
      </c>
      <c r="D542" s="550">
        <v>66.597794863571664</v>
      </c>
      <c r="E542" s="551">
        <v>0</v>
      </c>
      <c r="F542" s="560">
        <v>19.75451295668984</v>
      </c>
      <c r="G542" s="566">
        <v>92.919375759244787</v>
      </c>
      <c r="H542" s="205">
        <f t="shared" si="60"/>
        <v>92.919375759244787</v>
      </c>
    </row>
    <row r="543" spans="1:8" ht="15.75" x14ac:dyDescent="0.25">
      <c r="A543" s="1085" t="s">
        <v>74</v>
      </c>
      <c r="B543" s="805" t="s">
        <v>1036</v>
      </c>
      <c r="C543" s="625">
        <v>79.171218500288447</v>
      </c>
      <c r="D543" s="593">
        <v>0</v>
      </c>
      <c r="E543" s="594">
        <v>0</v>
      </c>
      <c r="F543" s="595">
        <v>15.956989775251936</v>
      </c>
      <c r="G543" s="566">
        <v>95.128208275540388</v>
      </c>
      <c r="H543" s="205">
        <f t="shared" si="60"/>
        <v>95.128208275540388</v>
      </c>
    </row>
    <row r="544" spans="1:8" ht="15.75" x14ac:dyDescent="0.25">
      <c r="A544" s="1087" t="s">
        <v>109</v>
      </c>
      <c r="B544" s="805" t="s">
        <v>1074</v>
      </c>
      <c r="C544" s="625">
        <v>13.013049063036458</v>
      </c>
      <c r="D544" s="550">
        <v>73.900673461302986</v>
      </c>
      <c r="E544" s="551">
        <v>0.48018631228916819</v>
      </c>
      <c r="F544" s="560">
        <v>8.7393908836628604</v>
      </c>
      <c r="G544" s="566">
        <v>96.133299720291475</v>
      </c>
      <c r="H544" s="205">
        <f t="shared" si="60"/>
        <v>96.133299720291475</v>
      </c>
    </row>
    <row r="545" spans="1:8" ht="15.75" x14ac:dyDescent="0.25">
      <c r="A545" s="502" t="s">
        <v>517</v>
      </c>
      <c r="B545" s="804" t="s">
        <v>1118</v>
      </c>
      <c r="C545" s="625">
        <v>0</v>
      </c>
      <c r="D545" s="550">
        <v>88.503771701433564</v>
      </c>
      <c r="E545" s="551">
        <v>0</v>
      </c>
      <c r="F545" s="560">
        <v>7.9653394531290207</v>
      </c>
      <c r="G545" s="566">
        <v>96.469111154562583</v>
      </c>
      <c r="H545" s="205">
        <f t="shared" si="60"/>
        <v>96.469111154562583</v>
      </c>
    </row>
    <row r="546" spans="1:8" ht="15.75" x14ac:dyDescent="0.25">
      <c r="A546" s="502" t="s">
        <v>865</v>
      </c>
      <c r="B546" s="804" t="s">
        <v>1118</v>
      </c>
      <c r="C546" s="625">
        <v>0</v>
      </c>
      <c r="D546" s="550">
        <v>89.275606919760008</v>
      </c>
      <c r="E546" s="551">
        <v>0</v>
      </c>
      <c r="F546" s="560">
        <v>8.0348046227784007</v>
      </c>
      <c r="G546" s="566">
        <v>97.310411542538404</v>
      </c>
      <c r="H546" s="205">
        <f t="shared" si="60"/>
        <v>97.310411542538404</v>
      </c>
    </row>
    <row r="547" spans="1:8" ht="15.75" x14ac:dyDescent="0.25">
      <c r="A547" s="502" t="s">
        <v>769</v>
      </c>
      <c r="B547" s="804" t="s">
        <v>1118</v>
      </c>
      <c r="C547" s="625">
        <v>0</v>
      </c>
      <c r="D547" s="550">
        <v>89.532885325868833</v>
      </c>
      <c r="E547" s="551">
        <v>0</v>
      </c>
      <c r="F547" s="560">
        <v>8.0579596793281958</v>
      </c>
      <c r="G547" s="566">
        <v>97.590845005197025</v>
      </c>
      <c r="H547" s="205">
        <f t="shared" si="60"/>
        <v>97.590845005197025</v>
      </c>
    </row>
    <row r="548" spans="1:8" ht="15.75" x14ac:dyDescent="0.25">
      <c r="A548" s="1087" t="s">
        <v>114</v>
      </c>
      <c r="B548" s="805" t="s">
        <v>1076</v>
      </c>
      <c r="C548" s="625">
        <v>86.27654401728087</v>
      </c>
      <c r="D548" s="550">
        <v>4.4380938280494275</v>
      </c>
      <c r="E548" s="551">
        <v>0</v>
      </c>
      <c r="F548" s="560">
        <v>7.2340929397205675</v>
      </c>
      <c r="G548" s="566">
        <v>97.94873078505087</v>
      </c>
      <c r="H548" s="205">
        <f t="shared" si="60"/>
        <v>97.94873078505087</v>
      </c>
    </row>
    <row r="549" spans="1:8" ht="15.75" x14ac:dyDescent="0.25">
      <c r="A549" s="502" t="s">
        <v>875</v>
      </c>
      <c r="B549" s="804" t="s">
        <v>1118</v>
      </c>
      <c r="C549" s="625">
        <v>0</v>
      </c>
      <c r="D549" s="550">
        <v>90.047442138086467</v>
      </c>
      <c r="E549" s="551">
        <v>0</v>
      </c>
      <c r="F549" s="560">
        <v>8.1042697924277824</v>
      </c>
      <c r="G549" s="566">
        <v>98.151711930514253</v>
      </c>
      <c r="H549" s="205">
        <f t="shared" si="60"/>
        <v>98.151711930514253</v>
      </c>
    </row>
    <row r="550" spans="1:8" ht="15.75" x14ac:dyDescent="0.25">
      <c r="A550" s="502" t="s">
        <v>863</v>
      </c>
      <c r="B550" s="804" t="s">
        <v>1118</v>
      </c>
      <c r="C550" s="625">
        <v>0</v>
      </c>
      <c r="D550" s="550">
        <v>91.591112574739384</v>
      </c>
      <c r="E550" s="551">
        <v>0</v>
      </c>
      <c r="F550" s="560">
        <v>8.2432001317265442</v>
      </c>
      <c r="G550" s="566">
        <v>99.834312706465923</v>
      </c>
      <c r="H550" s="205">
        <f t="shared" si="60"/>
        <v>99.834312706465923</v>
      </c>
    </row>
    <row r="551" spans="1:8" ht="15.75" x14ac:dyDescent="0.25">
      <c r="A551" s="502" t="s">
        <v>864</v>
      </c>
      <c r="B551" s="804" t="s">
        <v>1118</v>
      </c>
      <c r="C551" s="625">
        <v>0</v>
      </c>
      <c r="D551" s="550">
        <v>91.591112574739384</v>
      </c>
      <c r="E551" s="551">
        <v>0</v>
      </c>
      <c r="F551" s="560">
        <v>8.2432001317265442</v>
      </c>
      <c r="G551" s="566">
        <v>99.834312706465923</v>
      </c>
      <c r="H551" s="205">
        <f t="shared" si="60"/>
        <v>99.834312706465923</v>
      </c>
    </row>
    <row r="552" spans="1:8" ht="15.75" x14ac:dyDescent="0.25">
      <c r="A552" s="502" t="s">
        <v>771</v>
      </c>
      <c r="B552" s="804" t="s">
        <v>1118</v>
      </c>
      <c r="C552" s="625">
        <v>0</v>
      </c>
      <c r="D552" s="550">
        <v>91.848390980848194</v>
      </c>
      <c r="E552" s="551">
        <v>0</v>
      </c>
      <c r="F552" s="560">
        <v>8.2663551882763393</v>
      </c>
      <c r="G552" s="566">
        <v>100.11474616912453</v>
      </c>
      <c r="H552" s="205">
        <f t="shared" si="60"/>
        <v>100.11474616912453</v>
      </c>
    </row>
    <row r="553" spans="1:8" ht="15.75" x14ac:dyDescent="0.25">
      <c r="A553" s="479" t="s">
        <v>173</v>
      </c>
      <c r="B553" s="805" t="s">
        <v>1151</v>
      </c>
      <c r="C553" s="625" t="s">
        <v>5</v>
      </c>
      <c r="D553" s="550">
        <v>102.55</v>
      </c>
      <c r="E553" s="551" t="s">
        <v>5</v>
      </c>
      <c r="F553" s="560" t="s">
        <v>5</v>
      </c>
      <c r="G553" s="566">
        <v>102.55</v>
      </c>
      <c r="H553" s="205">
        <f>D553</f>
        <v>102.55</v>
      </c>
    </row>
    <row r="554" spans="1:8" ht="15.75" x14ac:dyDescent="0.25">
      <c r="A554" s="791" t="s">
        <v>598</v>
      </c>
      <c r="B554" s="804" t="s">
        <v>1118</v>
      </c>
      <c r="C554" s="625">
        <v>0</v>
      </c>
      <c r="D554" s="550">
        <v>94.42117504193638</v>
      </c>
      <c r="E554" s="551">
        <v>0</v>
      </c>
      <c r="F554" s="560">
        <v>8.4979057537742744</v>
      </c>
      <c r="G554" s="566">
        <v>102.91908079571066</v>
      </c>
      <c r="H554" s="205">
        <f t="shared" ref="H554:H585" si="61">C554+D554+E554+F554</f>
        <v>102.91908079571066</v>
      </c>
    </row>
    <row r="555" spans="1:8" ht="15.75" x14ac:dyDescent="0.25">
      <c r="A555" s="791" t="s">
        <v>871</v>
      </c>
      <c r="B555" s="804" t="s">
        <v>1118</v>
      </c>
      <c r="C555" s="625">
        <v>0</v>
      </c>
      <c r="D555" s="550">
        <v>94.935731854154014</v>
      </c>
      <c r="E555" s="551">
        <v>0</v>
      </c>
      <c r="F555" s="560">
        <v>8.5442158668738628</v>
      </c>
      <c r="G555" s="566">
        <v>103.47994772102788</v>
      </c>
      <c r="H555" s="205">
        <f t="shared" si="61"/>
        <v>103.47994772102788</v>
      </c>
    </row>
    <row r="556" spans="1:8" ht="15.75" x14ac:dyDescent="0.25">
      <c r="A556" s="479" t="s">
        <v>130</v>
      </c>
      <c r="B556" s="805" t="s">
        <v>1114</v>
      </c>
      <c r="C556" s="625">
        <v>0</v>
      </c>
      <c r="D556" s="550">
        <v>96.018398735086961</v>
      </c>
      <c r="E556" s="551">
        <v>0</v>
      </c>
      <c r="F556" s="560">
        <v>7.681471898806957</v>
      </c>
      <c r="G556" s="566">
        <v>103.69987063389392</v>
      </c>
      <c r="H556" s="205">
        <f t="shared" si="61"/>
        <v>103.69987063389392</v>
      </c>
    </row>
    <row r="557" spans="1:8" ht="15.75" x14ac:dyDescent="0.25">
      <c r="A557" s="791" t="s">
        <v>515</v>
      </c>
      <c r="B557" s="804" t="s">
        <v>1118</v>
      </c>
      <c r="C557" s="625">
        <v>0</v>
      </c>
      <c r="D557" s="550">
        <v>95.450288666371662</v>
      </c>
      <c r="E557" s="551">
        <v>0</v>
      </c>
      <c r="F557" s="560">
        <v>8.5905259799734495</v>
      </c>
      <c r="G557" s="566">
        <v>104.04081464634511</v>
      </c>
      <c r="H557" s="205">
        <f t="shared" si="61"/>
        <v>104.04081464634511</v>
      </c>
    </row>
    <row r="558" spans="1:8" ht="15.75" x14ac:dyDescent="0.25">
      <c r="A558" s="1086" t="s">
        <v>624</v>
      </c>
      <c r="B558" s="1083" t="s">
        <v>1092</v>
      </c>
      <c r="C558" s="625">
        <v>104.21750447372702</v>
      </c>
      <c r="D558" s="550">
        <v>0</v>
      </c>
      <c r="E558" s="551">
        <v>0</v>
      </c>
      <c r="F558" s="560">
        <v>0</v>
      </c>
      <c r="G558" s="566">
        <v>104.21750447372702</v>
      </c>
      <c r="H558" s="205">
        <f t="shared" si="61"/>
        <v>104.21750447372702</v>
      </c>
    </row>
    <row r="559" spans="1:8" ht="15.75" x14ac:dyDescent="0.25">
      <c r="A559" s="791" t="s">
        <v>190</v>
      </c>
      <c r="B559" s="804" t="s">
        <v>1118</v>
      </c>
      <c r="C559" s="625">
        <v>0</v>
      </c>
      <c r="D559" s="550">
        <v>95.707567072480472</v>
      </c>
      <c r="E559" s="551">
        <v>0</v>
      </c>
      <c r="F559" s="560">
        <v>8.6136810365232428</v>
      </c>
      <c r="G559" s="566">
        <v>104.32124810900372</v>
      </c>
      <c r="H559" s="205">
        <f t="shared" si="61"/>
        <v>104.32124810900372</v>
      </c>
    </row>
    <row r="560" spans="1:8" ht="15.75" x14ac:dyDescent="0.25">
      <c r="A560" s="479" t="s">
        <v>131</v>
      </c>
      <c r="B560" s="805" t="s">
        <v>1114</v>
      </c>
      <c r="C560" s="625">
        <v>0</v>
      </c>
      <c r="D560" s="550">
        <v>97.168319678022144</v>
      </c>
      <c r="E560" s="551">
        <v>0</v>
      </c>
      <c r="F560" s="560">
        <v>7.7734655742417704</v>
      </c>
      <c r="G560" s="566">
        <v>104.94178525226391</v>
      </c>
      <c r="H560" s="205">
        <f t="shared" si="61"/>
        <v>104.94178525226391</v>
      </c>
    </row>
    <row r="561" spans="1:8" ht="15.75" x14ac:dyDescent="0.25">
      <c r="A561" s="1086" t="s">
        <v>889</v>
      </c>
      <c r="B561" s="1083" t="s">
        <v>1092</v>
      </c>
      <c r="C561" s="625">
        <v>105.74263868553766</v>
      </c>
      <c r="D561" s="550">
        <v>0</v>
      </c>
      <c r="E561" s="551">
        <v>0</v>
      </c>
      <c r="F561" s="560">
        <v>0</v>
      </c>
      <c r="G561" s="566">
        <v>105.74263868553766</v>
      </c>
      <c r="H561" s="205">
        <f t="shared" si="61"/>
        <v>105.74263868553766</v>
      </c>
    </row>
    <row r="562" spans="1:8" ht="15.75" x14ac:dyDescent="0.25">
      <c r="A562" s="791" t="s">
        <v>874</v>
      </c>
      <c r="B562" s="804" t="s">
        <v>1118</v>
      </c>
      <c r="C562" s="625">
        <v>0</v>
      </c>
      <c r="D562" s="550">
        <v>98.023072727459848</v>
      </c>
      <c r="E562" s="551">
        <v>0</v>
      </c>
      <c r="F562" s="560">
        <v>8.8220765454713863</v>
      </c>
      <c r="G562" s="566">
        <v>106.84514927293124</v>
      </c>
      <c r="H562" s="205">
        <f t="shared" si="61"/>
        <v>106.84514927293124</v>
      </c>
    </row>
    <row r="563" spans="1:8" ht="15.75" x14ac:dyDescent="0.25">
      <c r="A563" s="479" t="s">
        <v>613</v>
      </c>
      <c r="B563" s="805" t="s">
        <v>1066</v>
      </c>
      <c r="C563" s="625">
        <v>0</v>
      </c>
      <c r="D563" s="550">
        <v>84.13572924179762</v>
      </c>
      <c r="E563" s="551">
        <v>0</v>
      </c>
      <c r="F563" s="560">
        <v>22.71432910660101</v>
      </c>
      <c r="G563" s="566">
        <v>106.85005834839863</v>
      </c>
      <c r="H563" s="205">
        <f t="shared" si="61"/>
        <v>106.85005834839863</v>
      </c>
    </row>
    <row r="564" spans="1:8" ht="15.75" x14ac:dyDescent="0.25">
      <c r="A564" s="791" t="s">
        <v>873</v>
      </c>
      <c r="B564" s="804" t="s">
        <v>1118</v>
      </c>
      <c r="C564" s="625">
        <v>0</v>
      </c>
      <c r="D564" s="550">
        <v>98.280351133568658</v>
      </c>
      <c r="E564" s="551">
        <v>0</v>
      </c>
      <c r="F564" s="560">
        <v>8.8452316020211796</v>
      </c>
      <c r="G564" s="566">
        <v>107.12558273558983</v>
      </c>
      <c r="H564" s="205">
        <f t="shared" si="61"/>
        <v>107.12558273558983</v>
      </c>
    </row>
    <row r="565" spans="1:8" ht="15.75" x14ac:dyDescent="0.25">
      <c r="A565" s="479" t="s">
        <v>113</v>
      </c>
      <c r="B565" s="805" t="s">
        <v>1076</v>
      </c>
      <c r="C565" s="625">
        <v>90.537114092208327</v>
      </c>
      <c r="D565" s="550">
        <v>8.8761876560988551</v>
      </c>
      <c r="E565" s="551">
        <v>0</v>
      </c>
      <c r="F565" s="560">
        <v>7.926435576896278</v>
      </c>
      <c r="G565" s="566">
        <v>107.33973732520346</v>
      </c>
      <c r="H565" s="205">
        <f t="shared" si="61"/>
        <v>107.33973732520346</v>
      </c>
    </row>
    <row r="566" spans="1:8" ht="15.75" x14ac:dyDescent="0.25">
      <c r="A566" s="479" t="s">
        <v>746</v>
      </c>
      <c r="B566" s="805" t="s">
        <v>1147</v>
      </c>
      <c r="C566" s="625">
        <v>4.9608404483911857</v>
      </c>
      <c r="D566" s="550">
        <v>88.165158857796683</v>
      </c>
      <c r="E566" s="551">
        <v>0</v>
      </c>
      <c r="F566" s="560">
        <v>15.869728594403403</v>
      </c>
      <c r="G566" s="566">
        <v>108.99572790059126</v>
      </c>
      <c r="H566" s="205">
        <f t="shared" si="61"/>
        <v>108.99572790059126</v>
      </c>
    </row>
    <row r="567" spans="1:8" ht="15.75" x14ac:dyDescent="0.25">
      <c r="A567" s="479" t="s">
        <v>747</v>
      </c>
      <c r="B567" s="805" t="s">
        <v>1147</v>
      </c>
      <c r="C567" s="625">
        <v>4.9608404483911857</v>
      </c>
      <c r="D567" s="550">
        <v>88.165158857796683</v>
      </c>
      <c r="E567" s="551">
        <v>0</v>
      </c>
      <c r="F567" s="560">
        <v>15.869728594403403</v>
      </c>
      <c r="G567" s="566">
        <v>108.99572790059126</v>
      </c>
      <c r="H567" s="205">
        <f t="shared" si="61"/>
        <v>108.99572790059126</v>
      </c>
    </row>
    <row r="568" spans="1:8" ht="15.75" x14ac:dyDescent="0.25">
      <c r="A568" s="479" t="s">
        <v>748</v>
      </c>
      <c r="B568" s="805" t="s">
        <v>1147</v>
      </c>
      <c r="C568" s="625">
        <v>4.9608404483911857</v>
      </c>
      <c r="D568" s="550">
        <v>88.165158857796683</v>
      </c>
      <c r="E568" s="551">
        <v>0</v>
      </c>
      <c r="F568" s="560">
        <v>15.869728594403403</v>
      </c>
      <c r="G568" s="566">
        <v>108.99572790059126</v>
      </c>
      <c r="H568" s="205">
        <f t="shared" si="61"/>
        <v>108.99572790059126</v>
      </c>
    </row>
    <row r="569" spans="1:8" ht="15.75" x14ac:dyDescent="0.25">
      <c r="A569" s="479" t="s">
        <v>749</v>
      </c>
      <c r="B569" s="805" t="s">
        <v>1147</v>
      </c>
      <c r="C569" s="625">
        <v>4.9608404483911857</v>
      </c>
      <c r="D569" s="550">
        <v>88.165158857796683</v>
      </c>
      <c r="E569" s="551">
        <v>0</v>
      </c>
      <c r="F569" s="560">
        <v>15.869728594403403</v>
      </c>
      <c r="G569" s="566">
        <v>108.99572790059126</v>
      </c>
      <c r="H569" s="205">
        <f t="shared" si="61"/>
        <v>108.99572790059126</v>
      </c>
    </row>
    <row r="570" spans="1:8" ht="15.75" x14ac:dyDescent="0.25">
      <c r="A570" s="791" t="s">
        <v>861</v>
      </c>
      <c r="B570" s="804" t="s">
        <v>1118</v>
      </c>
      <c r="C570" s="625">
        <v>0</v>
      </c>
      <c r="D570" s="550">
        <v>100.08129997633038</v>
      </c>
      <c r="E570" s="551">
        <v>0</v>
      </c>
      <c r="F570" s="560">
        <v>9.0073169978697347</v>
      </c>
      <c r="G570" s="566">
        <v>109.08861697420012</v>
      </c>
      <c r="H570" s="205">
        <f t="shared" si="61"/>
        <v>109.08861697420012</v>
      </c>
    </row>
    <row r="571" spans="1:8" ht="15.75" x14ac:dyDescent="0.25">
      <c r="A571" s="1085" t="s">
        <v>75</v>
      </c>
      <c r="B571" s="805" t="s">
        <v>1036</v>
      </c>
      <c r="C571" s="625">
        <v>90.832095643741795</v>
      </c>
      <c r="D571" s="593">
        <v>0</v>
      </c>
      <c r="E571" s="594">
        <v>0</v>
      </c>
      <c r="F571" s="595">
        <v>18.411911279136849</v>
      </c>
      <c r="G571" s="566">
        <v>109.24400692287864</v>
      </c>
      <c r="H571" s="205">
        <f t="shared" si="61"/>
        <v>109.24400692287864</v>
      </c>
    </row>
    <row r="572" spans="1:8" ht="15.75" x14ac:dyDescent="0.25">
      <c r="A572" s="791" t="s">
        <v>218</v>
      </c>
      <c r="B572" s="804" t="s">
        <v>1118</v>
      </c>
      <c r="C572" s="625">
        <v>0</v>
      </c>
      <c r="D572" s="550">
        <v>103.42591925574503</v>
      </c>
      <c r="E572" s="551">
        <v>0</v>
      </c>
      <c r="F572" s="560">
        <v>9.3083327330170533</v>
      </c>
      <c r="G572" s="566">
        <v>112.73425198876208</v>
      </c>
      <c r="H572" s="205">
        <f t="shared" si="61"/>
        <v>112.73425198876208</v>
      </c>
    </row>
    <row r="573" spans="1:8" ht="15.75" x14ac:dyDescent="0.25">
      <c r="A573" s="791" t="s">
        <v>872</v>
      </c>
      <c r="B573" s="804" t="s">
        <v>1118</v>
      </c>
      <c r="C573" s="625">
        <v>0</v>
      </c>
      <c r="D573" s="550">
        <v>103.68319766185385</v>
      </c>
      <c r="E573" s="551">
        <v>0</v>
      </c>
      <c r="F573" s="560">
        <v>9.3314877895668467</v>
      </c>
      <c r="G573" s="566">
        <v>113.0146854514207</v>
      </c>
      <c r="H573" s="205">
        <f t="shared" si="61"/>
        <v>113.0146854514207</v>
      </c>
    </row>
    <row r="574" spans="1:8" ht="15.75" x14ac:dyDescent="0.25">
      <c r="A574" s="479" t="s">
        <v>115</v>
      </c>
      <c r="B574" s="805" t="s">
        <v>1076</v>
      </c>
      <c r="C574" s="625">
        <v>90.537114092208327</v>
      </c>
      <c r="D574" s="550">
        <v>14.485938254753332</v>
      </c>
      <c r="E574" s="551">
        <v>0</v>
      </c>
      <c r="F574" s="560">
        <v>8.3436163967329247</v>
      </c>
      <c r="G574" s="566">
        <v>113.36666874369459</v>
      </c>
      <c r="H574" s="205">
        <f t="shared" si="61"/>
        <v>113.36666874369459</v>
      </c>
    </row>
    <row r="575" spans="1:8" ht="15.75" x14ac:dyDescent="0.25">
      <c r="A575" s="791" t="s">
        <v>866</v>
      </c>
      <c r="B575" s="804" t="s">
        <v>1118</v>
      </c>
      <c r="C575" s="549">
        <v>0</v>
      </c>
      <c r="D575" s="550">
        <v>104.71231128628912</v>
      </c>
      <c r="E575" s="551">
        <v>0</v>
      </c>
      <c r="F575" s="560">
        <v>9.4241080157660218</v>
      </c>
      <c r="G575" s="566">
        <v>114.13641930205515</v>
      </c>
      <c r="H575" s="205">
        <f t="shared" si="61"/>
        <v>114.13641930205515</v>
      </c>
    </row>
    <row r="576" spans="1:8" ht="15.75" x14ac:dyDescent="0.25">
      <c r="A576" s="791" t="s">
        <v>513</v>
      </c>
      <c r="B576" s="804" t="s">
        <v>1118</v>
      </c>
      <c r="C576" s="549">
        <v>0</v>
      </c>
      <c r="D576" s="550">
        <v>105.22686809850676</v>
      </c>
      <c r="E576" s="551">
        <v>0</v>
      </c>
      <c r="F576" s="560">
        <v>9.4704181288656084</v>
      </c>
      <c r="G576" s="566">
        <v>114.69728622737236</v>
      </c>
      <c r="H576" s="205">
        <f t="shared" si="61"/>
        <v>114.69728622737236</v>
      </c>
    </row>
    <row r="577" spans="1:8" ht="15.75" x14ac:dyDescent="0.25">
      <c r="A577" s="791" t="s">
        <v>597</v>
      </c>
      <c r="B577" s="804" t="s">
        <v>1118</v>
      </c>
      <c r="C577" s="549">
        <v>0</v>
      </c>
      <c r="D577" s="550">
        <v>105.48414650461558</v>
      </c>
      <c r="E577" s="551">
        <v>0</v>
      </c>
      <c r="F577" s="560">
        <v>9.4935731854154017</v>
      </c>
      <c r="G577" s="566">
        <v>114.97771969003098</v>
      </c>
      <c r="H577" s="205">
        <f t="shared" si="61"/>
        <v>114.97771969003098</v>
      </c>
    </row>
    <row r="578" spans="1:8" ht="15.75" x14ac:dyDescent="0.25">
      <c r="A578" s="479" t="s">
        <v>214</v>
      </c>
      <c r="B578" s="805" t="s">
        <v>1133</v>
      </c>
      <c r="C578" s="549">
        <v>0</v>
      </c>
      <c r="D578" s="550">
        <v>104.74063936807481</v>
      </c>
      <c r="E578" s="551">
        <v>0</v>
      </c>
      <c r="F578" s="560">
        <v>10.480066265711097</v>
      </c>
      <c r="G578" s="566">
        <v>115.22070563378591</v>
      </c>
      <c r="H578" s="205">
        <f t="shared" si="61"/>
        <v>115.22070563378591</v>
      </c>
    </row>
    <row r="579" spans="1:8" ht="15.75" x14ac:dyDescent="0.25">
      <c r="A579" s="479" t="s">
        <v>152</v>
      </c>
      <c r="B579" s="805" t="s">
        <v>1133</v>
      </c>
      <c r="C579" s="549">
        <v>0</v>
      </c>
      <c r="D579" s="550">
        <v>105.28084896940013</v>
      </c>
      <c r="E579" s="551">
        <v>0</v>
      </c>
      <c r="F579" s="560">
        <v>10.528084896940012</v>
      </c>
      <c r="G579" s="566">
        <v>115.80893386634014</v>
      </c>
      <c r="H579" s="205">
        <f t="shared" si="61"/>
        <v>115.80893386634014</v>
      </c>
    </row>
    <row r="580" spans="1:8" ht="15.75" x14ac:dyDescent="0.25">
      <c r="A580" s="791" t="s">
        <v>862</v>
      </c>
      <c r="B580" s="804" t="s">
        <v>1118</v>
      </c>
      <c r="C580" s="549">
        <v>0</v>
      </c>
      <c r="D580" s="550">
        <v>106.25598172294204</v>
      </c>
      <c r="E580" s="551">
        <v>0</v>
      </c>
      <c r="F580" s="560">
        <v>9.5630383550647835</v>
      </c>
      <c r="G580" s="566">
        <v>115.81902007800682</v>
      </c>
      <c r="H580" s="205">
        <f t="shared" si="61"/>
        <v>115.81902007800682</v>
      </c>
    </row>
    <row r="581" spans="1:8" ht="15.75" x14ac:dyDescent="0.25">
      <c r="A581" s="1086" t="s">
        <v>622</v>
      </c>
      <c r="B581" s="1083" t="s">
        <v>1092</v>
      </c>
      <c r="C581" s="549">
        <v>116.92695623881568</v>
      </c>
      <c r="D581" s="550">
        <v>0</v>
      </c>
      <c r="E581" s="551">
        <v>0</v>
      </c>
      <c r="F581" s="560">
        <v>0</v>
      </c>
      <c r="G581" s="566">
        <v>116.92695623881568</v>
      </c>
      <c r="H581" s="205">
        <f t="shared" si="61"/>
        <v>116.92695623881568</v>
      </c>
    </row>
    <row r="582" spans="1:8" ht="15.75" x14ac:dyDescent="0.25">
      <c r="A582" s="479" t="s">
        <v>139</v>
      </c>
      <c r="B582" s="805" t="s">
        <v>1116</v>
      </c>
      <c r="C582" s="549">
        <v>40.743808597735921</v>
      </c>
      <c r="D582" s="550">
        <v>66.733892750387156</v>
      </c>
      <c r="E582" s="551">
        <v>3.2172482923374268</v>
      </c>
      <c r="F582" s="560">
        <v>6.6385757673977501</v>
      </c>
      <c r="G582" s="566">
        <v>117.33352540785826</v>
      </c>
      <c r="H582" s="205">
        <f t="shared" si="61"/>
        <v>117.33352540785826</v>
      </c>
    </row>
    <row r="583" spans="1:8" ht="15.75" x14ac:dyDescent="0.25">
      <c r="A583" s="791" t="s">
        <v>870</v>
      </c>
      <c r="B583" s="804" t="s">
        <v>1118</v>
      </c>
      <c r="C583" s="549">
        <v>0</v>
      </c>
      <c r="D583" s="550">
        <v>108.5714873779214</v>
      </c>
      <c r="E583" s="551">
        <v>0</v>
      </c>
      <c r="F583" s="560">
        <v>9.7714338640129252</v>
      </c>
      <c r="G583" s="566">
        <v>118.34292124193432</v>
      </c>
      <c r="H583" s="205">
        <f t="shared" si="61"/>
        <v>118.34292124193432</v>
      </c>
    </row>
    <row r="584" spans="1:8" ht="15.75" x14ac:dyDescent="0.25">
      <c r="A584" s="479" t="s">
        <v>104</v>
      </c>
      <c r="B584" s="805" t="s">
        <v>1066</v>
      </c>
      <c r="C584" s="549">
        <v>0</v>
      </c>
      <c r="D584" s="550">
        <v>96.234586174089173</v>
      </c>
      <c r="E584" s="551">
        <v>0</v>
      </c>
      <c r="F584" s="560">
        <v>25.983338267004079</v>
      </c>
      <c r="G584" s="566">
        <v>122.21792444109326</v>
      </c>
      <c r="H584" s="205">
        <f t="shared" si="61"/>
        <v>122.21792444109326</v>
      </c>
    </row>
    <row r="585" spans="1:8" ht="15.75" x14ac:dyDescent="0.25">
      <c r="A585" s="479" t="s">
        <v>928</v>
      </c>
      <c r="B585" s="805" t="s">
        <v>1145</v>
      </c>
      <c r="C585" s="549">
        <v>116.47824597464884</v>
      </c>
      <c r="D585" s="550">
        <v>0</v>
      </c>
      <c r="E585" s="551">
        <v>0</v>
      </c>
      <c r="F585" s="560">
        <v>9.3182596779719074</v>
      </c>
      <c r="G585" s="566">
        <v>125.79650565262075</v>
      </c>
      <c r="H585" s="205">
        <f t="shared" si="61"/>
        <v>125.79650565262075</v>
      </c>
    </row>
    <row r="586" spans="1:8" ht="15.75" x14ac:dyDescent="0.25">
      <c r="A586" s="479" t="s">
        <v>103</v>
      </c>
      <c r="B586" s="805" t="s">
        <v>1066</v>
      </c>
      <c r="C586" s="549">
        <v>4.7553297840520141</v>
      </c>
      <c r="D586" s="550">
        <v>94.604408132765101</v>
      </c>
      <c r="E586" s="551">
        <v>0</v>
      </c>
      <c r="F586" s="560">
        <v>26.827129237540621</v>
      </c>
      <c r="G586" s="566">
        <v>126.18686715435773</v>
      </c>
      <c r="H586" s="205">
        <f t="shared" ref="H586:H607" si="62">C586+D586+E586+F586</f>
        <v>126.18686715435773</v>
      </c>
    </row>
    <row r="587" spans="1:8" ht="15.75" x14ac:dyDescent="0.25">
      <c r="A587" s="791" t="s">
        <v>516</v>
      </c>
      <c r="B587" s="804" t="s">
        <v>1118</v>
      </c>
      <c r="C587" s="549">
        <v>0</v>
      </c>
      <c r="D587" s="550">
        <v>119.37718043449178</v>
      </c>
      <c r="E587" s="551">
        <v>0</v>
      </c>
      <c r="F587" s="560">
        <v>10.743946239104259</v>
      </c>
      <c r="G587" s="566">
        <v>130.12112667359602</v>
      </c>
      <c r="H587" s="205">
        <f t="shared" si="62"/>
        <v>130.12112667359602</v>
      </c>
    </row>
    <row r="588" spans="1:8" ht="15.75" x14ac:dyDescent="0.25">
      <c r="A588" s="479" t="s">
        <v>891</v>
      </c>
      <c r="B588" s="805" t="s">
        <v>1114</v>
      </c>
      <c r="C588" s="549">
        <v>0</v>
      </c>
      <c r="D588" s="550">
        <v>120.74169900819319</v>
      </c>
      <c r="E588" s="551">
        <v>0</v>
      </c>
      <c r="F588" s="560">
        <v>9.6593359206554563</v>
      </c>
      <c r="G588" s="566">
        <v>130.40103492884865</v>
      </c>
      <c r="H588" s="205">
        <f t="shared" si="62"/>
        <v>130.40103492884865</v>
      </c>
    </row>
    <row r="589" spans="1:8" ht="15.75" x14ac:dyDescent="0.25">
      <c r="A589" s="1085" t="s">
        <v>77</v>
      </c>
      <c r="B589" s="805" t="s">
        <v>1036</v>
      </c>
      <c r="C589" s="549">
        <v>111.08519805079233</v>
      </c>
      <c r="D589" s="593">
        <v>0</v>
      </c>
      <c r="E589" s="594">
        <v>0</v>
      </c>
      <c r="F589" s="595">
        <v>22.094293534964219</v>
      </c>
      <c r="G589" s="566">
        <v>133.17949158575655</v>
      </c>
      <c r="H589" s="205">
        <f t="shared" si="62"/>
        <v>133.17949158575655</v>
      </c>
    </row>
    <row r="590" spans="1:8" ht="15.75" x14ac:dyDescent="0.25">
      <c r="A590" s="791" t="s">
        <v>185</v>
      </c>
      <c r="B590" s="804" t="s">
        <v>1106</v>
      </c>
      <c r="C590" s="549">
        <v>54.020960132531421</v>
      </c>
      <c r="D590" s="550">
        <v>75.629344185543985</v>
      </c>
      <c r="E590" s="551">
        <v>0</v>
      </c>
      <c r="F590" s="560">
        <v>7.7790182590845252</v>
      </c>
      <c r="G590" s="566">
        <v>137.42932257715992</v>
      </c>
      <c r="H590" s="205">
        <f t="shared" si="62"/>
        <v>137.42932257715992</v>
      </c>
    </row>
    <row r="591" spans="1:8" ht="15.75" x14ac:dyDescent="0.25">
      <c r="A591" s="479" t="s">
        <v>153</v>
      </c>
      <c r="B591" s="805" t="s">
        <v>1133</v>
      </c>
      <c r="C591" s="549">
        <v>0</v>
      </c>
      <c r="D591" s="550">
        <v>125.11254366694277</v>
      </c>
      <c r="E591" s="551">
        <v>0</v>
      </c>
      <c r="F591" s="560">
        <v>12.508853435132831</v>
      </c>
      <c r="G591" s="566">
        <v>137.6213971020756</v>
      </c>
      <c r="H591" s="205">
        <f t="shared" si="62"/>
        <v>137.6213971020756</v>
      </c>
    </row>
    <row r="592" spans="1:8" ht="15.75" x14ac:dyDescent="0.25">
      <c r="A592" s="479" t="s">
        <v>129</v>
      </c>
      <c r="B592" s="805" t="s">
        <v>1114</v>
      </c>
      <c r="C592" s="549">
        <v>0</v>
      </c>
      <c r="D592" s="550">
        <v>128.79114560873941</v>
      </c>
      <c r="E592" s="551">
        <v>0</v>
      </c>
      <c r="F592" s="560">
        <v>10.303291648699153</v>
      </c>
      <c r="G592" s="566">
        <v>139.09443725743856</v>
      </c>
      <c r="H592" s="205">
        <f t="shared" si="62"/>
        <v>139.09443725743856</v>
      </c>
    </row>
    <row r="593" spans="1:8" ht="15.75" x14ac:dyDescent="0.25">
      <c r="A593" s="479" t="s">
        <v>929</v>
      </c>
      <c r="B593" s="805" t="s">
        <v>1145</v>
      </c>
      <c r="C593" s="549">
        <v>117.26882230479352</v>
      </c>
      <c r="D593" s="550">
        <v>0</v>
      </c>
      <c r="E593" s="551">
        <v>14.135504782986796</v>
      </c>
      <c r="F593" s="560">
        <v>9.3815057843834815</v>
      </c>
      <c r="G593" s="566">
        <v>140.78583287216378</v>
      </c>
      <c r="H593" s="205">
        <f t="shared" si="62"/>
        <v>140.78583287216378</v>
      </c>
    </row>
    <row r="594" spans="1:8" ht="15.75" x14ac:dyDescent="0.25">
      <c r="A594" s="479" t="s">
        <v>133</v>
      </c>
      <c r="B594" s="805" t="s">
        <v>1116</v>
      </c>
      <c r="C594" s="549">
        <v>68.426549501206466</v>
      </c>
      <c r="D594" s="550">
        <v>62.244150730483426</v>
      </c>
      <c r="E594" s="551">
        <v>2.7130526644337998</v>
      </c>
      <c r="F594" s="560">
        <v>8.0071067574218802</v>
      </c>
      <c r="G594" s="566">
        <v>141.39085965354559</v>
      </c>
      <c r="H594" s="205">
        <f t="shared" si="62"/>
        <v>141.39085965354559</v>
      </c>
    </row>
    <row r="595" spans="1:8" ht="15.75" x14ac:dyDescent="0.25">
      <c r="A595" s="1087" t="s">
        <v>118</v>
      </c>
      <c r="B595" s="805" t="s">
        <v>1076</v>
      </c>
      <c r="C595" s="549">
        <v>124.62167469162793</v>
      </c>
      <c r="D595" s="550">
        <v>7.8110451373669925</v>
      </c>
      <c r="E595" s="551">
        <v>0</v>
      </c>
      <c r="F595" s="560">
        <v>10.482777621852748</v>
      </c>
      <c r="G595" s="566">
        <v>142.91549745084768</v>
      </c>
      <c r="H595" s="205">
        <f t="shared" si="62"/>
        <v>142.91549745084768</v>
      </c>
    </row>
    <row r="596" spans="1:8" ht="15.75" x14ac:dyDescent="0.25">
      <c r="A596" s="1087" t="s">
        <v>137</v>
      </c>
      <c r="B596" s="805" t="s">
        <v>1116</v>
      </c>
      <c r="C596" s="549">
        <v>67.190069747061855</v>
      </c>
      <c r="D596" s="550">
        <v>67.454172218820901</v>
      </c>
      <c r="E596" s="551">
        <v>2.0527964850361937</v>
      </c>
      <c r="F596" s="560">
        <v>8.1991812823375465</v>
      </c>
      <c r="G596" s="566">
        <v>144.89621973325652</v>
      </c>
      <c r="H596" s="205">
        <f t="shared" si="62"/>
        <v>144.89621973325652</v>
      </c>
    </row>
    <row r="597" spans="1:8" ht="15.75" x14ac:dyDescent="0.25">
      <c r="A597" s="1087" t="s">
        <v>128</v>
      </c>
      <c r="B597" s="805" t="s">
        <v>1114</v>
      </c>
      <c r="C597" s="549">
        <v>0</v>
      </c>
      <c r="D597" s="550">
        <v>137.1280724450194</v>
      </c>
      <c r="E597" s="551">
        <v>0</v>
      </c>
      <c r="F597" s="560">
        <v>10.970245795601551</v>
      </c>
      <c r="G597" s="566">
        <v>148.09831824062096</v>
      </c>
      <c r="H597" s="205">
        <f t="shared" si="62"/>
        <v>148.09831824062096</v>
      </c>
    </row>
    <row r="598" spans="1:8" ht="15.75" x14ac:dyDescent="0.25">
      <c r="A598" s="502" t="s">
        <v>186</v>
      </c>
      <c r="B598" s="804" t="s">
        <v>1106</v>
      </c>
      <c r="C598" s="549">
        <v>84.560809594122517</v>
      </c>
      <c r="D598" s="550">
        <v>55.401495780362779</v>
      </c>
      <c r="E598" s="551">
        <v>0</v>
      </c>
      <c r="F598" s="560">
        <v>8.403260465060443</v>
      </c>
      <c r="G598" s="566">
        <v>148.36556583954575</v>
      </c>
      <c r="H598" s="205">
        <f t="shared" si="62"/>
        <v>148.36556583954575</v>
      </c>
    </row>
    <row r="599" spans="1:8" ht="15.75" x14ac:dyDescent="0.25">
      <c r="A599" s="1087" t="s">
        <v>138</v>
      </c>
      <c r="B599" s="805" t="s">
        <v>1116</v>
      </c>
      <c r="C599" s="549">
        <v>56.181798537832677</v>
      </c>
      <c r="D599" s="550">
        <v>81.631673089158596</v>
      </c>
      <c r="E599" s="551">
        <v>2.9171318471566967</v>
      </c>
      <c r="F599" s="560">
        <v>8.4392744384821317</v>
      </c>
      <c r="G599" s="566">
        <v>149.16987791263008</v>
      </c>
      <c r="H599" s="205">
        <f t="shared" si="62"/>
        <v>149.16987791263008</v>
      </c>
    </row>
    <row r="600" spans="1:8" ht="15.75" x14ac:dyDescent="0.25">
      <c r="A600" s="1087" t="s">
        <v>116</v>
      </c>
      <c r="B600" s="805" t="s">
        <v>1076</v>
      </c>
      <c r="C600" s="549">
        <v>140.59881247260589</v>
      </c>
      <c r="D600" s="550">
        <v>0</v>
      </c>
      <c r="E600" s="551">
        <v>0</v>
      </c>
      <c r="F600" s="560">
        <v>11.201748821996755</v>
      </c>
      <c r="G600" s="566">
        <v>151.80056129460263</v>
      </c>
      <c r="H600" s="205">
        <f t="shared" si="62"/>
        <v>151.80056129460263</v>
      </c>
    </row>
    <row r="601" spans="1:8" ht="15.75" x14ac:dyDescent="0.25">
      <c r="A601" s="1090" t="s">
        <v>76</v>
      </c>
      <c r="B601" s="805" t="s">
        <v>1036</v>
      </c>
      <c r="C601" s="549">
        <v>128.88337895395793</v>
      </c>
      <c r="D601" s="593">
        <v>0</v>
      </c>
      <c r="E601" s="594">
        <v>0</v>
      </c>
      <c r="F601" s="595">
        <v>25.77667579079159</v>
      </c>
      <c r="G601" s="566">
        <v>154.66005474474952</v>
      </c>
      <c r="H601" s="205">
        <f t="shared" si="62"/>
        <v>154.66005474474952</v>
      </c>
    </row>
    <row r="602" spans="1:8" ht="15.75" x14ac:dyDescent="0.25">
      <c r="A602" s="1087" t="s">
        <v>135</v>
      </c>
      <c r="B602" s="805" t="s">
        <v>1116</v>
      </c>
      <c r="C602" s="549">
        <v>49.963385793687948</v>
      </c>
      <c r="D602" s="550">
        <v>94.704745441231196</v>
      </c>
      <c r="E602" s="551">
        <v>2.4489501926747579</v>
      </c>
      <c r="F602" s="560">
        <v>8.8234234883134643</v>
      </c>
      <c r="G602" s="566">
        <v>155.94050491590738</v>
      </c>
      <c r="H602" s="205">
        <f t="shared" si="62"/>
        <v>155.94050491590738</v>
      </c>
    </row>
    <row r="603" spans="1:8" ht="15.75" x14ac:dyDescent="0.25">
      <c r="A603" s="1087" t="s">
        <v>134</v>
      </c>
      <c r="B603" s="805" t="s">
        <v>1116</v>
      </c>
      <c r="C603" s="549">
        <v>58.630748730507442</v>
      </c>
      <c r="D603" s="550">
        <v>90.431087261857598</v>
      </c>
      <c r="E603" s="551">
        <v>2.7250573222410295</v>
      </c>
      <c r="F603" s="560">
        <v>9.1115352756869665</v>
      </c>
      <c r="G603" s="566">
        <v>160.89842859029307</v>
      </c>
      <c r="H603" s="205">
        <f t="shared" si="62"/>
        <v>160.89842859029307</v>
      </c>
    </row>
    <row r="604" spans="1:8" ht="15.75" x14ac:dyDescent="0.25">
      <c r="A604" s="1087" t="s">
        <v>136</v>
      </c>
      <c r="B604" s="805" t="s">
        <v>1116</v>
      </c>
      <c r="C604" s="549">
        <v>45.749750903350495</v>
      </c>
      <c r="D604" s="550">
        <v>105.42490486308687</v>
      </c>
      <c r="E604" s="551">
        <v>3.0011644518073011</v>
      </c>
      <c r="F604" s="560">
        <v>9.2555911693737158</v>
      </c>
      <c r="G604" s="566">
        <v>163.43141138761837</v>
      </c>
      <c r="H604" s="205">
        <f t="shared" si="62"/>
        <v>163.43141138761837</v>
      </c>
    </row>
    <row r="605" spans="1:8" ht="15.75" x14ac:dyDescent="0.25">
      <c r="A605" s="1087" t="s">
        <v>105</v>
      </c>
      <c r="B605" s="805" t="s">
        <v>1066</v>
      </c>
      <c r="C605" s="549">
        <v>0</v>
      </c>
      <c r="D605" s="550">
        <v>131.34135877966571</v>
      </c>
      <c r="E605" s="551">
        <v>0</v>
      </c>
      <c r="F605" s="560">
        <v>35.462166870509741</v>
      </c>
      <c r="G605" s="566">
        <v>166.80352565017546</v>
      </c>
      <c r="H605" s="205">
        <f t="shared" si="62"/>
        <v>166.80352565017546</v>
      </c>
    </row>
    <row r="606" spans="1:8" ht="15.75" x14ac:dyDescent="0.25">
      <c r="A606" s="1087" t="s">
        <v>86</v>
      </c>
      <c r="B606" s="805" t="s">
        <v>1050</v>
      </c>
      <c r="C606" s="549">
        <v>57.622357474700181</v>
      </c>
      <c r="D606" s="593">
        <v>101.55940504915907</v>
      </c>
      <c r="E606" s="594">
        <v>0</v>
      </c>
      <c r="F606" s="595">
        <v>7.9590881261929622</v>
      </c>
      <c r="G606" s="566">
        <v>167.14085065005222</v>
      </c>
      <c r="H606" s="205">
        <f t="shared" si="62"/>
        <v>167.14085065005222</v>
      </c>
    </row>
    <row r="607" spans="1:8" ht="15.75" x14ac:dyDescent="0.25">
      <c r="A607" s="479" t="s">
        <v>154</v>
      </c>
      <c r="B607" s="805" t="s">
        <v>1133</v>
      </c>
      <c r="C607" s="549">
        <v>0</v>
      </c>
      <c r="D607" s="550">
        <v>153.34749882954586</v>
      </c>
      <c r="E607" s="551">
        <v>0</v>
      </c>
      <c r="F607" s="560">
        <v>15.329948019831694</v>
      </c>
      <c r="G607" s="566">
        <v>168.67744684937756</v>
      </c>
      <c r="H607" s="205">
        <f t="shared" si="62"/>
        <v>168.67744684937756</v>
      </c>
    </row>
    <row r="608" spans="1:8" ht="15.75" x14ac:dyDescent="0.25">
      <c r="A608" s="1103" t="s">
        <v>212</v>
      </c>
      <c r="B608" s="805" t="s">
        <v>1151</v>
      </c>
      <c r="C608" s="549">
        <v>48</v>
      </c>
      <c r="D608" s="550">
        <v>124.66</v>
      </c>
      <c r="E608" s="551" t="s">
        <v>5</v>
      </c>
      <c r="F608" s="560" t="s">
        <v>5</v>
      </c>
      <c r="G608" s="566">
        <v>172.66</v>
      </c>
      <c r="H608" s="205">
        <f>C608+D608</f>
        <v>172.66</v>
      </c>
    </row>
    <row r="609" spans="1:8" ht="15.75" x14ac:dyDescent="0.25">
      <c r="A609" s="479" t="s">
        <v>878</v>
      </c>
      <c r="B609" s="805" t="s">
        <v>1050</v>
      </c>
      <c r="C609" s="549">
        <v>50.419562790362662</v>
      </c>
      <c r="D609" s="593">
        <v>115.24471494940036</v>
      </c>
      <c r="E609" s="594">
        <v>0</v>
      </c>
      <c r="F609" s="595">
        <v>8.2832138869881522</v>
      </c>
      <c r="G609" s="566">
        <v>173.94749162675117</v>
      </c>
      <c r="H609" s="205">
        <f>C609+D609+E609+F609</f>
        <v>173.94749162675117</v>
      </c>
    </row>
    <row r="610" spans="1:8" ht="15.75" x14ac:dyDescent="0.25">
      <c r="A610" s="479" t="s">
        <v>912</v>
      </c>
      <c r="B610" s="805" t="s">
        <v>1052</v>
      </c>
      <c r="C610" s="549">
        <v>0</v>
      </c>
      <c r="D610" s="593">
        <v>151.53594654503681</v>
      </c>
      <c r="E610" s="594">
        <v>0</v>
      </c>
      <c r="F610" s="595">
        <v>22.749192967679225</v>
      </c>
      <c r="G610" s="566">
        <v>174.28513951271603</v>
      </c>
      <c r="H610" s="205">
        <f>C610+D610+E610+F610</f>
        <v>174.28513951271603</v>
      </c>
    </row>
    <row r="611" spans="1:8" ht="15.75" x14ac:dyDescent="0.25">
      <c r="A611" s="479" t="s">
        <v>913</v>
      </c>
      <c r="B611" s="805" t="s">
        <v>1052</v>
      </c>
      <c r="C611" s="549">
        <v>0</v>
      </c>
      <c r="D611" s="593">
        <v>152.52299830603116</v>
      </c>
      <c r="E611" s="594">
        <v>0</v>
      </c>
      <c r="F611" s="595">
        <v>22.890200362106988</v>
      </c>
      <c r="G611" s="566">
        <v>175.41319866813814</v>
      </c>
      <c r="H611" s="205">
        <f>C611+D611+E611+F611</f>
        <v>175.41319866813814</v>
      </c>
    </row>
    <row r="612" spans="1:8" ht="15.75" x14ac:dyDescent="0.25">
      <c r="A612" s="479" t="s">
        <v>170</v>
      </c>
      <c r="B612" s="805" t="s">
        <v>1151</v>
      </c>
      <c r="C612" s="549" t="s">
        <v>5</v>
      </c>
      <c r="D612" s="550">
        <v>178.85</v>
      </c>
      <c r="E612" s="551" t="s">
        <v>5</v>
      </c>
      <c r="F612" s="560" t="s">
        <v>5</v>
      </c>
      <c r="G612" s="566">
        <v>178.85</v>
      </c>
      <c r="H612" s="205">
        <f>D612</f>
        <v>178.85</v>
      </c>
    </row>
    <row r="613" spans="1:8" ht="15.75" x14ac:dyDescent="0.25">
      <c r="A613" s="479" t="s">
        <v>125</v>
      </c>
      <c r="B613" s="805" t="s">
        <v>1112</v>
      </c>
      <c r="C613" s="549">
        <v>149.78069133112257</v>
      </c>
      <c r="D613" s="550">
        <v>0</v>
      </c>
      <c r="E613" s="551">
        <v>0</v>
      </c>
      <c r="F613" s="560">
        <v>37.445172832780642</v>
      </c>
      <c r="G613" s="566">
        <v>187.22586416390322</v>
      </c>
      <c r="H613" s="205">
        <f t="shared" ref="H613:H621" si="63">C613+D613+E613+F613</f>
        <v>187.22586416390322</v>
      </c>
    </row>
    <row r="614" spans="1:8" ht="15.75" x14ac:dyDescent="0.25">
      <c r="A614" s="479" t="s">
        <v>631</v>
      </c>
      <c r="B614" s="805" t="s">
        <v>1058</v>
      </c>
      <c r="C614" s="549">
        <v>13.145100298915978</v>
      </c>
      <c r="D614" s="593">
        <v>111.64331760723161</v>
      </c>
      <c r="E614" s="594">
        <v>52.820494351808499</v>
      </c>
      <c r="F614" s="595">
        <v>9.7597867972773447</v>
      </c>
      <c r="G614" s="566">
        <v>187.36869905523344</v>
      </c>
      <c r="H614" s="205">
        <f t="shared" si="63"/>
        <v>187.36869905523344</v>
      </c>
    </row>
    <row r="615" spans="1:8" ht="15.75" x14ac:dyDescent="0.25">
      <c r="A615" s="479" t="s">
        <v>158</v>
      </c>
      <c r="B615" s="805" t="s">
        <v>1135</v>
      </c>
      <c r="C615" s="549">
        <v>0</v>
      </c>
      <c r="D615" s="550">
        <v>151.3426606162281</v>
      </c>
      <c r="E615" s="551">
        <v>0</v>
      </c>
      <c r="F615" s="560">
        <v>37.835665154057025</v>
      </c>
      <c r="G615" s="566">
        <v>189.17832577028514</v>
      </c>
      <c r="H615" s="205">
        <f t="shared" si="63"/>
        <v>189.17832577028514</v>
      </c>
    </row>
    <row r="616" spans="1:8" ht="15.75" x14ac:dyDescent="0.25">
      <c r="A616" s="1087" t="s">
        <v>126</v>
      </c>
      <c r="B616" s="805" t="s">
        <v>1112</v>
      </c>
      <c r="C616" s="549">
        <v>37.536576834813467</v>
      </c>
      <c r="D616" s="550">
        <v>119.06894664809337</v>
      </c>
      <c r="E616" s="551">
        <v>0</v>
      </c>
      <c r="F616" s="560">
        <v>34.459308766375024</v>
      </c>
      <c r="G616" s="566">
        <v>191.06483224928186</v>
      </c>
      <c r="H616" s="205">
        <f t="shared" si="63"/>
        <v>191.06483224928186</v>
      </c>
    </row>
    <row r="617" spans="1:8" ht="15.75" x14ac:dyDescent="0.25">
      <c r="A617" s="1087" t="s">
        <v>127</v>
      </c>
      <c r="B617" s="805" t="s">
        <v>1112</v>
      </c>
      <c r="C617" s="549">
        <v>38.609050458665287</v>
      </c>
      <c r="D617" s="550">
        <v>106.51613036891874</v>
      </c>
      <c r="E617" s="551">
        <v>11.894707464538293</v>
      </c>
      <c r="F617" s="560">
        <v>39.254972073030579</v>
      </c>
      <c r="G617" s="566">
        <v>196.2748603651529</v>
      </c>
      <c r="H617" s="205">
        <f t="shared" si="63"/>
        <v>196.2748603651529</v>
      </c>
    </row>
    <row r="618" spans="1:8" ht="15.75" x14ac:dyDescent="0.25">
      <c r="A618" s="1087" t="s">
        <v>879</v>
      </c>
      <c r="B618" s="805" t="s">
        <v>1050</v>
      </c>
      <c r="C618" s="549">
        <v>79.230741527712752</v>
      </c>
      <c r="D618" s="593">
        <v>108.04192026506284</v>
      </c>
      <c r="E618" s="594">
        <v>0</v>
      </c>
      <c r="F618" s="595">
        <v>9.36363308963878</v>
      </c>
      <c r="G618" s="566">
        <v>196.63629488241435</v>
      </c>
      <c r="H618" s="205">
        <f t="shared" si="63"/>
        <v>196.63629488241435</v>
      </c>
    </row>
    <row r="619" spans="1:8" ht="15.75" x14ac:dyDescent="0.25">
      <c r="A619" s="502" t="s">
        <v>183</v>
      </c>
      <c r="B619" s="804" t="s">
        <v>1106</v>
      </c>
      <c r="C619" s="549">
        <v>70.827481062652311</v>
      </c>
      <c r="D619" s="550">
        <v>108.04192026506284</v>
      </c>
      <c r="E619" s="551">
        <v>9.4116517208676953</v>
      </c>
      <c r="F619" s="560">
        <v>11.296382996602681</v>
      </c>
      <c r="G619" s="566">
        <v>199.57743604518552</v>
      </c>
      <c r="H619" s="205">
        <f t="shared" si="63"/>
        <v>199.57743604518552</v>
      </c>
    </row>
    <row r="620" spans="1:8" ht="15.75" x14ac:dyDescent="0.25">
      <c r="A620" s="1087" t="s">
        <v>85</v>
      </c>
      <c r="B620" s="805" t="s">
        <v>1050</v>
      </c>
      <c r="C620" s="549">
        <v>79.230741527712752</v>
      </c>
      <c r="D620" s="593">
        <v>112.84378338795452</v>
      </c>
      <c r="E620" s="594">
        <v>0</v>
      </c>
      <c r="F620" s="595">
        <v>9.6037262457833634</v>
      </c>
      <c r="G620" s="566">
        <v>201.67825116145065</v>
      </c>
      <c r="H620" s="205">
        <f t="shared" si="63"/>
        <v>201.67825116145065</v>
      </c>
    </row>
    <row r="621" spans="1:8" ht="15.75" x14ac:dyDescent="0.25">
      <c r="A621" s="502" t="s">
        <v>182</v>
      </c>
      <c r="B621" s="804" t="s">
        <v>1106</v>
      </c>
      <c r="C621" s="549">
        <v>50.599632657471098</v>
      </c>
      <c r="D621" s="550">
        <v>141.65496212530462</v>
      </c>
      <c r="E621" s="551">
        <v>0</v>
      </c>
      <c r="F621" s="560">
        <v>11.536476152747264</v>
      </c>
      <c r="G621" s="566">
        <v>203.79107093552298</v>
      </c>
      <c r="H621" s="205">
        <f t="shared" si="63"/>
        <v>203.79107093552298</v>
      </c>
    </row>
    <row r="622" spans="1:8" ht="15.75" x14ac:dyDescent="0.25">
      <c r="A622" s="1087" t="s">
        <v>172</v>
      </c>
      <c r="B622" s="805" t="s">
        <v>1151</v>
      </c>
      <c r="C622" s="549" t="s">
        <v>5</v>
      </c>
      <c r="D622" s="550">
        <v>204.17</v>
      </c>
      <c r="E622" s="551" t="s">
        <v>5</v>
      </c>
      <c r="F622" s="560" t="s">
        <v>5</v>
      </c>
      <c r="G622" s="566">
        <v>204.17</v>
      </c>
      <c r="H622" s="205">
        <f>D622</f>
        <v>204.17</v>
      </c>
    </row>
    <row r="623" spans="1:8" ht="15.75" x14ac:dyDescent="0.25">
      <c r="A623" s="1087" t="s">
        <v>630</v>
      </c>
      <c r="B623" s="1089" t="s">
        <v>1058</v>
      </c>
      <c r="C623" s="549">
        <v>32.040431687494745</v>
      </c>
      <c r="D623" s="593">
        <v>120.04657807229205</v>
      </c>
      <c r="E623" s="594">
        <v>42.016302325302213</v>
      </c>
      <c r="F623" s="595">
        <v>10.672140790626763</v>
      </c>
      <c r="G623" s="566">
        <v>204.77545287571576</v>
      </c>
      <c r="H623" s="205">
        <f>C623+D623+E623+F623</f>
        <v>204.77545287571576</v>
      </c>
    </row>
    <row r="624" spans="1:8" ht="15.75" x14ac:dyDescent="0.25">
      <c r="A624" s="1087" t="s">
        <v>174</v>
      </c>
      <c r="B624" s="1089" t="s">
        <v>1151</v>
      </c>
      <c r="C624" s="549">
        <v>142.32</v>
      </c>
      <c r="D624" s="550">
        <v>67.36</v>
      </c>
      <c r="E624" s="551" t="s">
        <v>5</v>
      </c>
      <c r="F624" s="560" t="s">
        <v>5</v>
      </c>
      <c r="G624" s="566">
        <v>209.68</v>
      </c>
      <c r="H624" s="205">
        <f>C624+D624</f>
        <v>209.68</v>
      </c>
    </row>
    <row r="625" spans="1:8" ht="15.75" x14ac:dyDescent="0.25">
      <c r="A625" s="1087" t="s">
        <v>151</v>
      </c>
      <c r="B625" s="1089" t="s">
        <v>1133</v>
      </c>
      <c r="C625" s="549">
        <v>0</v>
      </c>
      <c r="D625" s="550">
        <v>192.62673917479984</v>
      </c>
      <c r="E625" s="551">
        <v>0</v>
      </c>
      <c r="F625" s="560">
        <v>19.267475780602876</v>
      </c>
      <c r="G625" s="566">
        <v>211.8942149554027</v>
      </c>
      <c r="H625" s="205">
        <f t="shared" ref="H625:H657" si="64">C625+D625+E625+F625</f>
        <v>211.8942149554027</v>
      </c>
    </row>
    <row r="626" spans="1:8" ht="15.75" x14ac:dyDescent="0.25">
      <c r="A626" s="1090" t="s">
        <v>71</v>
      </c>
      <c r="B626" s="1089" t="s">
        <v>1032</v>
      </c>
      <c r="C626" s="549">
        <v>31.212110298795931</v>
      </c>
      <c r="D626" s="593">
        <v>170.98234114836558</v>
      </c>
      <c r="E626" s="594">
        <v>0</v>
      </c>
      <c r="F626" s="595">
        <v>12.136709043108725</v>
      </c>
      <c r="G626" s="566">
        <v>214.33116049027024</v>
      </c>
      <c r="H626" s="205">
        <f t="shared" si="64"/>
        <v>214.33116049027024</v>
      </c>
    </row>
    <row r="627" spans="1:8" ht="15.75" x14ac:dyDescent="0.25">
      <c r="A627" s="1087" t="s">
        <v>169</v>
      </c>
      <c r="B627" s="1089" t="s">
        <v>1149</v>
      </c>
      <c r="C627" s="549">
        <v>32.530543842577572</v>
      </c>
      <c r="D627" s="550">
        <v>182.18185749810792</v>
      </c>
      <c r="E627" s="551">
        <v>0</v>
      </c>
      <c r="F627" s="560">
        <v>0</v>
      </c>
      <c r="G627" s="566">
        <v>214.71240134068549</v>
      </c>
      <c r="H627" s="205">
        <f t="shared" si="64"/>
        <v>214.71240134068549</v>
      </c>
    </row>
    <row r="628" spans="1:8" ht="15.75" x14ac:dyDescent="0.25">
      <c r="A628" s="479" t="s">
        <v>167</v>
      </c>
      <c r="B628" s="1089" t="s">
        <v>1149</v>
      </c>
      <c r="C628" s="549">
        <v>42.301870472483515</v>
      </c>
      <c r="D628" s="550">
        <v>173.49172883554979</v>
      </c>
      <c r="E628" s="551">
        <v>0</v>
      </c>
      <c r="F628" s="560">
        <v>0</v>
      </c>
      <c r="G628" s="566">
        <v>215.79359930803332</v>
      </c>
      <c r="H628" s="205">
        <f t="shared" si="64"/>
        <v>215.79359930803332</v>
      </c>
    </row>
    <row r="629" spans="1:8" ht="15.75" x14ac:dyDescent="0.25">
      <c r="A629" s="479" t="s">
        <v>101</v>
      </c>
      <c r="B629" s="1089" t="s">
        <v>1058</v>
      </c>
      <c r="C629" s="549">
        <v>24.741599740699389</v>
      </c>
      <c r="D629" s="593">
        <v>122.44750963373788</v>
      </c>
      <c r="E629" s="594">
        <v>57.622357474700181</v>
      </c>
      <c r="F629" s="595">
        <v>11.308387654409911</v>
      </c>
      <c r="G629" s="566">
        <v>216.11985450354734</v>
      </c>
      <c r="H629" s="205">
        <f t="shared" si="64"/>
        <v>216.11985450354734</v>
      </c>
    </row>
    <row r="630" spans="1:8" ht="15.75" x14ac:dyDescent="0.25">
      <c r="A630" s="479" t="s">
        <v>911</v>
      </c>
      <c r="B630" s="1089" t="s">
        <v>1052</v>
      </c>
      <c r="C630" s="549">
        <v>0</v>
      </c>
      <c r="D630" s="593">
        <v>189.74895043496079</v>
      </c>
      <c r="E630" s="594">
        <v>0</v>
      </c>
      <c r="F630" s="595">
        <v>28.483493674408283</v>
      </c>
      <c r="G630" s="566">
        <v>218.23244410936908</v>
      </c>
      <c r="H630" s="205">
        <f t="shared" si="64"/>
        <v>218.23244410936908</v>
      </c>
    </row>
    <row r="631" spans="1:8" ht="15.75" x14ac:dyDescent="0.25">
      <c r="A631" s="479" t="s">
        <v>166</v>
      </c>
      <c r="B631" s="1089" t="s">
        <v>1149</v>
      </c>
      <c r="C631" s="549">
        <v>46.559087468915564</v>
      </c>
      <c r="D631" s="550">
        <v>173.11330954697806</v>
      </c>
      <c r="E631" s="551">
        <v>0</v>
      </c>
      <c r="F631" s="560">
        <v>0</v>
      </c>
      <c r="G631" s="566">
        <v>219.67239701589364</v>
      </c>
      <c r="H631" s="205">
        <f t="shared" si="64"/>
        <v>219.67239701589364</v>
      </c>
    </row>
    <row r="632" spans="1:8" ht="15.75" x14ac:dyDescent="0.25">
      <c r="A632" s="479" t="s">
        <v>117</v>
      </c>
      <c r="B632" s="1089" t="s">
        <v>1076</v>
      </c>
      <c r="C632" s="549">
        <v>133.14281484148285</v>
      </c>
      <c r="D632" s="550">
        <v>70.725463243795687</v>
      </c>
      <c r="E632" s="551">
        <v>0</v>
      </c>
      <c r="F632" s="560">
        <v>16.2789281612853</v>
      </c>
      <c r="G632" s="566">
        <v>220.14720624656383</v>
      </c>
      <c r="H632" s="205">
        <f t="shared" si="64"/>
        <v>220.14720624656383</v>
      </c>
    </row>
    <row r="633" spans="1:8" ht="15.75" x14ac:dyDescent="0.25">
      <c r="A633" s="791" t="s">
        <v>180</v>
      </c>
      <c r="B633" s="263" t="s">
        <v>1028</v>
      </c>
      <c r="C633" s="549">
        <v>70.200070200070201</v>
      </c>
      <c r="D633" s="593">
        <v>156.00015600015601</v>
      </c>
      <c r="E633" s="594">
        <v>0</v>
      </c>
      <c r="F633" s="595">
        <v>0</v>
      </c>
      <c r="G633" s="566">
        <v>226.20022620022621</v>
      </c>
      <c r="H633" s="205">
        <f t="shared" si="64"/>
        <v>226.20022620022621</v>
      </c>
    </row>
    <row r="634" spans="1:8" ht="15.75" x14ac:dyDescent="0.25">
      <c r="A634" s="479" t="s">
        <v>100</v>
      </c>
      <c r="B634" s="1089" t="s">
        <v>1058</v>
      </c>
      <c r="C634" s="549">
        <v>49.447185507977089</v>
      </c>
      <c r="D634" s="593">
        <v>123.6479754144608</v>
      </c>
      <c r="E634" s="594">
        <v>42.016302325302213</v>
      </c>
      <c r="F634" s="595">
        <v>11.800578624506308</v>
      </c>
      <c r="G634" s="566">
        <v>226.91204187224639</v>
      </c>
      <c r="H634" s="205">
        <f t="shared" si="64"/>
        <v>226.91204187224639</v>
      </c>
    </row>
    <row r="635" spans="1:8" ht="15.75" x14ac:dyDescent="0.25">
      <c r="A635" s="479" t="s">
        <v>91</v>
      </c>
      <c r="B635" s="805" t="s">
        <v>1056</v>
      </c>
      <c r="C635" s="549">
        <v>47.44240765416982</v>
      </c>
      <c r="D635" s="593">
        <v>135.65263322169002</v>
      </c>
      <c r="E635" s="594">
        <v>0</v>
      </c>
      <c r="F635" s="595">
        <v>43.937047574458887</v>
      </c>
      <c r="G635" s="566">
        <v>227.03208845031872</v>
      </c>
      <c r="H635" s="205">
        <f t="shared" si="64"/>
        <v>227.03208845031872</v>
      </c>
    </row>
    <row r="636" spans="1:8" ht="15.75" x14ac:dyDescent="0.25">
      <c r="A636" s="479" t="s">
        <v>92</v>
      </c>
      <c r="B636" s="805" t="s">
        <v>1056</v>
      </c>
      <c r="C636" s="549">
        <v>47.44240765416982</v>
      </c>
      <c r="D636" s="593">
        <v>135.65263322169002</v>
      </c>
      <c r="E636" s="594">
        <v>0</v>
      </c>
      <c r="F636" s="595">
        <v>43.937047574458887</v>
      </c>
      <c r="G636" s="566">
        <v>227.03208845031872</v>
      </c>
      <c r="H636" s="205">
        <f t="shared" si="64"/>
        <v>227.03208845031872</v>
      </c>
    </row>
    <row r="637" spans="1:8" ht="15.75" x14ac:dyDescent="0.25">
      <c r="A637" s="479" t="s">
        <v>195</v>
      </c>
      <c r="B637" s="805" t="s">
        <v>1056</v>
      </c>
      <c r="C637" s="549">
        <v>47.44240765416982</v>
      </c>
      <c r="D637" s="593">
        <v>135.65263322169002</v>
      </c>
      <c r="E637" s="594">
        <v>0</v>
      </c>
      <c r="F637" s="595">
        <v>43.937047574458887</v>
      </c>
      <c r="G637" s="566">
        <v>227.03208845031872</v>
      </c>
      <c r="H637" s="205">
        <f t="shared" si="64"/>
        <v>227.03208845031872</v>
      </c>
    </row>
    <row r="638" spans="1:8" ht="15.75" x14ac:dyDescent="0.25">
      <c r="A638" s="791" t="s">
        <v>184</v>
      </c>
      <c r="B638" s="804" t="s">
        <v>1106</v>
      </c>
      <c r="C638" s="549">
        <v>73.444496464628273</v>
      </c>
      <c r="D638" s="550">
        <v>122.44750963373788</v>
      </c>
      <c r="E638" s="551">
        <v>22.088570365301734</v>
      </c>
      <c r="F638" s="560">
        <v>13.073072352072604</v>
      </c>
      <c r="G638" s="566">
        <v>231.0536488157405</v>
      </c>
      <c r="H638" s="205">
        <f t="shared" si="64"/>
        <v>231.0536488157405</v>
      </c>
    </row>
    <row r="639" spans="1:8" ht="15.75" x14ac:dyDescent="0.25">
      <c r="A639" s="479" t="s">
        <v>915</v>
      </c>
      <c r="B639" s="805" t="s">
        <v>1052</v>
      </c>
      <c r="C639" s="549">
        <v>0</v>
      </c>
      <c r="D639" s="593">
        <v>204.27271206102046</v>
      </c>
      <c r="E639" s="594">
        <v>0</v>
      </c>
      <c r="F639" s="595">
        <v>30.645607055633995</v>
      </c>
      <c r="G639" s="566">
        <v>234.91831911665446</v>
      </c>
      <c r="H639" s="205">
        <f t="shared" si="64"/>
        <v>234.91831911665446</v>
      </c>
    </row>
    <row r="640" spans="1:8" ht="15.75" x14ac:dyDescent="0.25">
      <c r="A640" s="1085" t="s">
        <v>940</v>
      </c>
      <c r="B640" s="805" t="s">
        <v>1040</v>
      </c>
      <c r="C640" s="549">
        <v>87.214433957013028</v>
      </c>
      <c r="D640" s="593">
        <v>149.74673780802965</v>
      </c>
      <c r="E640" s="594">
        <v>0</v>
      </c>
      <c r="F640" s="595">
        <v>0</v>
      </c>
      <c r="G640" s="566">
        <v>236.96117176504268</v>
      </c>
      <c r="H640" s="205">
        <f t="shared" si="64"/>
        <v>236.96117176504268</v>
      </c>
    </row>
    <row r="641" spans="1:8" ht="15.75" x14ac:dyDescent="0.25">
      <c r="A641" s="479" t="s">
        <v>634</v>
      </c>
      <c r="B641" s="805" t="s">
        <v>1058</v>
      </c>
      <c r="C641" s="549">
        <v>11.356406285638828</v>
      </c>
      <c r="D641" s="593">
        <v>169.26567508193179</v>
      </c>
      <c r="E641" s="594">
        <v>44.417233886748058</v>
      </c>
      <c r="F641" s="595">
        <v>12.364797541446082</v>
      </c>
      <c r="G641" s="566">
        <v>237.40411279576475</v>
      </c>
      <c r="H641" s="205">
        <f t="shared" si="64"/>
        <v>237.40411279576475</v>
      </c>
    </row>
    <row r="642" spans="1:8" ht="15.75" x14ac:dyDescent="0.25">
      <c r="A642" s="479" t="s">
        <v>939</v>
      </c>
      <c r="B642" s="805" t="s">
        <v>1062</v>
      </c>
      <c r="C642" s="549">
        <v>19.723652777277582</v>
      </c>
      <c r="D642" s="550">
        <v>203.35890325446272</v>
      </c>
      <c r="E642" s="551">
        <v>0</v>
      </c>
      <c r="F642" s="560">
        <v>15.606055149397966</v>
      </c>
      <c r="G642" s="566">
        <v>238.68861118113827</v>
      </c>
      <c r="H642" s="205">
        <f t="shared" si="64"/>
        <v>238.68861118113827</v>
      </c>
    </row>
    <row r="643" spans="1:8" ht="15.75" x14ac:dyDescent="0.25">
      <c r="A643" s="479" t="s">
        <v>162</v>
      </c>
      <c r="B643" s="805" t="s">
        <v>1137</v>
      </c>
      <c r="C643" s="549">
        <v>71.837605960468792</v>
      </c>
      <c r="D643" s="550">
        <v>149.83272100326349</v>
      </c>
      <c r="E643" s="551">
        <v>0</v>
      </c>
      <c r="F643" s="560">
        <v>17.733626157098584</v>
      </c>
      <c r="G643" s="566">
        <v>239.40395312083086</v>
      </c>
      <c r="H643" s="205">
        <f t="shared" si="64"/>
        <v>239.40395312083086</v>
      </c>
    </row>
    <row r="644" spans="1:8" ht="15.75" x14ac:dyDescent="0.25">
      <c r="A644" s="479" t="s">
        <v>165</v>
      </c>
      <c r="B644" s="805" t="s">
        <v>1149</v>
      </c>
      <c r="C644" s="549">
        <v>35.247053735538977</v>
      </c>
      <c r="D644" s="550">
        <v>205.33300897394312</v>
      </c>
      <c r="E644" s="551">
        <v>0</v>
      </c>
      <c r="F644" s="560">
        <v>0</v>
      </c>
      <c r="G644" s="566">
        <v>240.58006270948209</v>
      </c>
      <c r="H644" s="205">
        <f t="shared" si="64"/>
        <v>240.58006270948209</v>
      </c>
    </row>
    <row r="645" spans="1:8" ht="15.75" x14ac:dyDescent="0.25">
      <c r="A645" s="479" t="s">
        <v>98</v>
      </c>
      <c r="B645" s="805" t="s">
        <v>1058</v>
      </c>
      <c r="C645" s="549">
        <v>27.178545275566918</v>
      </c>
      <c r="D645" s="593">
        <v>141.65496212530462</v>
      </c>
      <c r="E645" s="594">
        <v>60.023289036146025</v>
      </c>
      <c r="F645" s="595">
        <v>12.604890697590665</v>
      </c>
      <c r="G645" s="566">
        <v>241.46168713460824</v>
      </c>
      <c r="H645" s="205">
        <f t="shared" si="64"/>
        <v>241.46168713460824</v>
      </c>
    </row>
    <row r="646" spans="1:8" ht="15.75" x14ac:dyDescent="0.25">
      <c r="A646" s="1086" t="s">
        <v>1306</v>
      </c>
      <c r="B646" s="1083" t="s">
        <v>1088</v>
      </c>
      <c r="C646" s="549">
        <v>70.827481062652311</v>
      </c>
      <c r="D646" s="550">
        <v>172.13478829785956</v>
      </c>
      <c r="E646" s="551">
        <v>0</v>
      </c>
      <c r="F646" s="560">
        <v>0</v>
      </c>
      <c r="G646" s="566">
        <v>242.96226936051187</v>
      </c>
      <c r="H646" s="205">
        <f t="shared" si="64"/>
        <v>242.96226936051187</v>
      </c>
    </row>
    <row r="647" spans="1:8" ht="15.75" x14ac:dyDescent="0.25">
      <c r="A647" s="479" t="s">
        <v>914</v>
      </c>
      <c r="B647" s="805" t="s">
        <v>1052</v>
      </c>
      <c r="C647" s="549">
        <v>0</v>
      </c>
      <c r="D647" s="593">
        <v>211.79310643050121</v>
      </c>
      <c r="E647" s="594">
        <v>0</v>
      </c>
      <c r="F647" s="595">
        <v>31.773666211056106</v>
      </c>
      <c r="G647" s="566">
        <v>243.56677264155732</v>
      </c>
      <c r="H647" s="205">
        <f t="shared" si="64"/>
        <v>243.56677264155732</v>
      </c>
    </row>
    <row r="648" spans="1:8" ht="15.75" x14ac:dyDescent="0.25">
      <c r="A648" s="479" t="s">
        <v>160</v>
      </c>
      <c r="B648" s="805" t="s">
        <v>1137</v>
      </c>
      <c r="C648" s="549">
        <v>114.94016953675008</v>
      </c>
      <c r="D648" s="550">
        <v>110.83516348186615</v>
      </c>
      <c r="E648" s="551">
        <v>0</v>
      </c>
      <c r="F648" s="560">
        <v>18.0620266414893</v>
      </c>
      <c r="G648" s="566">
        <v>243.83735966010551</v>
      </c>
      <c r="H648" s="205">
        <f t="shared" si="64"/>
        <v>243.83735966010551</v>
      </c>
    </row>
    <row r="649" spans="1:8" ht="15.75" x14ac:dyDescent="0.25">
      <c r="A649" s="1085" t="s">
        <v>67</v>
      </c>
      <c r="B649" s="805" t="s">
        <v>1032</v>
      </c>
      <c r="C649" s="549">
        <v>24.009315614458409</v>
      </c>
      <c r="D649" s="593">
        <v>207.12836580593267</v>
      </c>
      <c r="E649" s="594">
        <v>0</v>
      </c>
      <c r="F649" s="595">
        <v>13.865379767349731</v>
      </c>
      <c r="G649" s="566">
        <v>245.00306118774083</v>
      </c>
      <c r="H649" s="205">
        <f t="shared" si="64"/>
        <v>245.00306118774083</v>
      </c>
    </row>
    <row r="650" spans="1:8" ht="15.75" x14ac:dyDescent="0.25">
      <c r="A650" s="1085" t="s">
        <v>69</v>
      </c>
      <c r="B650" s="805" t="s">
        <v>1032</v>
      </c>
      <c r="C650" s="549">
        <v>24.009315614458409</v>
      </c>
      <c r="D650" s="593">
        <v>207.12836580593267</v>
      </c>
      <c r="E650" s="594">
        <v>0</v>
      </c>
      <c r="F650" s="595">
        <v>13.865379767349731</v>
      </c>
      <c r="G650" s="566">
        <v>245.00306118774083</v>
      </c>
      <c r="H650" s="205">
        <f t="shared" si="64"/>
        <v>245.00306118774083</v>
      </c>
    </row>
    <row r="651" spans="1:8" ht="15.75" x14ac:dyDescent="0.25">
      <c r="A651" s="1085" t="s">
        <v>70</v>
      </c>
      <c r="B651" s="805" t="s">
        <v>1032</v>
      </c>
      <c r="C651" s="549">
        <v>24.009315614458409</v>
      </c>
      <c r="D651" s="593">
        <v>207.12836580593267</v>
      </c>
      <c r="E651" s="594">
        <v>0</v>
      </c>
      <c r="F651" s="595">
        <v>13.865379767349731</v>
      </c>
      <c r="G651" s="566">
        <v>245.00306118774083</v>
      </c>
      <c r="H651" s="205">
        <f t="shared" si="64"/>
        <v>245.00306118774083</v>
      </c>
    </row>
    <row r="652" spans="1:8" ht="15.75" x14ac:dyDescent="0.25">
      <c r="A652" s="1085" t="s">
        <v>547</v>
      </c>
      <c r="B652" s="805" t="s">
        <v>1030</v>
      </c>
      <c r="C652" s="549">
        <v>44.417233886748058</v>
      </c>
      <c r="D652" s="593">
        <v>178.86940132771514</v>
      </c>
      <c r="E652" s="594">
        <v>0</v>
      </c>
      <c r="F652" s="595">
        <v>22.244630916795717</v>
      </c>
      <c r="G652" s="566">
        <v>245.53126613125892</v>
      </c>
      <c r="H652" s="205">
        <f t="shared" si="64"/>
        <v>245.53126613125892</v>
      </c>
    </row>
    <row r="653" spans="1:8" ht="15.75" x14ac:dyDescent="0.25">
      <c r="A653" s="479" t="s">
        <v>93</v>
      </c>
      <c r="B653" s="805" t="s">
        <v>1056</v>
      </c>
      <c r="C653" s="549">
        <v>50.347534843519284</v>
      </c>
      <c r="D653" s="593">
        <v>147.65729102891922</v>
      </c>
      <c r="E653" s="594">
        <v>0</v>
      </c>
      <c r="F653" s="595">
        <v>47.526440258820422</v>
      </c>
      <c r="G653" s="566">
        <v>245.53126613125895</v>
      </c>
      <c r="H653" s="205">
        <f t="shared" si="64"/>
        <v>245.53126613125895</v>
      </c>
    </row>
    <row r="654" spans="1:8" ht="15.75" x14ac:dyDescent="0.25">
      <c r="A654" s="797" t="s">
        <v>99</v>
      </c>
      <c r="B654" s="805" t="s">
        <v>1058</v>
      </c>
      <c r="C654" s="549">
        <v>44.801382936579394</v>
      </c>
      <c r="D654" s="593">
        <v>136.8530990024129</v>
      </c>
      <c r="E654" s="594">
        <v>55.221425913254343</v>
      </c>
      <c r="F654" s="595">
        <v>13.013049063036458</v>
      </c>
      <c r="G654" s="566">
        <v>249.88895691528307</v>
      </c>
      <c r="H654" s="205">
        <f t="shared" si="64"/>
        <v>249.88895691528307</v>
      </c>
    </row>
    <row r="655" spans="1:8" ht="15.75" x14ac:dyDescent="0.25">
      <c r="A655" s="1090" t="s">
        <v>552</v>
      </c>
      <c r="B655" s="805" t="s">
        <v>1040</v>
      </c>
      <c r="C655" s="549">
        <v>167.65400488235434</v>
      </c>
      <c r="D655" s="593">
        <v>82.825086077338398</v>
      </c>
      <c r="E655" s="594">
        <v>0</v>
      </c>
      <c r="F655" s="595">
        <v>0</v>
      </c>
      <c r="G655" s="566">
        <v>250.47909095969274</v>
      </c>
      <c r="H655" s="205">
        <f t="shared" si="64"/>
        <v>250.47909095969274</v>
      </c>
    </row>
    <row r="656" spans="1:8" ht="15.75" x14ac:dyDescent="0.25">
      <c r="A656" s="1087" t="s">
        <v>97</v>
      </c>
      <c r="B656" s="805" t="s">
        <v>1058</v>
      </c>
      <c r="C656" s="549">
        <v>66.409766989591958</v>
      </c>
      <c r="D656" s="593">
        <v>129.6503043180754</v>
      </c>
      <c r="E656" s="594">
        <v>46.818165448193895</v>
      </c>
      <c r="F656" s="595">
        <v>13.313165508217187</v>
      </c>
      <c r="G656" s="566">
        <v>256.19140226407842</v>
      </c>
      <c r="H656" s="205">
        <f t="shared" si="64"/>
        <v>256.19140226407842</v>
      </c>
    </row>
    <row r="657" spans="1:8" ht="15.75" x14ac:dyDescent="0.25">
      <c r="A657" s="1087" t="s">
        <v>161</v>
      </c>
      <c r="B657" s="805" t="s">
        <v>1137</v>
      </c>
      <c r="C657" s="549">
        <v>28.735042384187519</v>
      </c>
      <c r="D657" s="550">
        <v>210.38156031280147</v>
      </c>
      <c r="E657" s="551">
        <v>0</v>
      </c>
      <c r="F657" s="560">
        <v>19.12932821575912</v>
      </c>
      <c r="G657" s="566">
        <v>258.24593091274812</v>
      </c>
      <c r="H657" s="205">
        <f t="shared" si="64"/>
        <v>258.24593091274812</v>
      </c>
    </row>
    <row r="658" spans="1:8" ht="15.75" x14ac:dyDescent="0.25">
      <c r="A658" s="1087" t="s">
        <v>171</v>
      </c>
      <c r="B658" s="805" t="s">
        <v>1151</v>
      </c>
      <c r="C658" s="549">
        <v>121.92</v>
      </c>
      <c r="D658" s="550">
        <v>119.72</v>
      </c>
      <c r="E658" s="551">
        <v>23.66</v>
      </c>
      <c r="F658" s="560" t="s">
        <v>5</v>
      </c>
      <c r="G658" s="566">
        <v>265.3</v>
      </c>
      <c r="H658" s="205">
        <f>C658+D658+E658</f>
        <v>265.3</v>
      </c>
    </row>
    <row r="659" spans="1:8" ht="15.75" x14ac:dyDescent="0.25">
      <c r="A659" s="1087" t="s">
        <v>635</v>
      </c>
      <c r="B659" s="805" t="s">
        <v>1058</v>
      </c>
      <c r="C659" s="549">
        <v>14.837757049735297</v>
      </c>
      <c r="D659" s="593">
        <v>194.47545647711311</v>
      </c>
      <c r="E659" s="594">
        <v>45.61769966747098</v>
      </c>
      <c r="F659" s="595">
        <v>14.021440318843711</v>
      </c>
      <c r="G659" s="566">
        <v>268.95235351316313</v>
      </c>
      <c r="H659" s="205">
        <f t="shared" ref="H659:H687" si="65">C659+D659+E659+F659</f>
        <v>268.95235351316313</v>
      </c>
    </row>
    <row r="660" spans="1:8" ht="15.75" x14ac:dyDescent="0.25">
      <c r="A660" s="1087" t="s">
        <v>168</v>
      </c>
      <c r="B660" s="805" t="s">
        <v>1149</v>
      </c>
      <c r="C660" s="549">
        <v>43.031679100443291</v>
      </c>
      <c r="D660" s="550">
        <v>238.13385230835763</v>
      </c>
      <c r="E660" s="551">
        <v>0</v>
      </c>
      <c r="F660" s="560">
        <v>0</v>
      </c>
      <c r="G660" s="566">
        <v>281.16553140880092</v>
      </c>
      <c r="H660" s="205">
        <f t="shared" si="65"/>
        <v>281.16553140880092</v>
      </c>
    </row>
    <row r="661" spans="1:8" ht="15.75" x14ac:dyDescent="0.25">
      <c r="A661" s="502" t="s">
        <v>544</v>
      </c>
      <c r="B661" s="804" t="s">
        <v>1028</v>
      </c>
      <c r="C661" s="549">
        <v>79.154479154479162</v>
      </c>
      <c r="D661" s="593">
        <v>203.5802035802036</v>
      </c>
      <c r="E661" s="594">
        <v>0</v>
      </c>
      <c r="F661" s="595">
        <v>0</v>
      </c>
      <c r="G661" s="566">
        <v>282.73468273468279</v>
      </c>
      <c r="H661" s="205">
        <f t="shared" si="65"/>
        <v>282.73468273468279</v>
      </c>
    </row>
    <row r="662" spans="1:8" ht="15.75" x14ac:dyDescent="0.25">
      <c r="A662" s="1090" t="s">
        <v>549</v>
      </c>
      <c r="B662" s="805" t="s">
        <v>1040</v>
      </c>
      <c r="C662" s="549">
        <v>142.60609578638508</v>
      </c>
      <c r="D662" s="593">
        <v>141.27020730126671</v>
      </c>
      <c r="E662" s="594">
        <v>0</v>
      </c>
      <c r="F662" s="595">
        <v>0</v>
      </c>
      <c r="G662" s="566">
        <v>283.87630308765176</v>
      </c>
      <c r="H662" s="205">
        <f t="shared" si="65"/>
        <v>283.87630308765176</v>
      </c>
    </row>
    <row r="663" spans="1:8" ht="15.75" x14ac:dyDescent="0.25">
      <c r="A663" s="1087" t="s">
        <v>632</v>
      </c>
      <c r="B663" s="805" t="s">
        <v>1058</v>
      </c>
      <c r="C663" s="549">
        <v>49.147069062796362</v>
      </c>
      <c r="D663" s="593">
        <v>171.66660664337763</v>
      </c>
      <c r="E663" s="594">
        <v>49.219097009639739</v>
      </c>
      <c r="F663" s="595">
        <v>14.873771023156985</v>
      </c>
      <c r="G663" s="566">
        <v>284.9065437389707</v>
      </c>
      <c r="H663" s="205">
        <f t="shared" si="65"/>
        <v>284.9065437389707</v>
      </c>
    </row>
    <row r="664" spans="1:8" ht="15.75" x14ac:dyDescent="0.25">
      <c r="A664" s="1090" t="s">
        <v>548</v>
      </c>
      <c r="B664" s="805" t="s">
        <v>1040</v>
      </c>
      <c r="C664" s="549">
        <v>148.76072487853753</v>
      </c>
      <c r="D664" s="593">
        <v>138.29626507844367</v>
      </c>
      <c r="E664" s="594">
        <v>0</v>
      </c>
      <c r="F664" s="595">
        <v>0</v>
      </c>
      <c r="G664" s="566">
        <v>287.05698995698117</v>
      </c>
      <c r="H664" s="205">
        <f t="shared" si="65"/>
        <v>287.05698995698117</v>
      </c>
    </row>
    <row r="665" spans="1:8" ht="15.75" x14ac:dyDescent="0.25">
      <c r="A665" s="1090" t="s">
        <v>68</v>
      </c>
      <c r="B665" s="805" t="s">
        <v>1032</v>
      </c>
      <c r="C665" s="549">
        <v>28.81117873735009</v>
      </c>
      <c r="D665" s="593">
        <v>243.33441375253597</v>
      </c>
      <c r="E665" s="594">
        <v>0</v>
      </c>
      <c r="F665" s="595">
        <v>16.326334617831719</v>
      </c>
      <c r="G665" s="566">
        <v>288.47192710771776</v>
      </c>
      <c r="H665" s="205">
        <f t="shared" si="65"/>
        <v>288.47192710771776</v>
      </c>
    </row>
    <row r="666" spans="1:8" ht="15.75" x14ac:dyDescent="0.25">
      <c r="A666" s="1087" t="s">
        <v>94</v>
      </c>
      <c r="B666" s="805" t="s">
        <v>1056</v>
      </c>
      <c r="C666" s="549">
        <v>96.817565215303546</v>
      </c>
      <c r="D666" s="593">
        <v>138.05356478313584</v>
      </c>
      <c r="E666" s="594">
        <v>0</v>
      </c>
      <c r="F666" s="595">
        <v>56.373873062748345</v>
      </c>
      <c r="G666" s="566">
        <v>291.24500306118773</v>
      </c>
      <c r="H666" s="205">
        <f t="shared" si="65"/>
        <v>291.24500306118773</v>
      </c>
    </row>
    <row r="667" spans="1:8" ht="15.75" x14ac:dyDescent="0.25">
      <c r="A667" s="1087" t="s">
        <v>633</v>
      </c>
      <c r="B667" s="805" t="s">
        <v>1058</v>
      </c>
      <c r="C667" s="549">
        <v>36.458145760555098</v>
      </c>
      <c r="D667" s="593">
        <v>181.27033288916098</v>
      </c>
      <c r="E667" s="594">
        <v>62.424220597591862</v>
      </c>
      <c r="F667" s="595">
        <v>15.401975966675069</v>
      </c>
      <c r="G667" s="566">
        <v>295.55467521398299</v>
      </c>
      <c r="H667" s="205">
        <f t="shared" si="65"/>
        <v>295.55467521398299</v>
      </c>
    </row>
    <row r="668" spans="1:8" ht="15.75" x14ac:dyDescent="0.25">
      <c r="A668" s="1090" t="s">
        <v>216</v>
      </c>
      <c r="B668" s="805" t="s">
        <v>1032</v>
      </c>
      <c r="C668" s="549">
        <v>31.212110298795931</v>
      </c>
      <c r="D668" s="593">
        <v>249.60084512790959</v>
      </c>
      <c r="E668" s="594">
        <v>0</v>
      </c>
      <c r="F668" s="595">
        <v>16.842534903542575</v>
      </c>
      <c r="G668" s="566">
        <v>297.65549033024809</v>
      </c>
      <c r="H668" s="205">
        <f t="shared" si="65"/>
        <v>297.65549033024809</v>
      </c>
    </row>
    <row r="669" spans="1:8" ht="15.75" x14ac:dyDescent="0.25">
      <c r="A669" s="502" t="s">
        <v>178</v>
      </c>
      <c r="B669" s="804" t="s">
        <v>1028</v>
      </c>
      <c r="C669" s="549">
        <v>129.72192972192974</v>
      </c>
      <c r="D669" s="593">
        <v>168.08236808236811</v>
      </c>
      <c r="E669" s="594">
        <v>0</v>
      </c>
      <c r="F669" s="595">
        <v>0</v>
      </c>
      <c r="G669" s="566">
        <v>297.80429780429785</v>
      </c>
      <c r="H669" s="205">
        <f t="shared" si="65"/>
        <v>297.80429780429785</v>
      </c>
    </row>
    <row r="670" spans="1:8" ht="15.75" x14ac:dyDescent="0.25">
      <c r="A670" s="1087" t="s">
        <v>155</v>
      </c>
      <c r="B670" s="805" t="s">
        <v>1135</v>
      </c>
      <c r="C670" s="549">
        <v>206.24267029725661</v>
      </c>
      <c r="D670" s="550">
        <v>44.728802530302232</v>
      </c>
      <c r="E670" s="551">
        <v>0</v>
      </c>
      <c r="F670" s="560">
        <v>62.74286820688971</v>
      </c>
      <c r="G670" s="566">
        <v>313.71434103444858</v>
      </c>
      <c r="H670" s="205">
        <f t="shared" si="65"/>
        <v>313.71434103444858</v>
      </c>
    </row>
    <row r="671" spans="1:8" ht="15.75" x14ac:dyDescent="0.25">
      <c r="A671" s="1087" t="s">
        <v>163</v>
      </c>
      <c r="B671" s="805" t="s">
        <v>1137</v>
      </c>
      <c r="C671" s="549">
        <v>55.417581740933073</v>
      </c>
      <c r="D671" s="550">
        <v>238.09035118326801</v>
      </c>
      <c r="E671" s="551">
        <v>0</v>
      </c>
      <c r="F671" s="560">
        <v>23.480634633936084</v>
      </c>
      <c r="G671" s="566">
        <v>316.98856755813716</v>
      </c>
      <c r="H671" s="205">
        <f t="shared" si="65"/>
        <v>316.98856755813716</v>
      </c>
    </row>
    <row r="672" spans="1:8" ht="15.75" x14ac:dyDescent="0.25">
      <c r="A672" s="502" t="s">
        <v>179</v>
      </c>
      <c r="B672" s="804" t="s">
        <v>1028</v>
      </c>
      <c r="C672" s="549">
        <v>184.32978432978433</v>
      </c>
      <c r="D672" s="593">
        <v>133.61413361413364</v>
      </c>
      <c r="E672" s="594">
        <v>0</v>
      </c>
      <c r="F672" s="595">
        <v>0</v>
      </c>
      <c r="G672" s="566">
        <v>317.943917943918</v>
      </c>
      <c r="H672" s="205">
        <f t="shared" si="65"/>
        <v>317.943917943918</v>
      </c>
    </row>
    <row r="673" spans="1:8" ht="15.75" x14ac:dyDescent="0.25">
      <c r="A673" s="1087" t="s">
        <v>157</v>
      </c>
      <c r="B673" s="805" t="s">
        <v>1135</v>
      </c>
      <c r="C673" s="549">
        <v>202.56633036325914</v>
      </c>
      <c r="D673" s="550">
        <v>59.311617601825425</v>
      </c>
      <c r="E673" s="551">
        <v>0</v>
      </c>
      <c r="F673" s="560">
        <v>65.46948699127114</v>
      </c>
      <c r="G673" s="566">
        <v>327.3474349563557</v>
      </c>
      <c r="H673" s="205">
        <f t="shared" si="65"/>
        <v>327.3474349563557</v>
      </c>
    </row>
    <row r="674" spans="1:8" ht="15.75" x14ac:dyDescent="0.25">
      <c r="A674" s="1085" t="s">
        <v>629</v>
      </c>
      <c r="B674" s="805" t="s">
        <v>1032</v>
      </c>
      <c r="C674" s="549">
        <v>62.904406909881033</v>
      </c>
      <c r="D674" s="593">
        <v>267.34372936699435</v>
      </c>
      <c r="E674" s="594">
        <v>3.1092063720723639</v>
      </c>
      <c r="F674" s="595">
        <v>0</v>
      </c>
      <c r="G674" s="566">
        <v>333.35734264894774</v>
      </c>
      <c r="H674" s="205">
        <f t="shared" si="65"/>
        <v>333.35734264894774</v>
      </c>
    </row>
    <row r="675" spans="1:8" ht="15.75" x14ac:dyDescent="0.25">
      <c r="A675" s="1085" t="s">
        <v>72</v>
      </c>
      <c r="B675" s="805" t="s">
        <v>1032</v>
      </c>
      <c r="C675" s="549">
        <v>67.430162903206437</v>
      </c>
      <c r="D675" s="593">
        <v>286.5871958319828</v>
      </c>
      <c r="E675" s="594">
        <v>3.1092063720723639</v>
      </c>
      <c r="F675" s="595">
        <v>0</v>
      </c>
      <c r="G675" s="566">
        <v>357.12656510726163</v>
      </c>
      <c r="H675" s="205">
        <f t="shared" si="65"/>
        <v>357.12656510726163</v>
      </c>
    </row>
    <row r="676" spans="1:8" ht="15.75" x14ac:dyDescent="0.25">
      <c r="A676" s="479" t="s">
        <v>89</v>
      </c>
      <c r="B676" s="805" t="s">
        <v>1054</v>
      </c>
      <c r="C676" s="549">
        <v>106.77430066379313</v>
      </c>
      <c r="D676" s="593">
        <v>78.243124308884646</v>
      </c>
      <c r="E676" s="594">
        <v>100.74567921930965</v>
      </c>
      <c r="F676" s="595">
        <v>71.440776047996849</v>
      </c>
      <c r="G676" s="566">
        <v>357.20388023998424</v>
      </c>
      <c r="H676" s="205">
        <f t="shared" si="65"/>
        <v>357.20388023998424</v>
      </c>
    </row>
    <row r="677" spans="1:8" ht="15.75" x14ac:dyDescent="0.25">
      <c r="A677" s="479" t="s">
        <v>603</v>
      </c>
      <c r="B677" s="805" t="s">
        <v>1137</v>
      </c>
      <c r="C677" s="549">
        <v>139.57020586605367</v>
      </c>
      <c r="D677" s="550">
        <v>197.04029063442869</v>
      </c>
      <c r="E677" s="551">
        <v>0</v>
      </c>
      <c r="F677" s="560">
        <v>26.928839720038585</v>
      </c>
      <c r="G677" s="566">
        <v>363.53933622052091</v>
      </c>
      <c r="H677" s="205">
        <f t="shared" si="65"/>
        <v>363.53933622052091</v>
      </c>
    </row>
    <row r="678" spans="1:8" ht="15.75" x14ac:dyDescent="0.25">
      <c r="A678" s="479" t="s">
        <v>95</v>
      </c>
      <c r="B678" s="805" t="s">
        <v>1056</v>
      </c>
      <c r="C678" s="549">
        <v>129.72233226491878</v>
      </c>
      <c r="D678" s="593">
        <v>169.42173563342575</v>
      </c>
      <c r="E678" s="594">
        <v>0</v>
      </c>
      <c r="F678" s="595">
        <v>71.799858345037876</v>
      </c>
      <c r="G678" s="566">
        <v>370.94392624338241</v>
      </c>
      <c r="H678" s="205">
        <f t="shared" si="65"/>
        <v>370.94392624338241</v>
      </c>
    </row>
    <row r="679" spans="1:8" ht="15.75" x14ac:dyDescent="0.25">
      <c r="A679" s="1087" t="s">
        <v>88</v>
      </c>
      <c r="B679" s="805" t="s">
        <v>1054</v>
      </c>
      <c r="C679" s="549">
        <v>61.898145312343843</v>
      </c>
      <c r="D679" s="593">
        <v>134.33831849819626</v>
      </c>
      <c r="E679" s="594">
        <v>100.74567921930965</v>
      </c>
      <c r="F679" s="595">
        <v>74.245535757462434</v>
      </c>
      <c r="G679" s="566">
        <v>371.22767878731219</v>
      </c>
      <c r="H679" s="205">
        <f t="shared" si="65"/>
        <v>371.22767878731219</v>
      </c>
    </row>
    <row r="680" spans="1:8" ht="15.75" x14ac:dyDescent="0.25">
      <c r="A680" s="1087" t="s">
        <v>213</v>
      </c>
      <c r="B680" s="805" t="s">
        <v>1054</v>
      </c>
      <c r="C680" s="549">
        <v>88.720674947692842</v>
      </c>
      <c r="D680" s="593">
        <v>136.53054447800844</v>
      </c>
      <c r="E680" s="594">
        <v>100.74567921930965</v>
      </c>
      <c r="F680" s="595">
        <v>81.49922466125274</v>
      </c>
      <c r="G680" s="566">
        <v>407.49612330626366</v>
      </c>
      <c r="H680" s="205">
        <f t="shared" si="65"/>
        <v>407.49612330626366</v>
      </c>
    </row>
    <row r="681" spans="1:8" ht="15.75" x14ac:dyDescent="0.25">
      <c r="A681" s="1087" t="s">
        <v>90</v>
      </c>
      <c r="B681" s="805" t="s">
        <v>1054</v>
      </c>
      <c r="C681" s="549">
        <v>77.372681640429803</v>
      </c>
      <c r="D681" s="593">
        <v>153.16567103070085</v>
      </c>
      <c r="E681" s="594">
        <v>100.74567921930965</v>
      </c>
      <c r="F681" s="595">
        <v>82.821007972610062</v>
      </c>
      <c r="G681" s="566">
        <v>414.10503986305037</v>
      </c>
      <c r="H681" s="205">
        <f t="shared" si="65"/>
        <v>414.10503986305037</v>
      </c>
    </row>
    <row r="682" spans="1:8" ht="15.75" x14ac:dyDescent="0.25">
      <c r="A682" s="502" t="s">
        <v>176</v>
      </c>
      <c r="B682" s="804" t="s">
        <v>1028</v>
      </c>
      <c r="C682" s="549">
        <v>149.97854997854998</v>
      </c>
      <c r="D682" s="593">
        <v>274.37307437307436</v>
      </c>
      <c r="E682" s="594">
        <v>0</v>
      </c>
      <c r="F682" s="595">
        <v>0</v>
      </c>
      <c r="G682" s="566">
        <v>424.35162435162431</v>
      </c>
      <c r="H682" s="205">
        <f t="shared" si="65"/>
        <v>424.35162435162431</v>
      </c>
    </row>
    <row r="683" spans="1:8" ht="15.75" x14ac:dyDescent="0.25">
      <c r="A683" s="1087" t="s">
        <v>87</v>
      </c>
      <c r="B683" s="805" t="s">
        <v>1054</v>
      </c>
      <c r="C683" s="549">
        <v>161.19308675089545</v>
      </c>
      <c r="D683" s="593">
        <v>82.240712860306843</v>
      </c>
      <c r="E683" s="594">
        <v>100.74567921930965</v>
      </c>
      <c r="F683" s="595">
        <v>86.044869707627981</v>
      </c>
      <c r="G683" s="566">
        <v>430.22434853813991</v>
      </c>
      <c r="H683" s="205">
        <f t="shared" si="65"/>
        <v>430.22434853813991</v>
      </c>
    </row>
    <row r="684" spans="1:8" ht="15.75" x14ac:dyDescent="0.25">
      <c r="A684" s="1087" t="s">
        <v>159</v>
      </c>
      <c r="B684" s="805" t="s">
        <v>1135</v>
      </c>
      <c r="C684" s="549">
        <v>285.5290682071348</v>
      </c>
      <c r="D684" s="550">
        <v>77.815861936279234</v>
      </c>
      <c r="E684" s="551">
        <v>0</v>
      </c>
      <c r="F684" s="560">
        <v>90.836232535853512</v>
      </c>
      <c r="G684" s="566">
        <v>454.18116267926757</v>
      </c>
      <c r="H684" s="205">
        <f t="shared" si="65"/>
        <v>454.18116267926757</v>
      </c>
    </row>
    <row r="685" spans="1:8" ht="15.75" x14ac:dyDescent="0.25">
      <c r="A685" s="1090" t="s">
        <v>722</v>
      </c>
      <c r="B685" s="805" t="s">
        <v>1040</v>
      </c>
      <c r="C685" s="549">
        <v>190.84121215976592</v>
      </c>
      <c r="D685" s="593">
        <v>284.67147480498414</v>
      </c>
      <c r="E685" s="594">
        <v>0</v>
      </c>
      <c r="F685" s="595">
        <v>0</v>
      </c>
      <c r="G685" s="566">
        <v>475.51268696475006</v>
      </c>
      <c r="H685" s="205">
        <f t="shared" si="65"/>
        <v>475.51268696475006</v>
      </c>
    </row>
    <row r="686" spans="1:8" ht="15.75" x14ac:dyDescent="0.25">
      <c r="A686" s="479" t="s">
        <v>156</v>
      </c>
      <c r="B686" s="805" t="s">
        <v>1135</v>
      </c>
      <c r="C686" s="549">
        <v>299.37661529185851</v>
      </c>
      <c r="D686" s="550">
        <v>88.109613751472068</v>
      </c>
      <c r="E686" s="551">
        <v>0</v>
      </c>
      <c r="F686" s="560">
        <v>96.871557260832645</v>
      </c>
      <c r="G686" s="566">
        <v>484.35778630416326</v>
      </c>
      <c r="H686" s="205">
        <f t="shared" si="65"/>
        <v>484.35778630416326</v>
      </c>
    </row>
    <row r="687" spans="1:8" ht="15.75" x14ac:dyDescent="0.25">
      <c r="A687" s="1085" t="s">
        <v>723</v>
      </c>
      <c r="B687" s="805" t="s">
        <v>1040</v>
      </c>
      <c r="C687" s="549">
        <v>489.8257778767325</v>
      </c>
      <c r="D687" s="593">
        <v>0</v>
      </c>
      <c r="E687" s="594">
        <v>0</v>
      </c>
      <c r="F687" s="595">
        <v>0</v>
      </c>
      <c r="G687" s="566">
        <v>489.8257778767325</v>
      </c>
      <c r="H687" s="205">
        <f t="shared" si="65"/>
        <v>489.8257778767325</v>
      </c>
    </row>
    <row r="688" spans="1:8" ht="15.75" x14ac:dyDescent="0.25">
      <c r="A688" s="1086" t="s">
        <v>217</v>
      </c>
      <c r="B688" s="1083" t="s">
        <v>1024</v>
      </c>
      <c r="C688" s="549" t="s">
        <v>5</v>
      </c>
      <c r="D688" s="593" t="s">
        <v>5</v>
      </c>
      <c r="E688" s="594" t="s">
        <v>5</v>
      </c>
      <c r="F688" s="595" t="s">
        <v>5</v>
      </c>
      <c r="G688" s="566" t="s">
        <v>5</v>
      </c>
      <c r="H688" s="205" t="s">
        <v>5</v>
      </c>
    </row>
    <row r="689" spans="1:8" ht="15.75" x14ac:dyDescent="0.25">
      <c r="A689" s="1086" t="s">
        <v>1303</v>
      </c>
      <c r="B689" s="1083" t="s">
        <v>1024</v>
      </c>
      <c r="C689" s="549" t="s">
        <v>5</v>
      </c>
      <c r="D689" s="593" t="s">
        <v>5</v>
      </c>
      <c r="E689" s="594" t="s">
        <v>5</v>
      </c>
      <c r="F689" s="595" t="s">
        <v>5</v>
      </c>
      <c r="G689" s="566" t="s">
        <v>5</v>
      </c>
      <c r="H689" s="205" t="s">
        <v>5</v>
      </c>
    </row>
    <row r="690" spans="1:8" ht="15.75" x14ac:dyDescent="0.25">
      <c r="A690" s="1086" t="s">
        <v>1301</v>
      </c>
      <c r="B690" s="1083" t="s">
        <v>1024</v>
      </c>
      <c r="C690" s="549" t="s">
        <v>5</v>
      </c>
      <c r="D690" s="593" t="s">
        <v>5</v>
      </c>
      <c r="E690" s="594" t="s">
        <v>5</v>
      </c>
      <c r="F690" s="595" t="s">
        <v>5</v>
      </c>
      <c r="G690" s="566" t="s">
        <v>5</v>
      </c>
      <c r="H690" s="205" t="s">
        <v>5</v>
      </c>
    </row>
    <row r="691" spans="1:8" ht="15.75" x14ac:dyDescent="0.25">
      <c r="A691" s="781" t="s">
        <v>1299</v>
      </c>
      <c r="B691" s="1083" t="s">
        <v>1024</v>
      </c>
      <c r="C691" s="549" t="s">
        <v>5</v>
      </c>
      <c r="D691" s="593" t="s">
        <v>5</v>
      </c>
      <c r="E691" s="594" t="s">
        <v>5</v>
      </c>
      <c r="F691" s="595" t="s">
        <v>5</v>
      </c>
      <c r="G691" s="566" t="s">
        <v>5</v>
      </c>
      <c r="H691" s="205" t="s">
        <v>5</v>
      </c>
    </row>
    <row r="692" spans="1:8" ht="15.75" x14ac:dyDescent="0.25">
      <c r="A692" s="781" t="s">
        <v>1300</v>
      </c>
      <c r="B692" s="1083" t="s">
        <v>1024</v>
      </c>
      <c r="C692" s="549" t="s">
        <v>5</v>
      </c>
      <c r="D692" s="593" t="s">
        <v>5</v>
      </c>
      <c r="E692" s="594" t="s">
        <v>5</v>
      </c>
      <c r="F692" s="595" t="s">
        <v>5</v>
      </c>
      <c r="G692" s="566" t="s">
        <v>5</v>
      </c>
      <c r="H692" s="205" t="s">
        <v>5</v>
      </c>
    </row>
    <row r="693" spans="1:8" ht="15.75" x14ac:dyDescent="0.25">
      <c r="A693" s="781" t="s">
        <v>1298</v>
      </c>
      <c r="B693" s="1083" t="s">
        <v>1024</v>
      </c>
      <c r="C693" s="549" t="s">
        <v>5</v>
      </c>
      <c r="D693" s="593" t="s">
        <v>5</v>
      </c>
      <c r="E693" s="594" t="s">
        <v>5</v>
      </c>
      <c r="F693" s="595" t="s">
        <v>5</v>
      </c>
      <c r="G693" s="566" t="s">
        <v>5</v>
      </c>
      <c r="H693" s="205" t="s">
        <v>5</v>
      </c>
    </row>
    <row r="694" spans="1:8" ht="15.75" x14ac:dyDescent="0.25">
      <c r="A694" s="781" t="s">
        <v>1302</v>
      </c>
      <c r="B694" s="1083" t="s">
        <v>1024</v>
      </c>
      <c r="C694" s="549" t="s">
        <v>5</v>
      </c>
      <c r="D694" s="593" t="s">
        <v>5</v>
      </c>
      <c r="E694" s="594" t="s">
        <v>5</v>
      </c>
      <c r="F694" s="595" t="s">
        <v>5</v>
      </c>
      <c r="G694" s="566" t="s">
        <v>5</v>
      </c>
      <c r="H694" s="205" t="s">
        <v>5</v>
      </c>
    </row>
    <row r="695" spans="1:8" ht="15.75" x14ac:dyDescent="0.25">
      <c r="A695" s="502" t="s">
        <v>1308</v>
      </c>
      <c r="B695" s="804" t="s">
        <v>1034</v>
      </c>
      <c r="C695" s="549" t="s">
        <v>5</v>
      </c>
      <c r="D695" s="593" t="s">
        <v>5</v>
      </c>
      <c r="E695" s="594" t="s">
        <v>5</v>
      </c>
      <c r="F695" s="595" t="s">
        <v>5</v>
      </c>
      <c r="G695" s="566" t="s">
        <v>5</v>
      </c>
      <c r="H695" s="205" t="s">
        <v>5</v>
      </c>
    </row>
    <row r="696" spans="1:8" ht="15.75" x14ac:dyDescent="0.25">
      <c r="A696" s="502" t="s">
        <v>1304</v>
      </c>
      <c r="B696" s="804" t="s">
        <v>1034</v>
      </c>
      <c r="C696" s="549" t="s">
        <v>5</v>
      </c>
      <c r="D696" s="593" t="s">
        <v>5</v>
      </c>
      <c r="E696" s="594" t="s">
        <v>5</v>
      </c>
      <c r="F696" s="595" t="s">
        <v>5</v>
      </c>
      <c r="G696" s="566" t="s">
        <v>5</v>
      </c>
      <c r="H696" s="205" t="s">
        <v>5</v>
      </c>
    </row>
    <row r="697" spans="1:8" ht="16.5" thickBot="1" x14ac:dyDescent="0.3">
      <c r="A697" s="785" t="s">
        <v>933</v>
      </c>
      <c r="B697" s="1095" t="s">
        <v>1034</v>
      </c>
      <c r="C697" s="716" t="s">
        <v>5</v>
      </c>
      <c r="D697" s="717" t="s">
        <v>5</v>
      </c>
      <c r="E697" s="718" t="s">
        <v>5</v>
      </c>
      <c r="F697" s="595" t="s">
        <v>5</v>
      </c>
      <c r="G697" s="566" t="s">
        <v>5</v>
      </c>
      <c r="H697" s="205" t="s">
        <v>5</v>
      </c>
    </row>
  </sheetData>
  <sortState ref="A500:H697">
    <sortCondition ref="G500:G697"/>
  </sortState>
  <mergeCells count="588">
    <mergeCell ref="U4:AG4"/>
    <mergeCell ref="AI4:AO4"/>
    <mergeCell ref="A7:A13"/>
    <mergeCell ref="E7:E13"/>
    <mergeCell ref="U7:U13"/>
    <mergeCell ref="V7:V13"/>
    <mergeCell ref="W7:W13"/>
    <mergeCell ref="X7:X13"/>
    <mergeCell ref="Y7:Y13"/>
    <mergeCell ref="Z7:Z13"/>
    <mergeCell ref="AB15:AB23"/>
    <mergeCell ref="AC15:AC23"/>
    <mergeCell ref="AD15:AD23"/>
    <mergeCell ref="AE15:AE23"/>
    <mergeCell ref="AF15:AF23"/>
    <mergeCell ref="AG15:AG23"/>
    <mergeCell ref="AG7:AG13"/>
    <mergeCell ref="A15:A23"/>
    <mergeCell ref="E15:E23"/>
    <mergeCell ref="U15:U23"/>
    <mergeCell ref="V15:V23"/>
    <mergeCell ref="W15:W23"/>
    <mergeCell ref="X15:X23"/>
    <mergeCell ref="Y15:Y23"/>
    <mergeCell ref="Z15:Z23"/>
    <mergeCell ref="AA15:AA23"/>
    <mergeCell ref="AA7:AA13"/>
    <mergeCell ref="AB7:AB13"/>
    <mergeCell ref="AC7:AC13"/>
    <mergeCell ref="AD7:AD13"/>
    <mergeCell ref="AE7:AE13"/>
    <mergeCell ref="AF7:AF13"/>
    <mergeCell ref="AE24:AE28"/>
    <mergeCell ref="AF24:AF28"/>
    <mergeCell ref="AG24:AG28"/>
    <mergeCell ref="A29:A36"/>
    <mergeCell ref="E29:E36"/>
    <mergeCell ref="U29:U36"/>
    <mergeCell ref="V29:V36"/>
    <mergeCell ref="W29:W36"/>
    <mergeCell ref="X29:X36"/>
    <mergeCell ref="Y29:Y36"/>
    <mergeCell ref="Y24:Y28"/>
    <mergeCell ref="Z24:Z28"/>
    <mergeCell ref="AA24:AA28"/>
    <mergeCell ref="AB24:AB28"/>
    <mergeCell ref="AC24:AC28"/>
    <mergeCell ref="AD24:AD28"/>
    <mergeCell ref="A24:A28"/>
    <mergeCell ref="E24:E28"/>
    <mergeCell ref="U24:U28"/>
    <mergeCell ref="V24:V28"/>
    <mergeCell ref="W24:W28"/>
    <mergeCell ref="X24:X28"/>
    <mergeCell ref="AF29:AF36"/>
    <mergeCell ref="AG29:AG36"/>
    <mergeCell ref="AC29:AC36"/>
    <mergeCell ref="AD29:AD36"/>
    <mergeCell ref="AE29:AE36"/>
    <mergeCell ref="AG37:AG39"/>
    <mergeCell ref="A40:A44"/>
    <mergeCell ref="E40:E44"/>
    <mergeCell ref="U40:U44"/>
    <mergeCell ref="V40:V44"/>
    <mergeCell ref="W40:W44"/>
    <mergeCell ref="Y40:Y44"/>
    <mergeCell ref="Z40:Z44"/>
    <mergeCell ref="AB40:AB44"/>
    <mergeCell ref="AD40:AD44"/>
    <mergeCell ref="AA37:AA39"/>
    <mergeCell ref="AB37:AB39"/>
    <mergeCell ref="AC37:AC39"/>
    <mergeCell ref="AD37:AD39"/>
    <mergeCell ref="AE37:AE39"/>
    <mergeCell ref="AF37:AF39"/>
    <mergeCell ref="AF40:AF44"/>
    <mergeCell ref="AG40:AG44"/>
    <mergeCell ref="A37:A39"/>
    <mergeCell ref="E37:E39"/>
    <mergeCell ref="U37:U39"/>
    <mergeCell ref="E45:E49"/>
    <mergeCell ref="U45:U49"/>
    <mergeCell ref="V45:V49"/>
    <mergeCell ref="W45:W49"/>
    <mergeCell ref="X45:X49"/>
    <mergeCell ref="Y45:Y49"/>
    <mergeCell ref="Z45:Z49"/>
    <mergeCell ref="AB51:AB56"/>
    <mergeCell ref="AA29:AA36"/>
    <mergeCell ref="AB29:AB36"/>
    <mergeCell ref="V37:V39"/>
    <mergeCell ref="W37:W39"/>
    <mergeCell ref="X37:X39"/>
    <mergeCell ref="Y37:Y39"/>
    <mergeCell ref="Z37:Z39"/>
    <mergeCell ref="Z29:Z36"/>
    <mergeCell ref="AB63:AB67"/>
    <mergeCell ref="AC63:AC67"/>
    <mergeCell ref="AC51:AC56"/>
    <mergeCell ref="AD51:AD56"/>
    <mergeCell ref="AE51:AE56"/>
    <mergeCell ref="AF51:AF56"/>
    <mergeCell ref="AG51:AG56"/>
    <mergeCell ref="AG45:AG49"/>
    <mergeCell ref="A51:A56"/>
    <mergeCell ref="E51:E56"/>
    <mergeCell ref="U51:U56"/>
    <mergeCell ref="V51:V56"/>
    <mergeCell ref="W51:W56"/>
    <mergeCell ref="X51:X56"/>
    <mergeCell ref="Y51:Y56"/>
    <mergeCell ref="Z51:Z56"/>
    <mergeCell ref="AA51:AA56"/>
    <mergeCell ref="AA45:AA49"/>
    <mergeCell ref="AB45:AB49"/>
    <mergeCell ref="AC45:AC49"/>
    <mergeCell ref="AD45:AD49"/>
    <mergeCell ref="AE45:AE49"/>
    <mergeCell ref="AF45:AF49"/>
    <mergeCell ref="A45:A49"/>
    <mergeCell ref="X63:X67"/>
    <mergeCell ref="Y63:Y67"/>
    <mergeCell ref="Z63:Z67"/>
    <mergeCell ref="Z57:Z62"/>
    <mergeCell ref="AB57:AB62"/>
    <mergeCell ref="AD57:AD62"/>
    <mergeCell ref="AF57:AF62"/>
    <mergeCell ref="AG57:AG62"/>
    <mergeCell ref="A63:A67"/>
    <mergeCell ref="E63:E67"/>
    <mergeCell ref="U63:U67"/>
    <mergeCell ref="V63:V67"/>
    <mergeCell ref="W63:W67"/>
    <mergeCell ref="A57:A62"/>
    <mergeCell ref="E57:E62"/>
    <mergeCell ref="U57:U62"/>
    <mergeCell ref="V57:V62"/>
    <mergeCell ref="W57:W62"/>
    <mergeCell ref="Y57:Y62"/>
    <mergeCell ref="AD63:AD67"/>
    <mergeCell ref="AE63:AE67"/>
    <mergeCell ref="AF63:AF67"/>
    <mergeCell ref="AG63:AG67"/>
    <mergeCell ref="AA63:AA67"/>
    <mergeCell ref="AG69:AG70"/>
    <mergeCell ref="A71:A74"/>
    <mergeCell ref="E71:E74"/>
    <mergeCell ref="U71:U74"/>
    <mergeCell ref="V71:V74"/>
    <mergeCell ref="W71:W74"/>
    <mergeCell ref="X71:X74"/>
    <mergeCell ref="Y71:Y74"/>
    <mergeCell ref="Y69:Y70"/>
    <mergeCell ref="Z69:Z70"/>
    <mergeCell ref="AA69:AA70"/>
    <mergeCell ref="AB69:AB70"/>
    <mergeCell ref="AC69:AC70"/>
    <mergeCell ref="AD69:AD70"/>
    <mergeCell ref="AF71:AF74"/>
    <mergeCell ref="AG71:AG74"/>
    <mergeCell ref="AA71:AA74"/>
    <mergeCell ref="AB71:AB74"/>
    <mergeCell ref="AC71:AC74"/>
    <mergeCell ref="AD71:AD74"/>
    <mergeCell ref="AE71:AE74"/>
    <mergeCell ref="A69:A70"/>
    <mergeCell ref="E69:E70"/>
    <mergeCell ref="U69:U70"/>
    <mergeCell ref="U75:U79"/>
    <mergeCell ref="V75:V79"/>
    <mergeCell ref="W75:W79"/>
    <mergeCell ref="X75:X79"/>
    <mergeCell ref="Y75:Y79"/>
    <mergeCell ref="Z75:Z79"/>
    <mergeCell ref="Z71:Z74"/>
    <mergeCell ref="AE69:AE70"/>
    <mergeCell ref="AF69:AF70"/>
    <mergeCell ref="V69:V70"/>
    <mergeCell ref="W69:W70"/>
    <mergeCell ref="X69:X70"/>
    <mergeCell ref="AB80:AB84"/>
    <mergeCell ref="AC80:AC84"/>
    <mergeCell ref="AD80:AD84"/>
    <mergeCell ref="AE80:AE84"/>
    <mergeCell ref="AF80:AF84"/>
    <mergeCell ref="AG80:AG84"/>
    <mergeCell ref="AG75:AG79"/>
    <mergeCell ref="A80:A84"/>
    <mergeCell ref="E80:E84"/>
    <mergeCell ref="U80:U84"/>
    <mergeCell ref="V80:V84"/>
    <mergeCell ref="W80:W84"/>
    <mergeCell ref="X80:X84"/>
    <mergeCell ref="Y80:Y84"/>
    <mergeCell ref="Z80:Z84"/>
    <mergeCell ref="AA80:AA84"/>
    <mergeCell ref="AA75:AA79"/>
    <mergeCell ref="AB75:AB79"/>
    <mergeCell ref="AC75:AC79"/>
    <mergeCell ref="AD75:AD79"/>
    <mergeCell ref="AE75:AE79"/>
    <mergeCell ref="AF75:AF79"/>
    <mergeCell ref="A75:A79"/>
    <mergeCell ref="E75:E79"/>
    <mergeCell ref="AE85:AE90"/>
    <mergeCell ref="AF85:AF90"/>
    <mergeCell ref="AG85:AG90"/>
    <mergeCell ref="A91:A101"/>
    <mergeCell ref="E91:E101"/>
    <mergeCell ref="U91:U101"/>
    <mergeCell ref="V91:V101"/>
    <mergeCell ref="W91:W101"/>
    <mergeCell ref="X91:X101"/>
    <mergeCell ref="Y91:Y101"/>
    <mergeCell ref="Y85:Y90"/>
    <mergeCell ref="Z85:Z90"/>
    <mergeCell ref="AA85:AA90"/>
    <mergeCell ref="AB85:AB90"/>
    <mergeCell ref="AC85:AC90"/>
    <mergeCell ref="AD85:AD90"/>
    <mergeCell ref="A85:A90"/>
    <mergeCell ref="E85:E90"/>
    <mergeCell ref="U85:U90"/>
    <mergeCell ref="V85:V90"/>
    <mergeCell ref="W85:W90"/>
    <mergeCell ref="X85:X90"/>
    <mergeCell ref="AF91:AF101"/>
    <mergeCell ref="AG91:AG101"/>
    <mergeCell ref="AF104:AF108"/>
    <mergeCell ref="AG104:AG108"/>
    <mergeCell ref="A109:A113"/>
    <mergeCell ref="E109:E113"/>
    <mergeCell ref="U109:U113"/>
    <mergeCell ref="V109:V113"/>
    <mergeCell ref="W109:W113"/>
    <mergeCell ref="X109:X113"/>
    <mergeCell ref="Y109:Y113"/>
    <mergeCell ref="AF109:AF113"/>
    <mergeCell ref="AG109:AG113"/>
    <mergeCell ref="AC109:AC113"/>
    <mergeCell ref="AD109:AD113"/>
    <mergeCell ref="AE109:AE113"/>
    <mergeCell ref="A104:A108"/>
    <mergeCell ref="E104:E108"/>
    <mergeCell ref="U104:U108"/>
    <mergeCell ref="V104:V108"/>
    <mergeCell ref="W104:W108"/>
    <mergeCell ref="Y104:Y108"/>
    <mergeCell ref="Z104:Z108"/>
    <mergeCell ref="AB104:AB108"/>
    <mergeCell ref="Z115:Z119"/>
    <mergeCell ref="AB115:AB119"/>
    <mergeCell ref="Z109:Z113"/>
    <mergeCell ref="AA109:AA113"/>
    <mergeCell ref="AB109:AB113"/>
    <mergeCell ref="AC91:AC101"/>
    <mergeCell ref="AD91:AD101"/>
    <mergeCell ref="AE91:AE101"/>
    <mergeCell ref="AD104:AD108"/>
    <mergeCell ref="Z91:Z101"/>
    <mergeCell ref="AA91:AA101"/>
    <mergeCell ref="AB91:AB101"/>
    <mergeCell ref="Z121:Z125"/>
    <mergeCell ref="AD115:AD119"/>
    <mergeCell ref="AF115:AF119"/>
    <mergeCell ref="AG115:AG119"/>
    <mergeCell ref="A121:A125"/>
    <mergeCell ref="E121:E125"/>
    <mergeCell ref="U121:U125"/>
    <mergeCell ref="V121:V125"/>
    <mergeCell ref="W121:W125"/>
    <mergeCell ref="X121:X125"/>
    <mergeCell ref="Y121:Y125"/>
    <mergeCell ref="AF121:AF125"/>
    <mergeCell ref="AG121:AG125"/>
    <mergeCell ref="AA121:AA125"/>
    <mergeCell ref="AB121:AB125"/>
    <mergeCell ref="AC121:AC125"/>
    <mergeCell ref="AD121:AD125"/>
    <mergeCell ref="AE121:AE125"/>
    <mergeCell ref="A115:A119"/>
    <mergeCell ref="E115:E119"/>
    <mergeCell ref="U115:U119"/>
    <mergeCell ref="V115:V119"/>
    <mergeCell ref="W115:W119"/>
    <mergeCell ref="Y115:Y119"/>
    <mergeCell ref="AG135:AG139"/>
    <mergeCell ref="A126:A133"/>
    <mergeCell ref="E126:E133"/>
    <mergeCell ref="U126:U133"/>
    <mergeCell ref="V126:V133"/>
    <mergeCell ref="W126:W133"/>
    <mergeCell ref="X126:X133"/>
    <mergeCell ref="Y126:Y133"/>
    <mergeCell ref="Z126:Z133"/>
    <mergeCell ref="AG145:AG150"/>
    <mergeCell ref="AA145:AA150"/>
    <mergeCell ref="AB145:AB150"/>
    <mergeCell ref="AC145:AC150"/>
    <mergeCell ref="AD145:AD150"/>
    <mergeCell ref="AE145:AE150"/>
    <mergeCell ref="AF145:AF150"/>
    <mergeCell ref="AG126:AG133"/>
    <mergeCell ref="A135:A139"/>
    <mergeCell ref="E135:E139"/>
    <mergeCell ref="U135:U139"/>
    <mergeCell ref="V135:V139"/>
    <mergeCell ref="W135:W139"/>
    <mergeCell ref="Y135:Y139"/>
    <mergeCell ref="Z135:Z139"/>
    <mergeCell ref="AB135:AB139"/>
    <mergeCell ref="AD135:AD139"/>
    <mergeCell ref="AA126:AA133"/>
    <mergeCell ref="AB126:AB133"/>
    <mergeCell ref="AC126:AC133"/>
    <mergeCell ref="AD126:AD133"/>
    <mergeCell ref="AE126:AE133"/>
    <mergeCell ref="AF126:AF133"/>
    <mergeCell ref="AF135:AF139"/>
    <mergeCell ref="AB151:AB155"/>
    <mergeCell ref="AD151:AD155"/>
    <mergeCell ref="A145:A150"/>
    <mergeCell ref="E145:E150"/>
    <mergeCell ref="U145:U150"/>
    <mergeCell ref="V145:V150"/>
    <mergeCell ref="W145:W150"/>
    <mergeCell ref="X145:X150"/>
    <mergeCell ref="Y145:Y150"/>
    <mergeCell ref="Z145:Z150"/>
    <mergeCell ref="AF151:AF155"/>
    <mergeCell ref="AG151:AG155"/>
    <mergeCell ref="A157:A161"/>
    <mergeCell ref="E157:E161"/>
    <mergeCell ref="U157:U161"/>
    <mergeCell ref="V157:V161"/>
    <mergeCell ref="W157:W161"/>
    <mergeCell ref="X157:X161"/>
    <mergeCell ref="Y157:Y161"/>
    <mergeCell ref="Z157:Z161"/>
    <mergeCell ref="AG157:AG161"/>
    <mergeCell ref="AA157:AA161"/>
    <mergeCell ref="AB157:AB161"/>
    <mergeCell ref="AC157:AC161"/>
    <mergeCell ref="AD157:AD161"/>
    <mergeCell ref="AE157:AE161"/>
    <mergeCell ref="AF157:AF161"/>
    <mergeCell ref="A151:A155"/>
    <mergeCell ref="E151:E155"/>
    <mergeCell ref="U151:U155"/>
    <mergeCell ref="V151:V155"/>
    <mergeCell ref="W151:W155"/>
    <mergeCell ref="Y151:Y155"/>
    <mergeCell ref="Z151:Z155"/>
    <mergeCell ref="AF162:AF166"/>
    <mergeCell ref="AG162:AG166"/>
    <mergeCell ref="A168:A170"/>
    <mergeCell ref="E168:E170"/>
    <mergeCell ref="U168:U170"/>
    <mergeCell ref="V168:V170"/>
    <mergeCell ref="W168:W170"/>
    <mergeCell ref="X168:X170"/>
    <mergeCell ref="Y168:Y170"/>
    <mergeCell ref="Z168:Z170"/>
    <mergeCell ref="A162:A166"/>
    <mergeCell ref="E162:E166"/>
    <mergeCell ref="U162:U166"/>
    <mergeCell ref="V162:V166"/>
    <mergeCell ref="W162:W166"/>
    <mergeCell ref="Y162:Y166"/>
    <mergeCell ref="Z162:Z166"/>
    <mergeCell ref="AB162:AB166"/>
    <mergeCell ref="AD162:AD166"/>
    <mergeCell ref="AB171:AB176"/>
    <mergeCell ref="AC171:AC176"/>
    <mergeCell ref="AD171:AD176"/>
    <mergeCell ref="AE171:AE176"/>
    <mergeCell ref="AF171:AF176"/>
    <mergeCell ref="AG171:AG176"/>
    <mergeCell ref="AG168:AG170"/>
    <mergeCell ref="A171:A176"/>
    <mergeCell ref="E171:E176"/>
    <mergeCell ref="U171:U176"/>
    <mergeCell ref="V171:V176"/>
    <mergeCell ref="W171:W176"/>
    <mergeCell ref="X171:X176"/>
    <mergeCell ref="Y171:Y176"/>
    <mergeCell ref="Z171:Z176"/>
    <mergeCell ref="AA171:AA176"/>
    <mergeCell ref="AA168:AA170"/>
    <mergeCell ref="AB168:AB170"/>
    <mergeCell ref="AC168:AC170"/>
    <mergeCell ref="AD168:AD170"/>
    <mergeCell ref="AE168:AE170"/>
    <mergeCell ref="AF168:AF170"/>
    <mergeCell ref="A184:A224"/>
    <mergeCell ref="E184:E224"/>
    <mergeCell ref="U184:U224"/>
    <mergeCell ref="V184:V224"/>
    <mergeCell ref="W184:W224"/>
    <mergeCell ref="X184:X224"/>
    <mergeCell ref="Y184:Y224"/>
    <mergeCell ref="Y177:Y183"/>
    <mergeCell ref="Z177:Z183"/>
    <mergeCell ref="A177:A183"/>
    <mergeCell ref="E177:E183"/>
    <mergeCell ref="U177:U183"/>
    <mergeCell ref="V177:V183"/>
    <mergeCell ref="W177:W183"/>
    <mergeCell ref="X177:X183"/>
    <mergeCell ref="V225:V226"/>
    <mergeCell ref="W225:W226"/>
    <mergeCell ref="X225:X226"/>
    <mergeCell ref="Y225:Y226"/>
    <mergeCell ref="Z225:Z226"/>
    <mergeCell ref="Z184:Z224"/>
    <mergeCell ref="AE177:AE183"/>
    <mergeCell ref="AF177:AF183"/>
    <mergeCell ref="AG177:AG183"/>
    <mergeCell ref="AA177:AA183"/>
    <mergeCell ref="AB177:AB183"/>
    <mergeCell ref="AC177:AC183"/>
    <mergeCell ref="AD177:AD183"/>
    <mergeCell ref="AF184:AF224"/>
    <mergeCell ref="AG184:AG224"/>
    <mergeCell ref="AA184:AA224"/>
    <mergeCell ref="AB184:AB224"/>
    <mergeCell ref="AC184:AC224"/>
    <mergeCell ref="AD184:AD224"/>
    <mergeCell ref="AE184:AE224"/>
    <mergeCell ref="AG225:AG226"/>
    <mergeCell ref="AA225:AA226"/>
    <mergeCell ref="AB225:AB226"/>
    <mergeCell ref="AC225:AC226"/>
    <mergeCell ref="Y240:Y242"/>
    <mergeCell ref="Z240:Z242"/>
    <mergeCell ref="AB240:AB242"/>
    <mergeCell ref="AD240:AD242"/>
    <mergeCell ref="X245:X252"/>
    <mergeCell ref="AF253:AF257"/>
    <mergeCell ref="AG253:AG257"/>
    <mergeCell ref="AF240:AF242"/>
    <mergeCell ref="AG240:AG242"/>
    <mergeCell ref="AG245:AG252"/>
    <mergeCell ref="AE253:AE257"/>
    <mergeCell ref="A227:A235"/>
    <mergeCell ref="E227:E235"/>
    <mergeCell ref="A236:A238"/>
    <mergeCell ref="E236:E238"/>
    <mergeCell ref="A240:A242"/>
    <mergeCell ref="E240:E242"/>
    <mergeCell ref="U240:U242"/>
    <mergeCell ref="V240:V242"/>
    <mergeCell ref="W240:W242"/>
    <mergeCell ref="AD225:AD226"/>
    <mergeCell ref="AE225:AE226"/>
    <mergeCell ref="AF225:AF226"/>
    <mergeCell ref="A225:A226"/>
    <mergeCell ref="E225:E226"/>
    <mergeCell ref="U225:U226"/>
    <mergeCell ref="Y258:Y262"/>
    <mergeCell ref="Z258:Z262"/>
    <mergeCell ref="Z253:Z257"/>
    <mergeCell ref="AE245:AE252"/>
    <mergeCell ref="AF245:AF252"/>
    <mergeCell ref="A253:A257"/>
    <mergeCell ref="E253:E257"/>
    <mergeCell ref="U253:U257"/>
    <mergeCell ref="V253:V257"/>
    <mergeCell ref="W253:W257"/>
    <mergeCell ref="X253:X257"/>
    <mergeCell ref="Y253:Y257"/>
    <mergeCell ref="Y245:Y252"/>
    <mergeCell ref="Z245:Z252"/>
    <mergeCell ref="AA245:AA252"/>
    <mergeCell ref="AB245:AB252"/>
    <mergeCell ref="AC245:AC252"/>
    <mergeCell ref="AD245:AD252"/>
    <mergeCell ref="A245:A252"/>
    <mergeCell ref="E245:E252"/>
    <mergeCell ref="U245:U252"/>
    <mergeCell ref="V245:V252"/>
    <mergeCell ref="W245:W252"/>
    <mergeCell ref="AA253:AA257"/>
    <mergeCell ref="AB253:AB257"/>
    <mergeCell ref="AC253:AC257"/>
    <mergeCell ref="AD253:AD257"/>
    <mergeCell ref="AB263:AB267"/>
    <mergeCell ref="AC263:AC267"/>
    <mergeCell ref="AD263:AD267"/>
    <mergeCell ref="AE263:AE267"/>
    <mergeCell ref="AF263:AF267"/>
    <mergeCell ref="AG263:AG267"/>
    <mergeCell ref="AG258:AG262"/>
    <mergeCell ref="A263:A267"/>
    <mergeCell ref="E263:E267"/>
    <mergeCell ref="U263:U267"/>
    <mergeCell ref="V263:V267"/>
    <mergeCell ref="W263:W267"/>
    <mergeCell ref="X263:X267"/>
    <mergeCell ref="Y263:Y267"/>
    <mergeCell ref="Z263:Z267"/>
    <mergeCell ref="AA263:AA267"/>
    <mergeCell ref="AA258:AA262"/>
    <mergeCell ref="AB258:AB262"/>
    <mergeCell ref="AC258:AC262"/>
    <mergeCell ref="AD258:AD262"/>
    <mergeCell ref="AE258:AE262"/>
    <mergeCell ref="AF258:AF262"/>
    <mergeCell ref="A258:A262"/>
    <mergeCell ref="E258:E262"/>
    <mergeCell ref="U258:U262"/>
    <mergeCell ref="V258:V262"/>
    <mergeCell ref="W258:W262"/>
    <mergeCell ref="X258:X262"/>
    <mergeCell ref="A274:A277"/>
    <mergeCell ref="E274:E277"/>
    <mergeCell ref="U274:U277"/>
    <mergeCell ref="V274:V277"/>
    <mergeCell ref="W274:W277"/>
    <mergeCell ref="X274:X277"/>
    <mergeCell ref="Y274:Y277"/>
    <mergeCell ref="Y271:Y273"/>
    <mergeCell ref="Z271:Z273"/>
    <mergeCell ref="A271:A273"/>
    <mergeCell ref="E271:E273"/>
    <mergeCell ref="U271:U273"/>
    <mergeCell ref="V271:V273"/>
    <mergeCell ref="W271:W273"/>
    <mergeCell ref="X271:X273"/>
    <mergeCell ref="Z274:Z277"/>
    <mergeCell ref="AE271:AE273"/>
    <mergeCell ref="AF271:AF273"/>
    <mergeCell ref="AG271:AG273"/>
    <mergeCell ref="AA271:AA273"/>
    <mergeCell ref="AB271:AB273"/>
    <mergeCell ref="AC271:AC273"/>
    <mergeCell ref="AD271:AD273"/>
    <mergeCell ref="AF274:AF277"/>
    <mergeCell ref="AG274:AG277"/>
    <mergeCell ref="AA274:AA277"/>
    <mergeCell ref="AB274:AB277"/>
    <mergeCell ref="AC274:AC277"/>
    <mergeCell ref="AD274:AD277"/>
    <mergeCell ref="AE274:AE277"/>
    <mergeCell ref="AP278:AP282"/>
    <mergeCell ref="A283:A289"/>
    <mergeCell ref="E283:E289"/>
    <mergeCell ref="U283:U289"/>
    <mergeCell ref="V283:V289"/>
    <mergeCell ref="W283:W289"/>
    <mergeCell ref="X283:X289"/>
    <mergeCell ref="Y283:Y289"/>
    <mergeCell ref="Z283:Z289"/>
    <mergeCell ref="AA278:AA282"/>
    <mergeCell ref="AB278:AB282"/>
    <mergeCell ref="AC278:AC282"/>
    <mergeCell ref="AD278:AD282"/>
    <mergeCell ref="AE278:AE282"/>
    <mergeCell ref="AF278:AF282"/>
    <mergeCell ref="A278:A282"/>
    <mergeCell ref="E278:E282"/>
    <mergeCell ref="U278:U282"/>
    <mergeCell ref="V278:V282"/>
    <mergeCell ref="W278:W282"/>
    <mergeCell ref="X278:X282"/>
    <mergeCell ref="Y278:Y282"/>
    <mergeCell ref="Z278:Z282"/>
    <mergeCell ref="AG278:AG282"/>
    <mergeCell ref="G290:G293"/>
    <mergeCell ref="K290:K293"/>
    <mergeCell ref="AF290:AF293"/>
    <mergeCell ref="AG290:AG293"/>
    <mergeCell ref="AG283:AG289"/>
    <mergeCell ref="A290:A293"/>
    <mergeCell ref="E290:E293"/>
    <mergeCell ref="U290:U293"/>
    <mergeCell ref="V290:V293"/>
    <mergeCell ref="W290:W293"/>
    <mergeCell ref="Y290:Y293"/>
    <mergeCell ref="Z290:Z293"/>
    <mergeCell ref="AB290:AB293"/>
    <mergeCell ref="AD290:AD293"/>
    <mergeCell ref="AA283:AA289"/>
    <mergeCell ref="AB283:AB289"/>
    <mergeCell ref="AC283:AC289"/>
    <mergeCell ref="AD283:AD289"/>
    <mergeCell ref="AE283:AE289"/>
    <mergeCell ref="AF283:AF289"/>
  </mergeCells>
  <pageMargins left="0.7" right="0.7" top="0.75" bottom="0.75" header="0.3" footer="0.3"/>
  <pageSetup paperSize="9" orientation="portrait" r:id="rId1"/>
  <drawing r:id="rId2"/>
  <legacyDrawing r:id="rId3"/>
  <tableParts count="1">
    <tablePart r:id="rId4"/>
  </tablePart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Q429"/>
  <sheetViews>
    <sheetView topLeftCell="A264" workbookViewId="0">
      <selection activeCell="A429" sqref="A266:A429"/>
    </sheetView>
  </sheetViews>
  <sheetFormatPr defaultRowHeight="15" x14ac:dyDescent="0.25"/>
  <cols>
    <col min="1" max="1" width="24.42578125" bestFit="1" customWidth="1"/>
    <col min="2" max="2" width="11.28515625" bestFit="1" customWidth="1"/>
    <col min="3" max="3" width="29" customWidth="1"/>
    <col min="4" max="4" width="15.42578125" customWidth="1"/>
    <col min="5" max="5" width="16.140625" customWidth="1"/>
    <col min="6" max="6" width="16.28515625" customWidth="1"/>
    <col min="7" max="7" width="19.140625" bestFit="1" customWidth="1"/>
    <col min="8" max="9" width="19.28515625" customWidth="1"/>
    <col min="10" max="10" width="13.140625" customWidth="1"/>
    <col min="11" max="11" width="17.5703125" customWidth="1"/>
    <col min="12" max="13" width="15.7109375" customWidth="1"/>
    <col min="14" max="14" width="13.7109375" customWidth="1"/>
    <col min="15" max="15" width="15.85546875" customWidth="1"/>
    <col min="16" max="16" width="19.140625" customWidth="1"/>
    <col min="17" max="17" width="4" customWidth="1"/>
    <col min="18" max="18" width="12" customWidth="1"/>
    <col min="19" max="19" width="11.140625" customWidth="1"/>
    <col min="21" max="21" width="12.140625" customWidth="1"/>
    <col min="22" max="22" width="11.7109375" customWidth="1"/>
    <col min="25" max="25" width="12.42578125" customWidth="1"/>
    <col min="26" max="26" width="19.85546875" customWidth="1"/>
  </cols>
  <sheetData>
    <row r="1" spans="1:17" ht="18.75" x14ac:dyDescent="0.3">
      <c r="A1" s="1598" t="s">
        <v>1379</v>
      </c>
      <c r="B1" s="1632"/>
      <c r="C1" s="1482"/>
      <c r="D1" s="24"/>
    </row>
    <row r="2" spans="1:17" ht="16.5" thickBot="1" x14ac:dyDescent="0.3">
      <c r="A2" s="530" t="s">
        <v>1215</v>
      </c>
      <c r="B2" s="854"/>
      <c r="C2" s="531"/>
      <c r="D2" s="25"/>
    </row>
    <row r="3" spans="1:17" x14ac:dyDescent="0.25">
      <c r="P3" s="223"/>
    </row>
    <row r="4" spans="1:17" ht="20.45" customHeight="1" x14ac:dyDescent="0.25">
      <c r="A4" t="s">
        <v>1210</v>
      </c>
    </row>
    <row r="5" spans="1:17" ht="50.45" hidden="1" customHeight="1" x14ac:dyDescent="0.3">
      <c r="D5" s="89" t="s">
        <v>215</v>
      </c>
      <c r="E5" s="90" t="s">
        <v>1369</v>
      </c>
      <c r="F5" s="849" t="s">
        <v>196</v>
      </c>
      <c r="G5" s="846" t="s">
        <v>197</v>
      </c>
      <c r="H5" s="1483" t="s">
        <v>198</v>
      </c>
      <c r="I5" s="1484" t="s">
        <v>200</v>
      </c>
      <c r="J5" s="1485" t="s">
        <v>1316</v>
      </c>
      <c r="K5" s="1486" t="s">
        <v>201</v>
      </c>
      <c r="L5" s="1486"/>
      <c r="M5" s="1486"/>
      <c r="N5" s="1487" t="s">
        <v>199</v>
      </c>
      <c r="O5" s="1488" t="s">
        <v>1318</v>
      </c>
      <c r="P5" s="1489" t="s">
        <v>203</v>
      </c>
    </row>
    <row r="6" spans="1:17" ht="16.5" hidden="1" thickBot="1" x14ac:dyDescent="0.3">
      <c r="A6" s="42" t="s">
        <v>3</v>
      </c>
      <c r="B6" s="45"/>
      <c r="C6" s="45" t="s">
        <v>58</v>
      </c>
      <c r="D6" s="91" t="s">
        <v>1320</v>
      </c>
      <c r="E6" s="92" t="s">
        <v>1321</v>
      </c>
      <c r="F6" s="7" t="s">
        <v>1322</v>
      </c>
      <c r="G6" s="3" t="s">
        <v>1323</v>
      </c>
      <c r="H6" s="33" t="s">
        <v>1324</v>
      </c>
      <c r="I6" s="68" t="s">
        <v>1325</v>
      </c>
      <c r="J6" s="34" t="s">
        <v>1326</v>
      </c>
      <c r="K6" s="69" t="s">
        <v>1327</v>
      </c>
      <c r="L6" s="69" t="s">
        <v>1328</v>
      </c>
      <c r="M6" s="69" t="s">
        <v>816</v>
      </c>
      <c r="N6" s="66" t="s">
        <v>1329</v>
      </c>
      <c r="O6" s="67" t="s">
        <v>1331</v>
      </c>
      <c r="P6" s="1490" t="s">
        <v>1332</v>
      </c>
    </row>
    <row r="7" spans="1:17" ht="16.5" hidden="1" thickBot="1" x14ac:dyDescent="0.3">
      <c r="A7" s="270" t="s">
        <v>33</v>
      </c>
      <c r="B7" s="1616"/>
      <c r="C7" s="1049" t="s">
        <v>217</v>
      </c>
      <c r="D7" s="1226">
        <v>17400</v>
      </c>
      <c r="E7" s="305">
        <v>4.3089700000000004</v>
      </c>
      <c r="F7" s="310">
        <f>159.6/E7</f>
        <v>37.039013963893922</v>
      </c>
      <c r="G7" s="311">
        <v>0</v>
      </c>
      <c r="H7" s="312">
        <v>0</v>
      </c>
      <c r="I7" s="313" t="e">
        <f>[1]!Tabel6689[[#This Row],[Fix.ch. 2015]]+[1]!Tabel6689[[#This Row],[Var. ch. 2015]]+[1]!Tabel6689[[#This Row],[Oth. ch. DW 2015]]</f>
        <v>#REF!</v>
      </c>
      <c r="J7" s="314">
        <v>0</v>
      </c>
      <c r="K7" s="315">
        <v>0</v>
      </c>
      <c r="L7" s="315"/>
      <c r="M7" s="315"/>
      <c r="N7" s="316">
        <v>0</v>
      </c>
      <c r="O7" s="317">
        <f>35.56/E7</f>
        <v>8.252552234060575</v>
      </c>
      <c r="P7" s="1491" t="e">
        <f>[1]!Tabel6689[[#This Row],[Total. ch. DW 2015]]+[1]!Tabel6689[[#This Row],[Sew. 2015]]+[1]!Tabel6689[[#This Row],[WW 2015]]+[1]!Tabel6689[[#This Row],[Other ch. 2015]]+[1]!Tabel6689[[#This Row],[VAT 2015]]</f>
        <v>#REF!</v>
      </c>
      <c r="Q7" s="397"/>
    </row>
    <row r="8" spans="1:17" ht="15.75" hidden="1" x14ac:dyDescent="0.25">
      <c r="A8" s="2004" t="s">
        <v>524</v>
      </c>
      <c r="B8" s="1617"/>
      <c r="C8" s="1492" t="s">
        <v>526</v>
      </c>
      <c r="D8" s="2372">
        <v>5400</v>
      </c>
      <c r="E8" s="305">
        <v>385.82</v>
      </c>
      <c r="F8" s="1493">
        <f>0</f>
        <v>0</v>
      </c>
      <c r="G8" s="311">
        <f>12873/E8</f>
        <v>33.365299880773421</v>
      </c>
      <c r="H8" s="312">
        <v>0</v>
      </c>
      <c r="I8" s="313">
        <f>Tabel668910192831[[#This Row],[Fix.ch. 2015]]+Tabel668910192831[[#This Row],[Var. ch. 2015]]+Tabel668910192831[[#This Row],[Oth. ch. DW 2015]]</f>
        <v>33.365299880773421</v>
      </c>
      <c r="J8" s="314">
        <f>1750/E8</f>
        <v>4.5357938935254785</v>
      </c>
      <c r="K8" s="315">
        <f>970/E8</f>
        <v>2.5141257581255507</v>
      </c>
      <c r="L8" s="315"/>
      <c r="M8" s="315"/>
      <c r="N8" s="316">
        <v>0</v>
      </c>
      <c r="O8" s="317">
        <f>3119/E8</f>
        <v>8.0840806593748376</v>
      </c>
      <c r="P8" s="1491">
        <f>Tabel668910192831[[#This Row],[Total. ch. DW 2015]]+Tabel668910192831[[#This Row],[Sew. 2015]]+Tabel668910192831[[#This Row],[WW 2015]]+Tabel668910192831[[#This Row],[Other ch. 2015]]+Tabel668910192831[[#This Row],[VAT 2015]]</f>
        <v>48.499300191799293</v>
      </c>
      <c r="Q8" s="397"/>
    </row>
    <row r="9" spans="1:17" ht="15.75" hidden="1" x14ac:dyDescent="0.25">
      <c r="A9" s="2005"/>
      <c r="B9" s="1617"/>
      <c r="C9" s="764" t="s">
        <v>1342</v>
      </c>
      <c r="D9" s="1837"/>
      <c r="E9" s="305">
        <v>385.82</v>
      </c>
      <c r="F9" s="1493">
        <f>0</f>
        <v>0</v>
      </c>
      <c r="G9" s="311">
        <f>10160/E9</f>
        <v>26.333523404696493</v>
      </c>
      <c r="H9" s="312">
        <v>0</v>
      </c>
      <c r="I9" s="313">
        <f>Tabel668910192831[[#This Row],[Fix.ch. 2015]]+Tabel668910192831[[#This Row],[Var. ch. 2015]]+Tabel668910192831[[#This Row],[Oth. ch. DW 2015]]</f>
        <v>26.333523404696493</v>
      </c>
      <c r="J9" s="314">
        <f>1799/E9</f>
        <v>4.6627961225441918</v>
      </c>
      <c r="K9" s="315">
        <v>0</v>
      </c>
      <c r="L9" s="315"/>
      <c r="M9" s="315"/>
      <c r="N9" s="316">
        <v>0</v>
      </c>
      <c r="O9" s="317">
        <f>2392/E9</f>
        <v>6.1997822818931105</v>
      </c>
      <c r="P9" s="1491">
        <f>Tabel668910192831[[#This Row],[Total. ch. DW 2015]]+Tabel668910192831[[#This Row],[Sew. 2015]]+Tabel668910192831[[#This Row],[WW 2015]]+Tabel668910192831[[#This Row],[Other ch. 2015]]+Tabel668910192831[[#This Row],[VAT 2015]]</f>
        <v>37.196101809133793</v>
      </c>
      <c r="Q9" s="397"/>
    </row>
    <row r="10" spans="1:17" ht="15.75" hidden="1" x14ac:dyDescent="0.25">
      <c r="A10" s="2005"/>
      <c r="B10" s="1617"/>
      <c r="C10" s="764" t="s">
        <v>1343</v>
      </c>
      <c r="D10" s="1837"/>
      <c r="E10" s="305">
        <v>385.82</v>
      </c>
      <c r="F10" s="1493">
        <f>0</f>
        <v>0</v>
      </c>
      <c r="G10" s="311">
        <f>10182/E10</f>
        <v>26.390544813643668</v>
      </c>
      <c r="H10" s="312">
        <v>0</v>
      </c>
      <c r="I10" s="313">
        <f>Tabel668910192831[[#This Row],[Fix.ch. 2015]]+Tabel668910192831[[#This Row],[Var. ch. 2015]]+Tabel668910192831[[#This Row],[Oth. ch. DW 2015]]</f>
        <v>26.390544813643668</v>
      </c>
      <c r="J10" s="314">
        <f>2386/E10</f>
        <v>6.1842309885438809</v>
      </c>
      <c r="K10" s="315">
        <v>0</v>
      </c>
      <c r="L10" s="315"/>
      <c r="M10" s="315"/>
      <c r="N10" s="316">
        <v>0</v>
      </c>
      <c r="O10" s="317">
        <f>2514/E10</f>
        <v>6.5159919133274586</v>
      </c>
      <c r="P10" s="1491">
        <f>Tabel668910192831[[#This Row],[Total. ch. DW 2015]]+Tabel668910192831[[#This Row],[Sew. 2015]]+Tabel668910192831[[#This Row],[WW 2015]]+Tabel668910192831[[#This Row],[Other ch. 2015]]+Tabel668910192831[[#This Row],[VAT 2015]]</f>
        <v>39.090767715515007</v>
      </c>
      <c r="Q10" s="397"/>
    </row>
    <row r="11" spans="1:17" ht="16.5" hidden="1" thickBot="1" x14ac:dyDescent="0.3">
      <c r="A11" s="2006"/>
      <c r="B11" s="1617"/>
      <c r="C11" s="1052" t="s">
        <v>1344</v>
      </c>
      <c r="D11" s="2221"/>
      <c r="E11" s="305">
        <v>385.82</v>
      </c>
      <c r="F11" s="1493">
        <f>0</f>
        <v>0</v>
      </c>
      <c r="G11" s="311">
        <f>10727/E11</f>
        <v>27.803120626198744</v>
      </c>
      <c r="H11" s="312">
        <v>0</v>
      </c>
      <c r="I11" s="313">
        <f>Tabel668910192831[[#This Row],[Fix.ch. 2015]]+Tabel668910192831[[#This Row],[Var. ch. 2015]]+Tabel668910192831[[#This Row],[Oth. ch. DW 2015]]</f>
        <v>27.803120626198744</v>
      </c>
      <c r="J11" s="314">
        <f>1758/E11</f>
        <v>4.5565289513244522</v>
      </c>
      <c r="K11" s="315">
        <v>0</v>
      </c>
      <c r="L11" s="315"/>
      <c r="M11" s="315"/>
      <c r="N11" s="316">
        <v>0</v>
      </c>
      <c r="O11" s="317">
        <f>2497/E11</f>
        <v>6.4719299155046395</v>
      </c>
      <c r="P11" s="1491">
        <f>Tabel668910192831[[#This Row],[Total. ch. DW 2015]]+Tabel668910192831[[#This Row],[Sew. 2015]]+Tabel668910192831[[#This Row],[WW 2015]]+Tabel668910192831[[#This Row],[Other ch. 2015]]+Tabel668910192831[[#This Row],[VAT 2015]]</f>
        <v>38.831579493027839</v>
      </c>
      <c r="Q11" s="397"/>
    </row>
    <row r="12" spans="1:17" ht="15.75" hidden="1" customHeight="1" x14ac:dyDescent="0.25">
      <c r="A12" s="1795" t="s">
        <v>34</v>
      </c>
      <c r="B12" s="1618"/>
      <c r="C12" s="1494" t="s">
        <v>176</v>
      </c>
      <c r="D12" s="2343">
        <v>65400</v>
      </c>
      <c r="E12" s="616">
        <f>'[1]exchange rates'!$M$5</f>
        <v>1.36829</v>
      </c>
      <c r="F12" s="1493"/>
      <c r="G12" s="311"/>
      <c r="H12" s="312"/>
      <c r="I12" s="313"/>
      <c r="J12" s="314"/>
      <c r="K12" s="315"/>
      <c r="L12" s="315"/>
      <c r="M12" s="315"/>
      <c r="N12" s="316"/>
      <c r="O12" s="317"/>
      <c r="P12" s="1491"/>
      <c r="Q12" s="397"/>
    </row>
    <row r="13" spans="1:17" ht="15.75" hidden="1" customHeight="1" x14ac:dyDescent="0.25">
      <c r="A13" s="2301"/>
      <c r="B13" s="1618"/>
      <c r="C13" s="261" t="s">
        <v>177</v>
      </c>
      <c r="D13" s="1760"/>
      <c r="E13" s="616">
        <f>'[1]exchange rates'!$M$5</f>
        <v>1.36829</v>
      </c>
      <c r="F13" s="1493"/>
      <c r="G13" s="311"/>
      <c r="H13" s="312"/>
      <c r="I13" s="313"/>
      <c r="J13" s="314"/>
      <c r="K13" s="315"/>
      <c r="L13" s="315"/>
      <c r="M13" s="315"/>
      <c r="N13" s="316"/>
      <c r="O13" s="317"/>
      <c r="P13" s="1491"/>
      <c r="Q13" s="397"/>
    </row>
    <row r="14" spans="1:17" ht="15.75" hidden="1" customHeight="1" x14ac:dyDescent="0.25">
      <c r="A14" s="2301"/>
      <c r="B14" s="1618"/>
      <c r="C14" s="261" t="s">
        <v>178</v>
      </c>
      <c r="D14" s="1760"/>
      <c r="E14" s="616">
        <f>'[1]exchange rates'!$M$5</f>
        <v>1.36829</v>
      </c>
      <c r="F14" s="1493"/>
      <c r="G14" s="311"/>
      <c r="H14" s="312"/>
      <c r="I14" s="313"/>
      <c r="J14" s="314"/>
      <c r="K14" s="315"/>
      <c r="L14" s="315"/>
      <c r="M14" s="315"/>
      <c r="N14" s="316"/>
      <c r="O14" s="317"/>
      <c r="P14" s="1491"/>
      <c r="Q14" s="397"/>
    </row>
    <row r="15" spans="1:17" ht="15.75" hidden="1" customHeight="1" x14ac:dyDescent="0.25">
      <c r="A15" s="2301"/>
      <c r="B15" s="1618"/>
      <c r="C15" s="261" t="s">
        <v>179</v>
      </c>
      <c r="D15" s="1760"/>
      <c r="E15" s="616">
        <f>'[1]exchange rates'!$M$5</f>
        <v>1.36829</v>
      </c>
      <c r="F15" s="1493"/>
      <c r="G15" s="311"/>
      <c r="H15" s="312"/>
      <c r="I15" s="313"/>
      <c r="J15" s="314"/>
      <c r="K15" s="315"/>
      <c r="L15" s="315"/>
      <c r="M15" s="315"/>
      <c r="N15" s="316"/>
      <c r="O15" s="317"/>
      <c r="P15" s="1491"/>
      <c r="Q15" s="397"/>
    </row>
    <row r="16" spans="1:17" ht="15.75" hidden="1" customHeight="1" x14ac:dyDescent="0.25">
      <c r="A16" s="2301"/>
      <c r="B16" s="1618"/>
      <c r="C16" s="261" t="s">
        <v>180</v>
      </c>
      <c r="D16" s="1760"/>
      <c r="E16" s="616">
        <f>'[1]exchange rates'!$M$5</f>
        <v>1.36829</v>
      </c>
      <c r="F16" s="1493"/>
      <c r="G16" s="311"/>
      <c r="H16" s="312"/>
      <c r="I16" s="313"/>
      <c r="J16" s="314"/>
      <c r="K16" s="315"/>
      <c r="L16" s="315"/>
      <c r="M16" s="315"/>
      <c r="N16" s="316"/>
      <c r="O16" s="317"/>
      <c r="P16" s="1491"/>
      <c r="Q16" s="397"/>
    </row>
    <row r="17" spans="1:17" ht="15.75" hidden="1" customHeight="1" x14ac:dyDescent="0.25">
      <c r="A17" s="2301"/>
      <c r="B17" s="1618"/>
      <c r="C17" s="261" t="s">
        <v>544</v>
      </c>
      <c r="D17" s="1760"/>
      <c r="E17" s="616">
        <f>'[1]exchange rates'!$M$5</f>
        <v>1.36829</v>
      </c>
      <c r="F17" s="1493"/>
      <c r="G17" s="311"/>
      <c r="H17" s="312"/>
      <c r="I17" s="313"/>
      <c r="J17" s="314"/>
      <c r="K17" s="315"/>
      <c r="L17" s="315"/>
      <c r="M17" s="315"/>
      <c r="N17" s="316"/>
      <c r="O17" s="317"/>
      <c r="P17" s="1491"/>
      <c r="Q17" s="397"/>
    </row>
    <row r="18" spans="1:17" ht="15.75" hidden="1" customHeight="1" x14ac:dyDescent="0.25">
      <c r="A18" s="2301"/>
      <c r="B18" s="1618"/>
      <c r="C18" s="261" t="s">
        <v>545</v>
      </c>
      <c r="D18" s="1760"/>
      <c r="E18" s="616">
        <f>'[1]exchange rates'!$M$5</f>
        <v>1.36829</v>
      </c>
      <c r="F18" s="1493"/>
      <c r="G18" s="311"/>
      <c r="H18" s="312"/>
      <c r="I18" s="313"/>
      <c r="J18" s="314"/>
      <c r="K18" s="315"/>
      <c r="L18" s="315"/>
      <c r="M18" s="315"/>
      <c r="N18" s="316"/>
      <c r="O18" s="317"/>
      <c r="P18" s="1491"/>
      <c r="Q18" s="397"/>
    </row>
    <row r="19" spans="1:17" ht="15.75" hidden="1" customHeight="1" x14ac:dyDescent="0.25">
      <c r="A19" s="2301"/>
      <c r="B19" s="1618"/>
      <c r="C19" s="261" t="s">
        <v>779</v>
      </c>
      <c r="D19" s="1760"/>
      <c r="E19" s="616">
        <f>'[1]exchange rates'!$M$5</f>
        <v>1.36829</v>
      </c>
      <c r="F19" s="1493"/>
      <c r="G19" s="311"/>
      <c r="H19" s="312"/>
      <c r="I19" s="313"/>
      <c r="J19" s="314"/>
      <c r="K19" s="315"/>
      <c r="L19" s="315"/>
      <c r="M19" s="315"/>
      <c r="N19" s="316"/>
      <c r="O19" s="317"/>
      <c r="P19" s="1495"/>
      <c r="Q19" s="397"/>
    </row>
    <row r="20" spans="1:17" ht="16.5" hidden="1" customHeight="1" x14ac:dyDescent="0.25">
      <c r="A20" s="2302"/>
      <c r="B20" s="1618"/>
      <c r="C20" s="800" t="s">
        <v>546</v>
      </c>
      <c r="D20" s="1761"/>
      <c r="E20" s="616">
        <f>'[1]exchange rates'!$M$5</f>
        <v>1.36829</v>
      </c>
      <c r="F20" s="1493"/>
      <c r="G20" s="311"/>
      <c r="H20" s="312"/>
      <c r="I20" s="313"/>
      <c r="J20" s="314"/>
      <c r="K20" s="315"/>
      <c r="L20" s="315"/>
      <c r="M20" s="315"/>
      <c r="N20" s="316"/>
      <c r="O20" s="317"/>
      <c r="P20" s="1491"/>
      <c r="Q20" s="397"/>
    </row>
    <row r="21" spans="1:17" ht="15.75" hidden="1" x14ac:dyDescent="0.25">
      <c r="A21" s="2004" t="s">
        <v>4</v>
      </c>
      <c r="B21" s="1617"/>
      <c r="C21" s="452" t="s">
        <v>59</v>
      </c>
      <c r="D21" s="1837">
        <v>42600</v>
      </c>
      <c r="E21" s="306">
        <f>'[1]exchange rates'!K6</f>
        <v>0.72762000000000004</v>
      </c>
      <c r="F21" s="1493">
        <f>61.2/E21</f>
        <v>84.109837552568649</v>
      </c>
      <c r="G21" s="311">
        <f>162.8/E21</f>
        <v>223.74316263983948</v>
      </c>
      <c r="H21" s="312">
        <f>0</f>
        <v>0</v>
      </c>
      <c r="I21" s="313">
        <f>Tabel668910192831[[#This Row],[Fix.ch. 2015]]+Tabel668910192831[[#This Row],[Var. ch. 2015]]+Tabel668910192831[[#This Row],[Oth. ch. DW 2015]]</f>
        <v>307.8530001924081</v>
      </c>
      <c r="J21" s="314">
        <v>0</v>
      </c>
      <c r="K21" s="315">
        <f>178/E21</f>
        <v>244.63318765289571</v>
      </c>
      <c r="L21" s="315"/>
      <c r="M21" s="315"/>
      <c r="N21" s="316">
        <v>0</v>
      </c>
      <c r="O21" s="317">
        <f>40.2/E21</f>
        <v>55.248618784530386</v>
      </c>
      <c r="P21" s="1491">
        <f>Tabel668910192831[[#This Row],[Total. ch. DW 2015]]+Tabel668910192831[[#This Row],[Sew. 2015]]+Tabel668910192831[[#This Row],[WW 2015]]+Tabel668910192831[[#This Row],[Other ch. 2015]]+Tabel668910192831[[#This Row],[VAT 2015]]</f>
        <v>607.73480662983422</v>
      </c>
      <c r="Q21" s="397"/>
    </row>
    <row r="22" spans="1:17" ht="15.75" hidden="1" x14ac:dyDescent="0.25">
      <c r="A22" s="2005"/>
      <c r="B22" s="1617"/>
      <c r="C22" s="452" t="s">
        <v>60</v>
      </c>
      <c r="D22" s="1837"/>
      <c r="E22" s="306">
        <f>'[1]exchange rates'!K6</f>
        <v>0.72762000000000004</v>
      </c>
      <c r="F22" s="1493">
        <f>17.52/E22</f>
        <v>24.078502515049063</v>
      </c>
      <c r="G22" s="311">
        <f>131/E22</f>
        <v>180.03903136252438</v>
      </c>
      <c r="H22" s="312">
        <v>0</v>
      </c>
      <c r="I22" s="313">
        <f>Tabel668910192831[[#This Row],[Fix.ch. 2015]]+Tabel668910192831[[#This Row],[Var. ch. 2015]]+Tabel668910192831[[#This Row],[Oth. ch. DW 2015]]</f>
        <v>204.11753387757344</v>
      </c>
      <c r="J22" s="314">
        <v>0</v>
      </c>
      <c r="K22" s="315">
        <f>191.3/E22</f>
        <v>262.91195953931998</v>
      </c>
      <c r="L22" s="315"/>
      <c r="M22" s="315"/>
      <c r="N22" s="316">
        <v>0</v>
      </c>
      <c r="O22" s="317">
        <f>33.98/E22</f>
        <v>46.700200654187618</v>
      </c>
      <c r="P22" s="1491">
        <f>Tabel668910192831[[#This Row],[Total. ch. DW 2015]]+Tabel668910192831[[#This Row],[Sew. 2015]]+Tabel668910192831[[#This Row],[WW 2015]]+Tabel668910192831[[#This Row],[Other ch. 2015]]+Tabel668910192831[[#This Row],[VAT 2015]]</f>
        <v>513.72969407108098</v>
      </c>
      <c r="Q22" s="397"/>
    </row>
    <row r="23" spans="1:17" ht="15.75" hidden="1" x14ac:dyDescent="0.25">
      <c r="A23" s="2005"/>
      <c r="B23" s="1617"/>
      <c r="C23" s="452" t="s">
        <v>61</v>
      </c>
      <c r="D23" s="1837"/>
      <c r="E23" s="306">
        <f>'[1]exchange rates'!K6</f>
        <v>0.72762000000000004</v>
      </c>
      <c r="F23" s="1493">
        <f>62.59/E23</f>
        <v>86.020175366262606</v>
      </c>
      <c r="G23" s="311">
        <f>82.79/E23</f>
        <v>113.7819191336137</v>
      </c>
      <c r="H23" s="312">
        <v>0</v>
      </c>
      <c r="I23" s="313">
        <f>Tabel668910192831[[#This Row],[Fix.ch. 2015]]+Tabel668910192831[[#This Row],[Var. ch. 2015]]+Tabel668910192831[[#This Row],[Oth. ch. DW 2015]]</f>
        <v>199.80209449987632</v>
      </c>
      <c r="J23" s="314">
        <v>0</v>
      </c>
      <c r="K23" s="315">
        <f>157.44/E23</f>
        <v>216.3766801352354</v>
      </c>
      <c r="L23" s="315"/>
      <c r="M23" s="315"/>
      <c r="N23" s="316">
        <v>0</v>
      </c>
      <c r="O23" s="317">
        <f>30.28/E23</f>
        <v>41.615128776009456</v>
      </c>
      <c r="P23" s="1491">
        <f>Tabel668910192831[[#This Row],[Total. ch. DW 2015]]+Tabel668910192831[[#This Row],[Sew. 2015]]+Tabel668910192831[[#This Row],[WW 2015]]+Tabel668910192831[[#This Row],[Other ch. 2015]]+Tabel668910192831[[#This Row],[VAT 2015]]</f>
        <v>457.79390341112116</v>
      </c>
      <c r="Q23" s="397"/>
    </row>
    <row r="24" spans="1:17" ht="15.75" hidden="1" x14ac:dyDescent="0.25">
      <c r="A24" s="2005"/>
      <c r="B24" s="1617"/>
      <c r="C24" s="452" t="s">
        <v>62</v>
      </c>
      <c r="D24" s="1837"/>
      <c r="E24" s="306">
        <f>'[1]exchange rates'!K6</f>
        <v>0.72762000000000004</v>
      </c>
      <c r="F24" s="1493">
        <f>23.4/E24</f>
        <v>32.159643770099777</v>
      </c>
      <c r="G24" s="311">
        <f>146.81/E24</f>
        <v>201.76740606360462</v>
      </c>
      <c r="H24" s="312">
        <v>0</v>
      </c>
      <c r="I24" s="313">
        <f>Tabel668910192831[[#This Row],[Fix.ch. 2015]]+Tabel668910192831[[#This Row],[Var. ch. 2015]]+Tabel668910192831[[#This Row],[Oth. ch. DW 2015]]</f>
        <v>233.92704983370442</v>
      </c>
      <c r="J24" s="314">
        <v>0</v>
      </c>
      <c r="K24" s="315">
        <f>248/E24</f>
        <v>340.83725021302325</v>
      </c>
      <c r="L24" s="315"/>
      <c r="M24" s="315"/>
      <c r="N24" s="316">
        <v>0</v>
      </c>
      <c r="O24" s="317">
        <f>41.82/E24</f>
        <v>57.475055660921903</v>
      </c>
      <c r="P24" s="1491">
        <f>Tabel668910192831[[#This Row],[Total. ch. DW 2015]]+Tabel668910192831[[#This Row],[Sew. 2015]]+Tabel668910192831[[#This Row],[WW 2015]]+Tabel668910192831[[#This Row],[Other ch. 2015]]+Tabel668910192831[[#This Row],[VAT 2015]]</f>
        <v>632.23935570764957</v>
      </c>
      <c r="Q24" s="397"/>
    </row>
    <row r="25" spans="1:17" ht="16.5" hidden="1" thickBot="1" x14ac:dyDescent="0.3">
      <c r="A25" s="2005"/>
      <c r="B25" s="1617"/>
      <c r="C25" s="801" t="s">
        <v>63</v>
      </c>
      <c r="D25" s="2221"/>
      <c r="E25" s="306">
        <f>'[1]exchange rates'!K6</f>
        <v>0.72762000000000004</v>
      </c>
      <c r="F25" s="1493">
        <f>21.72/E25</f>
        <v>29.850746268656714</v>
      </c>
      <c r="G25" s="311">
        <f>155.7/E25</f>
        <v>213.98532200874081</v>
      </c>
      <c r="H25" s="312">
        <v>0</v>
      </c>
      <c r="I25" s="313">
        <f>Tabel668910192831[[#This Row],[Fix.ch. 2015]]+Tabel668910192831[[#This Row],[Var. ch. 2015]]+Tabel668910192831[[#This Row],[Oth. ch. DW 2015]]</f>
        <v>243.83606827739752</v>
      </c>
      <c r="J25" s="314">
        <v>0</v>
      </c>
      <c r="K25" s="315">
        <f>177.3/E25</f>
        <v>243.67114702729447</v>
      </c>
      <c r="L25" s="315"/>
      <c r="M25" s="315"/>
      <c r="N25" s="316">
        <v>0</v>
      </c>
      <c r="O25" s="317">
        <f>35.47/E25</f>
        <v>48.747972842967478</v>
      </c>
      <c r="P25" s="1491">
        <f>Tabel668910192831[[#This Row],[Total. ch. DW 2015]]+Tabel668910192831[[#This Row],[Sew. 2015]]+Tabel668910192831[[#This Row],[WW 2015]]+Tabel668910192831[[#This Row],[Other ch. 2015]]+Tabel668910192831[[#This Row],[VAT 2015]]</f>
        <v>536.2551881476594</v>
      </c>
      <c r="Q25" s="397"/>
    </row>
    <row r="26" spans="1:17" ht="15.75" hidden="1" customHeight="1" x14ac:dyDescent="0.25">
      <c r="A26" s="2294" t="s">
        <v>6</v>
      </c>
      <c r="B26" s="1656"/>
      <c r="C26" s="735" t="s">
        <v>67</v>
      </c>
      <c r="D26" s="2418">
        <v>44100</v>
      </c>
      <c r="E26" s="616">
        <f>'[1]exchange rates'!$M$7</f>
        <v>0.92093999999999998</v>
      </c>
      <c r="F26" s="686">
        <f>53.19/E26</f>
        <v>57.75620561600104</v>
      </c>
      <c r="G26" s="593">
        <f>127.5/E26</f>
        <v>138.4455013355919</v>
      </c>
      <c r="H26" s="594">
        <v>0</v>
      </c>
      <c r="I26" s="566">
        <f>Tabel668910192831[[#This Row],[Fix.ch. 2015]]+Tabel668910192831[[#This Row],[Var. ch. 2015]]+Tabel668910192831[[#This Row],[Oth. ch. DW 2015]]</f>
        <v>196.20170695159294</v>
      </c>
      <c r="J26" s="596">
        <f>169.23/E26</f>
        <v>183.75789953742915</v>
      </c>
      <c r="K26" s="626">
        <f>120.88/E26</f>
        <v>131.2571937368341</v>
      </c>
      <c r="L26" s="626"/>
      <c r="M26" s="626"/>
      <c r="N26" s="597">
        <v>0</v>
      </c>
      <c r="O26" s="570">
        <f>28.25/E26</f>
        <v>30.675179707689971</v>
      </c>
      <c r="P26" s="1496">
        <f>Tabel668910192831[[#This Row],[Total. ch. DW 2015]]+Tabel668910192831[[#This Row],[Sew. 2015]]+Tabel668910192831[[#This Row],[WW 2015]]+Tabel668910192831[[#This Row],[Other ch. 2015]]+Tabel668910192831[[#This Row],[VAT 2015]]</f>
        <v>541.89197993354617</v>
      </c>
      <c r="Q26" s="397"/>
    </row>
    <row r="27" spans="1:17" ht="15.75" hidden="1" customHeight="1" x14ac:dyDescent="0.25">
      <c r="A27" s="2294"/>
      <c r="B27" s="1656"/>
      <c r="C27" s="735" t="s">
        <v>71</v>
      </c>
      <c r="D27" s="1822"/>
      <c r="E27" s="616">
        <f>'[1]exchange rates'!$M$7</f>
        <v>0.92093999999999998</v>
      </c>
      <c r="F27" s="686">
        <f>67.84/E27</f>
        <v>73.663865181227877</v>
      </c>
      <c r="G27" s="593">
        <f>89.93/E27</f>
        <v>97.650226942037492</v>
      </c>
      <c r="H27" s="594">
        <v>0</v>
      </c>
      <c r="I27" s="566">
        <f>Tabel668910192831[[#This Row],[Fix.ch. 2015]]+Tabel668910192831[[#This Row],[Var. ch. 2015]]+Tabel668910192831[[#This Row],[Oth. ch. DW 2015]]</f>
        <v>171.31409212326537</v>
      </c>
      <c r="J27" s="596">
        <f>96/E27</f>
        <v>104.24131865268096</v>
      </c>
      <c r="K27" s="626">
        <f>133.32/E27</f>
        <v>144.76513127891067</v>
      </c>
      <c r="L27" s="626"/>
      <c r="M27" s="626"/>
      <c r="N27" s="597">
        <v>0</v>
      </c>
      <c r="O27" s="570">
        <f>23.23/E27</f>
        <v>25.224227419810195</v>
      </c>
      <c r="P27" s="1496">
        <f>Tabel668910192831[[#This Row],[Total. ch. DW 2015]]+Tabel668910192831[[#This Row],[Sew. 2015]]+Tabel668910192831[[#This Row],[WW 2015]]+Tabel668910192831[[#This Row],[Other ch. 2015]]+Tabel668910192831[[#This Row],[VAT 2015]]</f>
        <v>445.54476947466719</v>
      </c>
      <c r="Q27" s="397"/>
    </row>
    <row r="28" spans="1:17" ht="15.75" hidden="1" customHeight="1" x14ac:dyDescent="0.25">
      <c r="A28" s="2294"/>
      <c r="B28" s="1656"/>
      <c r="C28" s="735" t="s">
        <v>68</v>
      </c>
      <c r="D28" s="1822"/>
      <c r="E28" s="616">
        <f>'[1]exchange rates'!$M$7</f>
        <v>0.92093999999999998</v>
      </c>
      <c r="F28" s="686">
        <f>23.8/E28</f>
        <v>25.84316024931049</v>
      </c>
      <c r="G28" s="593">
        <f>187.29/E28</f>
        <v>203.36829760896475</v>
      </c>
      <c r="H28" s="594">
        <v>0</v>
      </c>
      <c r="I28" s="566">
        <f>Tabel668910192831[[#This Row],[Fix.ch. 2015]]+Tabel668910192831[[#This Row],[Var. ch. 2015]]+Tabel668910192831[[#This Row],[Oth. ch. DW 2015]]</f>
        <v>229.21145785827525</v>
      </c>
      <c r="J28" s="596">
        <f>94.13/E28</f>
        <v>102.21078463309227</v>
      </c>
      <c r="K28" s="626">
        <f>51/E28</f>
        <v>55.378200534236761</v>
      </c>
      <c r="L28" s="626"/>
      <c r="M28" s="626"/>
      <c r="N28" s="597">
        <v>0</v>
      </c>
      <c r="O28" s="570">
        <f>21.37/E28</f>
        <v>23.204551870914504</v>
      </c>
      <c r="P28" s="1496">
        <f>Tabel668910192831[[#This Row],[Total. ch. DW 2015]]+Tabel668910192831[[#This Row],[Sew. 2015]]+Tabel668910192831[[#This Row],[WW 2015]]+Tabel668910192831[[#This Row],[Other ch. 2015]]+Tabel668910192831[[#This Row],[VAT 2015]]</f>
        <v>410.00499489651878</v>
      </c>
      <c r="Q28" s="397"/>
    </row>
    <row r="29" spans="1:17" ht="15.75" hidden="1" customHeight="1" x14ac:dyDescent="0.25">
      <c r="A29" s="2294"/>
      <c r="B29" s="1656"/>
      <c r="C29" s="735" t="s">
        <v>72</v>
      </c>
      <c r="D29" s="1822"/>
      <c r="E29" s="616">
        <f>'[1]exchange rates'!$M$7</f>
        <v>0.92093999999999998</v>
      </c>
      <c r="F29" s="686">
        <f>105.08/E29</f>
        <v>114.1008100419137</v>
      </c>
      <c r="G29" s="593">
        <f>224.11/E29</f>
        <v>243.34918670054512</v>
      </c>
      <c r="H29" s="594">
        <v>0</v>
      </c>
      <c r="I29" s="566">
        <f>Tabel668910192831[[#This Row],[Fix.ch. 2015]]+Tabel668910192831[[#This Row],[Var. ch. 2015]]+Tabel668910192831[[#This Row],[Oth. ch. DW 2015]]</f>
        <v>357.44999674245884</v>
      </c>
      <c r="J29" s="596">
        <v>0</v>
      </c>
      <c r="K29" s="626">
        <f>174.5/E29</f>
        <v>189.48031359263362</v>
      </c>
      <c r="L29" s="626"/>
      <c r="M29" s="626"/>
      <c r="N29" s="597">
        <f>1.25/E29</f>
        <v>1.35730883662345</v>
      </c>
      <c r="O29" s="570">
        <f>30.3/E29</f>
        <v>32.901166199752431</v>
      </c>
      <c r="P29" s="1496">
        <f>Tabel668910192831[[#This Row],[Total. ch. DW 2015]]+Tabel668910192831[[#This Row],[Sew. 2015]]+Tabel668910192831[[#This Row],[WW 2015]]+Tabel668910192831[[#This Row],[Other ch. 2015]]+Tabel668910192831[[#This Row],[VAT 2015]]</f>
        <v>581.18878537146838</v>
      </c>
      <c r="Q29" s="397"/>
    </row>
    <row r="30" spans="1:17" ht="15.75" hidden="1" customHeight="1" x14ac:dyDescent="0.25">
      <c r="A30" s="2294"/>
      <c r="B30" s="1656"/>
      <c r="C30" s="735" t="s">
        <v>69</v>
      </c>
      <c r="D30" s="1822"/>
      <c r="E30" s="616">
        <f>'[1]exchange rates'!$M$7</f>
        <v>0.92093999999999998</v>
      </c>
      <c r="F30" s="686">
        <f>53.19/E30</f>
        <v>57.75620561600104</v>
      </c>
      <c r="G30" s="593">
        <f>134.38/E30</f>
        <v>145.91612917236736</v>
      </c>
      <c r="H30" s="594">
        <v>0</v>
      </c>
      <c r="I30" s="566">
        <f>Tabel668910192831[[#This Row],[Fix.ch. 2015]]+Tabel668910192831[[#This Row],[Var. ch. 2015]]+Tabel668910192831[[#This Row],[Oth. ch. DW 2015]]</f>
        <v>203.6723347883684</v>
      </c>
      <c r="J30" s="596">
        <f>169.23/E30</f>
        <v>183.75789953742915</v>
      </c>
      <c r="K30" s="626">
        <f>120.88/E30</f>
        <v>131.2571937368341</v>
      </c>
      <c r="L30" s="626"/>
      <c r="M30" s="626"/>
      <c r="N30" s="597">
        <v>0</v>
      </c>
      <c r="O30" s="570">
        <f>28.66/E30</f>
        <v>31.120377006102462</v>
      </c>
      <c r="P30" s="1496">
        <f>Tabel668910192831[[#This Row],[Total. ch. DW 2015]]+Tabel668910192831[[#This Row],[Sew. 2015]]+Tabel668910192831[[#This Row],[WW 2015]]+Tabel668910192831[[#This Row],[Other ch. 2015]]+Tabel668910192831[[#This Row],[VAT 2015]]</f>
        <v>549.80780506873407</v>
      </c>
      <c r="Q30" s="397"/>
    </row>
    <row r="31" spans="1:17" ht="15.75" hidden="1" customHeight="1" x14ac:dyDescent="0.25">
      <c r="A31" s="2294"/>
      <c r="B31" s="1656"/>
      <c r="C31" s="735" t="s">
        <v>70</v>
      </c>
      <c r="D31" s="1822"/>
      <c r="E31" s="616">
        <f>'[1]exchange rates'!$M$7</f>
        <v>0.92093999999999998</v>
      </c>
      <c r="F31" s="686">
        <f>53.19/E31</f>
        <v>57.75620561600104</v>
      </c>
      <c r="G31" s="593">
        <f>98.75/E31</f>
        <v>107.22739809325255</v>
      </c>
      <c r="H31" s="594">
        <v>0</v>
      </c>
      <c r="I31" s="566">
        <f>Tabel668910192831[[#This Row],[Fix.ch. 2015]]+Tabel668910192831[[#This Row],[Var. ch. 2015]]+Tabel668910192831[[#This Row],[Oth. ch. DW 2015]]</f>
        <v>164.9836037092536</v>
      </c>
      <c r="J31" s="596">
        <f>169.23/E31</f>
        <v>183.75789953742915</v>
      </c>
      <c r="K31" s="626">
        <f>120.88/E31</f>
        <v>131.2571937368341</v>
      </c>
      <c r="L31" s="626"/>
      <c r="M31" s="626"/>
      <c r="N31" s="597">
        <v>0</v>
      </c>
      <c r="O31" s="570">
        <f>26.52/E31</f>
        <v>28.796664277803114</v>
      </c>
      <c r="P31" s="1496">
        <f>Tabel668910192831[[#This Row],[Total. ch. DW 2015]]+Tabel668910192831[[#This Row],[Sew. 2015]]+Tabel668910192831[[#This Row],[WW 2015]]+Tabel668910192831[[#This Row],[Other ch. 2015]]+Tabel668910192831[[#This Row],[VAT 2015]]</f>
        <v>508.79536126132001</v>
      </c>
      <c r="Q31" s="397"/>
    </row>
    <row r="32" spans="1:17" ht="16.5" hidden="1" customHeight="1" x14ac:dyDescent="0.25">
      <c r="A32" s="2294"/>
      <c r="B32" s="1656"/>
      <c r="C32" s="735" t="s">
        <v>216</v>
      </c>
      <c r="D32" s="1822"/>
      <c r="E32" s="616">
        <f>'[1]exchange rates'!$M$7</f>
        <v>0.92093999999999998</v>
      </c>
      <c r="F32" s="686"/>
      <c r="G32" s="593"/>
      <c r="H32" s="594"/>
      <c r="I32" s="566"/>
      <c r="J32" s="596"/>
      <c r="K32" s="626"/>
      <c r="L32" s="626"/>
      <c r="M32" s="626"/>
      <c r="N32" s="597"/>
      <c r="O32" s="570"/>
      <c r="P32" s="1496"/>
      <c r="Q32" s="397"/>
    </row>
    <row r="33" spans="1:17" ht="17.25" hidden="1" customHeight="1" x14ac:dyDescent="0.25">
      <c r="A33" s="2295"/>
      <c r="B33" s="1656"/>
      <c r="C33" s="736" t="s">
        <v>629</v>
      </c>
      <c r="D33" s="1823"/>
      <c r="E33" s="616">
        <f>'[1]exchange rates'!$M$7</f>
        <v>0.92093999999999998</v>
      </c>
      <c r="F33" s="686">
        <f>104.75/E33</f>
        <v>113.74248050904511</v>
      </c>
      <c r="G33" s="593">
        <f>222.7/E33</f>
        <v>241.81814233283384</v>
      </c>
      <c r="H33" s="594">
        <v>0</v>
      </c>
      <c r="I33" s="566">
        <f>Tabel668910192831[[#This Row],[Fix.ch. 2015]]+Tabel668910192831[[#This Row],[Var. ch. 2015]]+Tabel668910192831[[#This Row],[Oth. ch. DW 2015]]</f>
        <v>355.56062284187897</v>
      </c>
      <c r="J33" s="596">
        <v>0</v>
      </c>
      <c r="K33" s="626">
        <f>174.5/E33</f>
        <v>189.48031359263362</v>
      </c>
      <c r="L33" s="626"/>
      <c r="M33" s="626"/>
      <c r="N33" s="597">
        <f>1.25/E33</f>
        <v>1.35730883662345</v>
      </c>
      <c r="O33" s="570">
        <f>30.19/E33</f>
        <v>32.781723022129569</v>
      </c>
      <c r="P33" s="1496">
        <f>Tabel668910192831[[#This Row],[Total. ch. DW 2015]]+Tabel668910192831[[#This Row],[Sew. 2015]]+Tabel668910192831[[#This Row],[WW 2015]]+Tabel668910192831[[#This Row],[Other ch. 2015]]+Tabel668910192831[[#This Row],[VAT 2015]]</f>
        <v>579.17996829326557</v>
      </c>
      <c r="Q33" s="397"/>
    </row>
    <row r="34" spans="1:17" ht="15.75" hidden="1" x14ac:dyDescent="0.25">
      <c r="A34" s="1818" t="s">
        <v>1345</v>
      </c>
      <c r="B34" s="1656"/>
      <c r="C34" s="1497" t="s">
        <v>459</v>
      </c>
      <c r="D34" s="2401">
        <v>15800</v>
      </c>
      <c r="E34" s="616">
        <f>'[1]exchange rates'!$M$8</f>
        <v>3.9608599999999998</v>
      </c>
      <c r="F34" s="686" t="s">
        <v>5</v>
      </c>
      <c r="G34" s="593" t="s">
        <v>5</v>
      </c>
      <c r="H34" s="594" t="s">
        <v>5</v>
      </c>
      <c r="I34" s="566" t="s">
        <v>5</v>
      </c>
      <c r="J34" s="596" t="s">
        <v>5</v>
      </c>
      <c r="K34" s="626" t="s">
        <v>5</v>
      </c>
      <c r="L34" s="626"/>
      <c r="M34" s="626"/>
      <c r="N34" s="597" t="s">
        <v>5</v>
      </c>
      <c r="O34" s="570" t="s">
        <v>5</v>
      </c>
      <c r="P34" s="1496">
        <f>268/E34</f>
        <v>67.662073388102584</v>
      </c>
      <c r="Q34" s="397"/>
    </row>
    <row r="35" spans="1:17" ht="15.75" hidden="1" x14ac:dyDescent="0.25">
      <c r="A35" s="2294"/>
      <c r="B35" s="1656"/>
      <c r="C35" s="633" t="s">
        <v>462</v>
      </c>
      <c r="D35" s="1880"/>
      <c r="E35" s="616">
        <f>'[1]exchange rates'!$M$8</f>
        <v>3.9608599999999998</v>
      </c>
      <c r="F35" s="686" t="s">
        <v>5</v>
      </c>
      <c r="G35" s="593" t="s">
        <v>5</v>
      </c>
      <c r="H35" s="594" t="s">
        <v>5</v>
      </c>
      <c r="I35" s="566" t="s">
        <v>5</v>
      </c>
      <c r="J35" s="596" t="s">
        <v>5</v>
      </c>
      <c r="K35" s="626" t="s">
        <v>5</v>
      </c>
      <c r="L35" s="626"/>
      <c r="M35" s="626"/>
      <c r="N35" s="597" t="s">
        <v>5</v>
      </c>
      <c r="O35" s="570" t="s">
        <v>5</v>
      </c>
      <c r="P35" s="1496">
        <f>218/E35</f>
        <v>55.038552233605834</v>
      </c>
      <c r="Q35" s="397"/>
    </row>
    <row r="36" spans="1:17" ht="16.5" hidden="1" thickBot="1" x14ac:dyDescent="0.3">
      <c r="A36" s="2295"/>
      <c r="B36" s="1656"/>
      <c r="C36" s="634" t="s">
        <v>1346</v>
      </c>
      <c r="D36" s="1761"/>
      <c r="E36" s="616">
        <f>'[1]exchange rates'!$M$8</f>
        <v>3.9608599999999998</v>
      </c>
      <c r="F36" s="686" t="s">
        <v>5</v>
      </c>
      <c r="G36" s="593" t="s">
        <v>5</v>
      </c>
      <c r="H36" s="594" t="s">
        <v>5</v>
      </c>
      <c r="I36" s="566" t="s">
        <v>5</v>
      </c>
      <c r="J36" s="596" t="s">
        <v>5</v>
      </c>
      <c r="K36" s="626" t="s">
        <v>5</v>
      </c>
      <c r="L36" s="626"/>
      <c r="M36" s="626"/>
      <c r="N36" s="597" t="s">
        <v>5</v>
      </c>
      <c r="O36" s="570" t="s">
        <v>5</v>
      </c>
      <c r="P36" s="1496">
        <f>421/E36</f>
        <v>106.29004812086265</v>
      </c>
      <c r="Q36" s="397"/>
    </row>
    <row r="37" spans="1:17" ht="18.75" hidden="1" customHeight="1" x14ac:dyDescent="0.25">
      <c r="A37" s="1833" t="s">
        <v>487</v>
      </c>
      <c r="B37" s="1617"/>
      <c r="C37" s="503" t="s">
        <v>481</v>
      </c>
      <c r="D37" s="2405">
        <v>11600</v>
      </c>
      <c r="E37" s="306">
        <v>1.86534</v>
      </c>
      <c r="F37" s="1493">
        <f>61.68/E37</f>
        <v>33.066357875775999</v>
      </c>
      <c r="G37" s="311">
        <v>0</v>
      </c>
      <c r="H37" s="312">
        <v>0</v>
      </c>
      <c r="I37" s="313">
        <f>Tabel668910192831[[#This Row],[Fix.ch. 2015]]+Tabel668910192831[[#This Row],[Var. ch. 2015]]+Tabel668910192831[[#This Row],[Oth. ch. DW 2015]]</f>
        <v>33.066357875775999</v>
      </c>
      <c r="J37" s="314">
        <f>61.68/E37</f>
        <v>33.066357875775999</v>
      </c>
      <c r="K37" s="315">
        <v>0</v>
      </c>
      <c r="L37" s="315"/>
      <c r="M37" s="315"/>
      <c r="N37" s="316">
        <v>0</v>
      </c>
      <c r="O37" s="317">
        <v>0</v>
      </c>
      <c r="P37" s="1491">
        <f>Tabel668910192831[[#This Row],[Total. ch. DW 2015]]+Tabel668910192831[[#This Row],[Sew. 2015]]+Tabel668910192831[[#This Row],[WW 2015]]+Tabel668910192831[[#This Row],[Other ch. 2015]]+Tabel668910192831[[#This Row],[VAT 2015]]</f>
        <v>66.132715751551999</v>
      </c>
      <c r="Q37" s="397"/>
    </row>
    <row r="38" spans="1:17" ht="18.75" hidden="1" customHeight="1" x14ac:dyDescent="0.25">
      <c r="A38" s="2297"/>
      <c r="B38" s="1617"/>
      <c r="C38" s="503" t="s">
        <v>482</v>
      </c>
      <c r="D38" s="1837"/>
      <c r="E38" s="306">
        <v>1.86534</v>
      </c>
      <c r="F38" s="1493">
        <f>47.04/E38</f>
        <v>25.217922737945898</v>
      </c>
      <c r="G38" s="311">
        <v>0</v>
      </c>
      <c r="H38" s="312">
        <v>0</v>
      </c>
      <c r="I38" s="313">
        <f>Tabel668910192831[[#This Row],[Fix.ch. 2015]]+Tabel668910192831[[#This Row],[Var. ch. 2015]]+Tabel668910192831[[#This Row],[Oth. ch. DW 2015]]</f>
        <v>25.217922737945898</v>
      </c>
      <c r="J38" s="314">
        <f>47.04/E38</f>
        <v>25.217922737945898</v>
      </c>
      <c r="K38" s="315">
        <v>0</v>
      </c>
      <c r="L38" s="315"/>
      <c r="M38" s="315"/>
      <c r="N38" s="316">
        <v>0</v>
      </c>
      <c r="O38" s="317">
        <v>0</v>
      </c>
      <c r="P38" s="1491">
        <f>Tabel668910192831[[#This Row],[Total. ch. DW 2015]]+Tabel668910192831[[#This Row],[Sew. 2015]]+Tabel668910192831[[#This Row],[WW 2015]]+Tabel668910192831[[#This Row],[Other ch. 2015]]+Tabel668910192831[[#This Row],[VAT 2015]]</f>
        <v>50.435845475891796</v>
      </c>
      <c r="Q38" s="397"/>
    </row>
    <row r="39" spans="1:17" ht="18.75" hidden="1" customHeight="1" x14ac:dyDescent="0.25">
      <c r="A39" s="2297"/>
      <c r="B39" s="1617"/>
      <c r="C39" s="503" t="s">
        <v>483</v>
      </c>
      <c r="D39" s="1837"/>
      <c r="E39" s="306">
        <v>1.86534</v>
      </c>
      <c r="F39" s="1493">
        <f>181.92/E39</f>
        <v>97.52645630287239</v>
      </c>
      <c r="G39" s="311">
        <v>0</v>
      </c>
      <c r="H39" s="312">
        <v>0</v>
      </c>
      <c r="I39" s="313">
        <f>Tabel668910192831[[#This Row],[Fix.ch. 2015]]+Tabel668910192831[[#This Row],[Var. ch. 2015]]+Tabel668910192831[[#This Row],[Oth. ch. DW 2015]]</f>
        <v>97.52645630287239</v>
      </c>
      <c r="J39" s="314">
        <f>181.92/E39</f>
        <v>97.52645630287239</v>
      </c>
      <c r="K39" s="315">
        <v>0</v>
      </c>
      <c r="L39" s="315"/>
      <c r="M39" s="315"/>
      <c r="N39" s="316">
        <v>0</v>
      </c>
      <c r="O39" s="317">
        <v>0</v>
      </c>
      <c r="P39" s="1491">
        <f>Tabel668910192831[[#This Row],[Total. ch. DW 2015]]+Tabel668910192831[[#This Row],[Sew. 2015]]+Tabel668910192831[[#This Row],[WW 2015]]+Tabel668910192831[[#This Row],[Other ch. 2015]]+Tabel668910192831[[#This Row],[VAT 2015]]</f>
        <v>195.05291260574478</v>
      </c>
      <c r="Q39" s="397"/>
    </row>
    <row r="40" spans="1:17" ht="18.75" hidden="1" customHeight="1" x14ac:dyDescent="0.25">
      <c r="A40" s="2297"/>
      <c r="B40" s="1617"/>
      <c r="C40" s="503" t="s">
        <v>484</v>
      </c>
      <c r="D40" s="1837"/>
      <c r="E40" s="306">
        <v>1.86534</v>
      </c>
      <c r="F40" s="1493">
        <f>182.52/E40</f>
        <v>97.84811348065233</v>
      </c>
      <c r="G40" s="311">
        <v>0</v>
      </c>
      <c r="H40" s="312">
        <v>0</v>
      </c>
      <c r="I40" s="313">
        <f>Tabel668910192831[[#This Row],[Fix.ch. 2015]]+Tabel668910192831[[#This Row],[Var. ch. 2015]]+Tabel668910192831[[#This Row],[Oth. ch. DW 2015]]</f>
        <v>97.84811348065233</v>
      </c>
      <c r="J40" s="314">
        <f>182.52/E40</f>
        <v>97.84811348065233</v>
      </c>
      <c r="K40" s="315">
        <v>0</v>
      </c>
      <c r="L40" s="315"/>
      <c r="M40" s="315"/>
      <c r="N40" s="316">
        <v>0</v>
      </c>
      <c r="O40" s="317">
        <v>0</v>
      </c>
      <c r="P40" s="1491">
        <f>Tabel668910192831[[#This Row],[Total. ch. DW 2015]]+Tabel668910192831[[#This Row],[Sew. 2015]]+Tabel668910192831[[#This Row],[WW 2015]]+Tabel668910192831[[#This Row],[Other ch. 2015]]+Tabel668910192831[[#This Row],[VAT 2015]]</f>
        <v>195.69622696130466</v>
      </c>
      <c r="Q40" s="397"/>
    </row>
    <row r="41" spans="1:17" ht="19.5" hidden="1" customHeight="1" x14ac:dyDescent="0.25">
      <c r="A41" s="2298"/>
      <c r="B41" s="1617"/>
      <c r="C41" s="503" t="s">
        <v>485</v>
      </c>
      <c r="D41" s="2221"/>
      <c r="E41" s="306">
        <v>1.86534</v>
      </c>
      <c r="F41" s="1493">
        <f>365.16/E41</f>
        <v>195.76055839686063</v>
      </c>
      <c r="G41" s="311">
        <v>0</v>
      </c>
      <c r="H41" s="312">
        <v>0</v>
      </c>
      <c r="I41" s="313">
        <f>Tabel668910192831[[#This Row],[Fix.ch. 2015]]+Tabel668910192831[[#This Row],[Var. ch. 2015]]+Tabel668910192831[[#This Row],[Oth. ch. DW 2015]]</f>
        <v>195.76055839686063</v>
      </c>
      <c r="J41" s="314">
        <f>365.16/E41</f>
        <v>195.76055839686063</v>
      </c>
      <c r="K41" s="315">
        <v>0</v>
      </c>
      <c r="L41" s="315"/>
      <c r="M41" s="315"/>
      <c r="N41" s="316">
        <v>0</v>
      </c>
      <c r="O41" s="317">
        <v>0</v>
      </c>
      <c r="P41" s="1491">
        <f>Tabel668910192831[[#This Row],[Total. ch. DW 2015]]+Tabel668910192831[[#This Row],[Sew. 2015]]+Tabel668910192831[[#This Row],[WW 2015]]+Tabel668910192831[[#This Row],[Other ch. 2015]]+Tabel668910192831[[#This Row],[VAT 2015]]</f>
        <v>391.52111679372126</v>
      </c>
      <c r="Q41" s="397"/>
    </row>
    <row r="42" spans="1:17" ht="15.75" hidden="1" x14ac:dyDescent="0.25">
      <c r="A42" s="1833" t="s">
        <v>7</v>
      </c>
      <c r="B42" s="1617"/>
      <c r="C42" s="1498" t="s">
        <v>73</v>
      </c>
      <c r="D42" s="2372">
        <v>14400</v>
      </c>
      <c r="E42" s="305">
        <f>'[1]exchange rates'!K9</f>
        <v>1.423</v>
      </c>
      <c r="F42" s="1493">
        <v>0</v>
      </c>
      <c r="G42" s="311">
        <f>116/E42</f>
        <v>81.51791988756149</v>
      </c>
      <c r="H42" s="312">
        <v>0</v>
      </c>
      <c r="I42" s="313">
        <f>Tabel668910192831[[#This Row],[Fix.ch. 2015]]+Tabel668910192831[[#This Row],[Var. ch. 2015]]+Tabel668910192831[[#This Row],[Oth. ch. DW 2015]]</f>
        <v>81.51791988756149</v>
      </c>
      <c r="J42" s="314">
        <f>23/E42</f>
        <v>16.163035839775123</v>
      </c>
      <c r="K42" s="315">
        <f>34/E42</f>
        <v>23.893183415319747</v>
      </c>
      <c r="L42" s="315"/>
      <c r="M42" s="315"/>
      <c r="N42" s="316">
        <v>0</v>
      </c>
      <c r="O42" s="317">
        <f>34.6/E42</f>
        <v>24.314827828531271</v>
      </c>
      <c r="P42" s="1491">
        <f>Tabel668910192831[[#This Row],[Total. ch. DW 2015]]+Tabel668910192831[[#This Row],[Sew. 2015]]+Tabel668910192831[[#This Row],[WW 2015]]+Tabel668910192831[[#This Row],[Other ch. 2015]]+Tabel668910192831[[#This Row],[VAT 2015]]</f>
        <v>145.88896697118761</v>
      </c>
      <c r="Q42" s="397"/>
    </row>
    <row r="43" spans="1:17" ht="15.75" hidden="1" x14ac:dyDescent="0.25">
      <c r="A43" s="2297"/>
      <c r="B43" s="1617"/>
      <c r="C43" s="1242" t="s">
        <v>74</v>
      </c>
      <c r="D43" s="2157"/>
      <c r="E43" s="305">
        <f>'[1]exchange rates'!K9</f>
        <v>1.423</v>
      </c>
      <c r="F43" s="1493">
        <v>0</v>
      </c>
      <c r="G43" s="311">
        <f>127/E43</f>
        <v>89.248067463106111</v>
      </c>
      <c r="H43" s="312">
        <v>0</v>
      </c>
      <c r="I43" s="313">
        <f>Tabel668910192831[[#This Row],[Fix.ch. 2015]]+Tabel668910192831[[#This Row],[Var. ch. 2015]]+Tabel668910192831[[#This Row],[Oth. ch. DW 2015]]</f>
        <v>89.248067463106111</v>
      </c>
      <c r="J43" s="314">
        <f>24/E43</f>
        <v>16.865776528460998</v>
      </c>
      <c r="K43" s="315">
        <f>61/E43</f>
        <v>42.867182009838366</v>
      </c>
      <c r="L43" s="315"/>
      <c r="M43" s="315"/>
      <c r="N43" s="316">
        <v>0</v>
      </c>
      <c r="O43" s="317">
        <f>42.4/E43</f>
        <v>29.796205200281094</v>
      </c>
      <c r="P43" s="1491">
        <f>Tabel668910192831[[#This Row],[Total. ch. DW 2015]]+Tabel668910192831[[#This Row],[Sew. 2015]]+Tabel668910192831[[#This Row],[WW 2015]]+Tabel668910192831[[#This Row],[Other ch. 2015]]+Tabel668910192831[[#This Row],[VAT 2015]]</f>
        <v>178.77723120168656</v>
      </c>
      <c r="Q43" s="397"/>
    </row>
    <row r="44" spans="1:17" ht="15.75" hidden="1" x14ac:dyDescent="0.25">
      <c r="A44" s="2297"/>
      <c r="B44" s="1617"/>
      <c r="C44" s="1242" t="s">
        <v>75</v>
      </c>
      <c r="D44" s="2157"/>
      <c r="E44" s="305">
        <f>'[1]exchange rates'!K9</f>
        <v>1.423</v>
      </c>
      <c r="F44" s="1493">
        <v>0</v>
      </c>
      <c r="G44" s="311">
        <f>167/E44</f>
        <v>117.35769501054111</v>
      </c>
      <c r="H44" s="312">
        <v>0</v>
      </c>
      <c r="I44" s="313">
        <f>Tabel668910192831[[#This Row],[Fix.ch. 2015]]+Tabel668910192831[[#This Row],[Var. ch. 2015]]+Tabel668910192831[[#This Row],[Oth. ch. DW 2015]]</f>
        <v>117.35769501054111</v>
      </c>
      <c r="J44" s="314">
        <f>12/E44</f>
        <v>8.432888264230499</v>
      </c>
      <c r="K44" s="315">
        <f>19/E44</f>
        <v>13.352073085031623</v>
      </c>
      <c r="L44" s="315"/>
      <c r="M44" s="315"/>
      <c r="N44" s="316">
        <v>0</v>
      </c>
      <c r="O44" s="317">
        <f>39.6/E44</f>
        <v>27.828531271960646</v>
      </c>
      <c r="P44" s="1491">
        <f>Tabel668910192831[[#This Row],[Total. ch. DW 2015]]+Tabel668910192831[[#This Row],[Sew. 2015]]+Tabel668910192831[[#This Row],[WW 2015]]+Tabel668910192831[[#This Row],[Other ch. 2015]]+Tabel668910192831[[#This Row],[VAT 2015]]</f>
        <v>166.97118763176388</v>
      </c>
      <c r="Q44" s="397"/>
    </row>
    <row r="45" spans="1:17" ht="15.75" hidden="1" x14ac:dyDescent="0.25">
      <c r="A45" s="2297"/>
      <c r="B45" s="1617"/>
      <c r="C45" s="1242" t="s">
        <v>76</v>
      </c>
      <c r="D45" s="2157"/>
      <c r="E45" s="305">
        <f>'[1]exchange rates'!K9</f>
        <v>1.423</v>
      </c>
      <c r="F45" s="1493">
        <v>0</v>
      </c>
      <c r="G45" s="311">
        <f>238/E45</f>
        <v>167.25228390723822</v>
      </c>
      <c r="H45" s="312">
        <v>0</v>
      </c>
      <c r="I45" s="313">
        <f>Tabel668910192831[[#This Row],[Fix.ch. 2015]]+Tabel668910192831[[#This Row],[Var. ch. 2015]]+Tabel668910192831[[#This Row],[Oth. ch. DW 2015]]</f>
        <v>167.25228390723822</v>
      </c>
      <c r="J45" s="314">
        <f>13/E45</f>
        <v>9.1356289529163739</v>
      </c>
      <c r="K45" s="315">
        <f>18/E45</f>
        <v>12.649332396345748</v>
      </c>
      <c r="L45" s="315"/>
      <c r="M45" s="315"/>
      <c r="N45" s="316">
        <v>0</v>
      </c>
      <c r="O45" s="317">
        <f>53.8/E45</f>
        <v>37.807449051300068</v>
      </c>
      <c r="P45" s="1491">
        <f>Tabel668910192831[[#This Row],[Total. ch. DW 2015]]+Tabel668910192831[[#This Row],[Sew. 2015]]+Tabel668910192831[[#This Row],[WW 2015]]+Tabel668910192831[[#This Row],[Other ch. 2015]]+Tabel668910192831[[#This Row],[VAT 2015]]</f>
        <v>226.84469430780041</v>
      </c>
      <c r="Q45" s="397"/>
    </row>
    <row r="46" spans="1:17" ht="16.5" hidden="1" thickBot="1" x14ac:dyDescent="0.3">
      <c r="A46" s="2298"/>
      <c r="B46" s="1617"/>
      <c r="C46" s="1499" t="s">
        <v>77</v>
      </c>
      <c r="D46" s="2221"/>
      <c r="E46" s="305">
        <f>'[1]exchange rates'!K9</f>
        <v>1.423</v>
      </c>
      <c r="F46" s="1493">
        <v>0</v>
      </c>
      <c r="G46" s="311">
        <f>210/E46</f>
        <v>147.57554462403374</v>
      </c>
      <c r="H46" s="312">
        <v>0</v>
      </c>
      <c r="I46" s="313">
        <f>Tabel668910192831[[#This Row],[Fix.ch. 2015]]+Tabel668910192831[[#This Row],[Var. ch. 2015]]+Tabel668910192831[[#This Row],[Oth. ch. DW 2015]]</f>
        <v>147.57554462403374</v>
      </c>
      <c r="J46" s="314">
        <f>12/E46</f>
        <v>8.432888264230499</v>
      </c>
      <c r="K46" s="315">
        <f>38/E46</f>
        <v>26.704146170063247</v>
      </c>
      <c r="L46" s="315"/>
      <c r="M46" s="315"/>
      <c r="N46" s="316">
        <v>0</v>
      </c>
      <c r="O46" s="317">
        <f>54/E46</f>
        <v>37.947997189037245</v>
      </c>
      <c r="P46" s="1491">
        <f>Tabel668910192831[[#This Row],[Total. ch. DW 2015]]+Tabel668910192831[[#This Row],[Sew. 2015]]+Tabel668910192831[[#This Row],[WW 2015]]+Tabel668910192831[[#This Row],[Other ch. 2015]]+Tabel668910192831[[#This Row],[VAT 2015]]</f>
        <v>220.6605762473647</v>
      </c>
      <c r="Q46" s="397"/>
    </row>
    <row r="47" spans="1:17" ht="16.5" hidden="1" thickBot="1" x14ac:dyDescent="0.3">
      <c r="A47" s="1205" t="s">
        <v>501</v>
      </c>
      <c r="B47" s="1617"/>
      <c r="C47" s="811" t="s">
        <v>504</v>
      </c>
      <c r="D47" s="1243">
        <v>1500</v>
      </c>
      <c r="E47" s="305">
        <v>506.17869999999999</v>
      </c>
      <c r="F47" s="1493">
        <f>12000/E47</f>
        <v>23.707042591875162</v>
      </c>
      <c r="G47" s="311">
        <f>19768/E47</f>
        <v>39.053401496349018</v>
      </c>
      <c r="H47" s="312">
        <v>0</v>
      </c>
      <c r="I47" s="313">
        <f>Tabel668910192831[[#This Row],[Fix.ch. 2015]]+Tabel668910192831[[#This Row],[Var. ch. 2015]]+Tabel668910192831[[#This Row],[Oth. ch. DW 2015]]</f>
        <v>62.760444088224176</v>
      </c>
      <c r="J47" s="314">
        <f>6000/E47</f>
        <v>11.853521295937581</v>
      </c>
      <c r="K47" s="315">
        <v>0</v>
      </c>
      <c r="L47" s="315"/>
      <c r="M47" s="315"/>
      <c r="N47" s="316">
        <v>0</v>
      </c>
      <c r="O47" s="317">
        <f>6798/E47</f>
        <v>13.43003962829728</v>
      </c>
      <c r="P47" s="1491">
        <f>Tabel668910192831[[#This Row],[Total. ch. DW 2015]]+Tabel668910192831[[#This Row],[Sew. 2015]]+Tabel668910192831[[#This Row],[WW 2015]]+Tabel668910192831[[#This Row],[Other ch. 2015]]+Tabel668910192831[[#This Row],[VAT 2015]]</f>
        <v>88.044005012459039</v>
      </c>
      <c r="Q47" s="397"/>
    </row>
    <row r="48" spans="1:17" ht="18.75" hidden="1" customHeight="1" x14ac:dyDescent="0.25">
      <c r="A48" s="1878" t="s">
        <v>343</v>
      </c>
      <c r="B48" s="1656"/>
      <c r="C48" s="1599" t="s">
        <v>548</v>
      </c>
      <c r="D48" s="2401">
        <v>45900</v>
      </c>
      <c r="E48" s="647">
        <f>'[1]exchange rates'!$M$11</f>
        <v>1.39011</v>
      </c>
      <c r="F48" s="686">
        <f>189.6/E48</f>
        <v>136.39208407967715</v>
      </c>
      <c r="G48" s="593">
        <f>176.98/E48</f>
        <v>127.31366582500665</v>
      </c>
      <c r="H48" s="594">
        <v>0</v>
      </c>
      <c r="I48" s="566">
        <f>Tabel668910192831[[#This Row],[Fix.ch. 2015]]+Tabel668910192831[[#This Row],[Var. ch. 2015]]+Tabel668910192831[[#This Row],[Oth. ch. DW 2015]]</f>
        <v>263.70574990468378</v>
      </c>
      <c r="J48" s="596">
        <f>0</f>
        <v>0</v>
      </c>
      <c r="K48" s="626">
        <f>357.5/E48</f>
        <v>257.1738927135263</v>
      </c>
      <c r="L48" s="626"/>
      <c r="M48" s="626"/>
      <c r="N48" s="597">
        <v>0</v>
      </c>
      <c r="O48" s="570">
        <v>0</v>
      </c>
      <c r="P48" s="1496">
        <f>Tabel668910192831[[#This Row],[Total. ch. DW 2015]]+Tabel668910192831[[#This Row],[Sew. 2015]]+Tabel668910192831[[#This Row],[WW 2015]]+Tabel668910192831[[#This Row],[Other ch. 2015]]+Tabel668910192831[[#This Row],[VAT 2015]]</f>
        <v>520.87964261821003</v>
      </c>
      <c r="Q48" s="397"/>
    </row>
    <row r="49" spans="1:17" ht="18.75" hidden="1" customHeight="1" x14ac:dyDescent="0.25">
      <c r="A49" s="1757"/>
      <c r="B49" s="1656"/>
      <c r="C49" s="733" t="s">
        <v>549</v>
      </c>
      <c r="D49" s="1880"/>
      <c r="E49" s="647">
        <f>'[1]exchange rates'!$M$11</f>
        <v>1.39011</v>
      </c>
      <c r="F49" s="686">
        <f>130.2/E49</f>
        <v>93.661652674968167</v>
      </c>
      <c r="G49" s="593">
        <f>145/E49</f>
        <v>104.30829214954213</v>
      </c>
      <c r="H49" s="594">
        <v>0</v>
      </c>
      <c r="I49" s="566">
        <f>Tabel668910192831[[#This Row],[Fix.ch. 2015]]+Tabel668910192831[[#This Row],[Var. ch. 2015]]+Tabel668910192831[[#This Row],[Oth. ch. DW 2015]]</f>
        <v>197.96994482451029</v>
      </c>
      <c r="J49" s="596">
        <v>0</v>
      </c>
      <c r="K49" s="626">
        <f>228/E49</f>
        <v>164.01579731100418</v>
      </c>
      <c r="L49" s="626"/>
      <c r="M49" s="626"/>
      <c r="N49" s="597">
        <v>0</v>
      </c>
      <c r="O49" s="570">
        <v>0</v>
      </c>
      <c r="P49" s="1496">
        <f>Tabel668910192831[[#This Row],[Total. ch. DW 2015]]+Tabel668910192831[[#This Row],[Sew. 2015]]+Tabel668910192831[[#This Row],[WW 2015]]+Tabel668910192831[[#This Row],[Other ch. 2015]]+Tabel668910192831[[#This Row],[VAT 2015]]</f>
        <v>361.98574213551444</v>
      </c>
      <c r="Q49" s="397"/>
    </row>
    <row r="50" spans="1:17" ht="18.75" hidden="1" customHeight="1" x14ac:dyDescent="0.25">
      <c r="A50" s="1757"/>
      <c r="B50" s="1656"/>
      <c r="C50" s="733" t="s">
        <v>722</v>
      </c>
      <c r="D50" s="1880"/>
      <c r="E50" s="647">
        <f>'[1]exchange rates'!$M$11</f>
        <v>1.39011</v>
      </c>
      <c r="F50" s="686">
        <f>105.6/E50</f>
        <v>75.965211386149292</v>
      </c>
      <c r="G50" s="593">
        <f>145/E50</f>
        <v>104.30829214954213</v>
      </c>
      <c r="H50" s="594">
        <v>0</v>
      </c>
      <c r="I50" s="566">
        <f>Tabel668910192831[[#This Row],[Fix.ch. 2015]]+Tabel668910192831[[#This Row],[Var. ch. 2015]]+Tabel668910192831[[#This Row],[Oth. ch. DW 2015]]</f>
        <v>180.27350353569142</v>
      </c>
      <c r="J50" s="596">
        <v>0</v>
      </c>
      <c r="K50" s="626">
        <f>195.6/E50</f>
        <v>140.70828927207199</v>
      </c>
      <c r="L50" s="626"/>
      <c r="M50" s="626"/>
      <c r="N50" s="597">
        <v>0</v>
      </c>
      <c r="O50" s="570">
        <v>0</v>
      </c>
      <c r="P50" s="1496">
        <f>Tabel668910192831[[#This Row],[Total. ch. DW 2015]]+Tabel668910192831[[#This Row],[Sew. 2015]]+Tabel668910192831[[#This Row],[WW 2015]]+Tabel668910192831[[#This Row],[Other ch. 2015]]+Tabel668910192831[[#This Row],[VAT 2015]]</f>
        <v>320.98179280776344</v>
      </c>
      <c r="Q50" s="397"/>
    </row>
    <row r="51" spans="1:17" ht="18.75" hidden="1" customHeight="1" x14ac:dyDescent="0.25">
      <c r="A51" s="1757"/>
      <c r="B51" s="1656"/>
      <c r="C51" s="733" t="s">
        <v>723</v>
      </c>
      <c r="D51" s="1880"/>
      <c r="E51" s="647">
        <f>'[1]exchange rates'!$M$11</f>
        <v>1.39011</v>
      </c>
      <c r="F51" s="686">
        <f>568/E51</f>
        <v>408.60075821337881</v>
      </c>
      <c r="G51" s="593">
        <f>0</f>
        <v>0</v>
      </c>
      <c r="H51" s="594">
        <v>0</v>
      </c>
      <c r="I51" s="566">
        <f>Tabel668910192831[[#This Row],[Fix.ch. 2015]]+Tabel668910192831[[#This Row],[Var. ch. 2015]]+Tabel668910192831[[#This Row],[Oth. ch. DW 2015]]</f>
        <v>408.60075821337881</v>
      </c>
      <c r="J51" s="596">
        <v>0</v>
      </c>
      <c r="K51" s="626">
        <f>314/E51</f>
        <v>225.88140506866364</v>
      </c>
      <c r="L51" s="626"/>
      <c r="M51" s="626"/>
      <c r="N51" s="597">
        <v>0</v>
      </c>
      <c r="O51" s="570">
        <v>0</v>
      </c>
      <c r="P51" s="1496">
        <f>Tabel668910192831[[#This Row],[Total. ch. DW 2015]]+Tabel668910192831[[#This Row],[Sew. 2015]]+Tabel668910192831[[#This Row],[WW 2015]]+Tabel668910192831[[#This Row],[Other ch. 2015]]+Tabel668910192831[[#This Row],[VAT 2015]]</f>
        <v>634.48216328204239</v>
      </c>
      <c r="Q51" s="397"/>
    </row>
    <row r="52" spans="1:17" ht="19.5" hidden="1" customHeight="1" x14ac:dyDescent="0.25">
      <c r="A52" s="1758"/>
      <c r="B52" s="1656"/>
      <c r="C52" s="807" t="s">
        <v>552</v>
      </c>
      <c r="D52" s="1761"/>
      <c r="E52" s="647">
        <f>'[1]exchange rates'!$M$11</f>
        <v>1.39011</v>
      </c>
      <c r="F52" s="686">
        <f>190.32/E52</f>
        <v>136.91002870276452</v>
      </c>
      <c r="G52" s="593">
        <f>94.4/E52</f>
        <v>67.908295027012258</v>
      </c>
      <c r="H52" s="594">
        <v>0</v>
      </c>
      <c r="I52" s="566">
        <f>Tabel668910192831[[#This Row],[Fix.ch. 2015]]+Tabel668910192831[[#This Row],[Var. ch. 2015]]+Tabel668910192831[[#This Row],[Oth. ch. DW 2015]]</f>
        <v>204.81832372977678</v>
      </c>
      <c r="J52" s="596">
        <v>0</v>
      </c>
      <c r="K52" s="626">
        <f>235.66/E52</f>
        <v>169.52615260662824</v>
      </c>
      <c r="L52" s="626"/>
      <c r="M52" s="626"/>
      <c r="N52" s="597">
        <v>0</v>
      </c>
      <c r="O52" s="570">
        <v>0</v>
      </c>
      <c r="P52" s="1496">
        <f>Tabel668910192831[[#This Row],[Total. ch. DW 2015]]+Tabel668910192831[[#This Row],[Sew. 2015]]+Tabel668910192831[[#This Row],[WW 2015]]+Tabel668910192831[[#This Row],[Other ch. 2015]]+Tabel668910192831[[#This Row],[VAT 2015]]</f>
        <v>374.34447633640502</v>
      </c>
      <c r="Q52" s="397"/>
    </row>
    <row r="53" spans="1:17" ht="18.75" hidden="1" customHeight="1" x14ac:dyDescent="0.25">
      <c r="A53" s="1818" t="s">
        <v>489</v>
      </c>
      <c r="B53" s="1656"/>
      <c r="C53" s="735" t="s">
        <v>728</v>
      </c>
      <c r="D53" s="1760">
        <v>23800</v>
      </c>
      <c r="E53" s="616">
        <f>'[1]exchange rates'!$M$12</f>
        <v>711.02919999999995</v>
      </c>
      <c r="F53" s="686">
        <f>10990/E53</f>
        <v>15.456467891895299</v>
      </c>
      <c r="G53" s="593">
        <f>142168/E53</f>
        <v>199.94678136987906</v>
      </c>
      <c r="H53" s="594">
        <v>0</v>
      </c>
      <c r="I53" s="566">
        <f>Tabel668910192831[[#This Row],[Fix.ch. 2015]]+Tabel668910192831[[#This Row],[Var. ch. 2015]]+Tabel668910192831[[#This Row],[Oth. ch. DW 2015]]</f>
        <v>215.40324926177436</v>
      </c>
      <c r="J53" s="596">
        <f>32380/E53</f>
        <v>45.539620595047296</v>
      </c>
      <c r="K53" s="626">
        <v>0</v>
      </c>
      <c r="L53" s="626"/>
      <c r="M53" s="626"/>
      <c r="N53" s="597">
        <v>0</v>
      </c>
      <c r="O53" s="570">
        <v>0</v>
      </c>
      <c r="P53" s="1496">
        <f>Tabel668910192831[[#This Row],[Total. ch. DW 2015]]+Tabel668910192831[[#This Row],[Sew. 2015]]+Tabel668910192831[[#This Row],[WW 2015]]+Tabel668910192831[[#This Row],[Other ch. 2015]]+Tabel668910192831[[#This Row],[VAT 2015]]</f>
        <v>260.94286985682163</v>
      </c>
      <c r="Q53" s="397"/>
    </row>
    <row r="54" spans="1:17" ht="18.75" hidden="1" customHeight="1" x14ac:dyDescent="0.25">
      <c r="A54" s="2294"/>
      <c r="B54" s="1656"/>
      <c r="C54" s="735" t="s">
        <v>492</v>
      </c>
      <c r="D54" s="1760"/>
      <c r="E54" s="616">
        <f>'[1]exchange rates'!$M$12</f>
        <v>711.02919999999995</v>
      </c>
      <c r="F54" s="686">
        <f>12717/E54</f>
        <v>17.885341417764561</v>
      </c>
      <c r="G54" s="593">
        <f>67564/E54</f>
        <v>95.022820441129568</v>
      </c>
      <c r="H54" s="594">
        <v>0</v>
      </c>
      <c r="I54" s="566">
        <f>Tabel668910192831[[#This Row],[Fix.ch. 2015]]+Tabel668910192831[[#This Row],[Var. ch. 2015]]+Tabel668910192831[[#This Row],[Oth. ch. DW 2015]]</f>
        <v>112.90816185889413</v>
      </c>
      <c r="J54" s="596">
        <f>49730/E54</f>
        <v>69.940868813826498</v>
      </c>
      <c r="K54" s="626">
        <v>0</v>
      </c>
      <c r="L54" s="626"/>
      <c r="M54" s="626"/>
      <c r="N54" s="597">
        <v>0</v>
      </c>
      <c r="O54" s="570">
        <v>0</v>
      </c>
      <c r="P54" s="1496">
        <f>Tabel668910192831[[#This Row],[Total. ch. DW 2015]]+Tabel668910192831[[#This Row],[Sew. 2015]]+Tabel668910192831[[#This Row],[WW 2015]]+Tabel668910192831[[#This Row],[Other ch. 2015]]+Tabel668910192831[[#This Row],[VAT 2015]]</f>
        <v>182.84903067272063</v>
      </c>
      <c r="Q54" s="397"/>
    </row>
    <row r="55" spans="1:17" ht="18.75" hidden="1" customHeight="1" x14ac:dyDescent="0.25">
      <c r="A55" s="2294"/>
      <c r="B55" s="1656"/>
      <c r="C55" s="735" t="s">
        <v>729</v>
      </c>
      <c r="D55" s="1760"/>
      <c r="E55" s="616">
        <f>'[1]exchange rates'!$M$12</f>
        <v>711.02919999999995</v>
      </c>
      <c r="F55" s="686">
        <f>12717/E55</f>
        <v>17.885341417764561</v>
      </c>
      <c r="G55" s="593">
        <f>67564/E55</f>
        <v>95.022820441129568</v>
      </c>
      <c r="H55" s="594">
        <v>0</v>
      </c>
      <c r="I55" s="566">
        <f>Tabel668910192831[[#This Row],[Fix.ch. 2015]]+Tabel668910192831[[#This Row],[Var. ch. 2015]]+Tabel668910192831[[#This Row],[Oth. ch. DW 2015]]</f>
        <v>112.90816185889413</v>
      </c>
      <c r="J55" s="596">
        <f>49730/E55</f>
        <v>69.940868813826498</v>
      </c>
      <c r="K55" s="626">
        <v>0</v>
      </c>
      <c r="L55" s="626"/>
      <c r="M55" s="626"/>
      <c r="N55" s="597">
        <v>0</v>
      </c>
      <c r="O55" s="570">
        <v>0</v>
      </c>
      <c r="P55" s="1496">
        <f>Tabel668910192831[[#This Row],[Total. ch. DW 2015]]+Tabel668910192831[[#This Row],[Sew. 2015]]+Tabel668910192831[[#This Row],[WW 2015]]+Tabel668910192831[[#This Row],[Other ch. 2015]]+Tabel668910192831[[#This Row],[VAT 2015]]</f>
        <v>182.84903067272063</v>
      </c>
      <c r="Q55" s="397"/>
    </row>
    <row r="56" spans="1:17" ht="18.75" hidden="1" customHeight="1" x14ac:dyDescent="0.25">
      <c r="A56" s="2294"/>
      <c r="B56" s="1656"/>
      <c r="C56" s="735" t="s">
        <v>493</v>
      </c>
      <c r="D56" s="1760"/>
      <c r="E56" s="616">
        <f>'[1]exchange rates'!$M$12</f>
        <v>711.02919999999995</v>
      </c>
      <c r="F56" s="686">
        <f>7685/E56</f>
        <v>10.80827622831805</v>
      </c>
      <c r="G56" s="593">
        <f>40952/E56</f>
        <v>57.595384268325411</v>
      </c>
      <c r="H56" s="594">
        <v>0</v>
      </c>
      <c r="I56" s="566">
        <f>Tabel668910192831[[#This Row],[Fix.ch. 2015]]+Tabel668910192831[[#This Row],[Var. ch. 2015]]+Tabel668910192831[[#This Row],[Oth. ch. DW 2015]]</f>
        <v>68.403660496643454</v>
      </c>
      <c r="J56" s="596">
        <f>52018/E56</f>
        <v>73.158739472302969</v>
      </c>
      <c r="K56" s="626">
        <v>0</v>
      </c>
      <c r="L56" s="626"/>
      <c r="M56" s="626"/>
      <c r="N56" s="597">
        <v>0</v>
      </c>
      <c r="O56" s="570">
        <v>0</v>
      </c>
      <c r="P56" s="1496">
        <f>Tabel668910192831[[#This Row],[Total. ch. DW 2015]]+Tabel668910192831[[#This Row],[Sew. 2015]]+Tabel668910192831[[#This Row],[WW 2015]]+Tabel668910192831[[#This Row],[Other ch. 2015]]+Tabel668910192831[[#This Row],[VAT 2015]]</f>
        <v>141.56239996894641</v>
      </c>
      <c r="Q56" s="397"/>
    </row>
    <row r="57" spans="1:17" ht="18.75" hidden="1" customHeight="1" x14ac:dyDescent="0.25">
      <c r="A57" s="2294"/>
      <c r="B57" s="1656"/>
      <c r="C57" s="735" t="s">
        <v>730</v>
      </c>
      <c r="D57" s="1760"/>
      <c r="E57" s="616">
        <f>'[1]exchange rates'!$M$12</f>
        <v>711.02919999999995</v>
      </c>
      <c r="F57" s="686">
        <f>12923/E57</f>
        <v>18.17506228998753</v>
      </c>
      <c r="G57" s="593">
        <f>42737/E57</f>
        <v>60.105829690257451</v>
      </c>
      <c r="H57" s="594">
        <v>0</v>
      </c>
      <c r="I57" s="566">
        <f>Tabel668910192831[[#This Row],[Fix.ch. 2015]]+Tabel668910192831[[#This Row],[Var. ch. 2015]]+Tabel668910192831[[#This Row],[Oth. ch. DW 2015]]</f>
        <v>78.280891980244974</v>
      </c>
      <c r="J57" s="596">
        <f>69971/E57</f>
        <v>98.408054127734843</v>
      </c>
      <c r="K57" s="626">
        <v>0</v>
      </c>
      <c r="L57" s="626"/>
      <c r="M57" s="626"/>
      <c r="N57" s="597">
        <v>0</v>
      </c>
      <c r="O57" s="570">
        <v>0</v>
      </c>
      <c r="P57" s="1496">
        <f>Tabel668910192831[[#This Row],[Total. ch. DW 2015]]+Tabel668910192831[[#This Row],[Sew. 2015]]+Tabel668910192831[[#This Row],[WW 2015]]+Tabel668910192831[[#This Row],[Other ch. 2015]]+Tabel668910192831[[#This Row],[VAT 2015]]</f>
        <v>176.6889461079798</v>
      </c>
      <c r="Q57" s="397"/>
    </row>
    <row r="58" spans="1:17" ht="19.5" hidden="1" customHeight="1" x14ac:dyDescent="0.25">
      <c r="A58" s="2295"/>
      <c r="B58" s="1656"/>
      <c r="C58" s="735" t="s">
        <v>731</v>
      </c>
      <c r="D58" s="1761"/>
      <c r="E58" s="616">
        <f>'[1]exchange rates'!$M$12</f>
        <v>711.02919999999995</v>
      </c>
      <c r="F58" s="686">
        <f>7300/E58</f>
        <v>10.266807607901336</v>
      </c>
      <c r="G58" s="593">
        <f>33603/E58</f>
        <v>47.259662472371041</v>
      </c>
      <c r="H58" s="594">
        <v>0</v>
      </c>
      <c r="I58" s="566">
        <f>Tabel668910192831[[#This Row],[Fix.ch. 2015]]+Tabel668910192831[[#This Row],[Var. ch. 2015]]+Tabel668910192831[[#This Row],[Oth. ch. DW 2015]]</f>
        <v>57.526470080272375</v>
      </c>
      <c r="J58" s="596">
        <f>45248/E58</f>
        <v>63.637330224975294</v>
      </c>
      <c r="K58" s="626">
        <v>0</v>
      </c>
      <c r="L58" s="626"/>
      <c r="M58" s="626"/>
      <c r="N58" s="597">
        <v>0</v>
      </c>
      <c r="O58" s="570">
        <v>0</v>
      </c>
      <c r="P58" s="1496">
        <f>Tabel668910192831[[#This Row],[Total. ch. DW 2015]]+Tabel668910192831[[#This Row],[Sew. 2015]]+Tabel668910192831[[#This Row],[WW 2015]]+Tabel668910192831[[#This Row],[Other ch. 2015]]+Tabel668910192831[[#This Row],[VAT 2015]]</f>
        <v>121.16380030524766</v>
      </c>
      <c r="Q58" s="397"/>
    </row>
    <row r="59" spans="1:17" ht="18.75" hidden="1" customHeight="1" x14ac:dyDescent="0.25">
      <c r="A59" s="2398" t="s">
        <v>8</v>
      </c>
      <c r="B59" s="1650"/>
      <c r="C59" s="1497" t="s">
        <v>78</v>
      </c>
      <c r="D59" s="2401">
        <v>14300</v>
      </c>
      <c r="E59" s="647">
        <f>'[1]exchange rates'!$M$13</f>
        <v>6.5138100000000003</v>
      </c>
      <c r="F59" s="686">
        <f>(2.07*100)/E59</f>
        <v>31.77863646621562</v>
      </c>
      <c r="G59" s="593">
        <v>0</v>
      </c>
      <c r="H59" s="594">
        <f>(1.57*100)/E59</f>
        <v>24.10263731978673</v>
      </c>
      <c r="I59" s="566">
        <f>Tabel668910192831[[#This Row],[Fix.ch. 2015]]+Tabel668910192831[[#This Row],[Var. ch. 2015]]+Tabel668910192831[[#This Row],[Oth. ch. DW 2015]]</f>
        <v>55.881273786002353</v>
      </c>
      <c r="J59" s="596">
        <v>0</v>
      </c>
      <c r="K59" s="626">
        <f>(1.36*100)/E59</f>
        <v>20.878717678286595</v>
      </c>
      <c r="L59" s="626"/>
      <c r="M59" s="626"/>
      <c r="N59" s="597">
        <v>0</v>
      </c>
      <c r="O59" s="570">
        <v>0</v>
      </c>
      <c r="P59" s="1496">
        <f>Tabel668910192831[[#This Row],[Total. ch. DW 2015]]+Tabel668910192831[[#This Row],[Sew. 2015]]+Tabel668910192831[[#This Row],[WW 2015]]+Tabel668910192831[[#This Row],[Other ch. 2015]]+Tabel668910192831[[#This Row],[VAT 2015]]</f>
        <v>76.759991464288944</v>
      </c>
      <c r="Q59" s="397"/>
    </row>
    <row r="60" spans="1:17" ht="15.75" hidden="1" x14ac:dyDescent="0.25">
      <c r="A60" s="2399"/>
      <c r="B60" s="1650"/>
      <c r="C60" s="633" t="s">
        <v>79</v>
      </c>
      <c r="D60" s="1880"/>
      <c r="E60" s="647">
        <f>'[1]exchange rates'!$M$13</f>
        <v>6.5138100000000003</v>
      </c>
      <c r="F60" s="686">
        <f>(1.92*100)/E60</f>
        <v>29.475836722286957</v>
      </c>
      <c r="G60" s="593">
        <v>0</v>
      </c>
      <c r="H60" s="594">
        <v>0</v>
      </c>
      <c r="I60" s="566">
        <f>Tabel668910192831[[#This Row],[Fix.ch. 2015]]+Tabel668910192831[[#This Row],[Var. ch. 2015]]+Tabel668910192831[[#This Row],[Oth. ch. DW 2015]]</f>
        <v>29.475836722286957</v>
      </c>
      <c r="J60" s="596">
        <v>0</v>
      </c>
      <c r="K60" s="626">
        <f>(1.7*100)/E60</f>
        <v>26.098397097858243</v>
      </c>
      <c r="L60" s="626"/>
      <c r="M60" s="626"/>
      <c r="N60" s="597">
        <v>0</v>
      </c>
      <c r="O60" s="570">
        <v>0</v>
      </c>
      <c r="P60" s="1496">
        <f>Tabel668910192831[[#This Row],[Total. ch. DW 2015]]+Tabel668910192831[[#This Row],[Sew. 2015]]+Tabel668910192831[[#This Row],[WW 2015]]+Tabel668910192831[[#This Row],[Other ch. 2015]]+Tabel668910192831[[#This Row],[VAT 2015]]</f>
        <v>55.574233820145196</v>
      </c>
      <c r="Q60" s="397"/>
    </row>
    <row r="61" spans="1:17" ht="15.75" hidden="1" x14ac:dyDescent="0.25">
      <c r="A61" s="2399"/>
      <c r="B61" s="1650"/>
      <c r="C61" s="633" t="s">
        <v>80</v>
      </c>
      <c r="D61" s="1880"/>
      <c r="E61" s="647">
        <f>'[1]exchange rates'!$M$13</f>
        <v>6.5138100000000003</v>
      </c>
      <c r="F61" s="686">
        <f>(2.61*100)/E61</f>
        <v>40.068715544358831</v>
      </c>
      <c r="G61" s="593">
        <v>0</v>
      </c>
      <c r="H61" s="594">
        <f>(1.39*100)/E61</f>
        <v>21.339277627072327</v>
      </c>
      <c r="I61" s="566">
        <f>Tabel668910192831[[#This Row],[Fix.ch. 2015]]+Tabel668910192831[[#This Row],[Var. ch. 2015]]+Tabel668910192831[[#This Row],[Oth. ch. DW 2015]]</f>
        <v>61.407993171431158</v>
      </c>
      <c r="J61" s="596">
        <v>0</v>
      </c>
      <c r="K61" s="626">
        <f>(0.9*100)/E61</f>
        <v>13.81679846357201</v>
      </c>
      <c r="L61" s="626"/>
      <c r="M61" s="626"/>
      <c r="N61" s="597">
        <v>0</v>
      </c>
      <c r="O61" s="570">
        <v>0</v>
      </c>
      <c r="P61" s="1496">
        <f>Tabel668910192831[[#This Row],[Total. ch. DW 2015]]+Tabel668910192831[[#This Row],[Sew. 2015]]+Tabel668910192831[[#This Row],[WW 2015]]+Tabel668910192831[[#This Row],[Other ch. 2015]]+Tabel668910192831[[#This Row],[VAT 2015]]</f>
        <v>75.224791635003172</v>
      </c>
      <c r="Q61" s="397"/>
    </row>
    <row r="62" spans="1:17" ht="15.75" hidden="1" x14ac:dyDescent="0.25">
      <c r="A62" s="2399"/>
      <c r="B62" s="1650"/>
      <c r="C62" s="633" t="s">
        <v>81</v>
      </c>
      <c r="D62" s="1880"/>
      <c r="E62" s="647">
        <f>'[1]exchange rates'!$M$13</f>
        <v>6.5138100000000003</v>
      </c>
      <c r="F62" s="686">
        <f>(2.3*100)/E62</f>
        <v>35.309596073572912</v>
      </c>
      <c r="G62" s="593">
        <v>0</v>
      </c>
      <c r="H62" s="594">
        <v>0</v>
      </c>
      <c r="I62" s="566">
        <f>Tabel668910192831[[#This Row],[Fix.ch. 2015]]+Tabel668910192831[[#This Row],[Var. ch. 2015]]+Tabel668910192831[[#This Row],[Oth. ch. DW 2015]]</f>
        <v>35.309596073572912</v>
      </c>
      <c r="J62" s="596">
        <v>0</v>
      </c>
      <c r="K62" s="626">
        <f>(0.9*100)/E62</f>
        <v>13.81679846357201</v>
      </c>
      <c r="L62" s="626"/>
      <c r="M62" s="626"/>
      <c r="N62" s="597">
        <v>0</v>
      </c>
      <c r="O62" s="570">
        <v>0</v>
      </c>
      <c r="P62" s="1496">
        <f>Tabel668910192831[[#This Row],[Total. ch. DW 2015]]+Tabel668910192831[[#This Row],[Sew. 2015]]+Tabel668910192831[[#This Row],[WW 2015]]+Tabel668910192831[[#This Row],[Other ch. 2015]]+Tabel668910192831[[#This Row],[VAT 2015]]</f>
        <v>49.126394537144918</v>
      </c>
      <c r="Q62" s="397"/>
    </row>
    <row r="63" spans="1:17" ht="16.5" hidden="1" thickBot="1" x14ac:dyDescent="0.3">
      <c r="A63" s="2400"/>
      <c r="B63" s="1650"/>
      <c r="C63" s="634" t="s">
        <v>468</v>
      </c>
      <c r="D63" s="1923"/>
      <c r="E63" s="647">
        <f>'[1]exchange rates'!$M$13</f>
        <v>6.5138100000000003</v>
      </c>
      <c r="F63" s="686">
        <f>(1.98*100)/E63</f>
        <v>30.396956619858422</v>
      </c>
      <c r="G63" s="593">
        <v>0</v>
      </c>
      <c r="H63" s="594">
        <v>0</v>
      </c>
      <c r="I63" s="566">
        <f>Tabel668910192831[[#This Row],[Fix.ch. 2015]]+Tabel668910192831[[#This Row],[Var. ch. 2015]]+Tabel668910192831[[#This Row],[Oth. ch. DW 2015]]</f>
        <v>30.396956619858422</v>
      </c>
      <c r="J63" s="596">
        <v>0</v>
      </c>
      <c r="K63" s="626">
        <f>(0.9*100)/E63</f>
        <v>13.81679846357201</v>
      </c>
      <c r="L63" s="626"/>
      <c r="M63" s="626"/>
      <c r="N63" s="597">
        <v>0</v>
      </c>
      <c r="O63" s="570">
        <v>0</v>
      </c>
      <c r="P63" s="1496">
        <f>Tabel668910192831[[#This Row],[Total. ch. DW 2015]]+Tabel668910192831[[#This Row],[Sew. 2015]]+Tabel668910192831[[#This Row],[WW 2015]]+Tabel668910192831[[#This Row],[Other ch. 2015]]+Tabel668910192831[[#This Row],[VAT 2015]]</f>
        <v>44.213755083430428</v>
      </c>
      <c r="Q63" s="397"/>
    </row>
    <row r="64" spans="1:17" ht="16.5" hidden="1" thickBot="1" x14ac:dyDescent="0.3">
      <c r="A64" s="694" t="s">
        <v>585</v>
      </c>
      <c r="B64" s="1620"/>
      <c r="C64" s="735" t="s">
        <v>84</v>
      </c>
      <c r="D64" s="1501">
        <v>57000</v>
      </c>
      <c r="E64" s="616">
        <f>'[1]exchange rates'!M14</f>
        <v>7.77562</v>
      </c>
      <c r="F64" s="686">
        <v>0</v>
      </c>
      <c r="G64" s="593">
        <f>262.08/E64</f>
        <v>33.705350827329525</v>
      </c>
      <c r="H64" s="594">
        <v>0</v>
      </c>
      <c r="I64" s="566">
        <f>Tabel668910192831[[#This Row],[Fix.ch. 2015]]+Tabel668910192831[[#This Row],[Var. ch. 2015]]+Tabel668910192831[[#This Row],[Oth. ch. DW 2015]]</f>
        <v>33.705350827329525</v>
      </c>
      <c r="J64" s="596">
        <v>0</v>
      </c>
      <c r="K64" s="626">
        <f>217/E64</f>
        <v>27.907742405107246</v>
      </c>
      <c r="L64" s="626"/>
      <c r="M64" s="626"/>
      <c r="N64" s="597">
        <v>0</v>
      </c>
      <c r="O64" s="570">
        <v>0</v>
      </c>
      <c r="P64" s="1496">
        <f>Tabel668910192831[[#This Row],[Total. ch. DW 2015]]+Tabel668910192831[[#This Row],[Sew. 2015]]+Tabel668910192831[[#This Row],[WW 2015]]+Tabel668910192831[[#This Row],[Other ch. 2015]]+Tabel668910192831[[#This Row],[VAT 2015]]</f>
        <v>61.613093232436768</v>
      </c>
      <c r="Q64" s="397"/>
    </row>
    <row r="65" spans="1:17" ht="15.75" hidden="1" x14ac:dyDescent="0.25">
      <c r="A65" s="1818" t="s">
        <v>9</v>
      </c>
      <c r="B65" s="1656"/>
      <c r="C65" s="1511" t="s">
        <v>82</v>
      </c>
      <c r="D65" s="2343">
        <v>47500</v>
      </c>
      <c r="E65" s="616">
        <f>'[1]exchange rates'!M15</f>
        <v>33.06664</v>
      </c>
      <c r="F65" s="686">
        <f>780/E65</f>
        <v>23.588728700587662</v>
      </c>
      <c r="G65" s="593">
        <f>478/E65</f>
        <v>14.455656819078079</v>
      </c>
      <c r="H65" s="594">
        <v>0</v>
      </c>
      <c r="I65" s="566">
        <f>Tabel668910192831[[#This Row],[Fix.ch. 2015]]+Tabel668910192831[[#This Row],[Var. ch. 2015]]+Tabel668910192831[[#This Row],[Oth. ch. DW 2015]]</f>
        <v>38.044385519665738</v>
      </c>
      <c r="J65" s="596">
        <f>500/E65</f>
        <v>15.120979936274143</v>
      </c>
      <c r="K65" s="626">
        <v>0</v>
      </c>
      <c r="L65" s="626"/>
      <c r="M65" s="626"/>
      <c r="N65" s="597">
        <f>20/E65</f>
        <v>0.6048391974509657</v>
      </c>
      <c r="O65" s="570">
        <f>63/E65</f>
        <v>1.905243471970542</v>
      </c>
      <c r="P65" s="1496">
        <f>Tabel668910192831[[#This Row],[Total. ch. DW 2015]]+Tabel668910192831[[#This Row],[Sew. 2015]]+Tabel668910192831[[#This Row],[WW 2015]]+Tabel668910192831[[#This Row],[Other ch. 2015]]+Tabel668910192831[[#This Row],[VAT 2015]]</f>
        <v>55.675448125361385</v>
      </c>
      <c r="Q65" s="397"/>
    </row>
    <row r="66" spans="1:17" ht="16.5" hidden="1" thickBot="1" x14ac:dyDescent="0.3">
      <c r="A66" s="2295"/>
      <c r="B66" s="1656"/>
      <c r="C66" s="735" t="s">
        <v>83</v>
      </c>
      <c r="D66" s="1923"/>
      <c r="E66" s="616">
        <f>'[1]exchange rates'!M15</f>
        <v>33.06664</v>
      </c>
      <c r="F66" s="686">
        <f>472/E66</f>
        <v>14.274205059842791</v>
      </c>
      <c r="G66" s="593">
        <f>700/E66</f>
        <v>21.169371910783799</v>
      </c>
      <c r="H66" s="594">
        <f>35/E66</f>
        <v>1.0584685955391899</v>
      </c>
      <c r="I66" s="566">
        <f>Tabel668910192831[[#This Row],[Fix.ch. 2015]]+Tabel668910192831[[#This Row],[Var. ch. 2015]]+Tabel668910192831[[#This Row],[Oth. ch. DW 2015]]</f>
        <v>36.502045566165776</v>
      </c>
      <c r="J66" s="596">
        <f>500/E66</f>
        <v>15.120979936274143</v>
      </c>
      <c r="K66" s="626">
        <v>0</v>
      </c>
      <c r="L66" s="626"/>
      <c r="M66" s="626"/>
      <c r="N66" s="597">
        <f>400/E66</f>
        <v>12.096783949019313</v>
      </c>
      <c r="O66" s="570">
        <f>55/E66</f>
        <v>1.6633077929901556</v>
      </c>
      <c r="P66" s="1496">
        <f>Tabel668910192831[[#This Row],[Total. ch. DW 2015]]+Tabel668910192831[[#This Row],[Sew. 2015]]+Tabel668910192831[[#This Row],[WW 2015]]+Tabel668910192831[[#This Row],[Other ch. 2015]]+Tabel668910192831[[#This Row],[VAT 2015]]</f>
        <v>65.38311724444938</v>
      </c>
      <c r="Q66" s="397"/>
    </row>
    <row r="67" spans="1:17" ht="15.75" hidden="1" x14ac:dyDescent="0.25">
      <c r="A67" s="1878" t="s">
        <v>10</v>
      </c>
      <c r="B67" s="1656"/>
      <c r="C67" s="1600" t="s">
        <v>85</v>
      </c>
      <c r="D67" s="2401">
        <v>31000</v>
      </c>
      <c r="E67" s="617">
        <f>'[1]exchange rates'!$M$16</f>
        <v>0.92093999999999998</v>
      </c>
      <c r="F67" s="686">
        <f>66/E67</f>
        <v>71.665906573718161</v>
      </c>
      <c r="G67" s="593">
        <f>94/E67</f>
        <v>102.06962451408344</v>
      </c>
      <c r="H67" s="594">
        <v>0</v>
      </c>
      <c r="I67" s="566">
        <f>Tabel668910192831[[#This Row],[Fix.ch. 2015]]+Tabel668910192831[[#This Row],[Var. ch. 2015]]+Tabel668910192831[[#This Row],[Oth. ch. DW 2015]]</f>
        <v>173.7355310878016</v>
      </c>
      <c r="J67" s="596">
        <f>50/E67</f>
        <v>54.292353464937996</v>
      </c>
      <c r="K67" s="626">
        <f>160/E67</f>
        <v>173.7355310878016</v>
      </c>
      <c r="L67" s="626"/>
      <c r="M67" s="626"/>
      <c r="N67" s="597">
        <f>40/E67</f>
        <v>43.433882771950401</v>
      </c>
      <c r="O67" s="570">
        <f>8/E67</f>
        <v>8.6867765543900806</v>
      </c>
      <c r="P67" s="1496">
        <f>Tabel668910192831[[#This Row],[Total. ch. DW 2015]]+Tabel668910192831[[#This Row],[Sew. 2015]]+Tabel668910192831[[#This Row],[WW 2015]]+Tabel668910192831[[#This Row],[Other ch. 2015]]+Tabel668910192831[[#This Row],[VAT 2015]]</f>
        <v>453.88407496688166</v>
      </c>
      <c r="Q67" s="397"/>
    </row>
    <row r="68" spans="1:17" ht="15.75" hidden="1" x14ac:dyDescent="0.25">
      <c r="A68" s="1757"/>
      <c r="B68" s="1656"/>
      <c r="C68" s="639" t="s">
        <v>1347</v>
      </c>
      <c r="D68" s="1760"/>
      <c r="E68" s="617">
        <f>'[1]exchange rates'!$M$16</f>
        <v>0.92093999999999998</v>
      </c>
      <c r="F68" s="686">
        <f>42/E68</f>
        <v>45.605576910547917</v>
      </c>
      <c r="G68" s="593">
        <f>96/E68</f>
        <v>104.24131865268096</v>
      </c>
      <c r="H68" s="594">
        <v>0</v>
      </c>
      <c r="I68" s="566">
        <f>Tabel668910192831[[#This Row],[Fix.ch. 2015]]+Tabel668910192831[[#This Row],[Var. ch. 2015]]+Tabel668910192831[[#This Row],[Oth. ch. DW 2015]]</f>
        <v>149.84689556322888</v>
      </c>
      <c r="J68" s="596">
        <f>55/E68</f>
        <v>59.721588811431801</v>
      </c>
      <c r="K68" s="626">
        <f>225.12/E68</f>
        <v>244.44589224053686</v>
      </c>
      <c r="L68" s="626"/>
      <c r="M68" s="626"/>
      <c r="N68" s="597">
        <v>0</v>
      </c>
      <c r="O68" s="570">
        <f>6.9/E68</f>
        <v>7.4923447781614438</v>
      </c>
      <c r="P68" s="1496">
        <f>Tabel668910192831[[#This Row],[Total. ch. DW 2015]]+Tabel668910192831[[#This Row],[Sew. 2015]]+Tabel668910192831[[#This Row],[WW 2015]]+Tabel668910192831[[#This Row],[Other ch. 2015]]+Tabel668910192831[[#This Row],[VAT 2015]]</f>
        <v>461.50672139335899</v>
      </c>
      <c r="Q68" s="397"/>
    </row>
    <row r="69" spans="1:17" ht="15.75" hidden="1" x14ac:dyDescent="0.25">
      <c r="A69" s="1757"/>
      <c r="B69" s="1656"/>
      <c r="C69" s="639" t="s">
        <v>1348</v>
      </c>
      <c r="D69" s="1760"/>
      <c r="E69" s="617">
        <f>'[1]exchange rates'!$M$16</f>
        <v>0.92093999999999998</v>
      </c>
      <c r="F69" s="686">
        <f>66/E69</f>
        <v>71.665906573718161</v>
      </c>
      <c r="G69" s="593">
        <f>90/E69</f>
        <v>97.726236236888397</v>
      </c>
      <c r="H69" s="594">
        <v>0</v>
      </c>
      <c r="I69" s="566">
        <f>Tabel668910192831[[#This Row],[Fix.ch. 2015]]+Tabel668910192831[[#This Row],[Var. ch. 2015]]+Tabel668910192831[[#This Row],[Oth. ch. DW 2015]]</f>
        <v>169.39214281060657</v>
      </c>
      <c r="J69" s="596">
        <f>60/E69</f>
        <v>65.150824157925598</v>
      </c>
      <c r="K69" s="626">
        <f>157.05/E69</f>
        <v>170.53228223337027</v>
      </c>
      <c r="L69" s="626"/>
      <c r="M69" s="626"/>
      <c r="N69" s="597">
        <f>36/E69</f>
        <v>39.090494494755362</v>
      </c>
      <c r="O69" s="570">
        <f>7.8/E69</f>
        <v>8.4696071405303268</v>
      </c>
      <c r="P69" s="1496">
        <f>Tabel668910192831[[#This Row],[Total. ch. DW 2015]]+Tabel668910192831[[#This Row],[Sew. 2015]]+Tabel668910192831[[#This Row],[WW 2015]]+Tabel668910192831[[#This Row],[Other ch. 2015]]+Tabel668910192831[[#This Row],[VAT 2015]]</f>
        <v>452.63535083718818</v>
      </c>
      <c r="Q69" s="397"/>
    </row>
    <row r="70" spans="1:17" ht="16.5" hidden="1" thickBot="1" x14ac:dyDescent="0.3">
      <c r="A70" s="1758"/>
      <c r="B70" s="1656"/>
      <c r="C70" s="1168" t="s">
        <v>86</v>
      </c>
      <c r="D70" s="1923"/>
      <c r="E70" s="617">
        <f>'[1]exchange rates'!$M$16</f>
        <v>0.92093999999999998</v>
      </c>
      <c r="F70" s="686">
        <f>48/E70</f>
        <v>52.12065932634048</v>
      </c>
      <c r="G70" s="593">
        <f>84.6/E70</f>
        <v>91.862662062675085</v>
      </c>
      <c r="H70" s="594">
        <v>0</v>
      </c>
      <c r="I70" s="566">
        <f>Tabel668910192831[[#This Row],[Fix.ch. 2015]]+Tabel668910192831[[#This Row],[Var. ch. 2015]]+Tabel668910192831[[#This Row],[Oth. ch. DW 2015]]</f>
        <v>143.98332138901557</v>
      </c>
      <c r="J70" s="596">
        <f>43/E70</f>
        <v>46.691423979846682</v>
      </c>
      <c r="K70" s="626">
        <f>132/E70</f>
        <v>143.33181314743632</v>
      </c>
      <c r="L70" s="626"/>
      <c r="M70" s="626"/>
      <c r="N70" s="597">
        <f>33/E70</f>
        <v>35.83295328685908</v>
      </c>
      <c r="O70" s="570">
        <f>6.63/E70</f>
        <v>7.1991660694507784</v>
      </c>
      <c r="P70" s="1496">
        <f>Tabel668910192831[[#This Row],[Total. ch. DW 2015]]+Tabel668910192831[[#This Row],[Sew. 2015]]+Tabel668910192831[[#This Row],[WW 2015]]+Tabel668910192831[[#This Row],[Other ch. 2015]]+Tabel668910192831[[#This Row],[VAT 2015]]</f>
        <v>377.03867787260845</v>
      </c>
      <c r="Q70" s="397"/>
    </row>
    <row r="71" spans="1:17" ht="15.75" hidden="1" x14ac:dyDescent="0.25">
      <c r="A71" s="1818" t="s">
        <v>11</v>
      </c>
      <c r="B71" s="1656"/>
      <c r="C71" s="543" t="s">
        <v>87</v>
      </c>
      <c r="D71" s="2401">
        <v>45800</v>
      </c>
      <c r="E71" s="661">
        <f>'[1]exchange rates'!$M$17</f>
        <v>6.8727499999999999</v>
      </c>
      <c r="F71" s="686">
        <f>975.04/E71</f>
        <v>141.87043032265103</v>
      </c>
      <c r="G71" s="593">
        <f>439.8/E71</f>
        <v>63.991851878796702</v>
      </c>
      <c r="H71" s="594">
        <f>653/E71</f>
        <v>95.012913317085591</v>
      </c>
      <c r="I71" s="566">
        <f>Tabel668910192831[[#This Row],[Fix.ch. 2015]]+Tabel668910192831[[#This Row],[Var. ch. 2015]]+Tabel668910192831[[#This Row],[Oth. ch. DW 2015]]</f>
        <v>300.8751955185333</v>
      </c>
      <c r="J71" s="596">
        <v>0</v>
      </c>
      <c r="K71" s="626">
        <f>2558/E71</f>
        <v>372.19453639372887</v>
      </c>
      <c r="L71" s="626"/>
      <c r="M71" s="626"/>
      <c r="N71" s="597">
        <f>58/E71</f>
        <v>8.4391255319922891</v>
      </c>
      <c r="O71" s="570">
        <f>1170.96/E71</f>
        <v>170.37721436106364</v>
      </c>
      <c r="P71" s="1496">
        <f>Tabel668910192831[[#This Row],[Total. ch. DW 2015]]+Tabel668910192831[[#This Row],[Sew. 2015]]+Tabel668910192831[[#This Row],[WW 2015]]+Tabel668910192831[[#This Row],[Other ch. 2015]]+Tabel668910192831[[#This Row],[VAT 2015]]</f>
        <v>851.88607180531812</v>
      </c>
      <c r="Q71" s="397"/>
    </row>
    <row r="72" spans="1:17" ht="15.75" hidden="1" x14ac:dyDescent="0.25">
      <c r="A72" s="2294"/>
      <c r="B72" s="1656"/>
      <c r="C72" s="543" t="s">
        <v>213</v>
      </c>
      <c r="D72" s="1880"/>
      <c r="E72" s="661">
        <f>'[1]exchange rates'!$M$17</f>
        <v>6.8727499999999999</v>
      </c>
      <c r="F72" s="686">
        <f>550/E72</f>
        <v>80.026190389582041</v>
      </c>
      <c r="G72" s="593">
        <f>1071/E72</f>
        <v>155.83281801316795</v>
      </c>
      <c r="H72" s="594">
        <f t="shared" ref="H72:H75" si="0">653/E72</f>
        <v>95.012913317085591</v>
      </c>
      <c r="I72" s="566">
        <f>Tabel668910192831[[#This Row],[Fix.ch. 2015]]+Tabel668910192831[[#This Row],[Var. ch. 2015]]+Tabel668910192831[[#This Row],[Oth. ch. DW 2015]]</f>
        <v>330.8719217198356</v>
      </c>
      <c r="J72" s="596">
        <v>0</v>
      </c>
      <c r="K72" s="626">
        <f>2937.2/E72</f>
        <v>427.36895711323706</v>
      </c>
      <c r="L72" s="626"/>
      <c r="M72" s="626"/>
      <c r="N72" s="597">
        <f>50/E72</f>
        <v>7.2751082172347319</v>
      </c>
      <c r="O72" s="570">
        <f>1315.3/E72</f>
        <v>191.37899676257683</v>
      </c>
      <c r="P72" s="1496">
        <f>Tabel668910192831[[#This Row],[Total. ch. DW 2015]]+Tabel668910192831[[#This Row],[Sew. 2015]]+Tabel668910192831[[#This Row],[WW 2015]]+Tabel668910192831[[#This Row],[Other ch. 2015]]+Tabel668910192831[[#This Row],[VAT 2015]]</f>
        <v>956.89498381288422</v>
      </c>
      <c r="Q72" s="397"/>
    </row>
    <row r="73" spans="1:17" ht="15.75" hidden="1" x14ac:dyDescent="0.25">
      <c r="A73" s="2294"/>
      <c r="B73" s="1656"/>
      <c r="C73" s="543" t="s">
        <v>88</v>
      </c>
      <c r="D73" s="1880"/>
      <c r="E73" s="661">
        <f>'[1]exchange rates'!$M$17</f>
        <v>6.8727499999999999</v>
      </c>
      <c r="F73" s="686">
        <f>384/E73</f>
        <v>55.872831108362739</v>
      </c>
      <c r="G73" s="593">
        <f>867/E73</f>
        <v>126.15037648685025</v>
      </c>
      <c r="H73" s="594">
        <f t="shared" si="0"/>
        <v>95.012913317085591</v>
      </c>
      <c r="I73" s="566">
        <f>Tabel668910192831[[#This Row],[Fix.ch. 2015]]+Tabel668910192831[[#This Row],[Var. ch. 2015]]+Tabel668910192831[[#This Row],[Oth. ch. DW 2015]]</f>
        <v>277.0361209122986</v>
      </c>
      <c r="J73" s="596">
        <v>0</v>
      </c>
      <c r="K73" s="626">
        <f>1423.2/E73</f>
        <v>207.0786802953694</v>
      </c>
      <c r="L73" s="626"/>
      <c r="M73" s="626"/>
      <c r="N73" s="597">
        <f>56/E73</f>
        <v>8.1481212033028996</v>
      </c>
      <c r="O73" s="570">
        <f>845.8/E73</f>
        <v>123.0657306027427</v>
      </c>
      <c r="P73" s="1496">
        <f>Tabel668910192831[[#This Row],[Total. ch. DW 2015]]+Tabel668910192831[[#This Row],[Sew. 2015]]+Tabel668910192831[[#This Row],[WW 2015]]+Tabel668910192831[[#This Row],[Other ch. 2015]]+Tabel668910192831[[#This Row],[VAT 2015]]</f>
        <v>615.32865301371362</v>
      </c>
      <c r="Q73" s="397"/>
    </row>
    <row r="74" spans="1:17" ht="15.75" hidden="1" x14ac:dyDescent="0.25">
      <c r="A74" s="2294"/>
      <c r="B74" s="1656"/>
      <c r="C74" s="543" t="s">
        <v>89</v>
      </c>
      <c r="D74" s="1880"/>
      <c r="E74" s="661">
        <f>'[1]exchange rates'!$M$17</f>
        <v>6.8727499999999999</v>
      </c>
      <c r="F74" s="686">
        <f>662/E74</f>
        <v>96.32243279618784</v>
      </c>
      <c r="G74" s="593">
        <f>485.4/E74</f>
        <v>70.626750572914773</v>
      </c>
      <c r="H74" s="594">
        <f t="shared" si="0"/>
        <v>95.012913317085591</v>
      </c>
      <c r="I74" s="566">
        <f>Tabel668910192831[[#This Row],[Fix.ch. 2015]]+Tabel668910192831[[#This Row],[Var. ch. 2015]]+Tabel668910192831[[#This Row],[Oth. ch. DW 2015]]</f>
        <v>261.9620966861882</v>
      </c>
      <c r="J74" s="596">
        <v>0</v>
      </c>
      <c r="K74" s="626">
        <f>2879.04/E74</f>
        <v>418.90655123494963</v>
      </c>
      <c r="L74" s="626"/>
      <c r="M74" s="626"/>
      <c r="N74" s="597">
        <f>46/E74</f>
        <v>6.6930995598559528</v>
      </c>
      <c r="O74" s="570">
        <f>1181.36/E74</f>
        <v>171.89043687024844</v>
      </c>
      <c r="P74" s="1496">
        <f>Tabel668910192831[[#This Row],[Total. ch. DW 2015]]+Tabel668910192831[[#This Row],[Sew. 2015]]+Tabel668910192831[[#This Row],[WW 2015]]+Tabel668910192831[[#This Row],[Other ch. 2015]]+Tabel668910192831[[#This Row],[VAT 2015]]</f>
        <v>859.45218435124218</v>
      </c>
      <c r="Q74" s="397"/>
    </row>
    <row r="75" spans="1:17" ht="16.5" hidden="1" thickBot="1" x14ac:dyDescent="0.3">
      <c r="A75" s="2295"/>
      <c r="B75" s="1656"/>
      <c r="C75" s="544" t="s">
        <v>90</v>
      </c>
      <c r="D75" s="1923"/>
      <c r="E75" s="661">
        <f>'[1]exchange rates'!$M$17</f>
        <v>6.8727499999999999</v>
      </c>
      <c r="F75" s="686">
        <f>480/E75</f>
        <v>69.841038885453429</v>
      </c>
      <c r="G75" s="593">
        <f>875/E75</f>
        <v>127.31439380160781</v>
      </c>
      <c r="H75" s="594">
        <f t="shared" si="0"/>
        <v>95.012913317085591</v>
      </c>
      <c r="I75" s="566">
        <f>Tabel668910192831[[#This Row],[Fix.ch. 2015]]+Tabel668910192831[[#This Row],[Var. ch. 2015]]+Tabel668910192831[[#This Row],[Oth. ch. DW 2015]]</f>
        <v>292.16834600414683</v>
      </c>
      <c r="J75" s="596">
        <v>0</v>
      </c>
      <c r="K75" s="626">
        <f>3389.4/E75</f>
        <v>493.16503582990799</v>
      </c>
      <c r="L75" s="626"/>
      <c r="M75" s="626"/>
      <c r="N75" s="597">
        <f>51/E75</f>
        <v>7.4206103815794258</v>
      </c>
      <c r="O75" s="570">
        <f>1362.1/E75</f>
        <v>198.18849805390855</v>
      </c>
      <c r="P75" s="1496">
        <f>Tabel668910192831[[#This Row],[Total. ch. DW 2015]]+Tabel668910192831[[#This Row],[Sew. 2015]]+Tabel668910192831[[#This Row],[WW 2015]]+Tabel668910192831[[#This Row],[Other ch. 2015]]+Tabel668910192831[[#This Row],[VAT 2015]]</f>
        <v>990.94249026954276</v>
      </c>
      <c r="Q75" s="397"/>
    </row>
    <row r="76" spans="1:17" ht="15.75" hidden="1" x14ac:dyDescent="0.25">
      <c r="A76" s="1818" t="s">
        <v>12</v>
      </c>
      <c r="B76" s="1656"/>
      <c r="C76" s="1513" t="s">
        <v>91</v>
      </c>
      <c r="D76" s="2343">
        <v>41200</v>
      </c>
      <c r="E76" s="616">
        <f>'[1]exchange rates'!$M$18</f>
        <v>0.92093999999999998</v>
      </c>
      <c r="F76" s="686">
        <f>38.59/E76</f>
        <v>41.902838404239155</v>
      </c>
      <c r="G76" s="593">
        <f>108/E76</f>
        <v>117.27148348426608</v>
      </c>
      <c r="H76" s="594">
        <v>0</v>
      </c>
      <c r="I76" s="566">
        <f>Tabel668910192831[[#This Row],[Fix.ch. 2015]]+Tabel668910192831[[#This Row],[Var. ch. 2015]]+Tabel668910192831[[#This Row],[Oth. ch. DW 2015]]</f>
        <v>159.17432188850523</v>
      </c>
      <c r="J76" s="596">
        <v>0</v>
      </c>
      <c r="K76" s="626">
        <f>134/E76</f>
        <v>145.50350728603385</v>
      </c>
      <c r="L76" s="626"/>
      <c r="M76" s="626"/>
      <c r="N76" s="597">
        <f>57.89/E76</f>
        <v>62.859686841705219</v>
      </c>
      <c r="O76" s="570">
        <f>81.24/E76</f>
        <v>88.214215909831253</v>
      </c>
      <c r="P76" s="1496">
        <f>Tabel668910192831[[#This Row],[Total. ch. DW 2015]]+Tabel668910192831[[#This Row],[Sew. 2015]]+Tabel668910192831[[#This Row],[WW 2015]]+Tabel668910192831[[#This Row],[Other ch. 2015]]+Tabel668910192831[[#This Row],[VAT 2015]]</f>
        <v>455.75173192607554</v>
      </c>
      <c r="Q76" s="397"/>
    </row>
    <row r="77" spans="1:17" ht="15.75" hidden="1" x14ac:dyDescent="0.25">
      <c r="A77" s="2294"/>
      <c r="B77" s="1656"/>
      <c r="C77" s="543" t="s">
        <v>92</v>
      </c>
      <c r="D77" s="1880"/>
      <c r="E77" s="616">
        <f>'[1]exchange rates'!$M$18</f>
        <v>0.92093999999999998</v>
      </c>
      <c r="F77" s="686">
        <f>38.59/E77</f>
        <v>41.902838404239155</v>
      </c>
      <c r="G77" s="593">
        <f>108/E77</f>
        <v>117.27148348426608</v>
      </c>
      <c r="H77" s="594">
        <v>0</v>
      </c>
      <c r="I77" s="566">
        <f>Tabel668910192831[[#This Row],[Fix.ch. 2015]]+Tabel668910192831[[#This Row],[Var. ch. 2015]]+Tabel668910192831[[#This Row],[Oth. ch. DW 2015]]</f>
        <v>159.17432188850523</v>
      </c>
      <c r="J77" s="596">
        <v>0</v>
      </c>
      <c r="K77" s="626">
        <f>134/E77</f>
        <v>145.50350728603385</v>
      </c>
      <c r="L77" s="626"/>
      <c r="M77" s="626"/>
      <c r="N77" s="597">
        <f>57.89/E77</f>
        <v>62.859686841705219</v>
      </c>
      <c r="O77" s="570">
        <f>81.24/E77</f>
        <v>88.214215909831253</v>
      </c>
      <c r="P77" s="1496">
        <f>Tabel668910192831[[#This Row],[Total. ch. DW 2015]]+Tabel668910192831[[#This Row],[Sew. 2015]]+Tabel668910192831[[#This Row],[WW 2015]]+Tabel668910192831[[#This Row],[Other ch. 2015]]+Tabel668910192831[[#This Row],[VAT 2015]]</f>
        <v>455.75173192607554</v>
      </c>
      <c r="Q77" s="397"/>
    </row>
    <row r="78" spans="1:17" ht="15.75" hidden="1" x14ac:dyDescent="0.25">
      <c r="A78" s="2294"/>
      <c r="B78" s="1656"/>
      <c r="C78" s="543" t="s">
        <v>93</v>
      </c>
      <c r="D78" s="1880"/>
      <c r="E78" s="616">
        <f>'[1]exchange rates'!$M$18</f>
        <v>0.92093999999999998</v>
      </c>
      <c r="F78" s="686">
        <f>41.94/E78</f>
        <v>45.540426086389992</v>
      </c>
      <c r="G78" s="593">
        <f>123/E78</f>
        <v>133.55918952374748</v>
      </c>
      <c r="H78" s="594">
        <v>0</v>
      </c>
      <c r="I78" s="566">
        <f>Tabel668910192831[[#This Row],[Fix.ch. 2015]]+Tabel668910192831[[#This Row],[Var. ch. 2015]]+Tabel668910192831[[#This Row],[Oth. ch. DW 2015]]</f>
        <v>179.09961561013748</v>
      </c>
      <c r="J78" s="596">
        <v>0</v>
      </c>
      <c r="K78" s="626">
        <f>168/E78</f>
        <v>182.42230764219167</v>
      </c>
      <c r="L78" s="626"/>
      <c r="M78" s="626"/>
      <c r="N78" s="597">
        <f>41.94/E78</f>
        <v>45.540426086389992</v>
      </c>
      <c r="O78" s="570">
        <f>89.97/E78</f>
        <v>97.693660824809442</v>
      </c>
      <c r="P78" s="1496">
        <f>Tabel668910192831[[#This Row],[Total. ch. DW 2015]]+Tabel668910192831[[#This Row],[Sew. 2015]]+Tabel668910192831[[#This Row],[WW 2015]]+Tabel668910192831[[#This Row],[Other ch. 2015]]+Tabel668910192831[[#This Row],[VAT 2015]]</f>
        <v>504.75601016352857</v>
      </c>
      <c r="Q78" s="397"/>
    </row>
    <row r="79" spans="1:17" ht="15.75" hidden="1" x14ac:dyDescent="0.25">
      <c r="A79" s="2294"/>
      <c r="B79" s="1656"/>
      <c r="C79" s="543" t="s">
        <v>94</v>
      </c>
      <c r="D79" s="1880"/>
      <c r="E79" s="616">
        <f>'[1]exchange rates'!$M$18</f>
        <v>0.92093999999999998</v>
      </c>
      <c r="F79" s="686">
        <f>76.92/E79</f>
        <v>83.523356570460621</v>
      </c>
      <c r="G79" s="593">
        <f>109/E79</f>
        <v>118.35733055356484</v>
      </c>
      <c r="H79" s="594">
        <v>0</v>
      </c>
      <c r="I79" s="566">
        <f>Tabel668910192831[[#This Row],[Fix.ch. 2015]]+Tabel668910192831[[#This Row],[Var. ch. 2015]]+Tabel668910192831[[#This Row],[Oth. ch. DW 2015]]</f>
        <v>201.88068712402546</v>
      </c>
      <c r="J79" s="596">
        <v>0</v>
      </c>
      <c r="K79" s="626">
        <f>160/E79</f>
        <v>173.7355310878016</v>
      </c>
      <c r="L79" s="626"/>
      <c r="M79" s="626"/>
      <c r="N79" s="597">
        <f>76.92/E79</f>
        <v>83.523356570460621</v>
      </c>
      <c r="O79" s="570">
        <f>101.48/E79</f>
        <v>110.19176059243817</v>
      </c>
      <c r="P79" s="1496">
        <f>Tabel668910192831[[#This Row],[Total. ch. DW 2015]]+Tabel668910192831[[#This Row],[Sew. 2015]]+Tabel668910192831[[#This Row],[WW 2015]]+Tabel668910192831[[#This Row],[Other ch. 2015]]+Tabel668910192831[[#This Row],[VAT 2015]]</f>
        <v>569.33133537472588</v>
      </c>
      <c r="Q79" s="397"/>
    </row>
    <row r="80" spans="1:17" ht="15.75" hidden="1" x14ac:dyDescent="0.25">
      <c r="A80" s="2294"/>
      <c r="B80" s="1656"/>
      <c r="C80" s="543" t="s">
        <v>95</v>
      </c>
      <c r="D80" s="1880"/>
      <c r="E80" s="616">
        <f>'[1]exchange rates'!$M$18</f>
        <v>0.92093999999999998</v>
      </c>
      <c r="F80" s="686">
        <f>108/E80</f>
        <v>117.27148348426608</v>
      </c>
      <c r="G80" s="593">
        <f>127/E80</f>
        <v>137.90257780094251</v>
      </c>
      <c r="H80" s="594">
        <v>0</v>
      </c>
      <c r="I80" s="566">
        <f>Tabel668910192831[[#This Row],[Fix.ch. 2015]]+Tabel668910192831[[#This Row],[Var. ch. 2015]]+Tabel668910192831[[#This Row],[Oth. ch. DW 2015]]</f>
        <v>255.17406128520861</v>
      </c>
      <c r="J80" s="596">
        <v>0</v>
      </c>
      <c r="K80" s="626">
        <f>158/E80</f>
        <v>171.56383694920407</v>
      </c>
      <c r="L80" s="626"/>
      <c r="M80" s="626"/>
      <c r="N80" s="597">
        <f>60/E80</f>
        <v>65.150824157925598</v>
      </c>
      <c r="O80" s="570">
        <f>108.72/E80</f>
        <v>118.05329337416119</v>
      </c>
      <c r="P80" s="1496">
        <f>Tabel668910192831[[#This Row],[Total. ch. DW 2015]]+Tabel668910192831[[#This Row],[Sew. 2015]]+Tabel668910192831[[#This Row],[WW 2015]]+Tabel668910192831[[#This Row],[Other ch. 2015]]+Tabel668910192831[[#This Row],[VAT 2015]]</f>
        <v>609.94201576649948</v>
      </c>
      <c r="Q80" s="397"/>
    </row>
    <row r="81" spans="1:17" ht="16.5" hidden="1" thickBot="1" x14ac:dyDescent="0.3">
      <c r="A81" s="2295"/>
      <c r="B81" s="1656"/>
      <c r="C81" s="544" t="s">
        <v>195</v>
      </c>
      <c r="D81" s="1923"/>
      <c r="E81" s="616">
        <f>'[1]exchange rates'!$M$18</f>
        <v>0.92093999999999998</v>
      </c>
      <c r="F81" s="686">
        <f>38.59/E81</f>
        <v>41.902838404239155</v>
      </c>
      <c r="G81" s="593">
        <f>108/E81</f>
        <v>117.27148348426608</v>
      </c>
      <c r="H81" s="594">
        <v>0</v>
      </c>
      <c r="I81" s="566">
        <f>Tabel668910192831[[#This Row],[Fix.ch. 2015]]+Tabel668910192831[[#This Row],[Var. ch. 2015]]+Tabel668910192831[[#This Row],[Oth. ch. DW 2015]]</f>
        <v>159.17432188850523</v>
      </c>
      <c r="J81" s="596">
        <v>0</v>
      </c>
      <c r="K81" s="626">
        <f>134/E81</f>
        <v>145.50350728603385</v>
      </c>
      <c r="L81" s="626"/>
      <c r="M81" s="626"/>
      <c r="N81" s="597">
        <f>57.89/E81</f>
        <v>62.859686841705219</v>
      </c>
      <c r="O81" s="570">
        <f>81.24/E81</f>
        <v>88.214215909831253</v>
      </c>
      <c r="P81" s="1496">
        <f>Tabel668910192831[[#This Row],[Total. ch. DW 2015]]+Tabel668910192831[[#This Row],[Sew. 2015]]+Tabel668910192831[[#This Row],[WW 2015]]+Tabel668910192831[[#This Row],[Other ch. 2015]]+Tabel668910192831[[#This Row],[VAT 2015]]</f>
        <v>455.75173192607554</v>
      </c>
      <c r="Q81" s="397"/>
    </row>
    <row r="82" spans="1:17" ht="15.75" hidden="1" customHeight="1" x14ac:dyDescent="0.25">
      <c r="A82" s="1878" t="s">
        <v>13</v>
      </c>
      <c r="B82" s="1656"/>
      <c r="C82" s="1513" t="s">
        <v>97</v>
      </c>
      <c r="D82" s="2343">
        <v>41400</v>
      </c>
      <c r="E82" s="616">
        <f>'[1]exchange rates'!$M$19</f>
        <v>0.92093999999999998</v>
      </c>
      <c r="F82" s="686">
        <f>54.91/E82</f>
        <v>59.623862575194906</v>
      </c>
      <c r="G82" s="593">
        <f>(1.07*100)/E82</f>
        <v>116.18563641496732</v>
      </c>
      <c r="H82" s="594">
        <f>(0.4*100)/E82</f>
        <v>43.433882771950401</v>
      </c>
      <c r="I82" s="566">
        <f>Tabel668910192831[[#This Row],[Fix.ch. 2015]]+Tabel668910192831[[#This Row],[Var. ch. 2015]]+Tabel668910192831[[#This Row],[Oth. ch. DW 2015]]</f>
        <v>219.24338176211265</v>
      </c>
      <c r="J82" s="596">
        <f>(1.1*100)/E82</f>
        <v>119.44317762286362</v>
      </c>
      <c r="K82" s="626">
        <f>(0*100)/E82</f>
        <v>0</v>
      </c>
      <c r="L82" s="626"/>
      <c r="M82" s="626"/>
      <c r="N82" s="597">
        <f>(0.235*100)/E82</f>
        <v>25.517406128520861</v>
      </c>
      <c r="O82" s="570">
        <f>(11.07+13.31)/E82</f>
        <v>26.472951549503772</v>
      </c>
      <c r="P82" s="1496">
        <f>Tabel668910192831[[#This Row],[Total. ch. DW 2015]]+Tabel668910192831[[#This Row],[Sew. 2015]]+Tabel668910192831[[#This Row],[WW 2015]]+Tabel668910192831[[#This Row],[Other ch. 2015]]+Tabel668910192831[[#This Row],[VAT 2015]]</f>
        <v>390.67691706300087</v>
      </c>
      <c r="Q82" s="397"/>
    </row>
    <row r="83" spans="1:17" ht="15.75" hidden="1" customHeight="1" x14ac:dyDescent="0.25">
      <c r="A83" s="1757"/>
      <c r="B83" s="1656"/>
      <c r="C83" s="543" t="s">
        <v>98</v>
      </c>
      <c r="D83" s="1880"/>
      <c r="E83" s="616">
        <f>'[1]exchange rates'!$M$19</f>
        <v>0.92093999999999998</v>
      </c>
      <c r="F83" s="686">
        <f>0/E83</f>
        <v>0</v>
      </c>
      <c r="G83" s="593">
        <f>(1.48*100)/E83</f>
        <v>160.70536625621648</v>
      </c>
      <c r="H83" s="594">
        <f>(0.48*100)/E83</f>
        <v>52.12065932634048</v>
      </c>
      <c r="I83" s="566">
        <f>Tabel668910192831[[#This Row],[Fix.ch. 2015]]+Tabel668910192831[[#This Row],[Var. ch. 2015]]+Tabel668910192831[[#This Row],[Oth. ch. DW 2015]]</f>
        <v>212.82602558255695</v>
      </c>
      <c r="J83" s="596">
        <f>(1.78*100)/E83</f>
        <v>193.28077833517926</v>
      </c>
      <c r="K83" s="626">
        <f>(0*100)/E83</f>
        <v>0</v>
      </c>
      <c r="L83" s="626"/>
      <c r="M83" s="626"/>
      <c r="N83" s="597">
        <f>(0.48*100)/E83</f>
        <v>52.12065932634048</v>
      </c>
      <c r="O83" s="570">
        <f>(10.73+22.59)/E83</f>
        <v>36.180424349034681</v>
      </c>
      <c r="P83" s="1496">
        <f>Tabel668910192831[[#This Row],[Total. ch. DW 2015]]+Tabel668910192831[[#This Row],[Sew. 2015]]+Tabel668910192831[[#This Row],[WW 2015]]+Tabel668910192831[[#This Row],[Other ch. 2015]]+Tabel668910192831[[#This Row],[VAT 2015]]</f>
        <v>494.40788759311141</v>
      </c>
      <c r="Q83" s="397"/>
    </row>
    <row r="84" spans="1:17" ht="15.75" hidden="1" customHeight="1" x14ac:dyDescent="0.25">
      <c r="A84" s="1757"/>
      <c r="B84" s="1656"/>
      <c r="C84" s="543" t="s">
        <v>99</v>
      </c>
      <c r="D84" s="1880"/>
      <c r="E84" s="616">
        <f>'[1]exchange rates'!$M$19</f>
        <v>0.92093999999999998</v>
      </c>
      <c r="F84" s="686">
        <f>18.41/E84</f>
        <v>19.990444545790172</v>
      </c>
      <c r="G84" s="593">
        <f>(1.12*100)/E84</f>
        <v>121.61487176146113</v>
      </c>
      <c r="H84" s="594">
        <f>(0.45*100)/E84</f>
        <v>48.863118118444199</v>
      </c>
      <c r="I84" s="566">
        <f>Tabel668910192831[[#This Row],[Fix.ch. 2015]]+Tabel668910192831[[#This Row],[Var. ch. 2015]]+Tabel668910192831[[#This Row],[Oth. ch. DW 2015]]</f>
        <v>190.46843442569551</v>
      </c>
      <c r="J84" s="596">
        <f>(1.46*100)/E84</f>
        <v>158.53367211761895</v>
      </c>
      <c r="K84" s="626">
        <f>(0*100)/E84</f>
        <v>0</v>
      </c>
      <c r="L84" s="626"/>
      <c r="M84" s="626"/>
      <c r="N84" s="597">
        <f>(0.2616*100)/E84</f>
        <v>28.40575933285556</v>
      </c>
      <c r="O84" s="570">
        <f>(9.66+17.24)/E84</f>
        <v>29.209286164136643</v>
      </c>
      <c r="P84" s="1496">
        <f>Tabel668910192831[[#This Row],[Total. ch. DW 2015]]+Tabel668910192831[[#This Row],[Sew. 2015]]+Tabel668910192831[[#This Row],[WW 2015]]+Tabel668910192831[[#This Row],[Other ch. 2015]]+Tabel668910192831[[#This Row],[VAT 2015]]</f>
        <v>406.61715204030662</v>
      </c>
      <c r="Q84" s="397"/>
    </row>
    <row r="85" spans="1:17" ht="15.75" hidden="1" customHeight="1" x14ac:dyDescent="0.25">
      <c r="A85" s="1757"/>
      <c r="B85" s="1656"/>
      <c r="C85" s="543" t="s">
        <v>100</v>
      </c>
      <c r="D85" s="1880"/>
      <c r="E85" s="616">
        <f>'[1]exchange rates'!$M$19</f>
        <v>0.92093999999999998</v>
      </c>
      <c r="F85" s="686">
        <f>60.96/E85</f>
        <v>66.193237344452413</v>
      </c>
      <c r="G85" s="593">
        <f>(1.18*100)/E85</f>
        <v>128.12995417725367</v>
      </c>
      <c r="H85" s="594">
        <f>(0.35*100)/E85</f>
        <v>38.004647425456596</v>
      </c>
      <c r="I85" s="566">
        <f>Tabel668910192831[[#This Row],[Fix.ch. 2015]]+Tabel668910192831[[#This Row],[Var. ch. 2015]]+Tabel668910192831[[#This Row],[Oth. ch. DW 2015]]</f>
        <v>232.32783894716266</v>
      </c>
      <c r="J85" s="596">
        <f>(0.96*100)/E85</f>
        <v>104.24131865268096</v>
      </c>
      <c r="K85" s="626">
        <v>0</v>
      </c>
      <c r="L85" s="626"/>
      <c r="M85" s="626"/>
      <c r="N85" s="597">
        <f>(0.1764*100)/E85</f>
        <v>19.154342302430127</v>
      </c>
      <c r="O85" s="570">
        <f>(11.77+11.39)/E85</f>
        <v>25.148218124959282</v>
      </c>
      <c r="P85" s="1496">
        <f>Tabel668910192831[[#This Row],[Total. ch. DW 2015]]+Tabel668910192831[[#This Row],[Sew. 2015]]+Tabel668910192831[[#This Row],[WW 2015]]+Tabel668910192831[[#This Row],[Other ch. 2015]]+Tabel668910192831[[#This Row],[VAT 2015]]</f>
        <v>380.87171802723299</v>
      </c>
      <c r="Q85" s="397"/>
    </row>
    <row r="86" spans="1:17" ht="16.5" hidden="1" customHeight="1" x14ac:dyDescent="0.25">
      <c r="A86" s="1757"/>
      <c r="B86" s="1656"/>
      <c r="C86" s="543" t="s">
        <v>101</v>
      </c>
      <c r="D86" s="1880"/>
      <c r="E86" s="616">
        <f>'[1]exchange rates'!$M$19</f>
        <v>0.92093999999999998</v>
      </c>
      <c r="F86" s="686">
        <f>21.02/E86</f>
        <v>22.824505396659934</v>
      </c>
      <c r="G86" s="593">
        <f>(0.99*100)/E86</f>
        <v>107.49885986057724</v>
      </c>
      <c r="H86" s="594">
        <f>(0.49*100)/E86</f>
        <v>53.206506395639238</v>
      </c>
      <c r="I86" s="566">
        <f>Tabel668910192831[[#This Row],[Fix.ch. 2015]]+Tabel668910192831[[#This Row],[Var. ch. 2015]]+Tabel668910192831[[#This Row],[Oth. ch. DW 2015]]</f>
        <v>183.52987165287641</v>
      </c>
      <c r="J86" s="596">
        <f>(0.29*100)/E86</f>
        <v>31.489565009664037</v>
      </c>
      <c r="K86" s="626">
        <f>(0.97*100)/E86</f>
        <v>105.32716572197972</v>
      </c>
      <c r="L86" s="626"/>
      <c r="M86" s="626"/>
      <c r="N86" s="597">
        <f>(0.3*100)/E86</f>
        <v>32.575412078962799</v>
      </c>
      <c r="O86" s="570">
        <f>(9.28+15.54)/E86</f>
        <v>26.950724259995223</v>
      </c>
      <c r="P86" s="1496">
        <f>Tabel668910192831[[#This Row],[Total. ch. DW 2015]]+Tabel668910192831[[#This Row],[Sew. 2015]]+Tabel668910192831[[#This Row],[WW 2015]]+Tabel668910192831[[#This Row],[Other ch. 2015]]+Tabel668910192831[[#This Row],[VAT 2015]]</f>
        <v>379.87273872347822</v>
      </c>
      <c r="Q86" s="397"/>
    </row>
    <row r="87" spans="1:17" ht="15.75" hidden="1" x14ac:dyDescent="0.25">
      <c r="A87" s="1757"/>
      <c r="B87" s="1656"/>
      <c r="C87" s="543" t="s">
        <v>630</v>
      </c>
      <c r="D87" s="1880"/>
      <c r="E87" s="616">
        <f>'[1]exchange rates'!$M$19</f>
        <v>0.92093999999999998</v>
      </c>
      <c r="F87" s="686">
        <f>28.36/E87</f>
        <v>30.794622885312833</v>
      </c>
      <c r="G87" s="593">
        <f>(1*100)/E87</f>
        <v>108.58470692987599</v>
      </c>
      <c r="H87" s="594">
        <f>(0.4*100)/E87</f>
        <v>43.433882771950401</v>
      </c>
      <c r="I87" s="566">
        <f>Tabel668910192831[[#This Row],[Fix.ch. 2015]]+Tabel668910192831[[#This Row],[Var. ch. 2015]]+Tabel668910192831[[#This Row],[Oth. ch. DW 2015]]</f>
        <v>182.81321258713925</v>
      </c>
      <c r="J87" s="596">
        <f>(0.5*100)/E87</f>
        <v>54.292353464937996</v>
      </c>
      <c r="K87" s="626">
        <f>(0.46*100)/E87</f>
        <v>49.948965187742957</v>
      </c>
      <c r="L87" s="626"/>
      <c r="M87" s="626"/>
      <c r="N87" s="597">
        <f>(0.4*100)/E87</f>
        <v>43.433882771950401</v>
      </c>
      <c r="O87" s="570">
        <f>(9.23+13.59)/E87</f>
        <v>24.779030121397703</v>
      </c>
      <c r="P87" s="1496">
        <f>Tabel668910192831[[#This Row],[Total. ch. DW 2015]]+Tabel668910192831[[#This Row],[Sew. 2015]]+Tabel668910192831[[#This Row],[WW 2015]]+Tabel668910192831[[#This Row],[Other ch. 2015]]+Tabel668910192831[[#This Row],[VAT 2015]]</f>
        <v>355.26744413316828</v>
      </c>
      <c r="Q87" s="397"/>
    </row>
    <row r="88" spans="1:17" ht="15.75" hidden="1" x14ac:dyDescent="0.25">
      <c r="A88" s="1757"/>
      <c r="B88" s="1656"/>
      <c r="C88" s="543" t="s">
        <v>631</v>
      </c>
      <c r="D88" s="1880"/>
      <c r="E88" s="616">
        <f>'[1]exchange rates'!$M$19</f>
        <v>0.92093999999999998</v>
      </c>
      <c r="F88" s="686">
        <f>10.95/E88</f>
        <v>11.890025408821421</v>
      </c>
      <c r="G88" s="593">
        <f>(0.93*100)/E88</f>
        <v>100.98377744478468</v>
      </c>
      <c r="H88" s="594">
        <f>(0.44*100)/E88</f>
        <v>47.77727104914544</v>
      </c>
      <c r="I88" s="566">
        <f>Tabel668910192831[[#This Row],[Fix.ch. 2015]]+Tabel668910192831[[#This Row],[Var. ch. 2015]]+Tabel668910192831[[#This Row],[Oth. ch. DW 2015]]</f>
        <v>160.65107390275153</v>
      </c>
      <c r="J88" s="596">
        <f>(1.16*100)/E88</f>
        <v>125.95826003865615</v>
      </c>
      <c r="K88" s="626">
        <f>(0*100)/E88</f>
        <v>0</v>
      </c>
      <c r="L88" s="626"/>
      <c r="M88" s="626"/>
      <c r="N88" s="597">
        <f>(0.3*100)/E88</f>
        <v>32.575412078962799</v>
      </c>
      <c r="O88" s="570">
        <f>(8.13+14.6)/E88</f>
        <v>24.681303885160816</v>
      </c>
      <c r="P88" s="1496">
        <f>Tabel668910192831[[#This Row],[Total. ch. DW 2015]]+Tabel668910192831[[#This Row],[Sew. 2015]]+Tabel668910192831[[#This Row],[WW 2015]]+Tabel668910192831[[#This Row],[Other ch. 2015]]+Tabel668910192831[[#This Row],[VAT 2015]]</f>
        <v>343.86604990553133</v>
      </c>
      <c r="Q88" s="397"/>
    </row>
    <row r="89" spans="1:17" ht="15.75" hidden="1" x14ac:dyDescent="0.25">
      <c r="A89" s="1757"/>
      <c r="B89" s="1656"/>
      <c r="C89" s="543" t="s">
        <v>632</v>
      </c>
      <c r="D89" s="1880"/>
      <c r="E89" s="616">
        <f>'[1]exchange rates'!$M$19</f>
        <v>0.92093999999999998</v>
      </c>
      <c r="F89" s="686">
        <f>42.15/E89</f>
        <v>45.76845397094273</v>
      </c>
      <c r="G89" s="593">
        <f>(1.48*100)/E89</f>
        <v>160.70536625621648</v>
      </c>
      <c r="H89" s="594">
        <f>(0.46*100)/E89</f>
        <v>49.948965187742957</v>
      </c>
      <c r="I89" s="566">
        <f>Tabel668910192831[[#This Row],[Fix.ch. 2015]]+Tabel668910192831[[#This Row],[Var. ch. 2015]]+Tabel668910192831[[#This Row],[Oth. ch. DW 2015]]</f>
        <v>256.42278541490214</v>
      </c>
      <c r="J89" s="596">
        <f>(1*100)/E89</f>
        <v>108.58470692987599</v>
      </c>
      <c r="K89" s="626">
        <v>0</v>
      </c>
      <c r="L89" s="626"/>
      <c r="M89" s="626"/>
      <c r="N89" s="597">
        <f>(0.2966*100)/E89</f>
        <v>32.206224075401217</v>
      </c>
      <c r="O89" s="570">
        <f>(12.96+12.92)/E89</f>
        <v>28.101722153451909</v>
      </c>
      <c r="P89" s="1496">
        <f>Tabel668910192831[[#This Row],[Total. ch. DW 2015]]+Tabel668910192831[[#This Row],[Sew. 2015]]+Tabel668910192831[[#This Row],[WW 2015]]+Tabel668910192831[[#This Row],[Other ch. 2015]]+Tabel668910192831[[#This Row],[VAT 2015]]</f>
        <v>425.3154385736313</v>
      </c>
      <c r="Q89" s="397"/>
    </row>
    <row r="90" spans="1:17" ht="15.75" hidden="1" x14ac:dyDescent="0.25">
      <c r="A90" s="1757"/>
      <c r="B90" s="1656"/>
      <c r="C90" s="543" t="s">
        <v>633</v>
      </c>
      <c r="D90" s="1880"/>
      <c r="E90" s="616">
        <f>'[1]exchange rates'!$M$19</f>
        <v>0.92093999999999998</v>
      </c>
      <c r="F90" s="686">
        <f>30.37/E90</f>
        <v>32.977175494603344</v>
      </c>
      <c r="G90" s="593">
        <f>(1.51*100)/E90</f>
        <v>163.96290746411276</v>
      </c>
      <c r="H90" s="594">
        <f>(0.52*100)/E90</f>
        <v>56.464047603535519</v>
      </c>
      <c r="I90" s="566">
        <f>Tabel668910192831[[#This Row],[Fix.ch. 2015]]+Tabel668910192831[[#This Row],[Var. ch. 2015]]+Tabel668910192831[[#This Row],[Oth. ch. DW 2015]]</f>
        <v>253.40413056225162</v>
      </c>
      <c r="J90" s="596">
        <f>(2.01*100)/E90</f>
        <v>218.25526092905073</v>
      </c>
      <c r="K90" s="626">
        <f>(0*100)/E90</f>
        <v>0</v>
      </c>
      <c r="L90" s="626"/>
      <c r="M90" s="626"/>
      <c r="N90" s="597">
        <f>(0.3*100)/E90</f>
        <v>32.575412078962799</v>
      </c>
      <c r="O90" s="570">
        <f>(12.83+23.13)/E90</f>
        <v>39.047060611983412</v>
      </c>
      <c r="P90" s="1496">
        <f>Tabel668910192831[[#This Row],[Total. ch. DW 2015]]+Tabel668910192831[[#This Row],[Sew. 2015]]+Tabel668910192831[[#This Row],[WW 2015]]+Tabel668910192831[[#This Row],[Other ch. 2015]]+Tabel668910192831[[#This Row],[VAT 2015]]</f>
        <v>543.28186418224857</v>
      </c>
      <c r="Q90" s="397"/>
    </row>
    <row r="91" spans="1:17" ht="15.75" hidden="1" x14ac:dyDescent="0.25">
      <c r="A91" s="1757"/>
      <c r="B91" s="1656"/>
      <c r="C91" s="543" t="s">
        <v>634</v>
      </c>
      <c r="D91" s="1880"/>
      <c r="E91" s="616">
        <f>'[1]exchange rates'!$M$19</f>
        <v>0.92093999999999998</v>
      </c>
      <c r="F91" s="686">
        <f>9.5/E91</f>
        <v>10.315547158338219</v>
      </c>
      <c r="G91" s="593">
        <f>(1.42*100)/E91</f>
        <v>154.19028384042392</v>
      </c>
      <c r="H91" s="594">
        <f>(0.34*100)/E91</f>
        <v>36.918800356157838</v>
      </c>
      <c r="I91" s="566">
        <f>Tabel668910192831[[#This Row],[Fix.ch. 2015]]+Tabel668910192831[[#This Row],[Var. ch. 2015]]+Tabel668910192831[[#This Row],[Oth. ch. DW 2015]]</f>
        <v>201.42463135491997</v>
      </c>
      <c r="J91" s="596">
        <f>(1.25*100)/E91</f>
        <v>135.73088366234501</v>
      </c>
      <c r="K91" s="626">
        <f>(0*100)/E91</f>
        <v>0</v>
      </c>
      <c r="L91" s="626"/>
      <c r="M91" s="626"/>
      <c r="N91" s="597">
        <f>(0.155*100)/E91</f>
        <v>16.830629574130779</v>
      </c>
      <c r="O91" s="570">
        <f>(10.2+14.04)/E91</f>
        <v>26.32093295980194</v>
      </c>
      <c r="P91" s="1496">
        <f>Tabel668910192831[[#This Row],[Total. ch. DW 2015]]+Tabel668910192831[[#This Row],[Sew. 2015]]+Tabel668910192831[[#This Row],[WW 2015]]+Tabel668910192831[[#This Row],[Other ch. 2015]]+Tabel668910192831[[#This Row],[VAT 2015]]</f>
        <v>380.30707755119772</v>
      </c>
      <c r="Q91" s="397"/>
    </row>
    <row r="92" spans="1:17" ht="16.5" hidden="1" thickBot="1" x14ac:dyDescent="0.3">
      <c r="A92" s="1758"/>
      <c r="B92" s="1656"/>
      <c r="C92" s="543" t="s">
        <v>635</v>
      </c>
      <c r="D92" s="1761"/>
      <c r="E92" s="616">
        <f>'[1]exchange rates'!$M$19</f>
        <v>0.92093999999999998</v>
      </c>
      <c r="F92" s="686">
        <f>6.14/E92</f>
        <v>6.667101005494386</v>
      </c>
      <c r="G92" s="593">
        <f>(1.32*100)/E92</f>
        <v>143.33181314743632</v>
      </c>
      <c r="H92" s="594">
        <f>(0.38*100)/E92</f>
        <v>41.262188633352878</v>
      </c>
      <c r="I92" s="566">
        <f>Tabel668910192831[[#This Row],[Fix.ch. 2015]]+Tabel668910192831[[#This Row],[Var. ch. 2015]]+Tabel668910192831[[#This Row],[Oth. ch. DW 2015]]</f>
        <v>191.26110278628357</v>
      </c>
      <c r="J92" s="596">
        <f>(2.04*100)/E92</f>
        <v>221.51280213694704</v>
      </c>
      <c r="K92" s="626">
        <f>(0*100)/E92</f>
        <v>0</v>
      </c>
      <c r="L92" s="626"/>
      <c r="M92" s="626"/>
      <c r="N92" s="597">
        <f>(0.209*100)/E92</f>
        <v>22.694203748344083</v>
      </c>
      <c r="O92" s="570">
        <f>(9.65+22.48)/E92</f>
        <v>34.88826633656916</v>
      </c>
      <c r="P92" s="1496">
        <f>Tabel668910192831[[#This Row],[Total. ch. DW 2015]]+Tabel668910192831[[#This Row],[Sew. 2015]]+Tabel668910192831[[#This Row],[WW 2015]]+Tabel668910192831[[#This Row],[Other ch. 2015]]+Tabel668910192831[[#This Row],[VAT 2015]]</f>
        <v>470.3563750081438</v>
      </c>
      <c r="Q92" s="397"/>
    </row>
    <row r="93" spans="1:17" ht="16.5" hidden="1" thickBot="1" x14ac:dyDescent="0.3">
      <c r="A93" s="1206" t="s">
        <v>521</v>
      </c>
      <c r="B93" s="1617"/>
      <c r="C93" s="1047" t="s">
        <v>522</v>
      </c>
      <c r="D93" s="1256">
        <v>16000</v>
      </c>
      <c r="E93" s="308">
        <v>506.17869999999999</v>
      </c>
      <c r="F93" s="319">
        <f>3396/E93</f>
        <v>6.7090930535006708</v>
      </c>
      <c r="G93" s="320">
        <f>19013/E93</f>
        <v>37.561833399943538</v>
      </c>
      <c r="H93" s="321">
        <v>0</v>
      </c>
      <c r="I93" s="313">
        <f>Tabel668910192831[[#This Row],[Fix.ch. 2015]]+Tabel668910192831[[#This Row],[Var. ch. 2015]]+Tabel668910192831[[#This Row],[Oth. ch. DW 2015]]</f>
        <v>44.270926453444211</v>
      </c>
      <c r="J93" s="322">
        <v>0</v>
      </c>
      <c r="K93" s="323">
        <v>0</v>
      </c>
      <c r="L93" s="323"/>
      <c r="M93" s="323"/>
      <c r="N93" s="324">
        <v>0</v>
      </c>
      <c r="O93" s="1258">
        <f>2241/E93</f>
        <v>4.4272902040326869</v>
      </c>
      <c r="P93" s="1491">
        <f>Tabel668910192831[[#This Row],[Total. ch. DW 2015]]+Tabel668910192831[[#This Row],[Sew. 2015]]+Tabel668910192831[[#This Row],[WW 2015]]+Tabel668910192831[[#This Row],[Other ch. 2015]]+Tabel668910192831[[#This Row],[VAT 2015]]</f>
        <v>48.698216657476898</v>
      </c>
      <c r="Q93" s="397"/>
    </row>
    <row r="94" spans="1:17" ht="16.5" hidden="1" thickBot="1" x14ac:dyDescent="0.3">
      <c r="A94" s="669" t="s">
        <v>14</v>
      </c>
      <c r="B94" s="1621"/>
      <c r="C94" s="1514" t="s">
        <v>96</v>
      </c>
      <c r="D94" s="1268">
        <v>47400</v>
      </c>
      <c r="E94" s="617">
        <f>'[1]exchange rates'!M21</f>
        <v>0.92093999999999998</v>
      </c>
      <c r="F94" s="319"/>
      <c r="G94" s="320"/>
      <c r="H94" s="321"/>
      <c r="I94" s="313"/>
      <c r="J94" s="322"/>
      <c r="K94" s="323"/>
      <c r="L94" s="323"/>
      <c r="M94" s="323"/>
      <c r="N94" s="324"/>
      <c r="O94" s="1258"/>
      <c r="P94" s="1491"/>
      <c r="Q94" s="397"/>
    </row>
    <row r="95" spans="1:17" ht="15.75" hidden="1" x14ac:dyDescent="0.25">
      <c r="A95" s="1878" t="s">
        <v>35</v>
      </c>
      <c r="B95" s="1656"/>
      <c r="C95" s="1269" t="s">
        <v>712</v>
      </c>
      <c r="D95" s="2343">
        <v>25600</v>
      </c>
      <c r="E95" s="617">
        <f>'[1]exchange rates'!$M$22</f>
        <v>0.92093999999999998</v>
      </c>
      <c r="F95" s="549">
        <f>79.5/E95</f>
        <v>86.324842009251412</v>
      </c>
      <c r="G95" s="550">
        <f>22.67/E95</f>
        <v>24.61615306100289</v>
      </c>
      <c r="H95" s="551">
        <f>18.13/E95</f>
        <v>19.686407366386518</v>
      </c>
      <c r="I95" s="566">
        <f>Tabel668910192831[[#This Row],[Fix.ch. 2015]]+Tabel668910192831[[#This Row],[Var. ch. 2015]]+Tabel668910192831[[#This Row],[Oth. ch. DW 2015]]</f>
        <v>130.62740243664081</v>
      </c>
      <c r="J95" s="567">
        <f>20.4/E95</f>
        <v>22.151280213694701</v>
      </c>
      <c r="K95" s="568">
        <f>0</f>
        <v>0</v>
      </c>
      <c r="L95" s="568"/>
      <c r="M95" s="568"/>
      <c r="N95" s="569">
        <f>13.25/E95</f>
        <v>14.387473668208569</v>
      </c>
      <c r="O95" s="1271">
        <f>33.15/E95</f>
        <v>35.995830347253893</v>
      </c>
      <c r="P95" s="1496">
        <f>Tabel668910192831[[#This Row],[Total. ch. DW 2015]]+Tabel668910192831[[#This Row],[Sew. 2015]]+Tabel668910192831[[#This Row],[WW 2015]]+Tabel668910192831[[#This Row],[Other ch. 2015]]+Tabel668910192831[[#This Row],[VAT 2015]]</f>
        <v>203.16198666579797</v>
      </c>
      <c r="Q95" s="397"/>
    </row>
    <row r="96" spans="1:17" ht="15.75" hidden="1" x14ac:dyDescent="0.25">
      <c r="A96" s="1757"/>
      <c r="B96" s="1656"/>
      <c r="C96" s="783" t="s">
        <v>713</v>
      </c>
      <c r="D96" s="1880"/>
      <c r="E96" s="617">
        <f>'[1]exchange rates'!$M$22</f>
        <v>0.92093999999999998</v>
      </c>
      <c r="F96" s="549">
        <f>51/E96</f>
        <v>55.378200534236761</v>
      </c>
      <c r="G96" s="550">
        <f>85/E96</f>
        <v>92.2970008903946</v>
      </c>
      <c r="H96" s="551">
        <f>0/E96</f>
        <v>0</v>
      </c>
      <c r="I96" s="566">
        <f>Tabel668910192831[[#This Row],[Fix.ch. 2015]]+Tabel668910192831[[#This Row],[Var. ch. 2015]]+Tabel668910192831[[#This Row],[Oth. ch. DW 2015]]</f>
        <v>147.67520142463135</v>
      </c>
      <c r="J96" s="567">
        <f>46.75/E96</f>
        <v>50.763350489717027</v>
      </c>
      <c r="K96" s="568">
        <f>0</f>
        <v>0</v>
      </c>
      <c r="L96" s="568"/>
      <c r="M96" s="568"/>
      <c r="N96" s="569">
        <f>12/E96</f>
        <v>13.03016483158512</v>
      </c>
      <c r="O96" s="1271">
        <f>36.29/E96</f>
        <v>39.405390144851999</v>
      </c>
      <c r="P96" s="1496">
        <f>Tabel668910192831[[#This Row],[Total. ch. DW 2015]]+Tabel668910192831[[#This Row],[Sew. 2015]]+Tabel668910192831[[#This Row],[WW 2015]]+Tabel668910192831[[#This Row],[Other ch. 2015]]+Tabel668910192831[[#This Row],[VAT 2015]]</f>
        <v>250.8741068907855</v>
      </c>
      <c r="Q96" s="397"/>
    </row>
    <row r="97" spans="1:17" ht="15.75" hidden="1" x14ac:dyDescent="0.25">
      <c r="A97" s="1757"/>
      <c r="B97" s="1656"/>
      <c r="C97" s="783" t="s">
        <v>714</v>
      </c>
      <c r="D97" s="1880"/>
      <c r="E97" s="617">
        <f>'[1]exchange rates'!$M$22</f>
        <v>0.92093999999999998</v>
      </c>
      <c r="F97" s="549">
        <f>48.8/E97</f>
        <v>52.989336981779488</v>
      </c>
      <c r="G97" s="550">
        <f>40/E97</f>
        <v>43.433882771950401</v>
      </c>
      <c r="H97" s="551">
        <f>32/E97</f>
        <v>34.747106217560322</v>
      </c>
      <c r="I97" s="566">
        <f>Tabel668910192831[[#This Row],[Fix.ch. 2015]]+Tabel668910192831[[#This Row],[Var. ch. 2015]]+Tabel668910192831[[#This Row],[Oth. ch. DW 2015]]</f>
        <v>131.1703259712902</v>
      </c>
      <c r="J97" s="567">
        <f>53/E97</f>
        <v>57.549894672834277</v>
      </c>
      <c r="K97" s="568">
        <f>0</f>
        <v>0</v>
      </c>
      <c r="L97" s="568"/>
      <c r="M97" s="568"/>
      <c r="N97" s="569">
        <f>0/E97</f>
        <v>0</v>
      </c>
      <c r="O97" s="1271">
        <f>35.97/E97</f>
        <v>39.057919082676392</v>
      </c>
      <c r="P97" s="1496">
        <f>Tabel668910192831[[#This Row],[Total. ch. DW 2015]]+Tabel668910192831[[#This Row],[Sew. 2015]]+Tabel668910192831[[#This Row],[WW 2015]]+Tabel668910192831[[#This Row],[Other ch. 2015]]+Tabel668910192831[[#This Row],[VAT 2015]]</f>
        <v>227.77813972680087</v>
      </c>
      <c r="Q97" s="397"/>
    </row>
    <row r="98" spans="1:17" ht="15.75" hidden="1" x14ac:dyDescent="0.25">
      <c r="A98" s="1757"/>
      <c r="B98" s="1656"/>
      <c r="C98" s="783" t="s">
        <v>715</v>
      </c>
      <c r="D98" s="1880"/>
      <c r="E98" s="617">
        <f>'[1]exchange rates'!$M$22</f>
        <v>0.92093999999999998</v>
      </c>
      <c r="F98" s="549">
        <f>12/E98</f>
        <v>13.03016483158512</v>
      </c>
      <c r="G98" s="550">
        <f>121.12/E98</f>
        <v>131.51779703346583</v>
      </c>
      <c r="H98" s="551">
        <f>0/E98</f>
        <v>0</v>
      </c>
      <c r="I98" s="566">
        <f>Tabel668910192831[[#This Row],[Fix.ch. 2015]]+Tabel668910192831[[#This Row],[Var. ch. 2015]]+Tabel668910192831[[#This Row],[Oth. ch. DW 2015]]</f>
        <v>144.54796186505095</v>
      </c>
      <c r="J98" s="567">
        <f>90.84/E98</f>
        <v>98.638347775099362</v>
      </c>
      <c r="K98" s="568">
        <f>0</f>
        <v>0</v>
      </c>
      <c r="L98" s="568"/>
      <c r="M98" s="568"/>
      <c r="N98" s="569">
        <f>0/E98</f>
        <v>0</v>
      </c>
      <c r="O98" s="1271">
        <f>39.4/E98</f>
        <v>42.782374530371143</v>
      </c>
      <c r="P98" s="1496">
        <f>Tabel668910192831[[#This Row],[Total. ch. DW 2015]]+Tabel668910192831[[#This Row],[Sew. 2015]]+Tabel668910192831[[#This Row],[WW 2015]]+Tabel668910192831[[#This Row],[Other ch. 2015]]+Tabel668910192831[[#This Row],[VAT 2015]]</f>
        <v>285.96868417052144</v>
      </c>
      <c r="Q98" s="397"/>
    </row>
    <row r="99" spans="1:17" ht="16.5" hidden="1" thickBot="1" x14ac:dyDescent="0.3">
      <c r="A99" s="1758"/>
      <c r="B99" s="1656"/>
      <c r="C99" s="1272" t="s">
        <v>716</v>
      </c>
      <c r="D99" s="1761"/>
      <c r="E99" s="617">
        <f>'[1]exchange rates'!$M$22</f>
        <v>0.92093999999999998</v>
      </c>
      <c r="F99" s="549">
        <f>24/E99</f>
        <v>26.06032966317024</v>
      </c>
      <c r="G99" s="550">
        <f>56.2/E99</f>
        <v>61.024605294590316</v>
      </c>
      <c r="H99" s="551">
        <f>0/E99</f>
        <v>0</v>
      </c>
      <c r="I99" s="566">
        <f>Tabel668910192831[[#This Row],[Fix.ch. 2015]]+Tabel668910192831[[#This Row],[Var. ch. 2015]]+Tabel668910192831[[#This Row],[Oth. ch. DW 2015]]</f>
        <v>87.084934957760552</v>
      </c>
      <c r="J99" s="567">
        <f>44.96/E99</f>
        <v>48.819684235672248</v>
      </c>
      <c r="K99" s="568">
        <f>0</f>
        <v>0</v>
      </c>
      <c r="L99" s="568"/>
      <c r="M99" s="568"/>
      <c r="N99" s="569">
        <f>7/E99</f>
        <v>7.6009294850913198</v>
      </c>
      <c r="O99" s="1271">
        <f>24.08/E99</f>
        <v>26.14719742871414</v>
      </c>
      <c r="P99" s="1496">
        <f>Tabel668910192831[[#This Row],[Total. ch. DW 2015]]+Tabel668910192831[[#This Row],[Sew. 2015]]+Tabel668910192831[[#This Row],[WW 2015]]+Tabel668910192831[[#This Row],[Other ch. 2015]]+Tabel668910192831[[#This Row],[VAT 2015]]</f>
        <v>169.65274610723827</v>
      </c>
      <c r="Q99" s="397"/>
    </row>
    <row r="100" spans="1:17" ht="15.75" hidden="1" customHeight="1" x14ac:dyDescent="0.25">
      <c r="A100" s="1818" t="s">
        <v>45</v>
      </c>
      <c r="B100" s="1656"/>
      <c r="C100" s="1513" t="s">
        <v>102</v>
      </c>
      <c r="D100" s="2343">
        <v>26000</v>
      </c>
      <c r="E100" s="617">
        <f>'[1]exchange rates'!$M$23</f>
        <v>290.45296999999999</v>
      </c>
      <c r="F100" s="549">
        <f>1700/E100</f>
        <v>5.8529268955314864</v>
      </c>
      <c r="G100" s="550">
        <f>17240/E100</f>
        <v>59.35556451703696</v>
      </c>
      <c r="H100" s="551">
        <v>0</v>
      </c>
      <c r="I100" s="566">
        <f>Tabel668910192831[[#This Row],[Fix.ch. 2015]]+Tabel668910192831[[#This Row],[Var. ch. 2015]]+Tabel668910192831[[#This Row],[Oth. ch. DW 2015]]</f>
        <v>65.208491412568449</v>
      </c>
      <c r="J100" s="567">
        <f>457/E100</f>
        <v>1.5734044654458172</v>
      </c>
      <c r="K100" s="568">
        <f>29566/E100</f>
        <v>101.79272740781408</v>
      </c>
      <c r="L100" s="568"/>
      <c r="M100" s="568"/>
      <c r="N100" s="569">
        <v>0</v>
      </c>
      <c r="O100" s="1271">
        <f>13220/E100</f>
        <v>45.515113858191917</v>
      </c>
      <c r="P100" s="1496">
        <f>Tabel668910192831[[#This Row],[Total. ch. DW 2015]]+Tabel668910192831[[#This Row],[Sew. 2015]]+Tabel668910192831[[#This Row],[WW 2015]]+Tabel668910192831[[#This Row],[Other ch. 2015]]+Tabel668910192831[[#This Row],[VAT 2015]]</f>
        <v>214.08973714402026</v>
      </c>
      <c r="Q100" s="397"/>
    </row>
    <row r="101" spans="1:17" ht="15.75" hidden="1" customHeight="1" x14ac:dyDescent="0.25">
      <c r="A101" s="2294"/>
      <c r="B101" s="1656"/>
      <c r="C101" s="543" t="s">
        <v>103</v>
      </c>
      <c r="D101" s="1760"/>
      <c r="E101" s="617">
        <f>'[1]exchange rates'!$M$23</f>
        <v>290.45296999999999</v>
      </c>
      <c r="F101" s="549">
        <f>1231/E101</f>
        <v>4.2382076519995646</v>
      </c>
      <c r="G101" s="550">
        <f>24490/E101</f>
        <v>84.316576277391832</v>
      </c>
      <c r="H101" s="551">
        <v>0</v>
      </c>
      <c r="I101" s="566">
        <f>Tabel668910192831[[#This Row],[Fix.ch. 2015]]+Tabel668910192831[[#This Row],[Var. ch. 2015]]+Tabel668910192831[[#This Row],[Oth. ch. DW 2015]]</f>
        <v>88.554783929391391</v>
      </c>
      <c r="J101" s="567">
        <f>427/E101</f>
        <v>1.4701175202305559</v>
      </c>
      <c r="K101" s="568">
        <f>19470/E101</f>
        <v>67.033227444704735</v>
      </c>
      <c r="L101" s="568"/>
      <c r="M101" s="568"/>
      <c r="N101" s="569">
        <f>1231/E101</f>
        <v>4.2382076519995646</v>
      </c>
      <c r="O101" s="1271">
        <f>12649/E101</f>
        <v>43.549219000928105</v>
      </c>
      <c r="P101" s="1496">
        <f>Tabel668910192831[[#This Row],[Total. ch. DW 2015]]+Tabel668910192831[[#This Row],[Sew. 2015]]+Tabel668910192831[[#This Row],[WW 2015]]+Tabel668910192831[[#This Row],[Other ch. 2015]]+Tabel668910192831[[#This Row],[VAT 2015]]</f>
        <v>204.84555554725435</v>
      </c>
      <c r="Q101" s="397"/>
    </row>
    <row r="102" spans="1:17" ht="15.75" hidden="1" customHeight="1" x14ac:dyDescent="0.25">
      <c r="A102" s="2294"/>
      <c r="B102" s="1656"/>
      <c r="C102" s="543" t="s">
        <v>104</v>
      </c>
      <c r="D102" s="1760"/>
      <c r="E102" s="617">
        <f>'[1]exchange rates'!$M$23</f>
        <v>290.45296999999999</v>
      </c>
      <c r="F102" s="549">
        <v>0</v>
      </c>
      <c r="G102" s="550">
        <f>24912/E102</f>
        <v>85.769479306753169</v>
      </c>
      <c r="H102" s="551">
        <v>0</v>
      </c>
      <c r="I102" s="566">
        <f>Tabel668910192831[[#This Row],[Fix.ch. 2015]]+Tabel668910192831[[#This Row],[Var. ch. 2015]]+Tabel668910192831[[#This Row],[Oth. ch. DW 2015]]</f>
        <v>85.769479306753169</v>
      </c>
      <c r="J102" s="567">
        <v>0</v>
      </c>
      <c r="K102" s="568">
        <f>19161/E102</f>
        <v>65.96937190898754</v>
      </c>
      <c r="L102" s="568"/>
      <c r="M102" s="568"/>
      <c r="N102" s="569">
        <v>0</v>
      </c>
      <c r="O102" s="1271">
        <f>11900/E102</f>
        <v>40.970488268720409</v>
      </c>
      <c r="P102" s="1496">
        <f>Tabel668910192831[[#This Row],[Total. ch. DW 2015]]+Tabel668910192831[[#This Row],[Sew. 2015]]+Tabel668910192831[[#This Row],[WW 2015]]+Tabel668910192831[[#This Row],[Other ch. 2015]]+Tabel668910192831[[#This Row],[VAT 2015]]</f>
        <v>192.70933948446111</v>
      </c>
      <c r="Q102" s="397"/>
    </row>
    <row r="103" spans="1:17" ht="16.5" hidden="1" customHeight="1" x14ac:dyDescent="0.25">
      <c r="A103" s="2294"/>
      <c r="B103" s="1656"/>
      <c r="C103" s="543" t="s">
        <v>105</v>
      </c>
      <c r="D103" s="1760"/>
      <c r="E103" s="617">
        <f>'[1]exchange rates'!$M$23</f>
        <v>290.45296999999999</v>
      </c>
      <c r="F103" s="549">
        <v>0</v>
      </c>
      <c r="G103" s="550">
        <f>34000/E103</f>
        <v>117.05853791062974</v>
      </c>
      <c r="H103" s="551">
        <v>0</v>
      </c>
      <c r="I103" s="566">
        <f>Tabel668910192831[[#This Row],[Fix.ch. 2015]]+Tabel668910192831[[#This Row],[Var. ch. 2015]]+Tabel668910192831[[#This Row],[Oth. ch. DW 2015]]</f>
        <v>117.05853791062974</v>
      </c>
      <c r="J103" s="567">
        <f>400/E103</f>
        <v>1.3771592695368204</v>
      </c>
      <c r="K103" s="568">
        <f>24800/E103</f>
        <v>85.383874711282871</v>
      </c>
      <c r="L103" s="568"/>
      <c r="M103" s="568"/>
      <c r="N103" s="569">
        <v>0</v>
      </c>
      <c r="O103" s="1271">
        <f>15984/E103</f>
        <v>55.031284410691342</v>
      </c>
      <c r="P103" s="1496">
        <f>Tabel668910192831[[#This Row],[Total. ch. DW 2015]]+Tabel668910192831[[#This Row],[Sew. 2015]]+Tabel668910192831[[#This Row],[WW 2015]]+Tabel668910192831[[#This Row],[Other ch. 2015]]+Tabel668910192831[[#This Row],[VAT 2015]]</f>
        <v>258.85085630214076</v>
      </c>
      <c r="Q103" s="397"/>
    </row>
    <row r="104" spans="1:17" ht="14.25" hidden="1" customHeight="1" x14ac:dyDescent="0.25">
      <c r="A104" s="2295"/>
      <c r="B104" s="1656"/>
      <c r="C104" s="544" t="s">
        <v>613</v>
      </c>
      <c r="D104" s="1761"/>
      <c r="E104" s="617">
        <f>'[1]exchange rates'!$M$23</f>
        <v>290.45296999999999</v>
      </c>
      <c r="F104" s="549">
        <v>0</v>
      </c>
      <c r="G104" s="550">
        <f>21780/E104</f>
        <v>74.986322226279867</v>
      </c>
      <c r="H104" s="551">
        <v>0</v>
      </c>
      <c r="I104" s="566">
        <f>Tabel668910192831[[#This Row],[Fix.ch. 2015]]+Tabel668910192831[[#This Row],[Var. ch. 2015]]+Tabel668910192831[[#This Row],[Oth. ch. DW 2015]]</f>
        <v>74.986322226279867</v>
      </c>
      <c r="J104" s="567">
        <f>630/E104</f>
        <v>2.1690258495204922</v>
      </c>
      <c r="K104" s="568">
        <f>13230/E104</f>
        <v>45.549542839930332</v>
      </c>
      <c r="L104" s="568"/>
      <c r="M104" s="568"/>
      <c r="N104" s="569">
        <v>0</v>
      </c>
      <c r="O104" s="1271">
        <f>9623/E104</f>
        <v>33.131009126882056</v>
      </c>
      <c r="P104" s="1496">
        <f>Tabel668910192831[[#This Row],[Total. ch. DW 2015]]+Tabel668910192831[[#This Row],[Sew. 2015]]+Tabel668910192831[[#This Row],[WW 2015]]+Tabel668910192831[[#This Row],[Other ch. 2015]]+Tabel668910192831[[#This Row],[VAT 2015]]</f>
        <v>155.83590004261274</v>
      </c>
      <c r="Q104" s="397"/>
    </row>
    <row r="105" spans="1:17" ht="14.25" hidden="1" customHeight="1" x14ac:dyDescent="0.25">
      <c r="A105" s="1447" t="s">
        <v>754</v>
      </c>
      <c r="B105" s="1656"/>
      <c r="C105" s="543" t="s">
        <v>755</v>
      </c>
      <c r="D105" s="1171">
        <v>46600</v>
      </c>
      <c r="E105" s="616">
        <f>'[1]exchange rates'!M24</f>
        <v>130.32431</v>
      </c>
      <c r="F105" s="549"/>
      <c r="G105" s="550"/>
      <c r="H105" s="551"/>
      <c r="I105" s="566">
        <f>Tabel668910192831[[#This Row],[Fix.ch. 2015]]+Tabel668910192831[[#This Row],[Var. ch. 2015]]+Tabel668910192831[[#This Row],[Oth. ch. DW 2015]]</f>
        <v>0</v>
      </c>
      <c r="J105" s="567"/>
      <c r="K105" s="568"/>
      <c r="L105" s="568"/>
      <c r="M105" s="568"/>
      <c r="N105" s="569"/>
      <c r="O105" s="1271"/>
      <c r="P105" s="1496">
        <f>Tabel668910192831[[#This Row],[Total. ch. DW 2015]]+Tabel668910192831[[#This Row],[Sew. 2015]]+Tabel668910192831[[#This Row],[WW 2015]]+Tabel668910192831[[#This Row],[Other ch. 2015]]+Tabel668910192831[[#This Row],[VAT 2015]]</f>
        <v>0</v>
      </c>
      <c r="Q105" s="397"/>
    </row>
    <row r="106" spans="1:17" ht="19.5" hidden="1" customHeight="1" x14ac:dyDescent="0.25">
      <c r="A106" s="1833" t="s">
        <v>466</v>
      </c>
      <c r="B106" s="1617"/>
      <c r="C106" s="1515" t="s">
        <v>606</v>
      </c>
      <c r="D106" s="2372">
        <v>12800</v>
      </c>
      <c r="E106" s="307">
        <f>'[1]exchange rates'!K27</f>
        <v>11241.536700000001</v>
      </c>
      <c r="F106" s="319">
        <v>0</v>
      </c>
      <c r="G106" s="320">
        <f>177252/E106</f>
        <v>15.767595190077527</v>
      </c>
      <c r="H106" s="321">
        <v>0</v>
      </c>
      <c r="I106" s="313">
        <f>Tabel668910192831[[#This Row],[Fix.ch. 2015]]+Tabel668910192831[[#This Row],[Var. ch. 2015]]+Tabel668910192831[[#This Row],[Oth. ch. DW 2015]]</f>
        <v>15.767595190077527</v>
      </c>
      <c r="J106" s="322">
        <f>29796/E106</f>
        <v>2.6505273073564752</v>
      </c>
      <c r="K106" s="323">
        <v>0</v>
      </c>
      <c r="L106" s="323"/>
      <c r="M106" s="323"/>
      <c r="N106" s="324">
        <v>0</v>
      </c>
      <c r="O106" s="1258">
        <f>12432/E106</f>
        <v>1.1058986268309741</v>
      </c>
      <c r="P106" s="1491">
        <f>Tabel668910192831[[#This Row],[Total. ch. DW 2015]]+Tabel668910192831[[#This Row],[Sew. 2015]]+Tabel668910192831[[#This Row],[WW 2015]]+Tabel668910192831[[#This Row],[Other ch. 2015]]+Tabel668910192831[[#This Row],[VAT 2015]]</f>
        <v>19.524021124264976</v>
      </c>
      <c r="Q106" s="397"/>
    </row>
    <row r="107" spans="1:17" ht="15.75" hidden="1" x14ac:dyDescent="0.25">
      <c r="A107" s="2297"/>
      <c r="B107" s="1617"/>
      <c r="C107" s="298" t="s">
        <v>607</v>
      </c>
      <c r="D107" s="1837"/>
      <c r="E107" s="307">
        <f>'[1]exchange rates'!K27</f>
        <v>11241.536700000001</v>
      </c>
      <c r="F107" s="319">
        <v>0</v>
      </c>
      <c r="G107" s="320">
        <f>155244/E107</f>
        <v>13.809855729065937</v>
      </c>
      <c r="H107" s="321">
        <v>0</v>
      </c>
      <c r="I107" s="313">
        <f>Tabel668910192831[[#This Row],[Fix.ch. 2015]]+Tabel668910192831[[#This Row],[Var. ch. 2015]]+Tabel668910192831[[#This Row],[Oth. ch. DW 2015]]</f>
        <v>13.809855729065937</v>
      </c>
      <c r="J107" s="322">
        <f>29796/E107</f>
        <v>2.6505273073564752</v>
      </c>
      <c r="K107" s="323">
        <v>0</v>
      </c>
      <c r="L107" s="323"/>
      <c r="M107" s="323"/>
      <c r="N107" s="324">
        <v>0</v>
      </c>
      <c r="O107" s="1258">
        <f>11100/E107</f>
        <v>0.98740948824194108</v>
      </c>
      <c r="P107" s="1491">
        <f>Tabel668910192831[[#This Row],[Total. ch. DW 2015]]+Tabel668910192831[[#This Row],[Sew. 2015]]+Tabel668910192831[[#This Row],[WW 2015]]+Tabel668910192831[[#This Row],[Other ch. 2015]]+Tabel668910192831[[#This Row],[VAT 2015]]</f>
        <v>17.447792524664354</v>
      </c>
      <c r="Q107" s="397"/>
    </row>
    <row r="108" spans="1:17" ht="15.75" hidden="1" x14ac:dyDescent="0.25">
      <c r="A108" s="2297"/>
      <c r="B108" s="1617"/>
      <c r="C108" s="298" t="s">
        <v>608</v>
      </c>
      <c r="D108" s="1837"/>
      <c r="E108" s="307">
        <f>'[1]exchange rates'!K27</f>
        <v>11241.536700000001</v>
      </c>
      <c r="F108" s="319">
        <v>0</v>
      </c>
      <c r="G108" s="320">
        <f>139356/E108</f>
        <v>12.396525823733688</v>
      </c>
      <c r="H108" s="321">
        <v>0</v>
      </c>
      <c r="I108" s="313">
        <f>Tabel668910192831[[#This Row],[Fix.ch. 2015]]+Tabel668910192831[[#This Row],[Var. ch. 2015]]+Tabel668910192831[[#This Row],[Oth. ch. DW 2015]]</f>
        <v>12.396525823733688</v>
      </c>
      <c r="J108" s="322">
        <f>29796/E108</f>
        <v>2.6505273073564752</v>
      </c>
      <c r="K108" s="323">
        <v>0</v>
      </c>
      <c r="L108" s="323"/>
      <c r="M108" s="323"/>
      <c r="N108" s="324">
        <v>0</v>
      </c>
      <c r="O108" s="1258">
        <f>10152/E108</f>
        <v>0.90307938059749426</v>
      </c>
      <c r="P108" s="1491">
        <f>Tabel668910192831[[#This Row],[Total. ch. DW 2015]]+Tabel668910192831[[#This Row],[Sew. 2015]]+Tabel668910192831[[#This Row],[WW 2015]]+Tabel668910192831[[#This Row],[Other ch. 2015]]+Tabel668910192831[[#This Row],[VAT 2015]]</f>
        <v>15.950132511687658</v>
      </c>
      <c r="Q108" s="397"/>
    </row>
    <row r="109" spans="1:17" ht="15.75" hidden="1" x14ac:dyDescent="0.25">
      <c r="A109" s="2297"/>
      <c r="B109" s="1617"/>
      <c r="C109" s="298" t="s">
        <v>609</v>
      </c>
      <c r="D109" s="1837"/>
      <c r="E109" s="307">
        <f>'[1]exchange rates'!K27</f>
        <v>11241.536700000001</v>
      </c>
      <c r="F109" s="319">
        <v>0</v>
      </c>
      <c r="G109" s="320">
        <f>158916/E109</f>
        <v>14.136501462473541</v>
      </c>
      <c r="H109" s="321">
        <v>0</v>
      </c>
      <c r="I109" s="313">
        <f>Tabel668910192831[[#This Row],[Fix.ch. 2015]]+Tabel668910192831[[#This Row],[Var. ch. 2015]]+Tabel668910192831[[#This Row],[Oth. ch. DW 2015]]</f>
        <v>14.136501462473541</v>
      </c>
      <c r="J109" s="322">
        <f>29796/E109</f>
        <v>2.6505273073564752</v>
      </c>
      <c r="K109" s="323">
        <v>0</v>
      </c>
      <c r="L109" s="323"/>
      <c r="M109" s="323"/>
      <c r="N109" s="324">
        <v>0</v>
      </c>
      <c r="O109" s="1258">
        <f>11328/E109</f>
        <v>1.0076914128652892</v>
      </c>
      <c r="P109" s="1491">
        <f>Tabel668910192831[[#This Row],[Total. ch. DW 2015]]+Tabel668910192831[[#This Row],[Sew. 2015]]+Tabel668910192831[[#This Row],[WW 2015]]+Tabel668910192831[[#This Row],[Other ch. 2015]]+Tabel668910192831[[#This Row],[VAT 2015]]</f>
        <v>17.794720182695304</v>
      </c>
      <c r="Q109" s="397"/>
    </row>
    <row r="110" spans="1:17" ht="16.5" hidden="1" thickBot="1" x14ac:dyDescent="0.3">
      <c r="A110" s="2298"/>
      <c r="B110" s="1617"/>
      <c r="C110" s="293" t="s">
        <v>610</v>
      </c>
      <c r="D110" s="2008"/>
      <c r="E110" s="307">
        <f>'[1]exchange rates'!K27</f>
        <v>11241.536700000001</v>
      </c>
      <c r="F110" s="319">
        <v>0</v>
      </c>
      <c r="G110" s="320">
        <f>160140/E110</f>
        <v>14.24538337360941</v>
      </c>
      <c r="H110" s="321">
        <v>0</v>
      </c>
      <c r="I110" s="313">
        <f>Tabel668910192831[[#This Row],[Fix.ch. 2015]]+Tabel668910192831[[#This Row],[Var. ch. 2015]]+Tabel668910192831[[#This Row],[Oth. ch. DW 2015]]</f>
        <v>14.24538337360941</v>
      </c>
      <c r="J110" s="322">
        <f>29796/E110</f>
        <v>2.6505273073564752</v>
      </c>
      <c r="K110" s="323">
        <v>0</v>
      </c>
      <c r="L110" s="323"/>
      <c r="M110" s="323"/>
      <c r="N110" s="324">
        <v>0</v>
      </c>
      <c r="O110" s="1258">
        <f>11388/E110</f>
        <v>1.0130287614503806</v>
      </c>
      <c r="P110" s="1491">
        <f>Tabel668910192831[[#This Row],[Total. ch. DW 2015]]+Tabel668910192831[[#This Row],[Sew. 2015]]+Tabel668910192831[[#This Row],[WW 2015]]+Tabel668910192831[[#This Row],[Other ch. 2015]]+Tabel668910192831[[#This Row],[VAT 2015]]</f>
        <v>17.908939442416269</v>
      </c>
      <c r="Q110" s="397"/>
    </row>
    <row r="111" spans="1:17" ht="16.5" hidden="1" thickBot="1" x14ac:dyDescent="0.3">
      <c r="A111" s="267" t="s">
        <v>16</v>
      </c>
      <c r="B111" s="1616"/>
      <c r="C111" s="1516" t="s">
        <v>106</v>
      </c>
      <c r="D111" s="1256">
        <v>34900</v>
      </c>
      <c r="E111" s="308">
        <f>'[1]exchange rates'!K28</f>
        <v>3.4691000000000001</v>
      </c>
      <c r="F111" s="319">
        <v>0</v>
      </c>
      <c r="G111" s="320">
        <f>743.6/E111</f>
        <v>214.34954310916376</v>
      </c>
      <c r="H111" s="321">
        <v>0</v>
      </c>
      <c r="I111" s="313">
        <f>Tabel668910192831[[#This Row],[Fix.ch. 2015]]+Tabel668910192831[[#This Row],[Var. ch. 2015]]+Tabel668910192831[[#This Row],[Oth. ch. DW 2015]]</f>
        <v>214.34954310916376</v>
      </c>
      <c r="J111" s="322">
        <v>0</v>
      </c>
      <c r="K111" s="323">
        <v>0</v>
      </c>
      <c r="L111" s="323"/>
      <c r="M111" s="323"/>
      <c r="N111" s="324">
        <v>0</v>
      </c>
      <c r="O111" s="1258">
        <f>128.87/E111</f>
        <v>37.147963448733101</v>
      </c>
      <c r="P111" s="1491">
        <f>Tabel668910192831[[#This Row],[Total. ch. DW 2015]]+Tabel668910192831[[#This Row],[Sew. 2015]]+Tabel668910192831[[#This Row],[WW 2015]]+Tabel668910192831[[#This Row],[Other ch. 2015]]+Tabel668910192831[[#This Row],[VAT 2015]]</f>
        <v>251.49750655789686</v>
      </c>
      <c r="Q111" s="397"/>
    </row>
    <row r="112" spans="1:17" ht="15.75" hidden="1" customHeight="1" x14ac:dyDescent="0.25">
      <c r="A112" s="1833" t="s">
        <v>17</v>
      </c>
      <c r="B112" s="1617"/>
      <c r="C112" s="1515" t="s">
        <v>107</v>
      </c>
      <c r="D112" s="2372">
        <v>29600</v>
      </c>
      <c r="E112" s="306">
        <f>'[1]exchange rates'!K29</f>
        <v>0.72762000000000004</v>
      </c>
      <c r="F112" s="319">
        <f>17.62/E112</f>
        <v>24.215936890134959</v>
      </c>
      <c r="G112" s="320">
        <f>32.7/E112</f>
        <v>44.941040653088152</v>
      </c>
      <c r="H112" s="321">
        <f>0</f>
        <v>0</v>
      </c>
      <c r="I112" s="313">
        <f>Tabel668910192831[[#This Row],[Fix.ch. 2015]]+Tabel668910192831[[#This Row],[Var. ch. 2015]]+Tabel668910192831[[#This Row],[Oth. ch. DW 2015]]</f>
        <v>69.156977543223107</v>
      </c>
      <c r="J112" s="322">
        <f>17.15/E112</f>
        <v>23.569995327231243</v>
      </c>
      <c r="K112" s="323">
        <f>46.21/E112</f>
        <v>63.508424727192761</v>
      </c>
      <c r="L112" s="323"/>
      <c r="M112" s="323"/>
      <c r="N112" s="324">
        <v>0</v>
      </c>
      <c r="O112" s="1258">
        <f>11.37/E112</f>
        <v>15.626288447266429</v>
      </c>
      <c r="P112" s="1491">
        <f>Tabel668910192831[[#This Row],[Total. ch. DW 2015]]+Tabel668910192831[[#This Row],[Sew. 2015]]+Tabel668910192831[[#This Row],[WW 2015]]+Tabel668910192831[[#This Row],[Other ch. 2015]]+Tabel668910192831[[#This Row],[VAT 2015]]</f>
        <v>171.86168604491354</v>
      </c>
      <c r="Q112" s="397"/>
    </row>
    <row r="113" spans="1:17" ht="15.75" hidden="1" customHeight="1" x14ac:dyDescent="0.25">
      <c r="A113" s="2297"/>
      <c r="B113" s="1617"/>
      <c r="C113" s="298" t="s">
        <v>108</v>
      </c>
      <c r="D113" s="1837"/>
      <c r="E113" s="306">
        <f>'[1]exchange rates'!K29</f>
        <v>0.72762000000000004</v>
      </c>
      <c r="F113" s="319">
        <f>2.79/E113</f>
        <v>3.8344190648965117</v>
      </c>
      <c r="G113" s="320">
        <f>11/E113</f>
        <v>15.117781259448613</v>
      </c>
      <c r="H113" s="321">
        <v>0</v>
      </c>
      <c r="I113" s="313">
        <f>Tabel668910192831[[#This Row],[Fix.ch. 2015]]+Tabel668910192831[[#This Row],[Var. ch. 2015]]+Tabel668910192831[[#This Row],[Oth. ch. DW 2015]]</f>
        <v>18.952200324345124</v>
      </c>
      <c r="J113" s="322">
        <f>10.8/E113</f>
        <v>14.84291250927682</v>
      </c>
      <c r="K113" s="323">
        <f>27.7/E113</f>
        <v>38.069321898793326</v>
      </c>
      <c r="L113" s="323"/>
      <c r="M113" s="323"/>
      <c r="N113" s="324">
        <v>0</v>
      </c>
      <c r="O113" s="1258">
        <f>5.23/E113</f>
        <v>7.1878178169923865</v>
      </c>
      <c r="P113" s="1491">
        <f>Tabel668910192831[[#This Row],[Total. ch. DW 2015]]+Tabel668910192831[[#This Row],[Sew. 2015]]+Tabel668910192831[[#This Row],[WW 2015]]+Tabel668910192831[[#This Row],[Other ch. 2015]]+Tabel668910192831[[#This Row],[VAT 2015]]</f>
        <v>79.052252549407669</v>
      </c>
      <c r="Q113" s="397"/>
    </row>
    <row r="114" spans="1:17" ht="15.75" hidden="1" customHeight="1" x14ac:dyDescent="0.25">
      <c r="A114" s="2297"/>
      <c r="B114" s="1617"/>
      <c r="C114" s="298" t="s">
        <v>109</v>
      </c>
      <c r="D114" s="1837"/>
      <c r="E114" s="306">
        <f>'[1]exchange rates'!K29</f>
        <v>0.72762000000000004</v>
      </c>
      <c r="F114" s="319">
        <f>8.79/E114</f>
        <v>12.080481570050299</v>
      </c>
      <c r="G114" s="320">
        <f>49.92/E114</f>
        <v>68.607240042879525</v>
      </c>
      <c r="H114" s="321">
        <v>0</v>
      </c>
      <c r="I114" s="313">
        <f>Tabel668910192831[[#This Row],[Fix.ch. 2015]]+Tabel668910192831[[#This Row],[Var. ch. 2015]]+Tabel668910192831[[#This Row],[Oth. ch. DW 2015]]</f>
        <v>80.68772161292982</v>
      </c>
      <c r="J114" s="322">
        <f>10.25/E114</f>
        <v>14.087023446304389</v>
      </c>
      <c r="K114" s="323">
        <f>29.37/E114</f>
        <v>40.364475962727795</v>
      </c>
      <c r="L114" s="323"/>
      <c r="M114" s="323"/>
      <c r="N114" s="324">
        <v>0</v>
      </c>
      <c r="O114" s="1258">
        <f>9.83/E114</f>
        <v>13.509799070943624</v>
      </c>
      <c r="P114" s="1491">
        <f>Tabel668910192831[[#This Row],[Total. ch. DW 2015]]+Tabel668910192831[[#This Row],[Sew. 2015]]+Tabel668910192831[[#This Row],[WW 2015]]+Tabel668910192831[[#This Row],[Other ch. 2015]]+Tabel668910192831[[#This Row],[VAT 2015]]</f>
        <v>148.6490200929056</v>
      </c>
      <c r="Q114" s="397"/>
    </row>
    <row r="115" spans="1:17" ht="15.75" hidden="1" customHeight="1" x14ac:dyDescent="0.25">
      <c r="A115" s="2297"/>
      <c r="B115" s="1617"/>
      <c r="C115" s="298" t="s">
        <v>110</v>
      </c>
      <c r="D115" s="1837"/>
      <c r="E115" s="306">
        <f>'[1]exchange rates'!K29</f>
        <v>0.72762000000000004</v>
      </c>
      <c r="F115" s="319">
        <f>22.66/E115</f>
        <v>31.142629394464141</v>
      </c>
      <c r="G115" s="320">
        <f>20.6/E115</f>
        <v>28.311481267694678</v>
      </c>
      <c r="H115" s="321">
        <f>1.26/E115</f>
        <v>1.7316731260822955</v>
      </c>
      <c r="I115" s="313">
        <f>Tabel668910192831[[#This Row],[Fix.ch. 2015]]+Tabel668910192831[[#This Row],[Var. ch. 2015]]+Tabel668910192831[[#This Row],[Oth. ch. DW 2015]]</f>
        <v>61.18578378824111</v>
      </c>
      <c r="J115" s="322">
        <f>16.23/E115</f>
        <v>22.305599076440998</v>
      </c>
      <c r="K115" s="323">
        <f>46.82/E115</f>
        <v>64.346774415216728</v>
      </c>
      <c r="L115" s="323"/>
      <c r="M115" s="323"/>
      <c r="N115" s="324">
        <v>0</v>
      </c>
      <c r="O115" s="1258">
        <f>10.76/E115</f>
        <v>14.787938759242461</v>
      </c>
      <c r="P115" s="1491">
        <f>Tabel668910192831[[#This Row],[Total. ch. DW 2015]]+Tabel668910192831[[#This Row],[Sew. 2015]]+Tabel668910192831[[#This Row],[WW 2015]]+Tabel668910192831[[#This Row],[Other ch. 2015]]+Tabel668910192831[[#This Row],[VAT 2015]]</f>
        <v>162.62609603914129</v>
      </c>
      <c r="Q115" s="397"/>
    </row>
    <row r="116" spans="1:17" ht="16.5" hidden="1" customHeight="1" x14ac:dyDescent="0.25">
      <c r="A116" s="2298"/>
      <c r="B116" s="1617"/>
      <c r="C116" s="293" t="s">
        <v>111</v>
      </c>
      <c r="D116" s="2221"/>
      <c r="E116" s="306">
        <f>'[1]exchange rates'!K29</f>
        <v>0.72762000000000004</v>
      </c>
      <c r="F116" s="319">
        <f>7.26/E116</f>
        <v>9.977735631236083</v>
      </c>
      <c r="G116" s="320">
        <f>37.98/E116</f>
        <v>52.197575657623474</v>
      </c>
      <c r="H116" s="321">
        <v>0</v>
      </c>
      <c r="I116" s="313">
        <f>Tabel668910192831[[#This Row],[Fix.ch. 2015]]+Tabel668910192831[[#This Row],[Var. ch. 2015]]+Tabel668910192831[[#This Row],[Oth. ch. DW 2015]]</f>
        <v>62.175311288859561</v>
      </c>
      <c r="J116" s="322">
        <f>23.08/E116</f>
        <v>31.719853769824905</v>
      </c>
      <c r="K116" s="323">
        <f>61.74/E116</f>
        <v>84.851983178032484</v>
      </c>
      <c r="L116" s="323"/>
      <c r="M116" s="323"/>
      <c r="N116" s="324">
        <v>0</v>
      </c>
      <c r="O116" s="1258">
        <f>13.01/E116</f>
        <v>17.880212198675132</v>
      </c>
      <c r="P116" s="1491">
        <f>Tabel668910192831[[#This Row],[Total. ch. DW 2015]]+Tabel668910192831[[#This Row],[Sew. 2015]]+Tabel668910192831[[#This Row],[WW 2015]]+Tabel668910192831[[#This Row],[Other ch. 2015]]+Tabel668910192831[[#This Row],[VAT 2015]]</f>
        <v>196.62736043539209</v>
      </c>
      <c r="Q116" s="397"/>
    </row>
    <row r="117" spans="1:17" ht="15.75" hidden="1" x14ac:dyDescent="0.25">
      <c r="A117" s="1818" t="s">
        <v>18</v>
      </c>
      <c r="B117" s="1656"/>
      <c r="C117" s="1513" t="s">
        <v>112</v>
      </c>
      <c r="D117" s="2343">
        <v>38200</v>
      </c>
      <c r="E117" s="617">
        <f>'[1]exchange rates'!$M$30</f>
        <v>120.30594000000001</v>
      </c>
      <c r="F117" s="549">
        <f>7500/E117</f>
        <v>62.341061463798042</v>
      </c>
      <c r="G117" s="550">
        <f>240/E117</f>
        <v>1.9949139668415374</v>
      </c>
      <c r="H117" s="551">
        <v>0</v>
      </c>
      <c r="I117" s="566">
        <f>Tabel668910192831[[#This Row],[Fix.ch. 2015]]+Tabel668910192831[[#This Row],[Var. ch. 2015]]+Tabel668910192831[[#This Row],[Oth. ch. DW 2015]]</f>
        <v>64.335975430639579</v>
      </c>
      <c r="J117" s="567">
        <f>6720/E117</f>
        <v>55.85759107156305</v>
      </c>
      <c r="K117" s="568">
        <v>0</v>
      </c>
      <c r="L117" s="568"/>
      <c r="M117" s="568"/>
      <c r="N117" s="569">
        <v>0</v>
      </c>
      <c r="O117" s="1271">
        <f>1152/E117</f>
        <v>9.5755870408393786</v>
      </c>
      <c r="P117" s="1496">
        <f>Tabel668910192831[[#This Row],[Total. ch. DW 2015]]+Tabel668910192831[[#This Row],[Sew. 2015]]+Tabel668910192831[[#This Row],[WW 2015]]+Tabel668910192831[[#This Row],[Other ch. 2015]]+Tabel668910192831[[#This Row],[VAT 2015]]</f>
        <v>129.76915354304199</v>
      </c>
      <c r="Q117" s="397"/>
    </row>
    <row r="118" spans="1:17" ht="15.75" hidden="1" x14ac:dyDescent="0.25">
      <c r="A118" s="2294"/>
      <c r="B118" s="1656"/>
      <c r="C118" s="543" t="s">
        <v>113</v>
      </c>
      <c r="D118" s="1880"/>
      <c r="E118" s="617">
        <f>'[1]exchange rates'!$M$30</f>
        <v>120.30594000000001</v>
      </c>
      <c r="F118" s="549">
        <f>10200/E118</f>
        <v>84.783843590765343</v>
      </c>
      <c r="G118" s="550">
        <f>1000/E118</f>
        <v>8.3121415285064053</v>
      </c>
      <c r="H118" s="551">
        <v>0</v>
      </c>
      <c r="I118" s="566">
        <f>Tabel668910192831[[#This Row],[Fix.ch. 2015]]+Tabel668910192831[[#This Row],[Var. ch. 2015]]+Tabel668910192831[[#This Row],[Oth. ch. DW 2015]]</f>
        <v>93.095985119271745</v>
      </c>
      <c r="J118" s="567">
        <f>6600/E118</f>
        <v>54.860134088142281</v>
      </c>
      <c r="K118" s="568">
        <v>0</v>
      </c>
      <c r="L118" s="568"/>
      <c r="M118" s="568"/>
      <c r="N118" s="569">
        <v>0</v>
      </c>
      <c r="O118" s="1271">
        <f>1420/E118</f>
        <v>11.803240970479097</v>
      </c>
      <c r="P118" s="1496">
        <f>Tabel668910192831[[#This Row],[Total. ch. DW 2015]]+Tabel668910192831[[#This Row],[Sew. 2015]]+Tabel668910192831[[#This Row],[WW 2015]]+Tabel668910192831[[#This Row],[Other ch. 2015]]+Tabel668910192831[[#This Row],[VAT 2015]]</f>
        <v>159.75936017789311</v>
      </c>
      <c r="Q118" s="397"/>
    </row>
    <row r="119" spans="1:17" ht="15.75" hidden="1" x14ac:dyDescent="0.25">
      <c r="A119" s="2294"/>
      <c r="B119" s="1656"/>
      <c r="C119" s="543" t="s">
        <v>114</v>
      </c>
      <c r="D119" s="1880"/>
      <c r="E119" s="617">
        <f>'[1]exchange rates'!$M$30</f>
        <v>120.30594000000001</v>
      </c>
      <c r="F119" s="549">
        <f>9720/E119</f>
        <v>80.794015657082269</v>
      </c>
      <c r="G119" s="550">
        <f>500/E119</f>
        <v>4.1560707642532027</v>
      </c>
      <c r="H119" s="551">
        <v>0</v>
      </c>
      <c r="I119" s="566">
        <f>Tabel668910192831[[#This Row],[Fix.ch. 2015]]+Tabel668910192831[[#This Row],[Var. ch. 2015]]+Tabel668910192831[[#This Row],[Oth. ch. DW 2015]]</f>
        <v>84.95008642133547</v>
      </c>
      <c r="J119" s="567">
        <f>8480/E119</f>
        <v>70.486960161734316</v>
      </c>
      <c r="K119" s="568">
        <v>0</v>
      </c>
      <c r="L119" s="568"/>
      <c r="M119" s="568"/>
      <c r="N119" s="569">
        <v>0</v>
      </c>
      <c r="O119" s="1271">
        <f>1492/E119</f>
        <v>12.401715160531557</v>
      </c>
      <c r="P119" s="1496">
        <f>Tabel668910192831[[#This Row],[Total. ch. DW 2015]]+Tabel668910192831[[#This Row],[Sew. 2015]]+Tabel668910192831[[#This Row],[WW 2015]]+Tabel668910192831[[#This Row],[Other ch. 2015]]+Tabel668910192831[[#This Row],[VAT 2015]]</f>
        <v>167.83876174360134</v>
      </c>
      <c r="Q119" s="397"/>
    </row>
    <row r="120" spans="1:17" ht="15.75" hidden="1" x14ac:dyDescent="0.25">
      <c r="A120" s="2294"/>
      <c r="B120" s="1656"/>
      <c r="C120" s="543" t="s">
        <v>115</v>
      </c>
      <c r="D120" s="1880"/>
      <c r="E120" s="617">
        <f>'[1]exchange rates'!$M$30</f>
        <v>120.30594000000001</v>
      </c>
      <c r="F120" s="549">
        <f>10200/E120</f>
        <v>84.783843590765343</v>
      </c>
      <c r="G120" s="550">
        <f>1632/E120</f>
        <v>13.565414974522454</v>
      </c>
      <c r="H120" s="551">
        <v>0</v>
      </c>
      <c r="I120" s="566">
        <f>Tabel668910192831[[#This Row],[Fix.ch. 2015]]+Tabel668910192831[[#This Row],[Var. ch. 2015]]+Tabel668910192831[[#This Row],[Oth. ch. DW 2015]]</f>
        <v>98.349258565287798</v>
      </c>
      <c r="J120" s="567">
        <f>10368/E120</f>
        <v>86.180283367554409</v>
      </c>
      <c r="K120" s="568">
        <v>0</v>
      </c>
      <c r="L120" s="568"/>
      <c r="M120" s="568"/>
      <c r="N120" s="569">
        <v>0</v>
      </c>
      <c r="O120" s="1271">
        <f>1764/E120</f>
        <v>14.662617656285299</v>
      </c>
      <c r="P120" s="1496">
        <f>Tabel668910192831[[#This Row],[Total. ch. DW 2015]]+Tabel668910192831[[#This Row],[Sew. 2015]]+Tabel668910192831[[#This Row],[WW 2015]]+Tabel668910192831[[#This Row],[Other ch. 2015]]+Tabel668910192831[[#This Row],[VAT 2015]]</f>
        <v>199.19215958912753</v>
      </c>
      <c r="Q120" s="397"/>
    </row>
    <row r="121" spans="1:17" ht="15.75" hidden="1" x14ac:dyDescent="0.25">
      <c r="A121" s="2294"/>
      <c r="B121" s="1656"/>
      <c r="C121" s="543" t="s">
        <v>116</v>
      </c>
      <c r="D121" s="1880"/>
      <c r="E121" s="617">
        <f>'[1]exchange rates'!$M$30</f>
        <v>120.30594000000001</v>
      </c>
      <c r="F121" s="549">
        <f>15840/E121</f>
        <v>131.66432181154147</v>
      </c>
      <c r="G121" s="550">
        <v>0</v>
      </c>
      <c r="H121" s="551">
        <v>0</v>
      </c>
      <c r="I121" s="566">
        <f>Tabel668910192831[[#This Row],[Fix.ch. 2015]]+Tabel668910192831[[#This Row],[Var. ch. 2015]]+Tabel668910192831[[#This Row],[Oth. ch. DW 2015]]</f>
        <v>131.66432181154147</v>
      </c>
      <c r="J121" s="567">
        <f>7200/E121</f>
        <v>59.847419005246124</v>
      </c>
      <c r="K121" s="568">
        <v>0</v>
      </c>
      <c r="L121" s="568"/>
      <c r="M121" s="568"/>
      <c r="N121" s="569">
        <v>0</v>
      </c>
      <c r="O121" s="1271">
        <f>1836/E121</f>
        <v>15.261091846337761</v>
      </c>
      <c r="P121" s="1496">
        <f>Tabel668910192831[[#This Row],[Total. ch. DW 2015]]+Tabel668910192831[[#This Row],[Sew. 2015]]+Tabel668910192831[[#This Row],[WW 2015]]+Tabel668910192831[[#This Row],[Other ch. 2015]]+Tabel668910192831[[#This Row],[VAT 2015]]</f>
        <v>206.77283266312537</v>
      </c>
      <c r="Q121" s="397"/>
    </row>
    <row r="122" spans="1:17" ht="15.75" hidden="1" x14ac:dyDescent="0.25">
      <c r="A122" s="2294"/>
      <c r="B122" s="1656"/>
      <c r="C122" s="543" t="s">
        <v>117</v>
      </c>
      <c r="D122" s="1880"/>
      <c r="E122" s="617">
        <f>'[1]exchange rates'!$M$30</f>
        <v>120.30594000000001</v>
      </c>
      <c r="F122" s="549">
        <f>15000/E122</f>
        <v>124.68212292759608</v>
      </c>
      <c r="G122" s="550">
        <f>7968/E122</f>
        <v>66.231143699139039</v>
      </c>
      <c r="H122" s="551">
        <v>0</v>
      </c>
      <c r="I122" s="566">
        <f>Tabel668910192831[[#This Row],[Fix.ch. 2015]]+Tabel668910192831[[#This Row],[Var. ch. 2015]]+Tabel668910192831[[#This Row],[Oth. ch. DW 2015]]</f>
        <v>190.91326662673512</v>
      </c>
      <c r="J122" s="567">
        <f>8436/E122</f>
        <v>70.121225934480037</v>
      </c>
      <c r="K122" s="568">
        <v>0</v>
      </c>
      <c r="L122" s="568"/>
      <c r="M122" s="568"/>
      <c r="N122" s="569">
        <v>0</v>
      </c>
      <c r="O122" s="1271">
        <f>2508/E122</f>
        <v>20.846850953494066</v>
      </c>
      <c r="P122" s="1496">
        <f>Tabel668910192831[[#This Row],[Total. ch. DW 2015]]+Tabel668910192831[[#This Row],[Sew. 2015]]+Tabel668910192831[[#This Row],[WW 2015]]+Tabel668910192831[[#This Row],[Other ch. 2015]]+Tabel668910192831[[#This Row],[VAT 2015]]</f>
        <v>281.88134351470927</v>
      </c>
      <c r="Q122" s="397"/>
    </row>
    <row r="123" spans="1:17" ht="15.75" hidden="1" x14ac:dyDescent="0.25">
      <c r="A123" s="2294"/>
      <c r="B123" s="1656"/>
      <c r="C123" s="543" t="s">
        <v>118</v>
      </c>
      <c r="D123" s="1880"/>
      <c r="E123" s="617">
        <f>'[1]exchange rates'!$M$30</f>
        <v>120.30594000000001</v>
      </c>
      <c r="F123" s="549">
        <f>14040/E123</f>
        <v>116.70246706022994</v>
      </c>
      <c r="G123" s="550">
        <f>880/E123</f>
        <v>7.3146845450856368</v>
      </c>
      <c r="H123" s="551">
        <v>0</v>
      </c>
      <c r="I123" s="566">
        <f>Tabel668910192831[[#This Row],[Fix.ch. 2015]]+Tabel668910192831[[#This Row],[Var. ch. 2015]]+Tabel668910192831[[#This Row],[Oth. ch. DW 2015]]</f>
        <v>124.01715160531558</v>
      </c>
      <c r="J123" s="567">
        <f>7160/E123</f>
        <v>59.514933344105863</v>
      </c>
      <c r="K123" s="568">
        <v>0</v>
      </c>
      <c r="L123" s="568"/>
      <c r="M123" s="568"/>
      <c r="N123" s="569">
        <v>0</v>
      </c>
      <c r="O123" s="1271">
        <f>1748/E123</f>
        <v>14.529623391829197</v>
      </c>
      <c r="P123" s="1496">
        <f>Tabel668910192831[[#This Row],[Total. ch. DW 2015]]+Tabel668910192831[[#This Row],[Sew. 2015]]+Tabel668910192831[[#This Row],[WW 2015]]+Tabel668910192831[[#This Row],[Other ch. 2015]]+Tabel668910192831[[#This Row],[VAT 2015]]</f>
        <v>198.06170834125064</v>
      </c>
      <c r="Q123" s="397"/>
    </row>
    <row r="124" spans="1:17" ht="16.5" hidden="1" thickBot="1" x14ac:dyDescent="0.3">
      <c r="A124" s="2295"/>
      <c r="B124" s="1656"/>
      <c r="C124" s="544" t="s">
        <v>119</v>
      </c>
      <c r="D124" s="1761"/>
      <c r="E124" s="617">
        <f>'[1]exchange rates'!$M$30</f>
        <v>120.30594000000001</v>
      </c>
      <c r="F124" s="549">
        <f>9480/E124</f>
        <v>78.799101690240732</v>
      </c>
      <c r="G124" s="550">
        <f>172/E124</f>
        <v>1.4296883429031018</v>
      </c>
      <c r="H124" s="551">
        <v>0</v>
      </c>
      <c r="I124" s="566">
        <f>Tabel668910192831[[#This Row],[Fix.ch. 2015]]+Tabel668910192831[[#This Row],[Var. ch. 2015]]+Tabel668910192831[[#This Row],[Oth. ch. DW 2015]]</f>
        <v>80.228790033143838</v>
      </c>
      <c r="J124" s="567">
        <f>7640/E124</f>
        <v>63.504761277788937</v>
      </c>
      <c r="K124" s="568">
        <v>0</v>
      </c>
      <c r="L124" s="568"/>
      <c r="M124" s="568"/>
      <c r="N124" s="569">
        <v>0</v>
      </c>
      <c r="O124" s="1271">
        <f>1376/E124</f>
        <v>11.437506743224814</v>
      </c>
      <c r="P124" s="1496">
        <f>Tabel668910192831[[#This Row],[Total. ch. DW 2015]]+Tabel668910192831[[#This Row],[Sew. 2015]]+Tabel668910192831[[#This Row],[WW 2015]]+Tabel668910192831[[#This Row],[Other ch. 2015]]+Tabel668910192831[[#This Row],[VAT 2015]]</f>
        <v>155.17105805415758</v>
      </c>
      <c r="Q124" s="397"/>
    </row>
    <row r="125" spans="1:17" ht="16.5" hidden="1" thickBot="1" x14ac:dyDescent="0.3">
      <c r="A125" s="1447" t="s">
        <v>742</v>
      </c>
      <c r="B125" s="1656"/>
      <c r="C125" s="751" t="s">
        <v>743</v>
      </c>
      <c r="D125" s="1171">
        <v>3300</v>
      </c>
      <c r="E125" s="617">
        <f>'[1]exchange rates'!M31</f>
        <v>102.86302000000001</v>
      </c>
      <c r="F125" s="549">
        <f>600/E125</f>
        <v>5.8330000421920332</v>
      </c>
      <c r="G125" s="550">
        <f>2245.2/E125</f>
        <v>21.827086157882587</v>
      </c>
      <c r="H125" s="551">
        <v>0</v>
      </c>
      <c r="I125" s="566">
        <f>Tabel668910192831[[#This Row],[Fix.ch. 2015]]+Tabel668910192831[[#This Row],[Var. ch. 2015]]+Tabel668910192831[[#This Row],[Oth. ch. DW 2015]]</f>
        <v>27.66008620007462</v>
      </c>
      <c r="J125" s="567">
        <v>0</v>
      </c>
      <c r="K125" s="568">
        <f>1683.9/E125</f>
        <v>16.370314618411943</v>
      </c>
      <c r="L125" s="568"/>
      <c r="M125" s="568"/>
      <c r="N125" s="569">
        <v>0</v>
      </c>
      <c r="O125" s="1271">
        <v>0</v>
      </c>
      <c r="P125" s="1496">
        <f>Tabel668910192831[[#This Row],[Total. ch. DW 2015]]+Tabel668910192831[[#This Row],[Sew. 2015]]+Tabel668910192831[[#This Row],[WW 2015]]+Tabel668910192831[[#This Row],[Other ch. 2015]]+Tabel668910192831[[#This Row],[VAT 2015]]</f>
        <v>44.030400818486562</v>
      </c>
      <c r="Q125" s="397"/>
    </row>
    <row r="126" spans="1:17" ht="15.75" hidden="1" x14ac:dyDescent="0.25">
      <c r="A126" s="1833" t="s">
        <v>19</v>
      </c>
      <c r="B126" s="1617"/>
      <c r="C126" s="1515" t="s">
        <v>120</v>
      </c>
      <c r="D126" s="2385">
        <v>18700</v>
      </c>
      <c r="E126" s="307">
        <v>2.6644800000000002</v>
      </c>
      <c r="F126" s="319">
        <f>39/E126</f>
        <v>14.637002341920374</v>
      </c>
      <c r="G126" s="320">
        <f>182/E126</f>
        <v>68.30601092896174</v>
      </c>
      <c r="H126" s="321">
        <v>0</v>
      </c>
      <c r="I126" s="313">
        <f>Tabel668910192831[[#This Row],[Fix.ch. 2015]]+Tabel668910192831[[#This Row],[Var. ch. 2015]]+Tabel668910192831[[#This Row],[Oth. ch. DW 2015]]</f>
        <v>82.943013270882119</v>
      </c>
      <c r="J126" s="322">
        <f>199/E126</f>
        <v>74.686242719029593</v>
      </c>
      <c r="K126" s="323">
        <v>0</v>
      </c>
      <c r="L126" s="323"/>
      <c r="M126" s="323"/>
      <c r="N126" s="324">
        <v>0</v>
      </c>
      <c r="O126" s="1258">
        <f>88.2/E126</f>
        <v>33.102143757881464</v>
      </c>
      <c r="P126" s="1491">
        <f>Tabel668910192831[[#This Row],[Total. ch. DW 2015]]+Tabel668910192831[[#This Row],[Sew. 2015]]+Tabel668910192831[[#This Row],[WW 2015]]+Tabel668910192831[[#This Row],[Other ch. 2015]]+Tabel668910192831[[#This Row],[VAT 2015]]</f>
        <v>190.73139974779318</v>
      </c>
      <c r="Q126" s="397"/>
    </row>
    <row r="127" spans="1:17" ht="15.75" hidden="1" x14ac:dyDescent="0.25">
      <c r="A127" s="2297"/>
      <c r="B127" s="1617"/>
      <c r="C127" s="298" t="s">
        <v>121</v>
      </c>
      <c r="D127" s="2263"/>
      <c r="E127" s="307">
        <v>2.6644800000000002</v>
      </c>
      <c r="F127" s="319">
        <f>47.04/E127</f>
        <v>17.65447667087011</v>
      </c>
      <c r="G127" s="320">
        <f>165/E127</f>
        <v>61.925779138893887</v>
      </c>
      <c r="H127" s="321">
        <v>0</v>
      </c>
      <c r="I127" s="313">
        <f>Tabel668910192831[[#This Row],[Fix.ch. 2015]]+Tabel668910192831[[#This Row],[Var. ch. 2015]]+Tabel668910192831[[#This Row],[Oth. ch. DW 2015]]</f>
        <v>79.580255809763997</v>
      </c>
      <c r="J127" s="322">
        <f>234/E127</f>
        <v>87.822014051522245</v>
      </c>
      <c r="K127" s="323">
        <v>0</v>
      </c>
      <c r="L127" s="323"/>
      <c r="M127" s="323"/>
      <c r="N127" s="324">
        <v>0</v>
      </c>
      <c r="O127" s="1258">
        <f>93.67/E127</f>
        <v>35.15507716327388</v>
      </c>
      <c r="P127" s="1491">
        <f>Tabel668910192831[[#This Row],[Total. ch. DW 2015]]+Tabel668910192831[[#This Row],[Sew. 2015]]+Tabel668910192831[[#This Row],[WW 2015]]+Tabel668910192831[[#This Row],[Other ch. 2015]]+Tabel668910192831[[#This Row],[VAT 2015]]</f>
        <v>202.55734702456013</v>
      </c>
      <c r="Q127" s="397"/>
    </row>
    <row r="128" spans="1:17" ht="15.75" hidden="1" x14ac:dyDescent="0.25">
      <c r="A128" s="2297"/>
      <c r="B128" s="1617"/>
      <c r="C128" s="298" t="s">
        <v>122</v>
      </c>
      <c r="D128" s="2263"/>
      <c r="E128" s="307">
        <v>2.6644800000000002</v>
      </c>
      <c r="F128" s="319">
        <f>30.84/E128</f>
        <v>11.574491082687803</v>
      </c>
      <c r="G128" s="320">
        <f>167/E128</f>
        <v>62.676394643607757</v>
      </c>
      <c r="H128" s="321">
        <v>0</v>
      </c>
      <c r="I128" s="313">
        <f>Tabel668910192831[[#This Row],[Fix.ch. 2015]]+Tabel668910192831[[#This Row],[Var. ch. 2015]]+Tabel668910192831[[#This Row],[Oth. ch. DW 2015]]</f>
        <v>74.250885726295564</v>
      </c>
      <c r="J128" s="322">
        <f>318/E128</f>
        <v>119.34786524950458</v>
      </c>
      <c r="K128" s="323">
        <v>0</v>
      </c>
      <c r="L128" s="323"/>
      <c r="M128" s="323"/>
      <c r="N128" s="324">
        <v>0</v>
      </c>
      <c r="O128" s="1258">
        <f>108.33/E128</f>
        <v>40.657088812826515</v>
      </c>
      <c r="P128" s="1491">
        <f>Tabel668910192831[[#This Row],[Total. ch. DW 2015]]+Tabel668910192831[[#This Row],[Sew. 2015]]+Tabel668910192831[[#This Row],[WW 2015]]+Tabel668910192831[[#This Row],[Other ch. 2015]]+Tabel668910192831[[#This Row],[VAT 2015]]</f>
        <v>234.25583978862667</v>
      </c>
      <c r="Q128" s="397"/>
    </row>
    <row r="129" spans="1:17" ht="15.75" hidden="1" x14ac:dyDescent="0.25">
      <c r="A129" s="2297"/>
      <c r="B129" s="1617"/>
      <c r="C129" s="298" t="s">
        <v>123</v>
      </c>
      <c r="D129" s="2263"/>
      <c r="E129" s="307">
        <v>2.6644800000000002</v>
      </c>
      <c r="F129" s="319">
        <f>34.68/E129</f>
        <v>13.015672851738424</v>
      </c>
      <c r="G129" s="320">
        <f>285/E129</f>
        <v>106.9627094217258</v>
      </c>
      <c r="H129" s="321">
        <v>0</v>
      </c>
      <c r="I129" s="313">
        <f>Tabel668910192831[[#This Row],[Fix.ch. 2015]]+Tabel668910192831[[#This Row],[Var. ch. 2015]]+Tabel668910192831[[#This Row],[Oth. ch. DW 2015]]</f>
        <v>119.97838227346423</v>
      </c>
      <c r="J129" s="322">
        <f>263/E129</f>
        <v>98.705938869873293</v>
      </c>
      <c r="K129" s="323">
        <v>0</v>
      </c>
      <c r="L129" s="323"/>
      <c r="M129" s="323"/>
      <c r="N129" s="324">
        <v>0</v>
      </c>
      <c r="O129" s="1258">
        <f>122.36/E129</f>
        <v>45.922656578394282</v>
      </c>
      <c r="P129" s="1491">
        <f>Tabel668910192831[[#This Row],[Total. ch. DW 2015]]+Tabel668910192831[[#This Row],[Sew. 2015]]+Tabel668910192831[[#This Row],[WW 2015]]+Tabel668910192831[[#This Row],[Other ch. 2015]]+Tabel668910192831[[#This Row],[VAT 2015]]</f>
        <v>264.60697772173182</v>
      </c>
      <c r="Q129" s="397"/>
    </row>
    <row r="130" spans="1:17" ht="16.5" hidden="1" thickBot="1" x14ac:dyDescent="0.3">
      <c r="A130" s="2298"/>
      <c r="B130" s="1617"/>
      <c r="C130" s="293" t="s">
        <v>124</v>
      </c>
      <c r="D130" s="2264"/>
      <c r="E130" s="307">
        <v>2.6644800000000002</v>
      </c>
      <c r="F130" s="319">
        <f>38.88/E130</f>
        <v>14.591965411637542</v>
      </c>
      <c r="G130" s="320">
        <f>168/E130</f>
        <v>63.051702395964689</v>
      </c>
      <c r="H130" s="321">
        <v>0</v>
      </c>
      <c r="I130" s="313">
        <f>Tabel668910192831[[#This Row],[Fix.ch. 2015]]+Tabel668910192831[[#This Row],[Var. ch. 2015]]+Tabel668910192831[[#This Row],[Oth. ch. DW 2015]]</f>
        <v>77.643667807602228</v>
      </c>
      <c r="J130" s="322">
        <f>193/E130</f>
        <v>72.434396204888003</v>
      </c>
      <c r="K130" s="323">
        <v>0</v>
      </c>
      <c r="L130" s="323"/>
      <c r="M130" s="323"/>
      <c r="N130" s="324">
        <v>0</v>
      </c>
      <c r="O130" s="1258">
        <f>83.97/E130</f>
        <v>31.514591965411636</v>
      </c>
      <c r="P130" s="1491">
        <f>Tabel668910192831[[#This Row],[Total. ch. DW 2015]]+Tabel668910192831[[#This Row],[Sew. 2015]]+Tabel668910192831[[#This Row],[WW 2015]]+Tabel668910192831[[#This Row],[Other ch. 2015]]+Tabel668910192831[[#This Row],[VAT 2015]]</f>
        <v>181.59265597790187</v>
      </c>
      <c r="Q130" s="397"/>
    </row>
    <row r="131" spans="1:17" ht="16.5" hidden="1" thickBot="1" x14ac:dyDescent="0.3">
      <c r="A131" s="270" t="s">
        <v>50</v>
      </c>
      <c r="B131" s="1616"/>
      <c r="C131" s="1520"/>
      <c r="D131" s="1276"/>
      <c r="E131" s="307"/>
      <c r="F131" s="319"/>
      <c r="G131" s="320"/>
      <c r="H131" s="321"/>
      <c r="I131" s="313">
        <f>Tabel668910192831[[#This Row],[Fix.ch. 2015]]+Tabel668910192831[[#This Row],[Var. ch. 2015]]+Tabel668910192831[[#This Row],[Oth. ch. DW 2015]]</f>
        <v>0</v>
      </c>
      <c r="J131" s="322"/>
      <c r="K131" s="323"/>
      <c r="L131" s="323"/>
      <c r="M131" s="323"/>
      <c r="N131" s="324"/>
      <c r="O131" s="1258"/>
      <c r="P131" s="1491">
        <f>Tabel668910192831[[#This Row],[Total. ch. DW 2015]]+Tabel668910192831[[#This Row],[Sew. 2015]]+Tabel668910192831[[#This Row],[WW 2015]]+Tabel668910192831[[#This Row],[Other ch. 2015]]+Tabel668910192831[[#This Row],[VAT 2015]]</f>
        <v>0</v>
      </c>
      <c r="Q131" s="397"/>
    </row>
    <row r="132" spans="1:17" ht="16.5" hidden="1" thickBot="1" x14ac:dyDescent="0.3">
      <c r="A132" s="695" t="s">
        <v>586</v>
      </c>
      <c r="B132" s="1621"/>
      <c r="C132" s="1521" t="s">
        <v>587</v>
      </c>
      <c r="D132" s="1279">
        <v>88700</v>
      </c>
      <c r="E132" s="616">
        <f>'[1]exchange rates'!M36</f>
        <v>8.0490899999999996</v>
      </c>
      <c r="F132" s="549">
        <v>0</v>
      </c>
      <c r="G132" s="550">
        <f>671.65/E132</f>
        <v>83.444215433048953</v>
      </c>
      <c r="H132" s="551">
        <v>0</v>
      </c>
      <c r="I132" s="566">
        <f>Tabel668910192831[[#This Row],[Fix.ch. 2015]]+Tabel668910192831[[#This Row],[Var. ch. 2015]]+Tabel668910192831[[#This Row],[Oth. ch. DW 2015]]</f>
        <v>83.444215433048953</v>
      </c>
      <c r="J132" s="567">
        <v>0</v>
      </c>
      <c r="K132" s="568">
        <v>0</v>
      </c>
      <c r="L132" s="568"/>
      <c r="M132" s="568"/>
      <c r="N132" s="569">
        <v>0</v>
      </c>
      <c r="O132" s="1271">
        <v>0</v>
      </c>
      <c r="P132" s="1496">
        <f>Tabel668910192831[[#This Row],[Total. ch. DW 2015]]+Tabel668910192831[[#This Row],[Sew. 2015]]+Tabel668910192831[[#This Row],[WW 2015]]+Tabel668910192831[[#This Row],[Other ch. 2015]]+Tabel668910192831[[#This Row],[VAT 2015]]</f>
        <v>83.444215433048953</v>
      </c>
      <c r="Q132" s="430"/>
    </row>
    <row r="133" spans="1:17" ht="16.5" hidden="1" thickBot="1" x14ac:dyDescent="0.3">
      <c r="A133" s="267" t="s">
        <v>36</v>
      </c>
      <c r="B133" s="1616"/>
      <c r="C133" s="294" t="s">
        <v>181</v>
      </c>
      <c r="D133" s="1256">
        <v>900</v>
      </c>
      <c r="E133" s="306">
        <v>163.83132000000001</v>
      </c>
      <c r="F133" s="319">
        <f>363/E133</f>
        <v>2.2156935560306783</v>
      </c>
      <c r="G133" s="320">
        <f>(124*100)/E133</f>
        <v>75.687603566888185</v>
      </c>
      <c r="H133" s="321">
        <v>0</v>
      </c>
      <c r="I133" s="313">
        <f>Tabel668910192831[[#This Row],[Fix.ch. 2015]]+Tabel668910192831[[#This Row],[Var. ch. 2015]]+Tabel668910192831[[#This Row],[Oth. ch. DW 2015]]</f>
        <v>77.903297122918858</v>
      </c>
      <c r="J133" s="322">
        <v>0</v>
      </c>
      <c r="K133" s="323">
        <v>0</v>
      </c>
      <c r="L133" s="323"/>
      <c r="M133" s="323"/>
      <c r="N133" s="324">
        <v>0</v>
      </c>
      <c r="O133" s="1258">
        <v>0</v>
      </c>
      <c r="P133" s="1491">
        <f>Tabel668910192831[[#This Row],[Total. ch. DW 2015]]+Tabel668910192831[[#This Row],[Sew. 2015]]+Tabel668910192831[[#This Row],[WW 2015]]+Tabel668910192831[[#This Row],[Other ch. 2015]]+Tabel668910192831[[#This Row],[VAT 2015]]</f>
        <v>77.903297122918858</v>
      </c>
      <c r="Q133" s="397"/>
    </row>
    <row r="134" spans="1:17" ht="16.5" hidden="1" thickBot="1" x14ac:dyDescent="0.3">
      <c r="A134" s="669" t="s">
        <v>774</v>
      </c>
      <c r="B134" s="1621"/>
      <c r="C134" s="751" t="s">
        <v>775</v>
      </c>
      <c r="D134" s="1268">
        <v>34700</v>
      </c>
      <c r="E134" s="616">
        <f>'[1]exchange rates'!M38</f>
        <v>0.92093999999999998</v>
      </c>
      <c r="F134" s="549">
        <f>59/E134</f>
        <v>64.064977088626833</v>
      </c>
      <c r="G134" s="550">
        <f>143.39/E134</f>
        <v>155.69961126674917</v>
      </c>
      <c r="H134" s="551">
        <v>0</v>
      </c>
      <c r="I134" s="566" t="e">
        <f>[1]!Tabel668910[[#This Row],[Fix.ch. 2015]]+[1]!Tabel668910[[#This Row],[Var. ch. 2015]]+[1]!Tabel668910[[#This Row],[Oth. ch. DW 2015]]</f>
        <v>#REF!</v>
      </c>
      <c r="J134" s="567">
        <v>0</v>
      </c>
      <c r="K134" s="568">
        <v>0</v>
      </c>
      <c r="L134" s="568"/>
      <c r="M134" s="568"/>
      <c r="N134" s="569">
        <v>0</v>
      </c>
      <c r="O134" s="1271">
        <v>0</v>
      </c>
      <c r="P134" s="1496" t="e">
        <f>[1]!Tabel668910[[#This Row],[Total. ch. DW 2015]]+[1]!Tabel668910[[#This Row],[Sew. 2015]]+[1]!Tabel668910[[#This Row],[WW 2015]]+[1]!Tabel668910[[#This Row],[Other ch. 2015]]+[1]!Tabel668910[[#This Row],[VAT 2015]]</f>
        <v>#REF!</v>
      </c>
      <c r="Q134" s="397"/>
    </row>
    <row r="135" spans="1:17" ht="16.5" hidden="1" thickBot="1" x14ac:dyDescent="0.3">
      <c r="A135" s="669" t="s">
        <v>37</v>
      </c>
      <c r="B135" s="1621"/>
      <c r="C135" s="1531" t="s">
        <v>37</v>
      </c>
      <c r="D135" s="1268">
        <v>19500</v>
      </c>
      <c r="E135" s="616">
        <f>'[1]exchange rates'!M39</f>
        <v>35.849890000000002</v>
      </c>
      <c r="F135" s="549">
        <f>660/E135</f>
        <v>18.410098329450939</v>
      </c>
      <c r="G135" s="550">
        <f>0/E135</f>
        <v>0</v>
      </c>
      <c r="H135" s="551">
        <v>0</v>
      </c>
      <c r="I135" s="566">
        <f>Tabel668910192831[[#This Row],[Fix.ch. 2015]]+Tabel668910192831[[#This Row],[Var. ch. 2015]]+Tabel668910192831[[#This Row],[Oth. ch. DW 2015]]</f>
        <v>18.410098329450939</v>
      </c>
      <c r="J135" s="567">
        <f>3.015/E135</f>
        <v>8.4100676459537255E-2</v>
      </c>
      <c r="K135" s="568">
        <f>660/E135</f>
        <v>18.410098329450939</v>
      </c>
      <c r="L135" s="568"/>
      <c r="M135" s="568"/>
      <c r="N135" s="569">
        <v>0</v>
      </c>
      <c r="O135" s="1271">
        <v>0</v>
      </c>
      <c r="P135" s="1496">
        <f>Tabel668910192831[[#This Row],[Total. ch. DW 2015]]+Tabel668910192831[[#This Row],[Sew. 2015]]+Tabel668910192831[[#This Row],[WW 2015]]+Tabel668910192831[[#This Row],[Other ch. 2015]]+Tabel668910192831[[#This Row],[VAT 2015]]</f>
        <v>36.90429733536142</v>
      </c>
      <c r="Q135" s="397"/>
    </row>
    <row r="136" spans="1:17" ht="15.75" hidden="1" customHeight="1" x14ac:dyDescent="0.25">
      <c r="A136" s="1795" t="s">
        <v>38</v>
      </c>
      <c r="B136" s="1618"/>
      <c r="C136" s="1541" t="s">
        <v>620</v>
      </c>
      <c r="D136" s="2343">
        <v>18500</v>
      </c>
      <c r="E136" s="616">
        <f>'[1]exchange rates'!$M$40</f>
        <v>17.273230000000002</v>
      </c>
      <c r="F136" s="549">
        <f>1.1/E136</f>
        <v>6.3682357034555784E-2</v>
      </c>
      <c r="G136" s="550">
        <f>8.4/E136</f>
        <v>0.48630163553660777</v>
      </c>
      <c r="H136" s="551">
        <v>0</v>
      </c>
      <c r="I136" s="566">
        <f>Tabel668910192831[[#This Row],[Fix.ch. 2015]]+Tabel668910192831[[#This Row],[Var. ch. 2015]]+Tabel668910192831[[#This Row],[Oth. ch. DW 2015]]</f>
        <v>0.54998399257116359</v>
      </c>
      <c r="J136" s="567">
        <f>3/E136</f>
        <v>0.17367915554878849</v>
      </c>
      <c r="K136" s="568">
        <v>0</v>
      </c>
      <c r="L136" s="568"/>
      <c r="M136" s="568"/>
      <c r="N136" s="569">
        <v>0</v>
      </c>
      <c r="O136" s="1271">
        <f>0.16/E136</f>
        <v>9.2628882959353859E-3</v>
      </c>
      <c r="P136" s="1496">
        <f>Tabel668910192831[[#This Row],[Total. ch. DW 2015]]+Tabel668910192831[[#This Row],[Sew. 2015]]+Tabel668910192831[[#This Row],[WW 2015]]+Tabel668910192831[[#This Row],[Other ch. 2015]]+Tabel668910192831[[#This Row],[VAT 2015]]</f>
        <v>0.73292603641588738</v>
      </c>
      <c r="Q136" s="397"/>
    </row>
    <row r="137" spans="1:17" ht="15.75" hidden="1" customHeight="1" x14ac:dyDescent="0.25">
      <c r="A137" s="2301"/>
      <c r="B137" s="1618"/>
      <c r="C137" s="747" t="s">
        <v>621</v>
      </c>
      <c r="D137" s="1760"/>
      <c r="E137" s="616">
        <f>'[1]exchange rates'!$M$40</f>
        <v>17.273230000000002</v>
      </c>
      <c r="F137" s="549">
        <f>0/E137</f>
        <v>0</v>
      </c>
      <c r="G137" s="550">
        <f>8.6/E137</f>
        <v>0.49788024590652696</v>
      </c>
      <c r="H137" s="551">
        <v>0</v>
      </c>
      <c r="I137" s="566">
        <f>Tabel668910192831[[#This Row],[Fix.ch. 2015]]+Tabel668910192831[[#This Row],[Var. ch. 2015]]+Tabel668910192831[[#This Row],[Oth. ch. DW 2015]]</f>
        <v>0.49788024590652696</v>
      </c>
      <c r="J137" s="567">
        <f>0.4/E137</f>
        <v>2.3157220739838467E-2</v>
      </c>
      <c r="K137" s="568">
        <v>0</v>
      </c>
      <c r="L137" s="568"/>
      <c r="M137" s="568"/>
      <c r="N137" s="569">
        <v>0</v>
      </c>
      <c r="O137" s="1271">
        <f t="shared" ref="O137:O140" si="1">0.16/E137</f>
        <v>9.2628882959353859E-3</v>
      </c>
      <c r="P137" s="1496">
        <f>Tabel668910192831[[#This Row],[Total. ch. DW 2015]]+Tabel668910192831[[#This Row],[Sew. 2015]]+Tabel668910192831[[#This Row],[WW 2015]]+Tabel668910192831[[#This Row],[Other ch. 2015]]+Tabel668910192831[[#This Row],[VAT 2015]]</f>
        <v>0.53030035494230077</v>
      </c>
      <c r="Q137" s="397"/>
    </row>
    <row r="138" spans="1:17" ht="15.75" hidden="1" customHeight="1" x14ac:dyDescent="0.25">
      <c r="A138" s="2301"/>
      <c r="B138" s="1618"/>
      <c r="C138" s="747" t="s">
        <v>622</v>
      </c>
      <c r="D138" s="1760"/>
      <c r="E138" s="616">
        <f>'[1]exchange rates'!$M$40</f>
        <v>17.273230000000002</v>
      </c>
      <c r="F138" s="549">
        <f>3.2/E138</f>
        <v>0.18525776591870774</v>
      </c>
      <c r="G138" s="550">
        <f>18.3/E138</f>
        <v>1.0594428488476098</v>
      </c>
      <c r="H138" s="551">
        <v>0</v>
      </c>
      <c r="I138" s="566">
        <f>Tabel668910192831[[#This Row],[Fix.ch. 2015]]+Tabel668910192831[[#This Row],[Var. ch. 2015]]+Tabel668910192831[[#This Row],[Oth. ch. DW 2015]]</f>
        <v>1.2447006147663175</v>
      </c>
      <c r="J138" s="567">
        <f>2.4/E138</f>
        <v>0.13894332443903079</v>
      </c>
      <c r="K138" s="568">
        <v>0</v>
      </c>
      <c r="L138" s="568"/>
      <c r="M138" s="568"/>
      <c r="N138" s="569">
        <v>0</v>
      </c>
      <c r="O138" s="1271">
        <f t="shared" si="1"/>
        <v>9.2628882959353859E-3</v>
      </c>
      <c r="P138" s="1496">
        <f>Tabel668910192831[[#This Row],[Total. ch. DW 2015]]+Tabel668910192831[[#This Row],[Sew. 2015]]+Tabel668910192831[[#This Row],[WW 2015]]+Tabel668910192831[[#This Row],[Other ch. 2015]]+Tabel668910192831[[#This Row],[VAT 2015]]</f>
        <v>1.3929068275012837</v>
      </c>
      <c r="Q138" s="397"/>
    </row>
    <row r="139" spans="1:17" ht="15.75" hidden="1" customHeight="1" x14ac:dyDescent="0.25">
      <c r="A139" s="2301"/>
      <c r="B139" s="1618"/>
      <c r="C139" s="747" t="s">
        <v>623</v>
      </c>
      <c r="D139" s="1760"/>
      <c r="E139" s="616">
        <f>'[1]exchange rates'!$M$40</f>
        <v>17.273230000000002</v>
      </c>
      <c r="F139" s="549">
        <f>1.9/E139</f>
        <v>0.1099967985142327</v>
      </c>
      <c r="G139" s="550">
        <f>8.9/E139</f>
        <v>0.51524816146140584</v>
      </c>
      <c r="H139" s="551">
        <v>0</v>
      </c>
      <c r="I139" s="566">
        <f>Tabel668910192831[[#This Row],[Fix.ch. 2015]]+Tabel668910192831[[#This Row],[Var. ch. 2015]]+Tabel668910192831[[#This Row],[Oth. ch. DW 2015]]</f>
        <v>0.62524495997563856</v>
      </c>
      <c r="J139" s="567">
        <f>2.3/E139</f>
        <v>0.13315401925407117</v>
      </c>
      <c r="K139" s="568">
        <v>0</v>
      </c>
      <c r="L139" s="568"/>
      <c r="M139" s="568"/>
      <c r="N139" s="569">
        <v>0</v>
      </c>
      <c r="O139" s="1271">
        <f t="shared" si="1"/>
        <v>9.2628882959353859E-3</v>
      </c>
      <c r="P139" s="1496">
        <f>Tabel668910192831[[#This Row],[Total. ch. DW 2015]]+Tabel668910192831[[#This Row],[Sew. 2015]]+Tabel668910192831[[#This Row],[WW 2015]]+Tabel668910192831[[#This Row],[Other ch. 2015]]+Tabel668910192831[[#This Row],[VAT 2015]]</f>
        <v>0.76766186752564503</v>
      </c>
      <c r="Q139" s="397"/>
    </row>
    <row r="140" spans="1:17" ht="16.5" hidden="1" customHeight="1" x14ac:dyDescent="0.25">
      <c r="A140" s="2302"/>
      <c r="B140" s="1618"/>
      <c r="C140" s="747" t="s">
        <v>624</v>
      </c>
      <c r="D140" s="1761"/>
      <c r="E140" s="616">
        <f>'[1]exchange rates'!$M$40</f>
        <v>17.273230000000002</v>
      </c>
      <c r="F140" s="549">
        <f>2.4/E140</f>
        <v>0.13894332443903079</v>
      </c>
      <c r="G140" s="550">
        <f>10.9/E140</f>
        <v>0.63103426516059813</v>
      </c>
      <c r="H140" s="551">
        <v>0</v>
      </c>
      <c r="I140" s="566">
        <f>Tabel668910192831[[#This Row],[Fix.ch. 2015]]+Tabel668910192831[[#This Row],[Var. ch. 2015]]+Tabel668910192831[[#This Row],[Oth. ch. DW 2015]]</f>
        <v>0.76997758959962892</v>
      </c>
      <c r="J140" s="567">
        <f>3.4/E140</f>
        <v>0.19683637628862694</v>
      </c>
      <c r="K140" s="568">
        <v>0</v>
      </c>
      <c r="L140" s="568"/>
      <c r="M140" s="568"/>
      <c r="N140" s="569">
        <v>0</v>
      </c>
      <c r="O140" s="1271">
        <f t="shared" si="1"/>
        <v>9.2628882959353859E-3</v>
      </c>
      <c r="P140" s="1496">
        <f>Tabel668910192831[[#This Row],[Total. ch. DW 2015]]+Tabel668910192831[[#This Row],[Sew. 2015]]+Tabel668910192831[[#This Row],[WW 2015]]+Tabel668910192831[[#This Row],[Other ch. 2015]]+Tabel668910192831[[#This Row],[VAT 2015]]</f>
        <v>0.97607685418419121</v>
      </c>
      <c r="Q140" s="397"/>
    </row>
    <row r="141" spans="1:17" ht="15.75" hidden="1" x14ac:dyDescent="0.25">
      <c r="A141" s="2082" t="s">
        <v>39</v>
      </c>
      <c r="B141" s="1619"/>
      <c r="C141" s="1492" t="s">
        <v>494</v>
      </c>
      <c r="D141" s="2372">
        <v>5100</v>
      </c>
      <c r="E141" s="306">
        <v>8.5832200000000007</v>
      </c>
      <c r="F141" s="319">
        <f>84/E141</f>
        <v>9.7865369872844923</v>
      </c>
      <c r="G141" s="320">
        <f>332.08/E141</f>
        <v>38.689442889731353</v>
      </c>
      <c r="H141" s="321">
        <v>0</v>
      </c>
      <c r="I141" s="313">
        <f>Tabel668910192831[[#This Row],[Fix.ch. 2015]]+Tabel668910192831[[#This Row],[Var. ch. 2015]]+Tabel668910192831[[#This Row],[Oth. ch. DW 2015]]</f>
        <v>48.475979877015845</v>
      </c>
      <c r="J141" s="322">
        <f>166.44/E141</f>
        <v>19.391324001947986</v>
      </c>
      <c r="K141" s="323">
        <v>0</v>
      </c>
      <c r="L141" s="323"/>
      <c r="M141" s="323"/>
      <c r="N141" s="324">
        <v>0</v>
      </c>
      <c r="O141" s="1258">
        <f>40.78/E141</f>
        <v>4.7511306945412093</v>
      </c>
      <c r="P141" s="1491">
        <f>Tabel668910192831[[#This Row],[Total. ch. DW 2015]]+Tabel668910192831[[#This Row],[Sew. 2015]]+Tabel668910192831[[#This Row],[WW 2015]]+Tabel668910192831[[#This Row],[Other ch. 2015]]+Tabel668910192831[[#This Row],[VAT 2015]]</f>
        <v>72.618434573505041</v>
      </c>
      <c r="Q141" s="397"/>
    </row>
    <row r="142" spans="1:17" ht="15.75" hidden="1" x14ac:dyDescent="0.25">
      <c r="A142" s="2299"/>
      <c r="B142" s="1619"/>
      <c r="C142" s="764" t="s">
        <v>495</v>
      </c>
      <c r="D142" s="1837"/>
      <c r="E142" s="306">
        <v>8.5832200000000007</v>
      </c>
      <c r="F142" s="319">
        <f>102.6/E142</f>
        <v>11.953555891611771</v>
      </c>
      <c r="G142" s="320">
        <f>381.04/E142</f>
        <v>44.393595876605751</v>
      </c>
      <c r="H142" s="321">
        <v>0</v>
      </c>
      <c r="I142" s="313">
        <f>Tabel668910192831[[#This Row],[Fix.ch. 2015]]+Tabel668910192831[[#This Row],[Var. ch. 2015]]+Tabel668910192831[[#This Row],[Oth. ch. DW 2015]]</f>
        <v>56.347151768217522</v>
      </c>
      <c r="J142" s="322">
        <f>163.8/E142</f>
        <v>19.083747125204759</v>
      </c>
      <c r="K142" s="323">
        <v>0</v>
      </c>
      <c r="L142" s="323"/>
      <c r="M142" s="323"/>
      <c r="N142" s="324">
        <v>0</v>
      </c>
      <c r="O142" s="1258">
        <f>45.32/E142</f>
        <v>5.2800697174253948</v>
      </c>
      <c r="P142" s="1491">
        <f>Tabel668910192831[[#This Row],[Total. ch. DW 2015]]+Tabel668910192831[[#This Row],[Sew. 2015]]+Tabel668910192831[[#This Row],[WW 2015]]+Tabel668910192831[[#This Row],[Other ch. 2015]]+Tabel668910192831[[#This Row],[VAT 2015]]</f>
        <v>80.710968610847672</v>
      </c>
      <c r="Q142" s="397"/>
    </row>
    <row r="143" spans="1:17" ht="15.75" hidden="1" x14ac:dyDescent="0.25">
      <c r="A143" s="2299"/>
      <c r="B143" s="1619"/>
      <c r="C143" s="764" t="s">
        <v>496</v>
      </c>
      <c r="D143" s="1837"/>
      <c r="E143" s="306">
        <v>8.5832200000000007</v>
      </c>
      <c r="F143" s="319">
        <f>72/E143</f>
        <v>8.3884602748152783</v>
      </c>
      <c r="G143" s="320">
        <f>382.2/E143</f>
        <v>44.528743292144433</v>
      </c>
      <c r="H143" s="321">
        <v>0</v>
      </c>
      <c r="I143" s="313">
        <f>Tabel668910192831[[#This Row],[Fix.ch. 2015]]+Tabel668910192831[[#This Row],[Var. ch. 2015]]+Tabel668910192831[[#This Row],[Oth. ch. DW 2015]]</f>
        <v>52.917203566959714</v>
      </c>
      <c r="J143" s="322">
        <f>108.4/E143</f>
        <v>12.629292969305226</v>
      </c>
      <c r="K143" s="323">
        <v>0</v>
      </c>
      <c r="L143" s="323"/>
      <c r="M143" s="323"/>
      <c r="N143" s="324">
        <v>0</v>
      </c>
      <c r="O143" s="1258">
        <f>39.38/E143</f>
        <v>4.5880217447531342</v>
      </c>
      <c r="P143" s="1491">
        <f>Tabel668910192831[[#This Row],[Total. ch. DW 2015]]+Tabel668910192831[[#This Row],[Sew. 2015]]+Tabel668910192831[[#This Row],[WW 2015]]+Tabel668910192831[[#This Row],[Other ch. 2015]]+Tabel668910192831[[#This Row],[VAT 2015]]</f>
        <v>70.134518281018075</v>
      </c>
      <c r="Q143" s="397"/>
    </row>
    <row r="144" spans="1:17" ht="15.75" hidden="1" x14ac:dyDescent="0.25">
      <c r="A144" s="2299"/>
      <c r="B144" s="1619"/>
      <c r="C144" s="764" t="s">
        <v>497</v>
      </c>
      <c r="D144" s="1837"/>
      <c r="E144" s="306">
        <v>8.5832200000000007</v>
      </c>
      <c r="F144" s="319">
        <f>72/E144</f>
        <v>8.3884602748152783</v>
      </c>
      <c r="G144" s="320">
        <f>390.24/E144</f>
        <v>45.465454689498813</v>
      </c>
      <c r="H144" s="321">
        <v>0</v>
      </c>
      <c r="I144" s="313">
        <f>Tabel668910192831[[#This Row],[Fix.ch. 2015]]+Tabel668910192831[[#This Row],[Var. ch. 2015]]+Tabel668910192831[[#This Row],[Oth. ch. DW 2015]]</f>
        <v>53.853914964314093</v>
      </c>
      <c r="J144" s="322">
        <f>111.08/E144</f>
        <v>12.941530101756682</v>
      </c>
      <c r="K144" s="323">
        <v>0</v>
      </c>
      <c r="L144" s="323"/>
      <c r="M144" s="323"/>
      <c r="N144" s="324">
        <v>0</v>
      </c>
      <c r="O144" s="1258">
        <f>40.13/E144</f>
        <v>4.6754015392824604</v>
      </c>
      <c r="P144" s="1491">
        <f>Tabel668910192831[[#This Row],[Total. ch. DW 2015]]+Tabel668910192831[[#This Row],[Sew. 2015]]+Tabel668910192831[[#This Row],[WW 2015]]+Tabel668910192831[[#This Row],[Other ch. 2015]]+Tabel668910192831[[#This Row],[VAT 2015]]</f>
        <v>71.470846605353231</v>
      </c>
      <c r="Q144" s="397"/>
    </row>
    <row r="145" spans="1:17" ht="16.5" hidden="1" thickBot="1" x14ac:dyDescent="0.3">
      <c r="A145" s="2300"/>
      <c r="B145" s="1619"/>
      <c r="C145" s="1052" t="s">
        <v>498</v>
      </c>
      <c r="D145" s="2221"/>
      <c r="E145" s="306">
        <v>8.5832200000000007</v>
      </c>
      <c r="F145" s="319">
        <f>72/E145</f>
        <v>8.3884602748152783</v>
      </c>
      <c r="G145" s="320">
        <f>300.76/E145</f>
        <v>35.040462670186706</v>
      </c>
      <c r="H145" s="321">
        <v>0</v>
      </c>
      <c r="I145" s="313">
        <f>Tabel668910192831[[#This Row],[Fix.ch. 2015]]+Tabel668910192831[[#This Row],[Var. ch. 2015]]+Tabel668910192831[[#This Row],[Oth. ch. DW 2015]]</f>
        <v>43.428922945001986</v>
      </c>
      <c r="J145" s="322">
        <f>153.12/E145</f>
        <v>17.83945885110716</v>
      </c>
      <c r="K145" s="323">
        <v>0</v>
      </c>
      <c r="L145" s="323"/>
      <c r="M145" s="323"/>
      <c r="N145" s="324">
        <v>0</v>
      </c>
      <c r="O145" s="1258">
        <f>36.81/E145</f>
        <v>4.2886003154993118</v>
      </c>
      <c r="P145" s="1491">
        <f>Tabel668910192831[[#This Row],[Total. ch. DW 2015]]+Tabel668910192831[[#This Row],[Sew. 2015]]+Tabel668910192831[[#This Row],[WW 2015]]+Tabel668910192831[[#This Row],[Other ch. 2015]]+Tabel668910192831[[#This Row],[VAT 2015]]</f>
        <v>65.556982111608463</v>
      </c>
      <c r="Q145" s="397"/>
    </row>
    <row r="146" spans="1:17" ht="16.5" hidden="1" thickBot="1" x14ac:dyDescent="0.3">
      <c r="A146" s="1169" t="s">
        <v>734</v>
      </c>
      <c r="B146" s="1656"/>
      <c r="C146" s="751" t="s">
        <v>735</v>
      </c>
      <c r="D146" s="1171">
        <v>11300</v>
      </c>
      <c r="E146" s="616">
        <f>'[1]exchange rates'!M42</f>
        <v>15.682219999999999</v>
      </c>
      <c r="F146" s="319"/>
      <c r="G146" s="320"/>
      <c r="H146" s="321"/>
      <c r="I146" s="313">
        <f>Tabel668910192831[[#This Row],[Fix.ch. 2015]]+Tabel668910192831[[#This Row],[Var. ch. 2015]]+Tabel668910192831[[#This Row],[Oth. ch. DW 2015]]</f>
        <v>0</v>
      </c>
      <c r="J146" s="322"/>
      <c r="K146" s="323"/>
      <c r="L146" s="323"/>
      <c r="M146" s="323"/>
      <c r="N146" s="324"/>
      <c r="O146" s="1258"/>
      <c r="P146" s="1491">
        <f>Tabel668910192831[[#This Row],[Total. ch. DW 2015]]+Tabel668910192831[[#This Row],[Sew. 2015]]+Tabel668910192831[[#This Row],[WW 2015]]+Tabel668910192831[[#This Row],[Other ch. 2015]]+Tabel668910192831[[#This Row],[VAT 2015]]</f>
        <v>0</v>
      </c>
      <c r="Q146" s="397"/>
    </row>
    <row r="147" spans="1:17" ht="15.75" hidden="1" customHeight="1" x14ac:dyDescent="0.25">
      <c r="A147" s="2078" t="s">
        <v>20</v>
      </c>
      <c r="B147" s="1656"/>
      <c r="C147" s="631" t="s">
        <v>182</v>
      </c>
      <c r="D147" s="2343">
        <v>49300</v>
      </c>
      <c r="E147" s="616">
        <f>'[1]exchange rates'!$M$43</f>
        <v>0.92093999999999998</v>
      </c>
      <c r="F147" s="549">
        <f>42.15/E147</f>
        <v>45.76845397094273</v>
      </c>
      <c r="G147" s="550">
        <f>124/E147</f>
        <v>134.64503659304623</v>
      </c>
      <c r="H147" s="551">
        <v>0</v>
      </c>
      <c r="I147" s="566">
        <f>Tabel668910192831[[#This Row],[Fix.ch. 2015]]+Tabel668910192831[[#This Row],[Var. ch. 2015]]+Tabel668910192831[[#This Row],[Oth. ch. DW 2015]]</f>
        <v>180.41349056398894</v>
      </c>
      <c r="J147" s="567">
        <f>149/E147</f>
        <v>161.79121332551523</v>
      </c>
      <c r="K147" s="323">
        <f>165/E147</f>
        <v>179.16476643429539</v>
      </c>
      <c r="L147" s="323"/>
      <c r="M147" s="323"/>
      <c r="N147" s="569">
        <f>33.3/E147</f>
        <v>36.158707407648706</v>
      </c>
      <c r="O147" s="1271">
        <f>11.97/E147</f>
        <v>12.997589419506157</v>
      </c>
      <c r="P147" s="1496">
        <f>Tabel668910192831[[#This Row],[Total. ch. DW 2015]]+Tabel668910192831[[#This Row],[Sew. 2015]]+Tabel668910192831[[#This Row],[WW 2015]]+Tabel668910192831[[#This Row],[Other ch. 2015]]+Tabel668910192831[[#This Row],[VAT 2015]]</f>
        <v>570.52576715095449</v>
      </c>
      <c r="Q147" s="397"/>
    </row>
    <row r="148" spans="1:17" ht="15.75" hidden="1" customHeight="1" x14ac:dyDescent="0.25">
      <c r="A148" s="2079"/>
      <c r="B148" s="1656"/>
      <c r="C148" s="631" t="s">
        <v>183</v>
      </c>
      <c r="D148" s="1760"/>
      <c r="E148" s="616">
        <f>'[1]exchange rates'!$M$43</f>
        <v>0.92093999999999998</v>
      </c>
      <c r="F148" s="549">
        <f>59.76/E148</f>
        <v>64.890220861293898</v>
      </c>
      <c r="G148" s="550">
        <f>91.4/E148</f>
        <v>99.246422133906663</v>
      </c>
      <c r="H148" s="551">
        <f>8.45/E148</f>
        <v>9.1754077355745203</v>
      </c>
      <c r="I148" s="566">
        <f>Tabel668910192831[[#This Row],[Fix.ch. 2015]]+Tabel668910192831[[#This Row],[Var. ch. 2015]]+Tabel668910192831[[#This Row],[Oth. ch. DW 2015]]</f>
        <v>173.31205073077507</v>
      </c>
      <c r="J148" s="567">
        <f>351/E148</f>
        <v>381.13232132386474</v>
      </c>
      <c r="K148" s="323">
        <f>190/E148</f>
        <v>206.31094316676439</v>
      </c>
      <c r="L148" s="323"/>
      <c r="M148" s="323"/>
      <c r="N148" s="569">
        <f>33.3/E148</f>
        <v>36.158707407648706</v>
      </c>
      <c r="O148" s="1271">
        <f>11.07/E148</f>
        <v>12.020327057137273</v>
      </c>
      <c r="P148" s="1496">
        <f>Tabel668910192831[[#This Row],[Total. ch. DW 2015]]+Tabel668910192831[[#This Row],[Sew. 2015]]+Tabel668910192831[[#This Row],[WW 2015]]+Tabel668910192831[[#This Row],[Other ch. 2015]]+Tabel668910192831[[#This Row],[VAT 2015]]</f>
        <v>808.93434968619033</v>
      </c>
      <c r="Q148" s="397"/>
    </row>
    <row r="149" spans="1:17" ht="15.75" hidden="1" customHeight="1" x14ac:dyDescent="0.25">
      <c r="A149" s="2079"/>
      <c r="B149" s="1656"/>
      <c r="C149" s="631" t="s">
        <v>184</v>
      </c>
      <c r="D149" s="1760"/>
      <c r="E149" s="616">
        <f>'[1]exchange rates'!$M$43</f>
        <v>0.92093999999999998</v>
      </c>
      <c r="F149" s="549">
        <f>61.18/E149</f>
        <v>66.432123699698138</v>
      </c>
      <c r="G149" s="550">
        <f>106/E149</f>
        <v>115.09978934566855</v>
      </c>
      <c r="H149" s="551">
        <f>18.7/E149</f>
        <v>20.30534019588681</v>
      </c>
      <c r="I149" s="566">
        <f>Tabel668910192831[[#This Row],[Fix.ch. 2015]]+Tabel668910192831[[#This Row],[Var. ch. 2015]]+Tabel668910192831[[#This Row],[Oth. ch. DW 2015]]</f>
        <v>201.83725324125351</v>
      </c>
      <c r="J149" s="567">
        <f>133/E149</f>
        <v>144.41766021673507</v>
      </c>
      <c r="K149" s="323">
        <f>255/E149</f>
        <v>276.8910026711838</v>
      </c>
      <c r="L149" s="323"/>
      <c r="M149" s="323"/>
      <c r="N149" s="569">
        <f>33.3/E149</f>
        <v>36.158707407648706</v>
      </c>
      <c r="O149" s="1271">
        <f>12.03/E149</f>
        <v>13.062740243664082</v>
      </c>
      <c r="P149" s="1496">
        <f>Tabel668910192831[[#This Row],[Total. ch. DW 2015]]+Tabel668910192831[[#This Row],[Sew. 2015]]+Tabel668910192831[[#This Row],[WW 2015]]+Tabel668910192831[[#This Row],[Other ch. 2015]]+Tabel668910192831[[#This Row],[VAT 2015]]</f>
        <v>672.36736378048511</v>
      </c>
      <c r="Q149" s="397"/>
    </row>
    <row r="150" spans="1:17" ht="15.75" hidden="1" customHeight="1" x14ac:dyDescent="0.25">
      <c r="A150" s="2079"/>
      <c r="B150" s="1656"/>
      <c r="C150" s="631" t="s">
        <v>185</v>
      </c>
      <c r="D150" s="1760"/>
      <c r="E150" s="616">
        <f>'[1]exchange rates'!$M$43</f>
        <v>0.92093999999999998</v>
      </c>
      <c r="F150" s="549">
        <f>45/E150</f>
        <v>48.863118118444199</v>
      </c>
      <c r="G150" s="550">
        <f>68/E150</f>
        <v>73.837600712315677</v>
      </c>
      <c r="H150" s="551">
        <v>0</v>
      </c>
      <c r="I150" s="566">
        <f>Tabel668910192831[[#This Row],[Fix.ch. 2015]]+Tabel668910192831[[#This Row],[Var. ch. 2015]]+Tabel668910192831[[#This Row],[Oth. ch. DW 2015]]</f>
        <v>122.70071883075988</v>
      </c>
      <c r="J150" s="567">
        <f>231/E150</f>
        <v>250.83067300801355</v>
      </c>
      <c r="K150" s="323">
        <f>165/E150</f>
        <v>179.16476643429539</v>
      </c>
      <c r="L150" s="323"/>
      <c r="M150" s="323"/>
      <c r="N150" s="569">
        <f>33.3/E150</f>
        <v>36.158707407648706</v>
      </c>
      <c r="O150" s="1271">
        <f>8.78/E150</f>
        <v>9.5337372684431116</v>
      </c>
      <c r="P150" s="1496">
        <f>Tabel668910192831[[#This Row],[Total. ch. DW 2015]]+Tabel668910192831[[#This Row],[Sew. 2015]]+Tabel668910192831[[#This Row],[WW 2015]]+Tabel668910192831[[#This Row],[Other ch. 2015]]+Tabel668910192831[[#This Row],[VAT 2015]]</f>
        <v>598.3886029491606</v>
      </c>
      <c r="Q150" s="397"/>
    </row>
    <row r="151" spans="1:17" ht="16.5" hidden="1" customHeight="1" x14ac:dyDescent="0.25">
      <c r="A151" s="2079"/>
      <c r="B151" s="1656"/>
      <c r="C151" s="631" t="s">
        <v>186</v>
      </c>
      <c r="D151" s="1760"/>
      <c r="E151" s="616">
        <f>'[1]exchange rates'!$M$43</f>
        <v>0.92093999999999998</v>
      </c>
      <c r="F151" s="549">
        <f>70.44/E151</f>
        <v>76.487067561404658</v>
      </c>
      <c r="G151" s="550">
        <f>46.15/E151</f>
        <v>50.111842248137769</v>
      </c>
      <c r="H151" s="551">
        <v>0</v>
      </c>
      <c r="I151" s="566">
        <f>Tabel668910192831[[#This Row],[Fix.ch. 2015]]+Tabel668910192831[[#This Row],[Var. ch. 2015]]+Tabel668910192831[[#This Row],[Oth. ch. DW 2015]]</f>
        <v>126.59890980954242</v>
      </c>
      <c r="J151" s="567">
        <f>144/E151</f>
        <v>156.36197797902145</v>
      </c>
      <c r="K151" s="323">
        <f>135/E151</f>
        <v>146.5893543553326</v>
      </c>
      <c r="L151" s="323"/>
      <c r="M151" s="323"/>
      <c r="N151" s="569">
        <f>33.3/E151</f>
        <v>36.158707407648706</v>
      </c>
      <c r="O151" s="1271">
        <f>8.99/E151</f>
        <v>9.7617651529958529</v>
      </c>
      <c r="P151" s="1496">
        <f>Tabel668910192831[[#This Row],[Total. ch. DW 2015]]+Tabel668910192831[[#This Row],[Sew. 2015]]+Tabel668910192831[[#This Row],[WW 2015]]+Tabel668910192831[[#This Row],[Other ch. 2015]]+Tabel668910192831[[#This Row],[VAT 2015]]</f>
        <v>475.47071470454102</v>
      </c>
      <c r="Q151" s="397"/>
    </row>
    <row r="152" spans="1:17" ht="16.5" hidden="1" thickBot="1" x14ac:dyDescent="0.3">
      <c r="A152" s="2268"/>
      <c r="B152" s="1656"/>
      <c r="C152" s="294" t="s">
        <v>187</v>
      </c>
      <c r="D152" s="1761"/>
      <c r="E152" s="616">
        <f>'[1]exchange rates'!$M$43</f>
        <v>0.92093999999999998</v>
      </c>
      <c r="F152" s="319"/>
      <c r="G152" s="320"/>
      <c r="H152" s="321"/>
      <c r="I152" s="313">
        <f>Tabel668910192831[[#This Row],[Fix.ch. 2015]]+Tabel668910192831[[#This Row],[Var. ch. 2015]]+Tabel668910192831[[#This Row],[Oth. ch. DW 2015]]</f>
        <v>0</v>
      </c>
      <c r="J152" s="322"/>
      <c r="K152" s="323"/>
      <c r="L152" s="323"/>
      <c r="M152" s="323"/>
      <c r="N152" s="324"/>
      <c r="O152" s="1258"/>
      <c r="P152" s="1491">
        <f>Tabel668910192831[[#This Row],[Total. ch. DW 2015]]+Tabel668910192831[[#This Row],[Sew. 2015]]+Tabel668910192831[[#This Row],[WW 2015]]+Tabel668910192831[[#This Row],[Other ch. 2015]]+Tabel668910192831[[#This Row],[VAT 2015]]</f>
        <v>0</v>
      </c>
      <c r="Q152" s="397"/>
    </row>
    <row r="153" spans="1:17" ht="16.5" hidden="1" thickBot="1" x14ac:dyDescent="0.3">
      <c r="A153" s="267" t="s">
        <v>46</v>
      </c>
      <c r="B153" s="1616"/>
      <c r="C153" s="293" t="s">
        <v>477</v>
      </c>
      <c r="D153" s="1542"/>
      <c r="E153" s="306">
        <v>0.64417999999999997</v>
      </c>
      <c r="F153" s="319">
        <f>94/E153</f>
        <v>145.92194728181565</v>
      </c>
      <c r="G153" s="320">
        <f>104/E153</f>
        <v>161.44555869477475</v>
      </c>
      <c r="H153" s="321">
        <v>0</v>
      </c>
      <c r="I153" s="313">
        <f>Tabel668910192831[[#This Row],[Fix.ch. 2015]]+Tabel668910192831[[#This Row],[Var. ch. 2015]]+Tabel668910192831[[#This Row],[Oth. ch. DW 2015]]</f>
        <v>307.36750597659039</v>
      </c>
      <c r="J153" s="322">
        <v>0</v>
      </c>
      <c r="K153" s="323">
        <f>298/E153</f>
        <v>462.60362010618149</v>
      </c>
      <c r="L153" s="323"/>
      <c r="M153" s="323"/>
      <c r="N153" s="324">
        <v>0</v>
      </c>
      <c r="O153" s="1258">
        <f>40/E153</f>
        <v>62.094445651836445</v>
      </c>
      <c r="P153" s="1491">
        <f>Tabel668910192831[[#This Row],[Total. ch. DW 2015]]+Tabel668910192831[[#This Row],[Sew. 2015]]+Tabel668910192831[[#This Row],[WW 2015]]+Tabel668910192831[[#This Row],[Other ch. 2015]]+Tabel668910192831[[#This Row],[VAT 2015]]</f>
        <v>832.06557173460828</v>
      </c>
      <c r="Q153" s="397"/>
    </row>
    <row r="154" spans="1:17" ht="15.75" hidden="1" customHeight="1" x14ac:dyDescent="0.25">
      <c r="A154" s="1818" t="s">
        <v>21</v>
      </c>
      <c r="B154" s="1656"/>
      <c r="C154" s="1513" t="s">
        <v>125</v>
      </c>
      <c r="D154" s="2347">
        <v>68400</v>
      </c>
      <c r="E154" s="617">
        <f>'[1]exchange rates'!$M$46</f>
        <v>8.8603000000000005</v>
      </c>
      <c r="F154" s="549">
        <f>1229/E154</f>
        <v>138.70862160423462</v>
      </c>
      <c r="G154" s="550">
        <f>0/E154</f>
        <v>0</v>
      </c>
      <c r="H154" s="551">
        <v>0</v>
      </c>
      <c r="I154" s="566">
        <f>Tabel668910192831[[#This Row],[Fix.ch. 2015]]+Tabel668910192831[[#This Row],[Var. ch. 2015]]+Tabel668910192831[[#This Row],[Oth. ch. DW 2015]]</f>
        <v>138.70862160423462</v>
      </c>
      <c r="J154" s="567">
        <f>1599/E154</f>
        <v>180.4679299797975</v>
      </c>
      <c r="K154" s="568">
        <v>0</v>
      </c>
      <c r="L154" s="568"/>
      <c r="M154" s="568"/>
      <c r="N154" s="569">
        <v>0</v>
      </c>
      <c r="O154" s="1271">
        <f>707/E154</f>
        <v>79.794137896008024</v>
      </c>
      <c r="P154" s="1496">
        <f>Tabel668910192831[[#This Row],[Total. ch. DW 2015]]+Tabel668910192831[[#This Row],[Sew. 2015]]+Tabel668910192831[[#This Row],[WW 2015]]+Tabel668910192831[[#This Row],[Other ch. 2015]]+Tabel668910192831[[#This Row],[VAT 2015]]</f>
        <v>398.97068948004016</v>
      </c>
      <c r="Q154" s="397"/>
    </row>
    <row r="155" spans="1:17" ht="16.5" hidden="1" customHeight="1" x14ac:dyDescent="0.25">
      <c r="A155" s="2294"/>
      <c r="B155" s="1656"/>
      <c r="C155" s="543" t="s">
        <v>126</v>
      </c>
      <c r="D155" s="2348"/>
      <c r="E155" s="617">
        <f>'[1]exchange rates'!$M$46</f>
        <v>8.8603000000000005</v>
      </c>
      <c r="F155" s="549">
        <f>314/E155</f>
        <v>35.438980621423653</v>
      </c>
      <c r="G155" s="550">
        <f>997/E155</f>
        <v>112.52440662280057</v>
      </c>
      <c r="H155" s="551">
        <v>0</v>
      </c>
      <c r="I155" s="566">
        <f>Tabel668910192831[[#This Row],[Fix.ch. 2015]]+Tabel668910192831[[#This Row],[Var. ch. 2015]]+Tabel668910192831[[#This Row],[Oth. ch. DW 2015]]</f>
        <v>147.96338724422424</v>
      </c>
      <c r="J155" s="567">
        <f>1496/E155</f>
        <v>168.84304143200569</v>
      </c>
      <c r="K155" s="568">
        <v>0</v>
      </c>
      <c r="L155" s="568"/>
      <c r="M155" s="568"/>
      <c r="N155" s="569">
        <v>0</v>
      </c>
      <c r="O155" s="1271">
        <f>701.75/E155</f>
        <v>79.201607169057482</v>
      </c>
      <c r="P155" s="1496">
        <f>Tabel668910192831[[#This Row],[Total. ch. DW 2015]]+Tabel668910192831[[#This Row],[Sew. 2015]]+Tabel668910192831[[#This Row],[WW 2015]]+Tabel668910192831[[#This Row],[Other ch. 2015]]+Tabel668910192831[[#This Row],[VAT 2015]]</f>
        <v>396.0080358452874</v>
      </c>
      <c r="Q155" s="397"/>
    </row>
    <row r="156" spans="1:17" ht="18" hidden="1" customHeight="1" x14ac:dyDescent="0.25">
      <c r="A156" s="2295"/>
      <c r="B156" s="1656"/>
      <c r="C156" s="543" t="s">
        <v>127</v>
      </c>
      <c r="D156" s="2349"/>
      <c r="E156" s="617">
        <f>'[1]exchange rates'!$M$46</f>
        <v>8.8603000000000005</v>
      </c>
      <c r="F156" s="549">
        <f>300/E156</f>
        <v>33.858898682888842</v>
      </c>
      <c r="G156" s="550">
        <f>826/E156</f>
        <v>93.224834373553932</v>
      </c>
      <c r="H156" s="551">
        <f>184.6/E156</f>
        <v>20.8345089895376</v>
      </c>
      <c r="I156" s="566">
        <f>Tabel668910192831[[#This Row],[Fix.ch. 2015]]+Tabel668910192831[[#This Row],[Var. ch. 2015]]+Tabel668910192831[[#This Row],[Oth. ch. DW 2015]]</f>
        <v>147.91824204598038</v>
      </c>
      <c r="J156" s="567">
        <f>1546.2/E156</f>
        <v>174.50876381160907</v>
      </c>
      <c r="K156" s="568">
        <v>0</v>
      </c>
      <c r="L156" s="568"/>
      <c r="M156" s="568"/>
      <c r="N156" s="569">
        <v>0</v>
      </c>
      <c r="O156" s="1271">
        <f>714.2/E156</f>
        <v>80.606751464397362</v>
      </c>
      <c r="P156" s="1496">
        <f>Tabel668910192831[[#This Row],[Total. ch. DW 2015]]+Tabel668910192831[[#This Row],[Sew. 2015]]+Tabel668910192831[[#This Row],[WW 2015]]+Tabel668910192831[[#This Row],[Other ch. 2015]]+Tabel668910192831[[#This Row],[VAT 2015]]</f>
        <v>403.0337573219868</v>
      </c>
      <c r="Q156" s="397"/>
    </row>
    <row r="157" spans="1:17" ht="15.75" hidden="1" x14ac:dyDescent="0.25">
      <c r="A157" s="1818" t="s">
        <v>22</v>
      </c>
      <c r="B157" s="1656"/>
      <c r="C157" s="1513" t="s">
        <v>128</v>
      </c>
      <c r="D157" s="2347">
        <v>26400</v>
      </c>
      <c r="E157" s="661">
        <f>'[1]exchange rates'!$M$47</f>
        <v>3.9519899999999999</v>
      </c>
      <c r="F157" s="549">
        <v>0</v>
      </c>
      <c r="G157" s="550">
        <f>551/E157</f>
        <v>139.42342971515617</v>
      </c>
      <c r="H157" s="551">
        <v>0</v>
      </c>
      <c r="I157" s="566">
        <f>Tabel668910192831[[#This Row],[Fix.ch. 2015]]+Tabel668910192831[[#This Row],[Var. ch. 2015]]+Tabel668910192831[[#This Row],[Oth. ch. DW 2015]]</f>
        <v>139.42342971515617</v>
      </c>
      <c r="J157" s="567">
        <v>0</v>
      </c>
      <c r="K157" s="568">
        <f>549/E157</f>
        <v>138.91735556011022</v>
      </c>
      <c r="L157" s="568"/>
      <c r="M157" s="568"/>
      <c r="N157" s="569">
        <v>0</v>
      </c>
      <c r="O157" s="1271">
        <v>0</v>
      </c>
      <c r="P157" s="1496">
        <f>Tabel668910192831[[#This Row],[Total. ch. DW 2015]]+Tabel668910192831[[#This Row],[Sew. 2015]]+Tabel668910192831[[#This Row],[WW 2015]]+Tabel668910192831[[#This Row],[Other ch. 2015]]+Tabel668910192831[[#This Row],[VAT 2015]]</f>
        <v>278.3407852752664</v>
      </c>
      <c r="Q157" s="397"/>
    </row>
    <row r="158" spans="1:17" ht="15.75" hidden="1" x14ac:dyDescent="0.25">
      <c r="A158" s="2294"/>
      <c r="B158" s="1656"/>
      <c r="C158" s="543" t="s">
        <v>129</v>
      </c>
      <c r="D158" s="2359"/>
      <c r="E158" s="661">
        <f>'[1]exchange rates'!$M$47</f>
        <v>3.9519899999999999</v>
      </c>
      <c r="F158" s="549">
        <v>0</v>
      </c>
      <c r="G158" s="550">
        <f>429/E158</f>
        <v>108.5529062573539</v>
      </c>
      <c r="H158" s="551">
        <v>0</v>
      </c>
      <c r="I158" s="566">
        <f>Tabel668910192831[[#This Row],[Fix.ch. 2015]]+Tabel668910192831[[#This Row],[Var. ch. 2015]]+Tabel668910192831[[#This Row],[Oth. ch. DW 2015]]</f>
        <v>108.5529062573539</v>
      </c>
      <c r="J158" s="567">
        <v>0</v>
      </c>
      <c r="K158" s="568">
        <f>501/E158</f>
        <v>126.7715758390077</v>
      </c>
      <c r="L158" s="568"/>
      <c r="M158" s="568"/>
      <c r="N158" s="569">
        <v>0</v>
      </c>
      <c r="O158" s="1271">
        <v>0</v>
      </c>
      <c r="P158" s="1496">
        <f>Tabel668910192831[[#This Row],[Total. ch. DW 2015]]+Tabel668910192831[[#This Row],[Sew. 2015]]+Tabel668910192831[[#This Row],[WW 2015]]+Tabel668910192831[[#This Row],[Other ch. 2015]]+Tabel668910192831[[#This Row],[VAT 2015]]</f>
        <v>235.32448209636158</v>
      </c>
      <c r="Q158" s="397"/>
    </row>
    <row r="159" spans="1:17" ht="15.75" hidden="1" x14ac:dyDescent="0.25">
      <c r="A159" s="2294"/>
      <c r="B159" s="1656"/>
      <c r="C159" s="543" t="s">
        <v>130</v>
      </c>
      <c r="D159" s="2359"/>
      <c r="E159" s="661">
        <f>'[1]exchange rates'!$M$47</f>
        <v>3.9519899999999999</v>
      </c>
      <c r="F159" s="549">
        <f>(3.57/E159)*12</f>
        <v>10.840108401084009</v>
      </c>
      <c r="G159" s="550">
        <f>646/E159</f>
        <v>163.46195207983826</v>
      </c>
      <c r="H159" s="551">
        <v>0</v>
      </c>
      <c r="I159" s="566">
        <f>Tabel668910192831[[#This Row],[Fix.ch. 2015]]+Tabel668910192831[[#This Row],[Var. ch. 2015]]+Tabel668910192831[[#This Row],[Oth. ch. DW 2015]]</f>
        <v>174.30206048092225</v>
      </c>
      <c r="J159" s="567">
        <v>0</v>
      </c>
      <c r="K159" s="568">
        <f>646/E159</f>
        <v>163.46195207983826</v>
      </c>
      <c r="L159" s="568"/>
      <c r="M159" s="568"/>
      <c r="N159" s="569">
        <f>(3.57/E159)*12</f>
        <v>10.840108401084009</v>
      </c>
      <c r="O159" s="1271">
        <v>0</v>
      </c>
      <c r="P159" s="1496">
        <f>Tabel668910192831[[#This Row],[Total. ch. DW 2015]]+Tabel668910192831[[#This Row],[Sew. 2015]]+Tabel668910192831[[#This Row],[WW 2015]]+Tabel668910192831[[#This Row],[Other ch. 2015]]+Tabel668910192831[[#This Row],[VAT 2015]]</f>
        <v>348.60412096184456</v>
      </c>
      <c r="Q159" s="397"/>
    </row>
    <row r="160" spans="1:17" ht="15.75" hidden="1" x14ac:dyDescent="0.25">
      <c r="A160" s="2294"/>
      <c r="B160" s="1656"/>
      <c r="C160" s="543" t="s">
        <v>131</v>
      </c>
      <c r="D160" s="2359"/>
      <c r="E160" s="661">
        <f>'[1]exchange rates'!$M$47</f>
        <v>3.9519899999999999</v>
      </c>
      <c r="F160" s="549">
        <v>0</v>
      </c>
      <c r="G160" s="550">
        <f>342/E160</f>
        <v>86.538680512855549</v>
      </c>
      <c r="H160" s="551">
        <v>0</v>
      </c>
      <c r="I160" s="566">
        <f>Tabel668910192831[[#This Row],[Fix.ch. 2015]]+Tabel668910192831[[#This Row],[Var. ch. 2015]]+Tabel668910192831[[#This Row],[Oth. ch. DW 2015]]</f>
        <v>86.538680512855549</v>
      </c>
      <c r="J160" s="567">
        <v>0</v>
      </c>
      <c r="K160" s="568">
        <f>337/E160</f>
        <v>85.2734951252407</v>
      </c>
      <c r="L160" s="568"/>
      <c r="M160" s="568"/>
      <c r="N160" s="569">
        <v>0</v>
      </c>
      <c r="O160" s="1271">
        <v>0</v>
      </c>
      <c r="P160" s="1496">
        <f>Tabel668910192831[[#This Row],[Total. ch. DW 2015]]+Tabel668910192831[[#This Row],[Sew. 2015]]+Tabel668910192831[[#This Row],[WW 2015]]+Tabel668910192831[[#This Row],[Other ch. 2015]]+Tabel668910192831[[#This Row],[VAT 2015]]</f>
        <v>171.81217563809625</v>
      </c>
      <c r="Q160" s="397"/>
    </row>
    <row r="161" spans="1:17" ht="16.5" hidden="1" thickBot="1" x14ac:dyDescent="0.3">
      <c r="A161" s="2295"/>
      <c r="B161" s="1656"/>
      <c r="C161" s="544" t="s">
        <v>132</v>
      </c>
      <c r="D161" s="2349"/>
      <c r="E161" s="661">
        <f>'[1]exchange rates'!$M$47</f>
        <v>3.9519899999999999</v>
      </c>
      <c r="F161" s="549">
        <f>(7.54/E161)*12</f>
        <v>22.894794774278274</v>
      </c>
      <c r="G161" s="550">
        <f>315/E161</f>
        <v>79.70667941973538</v>
      </c>
      <c r="H161" s="551">
        <f>(2.31/E161)*12</f>
        <v>7.014187788936713</v>
      </c>
      <c r="I161" s="566">
        <f>Tabel668910192831[[#This Row],[Fix.ch. 2015]]+Tabel668910192831[[#This Row],[Var. ch. 2015]]+Tabel668910192831[[#This Row],[Oth. ch. DW 2015]]</f>
        <v>109.61566198295037</v>
      </c>
      <c r="J161" s="567">
        <v>0</v>
      </c>
      <c r="K161" s="568">
        <f>584/E161</f>
        <v>147.77365327341417</v>
      </c>
      <c r="L161" s="568"/>
      <c r="M161" s="568"/>
      <c r="N161" s="569">
        <f>(7.54/E161)*12</f>
        <v>22.894794774278274</v>
      </c>
      <c r="O161" s="1271">
        <v>0</v>
      </c>
      <c r="P161" s="1496">
        <f>Tabel668910192831[[#This Row],[Total. ch. DW 2015]]+Tabel668910192831[[#This Row],[Sew. 2015]]+Tabel668910192831[[#This Row],[WW 2015]]+Tabel668910192831[[#This Row],[Other ch. 2015]]+Tabel668910192831[[#This Row],[VAT 2015]]</f>
        <v>280.28411003064281</v>
      </c>
      <c r="Q161" s="397"/>
    </row>
    <row r="162" spans="1:17" ht="15.75" hidden="1" x14ac:dyDescent="0.25">
      <c r="A162" s="1818" t="s">
        <v>23</v>
      </c>
      <c r="B162" s="1656"/>
      <c r="C162" s="1513" t="s">
        <v>133</v>
      </c>
      <c r="D162" s="2347">
        <v>27800</v>
      </c>
      <c r="E162" s="616">
        <f>'[1]exchange rates'!$M$48</f>
        <v>0.92093999999999998</v>
      </c>
      <c r="F162" s="549">
        <f>51.48/E162</f>
        <v>55.899407127500162</v>
      </c>
      <c r="G162" s="550">
        <f>40.88/E162</f>
        <v>44.389428192933309</v>
      </c>
      <c r="H162" s="551">
        <f>11.12/E162</f>
        <v>12.07461941060221</v>
      </c>
      <c r="I162" s="566">
        <f>Tabel668910192831[[#This Row],[Fix.ch. 2015]]+Tabel668910192831[[#This Row],[Var. ch. 2015]]+Tabel668910192831[[#This Row],[Oth. ch. DW 2015]]</f>
        <v>112.36345473103567</v>
      </c>
      <c r="J162" s="567">
        <v>0</v>
      </c>
      <c r="K162" s="568">
        <f>37.48/E162</f>
        <v>40.69754815731752</v>
      </c>
      <c r="L162" s="568"/>
      <c r="M162" s="568"/>
      <c r="N162" s="569">
        <f>2.96/E162</f>
        <v>3.2141073251243295</v>
      </c>
      <c r="O162" s="1271">
        <f>5.72/E162</f>
        <v>6.211045236388907</v>
      </c>
      <c r="P162" s="1496">
        <f>Tabel668910192831[[#This Row],[Total. ch. DW 2015]]+Tabel668910192831[[#This Row],[Sew. 2015]]+Tabel668910192831[[#This Row],[WW 2015]]+Tabel668910192831[[#This Row],[Other ch. 2015]]+Tabel668910192831[[#This Row],[VAT 2015]]</f>
        <v>162.48615544986643</v>
      </c>
      <c r="Q162" s="397"/>
    </row>
    <row r="163" spans="1:17" ht="15.75" hidden="1" x14ac:dyDescent="0.25">
      <c r="A163" s="2294"/>
      <c r="B163" s="1656"/>
      <c r="C163" s="543" t="s">
        <v>134</v>
      </c>
      <c r="D163" s="2359"/>
      <c r="E163" s="616">
        <f>'[1]exchange rates'!$M$48</f>
        <v>0.92093999999999998</v>
      </c>
      <c r="F163" s="549">
        <f>48.84/E163</f>
        <v>53.032770864551445</v>
      </c>
      <c r="G163" s="550">
        <f>70.99/E163</f>
        <v>77.084283449518963</v>
      </c>
      <c r="H163" s="551">
        <f>0</f>
        <v>0</v>
      </c>
      <c r="I163" s="566">
        <f>Tabel668910192831[[#This Row],[Fix.ch. 2015]]+Tabel668910192831[[#This Row],[Var. ch. 2015]]+Tabel668910192831[[#This Row],[Oth. ch. DW 2015]]</f>
        <v>130.1170543140704</v>
      </c>
      <c r="J163" s="567">
        <v>0</v>
      </c>
      <c r="K163" s="568">
        <f>105.89/E163</f>
        <v>114.9803461680457</v>
      </c>
      <c r="L163" s="568"/>
      <c r="M163" s="568"/>
      <c r="N163" s="569">
        <f>10.25/E163</f>
        <v>11.12993246031229</v>
      </c>
      <c r="O163" s="1271">
        <f>7.8/E163</f>
        <v>8.4696071405303268</v>
      </c>
      <c r="P163" s="1496">
        <f>Tabel668910192831[[#This Row],[Total. ch. DW 2015]]+Tabel668910192831[[#This Row],[Sew. 2015]]+Tabel668910192831[[#This Row],[WW 2015]]+Tabel668910192831[[#This Row],[Other ch. 2015]]+Tabel668910192831[[#This Row],[VAT 2015]]</f>
        <v>264.69694008295869</v>
      </c>
      <c r="Q163" s="397"/>
    </row>
    <row r="164" spans="1:17" ht="15.75" hidden="1" x14ac:dyDescent="0.25">
      <c r="A164" s="2294"/>
      <c r="B164" s="1656"/>
      <c r="C164" s="543" t="s">
        <v>135</v>
      </c>
      <c r="D164" s="2359"/>
      <c r="E164" s="616">
        <f>'[1]exchange rates'!$M$48</f>
        <v>0.92093999999999998</v>
      </c>
      <c r="F164" s="549">
        <f>41.11/E164</f>
        <v>44.639173018872022</v>
      </c>
      <c r="G164" s="550">
        <f>74.53/E164</f>
        <v>80.928182074836585</v>
      </c>
      <c r="H164" s="551">
        <v>0</v>
      </c>
      <c r="I164" s="566">
        <f>Tabel668910192831[[#This Row],[Fix.ch. 2015]]+Tabel668910192831[[#This Row],[Var. ch. 2015]]+Tabel668910192831[[#This Row],[Oth. ch. DW 2015]]</f>
        <v>125.56735509370861</v>
      </c>
      <c r="J164" s="567">
        <v>0</v>
      </c>
      <c r="K164" s="568">
        <f>45.14/E164</f>
        <v>49.015136708146024</v>
      </c>
      <c r="L164" s="568"/>
      <c r="M164" s="568"/>
      <c r="N164" s="569">
        <f>3.07/E164</f>
        <v>3.333550502747193</v>
      </c>
      <c r="O164" s="1271">
        <f>9.83/E164</f>
        <v>10.673876691206811</v>
      </c>
      <c r="P164" s="1496">
        <f>Tabel668910192831[[#This Row],[Total. ch. DW 2015]]+Tabel668910192831[[#This Row],[Sew. 2015]]+Tabel668910192831[[#This Row],[WW 2015]]+Tabel668910192831[[#This Row],[Other ch. 2015]]+Tabel668910192831[[#This Row],[VAT 2015]]</f>
        <v>188.58991899580863</v>
      </c>
      <c r="Q164" s="397"/>
    </row>
    <row r="165" spans="1:17" ht="15.75" hidden="1" x14ac:dyDescent="0.25">
      <c r="A165" s="2294"/>
      <c r="B165" s="1656"/>
      <c r="C165" s="543" t="s">
        <v>136</v>
      </c>
      <c r="D165" s="2359"/>
      <c r="E165" s="616">
        <f>'[1]exchange rates'!$M$48</f>
        <v>0.92093999999999998</v>
      </c>
      <c r="F165" s="549">
        <f>37.14/E165</f>
        <v>40.328360153755945</v>
      </c>
      <c r="G165" s="550">
        <f>78.71/E165</f>
        <v>85.467022824505392</v>
      </c>
      <c r="H165" s="551">
        <v>0</v>
      </c>
      <c r="I165" s="566">
        <f>Tabel668910192831[[#This Row],[Fix.ch. 2015]]+Tabel668910192831[[#This Row],[Var. ch. 2015]]+Tabel668910192831[[#This Row],[Oth. ch. DW 2015]]</f>
        <v>125.79538297826133</v>
      </c>
      <c r="J165" s="567">
        <v>0</v>
      </c>
      <c r="K165" s="568">
        <f>93.64/E165</f>
        <v>101.67871956913588</v>
      </c>
      <c r="L165" s="568"/>
      <c r="M165" s="568"/>
      <c r="N165" s="569">
        <f>4.73/E165</f>
        <v>5.1360566377831356</v>
      </c>
      <c r="O165" s="1271">
        <f>7.23/E165</f>
        <v>7.8506743110300352</v>
      </c>
      <c r="P165" s="1496">
        <f>Tabel668910192831[[#This Row],[Total. ch. DW 2015]]+Tabel668910192831[[#This Row],[Sew. 2015]]+Tabel668910192831[[#This Row],[WW 2015]]+Tabel668910192831[[#This Row],[Other ch. 2015]]+Tabel668910192831[[#This Row],[VAT 2015]]</f>
        <v>240.46083349621037</v>
      </c>
      <c r="Q165" s="397"/>
    </row>
    <row r="166" spans="1:17" ht="15.75" hidden="1" x14ac:dyDescent="0.25">
      <c r="A166" s="2294"/>
      <c r="B166" s="1656"/>
      <c r="C166" s="543" t="s">
        <v>137</v>
      </c>
      <c r="D166" s="2359"/>
      <c r="E166" s="616">
        <f>'[1]exchange rates'!$M$48</f>
        <v>0.92093999999999998</v>
      </c>
      <c r="F166" s="549">
        <f>56.28/E166</f>
        <v>61.111473060134216</v>
      </c>
      <c r="G166" s="550">
        <f>55/E166</f>
        <v>59.721588811431801</v>
      </c>
      <c r="H166" s="551">
        <v>0</v>
      </c>
      <c r="I166" s="566">
        <f>Tabel668910192831[[#This Row],[Fix.ch. 2015]]+Tabel668910192831[[#This Row],[Var. ch. 2015]]+Tabel668910192831[[#This Row],[Oth. ch. DW 2015]]</f>
        <v>120.83306187156602</v>
      </c>
      <c r="J166" s="567">
        <v>0</v>
      </c>
      <c r="K166" s="568">
        <f>95.32/E166</f>
        <v>103.50294264555779</v>
      </c>
      <c r="L166" s="568"/>
      <c r="M166" s="568"/>
      <c r="N166" s="569">
        <f>3.06/E166</f>
        <v>3.3226920320542055</v>
      </c>
      <c r="O166" s="1271">
        <f>12.58/E166</f>
        <v>13.659956131778401</v>
      </c>
      <c r="P166" s="1496">
        <f>Tabel668910192831[[#This Row],[Total. ch. DW 2015]]+Tabel668910192831[[#This Row],[Sew. 2015]]+Tabel668910192831[[#This Row],[WW 2015]]+Tabel668910192831[[#This Row],[Other ch. 2015]]+Tabel668910192831[[#This Row],[VAT 2015]]</f>
        <v>241.3186526809564</v>
      </c>
      <c r="Q166" s="397"/>
    </row>
    <row r="167" spans="1:17" ht="15.75" hidden="1" x14ac:dyDescent="0.25">
      <c r="A167" s="2294"/>
      <c r="B167" s="1656"/>
      <c r="C167" s="543" t="s">
        <v>138</v>
      </c>
      <c r="D167" s="2359"/>
      <c r="E167" s="616">
        <f>'[1]exchange rates'!$M$48</f>
        <v>0.92093999999999998</v>
      </c>
      <c r="F167" s="549">
        <f>46.74/E167</f>
        <v>50.752492019024046</v>
      </c>
      <c r="G167" s="550">
        <f>65.33/E167</f>
        <v>70.93838903728799</v>
      </c>
      <c r="H167" s="551">
        <v>0</v>
      </c>
      <c r="I167" s="566">
        <f>Tabel668910192831[[#This Row],[Fix.ch. 2015]]+Tabel668910192831[[#This Row],[Var. ch. 2015]]+Tabel668910192831[[#This Row],[Oth. ch. DW 2015]]</f>
        <v>121.69088105631204</v>
      </c>
      <c r="J167" s="567">
        <v>0</v>
      </c>
      <c r="K167" s="568">
        <f>82.46/E167</f>
        <v>89.538949334375744</v>
      </c>
      <c r="L167" s="568"/>
      <c r="M167" s="568"/>
      <c r="N167" s="569">
        <f>4.1/E167</f>
        <v>4.4519729841249154</v>
      </c>
      <c r="O167" s="1271">
        <f>11.92/E167</f>
        <v>12.943297066041218</v>
      </c>
      <c r="P167" s="1496">
        <f>Tabel668910192831[[#This Row],[Total. ch. DW 2015]]+Tabel668910192831[[#This Row],[Sew. 2015]]+Tabel668910192831[[#This Row],[WW 2015]]+Tabel668910192831[[#This Row],[Other ch. 2015]]+Tabel668910192831[[#This Row],[VAT 2015]]</f>
        <v>228.62510044085391</v>
      </c>
      <c r="Q167" s="397"/>
    </row>
    <row r="168" spans="1:17" ht="16.5" hidden="1" thickBot="1" x14ac:dyDescent="0.3">
      <c r="A168" s="2295"/>
      <c r="B168" s="1656"/>
      <c r="C168" s="543" t="s">
        <v>139</v>
      </c>
      <c r="D168" s="2349"/>
      <c r="E168" s="616">
        <f>'[1]exchange rates'!$M$48</f>
        <v>0.92093999999999998</v>
      </c>
      <c r="F168" s="549">
        <f>32.75/E168</f>
        <v>35.561491519534393</v>
      </c>
      <c r="G168" s="550">
        <f>52.9/E168</f>
        <v>57.441309965904402</v>
      </c>
      <c r="H168" s="551">
        <v>0</v>
      </c>
      <c r="I168" s="566">
        <f>Tabel668910192831[[#This Row],[Fix.ch. 2015]]+Tabel668910192831[[#This Row],[Var. ch. 2015]]+Tabel668910192831[[#This Row],[Oth. ch. DW 2015]]</f>
        <v>93.002801485438795</v>
      </c>
      <c r="J168" s="567">
        <f>0</f>
        <v>0</v>
      </c>
      <c r="K168" s="568">
        <f>92.57/E168</f>
        <v>100.51686320498621</v>
      </c>
      <c r="L168" s="568"/>
      <c r="M168" s="568"/>
      <c r="N168" s="569">
        <f>2.9/E168</f>
        <v>3.148956500966404</v>
      </c>
      <c r="O168" s="1271">
        <f>10.87/E168</f>
        <v>11.803157643277521</v>
      </c>
      <c r="P168" s="1496">
        <f>Tabel668910192831[[#This Row],[Total. ch. DW 2015]]+Tabel668910192831[[#This Row],[Sew. 2015]]+Tabel668910192831[[#This Row],[WW 2015]]+Tabel668910192831[[#This Row],[Other ch. 2015]]+Tabel668910192831[[#This Row],[VAT 2015]]</f>
        <v>208.47177883466892</v>
      </c>
      <c r="Q168" s="397"/>
    </row>
    <row r="169" spans="1:17" ht="15.75" hidden="1" customHeight="1" x14ac:dyDescent="0.25">
      <c r="A169" s="2367" t="s">
        <v>40</v>
      </c>
      <c r="B169" s="1651"/>
      <c r="C169" s="457" t="s">
        <v>1351</v>
      </c>
      <c r="D169" s="2347">
        <v>20600</v>
      </c>
      <c r="E169" s="616">
        <f>'[1]exchange rates'!$M$49</f>
        <v>4.1749499999999999</v>
      </c>
      <c r="F169" s="319"/>
      <c r="G169" s="320"/>
      <c r="H169" s="321"/>
      <c r="I169" s="313"/>
      <c r="J169" s="322"/>
      <c r="K169" s="323"/>
      <c r="L169" s="323"/>
      <c r="M169" s="323"/>
      <c r="N169" s="324"/>
      <c r="O169" s="1258"/>
      <c r="P169" s="1491"/>
      <c r="Q169" s="397"/>
    </row>
    <row r="170" spans="1:17" ht="15.75" hidden="1" customHeight="1" x14ac:dyDescent="0.25">
      <c r="A170" s="2368"/>
      <c r="B170" s="1651"/>
      <c r="C170" s="754" t="s">
        <v>188</v>
      </c>
      <c r="D170" s="2348"/>
      <c r="E170" s="616">
        <f>'[1]exchange rates'!$M$49</f>
        <v>4.1749499999999999</v>
      </c>
      <c r="F170" s="549">
        <v>0</v>
      </c>
      <c r="G170" s="550">
        <f>320/E170</f>
        <v>76.647624522449377</v>
      </c>
      <c r="H170" s="551">
        <v>0</v>
      </c>
      <c r="I170" s="566" t="e">
        <f>[1]!Tabel668910[[#This Row],[Fix.ch. 2015]]+[1]!Tabel668910[[#This Row],[Var. ch. 2015]]+[1]!Tabel668910[[#This Row],[Oth. ch. DW 2015]]</f>
        <v>#REF!</v>
      </c>
      <c r="J170" s="567">
        <v>0</v>
      </c>
      <c r="K170" s="568">
        <f>233/E170</f>
        <v>55.809051605408449</v>
      </c>
      <c r="L170" s="568"/>
      <c r="M170" s="568"/>
      <c r="N170" s="569">
        <v>0</v>
      </c>
      <c r="O170" s="1271">
        <f>132.72/E170</f>
        <v>31.789602270685876</v>
      </c>
      <c r="P170" s="1496" t="e">
        <f>[1]!Tabel668910[[#This Row],[Total. ch. DW 2015]]+[1]!Tabel668910[[#This Row],[Sew. 2015]]+[1]!Tabel668910[[#This Row],[WW 2015]]+[1]!Tabel668910[[#This Row],[Other ch. 2015]]+[1]!Tabel668910[[#This Row],[VAT 2015]]</f>
        <v>#REF!</v>
      </c>
      <c r="Q170" s="397"/>
    </row>
    <row r="171" spans="1:17" ht="15.75" hidden="1" customHeight="1" x14ac:dyDescent="0.25">
      <c r="A171" s="2368"/>
      <c r="B171" s="1651"/>
      <c r="C171" s="457" t="s">
        <v>189</v>
      </c>
      <c r="D171" s="2348"/>
      <c r="E171" s="616">
        <f>'[1]exchange rates'!$M$49</f>
        <v>4.1749499999999999</v>
      </c>
      <c r="F171" s="549"/>
      <c r="G171" s="550"/>
      <c r="H171" s="551"/>
      <c r="I171" s="566"/>
      <c r="J171" s="567"/>
      <c r="K171" s="568"/>
      <c r="L171" s="568"/>
      <c r="M171" s="568"/>
      <c r="N171" s="569"/>
      <c r="O171" s="1271"/>
      <c r="P171" s="1496"/>
      <c r="Q171" s="397"/>
    </row>
    <row r="172" spans="1:17" ht="15.75" hidden="1" customHeight="1" x14ac:dyDescent="0.25">
      <c r="A172" s="2368"/>
      <c r="B172" s="1651"/>
      <c r="C172" s="754" t="s">
        <v>190</v>
      </c>
      <c r="D172" s="2348"/>
      <c r="E172" s="616">
        <f>'[1]exchange rates'!$M$49</f>
        <v>4.1749499999999999</v>
      </c>
      <c r="F172" s="549">
        <v>0</v>
      </c>
      <c r="G172" s="550">
        <f>352/E172</f>
        <v>84.312386974694306</v>
      </c>
      <c r="H172" s="551">
        <v>0</v>
      </c>
      <c r="I172" s="566" t="e">
        <f>[1]!Tabel668910[[#This Row],[Fix.ch. 2015]]+[1]!Tabel668910[[#This Row],[Var. ch. 2015]]+[1]!Tabel668910[[#This Row],[Oth. ch. DW 2015]]</f>
        <v>#REF!</v>
      </c>
      <c r="J172" s="567">
        <v>0</v>
      </c>
      <c r="K172" s="568">
        <f>243/E172</f>
        <v>58.204289871734993</v>
      </c>
      <c r="L172" s="568"/>
      <c r="M172" s="568"/>
      <c r="N172" s="569">
        <v>0</v>
      </c>
      <c r="O172" s="1271">
        <f>142.8/E172</f>
        <v>34.204002443143033</v>
      </c>
      <c r="P172" s="1496" t="e">
        <f>[1]!Tabel668910[[#This Row],[Total. ch. DW 2015]]+[1]!Tabel668910[[#This Row],[Sew. 2015]]+[1]!Tabel668910[[#This Row],[WW 2015]]+[1]!Tabel668910[[#This Row],[Other ch. 2015]]+[1]!Tabel668910[[#This Row],[VAT 2015]]</f>
        <v>#REF!</v>
      </c>
      <c r="Q172" s="397"/>
    </row>
    <row r="173" spans="1:17" ht="15.75" hidden="1" customHeight="1" x14ac:dyDescent="0.25">
      <c r="A173" s="2368"/>
      <c r="B173" s="1651"/>
      <c r="C173" s="261" t="s">
        <v>191</v>
      </c>
      <c r="D173" s="2348"/>
      <c r="E173" s="616">
        <f>'[1]exchange rates'!$M$49</f>
        <v>4.1749499999999999</v>
      </c>
      <c r="F173" s="549"/>
      <c r="G173" s="550"/>
      <c r="H173" s="551"/>
      <c r="I173" s="566"/>
      <c r="J173" s="567"/>
      <c r="K173" s="568"/>
      <c r="L173" s="568"/>
      <c r="M173" s="568"/>
      <c r="N173" s="569"/>
      <c r="O173" s="1271"/>
      <c r="P173" s="1496"/>
      <c r="Q173" s="397"/>
    </row>
    <row r="174" spans="1:17" ht="15.75" hidden="1" customHeight="1" x14ac:dyDescent="0.25">
      <c r="A174" s="2368"/>
      <c r="B174" s="1651"/>
      <c r="C174" s="261" t="s">
        <v>218</v>
      </c>
      <c r="D174" s="2348"/>
      <c r="E174" s="616">
        <f>'[1]exchange rates'!$M$49</f>
        <v>4.1749499999999999</v>
      </c>
      <c r="F174" s="549"/>
      <c r="G174" s="550"/>
      <c r="H174" s="551"/>
      <c r="I174" s="566"/>
      <c r="J174" s="567"/>
      <c r="K174" s="568"/>
      <c r="L174" s="568"/>
      <c r="M174" s="568"/>
      <c r="N174" s="569"/>
      <c r="O174" s="1271"/>
      <c r="P174" s="1496"/>
      <c r="Q174" s="397"/>
    </row>
    <row r="175" spans="1:17" ht="16.5" hidden="1" customHeight="1" x14ac:dyDescent="0.25">
      <c r="A175" s="2368"/>
      <c r="B175" s="1651"/>
      <c r="C175" s="633" t="s">
        <v>219</v>
      </c>
      <c r="D175" s="2359"/>
      <c r="E175" s="616">
        <f>'[1]exchange rates'!$M$49</f>
        <v>4.1749499999999999</v>
      </c>
      <c r="F175" s="549">
        <v>0</v>
      </c>
      <c r="G175" s="550">
        <f>278/E175</f>
        <v>66.587623803877889</v>
      </c>
      <c r="H175" s="551">
        <v>0</v>
      </c>
      <c r="I175" s="566" t="e">
        <f>[1]!Tabel668910[[#This Row],[Fix.ch. 2015]]+[1]!Tabel668910[[#This Row],[Var. ch. 2015]]+[1]!Tabel668910[[#This Row],[Oth. ch. DW 2015]]</f>
        <v>#REF!</v>
      </c>
      <c r="J175" s="567">
        <v>0</v>
      </c>
      <c r="K175" s="568">
        <f>184/E175</f>
        <v>44.072384100408392</v>
      </c>
      <c r="L175" s="568"/>
      <c r="M175" s="568"/>
      <c r="N175" s="569">
        <v>0</v>
      </c>
      <c r="O175" s="1271">
        <f>110.88/E175</f>
        <v>26.558401897028705</v>
      </c>
      <c r="P175" s="1496" t="e">
        <f>[1]!Tabel668910[[#This Row],[Total. ch. DW 2015]]+[1]!Tabel668910[[#This Row],[Sew. 2015]]+[1]!Tabel668910[[#This Row],[WW 2015]]+[1]!Tabel668910[[#This Row],[Other ch. 2015]]+[1]!Tabel668910[[#This Row],[VAT 2015]]</f>
        <v>#REF!</v>
      </c>
      <c r="Q175" s="397"/>
    </row>
    <row r="176" spans="1:17" ht="15.75" hidden="1" customHeight="1" x14ac:dyDescent="0.25">
      <c r="A176" s="2368"/>
      <c r="B176" s="1651"/>
      <c r="C176" s="633" t="s">
        <v>513</v>
      </c>
      <c r="D176" s="2359"/>
      <c r="E176" s="616">
        <f>'[1]exchange rates'!$M$49</f>
        <v>4.1749499999999999</v>
      </c>
      <c r="F176" s="549">
        <v>0</v>
      </c>
      <c r="G176" s="550">
        <f>369/E176</f>
        <v>88.384292027449433</v>
      </c>
      <c r="H176" s="551">
        <v>0</v>
      </c>
      <c r="I176" s="566" t="e">
        <f>[1]!Tabel668910[[#This Row],[Fix.ch. 2015]]+[1]!Tabel668910[[#This Row],[Var. ch. 2015]]+[1]!Tabel668910[[#This Row],[Oth. ch. DW 2015]]</f>
        <v>#REF!</v>
      </c>
      <c r="J176" s="567">
        <v>0</v>
      </c>
      <c r="K176" s="568">
        <f>332/E176</f>
        <v>79.521910442041218</v>
      </c>
      <c r="L176" s="568"/>
      <c r="M176" s="568"/>
      <c r="N176" s="569">
        <v>0</v>
      </c>
      <c r="O176" s="1271">
        <f>168.24/E176</f>
        <v>40.297488592677759</v>
      </c>
      <c r="P176" s="1496" t="e">
        <f>[1]!Tabel668910[[#This Row],[Total. ch. DW 2015]]+[1]!Tabel668910[[#This Row],[Sew. 2015]]+[1]!Tabel668910[[#This Row],[WW 2015]]+[1]!Tabel668910[[#This Row],[Other ch. 2015]]+[1]!Tabel668910[[#This Row],[VAT 2015]]</f>
        <v>#REF!</v>
      </c>
      <c r="Q176" s="397"/>
    </row>
    <row r="177" spans="1:17" ht="15.75" hidden="1" customHeight="1" x14ac:dyDescent="0.25">
      <c r="A177" s="2368"/>
      <c r="B177" s="1651"/>
      <c r="C177" s="503" t="s">
        <v>514</v>
      </c>
      <c r="D177" s="2359"/>
      <c r="E177" s="616">
        <f>'[1]exchange rates'!$M$49</f>
        <v>4.1749499999999999</v>
      </c>
      <c r="F177" s="549"/>
      <c r="G177" s="550"/>
      <c r="H177" s="551"/>
      <c r="I177" s="566"/>
      <c r="J177" s="567"/>
      <c r="K177" s="568"/>
      <c r="L177" s="568"/>
      <c r="M177" s="568"/>
      <c r="N177" s="569"/>
      <c r="O177" s="1271"/>
      <c r="P177" s="1496"/>
      <c r="Q177" s="397"/>
    </row>
    <row r="178" spans="1:17" ht="15.75" hidden="1" customHeight="1" x14ac:dyDescent="0.25">
      <c r="A178" s="2368"/>
      <c r="B178" s="1651"/>
      <c r="C178" s="503" t="s">
        <v>515</v>
      </c>
      <c r="D178" s="2359"/>
      <c r="E178" s="616">
        <f>'[1]exchange rates'!$M$49</f>
        <v>4.1749499999999999</v>
      </c>
      <c r="F178" s="549"/>
      <c r="G178" s="550"/>
      <c r="H178" s="551"/>
      <c r="I178" s="566"/>
      <c r="J178" s="567"/>
      <c r="K178" s="568"/>
      <c r="L178" s="568"/>
      <c r="M178" s="568"/>
      <c r="N178" s="569"/>
      <c r="O178" s="1271"/>
      <c r="P178" s="1496"/>
      <c r="Q178" s="397"/>
    </row>
    <row r="179" spans="1:17" ht="15.75" hidden="1" customHeight="1" x14ac:dyDescent="0.25">
      <c r="A179" s="2368"/>
      <c r="B179" s="1651"/>
      <c r="C179" s="633" t="s">
        <v>516</v>
      </c>
      <c r="D179" s="2359"/>
      <c r="E179" s="616">
        <f>'[1]exchange rates'!$M$49</f>
        <v>4.1749499999999999</v>
      </c>
      <c r="F179" s="549">
        <v>0</v>
      </c>
      <c r="G179" s="550">
        <f>440/E179</f>
        <v>105.39048371836789</v>
      </c>
      <c r="H179" s="551">
        <v>0</v>
      </c>
      <c r="I179" s="566" t="e">
        <f>[1]!Tabel668910[[#This Row],[Fix.ch. 2015]]+[1]!Tabel668910[[#This Row],[Var. ch. 2015]]+[1]!Tabel668910[[#This Row],[Oth. ch. DW 2015]]</f>
        <v>#REF!</v>
      </c>
      <c r="J179" s="567">
        <v>0</v>
      </c>
      <c r="K179" s="568">
        <f>251/E179</f>
        <v>60.120480484796225</v>
      </c>
      <c r="L179" s="568"/>
      <c r="M179" s="568"/>
      <c r="N179" s="569">
        <v>0</v>
      </c>
      <c r="O179" s="1271">
        <f>165.84/E179</f>
        <v>39.722631408759391</v>
      </c>
      <c r="P179" s="1496" t="e">
        <f>[1]!Tabel668910[[#This Row],[Total. ch. DW 2015]]+[1]!Tabel668910[[#This Row],[Sew. 2015]]+[1]!Tabel668910[[#This Row],[WW 2015]]+[1]!Tabel668910[[#This Row],[Other ch. 2015]]+[1]!Tabel668910[[#This Row],[VAT 2015]]</f>
        <v>#REF!</v>
      </c>
      <c r="Q179" s="397"/>
    </row>
    <row r="180" spans="1:17" ht="15.75" hidden="1" customHeight="1" x14ac:dyDescent="0.25">
      <c r="A180" s="2368"/>
      <c r="B180" s="1651"/>
      <c r="C180" s="503" t="s">
        <v>1352</v>
      </c>
      <c r="D180" s="2359"/>
      <c r="E180" s="616">
        <f>'[1]exchange rates'!$M$49</f>
        <v>4.1749499999999999</v>
      </c>
      <c r="F180" s="549"/>
      <c r="G180" s="550"/>
      <c r="H180" s="551"/>
      <c r="I180" s="566"/>
      <c r="J180" s="567"/>
      <c r="K180" s="568"/>
      <c r="L180" s="568"/>
      <c r="M180" s="568"/>
      <c r="N180" s="569"/>
      <c r="O180" s="1271"/>
      <c r="P180" s="1496"/>
      <c r="Q180" s="397"/>
    </row>
    <row r="181" spans="1:17" ht="15.75" hidden="1" customHeight="1" x14ac:dyDescent="0.25">
      <c r="A181" s="2368"/>
      <c r="B181" s="1651"/>
      <c r="C181" s="503" t="s">
        <v>517</v>
      </c>
      <c r="D181" s="2359"/>
      <c r="E181" s="616">
        <f>'[1]exchange rates'!$M$49</f>
        <v>4.1749499999999999</v>
      </c>
      <c r="F181" s="549"/>
      <c r="G181" s="550"/>
      <c r="H181" s="551"/>
      <c r="I181" s="566"/>
      <c r="J181" s="567"/>
      <c r="K181" s="568"/>
      <c r="L181" s="568"/>
      <c r="M181" s="568"/>
      <c r="N181" s="569"/>
      <c r="O181" s="1271"/>
      <c r="P181" s="1496"/>
      <c r="Q181" s="397"/>
    </row>
    <row r="182" spans="1:17" ht="15.75" hidden="1" customHeight="1" x14ac:dyDescent="0.25">
      <c r="A182" s="2368"/>
      <c r="B182" s="1651"/>
      <c r="C182" s="503" t="s">
        <v>518</v>
      </c>
      <c r="D182" s="2359"/>
      <c r="E182" s="616">
        <f>'[1]exchange rates'!$M$49</f>
        <v>4.1749499999999999</v>
      </c>
      <c r="F182" s="549"/>
      <c r="G182" s="550"/>
      <c r="H182" s="551"/>
      <c r="I182" s="566"/>
      <c r="J182" s="567"/>
      <c r="K182" s="568"/>
      <c r="L182" s="568"/>
      <c r="M182" s="568"/>
      <c r="N182" s="569"/>
      <c r="O182" s="1271"/>
      <c r="P182" s="1496"/>
      <c r="Q182" s="397"/>
    </row>
    <row r="183" spans="1:17" ht="15.75" hidden="1" customHeight="1" x14ac:dyDescent="0.25">
      <c r="A183" s="2368"/>
      <c r="B183" s="1651"/>
      <c r="C183" s="503" t="s">
        <v>519</v>
      </c>
      <c r="D183" s="2359"/>
      <c r="E183" s="616">
        <f>'[1]exchange rates'!$M$49</f>
        <v>4.1749499999999999</v>
      </c>
      <c r="F183" s="549"/>
      <c r="G183" s="550"/>
      <c r="H183" s="551"/>
      <c r="I183" s="566"/>
      <c r="J183" s="567"/>
      <c r="K183" s="568"/>
      <c r="L183" s="568"/>
      <c r="M183" s="568"/>
      <c r="N183" s="569"/>
      <c r="O183" s="1271"/>
      <c r="P183" s="1496"/>
      <c r="Q183" s="397"/>
    </row>
    <row r="184" spans="1:17" ht="15.75" hidden="1" customHeight="1" x14ac:dyDescent="0.25">
      <c r="A184" s="2368"/>
      <c r="B184" s="1651"/>
      <c r="C184" s="503" t="s">
        <v>596</v>
      </c>
      <c r="D184" s="2359"/>
      <c r="E184" s="616">
        <f>'[1]exchange rates'!$M$49</f>
        <v>4.1749499999999999</v>
      </c>
      <c r="F184" s="549"/>
      <c r="G184" s="550"/>
      <c r="H184" s="551"/>
      <c r="I184" s="566"/>
      <c r="J184" s="567"/>
      <c r="K184" s="568"/>
      <c r="L184" s="568"/>
      <c r="M184" s="568"/>
      <c r="N184" s="569"/>
      <c r="O184" s="1271"/>
      <c r="P184" s="1496"/>
      <c r="Q184" s="397"/>
    </row>
    <row r="185" spans="1:17" ht="15.75" hidden="1" customHeight="1" x14ac:dyDescent="0.25">
      <c r="A185" s="2368"/>
      <c r="B185" s="1651"/>
      <c r="C185" s="633" t="s">
        <v>1353</v>
      </c>
      <c r="D185" s="2359"/>
      <c r="E185" s="616">
        <f>'[1]exchange rates'!$M$49</f>
        <v>4.1749499999999999</v>
      </c>
      <c r="F185" s="549">
        <v>0</v>
      </c>
      <c r="G185" s="550">
        <f>311/E185</f>
        <v>74.491910082755481</v>
      </c>
      <c r="H185" s="551">
        <v>0</v>
      </c>
      <c r="I185" s="566" t="e">
        <f>[1]!Tabel668910[[#This Row],[Fix.ch. 2015]]+[1]!Tabel668910[[#This Row],[Var. ch. 2015]]+[1]!Tabel668910[[#This Row],[Oth. ch. DW 2015]]</f>
        <v>#REF!</v>
      </c>
      <c r="J185" s="567">
        <v>0</v>
      </c>
      <c r="K185" s="568">
        <f>124/E185</f>
        <v>29.700954502449132</v>
      </c>
      <c r="L185" s="568"/>
      <c r="M185" s="568"/>
      <c r="N185" s="569">
        <v>0</v>
      </c>
      <c r="O185" s="1271">
        <f>104.4/E185</f>
        <v>25.006287500449108</v>
      </c>
      <c r="P185" s="1496" t="e">
        <f>[1]!Tabel668910[[#This Row],[Total. ch. DW 2015]]+[1]!Tabel668910[[#This Row],[Sew. 2015]]+[1]!Tabel668910[[#This Row],[WW 2015]]+[1]!Tabel668910[[#This Row],[Other ch. 2015]]+[1]!Tabel668910[[#This Row],[VAT 2015]]</f>
        <v>#REF!</v>
      </c>
      <c r="Q185" s="397"/>
    </row>
    <row r="186" spans="1:17" ht="16.5" hidden="1" customHeight="1" x14ac:dyDescent="0.25">
      <c r="A186" s="2368"/>
      <c r="B186" s="1651"/>
      <c r="C186" s="633" t="s">
        <v>520</v>
      </c>
      <c r="D186" s="2359"/>
      <c r="E186" s="616">
        <f>'[1]exchange rates'!$M$49</f>
        <v>4.1749499999999999</v>
      </c>
      <c r="F186" s="549">
        <v>0</v>
      </c>
      <c r="G186" s="550">
        <f>319/E186</f>
        <v>76.408100695816714</v>
      </c>
      <c r="H186" s="551">
        <v>0</v>
      </c>
      <c r="I186" s="566" t="e">
        <f>[1]!Tabel668910[[#This Row],[Fix.ch. 2015]]+[1]!Tabel668910[[#This Row],[Var. ch. 2015]]+[1]!Tabel668910[[#This Row],[Oth. ch. DW 2015]]</f>
        <v>#REF!</v>
      </c>
      <c r="J186" s="567">
        <v>0</v>
      </c>
      <c r="K186" s="568">
        <f>307/E186</f>
        <v>73.533814776224872</v>
      </c>
      <c r="L186" s="568"/>
      <c r="M186" s="568"/>
      <c r="N186" s="569">
        <v>0</v>
      </c>
      <c r="O186" s="1271">
        <f>150.24/E186</f>
        <v>35.986059713289983</v>
      </c>
      <c r="P186" s="1496" t="e">
        <f>[1]!Tabel668910[[#This Row],[Total. ch. DW 2015]]+[1]!Tabel668910[[#This Row],[Sew. 2015]]+[1]!Tabel668910[[#This Row],[WW 2015]]+[1]!Tabel668910[[#This Row],[Other ch. 2015]]+[1]!Tabel668910[[#This Row],[VAT 2015]]</f>
        <v>#REF!</v>
      </c>
      <c r="Q186" s="397"/>
    </row>
    <row r="187" spans="1:17" ht="15.75" hidden="1" x14ac:dyDescent="0.25">
      <c r="A187" s="2368"/>
      <c r="B187" s="1651"/>
      <c r="C187" s="633" t="s">
        <v>597</v>
      </c>
      <c r="D187" s="2359"/>
      <c r="E187" s="616">
        <f>'[1]exchange rates'!$M$49</f>
        <v>4.1749499999999999</v>
      </c>
      <c r="F187" s="549">
        <v>0</v>
      </c>
      <c r="G187" s="550">
        <f>351/E187</f>
        <v>84.072863148061657</v>
      </c>
      <c r="H187" s="551">
        <v>0</v>
      </c>
      <c r="I187" s="566" t="e">
        <f>[1]!Tabel668910[[#This Row],[Fix.ch. 2015]]+[1]!Tabel668910[[#This Row],[Var. ch. 2015]]+[1]!Tabel668910[[#This Row],[Oth. ch. DW 2015]]</f>
        <v>#REF!</v>
      </c>
      <c r="J187" s="567">
        <v>0</v>
      </c>
      <c r="K187" s="568">
        <f>253/E187</f>
        <v>60.599528138061537</v>
      </c>
      <c r="L187" s="568"/>
      <c r="M187" s="568"/>
      <c r="N187" s="569">
        <v>0</v>
      </c>
      <c r="O187" s="1271">
        <f>144.96/E187</f>
        <v>34.72137390866957</v>
      </c>
      <c r="P187" s="1496" t="e">
        <f>[1]!Tabel668910[[#This Row],[Total. ch. DW 2015]]+[1]!Tabel668910[[#This Row],[Sew. 2015]]+[1]!Tabel668910[[#This Row],[WW 2015]]+[1]!Tabel668910[[#This Row],[Other ch. 2015]]+[1]!Tabel668910[[#This Row],[VAT 2015]]</f>
        <v>#REF!</v>
      </c>
      <c r="Q187" s="397"/>
    </row>
    <row r="188" spans="1:17" ht="15.75" hidden="1" x14ac:dyDescent="0.25">
      <c r="A188" s="2368"/>
      <c r="B188" s="1651"/>
      <c r="C188" s="633" t="s">
        <v>765</v>
      </c>
      <c r="D188" s="2359"/>
      <c r="E188" s="616">
        <f>'[1]exchange rates'!$M$49</f>
        <v>4.1749499999999999</v>
      </c>
      <c r="F188" s="549">
        <v>0</v>
      </c>
      <c r="G188" s="550">
        <f>309/E188</f>
        <v>74.01286242949017</v>
      </c>
      <c r="H188" s="551">
        <v>0</v>
      </c>
      <c r="I188" s="566" t="e">
        <f>[1]!Tabel668910[[#This Row],[Fix.ch. 2015]]+[1]!Tabel668910[[#This Row],[Var. ch. 2015]]+[1]!Tabel668910[[#This Row],[Oth. ch. DW 2015]]</f>
        <v>#REF!</v>
      </c>
      <c r="J188" s="567">
        <v>0</v>
      </c>
      <c r="K188" s="568">
        <f>257/E188</f>
        <v>61.557623444592153</v>
      </c>
      <c r="L188" s="568"/>
      <c r="M188" s="568"/>
      <c r="N188" s="569">
        <v>0</v>
      </c>
      <c r="O188" s="1271">
        <f>135.84/E188</f>
        <v>32.536916609779759</v>
      </c>
      <c r="P188" s="1496" t="e">
        <f>[1]!Tabel668910[[#This Row],[Total. ch. DW 2015]]+[1]!Tabel668910[[#This Row],[Sew. 2015]]+[1]!Tabel668910[[#This Row],[WW 2015]]+[1]!Tabel668910[[#This Row],[Other ch. 2015]]+[1]!Tabel668910[[#This Row],[VAT 2015]]</f>
        <v>#REF!</v>
      </c>
      <c r="Q188" s="397"/>
    </row>
    <row r="189" spans="1:17" ht="15.75" hidden="1" x14ac:dyDescent="0.25">
      <c r="A189" s="2368"/>
      <c r="B189" s="1651"/>
      <c r="C189" s="633" t="s">
        <v>1354</v>
      </c>
      <c r="D189" s="2359"/>
      <c r="E189" s="616">
        <f>'[1]exchange rates'!$M$49</f>
        <v>4.1749499999999999</v>
      </c>
      <c r="F189" s="549">
        <v>0</v>
      </c>
      <c r="G189" s="550">
        <f>459/E189</f>
        <v>109.94143642438831</v>
      </c>
      <c r="H189" s="551">
        <v>0</v>
      </c>
      <c r="I189" s="566" t="e">
        <f>[1]!Tabel668910[[#This Row],[Fix.ch. 2015]]+[1]!Tabel668910[[#This Row],[Var. ch. 2015]]+[1]!Tabel668910[[#This Row],[Oth. ch. DW 2015]]</f>
        <v>#REF!</v>
      </c>
      <c r="J189" s="567">
        <v>0</v>
      </c>
      <c r="K189" s="568">
        <f>102/E189</f>
        <v>24.431430316530736</v>
      </c>
      <c r="L189" s="568"/>
      <c r="M189" s="568"/>
      <c r="N189" s="569">
        <v>0</v>
      </c>
      <c r="O189" s="1271">
        <f>134.64/E189</f>
        <v>32.249488017820568</v>
      </c>
      <c r="P189" s="1496" t="e">
        <f>[1]!Tabel668910[[#This Row],[Total. ch. DW 2015]]+[1]!Tabel668910[[#This Row],[Sew. 2015]]+[1]!Tabel668910[[#This Row],[WW 2015]]+[1]!Tabel668910[[#This Row],[Other ch. 2015]]+[1]!Tabel668910[[#This Row],[VAT 2015]]</f>
        <v>#REF!</v>
      </c>
      <c r="Q189" s="397"/>
    </row>
    <row r="190" spans="1:17" ht="15.75" hidden="1" x14ac:dyDescent="0.25">
      <c r="A190" s="2368"/>
      <c r="B190" s="1651"/>
      <c r="C190" s="633" t="s">
        <v>766</v>
      </c>
      <c r="D190" s="2359"/>
      <c r="E190" s="616">
        <f>'[1]exchange rates'!$M$49</f>
        <v>4.1749499999999999</v>
      </c>
      <c r="F190" s="549">
        <v>0</v>
      </c>
      <c r="G190" s="550">
        <f>302/E190</f>
        <v>72.3361956430616</v>
      </c>
      <c r="H190" s="551">
        <v>0</v>
      </c>
      <c r="I190" s="566" t="e">
        <f>[1]!Tabel668910[[#This Row],[Fix.ch. 2015]]+[1]!Tabel668910[[#This Row],[Var. ch. 2015]]+[1]!Tabel668910[[#This Row],[Oth. ch. DW 2015]]</f>
        <v>#REF!</v>
      </c>
      <c r="J190" s="567">
        <v>0</v>
      </c>
      <c r="K190" s="568">
        <f>229/E190</f>
        <v>54.850956298877833</v>
      </c>
      <c r="L190" s="568"/>
      <c r="M190" s="568"/>
      <c r="N190" s="569">
        <v>0</v>
      </c>
      <c r="O190" s="1271">
        <f>127.44/E190</f>
        <v>30.524916466065463</v>
      </c>
      <c r="P190" s="1496" t="e">
        <f>[1]!Tabel668910[[#This Row],[Total. ch. DW 2015]]+[1]!Tabel668910[[#This Row],[Sew. 2015]]+[1]!Tabel668910[[#This Row],[WW 2015]]+[1]!Tabel668910[[#This Row],[Other ch. 2015]]+[1]!Tabel668910[[#This Row],[VAT 2015]]</f>
        <v>#REF!</v>
      </c>
      <c r="Q190" s="397"/>
    </row>
    <row r="191" spans="1:17" ht="15.75" hidden="1" x14ac:dyDescent="0.25">
      <c r="A191" s="2368"/>
      <c r="B191" s="1651"/>
      <c r="C191" s="633" t="s">
        <v>767</v>
      </c>
      <c r="D191" s="2359"/>
      <c r="E191" s="616">
        <f>'[1]exchange rates'!$M$49</f>
        <v>4.1749499999999999</v>
      </c>
      <c r="F191" s="549">
        <v>0</v>
      </c>
      <c r="G191" s="550">
        <f>270/E191</f>
        <v>64.671433190816657</v>
      </c>
      <c r="H191" s="551">
        <v>0</v>
      </c>
      <c r="I191" s="566" t="e">
        <f>[1]!Tabel668910[[#This Row],[Fix.ch. 2015]]+[1]!Tabel668910[[#This Row],[Var. ch. 2015]]+[1]!Tabel668910[[#This Row],[Oth. ch. DW 2015]]</f>
        <v>#REF!</v>
      </c>
      <c r="J191" s="567">
        <v>0</v>
      </c>
      <c r="K191" s="568">
        <f>254/E191</f>
        <v>60.839051964694185</v>
      </c>
      <c r="L191" s="568"/>
      <c r="M191" s="568"/>
      <c r="N191" s="569">
        <v>0</v>
      </c>
      <c r="O191" s="1271">
        <f>125.76/E191</f>
        <v>30.122516437322606</v>
      </c>
      <c r="P191" s="1496" t="e">
        <f>[1]!Tabel668910[[#This Row],[Total. ch. DW 2015]]+[1]!Tabel668910[[#This Row],[Sew. 2015]]+[1]!Tabel668910[[#This Row],[WW 2015]]+[1]!Tabel668910[[#This Row],[Other ch. 2015]]+[1]!Tabel668910[[#This Row],[VAT 2015]]</f>
        <v>#REF!</v>
      </c>
      <c r="Q191" s="397"/>
    </row>
    <row r="192" spans="1:17" ht="15.75" hidden="1" x14ac:dyDescent="0.25">
      <c r="A192" s="2368"/>
      <c r="B192" s="1651"/>
      <c r="C192" s="633" t="s">
        <v>768</v>
      </c>
      <c r="D192" s="2359"/>
      <c r="E192" s="616">
        <f>'[1]exchange rates'!$M$49</f>
        <v>4.1749499999999999</v>
      </c>
      <c r="F192" s="549">
        <v>0</v>
      </c>
      <c r="G192" s="550">
        <f>305/E192</f>
        <v>73.054767122959561</v>
      </c>
      <c r="H192" s="551">
        <v>0</v>
      </c>
      <c r="I192" s="566" t="e">
        <f>[1]!Tabel668910[[#This Row],[Fix.ch. 2015]]+[1]!Tabel668910[[#This Row],[Var. ch. 2015]]+[1]!Tabel668910[[#This Row],[Oth. ch. DW 2015]]</f>
        <v>#REF!</v>
      </c>
      <c r="J192" s="567">
        <v>0</v>
      </c>
      <c r="K192" s="568">
        <f>147/E192</f>
        <v>35.210002515000177</v>
      </c>
      <c r="L192" s="568"/>
      <c r="M192" s="568"/>
      <c r="N192" s="569">
        <v>0</v>
      </c>
      <c r="O192" s="1271">
        <f>108.48/E192</f>
        <v>25.983544713110337</v>
      </c>
      <c r="P192" s="1496" t="e">
        <f>[1]!Tabel668910[[#This Row],[Total. ch. DW 2015]]+[1]!Tabel668910[[#This Row],[Sew. 2015]]+[1]!Tabel668910[[#This Row],[WW 2015]]+[1]!Tabel668910[[#This Row],[Other ch. 2015]]+[1]!Tabel668910[[#This Row],[VAT 2015]]</f>
        <v>#REF!</v>
      </c>
      <c r="Q192" s="397"/>
    </row>
    <row r="193" spans="1:17" ht="15.75" hidden="1" x14ac:dyDescent="0.25">
      <c r="A193" s="2368"/>
      <c r="B193" s="1651"/>
      <c r="C193" s="633" t="s">
        <v>769</v>
      </c>
      <c r="D193" s="2359"/>
      <c r="E193" s="616">
        <f>'[1]exchange rates'!$M$49</f>
        <v>4.1749499999999999</v>
      </c>
      <c r="F193" s="549">
        <v>0</v>
      </c>
      <c r="G193" s="550">
        <f>303/E193</f>
        <v>72.575719469694249</v>
      </c>
      <c r="H193" s="551">
        <v>0</v>
      </c>
      <c r="I193" s="566" t="e">
        <f>[1]!Tabel668910[[#This Row],[Fix.ch. 2015]]+[1]!Tabel668910[[#This Row],[Var. ch. 2015]]+[1]!Tabel668910[[#This Row],[Oth. ch. DW 2015]]</f>
        <v>#REF!</v>
      </c>
      <c r="J193" s="567">
        <v>0</v>
      </c>
      <c r="K193" s="568">
        <f>194/E193</f>
        <v>46.467622366734929</v>
      </c>
      <c r="L193" s="568"/>
      <c r="M193" s="568"/>
      <c r="N193" s="569">
        <v>0</v>
      </c>
      <c r="O193" s="1271">
        <f>119.28/E193</f>
        <v>28.570402040743005</v>
      </c>
      <c r="P193" s="1496" t="e">
        <f>[1]!Tabel668910[[#This Row],[Total. ch. DW 2015]]+[1]!Tabel668910[[#This Row],[Sew. 2015]]+[1]!Tabel668910[[#This Row],[WW 2015]]+[1]!Tabel668910[[#This Row],[Other ch. 2015]]+[1]!Tabel668910[[#This Row],[VAT 2015]]</f>
        <v>#REF!</v>
      </c>
      <c r="Q193" s="397"/>
    </row>
    <row r="194" spans="1:17" ht="15.75" hidden="1" x14ac:dyDescent="0.25">
      <c r="A194" s="2368"/>
      <c r="B194" s="1651"/>
      <c r="C194" s="633" t="s">
        <v>770</v>
      </c>
      <c r="D194" s="2359"/>
      <c r="E194" s="616">
        <f>'[1]exchange rates'!$M$49</f>
        <v>4.1749499999999999</v>
      </c>
      <c r="F194" s="549">
        <v>0</v>
      </c>
      <c r="G194" s="550">
        <f>298/E194</f>
        <v>71.378100336530977</v>
      </c>
      <c r="H194" s="551">
        <v>0</v>
      </c>
      <c r="I194" s="566" t="e">
        <f>[1]!Tabel668910[[#This Row],[Fix.ch. 2015]]+[1]!Tabel668910[[#This Row],[Var. ch. 2015]]+[1]!Tabel668910[[#This Row],[Oth. ch. DW 2015]]</f>
        <v>#REF!</v>
      </c>
      <c r="J194" s="567">
        <v>0</v>
      </c>
      <c r="K194" s="568">
        <f>138/E194</f>
        <v>33.054288075306289</v>
      </c>
      <c r="L194" s="568"/>
      <c r="M194" s="568"/>
      <c r="N194" s="569">
        <v>0</v>
      </c>
      <c r="O194" s="1271">
        <f>104.64/E194</f>
        <v>25.063773218840943</v>
      </c>
      <c r="P194" s="1496" t="e">
        <f>[1]!Tabel668910[[#This Row],[Total. ch. DW 2015]]+[1]!Tabel668910[[#This Row],[Sew. 2015]]+[1]!Tabel668910[[#This Row],[WW 2015]]+[1]!Tabel668910[[#This Row],[Other ch. 2015]]+[1]!Tabel668910[[#This Row],[VAT 2015]]</f>
        <v>#REF!</v>
      </c>
      <c r="Q194" s="397"/>
    </row>
    <row r="195" spans="1:17" ht="15.75" hidden="1" x14ac:dyDescent="0.25">
      <c r="A195" s="2368"/>
      <c r="B195" s="1651"/>
      <c r="C195" s="633" t="s">
        <v>771</v>
      </c>
      <c r="D195" s="2359"/>
      <c r="E195" s="616">
        <f>'[1]exchange rates'!$M$49</f>
        <v>4.1749499999999999</v>
      </c>
      <c r="F195" s="549">
        <v>0</v>
      </c>
      <c r="G195" s="550">
        <f>306/E195</f>
        <v>73.294290949592209</v>
      </c>
      <c r="H195" s="551">
        <v>0</v>
      </c>
      <c r="I195" s="566" t="e">
        <f>[1]!Tabel668910[[#This Row],[Fix.ch. 2015]]+[1]!Tabel668910[[#This Row],[Var. ch. 2015]]+[1]!Tabel668910[[#This Row],[Oth. ch. DW 2015]]</f>
        <v>#REF!</v>
      </c>
      <c r="J195" s="567">
        <v>0</v>
      </c>
      <c r="K195" s="568">
        <f>206/E195</f>
        <v>49.341908286326785</v>
      </c>
      <c r="L195" s="568"/>
      <c r="M195" s="568"/>
      <c r="N195" s="569">
        <v>0</v>
      </c>
      <c r="O195" s="1271">
        <f>122.88/E195</f>
        <v>29.432687816620557</v>
      </c>
      <c r="P195" s="1496" t="e">
        <f>[1]!Tabel668910[[#This Row],[Total. ch. DW 2015]]+[1]!Tabel668910[[#This Row],[Sew. 2015]]+[1]!Tabel668910[[#This Row],[WW 2015]]+[1]!Tabel668910[[#This Row],[Other ch. 2015]]+[1]!Tabel668910[[#This Row],[VAT 2015]]</f>
        <v>#REF!</v>
      </c>
      <c r="Q195" s="397"/>
    </row>
    <row r="196" spans="1:17" ht="15.75" hidden="1" x14ac:dyDescent="0.25">
      <c r="A196" s="2368"/>
      <c r="B196" s="1651"/>
      <c r="C196" s="633" t="s">
        <v>772</v>
      </c>
      <c r="D196" s="2359"/>
      <c r="E196" s="616">
        <f>'[1]exchange rates'!$M$49</f>
        <v>4.1749499999999999</v>
      </c>
      <c r="F196" s="549">
        <v>0</v>
      </c>
      <c r="G196" s="550">
        <f>385/E196</f>
        <v>92.216673253571898</v>
      </c>
      <c r="H196" s="551">
        <v>0</v>
      </c>
      <c r="I196" s="566" t="e">
        <f>[1]!Tabel668910[[#This Row],[Fix.ch. 2015]]+[1]!Tabel668910[[#This Row],[Var. ch. 2015]]+[1]!Tabel668910[[#This Row],[Oth. ch. DW 2015]]</f>
        <v>#REF!</v>
      </c>
      <c r="J196" s="567">
        <v>0</v>
      </c>
      <c r="K196" s="568">
        <f>173/E196</f>
        <v>41.437622007449193</v>
      </c>
      <c r="L196" s="568"/>
      <c r="M196" s="568"/>
      <c r="N196" s="569">
        <v>0</v>
      </c>
      <c r="O196" s="1271">
        <f>133.92/E196</f>
        <v>32.07703086264506</v>
      </c>
      <c r="P196" s="1496" t="e">
        <f>[1]!Tabel668910[[#This Row],[Total. ch. DW 2015]]+[1]!Tabel668910[[#This Row],[Sew. 2015]]+[1]!Tabel668910[[#This Row],[WW 2015]]+[1]!Tabel668910[[#This Row],[Other ch. 2015]]+[1]!Tabel668910[[#This Row],[VAT 2015]]</f>
        <v>#REF!</v>
      </c>
      <c r="Q196" s="397"/>
    </row>
    <row r="197" spans="1:17" ht="16.5" hidden="1" thickBot="1" x14ac:dyDescent="0.3">
      <c r="A197" s="2369"/>
      <c r="B197" s="1651"/>
      <c r="C197" s="1294" t="s">
        <v>598</v>
      </c>
      <c r="D197" s="2349"/>
      <c r="E197" s="616">
        <f>'[1]exchange rates'!$M$49</f>
        <v>4.1749499999999999</v>
      </c>
      <c r="F197" s="319"/>
      <c r="G197" s="320"/>
      <c r="H197" s="321"/>
      <c r="I197" s="313"/>
      <c r="J197" s="322"/>
      <c r="K197" s="323"/>
      <c r="L197" s="323"/>
      <c r="M197" s="323"/>
      <c r="N197" s="324"/>
      <c r="O197" s="1258"/>
      <c r="P197" s="1491"/>
      <c r="Q197" s="397"/>
    </row>
    <row r="198" spans="1:17" ht="16.5" hidden="1" thickBot="1" x14ac:dyDescent="0.3">
      <c r="A198" s="1169" t="s">
        <v>693</v>
      </c>
      <c r="B198" s="1656"/>
      <c r="C198" s="1295" t="s">
        <v>694</v>
      </c>
      <c r="D198" s="1543">
        <v>23700</v>
      </c>
      <c r="E198" s="616">
        <f>'[1]exchange rates'!M50</f>
        <v>72.996619999999993</v>
      </c>
      <c r="F198" s="549">
        <v>0</v>
      </c>
      <c r="G198" s="550">
        <f>2532/E198</f>
        <v>34.686537541053276</v>
      </c>
      <c r="H198" s="551">
        <f>227/E198</f>
        <v>3.1097330259949025</v>
      </c>
      <c r="I198" s="566">
        <f>Tabel668910192831[[#This Row],[Fix.ch. 2015]]+Tabel668910192831[[#This Row],[Var. ch. 2015]]+Tabel668910192831[[#This Row],[Oth. ch. DW 2015]]</f>
        <v>37.796270567048182</v>
      </c>
      <c r="J198" s="567">
        <f>2200/E198</f>
        <v>30.138381749730332</v>
      </c>
      <c r="K198" s="568">
        <v>0</v>
      </c>
      <c r="L198" s="568"/>
      <c r="M198" s="568"/>
      <c r="N198" s="569">
        <f>371/E198</f>
        <v>5.0824271041590698</v>
      </c>
      <c r="O198" s="1271">
        <v>0</v>
      </c>
      <c r="P198" s="1496">
        <f>Tabel668910192831[[#This Row],[Total. ch. DW 2015]]+Tabel668910192831[[#This Row],[Sew. 2015]]+Tabel668910192831[[#This Row],[WW 2015]]+Tabel668910192831[[#This Row],[Other ch. 2015]]+Tabel668910192831[[#This Row],[VAT 2015]]</f>
        <v>73.017079420937577</v>
      </c>
      <c r="Q198" s="397"/>
    </row>
    <row r="199" spans="1:17" ht="18.75" hidden="1" customHeight="1" x14ac:dyDescent="0.25">
      <c r="A199" s="1818" t="s">
        <v>47</v>
      </c>
      <c r="B199" s="1656"/>
      <c r="C199" s="543" t="s">
        <v>204</v>
      </c>
      <c r="D199" s="2347">
        <v>41200</v>
      </c>
      <c r="E199" s="617">
        <f>'[1]exchange rates'!$M$51</f>
        <v>0.67854999999999999</v>
      </c>
      <c r="F199" s="549">
        <v>0</v>
      </c>
      <c r="G199" s="550">
        <v>0</v>
      </c>
      <c r="H199" s="551">
        <f>126.78/E199</f>
        <v>186.83958440792867</v>
      </c>
      <c r="I199" s="566">
        <f>Tabel668910192831[[#This Row],[Fix.ch. 2015]]+Tabel668910192831[[#This Row],[Var. ch. 2015]]+Tabel668910192831[[#This Row],[Oth. ch. DW 2015]]</f>
        <v>186.83958440792867</v>
      </c>
      <c r="J199" s="567">
        <f>0</f>
        <v>0</v>
      </c>
      <c r="K199" s="568">
        <f>147.12/E199</f>
        <v>216.81526785056371</v>
      </c>
      <c r="L199" s="568"/>
      <c r="M199" s="568"/>
      <c r="N199" s="569">
        <v>0</v>
      </c>
      <c r="O199" s="1271">
        <v>0</v>
      </c>
      <c r="P199" s="1496">
        <f>Tabel668910192831[[#This Row],[Total. ch. DW 2015]]+Tabel668910192831[[#This Row],[Sew. 2015]]+Tabel668910192831[[#This Row],[WW 2015]]+Tabel668910192831[[#This Row],[Other ch. 2015]]+Tabel668910192831[[#This Row],[VAT 2015]]</f>
        <v>403.65485225849238</v>
      </c>
      <c r="Q199" s="397"/>
    </row>
    <row r="200" spans="1:17" ht="15.75" hidden="1" x14ac:dyDescent="0.25">
      <c r="A200" s="2294"/>
      <c r="B200" s="1656"/>
      <c r="C200" s="639" t="s">
        <v>205</v>
      </c>
      <c r="D200" s="2348"/>
      <c r="E200" s="617">
        <f>'[1]exchange rates'!$M$51</f>
        <v>0.67854999999999999</v>
      </c>
      <c r="F200" s="549">
        <v>0</v>
      </c>
      <c r="G200" s="550">
        <v>0</v>
      </c>
      <c r="H200" s="551">
        <f>147.91/E200</f>
        <v>217.97951514258344</v>
      </c>
      <c r="I200" s="566">
        <f>Tabel668910192831[[#This Row],[Fix.ch. 2015]]+Tabel668910192831[[#This Row],[Var. ch. 2015]]+Tabel668910192831[[#This Row],[Oth. ch. DW 2015]]</f>
        <v>217.97951514258344</v>
      </c>
      <c r="J200" s="567">
        <f>0</f>
        <v>0</v>
      </c>
      <c r="K200" s="568">
        <f>171.64/E200</f>
        <v>252.95114582565765</v>
      </c>
      <c r="L200" s="568"/>
      <c r="M200" s="568"/>
      <c r="N200" s="569">
        <v>0</v>
      </c>
      <c r="O200" s="1271">
        <v>0</v>
      </c>
      <c r="P200" s="1496">
        <f>Tabel668910192831[[#This Row],[Total. ch. DW 2015]]+Tabel668910192831[[#This Row],[Sew. 2015]]+Tabel668910192831[[#This Row],[WW 2015]]+Tabel668910192831[[#This Row],[Other ch. 2015]]+Tabel668910192831[[#This Row],[VAT 2015]]</f>
        <v>470.93066096824111</v>
      </c>
      <c r="Q200" s="397"/>
    </row>
    <row r="201" spans="1:17" ht="15.75" hidden="1" x14ac:dyDescent="0.25">
      <c r="A201" s="2294"/>
      <c r="B201" s="1656"/>
      <c r="C201" s="639" t="s">
        <v>206</v>
      </c>
      <c r="D201" s="2348"/>
      <c r="E201" s="617">
        <f>'[1]exchange rates'!$M$51</f>
        <v>0.67854999999999999</v>
      </c>
      <c r="F201" s="549">
        <v>0</v>
      </c>
      <c r="G201" s="550">
        <v>0</v>
      </c>
      <c r="H201" s="551">
        <f>169.04/E201</f>
        <v>249.11944587723823</v>
      </c>
      <c r="I201" s="566">
        <f>Tabel668910192831[[#This Row],[Fix.ch. 2015]]+Tabel668910192831[[#This Row],[Var. ch. 2015]]+Tabel668910192831[[#This Row],[Oth. ch. DW 2015]]</f>
        <v>249.11944587723823</v>
      </c>
      <c r="J201" s="567">
        <f>0</f>
        <v>0</v>
      </c>
      <c r="K201" s="568">
        <f>196.16/E201</f>
        <v>289.08702380075158</v>
      </c>
      <c r="L201" s="568"/>
      <c r="M201" s="568"/>
      <c r="N201" s="569">
        <v>0</v>
      </c>
      <c r="O201" s="1271">
        <v>0</v>
      </c>
      <c r="P201" s="1544">
        <f>Tabel668910192831[[#This Row],[Total. ch. DW 2015]]+Tabel668910192831[[#This Row],[Sew. 2015]]+Tabel668910192831[[#This Row],[WW 2015]]+Tabel668910192831[[#This Row],[Other ch. 2015]]+Tabel668910192831[[#This Row],[VAT 2015]]</f>
        <v>538.20646967798984</v>
      </c>
      <c r="Q201" s="397"/>
    </row>
    <row r="202" spans="1:17" ht="15.75" hidden="1" x14ac:dyDescent="0.25">
      <c r="A202" s="2294"/>
      <c r="B202" s="1656"/>
      <c r="C202" s="639" t="s">
        <v>207</v>
      </c>
      <c r="D202" s="2348"/>
      <c r="E202" s="617">
        <f>'[1]exchange rates'!$M$51</f>
        <v>0.67854999999999999</v>
      </c>
      <c r="F202" s="549">
        <v>0</v>
      </c>
      <c r="G202" s="550">
        <v>0</v>
      </c>
      <c r="H202" s="551">
        <f>190.17/E202</f>
        <v>280.259376611893</v>
      </c>
      <c r="I202" s="566">
        <f>Tabel668910192831[[#This Row],[Fix.ch. 2015]]+Tabel668910192831[[#This Row],[Var. ch. 2015]]+Tabel668910192831[[#This Row],[Oth. ch. DW 2015]]</f>
        <v>280.259376611893</v>
      </c>
      <c r="J202" s="567">
        <f>0</f>
        <v>0</v>
      </c>
      <c r="K202" s="568">
        <f>220.68/E202</f>
        <v>325.22290177584557</v>
      </c>
      <c r="L202" s="568"/>
      <c r="M202" s="568"/>
      <c r="N202" s="569">
        <v>0</v>
      </c>
      <c r="O202" s="1271">
        <v>0</v>
      </c>
      <c r="P202" s="1496">
        <f>Tabel668910192831[[#This Row],[Total. ch. DW 2015]]+Tabel668910192831[[#This Row],[Sew. 2015]]+Tabel668910192831[[#This Row],[WW 2015]]+Tabel668910192831[[#This Row],[Other ch. 2015]]+Tabel668910192831[[#This Row],[VAT 2015]]</f>
        <v>605.48227838773857</v>
      </c>
      <c r="Q202" s="397"/>
    </row>
    <row r="203" spans="1:17" ht="15.75" hidden="1" x14ac:dyDescent="0.25">
      <c r="A203" s="2294"/>
      <c r="B203" s="1656"/>
      <c r="C203" s="639" t="s">
        <v>208</v>
      </c>
      <c r="D203" s="2348"/>
      <c r="E203" s="617">
        <f>'[1]exchange rates'!$M$51</f>
        <v>0.67854999999999999</v>
      </c>
      <c r="F203" s="549">
        <v>0</v>
      </c>
      <c r="G203" s="550">
        <v>0</v>
      </c>
      <c r="H203" s="551">
        <f>232.43/E203</f>
        <v>342.5392380812026</v>
      </c>
      <c r="I203" s="566">
        <f>Tabel668910192831[[#This Row],[Fix.ch. 2015]]+Tabel668910192831[[#This Row],[Var. ch. 2015]]+Tabel668910192831[[#This Row],[Oth. ch. DW 2015]]</f>
        <v>342.5392380812026</v>
      </c>
      <c r="J203" s="567">
        <f>0</f>
        <v>0</v>
      </c>
      <c r="K203" s="568">
        <f>269.72/E203</f>
        <v>397.49465772603349</v>
      </c>
      <c r="L203" s="568"/>
      <c r="M203" s="568"/>
      <c r="N203" s="569">
        <v>0</v>
      </c>
      <c r="O203" s="1271">
        <v>0</v>
      </c>
      <c r="P203" s="1496">
        <f>Tabel668910192831[[#This Row],[Total. ch. DW 2015]]+Tabel668910192831[[#This Row],[Sew. 2015]]+Tabel668910192831[[#This Row],[WW 2015]]+Tabel668910192831[[#This Row],[Other ch. 2015]]+Tabel668910192831[[#This Row],[VAT 2015]]</f>
        <v>740.03389580723615</v>
      </c>
      <c r="Q203" s="397"/>
    </row>
    <row r="204" spans="1:17" ht="15.75" hidden="1" x14ac:dyDescent="0.25">
      <c r="A204" s="2294"/>
      <c r="B204" s="1656"/>
      <c r="C204" s="639" t="s">
        <v>209</v>
      </c>
      <c r="D204" s="2348"/>
      <c r="E204" s="617">
        <f>'[1]exchange rates'!$M$51</f>
        <v>0.67854999999999999</v>
      </c>
      <c r="F204" s="549">
        <v>0</v>
      </c>
      <c r="G204" s="550">
        <v>0</v>
      </c>
      <c r="H204" s="551">
        <f>274.69/E204</f>
        <v>404.81909955051214</v>
      </c>
      <c r="I204" s="566">
        <f>Tabel668910192831[[#This Row],[Fix.ch. 2015]]+Tabel668910192831[[#This Row],[Var. ch. 2015]]+Tabel668910192831[[#This Row],[Oth. ch. DW 2015]]</f>
        <v>404.81909955051214</v>
      </c>
      <c r="J204" s="567">
        <f>0</f>
        <v>0</v>
      </c>
      <c r="K204" s="568">
        <f>318.76/E204</f>
        <v>469.76641367622136</v>
      </c>
      <c r="L204" s="568"/>
      <c r="M204" s="568"/>
      <c r="N204" s="569">
        <v>0</v>
      </c>
      <c r="O204" s="1271">
        <v>0</v>
      </c>
      <c r="P204" s="1496">
        <f>Tabel668910192831[[#This Row],[Total. ch. DW 2015]]+Tabel668910192831[[#This Row],[Sew. 2015]]+Tabel668910192831[[#This Row],[WW 2015]]+Tabel668910192831[[#This Row],[Other ch. 2015]]+Tabel668910192831[[#This Row],[VAT 2015]]</f>
        <v>874.5855132267335</v>
      </c>
      <c r="Q204" s="397"/>
    </row>
    <row r="205" spans="1:17" ht="15.75" hidden="1" x14ac:dyDescent="0.25">
      <c r="A205" s="2294"/>
      <c r="B205" s="1656"/>
      <c r="C205" s="639" t="s">
        <v>210</v>
      </c>
      <c r="D205" s="2348"/>
      <c r="E205" s="617">
        <f>'[1]exchange rates'!$M$51</f>
        <v>0.67854999999999999</v>
      </c>
      <c r="F205" s="549">
        <v>0</v>
      </c>
      <c r="G205" s="550">
        <v>0</v>
      </c>
      <c r="H205" s="551">
        <f>316.95/E205</f>
        <v>467.09896101982167</v>
      </c>
      <c r="I205" s="566">
        <f>Tabel668910192831[[#This Row],[Fix.ch. 2015]]+Tabel668910192831[[#This Row],[Var. ch. 2015]]+Tabel668910192831[[#This Row],[Oth. ch. DW 2015]]</f>
        <v>467.09896101982167</v>
      </c>
      <c r="J205" s="567">
        <f>0</f>
        <v>0</v>
      </c>
      <c r="K205" s="568">
        <f>367.8/E205</f>
        <v>542.03816962640929</v>
      </c>
      <c r="L205" s="568"/>
      <c r="M205" s="568"/>
      <c r="N205" s="569">
        <v>0</v>
      </c>
      <c r="O205" s="1271">
        <v>0</v>
      </c>
      <c r="P205" s="1496">
        <f>Tabel668910192831[[#This Row],[Total. ch. DW 2015]]+Tabel668910192831[[#This Row],[Sew. 2015]]+Tabel668910192831[[#This Row],[WW 2015]]+Tabel668910192831[[#This Row],[Other ch. 2015]]+Tabel668910192831[[#This Row],[VAT 2015]]</f>
        <v>1009.137130646231</v>
      </c>
      <c r="Q205" s="397"/>
    </row>
    <row r="206" spans="1:17" ht="16.5" hidden="1" thickBot="1" x14ac:dyDescent="0.3">
      <c r="A206" s="2295"/>
      <c r="B206" s="1656"/>
      <c r="C206" s="1305" t="s">
        <v>211</v>
      </c>
      <c r="D206" s="2349"/>
      <c r="E206" s="617">
        <f>'[1]exchange rates'!$M$51</f>
        <v>0.67854999999999999</v>
      </c>
      <c r="F206" s="549">
        <v>0</v>
      </c>
      <c r="G206" s="550">
        <v>0</v>
      </c>
      <c r="H206" s="551">
        <f>380.34/E206</f>
        <v>560.51875322378601</v>
      </c>
      <c r="I206" s="566">
        <f>Tabel668910192831[[#This Row],[Fix.ch. 2015]]+Tabel668910192831[[#This Row],[Var. ch. 2015]]+Tabel668910192831[[#This Row],[Oth. ch. DW 2015]]</f>
        <v>560.51875322378601</v>
      </c>
      <c r="J206" s="567">
        <f>0</f>
        <v>0</v>
      </c>
      <c r="K206" s="568">
        <f>441.36/E206</f>
        <v>650.44580355169114</v>
      </c>
      <c r="L206" s="568"/>
      <c r="M206" s="568"/>
      <c r="N206" s="569">
        <v>0</v>
      </c>
      <c r="O206" s="1271">
        <v>0</v>
      </c>
      <c r="P206" s="1496">
        <f>Tabel668910192831[[#This Row],[Total. ch. DW 2015]]+Tabel668910192831[[#This Row],[Sew. 2015]]+Tabel668910192831[[#This Row],[WW 2015]]+Tabel668910192831[[#This Row],[Other ch. 2015]]+Tabel668910192831[[#This Row],[VAT 2015]]</f>
        <v>1210.9645567754771</v>
      </c>
      <c r="Q206" s="397"/>
    </row>
    <row r="207" spans="1:17" ht="15.75" hidden="1" x14ac:dyDescent="0.25">
      <c r="A207" s="2150" t="s">
        <v>41</v>
      </c>
      <c r="B207" s="1617"/>
      <c r="C207" s="261" t="s">
        <v>192</v>
      </c>
      <c r="D207" s="1545"/>
      <c r="E207" s="306"/>
      <c r="F207" s="319"/>
      <c r="G207" s="320"/>
      <c r="H207" s="321"/>
      <c r="I207" s="313">
        <f>Tabel668910192831[[#This Row],[Fix.ch. 2015]]+Tabel668910192831[[#This Row],[Var. ch. 2015]]+Tabel668910192831[[#This Row],[Oth. ch. DW 2015]]</f>
        <v>0</v>
      </c>
      <c r="J207" s="322"/>
      <c r="K207" s="323"/>
      <c r="L207" s="323"/>
      <c r="M207" s="323"/>
      <c r="N207" s="324"/>
      <c r="O207" s="1258"/>
      <c r="P207" s="1491">
        <f>Tabel668910192831[[#This Row],[Total. ch. DW 2015]]+Tabel668910192831[[#This Row],[Sew. 2015]]+Tabel668910192831[[#This Row],[WW 2015]]+Tabel668910192831[[#This Row],[Other ch. 2015]]+Tabel668910192831[[#This Row],[VAT 2015]]</f>
        <v>0</v>
      </c>
      <c r="Q207" s="397"/>
    </row>
    <row r="208" spans="1:17" ht="15.75" hidden="1" x14ac:dyDescent="0.25">
      <c r="A208" s="2151"/>
      <c r="B208" s="1617"/>
      <c r="C208" s="261" t="s">
        <v>193</v>
      </c>
      <c r="D208" s="1601"/>
      <c r="E208" s="306"/>
      <c r="F208" s="319"/>
      <c r="G208" s="320"/>
      <c r="H208" s="321"/>
      <c r="I208" s="313">
        <f>Tabel668910192831[[#This Row],[Fix.ch. 2015]]+Tabel668910192831[[#This Row],[Var. ch. 2015]]+Tabel668910192831[[#This Row],[Oth. ch. DW 2015]]</f>
        <v>0</v>
      </c>
      <c r="J208" s="322"/>
      <c r="K208" s="323"/>
      <c r="L208" s="323"/>
      <c r="M208" s="323"/>
      <c r="N208" s="324"/>
      <c r="O208" s="1258"/>
      <c r="P208" s="1491">
        <f>Tabel668910192831[[#This Row],[Total. ch. DW 2015]]+Tabel668910192831[[#This Row],[Sew. 2015]]+Tabel668910192831[[#This Row],[WW 2015]]+Tabel668910192831[[#This Row],[Other ch. 2015]]+Tabel668910192831[[#This Row],[VAT 2015]]</f>
        <v>0</v>
      </c>
      <c r="Q208" s="397"/>
    </row>
    <row r="209" spans="1:17" ht="16.5" hidden="1" thickBot="1" x14ac:dyDescent="0.3">
      <c r="A209" s="2152"/>
      <c r="B209" s="1617"/>
      <c r="C209" s="294" t="s">
        <v>194</v>
      </c>
      <c r="D209" s="1548"/>
      <c r="E209" s="307"/>
      <c r="F209" s="319"/>
      <c r="G209" s="320"/>
      <c r="H209" s="321"/>
      <c r="I209" s="313">
        <f>Tabel668910192831[[#This Row],[Fix.ch. 2015]]+Tabel668910192831[[#This Row],[Var. ch. 2015]]+Tabel668910192831[[#This Row],[Oth. ch. DW 2015]]</f>
        <v>0</v>
      </c>
      <c r="J209" s="322"/>
      <c r="K209" s="323"/>
      <c r="L209" s="323"/>
      <c r="M209" s="323"/>
      <c r="N209" s="324"/>
      <c r="O209" s="1258"/>
      <c r="P209" s="1491">
        <f>Tabel668910192831[[#This Row],[Total. ch. DW 2015]]+Tabel668910192831[[#This Row],[Sew. 2015]]+Tabel668910192831[[#This Row],[WW 2015]]+Tabel668910192831[[#This Row],[Other ch. 2015]]+Tabel668910192831[[#This Row],[VAT 2015]]</f>
        <v>0</v>
      </c>
      <c r="Q209" s="397"/>
    </row>
    <row r="210" spans="1:17" ht="16.5" hidden="1" thickBot="1" x14ac:dyDescent="0.3">
      <c r="A210" s="267" t="s">
        <v>42</v>
      </c>
      <c r="B210" s="1616"/>
      <c r="C210" s="1237" t="s">
        <v>42</v>
      </c>
      <c r="D210" s="1542"/>
      <c r="E210" s="306">
        <v>1.2966299999999999</v>
      </c>
      <c r="F210" s="319">
        <v>0</v>
      </c>
      <c r="G210" s="320">
        <f>117/E210</f>
        <v>90.233914069549527</v>
      </c>
      <c r="H210" s="321">
        <f>35.1/E210</f>
        <v>27.07017422086486</v>
      </c>
      <c r="I210" s="313">
        <f>Tabel668910192831[[#This Row],[Fix.ch. 2015]]+Tabel668910192831[[#This Row],[Var. ch. 2015]]+Tabel668910192831[[#This Row],[Oth. ch. DW 2015]]</f>
        <v>117.30408829041438</v>
      </c>
      <c r="J210" s="322">
        <v>0</v>
      </c>
      <c r="K210" s="323">
        <f>28.03/E210</f>
        <v>21.617577874952765</v>
      </c>
      <c r="L210" s="323"/>
      <c r="M210" s="323"/>
      <c r="N210" s="324">
        <f>67.29/E210</f>
        <v>51.896069040512721</v>
      </c>
      <c r="O210" s="1258">
        <f>17.32/E210</f>
        <v>13.35770420243246</v>
      </c>
      <c r="P210" s="1491">
        <f>Tabel668910192831[[#This Row],[Total. ch. DW 2015]]+Tabel668910192831[[#This Row],[Sew. 2015]]+Tabel668910192831[[#This Row],[WW 2015]]+Tabel668910192831[[#This Row],[Other ch. 2015]]+Tabel668910192831[[#This Row],[VAT 2015]]</f>
        <v>204.17543940831234</v>
      </c>
      <c r="Q210" s="397"/>
    </row>
    <row r="211" spans="1:17" ht="15.75" hidden="1" x14ac:dyDescent="0.25">
      <c r="A211" s="1833" t="s">
        <v>24</v>
      </c>
      <c r="B211" s="1617"/>
      <c r="C211" s="1515" t="s">
        <v>140</v>
      </c>
      <c r="D211" s="1545"/>
      <c r="E211" s="307">
        <v>0.77166999999999997</v>
      </c>
      <c r="F211" s="319">
        <f>0.83*100/E211</f>
        <v>107.5589306309692</v>
      </c>
      <c r="G211" s="320">
        <v>0</v>
      </c>
      <c r="H211" s="321">
        <v>0</v>
      </c>
      <c r="I211" s="313">
        <f>Tabel668910192831[[#This Row],[Fix.ch. 2015]]+Tabel668910192831[[#This Row],[Var. ch. 2015]]+Tabel668910192831[[#This Row],[Oth. ch. DW 2015]]</f>
        <v>107.5589306309692</v>
      </c>
      <c r="J211" s="322">
        <f>0.83*100/E211</f>
        <v>107.5589306309692</v>
      </c>
      <c r="K211" s="323">
        <v>0</v>
      </c>
      <c r="L211" s="323"/>
      <c r="M211" s="323"/>
      <c r="N211" s="324">
        <v>0</v>
      </c>
      <c r="O211" s="1258">
        <f>0.32*100/E211</f>
        <v>41.468503375795358</v>
      </c>
      <c r="P211" s="1491">
        <f>Tabel668910192831[[#This Row],[Total. ch. DW 2015]]+Tabel668910192831[[#This Row],[Sew. 2015]]+Tabel668910192831[[#This Row],[WW 2015]]+Tabel668910192831[[#This Row],[Other ch. 2015]]+Tabel668910192831[[#This Row],[VAT 2015]]</f>
        <v>256.58636463773377</v>
      </c>
      <c r="Q211" s="397"/>
    </row>
    <row r="212" spans="1:17" ht="15.75" hidden="1" x14ac:dyDescent="0.25">
      <c r="A212" s="2297"/>
      <c r="B212" s="1617"/>
      <c r="C212" s="298" t="s">
        <v>141</v>
      </c>
      <c r="D212" s="1546"/>
      <c r="E212" s="307">
        <v>0.77166999999999997</v>
      </c>
      <c r="F212" s="319">
        <f>0.97*100/E212</f>
        <v>125.70140085787966</v>
      </c>
      <c r="G212" s="320">
        <v>0</v>
      </c>
      <c r="H212" s="321">
        <v>0</v>
      </c>
      <c r="I212" s="313">
        <f>Tabel668910192831[[#This Row],[Fix.ch. 2015]]+Tabel668910192831[[#This Row],[Var. ch. 2015]]+Tabel668910192831[[#This Row],[Oth. ch. DW 2015]]</f>
        <v>125.70140085787966</v>
      </c>
      <c r="J212" s="322">
        <f>0.77*100/E212</f>
        <v>99.783586248007566</v>
      </c>
      <c r="K212" s="323">
        <v>0</v>
      </c>
      <c r="L212" s="323"/>
      <c r="M212" s="323"/>
      <c r="N212" s="324">
        <v>0</v>
      </c>
      <c r="O212" s="1258">
        <f>0.4*100/E212</f>
        <v>51.835629219744192</v>
      </c>
      <c r="P212" s="1491">
        <f>Tabel668910192831[[#This Row],[Total. ch. DW 2015]]+Tabel668910192831[[#This Row],[Sew. 2015]]+Tabel668910192831[[#This Row],[WW 2015]]+Tabel668910192831[[#This Row],[Other ch. 2015]]+Tabel668910192831[[#This Row],[VAT 2015]]</f>
        <v>277.32061632563142</v>
      </c>
      <c r="Q212" s="397"/>
    </row>
    <row r="213" spans="1:17" ht="16.5" hidden="1" thickBot="1" x14ac:dyDescent="0.3">
      <c r="A213" s="2298"/>
      <c r="B213" s="1617"/>
      <c r="C213" s="293" t="s">
        <v>142</v>
      </c>
      <c r="D213" s="1548"/>
      <c r="E213" s="307">
        <v>0.77166999999999997</v>
      </c>
      <c r="F213" s="319">
        <f>1.17*100/E213</f>
        <v>151.61921546775176</v>
      </c>
      <c r="G213" s="320">
        <v>0</v>
      </c>
      <c r="H213" s="321">
        <v>0</v>
      </c>
      <c r="I213" s="313">
        <f>Tabel668910192831[[#This Row],[Fix.ch. 2015]]+Tabel668910192831[[#This Row],[Var. ch. 2015]]+Tabel668910192831[[#This Row],[Oth. ch. DW 2015]]</f>
        <v>151.61921546775176</v>
      </c>
      <c r="J213" s="322">
        <f>0.78*100/E213</f>
        <v>101.07947697850118</v>
      </c>
      <c r="K213" s="323">
        <v>0</v>
      </c>
      <c r="L213" s="323"/>
      <c r="M213" s="323"/>
      <c r="N213" s="324">
        <v>0</v>
      </c>
      <c r="O213" s="1258">
        <f>0.35*100/E213</f>
        <v>45.356175567276168</v>
      </c>
      <c r="P213" s="1491">
        <f>Tabel668910192831[[#This Row],[Total. ch. DW 2015]]+Tabel668910192831[[#This Row],[Sew. 2015]]+Tabel668910192831[[#This Row],[WW 2015]]+Tabel668910192831[[#This Row],[Other ch. 2015]]+Tabel668910192831[[#This Row],[VAT 2015]]</f>
        <v>298.05486801352913</v>
      </c>
      <c r="Q213" s="397"/>
    </row>
    <row r="214" spans="1:17" ht="16.5" hidden="1" thickBot="1" x14ac:dyDescent="0.3">
      <c r="A214" s="267" t="s">
        <v>43</v>
      </c>
      <c r="B214" s="1616"/>
      <c r="C214" s="294" t="s">
        <v>644</v>
      </c>
      <c r="D214" s="1542"/>
      <c r="E214" s="307">
        <f>'[1]exchange rates'!K55</f>
        <v>10.498559999999999</v>
      </c>
      <c r="F214" s="319">
        <v>0</v>
      </c>
      <c r="G214" s="320">
        <f>163.24/E214</f>
        <v>15.548799073396735</v>
      </c>
      <c r="H214" s="321">
        <v>0</v>
      </c>
      <c r="I214" s="313">
        <f>Tabel668910192831[[#This Row],[Fix.ch. 2015]]+Tabel668910192831[[#This Row],[Var. ch. 2015]]+Tabel668910192831[[#This Row],[Oth. ch. DW 2015]]</f>
        <v>15.548799073396735</v>
      </c>
      <c r="J214" s="322">
        <f>113.88/E214</f>
        <v>10.847201901975128</v>
      </c>
      <c r="K214" s="323">
        <v>0</v>
      </c>
      <c r="L214" s="323"/>
      <c r="M214" s="323"/>
      <c r="N214" s="324">
        <v>0</v>
      </c>
      <c r="O214" s="1258">
        <f>38.8/E214</f>
        <v>3.6957449402584737</v>
      </c>
      <c r="P214" s="1491">
        <f>Tabel668910192831[[#This Row],[Total. ch. DW 2015]]+Tabel668910192831[[#This Row],[Sew. 2015]]+Tabel668910192831[[#This Row],[WW 2015]]+Tabel668910192831[[#This Row],[Other ch. 2015]]+Tabel668910192831[[#This Row],[VAT 2015]]</f>
        <v>30.091745915630337</v>
      </c>
      <c r="Q214" s="397"/>
    </row>
    <row r="215" spans="1:17" ht="16.5" hidden="1" thickBot="1" x14ac:dyDescent="0.3">
      <c r="A215" s="267" t="s">
        <v>450</v>
      </c>
      <c r="B215" s="1616"/>
      <c r="C215" s="261" t="s">
        <v>177</v>
      </c>
      <c r="D215" s="1542"/>
      <c r="E215" s="306">
        <v>0.97958999999999996</v>
      </c>
      <c r="F215" s="319">
        <f>142.4/E215</f>
        <v>145.36693922967774</v>
      </c>
      <c r="G215" s="320">
        <f>128/E215</f>
        <v>130.66691166712604</v>
      </c>
      <c r="H215" s="321">
        <f>36/E215</f>
        <v>36.750068906379198</v>
      </c>
      <c r="I215" s="313">
        <f>Tabel668910192831[[#This Row],[Fix.ch. 2015]]+Tabel668910192831[[#This Row],[Var. ch. 2015]]+Tabel668910192831[[#This Row],[Oth. ch. DW 2015]]</f>
        <v>312.78391980318293</v>
      </c>
      <c r="J215" s="322">
        <f>457.3/E215</f>
        <v>466.82795863575581</v>
      </c>
      <c r="K215" s="323">
        <v>0</v>
      </c>
      <c r="L215" s="323"/>
      <c r="M215" s="323"/>
      <c r="N215" s="324">
        <v>0</v>
      </c>
      <c r="O215" s="1258">
        <v>0</v>
      </c>
      <c r="P215" s="1491">
        <f>Tabel668910192831[[#This Row],[Total. ch. DW 2015]]+Tabel668910192831[[#This Row],[Sew. 2015]]+Tabel668910192831[[#This Row],[WW 2015]]+Tabel668910192831[[#This Row],[Other ch. 2015]]+Tabel668910192831[[#This Row],[VAT 2015]]</f>
        <v>779.61187843893867</v>
      </c>
      <c r="Q215" s="397"/>
    </row>
    <row r="216" spans="1:17" ht="15.75" hidden="1" x14ac:dyDescent="0.25">
      <c r="A216" s="1878" t="s">
        <v>25</v>
      </c>
      <c r="B216" s="1656"/>
      <c r="C216" s="1512" t="s">
        <v>143</v>
      </c>
      <c r="D216" s="2347">
        <v>36700</v>
      </c>
      <c r="E216" s="617">
        <f>'[1]exchange rates'!$M$56</f>
        <v>1180.2052799999999</v>
      </c>
      <c r="F216" s="549">
        <v>0</v>
      </c>
      <c r="G216" s="550">
        <f>57425/E216</f>
        <v>48.656789605279521</v>
      </c>
      <c r="H216" s="551">
        <v>0</v>
      </c>
      <c r="I216" s="566">
        <f>Tabel668910192831[[#This Row],[Fix.ch. 2015]]+Tabel668910192831[[#This Row],[Var. ch. 2015]]+Tabel668910192831[[#This Row],[Oth. ch. DW 2015]]</f>
        <v>48.656789605279521</v>
      </c>
      <c r="J216" s="567">
        <f>44579/E216</f>
        <v>37.772242469547336</v>
      </c>
      <c r="K216" s="568">
        <v>0</v>
      </c>
      <c r="L216" s="568"/>
      <c r="M216" s="568"/>
      <c r="N216" s="569">
        <v>0</v>
      </c>
      <c r="O216" s="1271">
        <v>0</v>
      </c>
      <c r="P216" s="1496">
        <f>Tabel668910192831[[#This Row],[Total. ch. DW 2015]]+Tabel668910192831[[#This Row],[Sew. 2015]]+Tabel668910192831[[#This Row],[WW 2015]]+Tabel668910192831[[#This Row],[Other ch. 2015]]+Tabel668910192831[[#This Row],[VAT 2015]]</f>
        <v>86.429032074826864</v>
      </c>
      <c r="Q216" s="397"/>
    </row>
    <row r="217" spans="1:17" ht="15.75" hidden="1" x14ac:dyDescent="0.25">
      <c r="A217" s="1757"/>
      <c r="B217" s="1656"/>
      <c r="C217" s="639" t="s">
        <v>144</v>
      </c>
      <c r="D217" s="2348"/>
      <c r="E217" s="617">
        <f>'[1]exchange rates'!$M$56</f>
        <v>1180.2052799999999</v>
      </c>
      <c r="F217" s="549">
        <v>0</v>
      </c>
      <c r="G217" s="550">
        <f>71508/E217</f>
        <v>60.589459487929091</v>
      </c>
      <c r="H217" s="551">
        <v>0</v>
      </c>
      <c r="I217" s="566">
        <f>Tabel668910192831[[#This Row],[Fix.ch. 2015]]+Tabel668910192831[[#This Row],[Var. ch. 2015]]+Tabel668910192831[[#This Row],[Oth. ch. DW 2015]]</f>
        <v>60.589459487929091</v>
      </c>
      <c r="J217" s="567">
        <f>49081/E217</f>
        <v>41.586833097374388</v>
      </c>
      <c r="K217" s="568">
        <v>0</v>
      </c>
      <c r="L217" s="568"/>
      <c r="M217" s="568"/>
      <c r="N217" s="569">
        <v>0</v>
      </c>
      <c r="O217" s="1271">
        <v>0</v>
      </c>
      <c r="P217" s="1496">
        <f>Tabel668910192831[[#This Row],[Total. ch. DW 2015]]+Tabel668910192831[[#This Row],[Sew. 2015]]+Tabel668910192831[[#This Row],[WW 2015]]+Tabel668910192831[[#This Row],[Other ch. 2015]]+Tabel668910192831[[#This Row],[VAT 2015]]</f>
        <v>102.17629258530349</v>
      </c>
      <c r="Q217" s="397"/>
    </row>
    <row r="218" spans="1:17" ht="15.75" hidden="1" x14ac:dyDescent="0.25">
      <c r="A218" s="1757"/>
      <c r="B218" s="1656"/>
      <c r="C218" s="639" t="s">
        <v>145</v>
      </c>
      <c r="D218" s="2348"/>
      <c r="E218" s="617">
        <f>'[1]exchange rates'!$M$56</f>
        <v>1180.2052799999999</v>
      </c>
      <c r="F218" s="549">
        <v>0</v>
      </c>
      <c r="G218" s="550">
        <f>57896/E218</f>
        <v>49.055872720718554</v>
      </c>
      <c r="H218" s="551">
        <v>0</v>
      </c>
      <c r="I218" s="566">
        <f>Tabel668910192831[[#This Row],[Fix.ch. 2015]]+Tabel668910192831[[#This Row],[Var. ch. 2015]]+Tabel668910192831[[#This Row],[Oth. ch. DW 2015]]</f>
        <v>49.055872720718554</v>
      </c>
      <c r="J218" s="567">
        <f>38589/E218</f>
        <v>32.696854228613518</v>
      </c>
      <c r="K218" s="568">
        <v>0</v>
      </c>
      <c r="L218" s="568"/>
      <c r="M218" s="568"/>
      <c r="N218" s="569">
        <v>0</v>
      </c>
      <c r="O218" s="1271">
        <v>0</v>
      </c>
      <c r="P218" s="1496">
        <f>Tabel668910192831[[#This Row],[Total. ch. DW 2015]]+Tabel668910192831[[#This Row],[Sew. 2015]]+Tabel668910192831[[#This Row],[WW 2015]]+Tabel668910192831[[#This Row],[Other ch. 2015]]+Tabel668910192831[[#This Row],[VAT 2015]]</f>
        <v>81.752726949332072</v>
      </c>
      <c r="Q218" s="397"/>
    </row>
    <row r="219" spans="1:17" ht="15.75" hidden="1" x14ac:dyDescent="0.25">
      <c r="A219" s="1757"/>
      <c r="B219" s="1656"/>
      <c r="C219" s="639" t="s">
        <v>146</v>
      </c>
      <c r="D219" s="2348"/>
      <c r="E219" s="617">
        <f>'[1]exchange rates'!$M$56</f>
        <v>1180.2052799999999</v>
      </c>
      <c r="F219" s="549">
        <v>0</v>
      </c>
      <c r="G219" s="550">
        <f>66370/E219</f>
        <v>56.235979557725756</v>
      </c>
      <c r="H219" s="551">
        <v>0</v>
      </c>
      <c r="I219" s="566">
        <f>Tabel668910192831[[#This Row],[Fix.ch. 2015]]+Tabel668910192831[[#This Row],[Var. ch. 2015]]+Tabel668910192831[[#This Row],[Oth. ch. DW 2015]]</f>
        <v>56.235979557725756</v>
      </c>
      <c r="J219" s="567">
        <f>41691/E219</f>
        <v>35.32521054303367</v>
      </c>
      <c r="K219" s="568">
        <v>0</v>
      </c>
      <c r="L219" s="568"/>
      <c r="M219" s="568"/>
      <c r="N219" s="569">
        <v>0</v>
      </c>
      <c r="O219" s="1271">
        <v>0</v>
      </c>
      <c r="P219" s="1496">
        <f>Tabel668910192831[[#This Row],[Total. ch. DW 2015]]+Tabel668910192831[[#This Row],[Sew. 2015]]+Tabel668910192831[[#This Row],[WW 2015]]+Tabel668910192831[[#This Row],[Other ch. 2015]]+Tabel668910192831[[#This Row],[VAT 2015]]</f>
        <v>91.561190100759433</v>
      </c>
      <c r="Q219" s="397"/>
    </row>
    <row r="220" spans="1:17" ht="15.75" hidden="1" x14ac:dyDescent="0.25">
      <c r="A220" s="1757"/>
      <c r="B220" s="1656"/>
      <c r="C220" s="639" t="s">
        <v>147</v>
      </c>
      <c r="D220" s="2348"/>
      <c r="E220" s="617">
        <f>'[1]exchange rates'!$M$56</f>
        <v>1180.2052799999999</v>
      </c>
      <c r="F220" s="549">
        <v>0</v>
      </c>
      <c r="G220" s="550">
        <f>53135/E220</f>
        <v>45.021828744911225</v>
      </c>
      <c r="H220" s="551">
        <v>0</v>
      </c>
      <c r="I220" s="566">
        <f>Tabel668910192831[[#This Row],[Fix.ch. 2015]]+Tabel668910192831[[#This Row],[Var. ch. 2015]]+Tabel668910192831[[#This Row],[Oth. ch. DW 2015]]</f>
        <v>45.021828744911225</v>
      </c>
      <c r="J220" s="567">
        <f>35134/E220</f>
        <v>29.769397405170061</v>
      </c>
      <c r="K220" s="568">
        <v>0</v>
      </c>
      <c r="L220" s="568"/>
      <c r="M220" s="568"/>
      <c r="N220" s="569">
        <v>0</v>
      </c>
      <c r="O220" s="1271">
        <v>0</v>
      </c>
      <c r="P220" s="1496">
        <f>Tabel668910192831[[#This Row],[Total. ch. DW 2015]]+Tabel668910192831[[#This Row],[Sew. 2015]]+Tabel668910192831[[#This Row],[WW 2015]]+Tabel668910192831[[#This Row],[Other ch. 2015]]+Tabel668910192831[[#This Row],[VAT 2015]]</f>
        <v>74.791226150081286</v>
      </c>
      <c r="Q220" s="397"/>
    </row>
    <row r="221" spans="1:17" ht="15.75" hidden="1" x14ac:dyDescent="0.25">
      <c r="A221" s="1757"/>
      <c r="B221" s="1656"/>
      <c r="C221" s="639" t="s">
        <v>148</v>
      </c>
      <c r="D221" s="2348"/>
      <c r="E221" s="617">
        <f>'[1]exchange rates'!$M$56</f>
        <v>1180.2052799999999</v>
      </c>
      <c r="F221" s="549">
        <v>0</v>
      </c>
      <c r="G221" s="550">
        <f>50939/E221</f>
        <v>43.16113549331012</v>
      </c>
      <c r="H221" s="551">
        <v>0</v>
      </c>
      <c r="I221" s="566">
        <f>Tabel668910192831[[#This Row],[Fix.ch. 2015]]+Tabel668910192831[[#This Row],[Var. ch. 2015]]+Tabel668910192831[[#This Row],[Oth. ch. DW 2015]]</f>
        <v>43.16113549331012</v>
      </c>
      <c r="J221" s="567">
        <f>38491/E221</f>
        <v>32.613817826675039</v>
      </c>
      <c r="K221" s="568">
        <v>0</v>
      </c>
      <c r="L221" s="568"/>
      <c r="M221" s="568"/>
      <c r="N221" s="569">
        <v>0</v>
      </c>
      <c r="O221" s="1271">
        <v>0</v>
      </c>
      <c r="P221" s="1496">
        <f>Tabel668910192831[[#This Row],[Total. ch. DW 2015]]+Tabel668910192831[[#This Row],[Sew. 2015]]+Tabel668910192831[[#This Row],[WW 2015]]+Tabel668910192831[[#This Row],[Other ch. 2015]]+Tabel668910192831[[#This Row],[VAT 2015]]</f>
        <v>75.774953319985158</v>
      </c>
      <c r="Q221" s="397"/>
    </row>
    <row r="222" spans="1:17" ht="15.75" hidden="1" x14ac:dyDescent="0.25">
      <c r="A222" s="1757"/>
      <c r="B222" s="1656"/>
      <c r="C222" s="639" t="s">
        <v>149</v>
      </c>
      <c r="D222" s="2348"/>
      <c r="E222" s="617">
        <f>'[1]exchange rates'!$M$56</f>
        <v>1180.2052799999999</v>
      </c>
      <c r="F222" s="549">
        <v>0</v>
      </c>
      <c r="G222" s="550">
        <f>87196/E222</f>
        <v>73.882062279877289</v>
      </c>
      <c r="H222" s="551">
        <v>0</v>
      </c>
      <c r="I222" s="566">
        <f>Tabel668910192831[[#This Row],[Fix.ch. 2015]]+Tabel668910192831[[#This Row],[Var. ch. 2015]]+Tabel668910192831[[#This Row],[Oth. ch. DW 2015]]</f>
        <v>73.882062279877289</v>
      </c>
      <c r="J222" s="567">
        <f>40005/E222</f>
        <v>33.896645505602216</v>
      </c>
      <c r="K222" s="568">
        <v>0</v>
      </c>
      <c r="L222" s="568"/>
      <c r="M222" s="568"/>
      <c r="N222" s="569">
        <v>0</v>
      </c>
      <c r="O222" s="1271">
        <v>0</v>
      </c>
      <c r="P222" s="1496">
        <f>Tabel668910192831[[#This Row],[Total. ch. DW 2015]]+Tabel668910192831[[#This Row],[Sew. 2015]]+Tabel668910192831[[#This Row],[WW 2015]]+Tabel668910192831[[#This Row],[Other ch. 2015]]+Tabel668910192831[[#This Row],[VAT 2015]]</f>
        <v>107.7787077854795</v>
      </c>
      <c r="Q222" s="397"/>
    </row>
    <row r="223" spans="1:17" ht="16.5" hidden="1" thickBot="1" x14ac:dyDescent="0.3">
      <c r="A223" s="1758"/>
      <c r="B223" s="1656"/>
      <c r="C223" s="652" t="s">
        <v>150</v>
      </c>
      <c r="D223" s="2349"/>
      <c r="E223" s="617">
        <f>'[1]exchange rates'!$M$56</f>
        <v>1180.2052799999999</v>
      </c>
      <c r="F223" s="549">
        <v>0</v>
      </c>
      <c r="G223" s="550">
        <f>63436/E223</f>
        <v>53.749971360914437</v>
      </c>
      <c r="H223" s="551">
        <v>0</v>
      </c>
      <c r="I223" s="566">
        <f>Tabel668910192831[[#This Row],[Fix.ch. 2015]]+Tabel668910192831[[#This Row],[Var. ch. 2015]]+Tabel668910192831[[#This Row],[Oth. ch. DW 2015]]</f>
        <v>53.749971360914437</v>
      </c>
      <c r="J223" s="567">
        <f>30951/E223</f>
        <v>26.225098738755008</v>
      </c>
      <c r="K223" s="568">
        <v>0</v>
      </c>
      <c r="L223" s="568"/>
      <c r="M223" s="568"/>
      <c r="N223" s="569">
        <v>0</v>
      </c>
      <c r="O223" s="1271">
        <v>0</v>
      </c>
      <c r="P223" s="1496">
        <f>Tabel668910192831[[#This Row],[Total. ch. DW 2015]]+Tabel668910192831[[#This Row],[Sew. 2015]]+Tabel668910192831[[#This Row],[WW 2015]]+Tabel668910192831[[#This Row],[Other ch. 2015]]+Tabel668910192831[[#This Row],[VAT 2015]]</f>
        <v>79.975070099669438</v>
      </c>
      <c r="Q223" s="397"/>
    </row>
    <row r="224" spans="1:17" ht="15.75" hidden="1" x14ac:dyDescent="0.25">
      <c r="A224" s="1818" t="s">
        <v>26</v>
      </c>
      <c r="B224" s="1656"/>
      <c r="C224" s="543" t="s">
        <v>151</v>
      </c>
      <c r="D224" s="2347">
        <v>35200</v>
      </c>
      <c r="E224" s="617">
        <f>'[1]exchange rates'!$M$57</f>
        <v>0.92093999999999998</v>
      </c>
      <c r="F224" s="549">
        <f>83.28/E224</f>
        <v>90.429343931200734</v>
      </c>
      <c r="G224" s="550">
        <f>81.16/E224</f>
        <v>88.127348144287353</v>
      </c>
      <c r="H224" s="551">
        <v>0</v>
      </c>
      <c r="I224" s="566">
        <f>Tabel668910192831[[#This Row],[Fix.ch. 2015]]+Tabel668910192831[[#This Row],[Var. ch. 2015]]+Tabel668910192831[[#This Row],[Oth. ch. DW 2015]]</f>
        <v>178.55669207548809</v>
      </c>
      <c r="J224" s="567">
        <f>15.29/E224</f>
        <v>16.602601689578041</v>
      </c>
      <c r="K224" s="568">
        <f>48.63/E224</f>
        <v>52.8047429799987</v>
      </c>
      <c r="L224" s="568"/>
      <c r="M224" s="568"/>
      <c r="N224" s="569">
        <v>0</v>
      </c>
      <c r="O224" s="1271">
        <f>22.84/E224</f>
        <v>24.800747062783678</v>
      </c>
      <c r="P224" s="1496">
        <f>Tabel668910192831[[#This Row],[Total. ch. DW 2015]]+Tabel668910192831[[#This Row],[Sew. 2015]]+Tabel668910192831[[#This Row],[WW 2015]]+Tabel668910192831[[#This Row],[Other ch. 2015]]+Tabel668910192831[[#This Row],[VAT 2015]]</f>
        <v>272.76478380784852</v>
      </c>
      <c r="Q224" s="397"/>
    </row>
    <row r="225" spans="1:17" ht="15.75" hidden="1" x14ac:dyDescent="0.25">
      <c r="A225" s="2294"/>
      <c r="B225" s="1656"/>
      <c r="C225" s="543" t="s">
        <v>152</v>
      </c>
      <c r="D225" s="2359"/>
      <c r="E225" s="617">
        <f>'[1]exchange rates'!$M$57</f>
        <v>0.92093999999999998</v>
      </c>
      <c r="F225" s="549">
        <f>32.93/E225</f>
        <v>35.756943992008168</v>
      </c>
      <c r="G225" s="550">
        <f>51.97/E225</f>
        <v>56.431472191456557</v>
      </c>
      <c r="H225" s="551">
        <v>0</v>
      </c>
      <c r="I225" s="566">
        <f>Tabel668910192831[[#This Row],[Fix.ch. 2015]]+Tabel668910192831[[#This Row],[Var. ch. 2015]]+Tabel668910192831[[#This Row],[Oth. ch. DW 2015]]</f>
        <v>92.188416183464724</v>
      </c>
      <c r="J225" s="567">
        <v>0</v>
      </c>
      <c r="K225" s="568">
        <f>78.33/E225</f>
        <v>85.054400938171867</v>
      </c>
      <c r="L225" s="568"/>
      <c r="M225" s="568"/>
      <c r="N225" s="569">
        <v>0</v>
      </c>
      <c r="O225" s="1271">
        <f>16.32/E225</f>
        <v>17.721024170955765</v>
      </c>
      <c r="P225" s="1496">
        <f>Tabel668910192831[[#This Row],[Total. ch. DW 2015]]+Tabel668910192831[[#This Row],[Sew. 2015]]+Tabel668910192831[[#This Row],[WW 2015]]+Tabel668910192831[[#This Row],[Other ch. 2015]]+Tabel668910192831[[#This Row],[VAT 2015]]</f>
        <v>194.96384129259235</v>
      </c>
      <c r="Q225" s="397"/>
    </row>
    <row r="226" spans="1:17" ht="15.75" hidden="1" x14ac:dyDescent="0.25">
      <c r="A226" s="2294"/>
      <c r="B226" s="1656"/>
      <c r="C226" s="543" t="s">
        <v>153</v>
      </c>
      <c r="D226" s="2359"/>
      <c r="E226" s="617">
        <f>'[1]exchange rates'!$M$57</f>
        <v>0.92093999999999998</v>
      </c>
      <c r="F226" s="549">
        <f>61.23/E226</f>
        <v>66.486416053163069</v>
      </c>
      <c r="G226" s="550">
        <f>43/E226</f>
        <v>46.691423979846682</v>
      </c>
      <c r="H226" s="551">
        <v>0</v>
      </c>
      <c r="I226" s="566">
        <f>Tabel668910192831[[#This Row],[Fix.ch. 2015]]+Tabel668910192831[[#This Row],[Var. ch. 2015]]+Tabel668910192831[[#This Row],[Oth. ch. DW 2015]]</f>
        <v>113.17784003300974</v>
      </c>
      <c r="J226" s="567">
        <f>17.4/E226</f>
        <v>18.893739005798423</v>
      </c>
      <c r="K226" s="568">
        <f>50/E226</f>
        <v>54.292353464937996</v>
      </c>
      <c r="L226" s="568"/>
      <c r="M226" s="568"/>
      <c r="N226" s="569">
        <v>0</v>
      </c>
      <c r="O226" s="1271">
        <f>17.16/E226</f>
        <v>18.633135709166723</v>
      </c>
      <c r="P226" s="1496">
        <f>Tabel668910192831[[#This Row],[Total. ch. DW 2015]]+Tabel668910192831[[#This Row],[Sew. 2015]]+Tabel668910192831[[#This Row],[WW 2015]]+Tabel668910192831[[#This Row],[Other ch. 2015]]+Tabel668910192831[[#This Row],[VAT 2015]]</f>
        <v>204.99706821291289</v>
      </c>
      <c r="Q226" s="397"/>
    </row>
    <row r="227" spans="1:17" ht="15.75" hidden="1" x14ac:dyDescent="0.25">
      <c r="A227" s="2294"/>
      <c r="B227" s="1656"/>
      <c r="C227" s="543" t="s">
        <v>214</v>
      </c>
      <c r="D227" s="2359"/>
      <c r="E227" s="617">
        <f>'[1]exchange rates'!$M$57</f>
        <v>0.92093999999999998</v>
      </c>
      <c r="F227" s="549">
        <f>46.36/E227</f>
        <v>50.339870132690514</v>
      </c>
      <c r="G227" s="550">
        <f>40.9/E227</f>
        <v>44.411145134319284</v>
      </c>
      <c r="H227" s="551">
        <v>0</v>
      </c>
      <c r="I227" s="566">
        <f>Tabel668910192831[[#This Row],[Fix.ch. 2015]]+Tabel668910192831[[#This Row],[Var. ch. 2015]]+Tabel668910192831[[#This Row],[Oth. ch. DW 2015]]</f>
        <v>94.751015267009791</v>
      </c>
      <c r="J227" s="567">
        <f>38.22/E227</f>
        <v>41.501074988598603</v>
      </c>
      <c r="K227" s="568">
        <f>75.8/E227</f>
        <v>82.307207852846005</v>
      </c>
      <c r="L227" s="568"/>
      <c r="M227" s="568"/>
      <c r="N227" s="569">
        <v>0</v>
      </c>
      <c r="O227" s="1271">
        <f>20.13/E227</f>
        <v>21.858101504984038</v>
      </c>
      <c r="P227" s="1496">
        <f>Tabel668910192831[[#This Row],[Total. ch. DW 2015]]+Tabel668910192831[[#This Row],[Sew. 2015]]+Tabel668910192831[[#This Row],[WW 2015]]+Tabel668910192831[[#This Row],[Other ch. 2015]]+Tabel668910192831[[#This Row],[VAT 2015]]</f>
        <v>240.41739961343842</v>
      </c>
      <c r="Q227" s="397"/>
    </row>
    <row r="228" spans="1:17" ht="16.5" hidden="1" thickBot="1" x14ac:dyDescent="0.3">
      <c r="A228" s="2295"/>
      <c r="B228" s="1656"/>
      <c r="C228" s="543" t="s">
        <v>154</v>
      </c>
      <c r="D228" s="2349"/>
      <c r="E228" s="617">
        <f>'[1]exchange rates'!$M$57</f>
        <v>0.92093999999999998</v>
      </c>
      <c r="F228" s="549">
        <f>70.92/E228</f>
        <v>77.008274154668058</v>
      </c>
      <c r="G228" s="550">
        <f>55.91/E228</f>
        <v>60.709709644493664</v>
      </c>
      <c r="H228" s="551">
        <v>0</v>
      </c>
      <c r="I228" s="566">
        <f>Tabel668910192831[[#This Row],[Fix.ch. 2015]]+Tabel668910192831[[#This Row],[Var. ch. 2015]]+Tabel668910192831[[#This Row],[Oth. ch. DW 2015]]</f>
        <v>137.71798379916171</v>
      </c>
      <c r="J228" s="567">
        <f>30.29/E228</f>
        <v>32.890307729059437</v>
      </c>
      <c r="K228" s="568">
        <f>88.93/E228</f>
        <v>96.564379872738726</v>
      </c>
      <c r="L228" s="568"/>
      <c r="M228" s="568"/>
      <c r="N228" s="569">
        <v>0</v>
      </c>
      <c r="O228" s="1271">
        <f>24.61/E228</f>
        <v>26.722696375442482</v>
      </c>
      <c r="P228" s="1496">
        <f>Tabel668910192831[[#This Row],[Total. ch. DW 2015]]+Tabel668910192831[[#This Row],[Sew. 2015]]+Tabel668910192831[[#This Row],[WW 2015]]+Tabel668910192831[[#This Row],[Other ch. 2015]]+Tabel668910192831[[#This Row],[VAT 2015]]</f>
        <v>293.89536777640234</v>
      </c>
      <c r="Q228" s="397"/>
    </row>
    <row r="229" spans="1:17" ht="15.75" hidden="1" x14ac:dyDescent="0.25">
      <c r="A229" s="2004" t="s">
        <v>48</v>
      </c>
      <c r="B229" s="1617"/>
      <c r="C229" s="1557" t="s">
        <v>155</v>
      </c>
      <c r="D229" s="1545"/>
      <c r="E229" s="307">
        <f>'[1]exchange rates'!K58</f>
        <v>6.4383900000000001</v>
      </c>
      <c r="F229" s="319">
        <f>561.6/E229</f>
        <v>87.226775638008888</v>
      </c>
      <c r="G229" s="320">
        <f>243.2/E229</f>
        <v>37.773418509906975</v>
      </c>
      <c r="H229" s="321">
        <v>0</v>
      </c>
      <c r="I229" s="313">
        <f>Tabel668910192831[[#This Row],[Fix.ch. 2015]]+Tabel668910192831[[#This Row],[Var. ch. 2015]]+Tabel668910192831[[#This Row],[Oth. ch. DW 2015]]</f>
        <v>125.00019414791586</v>
      </c>
      <c r="J229" s="322">
        <f>842.4/E229</f>
        <v>130.84016345701332</v>
      </c>
      <c r="K229" s="323">
        <f>214.4/E229</f>
        <v>33.300250528470627</v>
      </c>
      <c r="L229" s="323"/>
      <c r="M229" s="323"/>
      <c r="N229" s="324">
        <f>277.6/E229</f>
        <v>43.116369154400402</v>
      </c>
      <c r="O229" s="1258">
        <f>534.8/E229</f>
        <v>83.064244321950042</v>
      </c>
      <c r="P229" s="1491">
        <f>Tabel668910192831[[#This Row],[Total. ch. DW 2015]]+Tabel668910192831[[#This Row],[Sew. 2015]]+Tabel668910192831[[#This Row],[WW 2015]]+Tabel668910192831[[#This Row],[Other ch. 2015]]+Tabel668910192831[[#This Row],[VAT 2015]]</f>
        <v>415.3212216097503</v>
      </c>
      <c r="Q229" s="397"/>
    </row>
    <row r="230" spans="1:17" ht="15.75" hidden="1" x14ac:dyDescent="0.25">
      <c r="A230" s="2005"/>
      <c r="B230" s="1617"/>
      <c r="C230" s="276" t="s">
        <v>156</v>
      </c>
      <c r="D230" s="1601"/>
      <c r="E230" s="307">
        <f>'[1]exchange rates'!K58</f>
        <v>6.4383900000000001</v>
      </c>
      <c r="F230" s="319">
        <f>974.72/E230</f>
        <v>151.39188523839036</v>
      </c>
      <c r="G230" s="320">
        <f>504/E230</f>
        <v>78.280439675136179</v>
      </c>
      <c r="H230" s="321">
        <v>0</v>
      </c>
      <c r="I230" s="313">
        <f>Tabel668910192831[[#This Row],[Fix.ch. 2015]]+Tabel668910192831[[#This Row],[Var. ch. 2015]]+Tabel668910192831[[#This Row],[Oth. ch. DW 2015]]</f>
        <v>229.67232491352655</v>
      </c>
      <c r="J230" s="322">
        <f>1462.08/E230</f>
        <v>227.08782785758549</v>
      </c>
      <c r="K230" s="323">
        <f>643.2/E230</f>
        <v>99.900751585411882</v>
      </c>
      <c r="L230" s="323"/>
      <c r="M230" s="323"/>
      <c r="N230" s="324">
        <v>0</v>
      </c>
      <c r="O230" s="1258">
        <f>896/E230</f>
        <v>139.16522608913098</v>
      </c>
      <c r="P230" s="1491">
        <f>Tabel668910192831[[#This Row],[Total. ch. DW 2015]]+Tabel668910192831[[#This Row],[Sew. 2015]]+Tabel668910192831[[#This Row],[WW 2015]]+Tabel668910192831[[#This Row],[Other ch. 2015]]+Tabel668910192831[[#This Row],[VAT 2015]]</f>
        <v>695.82613044565494</v>
      </c>
      <c r="Q230" s="397"/>
    </row>
    <row r="231" spans="1:17" ht="15.75" hidden="1" x14ac:dyDescent="0.25">
      <c r="A231" s="2005"/>
      <c r="B231" s="1617"/>
      <c r="C231" s="276" t="s">
        <v>157</v>
      </c>
      <c r="D231" s="1601"/>
      <c r="E231" s="307">
        <f>'[1]exchange rates'!K58</f>
        <v>6.4383900000000001</v>
      </c>
      <c r="F231" s="319">
        <f>524/E231</f>
        <v>81.386806328911419</v>
      </c>
      <c r="G231" s="320">
        <f>357.6/E231</f>
        <v>55.541835769501382</v>
      </c>
      <c r="H231" s="321">
        <v>0</v>
      </c>
      <c r="I231" s="313">
        <f>Tabel668910192831[[#This Row],[Fix.ch. 2015]]+Tabel668910192831[[#This Row],[Var. ch. 2015]]+Tabel668910192831[[#This Row],[Oth. ch. DW 2015]]</f>
        <v>136.92864209841281</v>
      </c>
      <c r="J231" s="322">
        <f>786/E231</f>
        <v>122.08020949336714</v>
      </c>
      <c r="K231" s="323">
        <f>380/E231</f>
        <v>59.020966421729653</v>
      </c>
      <c r="L231" s="323"/>
      <c r="M231" s="323"/>
      <c r="N231" s="324">
        <f>531.2/E231</f>
        <v>82.50509832427052</v>
      </c>
      <c r="O231" s="1258">
        <f>644.7/E231</f>
        <v>100.13372908444504</v>
      </c>
      <c r="P231" s="1491">
        <f>Tabel668910192831[[#This Row],[Total. ch. DW 2015]]+Tabel668910192831[[#This Row],[Sew. 2015]]+Tabel668910192831[[#This Row],[WW 2015]]+Tabel668910192831[[#This Row],[Other ch. 2015]]+Tabel668910192831[[#This Row],[VAT 2015]]</f>
        <v>500.66864542222515</v>
      </c>
      <c r="Q231" s="397"/>
    </row>
    <row r="232" spans="1:17" ht="15.75" hidden="1" x14ac:dyDescent="0.25">
      <c r="A232" s="2005"/>
      <c r="B232" s="1617"/>
      <c r="C232" s="276" t="s">
        <v>158</v>
      </c>
      <c r="D232" s="1601"/>
      <c r="E232" s="307">
        <f>'[1]exchange rates'!K58</f>
        <v>6.4383900000000001</v>
      </c>
      <c r="F232" s="319">
        <f>0</f>
        <v>0</v>
      </c>
      <c r="G232" s="320">
        <f>1072/E232</f>
        <v>166.50125264235314</v>
      </c>
      <c r="H232" s="321">
        <v>0</v>
      </c>
      <c r="I232" s="313">
        <f>Tabel668910192831[[#This Row],[Fix.ch. 2015]]+Tabel668910192831[[#This Row],[Var. ch. 2015]]+Tabel668910192831[[#This Row],[Oth. ch. DW 2015]]</f>
        <v>166.50125264235314</v>
      </c>
      <c r="J232" s="322">
        <v>0</v>
      </c>
      <c r="K232" s="323">
        <f>1608/E232</f>
        <v>249.75187896352969</v>
      </c>
      <c r="L232" s="323"/>
      <c r="M232" s="323"/>
      <c r="N232" s="324">
        <v>0</v>
      </c>
      <c r="O232" s="1258">
        <f>670/E232</f>
        <v>104.06328290147071</v>
      </c>
      <c r="P232" s="1491">
        <f>Tabel668910192831[[#This Row],[Total. ch. DW 2015]]+Tabel668910192831[[#This Row],[Sew. 2015]]+Tabel668910192831[[#This Row],[WW 2015]]+Tabel668910192831[[#This Row],[Other ch. 2015]]+Tabel668910192831[[#This Row],[VAT 2015]]</f>
        <v>520.31641450735356</v>
      </c>
      <c r="Q232" s="397"/>
    </row>
    <row r="233" spans="1:17" ht="16.5" hidden="1" thickBot="1" x14ac:dyDescent="0.3">
      <c r="A233" s="2006"/>
      <c r="B233" s="1617"/>
      <c r="C233" s="835" t="s">
        <v>159</v>
      </c>
      <c r="D233" s="1548"/>
      <c r="E233" s="307">
        <f>'[1]exchange rates'!K58</f>
        <v>6.4383900000000001</v>
      </c>
      <c r="F233" s="319">
        <f>1033.6/E233</f>
        <v>160.53702866710464</v>
      </c>
      <c r="G233" s="320">
        <f>466.4/E233</f>
        <v>72.44047036603871</v>
      </c>
      <c r="H233" s="321">
        <v>0</v>
      </c>
      <c r="I233" s="313">
        <f>Tabel668910192831[[#This Row],[Fix.ch. 2015]]+Tabel668910192831[[#This Row],[Var. ch. 2015]]+Tabel668910192831[[#This Row],[Oth. ch. DW 2015]]</f>
        <v>232.97749903314335</v>
      </c>
      <c r="J233" s="322">
        <f>1550.4/E233</f>
        <v>240.805543000657</v>
      </c>
      <c r="K233" s="323">
        <f>629.6/E233</f>
        <v>97.788422260844712</v>
      </c>
      <c r="L233" s="323"/>
      <c r="M233" s="323"/>
      <c r="N233" s="324">
        <v>0</v>
      </c>
      <c r="O233" s="1258">
        <f>920/E233</f>
        <v>142.89286607366128</v>
      </c>
      <c r="P233" s="1491">
        <f>Tabel668910192831[[#This Row],[Total. ch. DW 2015]]+Tabel668910192831[[#This Row],[Sew. 2015]]+Tabel668910192831[[#This Row],[WW 2015]]+Tabel668910192831[[#This Row],[Other ch. 2015]]+Tabel668910192831[[#This Row],[VAT 2015]]</f>
        <v>714.46433036830638</v>
      </c>
      <c r="Q233" s="397"/>
    </row>
    <row r="234" spans="1:17" ht="15.75" hidden="1" x14ac:dyDescent="0.25">
      <c r="A234" s="1818" t="s">
        <v>28</v>
      </c>
      <c r="B234" s="1656"/>
      <c r="C234" s="543" t="s">
        <v>160</v>
      </c>
      <c r="D234" s="2347">
        <v>59300</v>
      </c>
      <c r="E234" s="617">
        <f>'[1]exchange rates'!$M$59</f>
        <v>1.0015000000000001</v>
      </c>
      <c r="F234" s="549">
        <f>198/E234</f>
        <v>197.70344483275088</v>
      </c>
      <c r="G234" s="550">
        <f>129/E234</f>
        <v>128.80678981527709</v>
      </c>
      <c r="H234" s="551">
        <f>0</f>
        <v>0</v>
      </c>
      <c r="I234" s="566">
        <f>Tabel668910192831[[#This Row],[Fix.ch. 2015]]+Tabel668910192831[[#This Row],[Var. ch. 2015]]+Tabel668910192831[[#This Row],[Oth. ch. DW 2015]]</f>
        <v>326.51023464802796</v>
      </c>
      <c r="J234" s="567">
        <f>165.75/E234</f>
        <v>165.50174737893158</v>
      </c>
      <c r="K234" s="568">
        <v>0</v>
      </c>
      <c r="L234" s="568"/>
      <c r="M234" s="568"/>
      <c r="N234" s="569">
        <v>0</v>
      </c>
      <c r="O234" s="1271">
        <f>21.44/E234</f>
        <v>21.407888167748379</v>
      </c>
      <c r="P234" s="1496">
        <f>Tabel668910192831[[#This Row],[Total. ch. DW 2015]]+Tabel668910192831[[#This Row],[Sew. 2015]]+Tabel668910192831[[#This Row],[WW 2015]]+Tabel668910192831[[#This Row],[Other ch. 2015]]+Tabel668910192831[[#This Row],[VAT 2015]]</f>
        <v>513.41987019470798</v>
      </c>
      <c r="Q234" s="397"/>
    </row>
    <row r="235" spans="1:17" ht="15.75" hidden="1" x14ac:dyDescent="0.25">
      <c r="A235" s="2294"/>
      <c r="B235" s="1656"/>
      <c r="C235" s="543" t="s">
        <v>603</v>
      </c>
      <c r="D235" s="2359"/>
      <c r="E235" s="617">
        <f>'[1]exchange rates'!$M$59</f>
        <v>1.0015000000000001</v>
      </c>
      <c r="F235" s="549">
        <f>108/E235</f>
        <v>107.83824263604592</v>
      </c>
      <c r="G235" s="550">
        <f>120/E235</f>
        <v>119.82026959560659</v>
      </c>
      <c r="H235" s="551">
        <v>0</v>
      </c>
      <c r="I235" s="566">
        <f>Tabel668910192831[[#This Row],[Fix.ch. 2015]]+Tabel668910192831[[#This Row],[Var. ch. 2015]]+Tabel668910192831[[#This Row],[Oth. ch. DW 2015]]</f>
        <v>227.65851223165251</v>
      </c>
      <c r="J235" s="567">
        <f>291.62/E235</f>
        <v>291.18322516225658</v>
      </c>
      <c r="K235" s="568">
        <v>0</v>
      </c>
      <c r="L235" s="568"/>
      <c r="M235" s="568"/>
      <c r="N235" s="569">
        <v>0</v>
      </c>
      <c r="O235" s="1271">
        <f>29.03/E235</f>
        <v>28.986520219670492</v>
      </c>
      <c r="P235" s="1496">
        <f>Tabel668910192831[[#This Row],[Total. ch. DW 2015]]+Tabel668910192831[[#This Row],[Sew. 2015]]+Tabel668910192831[[#This Row],[WW 2015]]+Tabel668910192831[[#This Row],[Other ch. 2015]]+Tabel668910192831[[#This Row],[VAT 2015]]</f>
        <v>547.82825761357958</v>
      </c>
      <c r="Q235" s="397"/>
    </row>
    <row r="236" spans="1:17" ht="15.75" hidden="1" x14ac:dyDescent="0.25">
      <c r="A236" s="2294"/>
      <c r="B236" s="1656"/>
      <c r="C236" s="543" t="s">
        <v>162</v>
      </c>
      <c r="D236" s="2359"/>
      <c r="E236" s="617">
        <f>'[1]exchange rates'!$M$59</f>
        <v>1.0015000000000001</v>
      </c>
      <c r="F236" s="549">
        <f>136/E236</f>
        <v>135.79630554168747</v>
      </c>
      <c r="G236" s="550">
        <f>192/E236</f>
        <v>191.71243135297053</v>
      </c>
      <c r="H236" s="551">
        <v>0</v>
      </c>
      <c r="I236" s="566">
        <f>Tabel668910192831[[#This Row],[Fix.ch. 2015]]+Tabel668910192831[[#This Row],[Var. ch. 2015]]+Tabel668910192831[[#This Row],[Oth. ch. DW 2015]]</f>
        <v>327.508736894658</v>
      </c>
      <c r="J236" s="567">
        <f>120/E236</f>
        <v>119.82026959560659</v>
      </c>
      <c r="K236" s="568">
        <v>0</v>
      </c>
      <c r="L236" s="568"/>
      <c r="M236" s="568"/>
      <c r="N236" s="569">
        <v>0</v>
      </c>
      <c r="O236" s="1271">
        <f>17.8/E236</f>
        <v>17.773339990014978</v>
      </c>
      <c r="P236" s="1496">
        <f>Tabel668910192831[[#This Row],[Total. ch. DW 2015]]+Tabel668910192831[[#This Row],[Sew. 2015]]+Tabel668910192831[[#This Row],[WW 2015]]+Tabel668910192831[[#This Row],[Other ch. 2015]]+Tabel668910192831[[#This Row],[VAT 2015]]</f>
        <v>465.10234648027955</v>
      </c>
      <c r="Q236" s="397"/>
    </row>
    <row r="237" spans="1:17" ht="15.75" hidden="1" x14ac:dyDescent="0.25">
      <c r="A237" s="2294"/>
      <c r="B237" s="1656"/>
      <c r="C237" s="543" t="s">
        <v>161</v>
      </c>
      <c r="D237" s="2359"/>
      <c r="E237" s="617">
        <f>'[1]exchange rates'!$M$59</f>
        <v>1.0015000000000001</v>
      </c>
      <c r="F237" s="549">
        <f>70/E237</f>
        <v>69.895157264103844</v>
      </c>
      <c r="G237" s="550">
        <f>146/E237</f>
        <v>145.78132800798801</v>
      </c>
      <c r="H237" s="551">
        <v>0</v>
      </c>
      <c r="I237" s="566">
        <f>Tabel668910192831[[#This Row],[Fix.ch. 2015]]+Tabel668910192831[[#This Row],[Var. ch. 2015]]+Tabel668910192831[[#This Row],[Oth. ch. DW 2015]]</f>
        <v>215.67648527209184</v>
      </c>
      <c r="J237" s="567">
        <f>240/E237</f>
        <v>239.64053919121318</v>
      </c>
      <c r="K237" s="568">
        <v>0</v>
      </c>
      <c r="L237" s="568"/>
      <c r="M237" s="568"/>
      <c r="N237" s="569">
        <v>0</v>
      </c>
      <c r="O237" s="1271">
        <f>24.6/E237</f>
        <v>24.563155267099351</v>
      </c>
      <c r="P237" s="1496">
        <f>Tabel668910192831[[#This Row],[Total. ch. DW 2015]]+Tabel668910192831[[#This Row],[Sew. 2015]]+Tabel668910192831[[#This Row],[WW 2015]]+Tabel668910192831[[#This Row],[Other ch. 2015]]+Tabel668910192831[[#This Row],[VAT 2015]]</f>
        <v>479.88017973040439</v>
      </c>
      <c r="Q237" s="397"/>
    </row>
    <row r="238" spans="1:17" ht="16.5" hidden="1" thickBot="1" x14ac:dyDescent="0.3">
      <c r="A238" s="2295"/>
      <c r="B238" s="1656"/>
      <c r="C238" s="544" t="s">
        <v>163</v>
      </c>
      <c r="D238" s="2349"/>
      <c r="E238" s="617">
        <f>'[1]exchange rates'!$M$59</f>
        <v>1.0015000000000001</v>
      </c>
      <c r="F238" s="549">
        <f>4.83/E238</f>
        <v>4.8227658512231653</v>
      </c>
      <c r="G238" s="550">
        <f>260/E238</f>
        <v>259.61058412381425</v>
      </c>
      <c r="H238" s="551">
        <v>0</v>
      </c>
      <c r="I238" s="566">
        <f>Tabel668910192831[[#This Row],[Fix.ch. 2015]]+Tabel668910192831[[#This Row],[Var. ch. 2015]]+Tabel668910192831[[#This Row],[Oth. ch. DW 2015]]</f>
        <v>264.4333499750374</v>
      </c>
      <c r="J238" s="567">
        <f>378.33/E238</f>
        <v>377.76335496754865</v>
      </c>
      <c r="K238" s="568">
        <v>0</v>
      </c>
      <c r="L238" s="568"/>
      <c r="M238" s="568"/>
      <c r="N238" s="569">
        <v>0</v>
      </c>
      <c r="O238" s="1271">
        <f>36.89/E238</f>
        <v>36.834747878182725</v>
      </c>
      <c r="P238" s="1496">
        <f>Tabel668910192831[[#This Row],[Total. ch. DW 2015]]+Tabel668910192831[[#This Row],[Sew. 2015]]+Tabel668910192831[[#This Row],[WW 2015]]+Tabel668910192831[[#This Row],[Other ch. 2015]]+Tabel668910192831[[#This Row],[VAT 2015]]</f>
        <v>679.03145282076878</v>
      </c>
      <c r="Q238" s="397"/>
    </row>
    <row r="239" spans="1:17" ht="16.5" hidden="1" thickBot="1" x14ac:dyDescent="0.3">
      <c r="A239" s="1170" t="s">
        <v>706</v>
      </c>
      <c r="B239" s="1656"/>
      <c r="C239" s="544" t="s">
        <v>708</v>
      </c>
      <c r="D239" s="1558">
        <v>3000</v>
      </c>
      <c r="E239" s="617">
        <f>'[1]exchange rates'!M60</f>
        <v>2171.8366799999999</v>
      </c>
      <c r="F239" s="549"/>
      <c r="G239" s="550"/>
      <c r="H239" s="551"/>
      <c r="I239" s="566">
        <f>Tabel668910192831[[#This Row],[Fix.ch. 2015]]+Tabel668910192831[[#This Row],[Var. ch. 2015]]+Tabel668910192831[[#This Row],[Oth. ch. DW 2015]]</f>
        <v>0</v>
      </c>
      <c r="J239" s="567"/>
      <c r="K239" s="568"/>
      <c r="L239" s="568"/>
      <c r="M239" s="568"/>
      <c r="N239" s="569"/>
      <c r="O239" s="1271"/>
      <c r="P239" s="1496">
        <f>Tabel668910192831[[#This Row],[Total. ch. DW 2015]]+Tabel668910192831[[#This Row],[Sew. 2015]]+Tabel668910192831[[#This Row],[WW 2015]]+Tabel668910192831[[#This Row],[Other ch. 2015]]+Tabel668910192831[[#This Row],[VAT 2015]]</f>
        <v>0</v>
      </c>
      <c r="Q239" s="397"/>
    </row>
    <row r="240" spans="1:17" ht="16.5" hidden="1" thickBot="1" x14ac:dyDescent="0.3">
      <c r="A240" s="1170" t="s">
        <v>737</v>
      </c>
      <c r="B240" s="1656"/>
      <c r="C240" s="544" t="s">
        <v>738</v>
      </c>
      <c r="D240" s="1558">
        <v>16100</v>
      </c>
      <c r="E240" s="617">
        <f>'[1]exchange rates'!M61</f>
        <v>36.151380000000003</v>
      </c>
      <c r="F240" s="549"/>
      <c r="G240" s="550"/>
      <c r="H240" s="551"/>
      <c r="I240" s="566">
        <f>((30*8.5)+(10*10.03)+(10*10.35)+(10*10.68)+(10*11)+(10*11.33)+(10*12.5)+(10*12.82))/E240</f>
        <v>28.826008854986998</v>
      </c>
      <c r="J240" s="567"/>
      <c r="K240" s="568">
        <f>(3.358*100)/E240</f>
        <v>9.2887187155787689</v>
      </c>
      <c r="L240" s="568"/>
      <c r="M240" s="568"/>
      <c r="N240" s="569"/>
      <c r="O240" s="1271"/>
      <c r="P240" s="1496">
        <f>Tabel668910192831[[#This Row],[Total. ch. DW 2015]]+Tabel668910192831[[#This Row],[Sew. 2015]]+Tabel668910192831[[#This Row],[WW 2015]]+Tabel668910192831[[#This Row],[Other ch. 2015]]+Tabel668910192831[[#This Row],[VAT 2015]]</f>
        <v>38.114727570565769</v>
      </c>
      <c r="Q240" s="397"/>
    </row>
    <row r="241" spans="1:17" ht="16.5" hidden="1" thickBot="1" x14ac:dyDescent="0.3">
      <c r="A241" s="267" t="s">
        <v>29</v>
      </c>
      <c r="B241" s="1616"/>
      <c r="C241" s="1516" t="s">
        <v>164</v>
      </c>
      <c r="D241" s="1542"/>
      <c r="E241" s="307"/>
      <c r="F241" s="319"/>
      <c r="G241" s="320"/>
      <c r="H241" s="321"/>
      <c r="I241" s="313">
        <f>Tabel668910192831[[#This Row],[Fix.ch. 2015]]+Tabel668910192831[[#This Row],[Var. ch. 2015]]+Tabel668910192831[[#This Row],[Oth. ch. DW 2015]]</f>
        <v>0</v>
      </c>
      <c r="J241" s="322"/>
      <c r="K241" s="323"/>
      <c r="L241" s="323"/>
      <c r="M241" s="323"/>
      <c r="N241" s="324"/>
      <c r="O241" s="1258"/>
      <c r="P241" s="1491">
        <f>Tabel668910192831[[#This Row],[Total. ch. DW 2015]]+Tabel668910192831[[#This Row],[Sew. 2015]]+Tabel668910192831[[#This Row],[WW 2015]]+Tabel668910192831[[#This Row],[Other ch. 2015]]+Tabel668910192831[[#This Row],[VAT 2015]]</f>
        <v>0</v>
      </c>
      <c r="Q241" s="397"/>
    </row>
    <row r="242" spans="1:17" ht="15.75" hidden="1" x14ac:dyDescent="0.25">
      <c r="A242" s="1878" t="s">
        <v>505</v>
      </c>
      <c r="B242" s="1656"/>
      <c r="C242" s="1512" t="s">
        <v>746</v>
      </c>
      <c r="D242" s="2360">
        <v>2100</v>
      </c>
      <c r="E242" s="617">
        <f>'[1]exchange rates'!$M$63</f>
        <v>3401.52324</v>
      </c>
      <c r="F242" s="549">
        <f>10563/E242</f>
        <v>3.1053734620375546</v>
      </c>
      <c r="G242" s="550">
        <f>228613/E242</f>
        <v>67.209007221129553</v>
      </c>
      <c r="H242" s="551">
        <v>0</v>
      </c>
      <c r="I242" s="566">
        <f>Tabel668910192831[[#This Row],[Fix.ch. 2015]]+Tabel668910192831[[#This Row],[Var. ch. 2015]]+Tabel668910192831[[#This Row],[Oth. ch. DW 2015]]</f>
        <v>70.314380683167101</v>
      </c>
      <c r="J242" s="567">
        <v>0</v>
      </c>
      <c r="K242" s="568">
        <f>50028/E242</f>
        <v>14.707528501260512</v>
      </c>
      <c r="L242" s="568"/>
      <c r="M242" s="568"/>
      <c r="N242" s="569">
        <v>0</v>
      </c>
      <c r="O242" s="1271">
        <v>0</v>
      </c>
      <c r="P242" s="1496">
        <f>Tabel668910192831[[#This Row],[Total. ch. DW 2015]]+Tabel668910192831[[#This Row],[Sew. 2015]]+Tabel668910192831[[#This Row],[WW 2015]]+Tabel668910192831[[#This Row],[Other ch. 2015]]+Tabel668910192831[[#This Row],[VAT 2015]]</f>
        <v>85.021909184427614</v>
      </c>
      <c r="Q242" s="397"/>
    </row>
    <row r="243" spans="1:17" ht="15.75" hidden="1" x14ac:dyDescent="0.25">
      <c r="A243" s="1757"/>
      <c r="B243" s="1656"/>
      <c r="C243" s="639" t="s">
        <v>747</v>
      </c>
      <c r="D243" s="2186"/>
      <c r="E243" s="617">
        <f>'[1]exchange rates'!$M$63</f>
        <v>3401.52324</v>
      </c>
      <c r="F243" s="549">
        <f>9691/E243</f>
        <v>2.8490177241887666</v>
      </c>
      <c r="G243" s="550">
        <f>235864/E243</f>
        <v>69.340699256842356</v>
      </c>
      <c r="H243" s="551">
        <v>0</v>
      </c>
      <c r="I243" s="566">
        <f>Tabel668910192831[[#This Row],[Fix.ch. 2015]]+Tabel668910192831[[#This Row],[Var. ch. 2015]]+Tabel668910192831[[#This Row],[Oth. ch. DW 2015]]</f>
        <v>72.189716981031125</v>
      </c>
      <c r="J243" s="567">
        <v>0</v>
      </c>
      <c r="K243" s="568">
        <f>82721/E243</f>
        <v>24.318810769024761</v>
      </c>
      <c r="L243" s="568"/>
      <c r="M243" s="568"/>
      <c r="N243" s="569">
        <v>0</v>
      </c>
      <c r="O243" s="1271">
        <v>0</v>
      </c>
      <c r="P243" s="1496">
        <f>Tabel668910192831[[#This Row],[Total. ch. DW 2015]]+Tabel668910192831[[#This Row],[Sew. 2015]]+Tabel668910192831[[#This Row],[WW 2015]]+Tabel668910192831[[#This Row],[Other ch. 2015]]+Tabel668910192831[[#This Row],[VAT 2015]]</f>
        <v>96.50852775005589</v>
      </c>
      <c r="Q243" s="397"/>
    </row>
    <row r="244" spans="1:17" ht="15.75" hidden="1" x14ac:dyDescent="0.25">
      <c r="A244" s="1757"/>
      <c r="B244" s="1656"/>
      <c r="C244" s="639" t="s">
        <v>748</v>
      </c>
      <c r="D244" s="2186"/>
      <c r="E244" s="617">
        <f>'[1]exchange rates'!$M$63</f>
        <v>3401.52324</v>
      </c>
      <c r="F244" s="549">
        <f>11566/E244</f>
        <v>3.4002413577512409</v>
      </c>
      <c r="G244" s="550">
        <f>232984/E244</f>
        <v>68.494019755690388</v>
      </c>
      <c r="H244" s="551">
        <v>0</v>
      </c>
      <c r="I244" s="566">
        <f>Tabel668910192831[[#This Row],[Fix.ch. 2015]]+Tabel668910192831[[#This Row],[Var. ch. 2015]]+Tabel668910192831[[#This Row],[Oth. ch. DW 2015]]</f>
        <v>71.89426111344163</v>
      </c>
      <c r="J244" s="567">
        <v>0</v>
      </c>
      <c r="K244" s="568">
        <f>29186/E244</f>
        <v>8.5802735835489994</v>
      </c>
      <c r="L244" s="568"/>
      <c r="M244" s="568"/>
      <c r="N244" s="569">
        <v>0</v>
      </c>
      <c r="O244" s="1271">
        <v>0</v>
      </c>
      <c r="P244" s="1496">
        <f>Tabel668910192831[[#This Row],[Total. ch. DW 2015]]+Tabel668910192831[[#This Row],[Sew. 2015]]+Tabel668910192831[[#This Row],[WW 2015]]+Tabel668910192831[[#This Row],[Other ch. 2015]]+Tabel668910192831[[#This Row],[VAT 2015]]</f>
        <v>80.474534696990631</v>
      </c>
      <c r="Q244" s="397"/>
    </row>
    <row r="245" spans="1:17" ht="16.5" hidden="1" thickBot="1" x14ac:dyDescent="0.3">
      <c r="A245" s="1758"/>
      <c r="B245" s="1656"/>
      <c r="C245" s="652" t="s">
        <v>749</v>
      </c>
      <c r="D245" s="2187"/>
      <c r="E245" s="617">
        <f>'[1]exchange rates'!$M$63</f>
        <v>3401.52324</v>
      </c>
      <c r="F245" s="549">
        <f>10352/E245</f>
        <v>3.0433424291406577</v>
      </c>
      <c r="G245" s="550">
        <f>240056/E245</f>
        <v>70.573088308519104</v>
      </c>
      <c r="H245" s="551">
        <v>0</v>
      </c>
      <c r="I245" s="566">
        <f>Tabel668910192831[[#This Row],[Fix.ch. 2015]]+Tabel668910192831[[#This Row],[Var. ch. 2015]]+Tabel668910192831[[#This Row],[Oth. ch. DW 2015]]</f>
        <v>73.616430737659755</v>
      </c>
      <c r="J245" s="567">
        <v>0</v>
      </c>
      <c r="K245" s="568">
        <f>33733/E245</f>
        <v>9.9170276431802353</v>
      </c>
      <c r="L245" s="568"/>
      <c r="M245" s="568"/>
      <c r="N245" s="569">
        <v>0</v>
      </c>
      <c r="O245" s="1271">
        <v>0</v>
      </c>
      <c r="P245" s="1496">
        <f>Tabel668910192831[[#This Row],[Total. ch. DW 2015]]+Tabel668910192831[[#This Row],[Sew. 2015]]+Tabel668910192831[[#This Row],[WW 2015]]+Tabel668910192831[[#This Row],[Other ch. 2015]]+Tabel668910192831[[#This Row],[VAT 2015]]</f>
        <v>83.533458380839988</v>
      </c>
      <c r="Q245" s="397"/>
    </row>
    <row r="246" spans="1:17" ht="15.75" hidden="1" x14ac:dyDescent="0.25">
      <c r="A246" s="1818" t="s">
        <v>456</v>
      </c>
      <c r="B246" s="1656"/>
      <c r="C246" s="1513" t="s">
        <v>165</v>
      </c>
      <c r="D246" s="2347">
        <v>41200</v>
      </c>
      <c r="E246" s="617">
        <f>'[1]exchange rates'!$M$64</f>
        <v>0.67854999999999999</v>
      </c>
      <c r="F246" s="549">
        <f>29.52/E246</f>
        <v>43.504531722054381</v>
      </c>
      <c r="G246" s="550">
        <f>148.39/E246</f>
        <v>218.68690590229164</v>
      </c>
      <c r="H246" s="551">
        <f>0</f>
        <v>0</v>
      </c>
      <c r="I246" s="566">
        <f>Tabel668910192831[[#This Row],[Fix.ch. 2015]]+Tabel668910192831[[#This Row],[Var. ch. 2015]]+Tabel668910192831[[#This Row],[Oth. ch. DW 2015]]</f>
        <v>262.19143762434601</v>
      </c>
      <c r="J246" s="567">
        <v>0</v>
      </c>
      <c r="K246" s="568">
        <f>167.83/E246</f>
        <v>247.33623167047384</v>
      </c>
      <c r="L246" s="568"/>
      <c r="M246" s="568"/>
      <c r="N246" s="569">
        <v>0</v>
      </c>
      <c r="O246" s="1271">
        <v>0</v>
      </c>
      <c r="P246" s="1496">
        <f>Tabel668910192831[[#This Row],[Total. ch. DW 2015]]+Tabel668910192831[[#This Row],[Sew. 2015]]+Tabel668910192831[[#This Row],[WW 2015]]+Tabel668910192831[[#This Row],[Other ch. 2015]]+Tabel668910192831[[#This Row],[VAT 2015]]</f>
        <v>509.52766929481982</v>
      </c>
      <c r="Q246" s="397"/>
    </row>
    <row r="247" spans="1:17" ht="15.75" hidden="1" x14ac:dyDescent="0.25">
      <c r="A247" s="2294"/>
      <c r="B247" s="1656"/>
      <c r="C247" s="543" t="s">
        <v>166</v>
      </c>
      <c r="D247" s="2359"/>
      <c r="E247" s="617">
        <f>'[1]exchange rates'!$M$64</f>
        <v>0.67854999999999999</v>
      </c>
      <c r="F247" s="549">
        <f>34.4/E247</f>
        <v>50.696337779087763</v>
      </c>
      <c r="G247" s="550">
        <f>130.79/E247</f>
        <v>192.74924471299093</v>
      </c>
      <c r="H247" s="551">
        <v>0</v>
      </c>
      <c r="I247" s="566">
        <f>Tabel668910192831[[#This Row],[Fix.ch. 2015]]+Tabel668910192831[[#This Row],[Var. ch. 2015]]+Tabel668910192831[[#This Row],[Oth. ch. DW 2015]]</f>
        <v>243.4455824920787</v>
      </c>
      <c r="J247" s="567">
        <v>0</v>
      </c>
      <c r="K247" s="568">
        <f>247.53/E247</f>
        <v>364.79257239702309</v>
      </c>
      <c r="L247" s="568"/>
      <c r="M247" s="568"/>
      <c r="N247" s="569">
        <v>0</v>
      </c>
      <c r="O247" s="1271">
        <v>0</v>
      </c>
      <c r="P247" s="1496">
        <f>Tabel668910192831[[#This Row],[Total. ch. DW 2015]]+Tabel668910192831[[#This Row],[Sew. 2015]]+Tabel668910192831[[#This Row],[WW 2015]]+Tabel668910192831[[#This Row],[Other ch. 2015]]+Tabel668910192831[[#This Row],[VAT 2015]]</f>
        <v>608.23815488910179</v>
      </c>
      <c r="Q247" s="397"/>
    </row>
    <row r="248" spans="1:17" ht="15.75" hidden="1" x14ac:dyDescent="0.25">
      <c r="A248" s="2294"/>
      <c r="B248" s="1656"/>
      <c r="C248" s="543" t="s">
        <v>167</v>
      </c>
      <c r="D248" s="2359"/>
      <c r="E248" s="617">
        <f>'[1]exchange rates'!$M$64</f>
        <v>0.67854999999999999</v>
      </c>
      <c r="F248" s="549">
        <f>21.25/E248</f>
        <v>31.31677842458183</v>
      </c>
      <c r="G248" s="550">
        <f>126.29/E248</f>
        <v>186.11745634072656</v>
      </c>
      <c r="H248" s="551">
        <v>0</v>
      </c>
      <c r="I248" s="566">
        <f>Tabel668910192831[[#This Row],[Fix.ch. 2015]]+Tabel668910192831[[#This Row],[Var. ch. 2015]]+Tabel668910192831[[#This Row],[Oth. ch. DW 2015]]</f>
        <v>217.43423476530839</v>
      </c>
      <c r="J248" s="567">
        <v>0</v>
      </c>
      <c r="K248" s="568">
        <f>147.58/E248</f>
        <v>217.49318399528408</v>
      </c>
      <c r="L248" s="568"/>
      <c r="M248" s="568"/>
      <c r="N248" s="569">
        <v>0</v>
      </c>
      <c r="O248" s="1271">
        <v>0</v>
      </c>
      <c r="P248" s="1496">
        <f>Tabel668910192831[[#This Row],[Total. ch. DW 2015]]+Tabel668910192831[[#This Row],[Sew. 2015]]+Tabel668910192831[[#This Row],[WW 2015]]+Tabel668910192831[[#This Row],[Other ch. 2015]]+Tabel668910192831[[#This Row],[VAT 2015]]</f>
        <v>434.92741876059245</v>
      </c>
      <c r="Q248" s="397"/>
    </row>
    <row r="249" spans="1:17" ht="15.75" hidden="1" x14ac:dyDescent="0.25">
      <c r="A249" s="2294"/>
      <c r="B249" s="1656"/>
      <c r="C249" s="543" t="s">
        <v>168</v>
      </c>
      <c r="D249" s="2359"/>
      <c r="E249" s="617">
        <f>'[1]exchange rates'!$M$64</f>
        <v>0.67854999999999999</v>
      </c>
      <c r="F249" s="549">
        <f>34.79/E249</f>
        <v>51.271092771350673</v>
      </c>
      <c r="G249" s="550">
        <f>175/E249</f>
        <v>257.90288114361505</v>
      </c>
      <c r="H249" s="551">
        <v>0</v>
      </c>
      <c r="I249" s="566">
        <f>Tabel668910192831[[#This Row],[Fix.ch. 2015]]+Tabel668910192831[[#This Row],[Var. ch. 2015]]+Tabel668910192831[[#This Row],[Oth. ch. DW 2015]]</f>
        <v>309.1739739149657</v>
      </c>
      <c r="J249" s="567">
        <v>0</v>
      </c>
      <c r="K249" s="568">
        <f>216.44/E249</f>
        <v>318.9742833984231</v>
      </c>
      <c r="L249" s="568"/>
      <c r="M249" s="568"/>
      <c r="N249" s="569">
        <v>0</v>
      </c>
      <c r="O249" s="1271">
        <v>0</v>
      </c>
      <c r="P249" s="1496">
        <f>Tabel668910192831[[#This Row],[Total. ch. DW 2015]]+Tabel668910192831[[#This Row],[Sew. 2015]]+Tabel668910192831[[#This Row],[WW 2015]]+Tabel668910192831[[#This Row],[Other ch. 2015]]+Tabel668910192831[[#This Row],[VAT 2015]]</f>
        <v>628.14825731338874</v>
      </c>
      <c r="Q249" s="397"/>
    </row>
    <row r="250" spans="1:17" ht="15.75" hidden="1" x14ac:dyDescent="0.25">
      <c r="A250" s="2295"/>
      <c r="B250" s="1656"/>
      <c r="C250" s="543" t="s">
        <v>169</v>
      </c>
      <c r="D250" s="2359"/>
      <c r="E250" s="617">
        <f>'[1]exchange rates'!$M$64</f>
        <v>0.67854999999999999</v>
      </c>
      <c r="F250" s="549">
        <f>22.39/E250</f>
        <v>32.996831478888808</v>
      </c>
      <c r="G250" s="550">
        <f>126.6/E250</f>
        <v>186.57431287303808</v>
      </c>
      <c r="H250" s="551">
        <v>0</v>
      </c>
      <c r="I250" s="566">
        <f>Tabel668910192831[[#This Row],[Fix.ch. 2015]]+Tabel668910192831[[#This Row],[Var. ch. 2015]]+Tabel668910192831[[#This Row],[Oth. ch. DW 2015]]</f>
        <v>219.57114435192688</v>
      </c>
      <c r="J250" s="567">
        <v>0</v>
      </c>
      <c r="K250" s="568">
        <f>202.85/E250</f>
        <v>298.94628251418465</v>
      </c>
      <c r="L250" s="568"/>
      <c r="M250" s="568"/>
      <c r="N250" s="569">
        <v>0</v>
      </c>
      <c r="O250" s="1271">
        <v>0</v>
      </c>
      <c r="P250" s="1496">
        <f>Tabel668910192831[[#This Row],[Total. ch. DW 2015]]+Tabel668910192831[[#This Row],[Sew. 2015]]+Tabel668910192831[[#This Row],[WW 2015]]+Tabel668910192831[[#This Row],[Other ch. 2015]]+Tabel668910192831[[#This Row],[VAT 2015]]</f>
        <v>518.51742686611146</v>
      </c>
      <c r="Q250" s="397"/>
    </row>
    <row r="251" spans="1:17" ht="15.75" hidden="1" x14ac:dyDescent="0.25">
      <c r="A251" s="2192" t="s">
        <v>31</v>
      </c>
      <c r="B251" s="1656"/>
      <c r="C251" s="1512" t="s">
        <v>170</v>
      </c>
      <c r="D251" s="2347">
        <v>56300</v>
      </c>
      <c r="E251" s="715">
        <v>1</v>
      </c>
      <c r="F251" s="549">
        <v>178.85</v>
      </c>
      <c r="G251" s="550">
        <v>134.55000000000001</v>
      </c>
      <c r="H251" s="551">
        <v>0</v>
      </c>
      <c r="I251" s="566">
        <f>Tabel668910192831[[#This Row],[Fix.ch. 2015]]+Tabel668910192831[[#This Row],[Var. ch. 2015]]+Tabel668910192831[[#This Row],[Oth. ch. DW 2015]]</f>
        <v>313.39999999999998</v>
      </c>
      <c r="J251" s="567">
        <v>0</v>
      </c>
      <c r="K251" s="568">
        <v>213.93</v>
      </c>
      <c r="L251" s="568"/>
      <c r="M251" s="568"/>
      <c r="N251" s="569">
        <v>0</v>
      </c>
      <c r="O251" s="1271">
        <v>0</v>
      </c>
      <c r="P251" s="1496">
        <f>Tabel668910192831[[#This Row],[Total. ch. DW 2015]]+Tabel668910192831[[#This Row],[Sew. 2015]]+Tabel668910192831[[#This Row],[WW 2015]]+Tabel668910192831[[#This Row],[Other ch. 2015]]+Tabel668910192831[[#This Row],[VAT 2015]]</f>
        <v>527.32999999999993</v>
      </c>
      <c r="Q251" s="397"/>
    </row>
    <row r="252" spans="1:17" ht="15.75" hidden="1" x14ac:dyDescent="0.25">
      <c r="A252" s="2148"/>
      <c r="B252" s="1656"/>
      <c r="C252" s="1293" t="s">
        <v>171</v>
      </c>
      <c r="D252" s="2359"/>
      <c r="E252" s="715">
        <v>1</v>
      </c>
      <c r="F252" s="549">
        <v>46.32</v>
      </c>
      <c r="G252" s="550">
        <v>108.79</v>
      </c>
      <c r="H252" s="551">
        <v>75.599999999999994</v>
      </c>
      <c r="I252" s="566">
        <f>Tabel668910192831[[#This Row],[Fix.ch. 2015]]+Tabel668910192831[[#This Row],[Var. ch. 2015]]+Tabel668910192831[[#This Row],[Oth. ch. DW 2015]]</f>
        <v>230.71</v>
      </c>
      <c r="J252" s="567">
        <v>0</v>
      </c>
      <c r="K252" s="568">
        <v>192.14</v>
      </c>
      <c r="L252" s="568"/>
      <c r="M252" s="568"/>
      <c r="N252" s="569">
        <v>243.6</v>
      </c>
      <c r="O252" s="1271">
        <v>0</v>
      </c>
      <c r="P252" s="1496">
        <f>Tabel668910192831[[#This Row],[Total. ch. DW 2015]]+Tabel668910192831[[#This Row],[Sew. 2015]]+Tabel668910192831[[#This Row],[WW 2015]]+Tabel668910192831[[#This Row],[Other ch. 2015]]+Tabel668910192831[[#This Row],[VAT 2015]]</f>
        <v>666.45</v>
      </c>
      <c r="Q252" s="397"/>
    </row>
    <row r="253" spans="1:17" ht="15.75" hidden="1" x14ac:dyDescent="0.25">
      <c r="A253" s="2148"/>
      <c r="B253" s="1656"/>
      <c r="C253" s="1293" t="s">
        <v>172</v>
      </c>
      <c r="D253" s="2359"/>
      <c r="E253" s="715">
        <v>1</v>
      </c>
      <c r="F253" s="549">
        <v>0</v>
      </c>
      <c r="G253" s="550">
        <v>164.38</v>
      </c>
      <c r="H253" s="551">
        <v>0</v>
      </c>
      <c r="I253" s="566">
        <f>Tabel668910192831[[#This Row],[Fix.ch. 2015]]+Tabel668910192831[[#This Row],[Var. ch. 2015]]+Tabel668910192831[[#This Row],[Oth. ch. DW 2015]]</f>
        <v>164.38</v>
      </c>
      <c r="J253" s="567">
        <v>0</v>
      </c>
      <c r="K253" s="568">
        <v>149.4</v>
      </c>
      <c r="L253" s="568"/>
      <c r="M253" s="568"/>
      <c r="N253" s="569">
        <v>0</v>
      </c>
      <c r="O253" s="1271">
        <v>0</v>
      </c>
      <c r="P253" s="1496">
        <f>Tabel668910192831[[#This Row],[Total. ch. DW 2015]]+Tabel668910192831[[#This Row],[Sew. 2015]]+Tabel668910192831[[#This Row],[WW 2015]]+Tabel668910192831[[#This Row],[Other ch. 2015]]+Tabel668910192831[[#This Row],[VAT 2015]]</f>
        <v>313.77999999999997</v>
      </c>
      <c r="Q253" s="397"/>
    </row>
    <row r="254" spans="1:17" ht="15.75" hidden="1" x14ac:dyDescent="0.25">
      <c r="A254" s="2148"/>
      <c r="B254" s="1656"/>
      <c r="C254" s="1293" t="s">
        <v>173</v>
      </c>
      <c r="D254" s="2359"/>
      <c r="E254" s="715">
        <v>1</v>
      </c>
      <c r="F254" s="549">
        <v>0</v>
      </c>
      <c r="G254" s="550">
        <v>100.65</v>
      </c>
      <c r="H254" s="551">
        <v>0</v>
      </c>
      <c r="I254" s="566">
        <f>Tabel668910192831[[#This Row],[Fix.ch. 2015]]+Tabel668910192831[[#This Row],[Var. ch. 2015]]+Tabel668910192831[[#This Row],[Oth. ch. DW 2015]]</f>
        <v>100.65</v>
      </c>
      <c r="J254" s="567">
        <v>0</v>
      </c>
      <c r="K254" s="568">
        <v>100.65</v>
      </c>
      <c r="L254" s="568"/>
      <c r="M254" s="568"/>
      <c r="N254" s="569">
        <v>0</v>
      </c>
      <c r="O254" s="1271">
        <v>0</v>
      </c>
      <c r="P254" s="1496">
        <f>Tabel668910192831[[#This Row],[Total. ch. DW 2015]]+Tabel668910192831[[#This Row],[Sew. 2015]]+Tabel668910192831[[#This Row],[WW 2015]]+Tabel668910192831[[#This Row],[Other ch. 2015]]+Tabel668910192831[[#This Row],[VAT 2015]]</f>
        <v>201.3</v>
      </c>
      <c r="Q254" s="397"/>
    </row>
    <row r="255" spans="1:17" ht="15.75" hidden="1" x14ac:dyDescent="0.25">
      <c r="A255" s="2148"/>
      <c r="B255" s="1656"/>
      <c r="C255" s="1293" t="s">
        <v>174</v>
      </c>
      <c r="D255" s="2359"/>
      <c r="E255" s="715">
        <v>1</v>
      </c>
      <c r="F255" s="549">
        <v>105.48</v>
      </c>
      <c r="G255" s="550">
        <v>68.680000000000007</v>
      </c>
      <c r="H255" s="551">
        <v>0</v>
      </c>
      <c r="I255" s="566">
        <f>Tabel668910192831[[#This Row],[Fix.ch. 2015]]+Tabel668910192831[[#This Row],[Var. ch. 2015]]+Tabel668910192831[[#This Row],[Oth. ch. DW 2015]]</f>
        <v>174.16000000000003</v>
      </c>
      <c r="J255" s="567">
        <v>0</v>
      </c>
      <c r="K255" s="568">
        <v>223.82</v>
      </c>
      <c r="L255" s="568"/>
      <c r="M255" s="568"/>
      <c r="N255" s="569">
        <v>0</v>
      </c>
      <c r="O255" s="1271">
        <v>0</v>
      </c>
      <c r="P255" s="1496">
        <f>Tabel668910192831[[#This Row],[Total. ch. DW 2015]]+Tabel668910192831[[#This Row],[Sew. 2015]]+Tabel668910192831[[#This Row],[WW 2015]]+Tabel668910192831[[#This Row],[Other ch. 2015]]+Tabel668910192831[[#This Row],[VAT 2015]]</f>
        <v>397.98</v>
      </c>
      <c r="Q255" s="397"/>
    </row>
    <row r="256" spans="1:17" ht="15.75" hidden="1" x14ac:dyDescent="0.25">
      <c r="A256" s="2148"/>
      <c r="B256" s="1656"/>
      <c r="C256" s="1293" t="s">
        <v>175</v>
      </c>
      <c r="D256" s="2359"/>
      <c r="E256" s="715">
        <v>1</v>
      </c>
      <c r="F256" s="549">
        <v>38.4</v>
      </c>
      <c r="G256" s="550">
        <v>13.07</v>
      </c>
      <c r="H256" s="551">
        <v>0</v>
      </c>
      <c r="I256" s="566">
        <f>Tabel668910192831[[#This Row],[Fix.ch. 2015]]+Tabel668910192831[[#This Row],[Var. ch. 2015]]+Tabel668910192831[[#This Row],[Oth. ch. DW 2015]]</f>
        <v>51.47</v>
      </c>
      <c r="J256" s="567">
        <v>0</v>
      </c>
      <c r="K256" s="568">
        <v>87.74</v>
      </c>
      <c r="L256" s="568"/>
      <c r="M256" s="568"/>
      <c r="N256" s="569">
        <v>0</v>
      </c>
      <c r="O256" s="1271">
        <v>0</v>
      </c>
      <c r="P256" s="1496">
        <f>Tabel668910192831[[#This Row],[Total. ch. DW 2015]]+Tabel668910192831[[#This Row],[Sew. 2015]]+Tabel668910192831[[#This Row],[WW 2015]]+Tabel668910192831[[#This Row],[Other ch. 2015]]+Tabel668910192831[[#This Row],[VAT 2015]]</f>
        <v>139.20999999999998</v>
      </c>
      <c r="Q256" s="397"/>
    </row>
    <row r="257" spans="1:17" ht="16.5" hidden="1" thickBot="1" x14ac:dyDescent="0.3">
      <c r="A257" s="2148"/>
      <c r="B257" s="1656"/>
      <c r="C257" s="1053" t="s">
        <v>212</v>
      </c>
      <c r="D257" s="2349"/>
      <c r="E257" s="715">
        <v>1</v>
      </c>
      <c r="F257" s="549">
        <v>42</v>
      </c>
      <c r="G257" s="550">
        <v>121.85</v>
      </c>
      <c r="H257" s="551">
        <v>0</v>
      </c>
      <c r="I257" s="566">
        <f>Tabel668910192831[[#This Row],[Fix.ch. 2015]]+Tabel668910192831[[#This Row],[Var. ch. 2015]]+Tabel668910192831[[#This Row],[Oth. ch. DW 2015]]</f>
        <v>163.85</v>
      </c>
      <c r="J257" s="567">
        <v>0</v>
      </c>
      <c r="K257" s="568">
        <v>171.33</v>
      </c>
      <c r="L257" s="568"/>
      <c r="M257" s="568"/>
      <c r="N257" s="569">
        <v>0</v>
      </c>
      <c r="O257" s="1271">
        <v>12.7</v>
      </c>
      <c r="P257" s="1496">
        <f>Tabel668910192831[[#This Row],[Total. ch. DW 2015]]+Tabel668910192831[[#This Row],[Sew. 2015]]+Tabel668910192831[[#This Row],[WW 2015]]+Tabel668910192831[[#This Row],[Other ch. 2015]]+Tabel668910192831[[#This Row],[VAT 2015]]</f>
        <v>347.88</v>
      </c>
      <c r="Q257" s="397"/>
    </row>
    <row r="258" spans="1:17" ht="16.5" hidden="1" thickBot="1" x14ac:dyDescent="0.3">
      <c r="A258" s="1818" t="s">
        <v>718</v>
      </c>
      <c r="B258" s="1656"/>
      <c r="C258" s="543" t="s">
        <v>761</v>
      </c>
      <c r="D258" s="2343">
        <v>4300</v>
      </c>
      <c r="E258" s="1321">
        <f>'[1]exchange rates'!$M$66</f>
        <v>11.06053</v>
      </c>
      <c r="F258" s="1322">
        <f>8/E258</f>
        <v>0.72329264510832658</v>
      </c>
      <c r="G258" s="1323">
        <f>393/E258</f>
        <v>35.531751190946544</v>
      </c>
      <c r="H258" s="1324">
        <v>0</v>
      </c>
      <c r="I258" s="1325">
        <f>F258+G258+H258</f>
        <v>36.255043836054867</v>
      </c>
      <c r="J258" s="1326">
        <v>0</v>
      </c>
      <c r="K258" s="1327">
        <f>117/E258</f>
        <v>10.578154934709277</v>
      </c>
      <c r="L258" s="1327"/>
      <c r="M258" s="1327"/>
      <c r="N258" s="1328">
        <f>9.82/E258</f>
        <v>0.88784172187047095</v>
      </c>
      <c r="O258" s="1329">
        <v>0</v>
      </c>
      <c r="P258" s="1561">
        <f>I258+J258+K258+N258+O258</f>
        <v>47.721040492634614</v>
      </c>
      <c r="Q258" s="397"/>
    </row>
    <row r="259" spans="1:17" ht="16.5" hidden="1" thickBot="1" x14ac:dyDescent="0.3">
      <c r="A259" s="2294"/>
      <c r="B259" s="1656"/>
      <c r="C259" s="543" t="s">
        <v>762</v>
      </c>
      <c r="D259" s="1880"/>
      <c r="E259" s="1331">
        <f>'[1]exchange rates'!$M$66</f>
        <v>11.06053</v>
      </c>
      <c r="F259" s="1322">
        <f>5/E259</f>
        <v>0.45205790319270417</v>
      </c>
      <c r="G259" s="1323">
        <f>323.88/E259</f>
        <v>29.282502737210603</v>
      </c>
      <c r="H259" s="1324">
        <v>0</v>
      </c>
      <c r="I259" s="1325">
        <f t="shared" ref="I259:I261" si="2">F259+G259+H259</f>
        <v>29.734560640403306</v>
      </c>
      <c r="J259" s="1326">
        <v>0</v>
      </c>
      <c r="K259" s="1327">
        <f>97.16/E259</f>
        <v>8.7843891748406264</v>
      </c>
      <c r="L259" s="1327"/>
      <c r="M259" s="1327"/>
      <c r="N259" s="1328">
        <f>8.1/E259</f>
        <v>0.73233380317218066</v>
      </c>
      <c r="O259" s="1329">
        <v>0</v>
      </c>
      <c r="P259" s="1561">
        <f t="shared" ref="P259:P261" si="3">I259+J259+K259+N259+O259</f>
        <v>39.25128361841611</v>
      </c>
      <c r="Q259" s="397"/>
    </row>
    <row r="260" spans="1:17" ht="16.5" hidden="1" thickBot="1" x14ac:dyDescent="0.3">
      <c r="A260" s="2294"/>
      <c r="B260" s="1656"/>
      <c r="C260" s="543" t="s">
        <v>763</v>
      </c>
      <c r="D260" s="1880"/>
      <c r="E260" s="1331">
        <f>'[1]exchange rates'!$M$66</f>
        <v>11.06053</v>
      </c>
      <c r="F260" s="1322">
        <f>5/E260</f>
        <v>0.45205790319270417</v>
      </c>
      <c r="G260" s="1323">
        <f>346.38/E260</f>
        <v>31.316763301577772</v>
      </c>
      <c r="H260" s="1324">
        <v>0</v>
      </c>
      <c r="I260" s="1325">
        <f t="shared" si="2"/>
        <v>31.768821204770475</v>
      </c>
      <c r="J260" s="1326">
        <v>0</v>
      </c>
      <c r="K260" s="1327">
        <f>69.27/E260</f>
        <v>6.2628101908317229</v>
      </c>
      <c r="L260" s="1327"/>
      <c r="M260" s="1327"/>
      <c r="N260" s="1328">
        <f>8.65/E260</f>
        <v>0.78206017252337823</v>
      </c>
      <c r="O260" s="1329">
        <v>0</v>
      </c>
      <c r="P260" s="1561">
        <f t="shared" si="3"/>
        <v>38.813691568125577</v>
      </c>
      <c r="Q260" s="397"/>
    </row>
    <row r="261" spans="1:17" ht="16.5" hidden="1" thickBot="1" x14ac:dyDescent="0.3">
      <c r="A261" s="2295"/>
      <c r="B261" s="1656"/>
      <c r="C261" s="544" t="s">
        <v>764</v>
      </c>
      <c r="D261" s="1761"/>
      <c r="E261" s="1332">
        <f>'[1]exchange rates'!$M$66</f>
        <v>11.06053</v>
      </c>
      <c r="F261" s="1333">
        <f>6.5/E261</f>
        <v>0.58767527415051535</v>
      </c>
      <c r="G261" s="1334">
        <f>627.38/E261</f>
        <v>56.722417461007744</v>
      </c>
      <c r="H261" s="1335">
        <v>0</v>
      </c>
      <c r="I261" s="1325">
        <f t="shared" si="2"/>
        <v>57.310092735158257</v>
      </c>
      <c r="J261" s="1336">
        <v>0</v>
      </c>
      <c r="K261" s="1327">
        <f>251/E261</f>
        <v>22.693306740273748</v>
      </c>
      <c r="L261" s="1327"/>
      <c r="M261" s="1327"/>
      <c r="N261" s="1328">
        <v>0</v>
      </c>
      <c r="O261" s="1337">
        <v>0</v>
      </c>
      <c r="P261" s="1561">
        <f t="shared" si="3"/>
        <v>80.003399475432005</v>
      </c>
      <c r="Q261" s="397"/>
    </row>
    <row r="262" spans="1:17" x14ac:dyDescent="0.25">
      <c r="D262" s="1562"/>
      <c r="E262" s="1563"/>
    </row>
    <row r="263" spans="1:17" x14ac:dyDescent="0.25">
      <c r="D263" s="1562"/>
      <c r="E263" s="1563"/>
    </row>
    <row r="264" spans="1:17" x14ac:dyDescent="0.25">
      <c r="D264" s="1565"/>
      <c r="E264" s="1566"/>
    </row>
    <row r="265" spans="1:17" ht="64.900000000000006" customHeight="1" x14ac:dyDescent="0.25">
      <c r="A265" s="1339"/>
      <c r="B265" s="1341" t="s">
        <v>1022</v>
      </c>
      <c r="C265" s="1341" t="s">
        <v>1358</v>
      </c>
      <c r="D265" s="1341" t="s">
        <v>1359</v>
      </c>
      <c r="E265" s="1341" t="s">
        <v>1360</v>
      </c>
      <c r="F265" s="1341" t="s">
        <v>1361</v>
      </c>
      <c r="G265" s="1427" t="s">
        <v>1203</v>
      </c>
    </row>
    <row r="266" spans="1:17" ht="15.75" x14ac:dyDescent="0.25">
      <c r="A266" s="1670" t="s">
        <v>621</v>
      </c>
      <c r="B266" s="1671" t="s">
        <v>1092</v>
      </c>
      <c r="C266" s="1603">
        <v>0</v>
      </c>
      <c r="D266" s="1569">
        <v>0.49788024590652696</v>
      </c>
      <c r="E266" s="1569">
        <v>0</v>
      </c>
      <c r="F266" s="1602"/>
      <c r="G266" s="1075">
        <f t="shared" ref="G266:G272" si="4">SUM(C266:E266)</f>
        <v>0.49788024590652696</v>
      </c>
    </row>
    <row r="267" spans="1:17" ht="15.75" x14ac:dyDescent="0.25">
      <c r="A267" s="1672" t="s">
        <v>620</v>
      </c>
      <c r="B267" s="1673" t="s">
        <v>1092</v>
      </c>
      <c r="C267" s="1603">
        <v>6.3682357034555784E-2</v>
      </c>
      <c r="D267" s="1569">
        <v>0.48630163553660777</v>
      </c>
      <c r="E267" s="1569">
        <v>0</v>
      </c>
      <c r="F267" s="1602"/>
      <c r="G267" s="1075">
        <f t="shared" si="4"/>
        <v>0.54998399257116359</v>
      </c>
    </row>
    <row r="268" spans="1:17" ht="15.75" x14ac:dyDescent="0.25">
      <c r="A268" s="1672" t="s">
        <v>623</v>
      </c>
      <c r="B268" s="1673" t="s">
        <v>1092</v>
      </c>
      <c r="C268" s="1603">
        <v>0.1099967985142327</v>
      </c>
      <c r="D268" s="1569">
        <v>0.51524816146140584</v>
      </c>
      <c r="E268" s="1569">
        <v>0</v>
      </c>
      <c r="F268" s="1602"/>
      <c r="G268" s="1075">
        <f t="shared" si="4"/>
        <v>0.62524495997563856</v>
      </c>
    </row>
    <row r="269" spans="1:17" ht="15.75" x14ac:dyDescent="0.25">
      <c r="A269" s="1672" t="s">
        <v>624</v>
      </c>
      <c r="B269" s="1673" t="s">
        <v>1092</v>
      </c>
      <c r="C269" s="1603">
        <v>0.13894332443903079</v>
      </c>
      <c r="D269" s="1569">
        <v>0.63103426516059813</v>
      </c>
      <c r="E269" s="1569">
        <v>0</v>
      </c>
      <c r="F269" s="1602"/>
      <c r="G269" s="1075">
        <f t="shared" si="4"/>
        <v>0.76997758959962892</v>
      </c>
    </row>
    <row r="270" spans="1:17" ht="15.75" x14ac:dyDescent="0.25">
      <c r="A270" s="1672" t="s">
        <v>622</v>
      </c>
      <c r="B270" s="1673" t="s">
        <v>1092</v>
      </c>
      <c r="C270" s="1603">
        <v>0.18525776591870774</v>
      </c>
      <c r="D270" s="1569">
        <v>1.0594428488476098</v>
      </c>
      <c r="E270" s="1569">
        <v>0</v>
      </c>
      <c r="F270" s="1602"/>
      <c r="G270" s="1075">
        <f t="shared" si="4"/>
        <v>1.2447006147663175</v>
      </c>
    </row>
    <row r="271" spans="1:17" ht="15.75" x14ac:dyDescent="0.25">
      <c r="A271" s="1674" t="s">
        <v>37</v>
      </c>
      <c r="B271" s="1675" t="s">
        <v>1090</v>
      </c>
      <c r="C271" s="1603">
        <v>18.410098329450939</v>
      </c>
      <c r="D271" s="1569">
        <v>0</v>
      </c>
      <c r="E271" s="1569">
        <v>0</v>
      </c>
      <c r="F271" s="1602"/>
      <c r="G271" s="1075">
        <f t="shared" si="4"/>
        <v>18.410098329450939</v>
      </c>
    </row>
    <row r="272" spans="1:17" ht="15.75" x14ac:dyDescent="0.25">
      <c r="A272" s="1672" t="s">
        <v>743</v>
      </c>
      <c r="B272" s="1673" t="s">
        <v>1078</v>
      </c>
      <c r="C272" s="1603">
        <v>5.8330000421920332</v>
      </c>
      <c r="D272" s="1569">
        <v>21.827086157882587</v>
      </c>
      <c r="E272" s="1569">
        <v>0</v>
      </c>
      <c r="F272" s="1602"/>
      <c r="G272" s="1075">
        <f t="shared" si="4"/>
        <v>27.66008620007462</v>
      </c>
    </row>
    <row r="273" spans="1:7" ht="15.75" x14ac:dyDescent="0.25">
      <c r="A273" s="1676" t="s">
        <v>738</v>
      </c>
      <c r="B273" s="1677" t="s">
        <v>1141</v>
      </c>
      <c r="C273" s="1603"/>
      <c r="D273" s="1569"/>
      <c r="E273" s="1569"/>
      <c r="F273" s="1569">
        <v>28.826008854986998</v>
      </c>
      <c r="G273" s="1075">
        <f>F273</f>
        <v>28.826008854986998</v>
      </c>
    </row>
    <row r="274" spans="1:7" ht="15.75" x14ac:dyDescent="0.25">
      <c r="A274" s="1674" t="s">
        <v>79</v>
      </c>
      <c r="B274" s="1675" t="s">
        <v>1044</v>
      </c>
      <c r="C274" s="1603">
        <v>29.475836722286957</v>
      </c>
      <c r="D274" s="1569">
        <v>0</v>
      </c>
      <c r="E274" s="1569">
        <v>0</v>
      </c>
      <c r="F274" s="1602"/>
      <c r="G274" s="1075">
        <f t="shared" ref="G274:G337" si="5">SUM(C274:E274)</f>
        <v>29.475836722286957</v>
      </c>
    </row>
    <row r="275" spans="1:7" ht="15.75" x14ac:dyDescent="0.25">
      <c r="A275" s="1676" t="s">
        <v>762</v>
      </c>
      <c r="B275" s="1677" t="s">
        <v>1153</v>
      </c>
      <c r="C275" s="1603">
        <v>0.45205790319270417</v>
      </c>
      <c r="D275" s="1569">
        <v>29.282502737210603</v>
      </c>
      <c r="E275" s="1569">
        <v>0</v>
      </c>
      <c r="F275" s="1602"/>
      <c r="G275" s="1075">
        <f t="shared" si="5"/>
        <v>29.734560640403306</v>
      </c>
    </row>
    <row r="276" spans="1:7" ht="15.75" x14ac:dyDescent="0.25">
      <c r="A276" s="1674" t="s">
        <v>468</v>
      </c>
      <c r="B276" s="1675" t="s">
        <v>1044</v>
      </c>
      <c r="C276" s="1603">
        <v>30.396956619858422</v>
      </c>
      <c r="D276" s="1569">
        <v>0</v>
      </c>
      <c r="E276" s="1569">
        <v>0</v>
      </c>
      <c r="F276" s="1602"/>
      <c r="G276" s="1075">
        <f t="shared" si="5"/>
        <v>30.396956619858422</v>
      </c>
    </row>
    <row r="277" spans="1:7" ht="15.75" x14ac:dyDescent="0.25">
      <c r="A277" s="1676" t="s">
        <v>763</v>
      </c>
      <c r="B277" s="1677" t="s">
        <v>1153</v>
      </c>
      <c r="C277" s="1603">
        <v>0.45205790319270417</v>
      </c>
      <c r="D277" s="1569">
        <v>31.316763301577772</v>
      </c>
      <c r="E277" s="1569">
        <v>0</v>
      </c>
      <c r="F277" s="1602"/>
      <c r="G277" s="1075">
        <f t="shared" si="5"/>
        <v>31.768821204770475</v>
      </c>
    </row>
    <row r="278" spans="1:7" ht="15.75" x14ac:dyDescent="0.25">
      <c r="A278" s="1678" t="s">
        <v>84</v>
      </c>
      <c r="B278" s="1679" t="s">
        <v>1046</v>
      </c>
      <c r="C278" s="1603">
        <v>0</v>
      </c>
      <c r="D278" s="1569">
        <v>33.705350827329525</v>
      </c>
      <c r="E278" s="1569">
        <v>0</v>
      </c>
      <c r="F278" s="1602"/>
      <c r="G278" s="1075">
        <f t="shared" si="5"/>
        <v>33.705350827329525</v>
      </c>
    </row>
    <row r="279" spans="1:7" ht="15.75" x14ac:dyDescent="0.25">
      <c r="A279" s="1674" t="s">
        <v>81</v>
      </c>
      <c r="B279" s="1675" t="s">
        <v>1044</v>
      </c>
      <c r="C279" s="1603">
        <v>35.309596073572912</v>
      </c>
      <c r="D279" s="1569">
        <v>0</v>
      </c>
      <c r="E279" s="1569">
        <v>0</v>
      </c>
      <c r="F279" s="1602"/>
      <c r="G279" s="1075">
        <f t="shared" si="5"/>
        <v>35.309596073572912</v>
      </c>
    </row>
    <row r="280" spans="1:7" ht="15.75" x14ac:dyDescent="0.25">
      <c r="A280" s="1676" t="s">
        <v>761</v>
      </c>
      <c r="B280" s="1677" t="s">
        <v>1153</v>
      </c>
      <c r="C280" s="1603">
        <v>0.72329264510832658</v>
      </c>
      <c r="D280" s="1569">
        <v>35.531751190946544</v>
      </c>
      <c r="E280" s="1569">
        <v>0</v>
      </c>
      <c r="F280" s="1602"/>
      <c r="G280" s="1075">
        <f t="shared" si="5"/>
        <v>36.255043836054867</v>
      </c>
    </row>
    <row r="281" spans="1:7" ht="15.75" x14ac:dyDescent="0.25">
      <c r="A281" s="1678" t="s">
        <v>83</v>
      </c>
      <c r="B281" s="1679" t="s">
        <v>1048</v>
      </c>
      <c r="C281" s="1603">
        <v>14.274205059842791</v>
      </c>
      <c r="D281" s="1569">
        <v>21.169371910783799</v>
      </c>
      <c r="E281" s="1569">
        <v>1.0584685955391899</v>
      </c>
      <c r="F281" s="1602"/>
      <c r="G281" s="1075">
        <f t="shared" si="5"/>
        <v>36.502045566165776</v>
      </c>
    </row>
    <row r="282" spans="1:7" ht="15.75" x14ac:dyDescent="0.25">
      <c r="A282" s="1676" t="s">
        <v>694</v>
      </c>
      <c r="B282" s="1677" t="s">
        <v>1120</v>
      </c>
      <c r="C282" s="1603">
        <v>0</v>
      </c>
      <c r="D282" s="1569">
        <v>34.686537541053276</v>
      </c>
      <c r="E282" s="1569">
        <v>3.1097330259949025</v>
      </c>
      <c r="F282" s="1602"/>
      <c r="G282" s="1075">
        <f t="shared" si="5"/>
        <v>37.796270567048182</v>
      </c>
    </row>
    <row r="283" spans="1:7" ht="15.75" x14ac:dyDescent="0.25">
      <c r="A283" s="1678" t="s">
        <v>82</v>
      </c>
      <c r="B283" s="1679" t="s">
        <v>1048</v>
      </c>
      <c r="C283" s="1603">
        <v>23.588728700587662</v>
      </c>
      <c r="D283" s="1569">
        <v>14.455656819078079</v>
      </c>
      <c r="E283" s="1569">
        <v>0</v>
      </c>
      <c r="F283" s="1602"/>
      <c r="G283" s="1075">
        <f t="shared" si="5"/>
        <v>38.044385519665738</v>
      </c>
    </row>
    <row r="284" spans="1:7" ht="15.75" x14ac:dyDescent="0.25">
      <c r="A284" s="1676" t="s">
        <v>148</v>
      </c>
      <c r="B284" s="1677" t="s">
        <v>1131</v>
      </c>
      <c r="C284" s="1603">
        <v>0</v>
      </c>
      <c r="D284" s="1569">
        <v>43.16113549331012</v>
      </c>
      <c r="E284" s="1569">
        <v>0</v>
      </c>
      <c r="F284" s="1602"/>
      <c r="G284" s="1075">
        <f t="shared" si="5"/>
        <v>43.16113549331012</v>
      </c>
    </row>
    <row r="285" spans="1:7" ht="15.75" x14ac:dyDescent="0.25">
      <c r="A285" s="1676" t="s">
        <v>147</v>
      </c>
      <c r="B285" s="1677" t="s">
        <v>1131</v>
      </c>
      <c r="C285" s="1603">
        <v>0</v>
      </c>
      <c r="D285" s="1569">
        <v>45.021828744911225</v>
      </c>
      <c r="E285" s="1569">
        <v>0</v>
      </c>
      <c r="F285" s="1602"/>
      <c r="G285" s="1075">
        <f t="shared" si="5"/>
        <v>45.021828744911225</v>
      </c>
    </row>
    <row r="286" spans="1:7" ht="15.75" x14ac:dyDescent="0.25">
      <c r="A286" s="1676" t="s">
        <v>143</v>
      </c>
      <c r="B286" s="1677" t="s">
        <v>1131</v>
      </c>
      <c r="C286" s="1603">
        <v>0</v>
      </c>
      <c r="D286" s="1569">
        <v>48.656789605279521</v>
      </c>
      <c r="E286" s="1569">
        <v>0</v>
      </c>
      <c r="F286" s="1602"/>
      <c r="G286" s="1075">
        <f t="shared" si="5"/>
        <v>48.656789605279521</v>
      </c>
    </row>
    <row r="287" spans="1:7" ht="15.75" x14ac:dyDescent="0.25">
      <c r="A287" s="1676" t="s">
        <v>145</v>
      </c>
      <c r="B287" s="1677" t="s">
        <v>1131</v>
      </c>
      <c r="C287" s="1603">
        <v>0</v>
      </c>
      <c r="D287" s="1569">
        <v>49.055872720718554</v>
      </c>
      <c r="E287" s="1569">
        <v>0</v>
      </c>
      <c r="F287" s="1602"/>
      <c r="G287" s="1075">
        <f t="shared" si="5"/>
        <v>49.055872720718554</v>
      </c>
    </row>
    <row r="288" spans="1:7" ht="15.75" x14ac:dyDescent="0.25">
      <c r="A288" s="1676" t="s">
        <v>175</v>
      </c>
      <c r="B288" s="1677" t="s">
        <v>1151</v>
      </c>
      <c r="C288" s="1603">
        <v>38.4</v>
      </c>
      <c r="D288" s="1569">
        <v>13.07</v>
      </c>
      <c r="E288" s="1569">
        <v>0</v>
      </c>
      <c r="F288" s="1602"/>
      <c r="G288" s="1075">
        <f t="shared" si="5"/>
        <v>51.47</v>
      </c>
    </row>
    <row r="289" spans="1:7" ht="15.75" x14ac:dyDescent="0.25">
      <c r="A289" s="1676" t="s">
        <v>150</v>
      </c>
      <c r="B289" s="1677" t="s">
        <v>1131</v>
      </c>
      <c r="C289" s="1603">
        <v>0</v>
      </c>
      <c r="D289" s="1569">
        <v>53.749971360914437</v>
      </c>
      <c r="E289" s="1569">
        <v>0</v>
      </c>
      <c r="F289" s="1602"/>
      <c r="G289" s="1075">
        <f t="shared" si="5"/>
        <v>53.749971360914437</v>
      </c>
    </row>
    <row r="290" spans="1:7" ht="15.75" x14ac:dyDescent="0.25">
      <c r="A290" s="1674" t="s">
        <v>78</v>
      </c>
      <c r="B290" s="1675" t="s">
        <v>1044</v>
      </c>
      <c r="C290" s="1603">
        <v>31.77863646621562</v>
      </c>
      <c r="D290" s="1569">
        <v>0</v>
      </c>
      <c r="E290" s="1569">
        <v>24.10263731978673</v>
      </c>
      <c r="F290" s="1602"/>
      <c r="G290" s="1075">
        <f t="shared" si="5"/>
        <v>55.881273786002353</v>
      </c>
    </row>
    <row r="291" spans="1:7" ht="15.75" x14ac:dyDescent="0.25">
      <c r="A291" s="1676" t="s">
        <v>146</v>
      </c>
      <c r="B291" s="1677" t="s">
        <v>1131</v>
      </c>
      <c r="C291" s="1603">
        <v>0</v>
      </c>
      <c r="D291" s="1569">
        <v>56.235979557725756</v>
      </c>
      <c r="E291" s="1569">
        <v>0</v>
      </c>
      <c r="F291" s="1602"/>
      <c r="G291" s="1075">
        <f t="shared" si="5"/>
        <v>56.235979557725756</v>
      </c>
    </row>
    <row r="292" spans="1:7" ht="15.75" x14ac:dyDescent="0.25">
      <c r="A292" s="1676" t="s">
        <v>764</v>
      </c>
      <c r="B292" s="1677" t="s">
        <v>1153</v>
      </c>
      <c r="C292" s="1603">
        <v>0.58767527415051535</v>
      </c>
      <c r="D292" s="1569">
        <v>56.722417461007744</v>
      </c>
      <c r="E292" s="1569">
        <v>0</v>
      </c>
      <c r="F292" s="1602"/>
      <c r="G292" s="1075">
        <f t="shared" si="5"/>
        <v>57.310092735158257</v>
      </c>
    </row>
    <row r="293" spans="1:7" ht="15.75" x14ac:dyDescent="0.25">
      <c r="A293" s="1678" t="s">
        <v>731</v>
      </c>
      <c r="B293" s="1679" t="s">
        <v>1042</v>
      </c>
      <c r="C293" s="1603">
        <v>10.266807607901336</v>
      </c>
      <c r="D293" s="1569">
        <v>47.259662472371041</v>
      </c>
      <c r="E293" s="1569">
        <v>0</v>
      </c>
      <c r="F293" s="1602"/>
      <c r="G293" s="1075">
        <f t="shared" si="5"/>
        <v>57.526470080272375</v>
      </c>
    </row>
    <row r="294" spans="1:7" ht="15.75" x14ac:dyDescent="0.25">
      <c r="A294" s="1676" t="s">
        <v>144</v>
      </c>
      <c r="B294" s="1677" t="s">
        <v>1131</v>
      </c>
      <c r="C294" s="1603">
        <v>0</v>
      </c>
      <c r="D294" s="1569">
        <v>60.589459487929091</v>
      </c>
      <c r="E294" s="1569">
        <v>0</v>
      </c>
      <c r="F294" s="1602"/>
      <c r="G294" s="1075">
        <f t="shared" si="5"/>
        <v>60.589459487929091</v>
      </c>
    </row>
    <row r="295" spans="1:7" ht="15.75" x14ac:dyDescent="0.25">
      <c r="A295" s="1674" t="s">
        <v>80</v>
      </c>
      <c r="B295" s="1675" t="s">
        <v>1044</v>
      </c>
      <c r="C295" s="1603">
        <v>40.068715544358831</v>
      </c>
      <c r="D295" s="1569">
        <v>0</v>
      </c>
      <c r="E295" s="1569">
        <v>21.339277627072327</v>
      </c>
      <c r="F295" s="1602"/>
      <c r="G295" s="1075">
        <f t="shared" si="5"/>
        <v>61.407993171431158</v>
      </c>
    </row>
    <row r="296" spans="1:7" ht="15.75" x14ac:dyDescent="0.25">
      <c r="A296" s="1676" t="s">
        <v>112</v>
      </c>
      <c r="B296" s="1677" t="s">
        <v>1076</v>
      </c>
      <c r="C296" s="1603">
        <v>62.341061463798042</v>
      </c>
      <c r="D296" s="1569">
        <v>1.9949139668415374</v>
      </c>
      <c r="E296" s="1569">
        <v>0</v>
      </c>
      <c r="F296" s="1602"/>
      <c r="G296" s="1075">
        <f t="shared" si="5"/>
        <v>64.335975430639579</v>
      </c>
    </row>
    <row r="297" spans="1:7" ht="15.75" x14ac:dyDescent="0.25">
      <c r="A297" s="1674" t="s">
        <v>767</v>
      </c>
      <c r="B297" s="1675" t="s">
        <v>1118</v>
      </c>
      <c r="C297" s="1603">
        <v>0</v>
      </c>
      <c r="D297" s="1569">
        <v>64.671433190816657</v>
      </c>
      <c r="E297" s="1569">
        <v>0</v>
      </c>
      <c r="F297" s="1602"/>
      <c r="G297" s="1075">
        <f t="shared" si="5"/>
        <v>64.671433190816657</v>
      </c>
    </row>
    <row r="298" spans="1:7" ht="15.75" x14ac:dyDescent="0.25">
      <c r="A298" s="1676" t="s">
        <v>102</v>
      </c>
      <c r="B298" s="1677" t="s">
        <v>1066</v>
      </c>
      <c r="C298" s="1603">
        <v>5.8529268955314864</v>
      </c>
      <c r="D298" s="1569">
        <v>59.35556451703696</v>
      </c>
      <c r="E298" s="1569">
        <v>0</v>
      </c>
      <c r="F298" s="1602"/>
      <c r="G298" s="1075">
        <f t="shared" si="5"/>
        <v>65.208491412568449</v>
      </c>
    </row>
    <row r="299" spans="1:7" ht="15.75" x14ac:dyDescent="0.25">
      <c r="A299" s="1674" t="s">
        <v>219</v>
      </c>
      <c r="B299" s="1675" t="s">
        <v>1118</v>
      </c>
      <c r="C299" s="1603">
        <v>0</v>
      </c>
      <c r="D299" s="1569">
        <v>66.587623803877889</v>
      </c>
      <c r="E299" s="1569">
        <v>0</v>
      </c>
      <c r="F299" s="1602"/>
      <c r="G299" s="1075">
        <f t="shared" si="5"/>
        <v>66.587623803877889</v>
      </c>
    </row>
    <row r="300" spans="1:7" ht="15.75" x14ac:dyDescent="0.25">
      <c r="A300" s="1678" t="s">
        <v>493</v>
      </c>
      <c r="B300" s="1679" t="s">
        <v>1042</v>
      </c>
      <c r="C300" s="1603">
        <v>10.80827622831805</v>
      </c>
      <c r="D300" s="1569">
        <v>57.595384268325411</v>
      </c>
      <c r="E300" s="1569">
        <v>0</v>
      </c>
      <c r="F300" s="1602"/>
      <c r="G300" s="1075">
        <f t="shared" si="5"/>
        <v>68.403660496643454</v>
      </c>
    </row>
    <row r="301" spans="1:7" ht="15.75" x14ac:dyDescent="0.25">
      <c r="A301" s="1676" t="s">
        <v>746</v>
      </c>
      <c r="B301" s="1677" t="s">
        <v>1147</v>
      </c>
      <c r="C301" s="1603">
        <v>3.1053734620375546</v>
      </c>
      <c r="D301" s="1569">
        <v>67.209007221129553</v>
      </c>
      <c r="E301" s="1569">
        <v>0</v>
      </c>
      <c r="F301" s="1602"/>
      <c r="G301" s="1075">
        <f t="shared" si="5"/>
        <v>70.314380683167101</v>
      </c>
    </row>
    <row r="302" spans="1:7" ht="15.75" x14ac:dyDescent="0.25">
      <c r="A302" s="1674" t="s">
        <v>770</v>
      </c>
      <c r="B302" s="1675" t="s">
        <v>1118</v>
      </c>
      <c r="C302" s="1603">
        <v>0</v>
      </c>
      <c r="D302" s="1569">
        <v>71.378100336530977</v>
      </c>
      <c r="E302" s="1569">
        <v>0</v>
      </c>
      <c r="F302" s="1602"/>
      <c r="G302" s="1075">
        <f t="shared" si="5"/>
        <v>71.378100336530977</v>
      </c>
    </row>
    <row r="303" spans="1:7" ht="15.75" x14ac:dyDescent="0.25">
      <c r="A303" s="1676" t="s">
        <v>748</v>
      </c>
      <c r="B303" s="1677" t="s">
        <v>1147</v>
      </c>
      <c r="C303" s="1603">
        <v>3.4002413577512409</v>
      </c>
      <c r="D303" s="1569">
        <v>68.494019755690388</v>
      </c>
      <c r="E303" s="1569">
        <v>0</v>
      </c>
      <c r="F303" s="1602"/>
      <c r="G303" s="1075">
        <f t="shared" si="5"/>
        <v>71.89426111344163</v>
      </c>
    </row>
    <row r="304" spans="1:7" ht="15.75" x14ac:dyDescent="0.25">
      <c r="A304" s="1676" t="s">
        <v>747</v>
      </c>
      <c r="B304" s="1677" t="s">
        <v>1147</v>
      </c>
      <c r="C304" s="1603">
        <v>2.8490177241887666</v>
      </c>
      <c r="D304" s="1569">
        <v>69.340699256842356</v>
      </c>
      <c r="E304" s="1569">
        <v>0</v>
      </c>
      <c r="F304" s="1602"/>
      <c r="G304" s="1075">
        <f t="shared" si="5"/>
        <v>72.189716981031125</v>
      </c>
    </row>
    <row r="305" spans="1:7" ht="15.75" x14ac:dyDescent="0.25">
      <c r="A305" s="1674" t="s">
        <v>766</v>
      </c>
      <c r="B305" s="1675" t="s">
        <v>1118</v>
      </c>
      <c r="C305" s="1603">
        <v>0</v>
      </c>
      <c r="D305" s="1569">
        <v>72.3361956430616</v>
      </c>
      <c r="E305" s="1569">
        <v>0</v>
      </c>
      <c r="F305" s="1602"/>
      <c r="G305" s="1075">
        <f t="shared" si="5"/>
        <v>72.3361956430616</v>
      </c>
    </row>
    <row r="306" spans="1:7" ht="15.75" x14ac:dyDescent="0.25">
      <c r="A306" s="1674" t="s">
        <v>769</v>
      </c>
      <c r="B306" s="1675" t="s">
        <v>1118</v>
      </c>
      <c r="C306" s="1603">
        <v>0</v>
      </c>
      <c r="D306" s="1569">
        <v>72.575719469694249</v>
      </c>
      <c r="E306" s="1569">
        <v>0</v>
      </c>
      <c r="F306" s="1602"/>
      <c r="G306" s="1075">
        <f t="shared" si="5"/>
        <v>72.575719469694249</v>
      </c>
    </row>
    <row r="307" spans="1:7" ht="15.75" x14ac:dyDescent="0.25">
      <c r="A307" s="1674" t="s">
        <v>768</v>
      </c>
      <c r="B307" s="1675" t="s">
        <v>1118</v>
      </c>
      <c r="C307" s="1603">
        <v>0</v>
      </c>
      <c r="D307" s="1569">
        <v>73.054767122959561</v>
      </c>
      <c r="E307" s="1569">
        <v>0</v>
      </c>
      <c r="F307" s="1602"/>
      <c r="G307" s="1075">
        <f t="shared" si="5"/>
        <v>73.054767122959561</v>
      </c>
    </row>
    <row r="308" spans="1:7" ht="15.75" x14ac:dyDescent="0.25">
      <c r="A308" s="1674" t="s">
        <v>771</v>
      </c>
      <c r="B308" s="1675" t="s">
        <v>1118</v>
      </c>
      <c r="C308" s="1603">
        <v>0</v>
      </c>
      <c r="D308" s="1569">
        <v>73.294290949592209</v>
      </c>
      <c r="E308" s="1569">
        <v>0</v>
      </c>
      <c r="F308" s="1602"/>
      <c r="G308" s="1075">
        <f t="shared" si="5"/>
        <v>73.294290949592209</v>
      </c>
    </row>
    <row r="309" spans="1:7" ht="15.75" x14ac:dyDescent="0.25">
      <c r="A309" s="1676" t="s">
        <v>749</v>
      </c>
      <c r="B309" s="1677" t="s">
        <v>1147</v>
      </c>
      <c r="C309" s="1603">
        <v>3.0433424291406577</v>
      </c>
      <c r="D309" s="1569">
        <v>70.573088308519104</v>
      </c>
      <c r="E309" s="1569">
        <v>0</v>
      </c>
      <c r="F309" s="1602"/>
      <c r="G309" s="1075">
        <f t="shared" si="5"/>
        <v>73.616430737659755</v>
      </c>
    </row>
    <row r="310" spans="1:7" ht="15.75" x14ac:dyDescent="0.25">
      <c r="A310" s="1676" t="s">
        <v>149</v>
      </c>
      <c r="B310" s="1677" t="s">
        <v>1131</v>
      </c>
      <c r="C310" s="1603">
        <v>0</v>
      </c>
      <c r="D310" s="1569">
        <v>73.882062279877289</v>
      </c>
      <c r="E310" s="1569">
        <v>0</v>
      </c>
      <c r="F310" s="1602"/>
      <c r="G310" s="1075">
        <f t="shared" si="5"/>
        <v>73.882062279877289</v>
      </c>
    </row>
    <row r="311" spans="1:7" ht="15.75" x14ac:dyDescent="0.25">
      <c r="A311" s="1674" t="s">
        <v>765</v>
      </c>
      <c r="B311" s="1675" t="s">
        <v>1118</v>
      </c>
      <c r="C311" s="1603">
        <v>0</v>
      </c>
      <c r="D311" s="1569">
        <v>74.01286242949017</v>
      </c>
      <c r="E311" s="1569">
        <v>0</v>
      </c>
      <c r="F311" s="1602"/>
      <c r="G311" s="1075">
        <f t="shared" si="5"/>
        <v>74.01286242949017</v>
      </c>
    </row>
    <row r="312" spans="1:7" ht="15.75" x14ac:dyDescent="0.25">
      <c r="A312" s="1674" t="s">
        <v>1353</v>
      </c>
      <c r="B312" s="1675" t="s">
        <v>1118</v>
      </c>
      <c r="C312" s="1603">
        <v>0</v>
      </c>
      <c r="D312" s="1569">
        <v>74.491910082755481</v>
      </c>
      <c r="E312" s="1569">
        <v>0</v>
      </c>
      <c r="F312" s="1602"/>
      <c r="G312" s="1075">
        <f t="shared" si="5"/>
        <v>74.491910082755481</v>
      </c>
    </row>
    <row r="313" spans="1:7" ht="15.75" x14ac:dyDescent="0.25">
      <c r="A313" s="1676" t="s">
        <v>613</v>
      </c>
      <c r="B313" s="1677" t="s">
        <v>1066</v>
      </c>
      <c r="C313" s="1603">
        <v>0</v>
      </c>
      <c r="D313" s="1569">
        <v>74.986322226279867</v>
      </c>
      <c r="E313" s="1569">
        <v>0</v>
      </c>
      <c r="F313" s="1602"/>
      <c r="G313" s="1075">
        <f t="shared" si="5"/>
        <v>74.986322226279867</v>
      </c>
    </row>
    <row r="314" spans="1:7" ht="15.75" x14ac:dyDescent="0.25">
      <c r="A314" s="1674" t="s">
        <v>520</v>
      </c>
      <c r="B314" s="1675" t="s">
        <v>1118</v>
      </c>
      <c r="C314" s="1603">
        <v>0</v>
      </c>
      <c r="D314" s="1569">
        <v>76.408100695816714</v>
      </c>
      <c r="E314" s="1569">
        <v>0</v>
      </c>
      <c r="F314" s="1602"/>
      <c r="G314" s="1075">
        <f t="shared" si="5"/>
        <v>76.408100695816714</v>
      </c>
    </row>
    <row r="315" spans="1:7" ht="15.75" x14ac:dyDescent="0.25">
      <c r="A315" s="1674" t="s">
        <v>188</v>
      </c>
      <c r="B315" s="1675" t="s">
        <v>1118</v>
      </c>
      <c r="C315" s="1603">
        <v>0</v>
      </c>
      <c r="D315" s="1569">
        <v>76.647624522449377</v>
      </c>
      <c r="E315" s="1569">
        <v>0</v>
      </c>
      <c r="F315" s="1602"/>
      <c r="G315" s="1075">
        <f t="shared" si="5"/>
        <v>76.647624522449377</v>
      </c>
    </row>
    <row r="316" spans="1:7" ht="15.75" x14ac:dyDescent="0.25">
      <c r="A316" s="1678" t="s">
        <v>730</v>
      </c>
      <c r="B316" s="1679" t="s">
        <v>1042</v>
      </c>
      <c r="C316" s="1603">
        <v>18.17506228998753</v>
      </c>
      <c r="D316" s="1569">
        <v>60.105829690257451</v>
      </c>
      <c r="E316" s="1569">
        <v>0</v>
      </c>
      <c r="F316" s="1602"/>
      <c r="G316" s="1075">
        <f t="shared" si="5"/>
        <v>78.280891980244974</v>
      </c>
    </row>
    <row r="317" spans="1:7" ht="15.75" x14ac:dyDescent="0.25">
      <c r="A317" s="1676" t="s">
        <v>119</v>
      </c>
      <c r="B317" s="1677" t="s">
        <v>1076</v>
      </c>
      <c r="C317" s="1603">
        <v>78.799101690240732</v>
      </c>
      <c r="D317" s="1569">
        <v>1.4296883429031018</v>
      </c>
      <c r="E317" s="1569">
        <v>0</v>
      </c>
      <c r="F317" s="1602"/>
      <c r="G317" s="1075">
        <f t="shared" si="5"/>
        <v>80.228790033143838</v>
      </c>
    </row>
    <row r="318" spans="1:7" ht="15.75" x14ac:dyDescent="0.25">
      <c r="A318" s="1676" t="s">
        <v>587</v>
      </c>
      <c r="B318" s="1677" t="s">
        <v>1084</v>
      </c>
      <c r="C318" s="1603">
        <v>0</v>
      </c>
      <c r="D318" s="1569">
        <v>83.444215433048953</v>
      </c>
      <c r="E318" s="1569">
        <v>0</v>
      </c>
      <c r="F318" s="1602"/>
      <c r="G318" s="1075">
        <f t="shared" si="5"/>
        <v>83.444215433048953</v>
      </c>
    </row>
    <row r="319" spans="1:7" ht="15.75" x14ac:dyDescent="0.25">
      <c r="A319" s="1674" t="s">
        <v>597</v>
      </c>
      <c r="B319" s="1675" t="s">
        <v>1118</v>
      </c>
      <c r="C319" s="1603">
        <v>0</v>
      </c>
      <c r="D319" s="1569">
        <v>84.072863148061657</v>
      </c>
      <c r="E319" s="1569">
        <v>0</v>
      </c>
      <c r="F319" s="1602"/>
      <c r="G319" s="1075">
        <f t="shared" si="5"/>
        <v>84.072863148061657</v>
      </c>
    </row>
    <row r="320" spans="1:7" ht="15.75" x14ac:dyDescent="0.25">
      <c r="A320" s="1674" t="s">
        <v>190</v>
      </c>
      <c r="B320" s="1675" t="s">
        <v>1118</v>
      </c>
      <c r="C320" s="1603">
        <v>0</v>
      </c>
      <c r="D320" s="1569">
        <v>84.312386974694306</v>
      </c>
      <c r="E320" s="1569">
        <v>0</v>
      </c>
      <c r="F320" s="1602"/>
      <c r="G320" s="1075">
        <f t="shared" si="5"/>
        <v>84.312386974694306</v>
      </c>
    </row>
    <row r="321" spans="1:7" ht="15.75" x14ac:dyDescent="0.25">
      <c r="A321" s="1676" t="s">
        <v>114</v>
      </c>
      <c r="B321" s="1677" t="s">
        <v>1076</v>
      </c>
      <c r="C321" s="1603">
        <v>80.794015657082269</v>
      </c>
      <c r="D321" s="1569">
        <v>4.1560707642532027</v>
      </c>
      <c r="E321" s="1569">
        <v>0</v>
      </c>
      <c r="F321" s="1602"/>
      <c r="G321" s="1075">
        <f t="shared" si="5"/>
        <v>84.95008642133547</v>
      </c>
    </row>
    <row r="322" spans="1:7" ht="15.75" x14ac:dyDescent="0.25">
      <c r="A322" s="1676" t="s">
        <v>104</v>
      </c>
      <c r="B322" s="1677" t="s">
        <v>1066</v>
      </c>
      <c r="C322" s="1603">
        <v>0</v>
      </c>
      <c r="D322" s="1569">
        <v>85.769479306753169</v>
      </c>
      <c r="E322" s="1569">
        <v>0</v>
      </c>
      <c r="F322" s="1602"/>
      <c r="G322" s="1075">
        <f t="shared" si="5"/>
        <v>85.769479306753169</v>
      </c>
    </row>
    <row r="323" spans="1:7" ht="15.75" x14ac:dyDescent="0.25">
      <c r="A323" s="1676" t="s">
        <v>131</v>
      </c>
      <c r="B323" s="1677" t="s">
        <v>1114</v>
      </c>
      <c r="C323" s="1603">
        <v>0</v>
      </c>
      <c r="D323" s="1569">
        <v>86.538680512855549</v>
      </c>
      <c r="E323" s="1569">
        <v>0</v>
      </c>
      <c r="F323" s="1602"/>
      <c r="G323" s="1075">
        <f t="shared" si="5"/>
        <v>86.538680512855549</v>
      </c>
    </row>
    <row r="324" spans="1:7" ht="15.75" x14ac:dyDescent="0.25">
      <c r="A324" s="1674" t="s">
        <v>716</v>
      </c>
      <c r="B324" s="1675" t="s">
        <v>1064</v>
      </c>
      <c r="C324" s="1603">
        <v>26.06032966317024</v>
      </c>
      <c r="D324" s="1569">
        <v>61.024605294590316</v>
      </c>
      <c r="E324" s="1569">
        <v>0</v>
      </c>
      <c r="F324" s="1602"/>
      <c r="G324" s="1075">
        <f t="shared" si="5"/>
        <v>87.084934957760552</v>
      </c>
    </row>
    <row r="325" spans="1:7" ht="15.75" x14ac:dyDescent="0.25">
      <c r="A325" s="1674" t="s">
        <v>513</v>
      </c>
      <c r="B325" s="1675" t="s">
        <v>1118</v>
      </c>
      <c r="C325" s="1603">
        <v>0</v>
      </c>
      <c r="D325" s="1569">
        <v>88.384292027449433</v>
      </c>
      <c r="E325" s="1569">
        <v>0</v>
      </c>
      <c r="F325" s="1602"/>
      <c r="G325" s="1075">
        <f t="shared" si="5"/>
        <v>88.384292027449433</v>
      </c>
    </row>
    <row r="326" spans="1:7" ht="15.75" x14ac:dyDescent="0.25">
      <c r="A326" s="1676" t="s">
        <v>103</v>
      </c>
      <c r="B326" s="1677" t="s">
        <v>1066</v>
      </c>
      <c r="C326" s="1603">
        <v>4.2382076519995646</v>
      </c>
      <c r="D326" s="1569">
        <v>84.316576277391832</v>
      </c>
      <c r="E326" s="1569">
        <v>0</v>
      </c>
      <c r="F326" s="1602"/>
      <c r="G326" s="1075">
        <f t="shared" si="5"/>
        <v>88.554783929391391</v>
      </c>
    </row>
    <row r="327" spans="1:7" ht="15.75" x14ac:dyDescent="0.25">
      <c r="A327" s="1676" t="s">
        <v>152</v>
      </c>
      <c r="B327" s="1677" t="s">
        <v>1133</v>
      </c>
      <c r="C327" s="1603">
        <v>35.756943992008168</v>
      </c>
      <c r="D327" s="1569">
        <v>56.431472191456557</v>
      </c>
      <c r="E327" s="1569">
        <v>0</v>
      </c>
      <c r="F327" s="1602"/>
      <c r="G327" s="1075">
        <f t="shared" si="5"/>
        <v>92.188416183464724</v>
      </c>
    </row>
    <row r="328" spans="1:7" ht="15.75" x14ac:dyDescent="0.25">
      <c r="A328" s="1674" t="s">
        <v>772</v>
      </c>
      <c r="B328" s="1675" t="s">
        <v>1118</v>
      </c>
      <c r="C328" s="1603">
        <v>0</v>
      </c>
      <c r="D328" s="1569">
        <v>92.216673253571898</v>
      </c>
      <c r="E328" s="1569">
        <v>0</v>
      </c>
      <c r="F328" s="1602"/>
      <c r="G328" s="1075">
        <f t="shared" si="5"/>
        <v>92.216673253571898</v>
      </c>
    </row>
    <row r="329" spans="1:7" ht="15.75" x14ac:dyDescent="0.25">
      <c r="A329" s="1676" t="s">
        <v>139</v>
      </c>
      <c r="B329" s="1677" t="s">
        <v>1116</v>
      </c>
      <c r="C329" s="1603">
        <v>35.561491519534393</v>
      </c>
      <c r="D329" s="1569">
        <v>57.441309965904402</v>
      </c>
      <c r="E329" s="1569">
        <v>0</v>
      </c>
      <c r="F329" s="1602"/>
      <c r="G329" s="1075">
        <f t="shared" si="5"/>
        <v>93.002801485438795</v>
      </c>
    </row>
    <row r="330" spans="1:7" ht="15.75" x14ac:dyDescent="0.25">
      <c r="A330" s="1676" t="s">
        <v>113</v>
      </c>
      <c r="B330" s="1677" t="s">
        <v>1076</v>
      </c>
      <c r="C330" s="1603">
        <v>84.783843590765343</v>
      </c>
      <c r="D330" s="1569">
        <v>8.3121415285064053</v>
      </c>
      <c r="E330" s="1569">
        <v>0</v>
      </c>
      <c r="F330" s="1602"/>
      <c r="G330" s="1075">
        <f t="shared" si="5"/>
        <v>93.095985119271745</v>
      </c>
    </row>
    <row r="331" spans="1:7" ht="15.75" x14ac:dyDescent="0.25">
      <c r="A331" s="1676" t="s">
        <v>214</v>
      </c>
      <c r="B331" s="1677" t="s">
        <v>1133</v>
      </c>
      <c r="C331" s="1603">
        <v>50.339870132690514</v>
      </c>
      <c r="D331" s="1569">
        <v>44.411145134319284</v>
      </c>
      <c r="E331" s="1569">
        <v>0</v>
      </c>
      <c r="F331" s="1602"/>
      <c r="G331" s="1075">
        <f t="shared" si="5"/>
        <v>94.751015267009791</v>
      </c>
    </row>
    <row r="332" spans="1:7" ht="15.75" x14ac:dyDescent="0.25">
      <c r="A332" s="1676" t="s">
        <v>115</v>
      </c>
      <c r="B332" s="1677" t="s">
        <v>1076</v>
      </c>
      <c r="C332" s="1603">
        <v>84.783843590765343</v>
      </c>
      <c r="D332" s="1569">
        <v>13.565414974522454</v>
      </c>
      <c r="E332" s="1569">
        <v>0</v>
      </c>
      <c r="F332" s="1602"/>
      <c r="G332" s="1075">
        <f t="shared" si="5"/>
        <v>98.349258565287798</v>
      </c>
    </row>
    <row r="333" spans="1:7" ht="15.75" x14ac:dyDescent="0.25">
      <c r="A333" s="1676" t="s">
        <v>173</v>
      </c>
      <c r="B333" s="1677" t="s">
        <v>1151</v>
      </c>
      <c r="C333" s="1603">
        <v>0</v>
      </c>
      <c r="D333" s="1569">
        <v>100.65</v>
      </c>
      <c r="E333" s="1569">
        <v>0</v>
      </c>
      <c r="F333" s="1602"/>
      <c r="G333" s="1075">
        <f t="shared" si="5"/>
        <v>100.65</v>
      </c>
    </row>
    <row r="334" spans="1:7" ht="15.75" x14ac:dyDescent="0.25">
      <c r="A334" s="1674" t="s">
        <v>516</v>
      </c>
      <c r="B334" s="1675" t="s">
        <v>1118</v>
      </c>
      <c r="C334" s="1603">
        <v>0</v>
      </c>
      <c r="D334" s="1569">
        <v>105.39048371836789</v>
      </c>
      <c r="E334" s="1569">
        <v>0</v>
      </c>
      <c r="F334" s="1602"/>
      <c r="G334" s="1075">
        <f t="shared" si="5"/>
        <v>105.39048371836789</v>
      </c>
    </row>
    <row r="335" spans="1:7" ht="15.75" x14ac:dyDescent="0.25">
      <c r="A335" s="1676" t="s">
        <v>129</v>
      </c>
      <c r="B335" s="1677" t="s">
        <v>1114</v>
      </c>
      <c r="C335" s="1603">
        <v>0</v>
      </c>
      <c r="D335" s="1569">
        <v>108.5529062573539</v>
      </c>
      <c r="E335" s="1569">
        <v>0</v>
      </c>
      <c r="F335" s="1602"/>
      <c r="G335" s="1075">
        <f t="shared" si="5"/>
        <v>108.5529062573539</v>
      </c>
    </row>
    <row r="336" spans="1:7" ht="15.75" x14ac:dyDescent="0.25">
      <c r="A336" s="1676" t="s">
        <v>132</v>
      </c>
      <c r="B336" s="1677" t="s">
        <v>1114</v>
      </c>
      <c r="C336" s="1603">
        <v>22.894794774278274</v>
      </c>
      <c r="D336" s="1569">
        <v>79.70667941973538</v>
      </c>
      <c r="E336" s="1569">
        <v>7.014187788936713</v>
      </c>
      <c r="F336" s="1602"/>
      <c r="G336" s="1075">
        <f t="shared" si="5"/>
        <v>109.61566198295037</v>
      </c>
    </row>
    <row r="337" spans="1:7" ht="15.75" x14ac:dyDescent="0.25">
      <c r="A337" s="1674" t="s">
        <v>860</v>
      </c>
      <c r="B337" s="1675" t="s">
        <v>1118</v>
      </c>
      <c r="C337" s="1603">
        <v>0</v>
      </c>
      <c r="D337" s="1569">
        <v>109.94143642438831</v>
      </c>
      <c r="E337" s="1569">
        <v>0</v>
      </c>
      <c r="F337" s="1602"/>
      <c r="G337" s="1075">
        <f t="shared" si="5"/>
        <v>109.94143642438831</v>
      </c>
    </row>
    <row r="338" spans="1:7" ht="15.75" x14ac:dyDescent="0.25">
      <c r="A338" s="1676" t="s">
        <v>133</v>
      </c>
      <c r="B338" s="1677" t="s">
        <v>1116</v>
      </c>
      <c r="C338" s="1603">
        <v>55.899407127500162</v>
      </c>
      <c r="D338" s="1569">
        <v>44.389428192933309</v>
      </c>
      <c r="E338" s="1569">
        <v>12.07461941060221</v>
      </c>
      <c r="F338" s="1602"/>
      <c r="G338" s="1075">
        <f t="shared" ref="G338:G401" si="6">SUM(C338:E338)</f>
        <v>112.36345473103567</v>
      </c>
    </row>
    <row r="339" spans="1:7" ht="15.75" x14ac:dyDescent="0.25">
      <c r="A339" s="1678" t="s">
        <v>492</v>
      </c>
      <c r="B339" s="1679" t="s">
        <v>1042</v>
      </c>
      <c r="C339" s="1603">
        <v>17.885341417764561</v>
      </c>
      <c r="D339" s="1569">
        <v>95.022820441129568</v>
      </c>
      <c r="E339" s="1569">
        <v>0</v>
      </c>
      <c r="F339" s="1602"/>
      <c r="G339" s="1075">
        <f t="shared" si="6"/>
        <v>112.90816185889413</v>
      </c>
    </row>
    <row r="340" spans="1:7" ht="15.75" x14ac:dyDescent="0.25">
      <c r="A340" s="1678" t="s">
        <v>729</v>
      </c>
      <c r="B340" s="1679" t="s">
        <v>1042</v>
      </c>
      <c r="C340" s="1603">
        <v>17.885341417764561</v>
      </c>
      <c r="D340" s="1569">
        <v>95.022820441129568</v>
      </c>
      <c r="E340" s="1569">
        <v>0</v>
      </c>
      <c r="F340" s="1602"/>
      <c r="G340" s="1075">
        <f t="shared" si="6"/>
        <v>112.90816185889413</v>
      </c>
    </row>
    <row r="341" spans="1:7" ht="15.75" x14ac:dyDescent="0.25">
      <c r="A341" s="1676" t="s">
        <v>153</v>
      </c>
      <c r="B341" s="1677" t="s">
        <v>1133</v>
      </c>
      <c r="C341" s="1603">
        <v>66.486416053163069</v>
      </c>
      <c r="D341" s="1569">
        <v>46.691423979846682</v>
      </c>
      <c r="E341" s="1569">
        <v>0</v>
      </c>
      <c r="F341" s="1602"/>
      <c r="G341" s="1075">
        <f t="shared" si="6"/>
        <v>113.17784003300974</v>
      </c>
    </row>
    <row r="342" spans="1:7" ht="15.75" x14ac:dyDescent="0.25">
      <c r="A342" s="1676" t="s">
        <v>105</v>
      </c>
      <c r="B342" s="1677" t="s">
        <v>1066</v>
      </c>
      <c r="C342" s="1603">
        <v>0</v>
      </c>
      <c r="D342" s="1569">
        <v>117.05853791062974</v>
      </c>
      <c r="E342" s="1569">
        <v>0</v>
      </c>
      <c r="F342" s="1602"/>
      <c r="G342" s="1075">
        <f t="shared" si="6"/>
        <v>117.05853791062974</v>
      </c>
    </row>
    <row r="343" spans="1:7" ht="15.75" x14ac:dyDescent="0.25">
      <c r="A343" s="1676" t="s">
        <v>137</v>
      </c>
      <c r="B343" s="1677" t="s">
        <v>1116</v>
      </c>
      <c r="C343" s="1603">
        <v>61.111473060134216</v>
      </c>
      <c r="D343" s="1569">
        <v>59.721588811431801</v>
      </c>
      <c r="E343" s="1569">
        <v>0</v>
      </c>
      <c r="F343" s="1602"/>
      <c r="G343" s="1075">
        <f t="shared" si="6"/>
        <v>120.83306187156602</v>
      </c>
    </row>
    <row r="344" spans="1:7" ht="15.75" x14ac:dyDescent="0.25">
      <c r="A344" s="1676" t="s">
        <v>138</v>
      </c>
      <c r="B344" s="1677" t="s">
        <v>1116</v>
      </c>
      <c r="C344" s="1603">
        <v>50.752492019024046</v>
      </c>
      <c r="D344" s="1569">
        <v>70.93838903728799</v>
      </c>
      <c r="E344" s="1569">
        <v>0</v>
      </c>
      <c r="F344" s="1602"/>
      <c r="G344" s="1075">
        <f t="shared" si="6"/>
        <v>121.69088105631204</v>
      </c>
    </row>
    <row r="345" spans="1:7" ht="15.75" x14ac:dyDescent="0.25">
      <c r="A345" s="1674" t="s">
        <v>185</v>
      </c>
      <c r="B345" s="1675" t="s">
        <v>1106</v>
      </c>
      <c r="C345" s="1603">
        <v>48.863118118444199</v>
      </c>
      <c r="D345" s="1569">
        <v>73.837600712315677</v>
      </c>
      <c r="E345" s="1569">
        <v>0</v>
      </c>
      <c r="F345" s="1602"/>
      <c r="G345" s="1075">
        <f t="shared" si="6"/>
        <v>122.70071883075988</v>
      </c>
    </row>
    <row r="346" spans="1:7" ht="15.75" x14ac:dyDescent="0.25">
      <c r="A346" s="1676" t="s">
        <v>118</v>
      </c>
      <c r="B346" s="1677" t="s">
        <v>1076</v>
      </c>
      <c r="C346" s="1603">
        <v>116.70246706022994</v>
      </c>
      <c r="D346" s="1569">
        <v>7.3146845450856368</v>
      </c>
      <c r="E346" s="1569">
        <v>0</v>
      </c>
      <c r="F346" s="1602"/>
      <c r="G346" s="1075">
        <f t="shared" si="6"/>
        <v>124.01715160531558</v>
      </c>
    </row>
    <row r="347" spans="1:7" ht="15.75" x14ac:dyDescent="0.25">
      <c r="A347" s="1676" t="s">
        <v>135</v>
      </c>
      <c r="B347" s="1677" t="s">
        <v>1116</v>
      </c>
      <c r="C347" s="1603">
        <v>44.639173018872022</v>
      </c>
      <c r="D347" s="1569">
        <v>80.928182074836585</v>
      </c>
      <c r="E347" s="1569">
        <v>0</v>
      </c>
      <c r="F347" s="1602"/>
      <c r="G347" s="1075">
        <f t="shared" si="6"/>
        <v>125.56735509370861</v>
      </c>
    </row>
    <row r="348" spans="1:7" ht="15.75" x14ac:dyDescent="0.25">
      <c r="A348" s="1676" t="s">
        <v>136</v>
      </c>
      <c r="B348" s="1677" t="s">
        <v>1116</v>
      </c>
      <c r="C348" s="1603">
        <v>40.328360153755945</v>
      </c>
      <c r="D348" s="1569">
        <v>85.467022824505392</v>
      </c>
      <c r="E348" s="1569">
        <v>0</v>
      </c>
      <c r="F348" s="1602"/>
      <c r="G348" s="1075">
        <f t="shared" si="6"/>
        <v>125.79538297826133</v>
      </c>
    </row>
    <row r="349" spans="1:7" ht="15.75" x14ac:dyDescent="0.25">
      <c r="A349" s="1674" t="s">
        <v>186</v>
      </c>
      <c r="B349" s="1675" t="s">
        <v>1106</v>
      </c>
      <c r="C349" s="1603">
        <v>76.487067561404658</v>
      </c>
      <c r="D349" s="1569">
        <v>50.111842248137769</v>
      </c>
      <c r="E349" s="1569">
        <v>0</v>
      </c>
      <c r="F349" s="1602"/>
      <c r="G349" s="1075">
        <f t="shared" si="6"/>
        <v>126.59890980954242</v>
      </c>
    </row>
    <row r="350" spans="1:7" ht="15.75" x14ac:dyDescent="0.25">
      <c r="A350" s="1676" t="s">
        <v>134</v>
      </c>
      <c r="B350" s="1677" t="s">
        <v>1116</v>
      </c>
      <c r="C350" s="1603">
        <v>53.032770864551445</v>
      </c>
      <c r="D350" s="1569">
        <v>77.084283449518963</v>
      </c>
      <c r="E350" s="1569">
        <v>0</v>
      </c>
      <c r="F350" s="1602"/>
      <c r="G350" s="1075">
        <f t="shared" si="6"/>
        <v>130.1170543140704</v>
      </c>
    </row>
    <row r="351" spans="1:7" ht="15.75" x14ac:dyDescent="0.25">
      <c r="A351" s="1674" t="s">
        <v>712</v>
      </c>
      <c r="B351" s="1675" t="s">
        <v>1064</v>
      </c>
      <c r="C351" s="1603">
        <v>86.324842009251412</v>
      </c>
      <c r="D351" s="1569">
        <v>24.61615306100289</v>
      </c>
      <c r="E351" s="1569">
        <v>19.686407366386518</v>
      </c>
      <c r="F351" s="1602"/>
      <c r="G351" s="1075">
        <f t="shared" si="6"/>
        <v>130.62740243664081</v>
      </c>
    </row>
    <row r="352" spans="1:7" ht="15.75" x14ac:dyDescent="0.25">
      <c r="A352" s="1674" t="s">
        <v>714</v>
      </c>
      <c r="B352" s="1675" t="s">
        <v>1064</v>
      </c>
      <c r="C352" s="1603">
        <v>52.989336981779488</v>
      </c>
      <c r="D352" s="1569">
        <v>43.433882771950401</v>
      </c>
      <c r="E352" s="1569">
        <v>34.747106217560322</v>
      </c>
      <c r="F352" s="1602"/>
      <c r="G352" s="1075">
        <f t="shared" si="6"/>
        <v>131.1703259712902</v>
      </c>
    </row>
    <row r="353" spans="1:7" ht="15.75" x14ac:dyDescent="0.25">
      <c r="A353" s="1676" t="s">
        <v>116</v>
      </c>
      <c r="B353" s="1677" t="s">
        <v>1076</v>
      </c>
      <c r="C353" s="1603">
        <v>131.66432181154147</v>
      </c>
      <c r="D353" s="1569">
        <v>0</v>
      </c>
      <c r="E353" s="1569">
        <v>0</v>
      </c>
      <c r="F353" s="1602"/>
      <c r="G353" s="1075">
        <f t="shared" si="6"/>
        <v>131.66432181154147</v>
      </c>
    </row>
    <row r="354" spans="1:7" ht="15.75" x14ac:dyDescent="0.25">
      <c r="A354" s="1676" t="s">
        <v>154</v>
      </c>
      <c r="B354" s="1677" t="s">
        <v>1133</v>
      </c>
      <c r="C354" s="1603">
        <v>77.008274154668058</v>
      </c>
      <c r="D354" s="1569">
        <v>60.709709644493664</v>
      </c>
      <c r="E354" s="1569">
        <v>0</v>
      </c>
      <c r="F354" s="1602"/>
      <c r="G354" s="1075">
        <f t="shared" si="6"/>
        <v>137.71798379916171</v>
      </c>
    </row>
    <row r="355" spans="1:7" ht="15.75" x14ac:dyDescent="0.25">
      <c r="A355" s="1676" t="s">
        <v>125</v>
      </c>
      <c r="B355" s="1677" t="s">
        <v>1112</v>
      </c>
      <c r="C355" s="1603">
        <v>138.70862160423462</v>
      </c>
      <c r="D355" s="1569">
        <v>0</v>
      </c>
      <c r="E355" s="1569">
        <v>0</v>
      </c>
      <c r="F355" s="1602"/>
      <c r="G355" s="1075">
        <f t="shared" si="6"/>
        <v>138.70862160423462</v>
      </c>
    </row>
    <row r="356" spans="1:7" ht="15.75" x14ac:dyDescent="0.25">
      <c r="A356" s="1676" t="s">
        <v>128</v>
      </c>
      <c r="B356" s="1677" t="s">
        <v>1114</v>
      </c>
      <c r="C356" s="1603">
        <v>0</v>
      </c>
      <c r="D356" s="1569">
        <v>139.42342971515617</v>
      </c>
      <c r="E356" s="1569">
        <v>0</v>
      </c>
      <c r="F356" s="1602"/>
      <c r="G356" s="1075">
        <f t="shared" si="6"/>
        <v>139.42342971515617</v>
      </c>
    </row>
    <row r="357" spans="1:7" ht="15.75" x14ac:dyDescent="0.25">
      <c r="A357" s="1676" t="s">
        <v>86</v>
      </c>
      <c r="B357" s="1677" t="s">
        <v>1050</v>
      </c>
      <c r="C357" s="1603">
        <v>52.12065932634048</v>
      </c>
      <c r="D357" s="1569">
        <v>91.862662062675085</v>
      </c>
      <c r="E357" s="1569">
        <v>0</v>
      </c>
      <c r="F357" s="1602"/>
      <c r="G357" s="1075">
        <f t="shared" si="6"/>
        <v>143.98332138901557</v>
      </c>
    </row>
    <row r="358" spans="1:7" ht="15.75" x14ac:dyDescent="0.25">
      <c r="A358" s="1674" t="s">
        <v>715</v>
      </c>
      <c r="B358" s="1675" t="s">
        <v>1064</v>
      </c>
      <c r="C358" s="1603">
        <v>13.03016483158512</v>
      </c>
      <c r="D358" s="1569">
        <v>131.51779703346583</v>
      </c>
      <c r="E358" s="1569">
        <v>0</v>
      </c>
      <c r="F358" s="1602"/>
      <c r="G358" s="1075">
        <f t="shared" si="6"/>
        <v>144.54796186505095</v>
      </c>
    </row>
    <row r="359" spans="1:7" ht="15.75" x14ac:dyDescent="0.25">
      <c r="A359" s="1674" t="s">
        <v>713</v>
      </c>
      <c r="B359" s="1675" t="s">
        <v>1064</v>
      </c>
      <c r="C359" s="1603">
        <v>55.378200534236761</v>
      </c>
      <c r="D359" s="1569">
        <v>92.2970008903946</v>
      </c>
      <c r="E359" s="1569">
        <v>0</v>
      </c>
      <c r="F359" s="1602"/>
      <c r="G359" s="1075">
        <f t="shared" si="6"/>
        <v>147.67520142463135</v>
      </c>
    </row>
    <row r="360" spans="1:7" ht="15.75" x14ac:dyDescent="0.25">
      <c r="A360" s="1676" t="s">
        <v>127</v>
      </c>
      <c r="B360" s="1677" t="s">
        <v>1112</v>
      </c>
      <c r="C360" s="1603">
        <v>33.858898682888842</v>
      </c>
      <c r="D360" s="1569">
        <v>93.224834373553932</v>
      </c>
      <c r="E360" s="1569">
        <v>20.8345089895376</v>
      </c>
      <c r="F360" s="1602"/>
      <c r="G360" s="1075">
        <f t="shared" si="6"/>
        <v>147.91824204598038</v>
      </c>
    </row>
    <row r="361" spans="1:7" ht="15.75" x14ac:dyDescent="0.25">
      <c r="A361" s="1676" t="s">
        <v>126</v>
      </c>
      <c r="B361" s="1677" t="s">
        <v>1112</v>
      </c>
      <c r="C361" s="1603">
        <v>35.438980621423653</v>
      </c>
      <c r="D361" s="1569">
        <v>112.52440662280057</v>
      </c>
      <c r="E361" s="1569">
        <v>0</v>
      </c>
      <c r="F361" s="1602"/>
      <c r="G361" s="1075">
        <f t="shared" si="6"/>
        <v>147.96338724422424</v>
      </c>
    </row>
    <row r="362" spans="1:7" ht="15.75" x14ac:dyDescent="0.25">
      <c r="A362" s="1676" t="s">
        <v>1347</v>
      </c>
      <c r="B362" s="1677" t="s">
        <v>1050</v>
      </c>
      <c r="C362" s="1603">
        <v>45.605576910547917</v>
      </c>
      <c r="D362" s="1569">
        <v>104.24131865268096</v>
      </c>
      <c r="E362" s="1569">
        <v>0</v>
      </c>
      <c r="F362" s="1602"/>
      <c r="G362" s="1075">
        <f t="shared" si="6"/>
        <v>149.84689556322888</v>
      </c>
    </row>
    <row r="363" spans="1:7" ht="15.75" x14ac:dyDescent="0.25">
      <c r="A363" s="1676" t="s">
        <v>91</v>
      </c>
      <c r="B363" s="1677" t="s">
        <v>1056</v>
      </c>
      <c r="C363" s="1603">
        <v>41.902838404239155</v>
      </c>
      <c r="D363" s="1569">
        <v>117.27148348426608</v>
      </c>
      <c r="E363" s="1569">
        <v>0</v>
      </c>
      <c r="F363" s="1602"/>
      <c r="G363" s="1075">
        <f t="shared" si="6"/>
        <v>159.17432188850523</v>
      </c>
    </row>
    <row r="364" spans="1:7" ht="15.75" x14ac:dyDescent="0.25">
      <c r="A364" s="1676" t="s">
        <v>92</v>
      </c>
      <c r="B364" s="1677" t="s">
        <v>1056</v>
      </c>
      <c r="C364" s="1603">
        <v>41.902838404239155</v>
      </c>
      <c r="D364" s="1569">
        <v>117.27148348426608</v>
      </c>
      <c r="E364" s="1569">
        <v>0</v>
      </c>
      <c r="F364" s="1602"/>
      <c r="G364" s="1075">
        <f t="shared" si="6"/>
        <v>159.17432188850523</v>
      </c>
    </row>
    <row r="365" spans="1:7" ht="15.75" x14ac:dyDescent="0.25">
      <c r="A365" s="1676" t="s">
        <v>195</v>
      </c>
      <c r="B365" s="1677" t="s">
        <v>1056</v>
      </c>
      <c r="C365" s="1603">
        <v>41.902838404239155</v>
      </c>
      <c r="D365" s="1569">
        <v>117.27148348426608</v>
      </c>
      <c r="E365" s="1569">
        <v>0</v>
      </c>
      <c r="F365" s="1602"/>
      <c r="G365" s="1075">
        <f t="shared" si="6"/>
        <v>159.17432188850523</v>
      </c>
    </row>
    <row r="366" spans="1:7" ht="15.75" x14ac:dyDescent="0.25">
      <c r="A366" s="1676" t="s">
        <v>631</v>
      </c>
      <c r="B366" s="1677" t="s">
        <v>1058</v>
      </c>
      <c r="C366" s="1603">
        <v>11.890025408821421</v>
      </c>
      <c r="D366" s="1569">
        <v>100.98377744478468</v>
      </c>
      <c r="E366" s="1569">
        <v>47.77727104914544</v>
      </c>
      <c r="F366" s="1602"/>
      <c r="G366" s="1075">
        <f t="shared" si="6"/>
        <v>160.65107390275153</v>
      </c>
    </row>
    <row r="367" spans="1:7" ht="15.75" x14ac:dyDescent="0.25">
      <c r="A367" s="1680" t="s">
        <v>212</v>
      </c>
      <c r="B367" s="1681" t="s">
        <v>1151</v>
      </c>
      <c r="C367" s="1603">
        <v>42</v>
      </c>
      <c r="D367" s="1569">
        <v>121.85</v>
      </c>
      <c r="E367" s="1569">
        <v>0</v>
      </c>
      <c r="F367" s="1602"/>
      <c r="G367" s="1075">
        <f t="shared" si="6"/>
        <v>163.85</v>
      </c>
    </row>
    <row r="368" spans="1:7" ht="15.75" x14ac:dyDescent="0.25">
      <c r="A368" s="1676" t="s">
        <v>172</v>
      </c>
      <c r="B368" s="1677" t="s">
        <v>1151</v>
      </c>
      <c r="C368" s="1603">
        <v>0</v>
      </c>
      <c r="D368" s="1569">
        <v>164.38</v>
      </c>
      <c r="E368" s="1569">
        <v>0</v>
      </c>
      <c r="F368" s="1602"/>
      <c r="G368" s="1075">
        <f t="shared" si="6"/>
        <v>164.38</v>
      </c>
    </row>
    <row r="369" spans="1:7" ht="15.75" x14ac:dyDescent="0.25">
      <c r="A369" s="1678" t="s">
        <v>70</v>
      </c>
      <c r="B369" s="1679" t="s">
        <v>1032</v>
      </c>
      <c r="C369" s="1603">
        <v>57.75620561600104</v>
      </c>
      <c r="D369" s="1569">
        <v>107.22739809325255</v>
      </c>
      <c r="E369" s="1569">
        <v>0</v>
      </c>
      <c r="F369" s="1602"/>
      <c r="G369" s="1075">
        <f t="shared" si="6"/>
        <v>164.9836037092536</v>
      </c>
    </row>
    <row r="370" spans="1:7" ht="15.75" x14ac:dyDescent="0.25">
      <c r="A370" s="1676" t="s">
        <v>1348</v>
      </c>
      <c r="B370" s="1677" t="s">
        <v>1050</v>
      </c>
      <c r="C370" s="1603">
        <v>71.665906573718161</v>
      </c>
      <c r="D370" s="1569">
        <v>97.726236236888397</v>
      </c>
      <c r="E370" s="1569">
        <v>0</v>
      </c>
      <c r="F370" s="1602"/>
      <c r="G370" s="1075">
        <f t="shared" si="6"/>
        <v>169.39214281060657</v>
      </c>
    </row>
    <row r="371" spans="1:7" ht="15.75" x14ac:dyDescent="0.25">
      <c r="A371" s="1678" t="s">
        <v>71</v>
      </c>
      <c r="B371" s="1679" t="s">
        <v>1032</v>
      </c>
      <c r="C371" s="1603">
        <v>73.663865181227877</v>
      </c>
      <c r="D371" s="1569">
        <v>97.650226942037492</v>
      </c>
      <c r="E371" s="1569">
        <v>0</v>
      </c>
      <c r="F371" s="1602"/>
      <c r="G371" s="1075">
        <f t="shared" si="6"/>
        <v>171.31409212326537</v>
      </c>
    </row>
    <row r="372" spans="1:7" ht="15.75" x14ac:dyDescent="0.25">
      <c r="A372" s="1674" t="s">
        <v>183</v>
      </c>
      <c r="B372" s="1675" t="s">
        <v>1106</v>
      </c>
      <c r="C372" s="1603">
        <v>64.890220861293898</v>
      </c>
      <c r="D372" s="1569">
        <v>99.246422133906663</v>
      </c>
      <c r="E372" s="1569">
        <v>9.1754077355745203</v>
      </c>
      <c r="F372" s="1602"/>
      <c r="G372" s="1075">
        <f t="shared" si="6"/>
        <v>173.31205073077507</v>
      </c>
    </row>
    <row r="373" spans="1:7" ht="15.75" x14ac:dyDescent="0.25">
      <c r="A373" s="1676" t="s">
        <v>85</v>
      </c>
      <c r="B373" s="1677" t="s">
        <v>1050</v>
      </c>
      <c r="C373" s="1603">
        <v>71.665906573718161</v>
      </c>
      <c r="D373" s="1569">
        <v>102.06962451408344</v>
      </c>
      <c r="E373" s="1569">
        <v>0</v>
      </c>
      <c r="F373" s="1602"/>
      <c r="G373" s="1075">
        <f t="shared" si="6"/>
        <v>173.7355310878016</v>
      </c>
    </row>
    <row r="374" spans="1:7" ht="15.75" x14ac:dyDescent="0.25">
      <c r="A374" s="1676" t="s">
        <v>174</v>
      </c>
      <c r="B374" s="1677" t="s">
        <v>1151</v>
      </c>
      <c r="C374" s="1603">
        <v>105.48</v>
      </c>
      <c r="D374" s="1569">
        <v>68.680000000000007</v>
      </c>
      <c r="E374" s="1569">
        <v>0</v>
      </c>
      <c r="F374" s="1602"/>
      <c r="G374" s="1075">
        <f t="shared" si="6"/>
        <v>174.16000000000003</v>
      </c>
    </row>
    <row r="375" spans="1:7" ht="15.75" x14ac:dyDescent="0.25">
      <c r="A375" s="1676" t="s">
        <v>130</v>
      </c>
      <c r="B375" s="1677" t="s">
        <v>1114</v>
      </c>
      <c r="C375" s="1603">
        <v>10.840108401084009</v>
      </c>
      <c r="D375" s="1569">
        <v>163.46195207983826</v>
      </c>
      <c r="E375" s="1569">
        <v>0</v>
      </c>
      <c r="F375" s="1602"/>
      <c r="G375" s="1075">
        <f t="shared" si="6"/>
        <v>174.30206048092225</v>
      </c>
    </row>
    <row r="376" spans="1:7" ht="15.75" x14ac:dyDescent="0.25">
      <c r="A376" s="1676" t="s">
        <v>151</v>
      </c>
      <c r="B376" s="1677" t="s">
        <v>1133</v>
      </c>
      <c r="C376" s="1603">
        <v>90.429343931200734</v>
      </c>
      <c r="D376" s="1569">
        <v>88.127348144287353</v>
      </c>
      <c r="E376" s="1569">
        <v>0</v>
      </c>
      <c r="F376" s="1602"/>
      <c r="G376" s="1075">
        <f t="shared" si="6"/>
        <v>178.55669207548809</v>
      </c>
    </row>
    <row r="377" spans="1:7" ht="15.75" x14ac:dyDescent="0.25">
      <c r="A377" s="1676" t="s">
        <v>93</v>
      </c>
      <c r="B377" s="1677" t="s">
        <v>1056</v>
      </c>
      <c r="C377" s="1603">
        <v>45.540426086389992</v>
      </c>
      <c r="D377" s="1569">
        <v>133.55918952374748</v>
      </c>
      <c r="E377" s="1569">
        <v>0</v>
      </c>
      <c r="F377" s="1602"/>
      <c r="G377" s="1075">
        <f t="shared" si="6"/>
        <v>179.09961561013748</v>
      </c>
    </row>
    <row r="378" spans="1:7" ht="15.75" x14ac:dyDescent="0.25">
      <c r="A378" s="1678" t="s">
        <v>722</v>
      </c>
      <c r="B378" s="1679" t="s">
        <v>1040</v>
      </c>
      <c r="C378" s="1603">
        <v>75.965211386149292</v>
      </c>
      <c r="D378" s="1569">
        <v>104.30829214954213</v>
      </c>
      <c r="E378" s="1569">
        <v>0</v>
      </c>
      <c r="F378" s="1602"/>
      <c r="G378" s="1075">
        <f t="shared" si="6"/>
        <v>180.27350353569142</v>
      </c>
    </row>
    <row r="379" spans="1:7" ht="15.75" x14ac:dyDescent="0.25">
      <c r="A379" s="1674" t="s">
        <v>182</v>
      </c>
      <c r="B379" s="1675" t="s">
        <v>1106</v>
      </c>
      <c r="C379" s="1603">
        <v>45.76845397094273</v>
      </c>
      <c r="D379" s="1569">
        <v>134.64503659304623</v>
      </c>
      <c r="E379" s="1569">
        <v>0</v>
      </c>
      <c r="F379" s="1602"/>
      <c r="G379" s="1075">
        <f t="shared" si="6"/>
        <v>180.41349056398894</v>
      </c>
    </row>
    <row r="380" spans="1:7" ht="15.75" x14ac:dyDescent="0.25">
      <c r="A380" s="1676" t="s">
        <v>630</v>
      </c>
      <c r="B380" s="1677" t="s">
        <v>1058</v>
      </c>
      <c r="C380" s="1603">
        <v>30.794622885312833</v>
      </c>
      <c r="D380" s="1569">
        <v>108.58470692987599</v>
      </c>
      <c r="E380" s="1569">
        <v>43.433882771950401</v>
      </c>
      <c r="F380" s="1602"/>
      <c r="G380" s="1075">
        <f t="shared" si="6"/>
        <v>182.81321258713925</v>
      </c>
    </row>
    <row r="381" spans="1:7" ht="15.75" x14ac:dyDescent="0.25">
      <c r="A381" s="1676" t="s">
        <v>101</v>
      </c>
      <c r="B381" s="1677" t="s">
        <v>1058</v>
      </c>
      <c r="C381" s="1603">
        <v>22.824505396659934</v>
      </c>
      <c r="D381" s="1569">
        <v>107.49885986057724</v>
      </c>
      <c r="E381" s="1569">
        <v>53.206506395639238</v>
      </c>
      <c r="F381" s="1602"/>
      <c r="G381" s="1075">
        <f t="shared" si="6"/>
        <v>183.52987165287641</v>
      </c>
    </row>
    <row r="382" spans="1:7" ht="15.75" x14ac:dyDescent="0.25">
      <c r="A382" s="1676" t="s">
        <v>204</v>
      </c>
      <c r="B382" s="1677" t="s">
        <v>1121</v>
      </c>
      <c r="C382" s="1603">
        <v>0</v>
      </c>
      <c r="D382" s="1569">
        <v>0</v>
      </c>
      <c r="E382" s="1569">
        <v>186.83958440792867</v>
      </c>
      <c r="F382" s="1602"/>
      <c r="G382" s="1075">
        <f t="shared" si="6"/>
        <v>186.83958440792867</v>
      </c>
    </row>
    <row r="383" spans="1:7" ht="15.75" x14ac:dyDescent="0.25">
      <c r="A383" s="1676" t="s">
        <v>99</v>
      </c>
      <c r="B383" s="1677" t="s">
        <v>1058</v>
      </c>
      <c r="C383" s="1603">
        <v>19.990444545790172</v>
      </c>
      <c r="D383" s="1569">
        <v>121.61487176146113</v>
      </c>
      <c r="E383" s="1569">
        <v>48.863118118444199</v>
      </c>
      <c r="F383" s="1602"/>
      <c r="G383" s="1075">
        <f t="shared" si="6"/>
        <v>190.46843442569551</v>
      </c>
    </row>
    <row r="384" spans="1:7" ht="15.75" x14ac:dyDescent="0.25">
      <c r="A384" s="1676" t="s">
        <v>117</v>
      </c>
      <c r="B384" s="1677" t="s">
        <v>1076</v>
      </c>
      <c r="C384" s="1603">
        <v>124.68212292759608</v>
      </c>
      <c r="D384" s="1569">
        <v>66.231143699139039</v>
      </c>
      <c r="E384" s="1569">
        <v>0</v>
      </c>
      <c r="F384" s="1602"/>
      <c r="G384" s="1075">
        <f t="shared" si="6"/>
        <v>190.91326662673512</v>
      </c>
    </row>
    <row r="385" spans="1:7" ht="15.75" x14ac:dyDescent="0.25">
      <c r="A385" s="1676" t="s">
        <v>635</v>
      </c>
      <c r="B385" s="1677" t="s">
        <v>1058</v>
      </c>
      <c r="C385" s="1603">
        <v>6.667101005494386</v>
      </c>
      <c r="D385" s="1569">
        <v>143.33181314743632</v>
      </c>
      <c r="E385" s="1569">
        <v>41.262188633352878</v>
      </c>
      <c r="F385" s="1602"/>
      <c r="G385" s="1075">
        <f t="shared" si="6"/>
        <v>191.26110278628357</v>
      </c>
    </row>
    <row r="386" spans="1:7" ht="15.75" x14ac:dyDescent="0.25">
      <c r="A386" s="1678" t="s">
        <v>67</v>
      </c>
      <c r="B386" s="1679" t="s">
        <v>1032</v>
      </c>
      <c r="C386" s="1603">
        <v>57.75620561600104</v>
      </c>
      <c r="D386" s="1569">
        <v>138.4455013355919</v>
      </c>
      <c r="E386" s="1569">
        <v>0</v>
      </c>
      <c r="F386" s="1602"/>
      <c r="G386" s="1075">
        <f t="shared" si="6"/>
        <v>196.20170695159294</v>
      </c>
    </row>
    <row r="387" spans="1:7" ht="15.75" x14ac:dyDescent="0.25">
      <c r="A387" s="1678" t="s">
        <v>549</v>
      </c>
      <c r="B387" s="1679" t="s">
        <v>1040</v>
      </c>
      <c r="C387" s="1603">
        <v>93.661652674968167</v>
      </c>
      <c r="D387" s="1569">
        <v>104.30829214954213</v>
      </c>
      <c r="E387" s="1569">
        <v>0</v>
      </c>
      <c r="F387" s="1602"/>
      <c r="G387" s="1075">
        <f t="shared" si="6"/>
        <v>197.96994482451029</v>
      </c>
    </row>
    <row r="388" spans="1:7" ht="15.75" x14ac:dyDescent="0.25">
      <c r="A388" s="1676" t="s">
        <v>634</v>
      </c>
      <c r="B388" s="1677" t="s">
        <v>1058</v>
      </c>
      <c r="C388" s="1603">
        <v>10.315547158338219</v>
      </c>
      <c r="D388" s="1569">
        <v>154.19028384042392</v>
      </c>
      <c r="E388" s="1569">
        <v>36.918800356157838</v>
      </c>
      <c r="F388" s="1602"/>
      <c r="G388" s="1075">
        <f t="shared" si="6"/>
        <v>201.42463135491997</v>
      </c>
    </row>
    <row r="389" spans="1:7" ht="15.75" x14ac:dyDescent="0.25">
      <c r="A389" s="1674" t="s">
        <v>184</v>
      </c>
      <c r="B389" s="1675" t="s">
        <v>1106</v>
      </c>
      <c r="C389" s="1603">
        <v>66.432123699698138</v>
      </c>
      <c r="D389" s="1569">
        <v>115.09978934566855</v>
      </c>
      <c r="E389" s="1569">
        <v>20.30534019588681</v>
      </c>
      <c r="F389" s="1602"/>
      <c r="G389" s="1075">
        <f t="shared" si="6"/>
        <v>201.83725324125351</v>
      </c>
    </row>
    <row r="390" spans="1:7" ht="15.75" x14ac:dyDescent="0.25">
      <c r="A390" s="1676" t="s">
        <v>94</v>
      </c>
      <c r="B390" s="1677" t="s">
        <v>1056</v>
      </c>
      <c r="C390" s="1603">
        <v>83.523356570460621</v>
      </c>
      <c r="D390" s="1569">
        <v>118.35733055356484</v>
      </c>
      <c r="E390" s="1569">
        <v>0</v>
      </c>
      <c r="F390" s="1602"/>
      <c r="G390" s="1075">
        <f t="shared" si="6"/>
        <v>201.88068712402546</v>
      </c>
    </row>
    <row r="391" spans="1:7" ht="15.75" x14ac:dyDescent="0.25">
      <c r="A391" s="1678" t="s">
        <v>69</v>
      </c>
      <c r="B391" s="1679" t="s">
        <v>1032</v>
      </c>
      <c r="C391" s="1603">
        <v>57.75620561600104</v>
      </c>
      <c r="D391" s="1569">
        <v>145.91612917236736</v>
      </c>
      <c r="E391" s="1569">
        <v>0</v>
      </c>
      <c r="F391" s="1602"/>
      <c r="G391" s="1075">
        <f t="shared" si="6"/>
        <v>203.6723347883684</v>
      </c>
    </row>
    <row r="392" spans="1:7" ht="15.75" x14ac:dyDescent="0.25">
      <c r="A392" s="1678" t="s">
        <v>552</v>
      </c>
      <c r="B392" s="1679" t="s">
        <v>1149</v>
      </c>
      <c r="C392" s="1603">
        <v>136.91002870276452</v>
      </c>
      <c r="D392" s="1569">
        <v>67.908295027012258</v>
      </c>
      <c r="E392" s="1569">
        <v>0</v>
      </c>
      <c r="F392" s="1602"/>
      <c r="G392" s="1075">
        <f t="shared" si="6"/>
        <v>204.81832372977678</v>
      </c>
    </row>
    <row r="393" spans="1:7" ht="15.75" x14ac:dyDescent="0.25">
      <c r="A393" s="1676" t="s">
        <v>98</v>
      </c>
      <c r="B393" s="1677" t="s">
        <v>1058</v>
      </c>
      <c r="C393" s="1603">
        <v>0</v>
      </c>
      <c r="D393" s="1569">
        <v>160.70536625621648</v>
      </c>
      <c r="E393" s="1569">
        <v>52.12065932634048</v>
      </c>
      <c r="F393" s="1602"/>
      <c r="G393" s="1075">
        <f t="shared" si="6"/>
        <v>212.82602558255695</v>
      </c>
    </row>
    <row r="394" spans="1:7" ht="15.75" x14ac:dyDescent="0.25">
      <c r="A394" s="1678" t="s">
        <v>728</v>
      </c>
      <c r="B394" s="1679" t="s">
        <v>1042</v>
      </c>
      <c r="C394" s="1603">
        <v>15.456467891895299</v>
      </c>
      <c r="D394" s="1569">
        <v>199.94678136987906</v>
      </c>
      <c r="E394" s="1569">
        <v>0</v>
      </c>
      <c r="F394" s="1602"/>
      <c r="G394" s="1075">
        <f t="shared" si="6"/>
        <v>215.40324926177436</v>
      </c>
    </row>
    <row r="395" spans="1:7" ht="15.75" x14ac:dyDescent="0.25">
      <c r="A395" s="1676" t="s">
        <v>161</v>
      </c>
      <c r="B395" s="1677" t="s">
        <v>1137</v>
      </c>
      <c r="C395" s="1603">
        <v>69.895157264103844</v>
      </c>
      <c r="D395" s="1569">
        <v>145.78132800798801</v>
      </c>
      <c r="E395" s="1569">
        <v>0</v>
      </c>
      <c r="F395" s="1602"/>
      <c r="G395" s="1075">
        <f t="shared" si="6"/>
        <v>215.67648527209184</v>
      </c>
    </row>
    <row r="396" spans="1:7" ht="15.75" x14ac:dyDescent="0.25">
      <c r="A396" s="1676" t="s">
        <v>167</v>
      </c>
      <c r="B396" s="1677" t="s">
        <v>1149</v>
      </c>
      <c r="C396" s="1603">
        <v>31.31677842458183</v>
      </c>
      <c r="D396" s="1569">
        <v>186.11745634072656</v>
      </c>
      <c r="E396" s="1569">
        <v>0</v>
      </c>
      <c r="F396" s="1602"/>
      <c r="G396" s="1075">
        <f t="shared" si="6"/>
        <v>217.43423476530839</v>
      </c>
    </row>
    <row r="397" spans="1:7" ht="15.75" x14ac:dyDescent="0.25">
      <c r="A397" s="1676" t="s">
        <v>205</v>
      </c>
      <c r="B397" s="1677" t="s">
        <v>1121</v>
      </c>
      <c r="C397" s="1603">
        <v>0</v>
      </c>
      <c r="D397" s="1569">
        <v>0</v>
      </c>
      <c r="E397" s="1569">
        <v>217.97951514258344</v>
      </c>
      <c r="F397" s="1602"/>
      <c r="G397" s="1075">
        <f t="shared" si="6"/>
        <v>217.97951514258344</v>
      </c>
    </row>
    <row r="398" spans="1:7" ht="15.75" x14ac:dyDescent="0.25">
      <c r="A398" s="1676" t="s">
        <v>97</v>
      </c>
      <c r="B398" s="1677" t="s">
        <v>1058</v>
      </c>
      <c r="C398" s="1603">
        <v>59.623862575194906</v>
      </c>
      <c r="D398" s="1569">
        <v>116.18563641496732</v>
      </c>
      <c r="E398" s="1569">
        <v>43.433882771950401</v>
      </c>
      <c r="F398" s="1602"/>
      <c r="G398" s="1075">
        <f t="shared" si="6"/>
        <v>219.24338176211265</v>
      </c>
    </row>
    <row r="399" spans="1:7" ht="15.75" x14ac:dyDescent="0.25">
      <c r="A399" s="1676" t="s">
        <v>169</v>
      </c>
      <c r="B399" s="1677" t="s">
        <v>1149</v>
      </c>
      <c r="C399" s="1603">
        <v>32.996831478888808</v>
      </c>
      <c r="D399" s="1569">
        <v>186.57431287303808</v>
      </c>
      <c r="E399" s="1569">
        <v>0</v>
      </c>
      <c r="F399" s="1602"/>
      <c r="G399" s="1075">
        <f t="shared" si="6"/>
        <v>219.57114435192688</v>
      </c>
    </row>
    <row r="400" spans="1:7" ht="15.75" x14ac:dyDescent="0.25">
      <c r="A400" s="1672" t="s">
        <v>775</v>
      </c>
      <c r="B400" s="1673" t="s">
        <v>1088</v>
      </c>
      <c r="C400" s="1603">
        <v>64.064977088626833</v>
      </c>
      <c r="D400" s="1569">
        <v>155.69961126674917</v>
      </c>
      <c r="E400" s="1569">
        <v>0</v>
      </c>
      <c r="F400" s="1602"/>
      <c r="G400" s="1075">
        <f t="shared" si="6"/>
        <v>219.76458835537602</v>
      </c>
    </row>
    <row r="401" spans="1:7" ht="15.75" x14ac:dyDescent="0.25">
      <c r="A401" s="1676" t="s">
        <v>603</v>
      </c>
      <c r="B401" s="1677" t="s">
        <v>1137</v>
      </c>
      <c r="C401" s="1603">
        <v>107.83824263604592</v>
      </c>
      <c r="D401" s="1569">
        <v>119.82026959560659</v>
      </c>
      <c r="E401" s="1569">
        <v>0</v>
      </c>
      <c r="F401" s="1602"/>
      <c r="G401" s="1075">
        <f t="shared" si="6"/>
        <v>227.65851223165251</v>
      </c>
    </row>
    <row r="402" spans="1:7" ht="15.75" x14ac:dyDescent="0.25">
      <c r="A402" s="1678" t="s">
        <v>68</v>
      </c>
      <c r="B402" s="1679" t="s">
        <v>1032</v>
      </c>
      <c r="C402" s="1603">
        <v>25.84316024931049</v>
      </c>
      <c r="D402" s="1569">
        <v>203.36829760896475</v>
      </c>
      <c r="E402" s="1569">
        <v>0</v>
      </c>
      <c r="F402" s="1602"/>
      <c r="G402" s="1075">
        <f t="shared" ref="G402:G429" si="7">SUM(C402:E402)</f>
        <v>229.21145785827525</v>
      </c>
    </row>
    <row r="403" spans="1:7" ht="15.75" x14ac:dyDescent="0.25">
      <c r="A403" s="1676" t="s">
        <v>171</v>
      </c>
      <c r="B403" s="1677" t="s">
        <v>1151</v>
      </c>
      <c r="C403" s="1603">
        <v>46.32</v>
      </c>
      <c r="D403" s="1569">
        <v>108.79</v>
      </c>
      <c r="E403" s="1569">
        <v>75.599999999999994</v>
      </c>
      <c r="F403" s="1602"/>
      <c r="G403" s="1075">
        <f t="shared" si="7"/>
        <v>230.71</v>
      </c>
    </row>
    <row r="404" spans="1:7" ht="15.75" x14ac:dyDescent="0.25">
      <c r="A404" s="1676" t="s">
        <v>100</v>
      </c>
      <c r="B404" s="1677" t="s">
        <v>1058</v>
      </c>
      <c r="C404" s="1603">
        <v>66.193237344452413</v>
      </c>
      <c r="D404" s="1569">
        <v>128.12995417725367</v>
      </c>
      <c r="E404" s="1569">
        <v>38.004647425456596</v>
      </c>
      <c r="F404" s="1602"/>
      <c r="G404" s="1075">
        <f t="shared" si="7"/>
        <v>232.32783894716266</v>
      </c>
    </row>
    <row r="405" spans="1:7" ht="15.75" x14ac:dyDescent="0.25">
      <c r="A405" s="1676" t="s">
        <v>166</v>
      </c>
      <c r="B405" s="1677" t="s">
        <v>1149</v>
      </c>
      <c r="C405" s="1603">
        <v>50.696337779087763</v>
      </c>
      <c r="D405" s="1569">
        <v>192.74924471299093</v>
      </c>
      <c r="E405" s="1569">
        <v>0</v>
      </c>
      <c r="F405" s="1602"/>
      <c r="G405" s="1075">
        <f t="shared" si="7"/>
        <v>243.4455824920787</v>
      </c>
    </row>
    <row r="406" spans="1:7" ht="15.75" x14ac:dyDescent="0.25">
      <c r="A406" s="1676" t="s">
        <v>206</v>
      </c>
      <c r="B406" s="1677" t="s">
        <v>1121</v>
      </c>
      <c r="C406" s="1603">
        <v>0</v>
      </c>
      <c r="D406" s="1569">
        <v>0</v>
      </c>
      <c r="E406" s="1569">
        <v>249.11944587723823</v>
      </c>
      <c r="F406" s="1602"/>
      <c r="G406" s="1075">
        <f t="shared" si="7"/>
        <v>249.11944587723823</v>
      </c>
    </row>
    <row r="407" spans="1:7" ht="15.75" x14ac:dyDescent="0.25">
      <c r="A407" s="1676" t="s">
        <v>633</v>
      </c>
      <c r="B407" s="1677" t="s">
        <v>1058</v>
      </c>
      <c r="C407" s="1603">
        <v>32.977175494603344</v>
      </c>
      <c r="D407" s="1569">
        <v>163.96290746411276</v>
      </c>
      <c r="E407" s="1569">
        <v>56.464047603535519</v>
      </c>
      <c r="F407" s="1602"/>
      <c r="G407" s="1075">
        <f t="shared" si="7"/>
        <v>253.40413056225162</v>
      </c>
    </row>
    <row r="408" spans="1:7" ht="15.75" x14ac:dyDescent="0.25">
      <c r="A408" s="1676" t="s">
        <v>95</v>
      </c>
      <c r="B408" s="1677" t="s">
        <v>1056</v>
      </c>
      <c r="C408" s="1603">
        <v>117.27148348426608</v>
      </c>
      <c r="D408" s="1569">
        <v>137.90257780094251</v>
      </c>
      <c r="E408" s="1569">
        <v>0</v>
      </c>
      <c r="F408" s="1602"/>
      <c r="G408" s="1075">
        <f t="shared" si="7"/>
        <v>255.17406128520861</v>
      </c>
    </row>
    <row r="409" spans="1:7" ht="15.75" x14ac:dyDescent="0.25">
      <c r="A409" s="1676" t="s">
        <v>632</v>
      </c>
      <c r="B409" s="1677" t="s">
        <v>1058</v>
      </c>
      <c r="C409" s="1603">
        <v>45.76845397094273</v>
      </c>
      <c r="D409" s="1569">
        <v>160.70536625621648</v>
      </c>
      <c r="E409" s="1569">
        <v>49.948965187742957</v>
      </c>
      <c r="F409" s="1602"/>
      <c r="G409" s="1075">
        <f t="shared" si="7"/>
        <v>256.42278541490214</v>
      </c>
    </row>
    <row r="410" spans="1:7" ht="15.75" x14ac:dyDescent="0.25">
      <c r="A410" s="1676" t="s">
        <v>89</v>
      </c>
      <c r="B410" s="1677" t="s">
        <v>1054</v>
      </c>
      <c r="C410" s="1603">
        <v>96.32243279618784</v>
      </c>
      <c r="D410" s="1569">
        <v>70.626750572914773</v>
      </c>
      <c r="E410" s="1569">
        <v>95.012913317085591</v>
      </c>
      <c r="F410" s="1602"/>
      <c r="G410" s="1075">
        <f t="shared" si="7"/>
        <v>261.9620966861882</v>
      </c>
    </row>
    <row r="411" spans="1:7" ht="15.75" x14ac:dyDescent="0.25">
      <c r="A411" s="1676" t="s">
        <v>165</v>
      </c>
      <c r="B411" s="1677" t="s">
        <v>1149</v>
      </c>
      <c r="C411" s="1603">
        <v>43.504531722054381</v>
      </c>
      <c r="D411" s="1569">
        <v>218.68690590229164</v>
      </c>
      <c r="E411" s="1569">
        <v>0</v>
      </c>
      <c r="F411" s="1602"/>
      <c r="G411" s="1075">
        <f t="shared" si="7"/>
        <v>262.19143762434601</v>
      </c>
    </row>
    <row r="412" spans="1:7" ht="15.75" x14ac:dyDescent="0.25">
      <c r="A412" s="1678" t="s">
        <v>548</v>
      </c>
      <c r="B412" s="1679" t="s">
        <v>1040</v>
      </c>
      <c r="C412" s="1603">
        <v>136.39208407967715</v>
      </c>
      <c r="D412" s="1569">
        <v>127.31366582500665</v>
      </c>
      <c r="E412" s="1569">
        <v>0</v>
      </c>
      <c r="F412" s="1602"/>
      <c r="G412" s="1075">
        <f t="shared" si="7"/>
        <v>263.70574990468378</v>
      </c>
    </row>
    <row r="413" spans="1:7" ht="15.75" x14ac:dyDescent="0.25">
      <c r="A413" s="1676" t="s">
        <v>163</v>
      </c>
      <c r="B413" s="1677" t="s">
        <v>1137</v>
      </c>
      <c r="C413" s="1603">
        <v>4.8227658512231653</v>
      </c>
      <c r="D413" s="1569">
        <v>259.61058412381425</v>
      </c>
      <c r="E413" s="1569">
        <v>0</v>
      </c>
      <c r="F413" s="1602"/>
      <c r="G413" s="1075">
        <f t="shared" si="7"/>
        <v>264.4333499750374</v>
      </c>
    </row>
    <row r="414" spans="1:7" ht="15.75" x14ac:dyDescent="0.25">
      <c r="A414" s="1676" t="s">
        <v>88</v>
      </c>
      <c r="B414" s="1677" t="s">
        <v>1054</v>
      </c>
      <c r="C414" s="1603">
        <v>55.872831108362739</v>
      </c>
      <c r="D414" s="1569">
        <v>126.15037648685025</v>
      </c>
      <c r="E414" s="1569">
        <v>95.012913317085591</v>
      </c>
      <c r="F414" s="1602"/>
      <c r="G414" s="1075">
        <f t="shared" si="7"/>
        <v>277.0361209122986</v>
      </c>
    </row>
    <row r="415" spans="1:7" ht="15.75" x14ac:dyDescent="0.25">
      <c r="A415" s="1676" t="s">
        <v>207</v>
      </c>
      <c r="B415" s="1677" t="s">
        <v>1121</v>
      </c>
      <c r="C415" s="1603">
        <v>0</v>
      </c>
      <c r="D415" s="1569">
        <v>0</v>
      </c>
      <c r="E415" s="1569">
        <v>280.259376611893</v>
      </c>
      <c r="F415" s="1602"/>
      <c r="G415" s="1075">
        <f t="shared" si="7"/>
        <v>280.259376611893</v>
      </c>
    </row>
    <row r="416" spans="1:7" ht="15.75" x14ac:dyDescent="0.25">
      <c r="A416" s="1676" t="s">
        <v>90</v>
      </c>
      <c r="B416" s="1677" t="s">
        <v>1054</v>
      </c>
      <c r="C416" s="1603">
        <v>69.841038885453429</v>
      </c>
      <c r="D416" s="1569">
        <v>127.31439380160781</v>
      </c>
      <c r="E416" s="1569">
        <v>95.012913317085591</v>
      </c>
      <c r="F416" s="1602"/>
      <c r="G416" s="1075">
        <f t="shared" si="7"/>
        <v>292.16834600414683</v>
      </c>
    </row>
    <row r="417" spans="1:7" ht="15.75" x14ac:dyDescent="0.25">
      <c r="A417" s="1676" t="s">
        <v>87</v>
      </c>
      <c r="B417" s="1677" t="s">
        <v>1054</v>
      </c>
      <c r="C417" s="1603">
        <v>141.87043032265103</v>
      </c>
      <c r="D417" s="1569">
        <v>63.991851878796702</v>
      </c>
      <c r="E417" s="1569">
        <v>95.012913317085591</v>
      </c>
      <c r="F417" s="1602"/>
      <c r="G417" s="1075">
        <f t="shared" si="7"/>
        <v>300.8751955185333</v>
      </c>
    </row>
    <row r="418" spans="1:7" ht="15.75" x14ac:dyDescent="0.25">
      <c r="A418" s="1676" t="s">
        <v>168</v>
      </c>
      <c r="B418" s="1677" t="s">
        <v>1149</v>
      </c>
      <c r="C418" s="1603">
        <v>51.271092771350673</v>
      </c>
      <c r="D418" s="1569">
        <v>257.90288114361505</v>
      </c>
      <c r="E418" s="1569">
        <v>0</v>
      </c>
      <c r="F418" s="1602"/>
      <c r="G418" s="1075">
        <f t="shared" si="7"/>
        <v>309.1739739149657</v>
      </c>
    </row>
    <row r="419" spans="1:7" ht="15.75" x14ac:dyDescent="0.25">
      <c r="A419" s="1676" t="s">
        <v>170</v>
      </c>
      <c r="B419" s="1677" t="s">
        <v>1151</v>
      </c>
      <c r="C419" s="1603">
        <v>178.85</v>
      </c>
      <c r="D419" s="1569">
        <v>134.55000000000001</v>
      </c>
      <c r="E419" s="1569">
        <v>0</v>
      </c>
      <c r="F419" s="1602"/>
      <c r="G419" s="1075">
        <f t="shared" si="7"/>
        <v>313.39999999999998</v>
      </c>
    </row>
    <row r="420" spans="1:7" ht="15.75" x14ac:dyDescent="0.25">
      <c r="A420" s="1676" t="s">
        <v>160</v>
      </c>
      <c r="B420" s="1677" t="s">
        <v>1137</v>
      </c>
      <c r="C420" s="1603">
        <v>197.70344483275088</v>
      </c>
      <c r="D420" s="1569">
        <v>128.80678981527709</v>
      </c>
      <c r="E420" s="1569">
        <v>0</v>
      </c>
      <c r="F420" s="1602"/>
      <c r="G420" s="1075">
        <f t="shared" si="7"/>
        <v>326.51023464802796</v>
      </c>
    </row>
    <row r="421" spans="1:7" ht="15.75" x14ac:dyDescent="0.25">
      <c r="A421" s="1676" t="s">
        <v>162</v>
      </c>
      <c r="B421" s="1677" t="s">
        <v>1137</v>
      </c>
      <c r="C421" s="1603">
        <v>135.79630554168747</v>
      </c>
      <c r="D421" s="1569">
        <v>191.71243135297053</v>
      </c>
      <c r="E421" s="1569">
        <v>0</v>
      </c>
      <c r="F421" s="1602"/>
      <c r="G421" s="1075">
        <f t="shared" si="7"/>
        <v>327.508736894658</v>
      </c>
    </row>
    <row r="422" spans="1:7" ht="15.75" x14ac:dyDescent="0.25">
      <c r="A422" s="1676" t="s">
        <v>213</v>
      </c>
      <c r="B422" s="1677" t="s">
        <v>1054</v>
      </c>
      <c r="C422" s="1603">
        <v>80.026190389582041</v>
      </c>
      <c r="D422" s="1569">
        <v>155.83281801316795</v>
      </c>
      <c r="E422" s="1569">
        <v>95.012913317085591</v>
      </c>
      <c r="F422" s="1602"/>
      <c r="G422" s="1075">
        <f t="shared" si="7"/>
        <v>330.8719217198356</v>
      </c>
    </row>
    <row r="423" spans="1:7" ht="15.75" x14ac:dyDescent="0.25">
      <c r="A423" s="1676" t="s">
        <v>208</v>
      </c>
      <c r="B423" s="1677" t="s">
        <v>1121</v>
      </c>
      <c r="C423" s="1603">
        <v>0</v>
      </c>
      <c r="D423" s="1569">
        <v>0</v>
      </c>
      <c r="E423" s="1569">
        <v>342.5392380812026</v>
      </c>
      <c r="F423" s="1602"/>
      <c r="G423" s="1075">
        <f t="shared" si="7"/>
        <v>342.5392380812026</v>
      </c>
    </row>
    <row r="424" spans="1:7" ht="15.75" x14ac:dyDescent="0.25">
      <c r="A424" s="1678" t="s">
        <v>629</v>
      </c>
      <c r="B424" s="1679" t="s">
        <v>1032</v>
      </c>
      <c r="C424" s="1603">
        <v>113.74248050904511</v>
      </c>
      <c r="D424" s="1569">
        <v>241.81814233283384</v>
      </c>
      <c r="E424" s="1569">
        <v>0</v>
      </c>
      <c r="F424" s="1602"/>
      <c r="G424" s="1075">
        <f t="shared" si="7"/>
        <v>355.56062284187897</v>
      </c>
    </row>
    <row r="425" spans="1:7" ht="15.75" x14ac:dyDescent="0.25">
      <c r="A425" s="1678" t="s">
        <v>72</v>
      </c>
      <c r="B425" s="1679" t="s">
        <v>1032</v>
      </c>
      <c r="C425" s="1603">
        <v>114.1008100419137</v>
      </c>
      <c r="D425" s="1569">
        <v>243.34918670054512</v>
      </c>
      <c r="E425" s="1569">
        <v>0</v>
      </c>
      <c r="F425" s="1602"/>
      <c r="G425" s="1075">
        <f t="shared" si="7"/>
        <v>357.44999674245884</v>
      </c>
    </row>
    <row r="426" spans="1:7" ht="15.75" x14ac:dyDescent="0.25">
      <c r="A426" s="1676" t="s">
        <v>209</v>
      </c>
      <c r="B426" s="1677" t="s">
        <v>1121</v>
      </c>
      <c r="C426" s="1603">
        <v>0</v>
      </c>
      <c r="D426" s="1569">
        <v>0</v>
      </c>
      <c r="E426" s="1569">
        <v>404.81909955051214</v>
      </c>
      <c r="F426" s="1602"/>
      <c r="G426" s="1075">
        <f t="shared" si="7"/>
        <v>404.81909955051214</v>
      </c>
    </row>
    <row r="427" spans="1:7" ht="15.75" x14ac:dyDescent="0.25">
      <c r="A427" s="1678" t="s">
        <v>723</v>
      </c>
      <c r="B427" s="1679" t="s">
        <v>1040</v>
      </c>
      <c r="C427" s="1603">
        <v>408.60075821337881</v>
      </c>
      <c r="D427" s="1569">
        <v>0</v>
      </c>
      <c r="E427" s="1569">
        <v>0</v>
      </c>
      <c r="F427" s="1602"/>
      <c r="G427" s="1075">
        <f t="shared" si="7"/>
        <v>408.60075821337881</v>
      </c>
    </row>
    <row r="428" spans="1:7" ht="15.75" x14ac:dyDescent="0.25">
      <c r="A428" s="1676" t="s">
        <v>210</v>
      </c>
      <c r="B428" s="1677" t="s">
        <v>1121</v>
      </c>
      <c r="C428" s="1603">
        <v>0</v>
      </c>
      <c r="D428" s="1569">
        <v>0</v>
      </c>
      <c r="E428" s="1569">
        <v>467.09896101982167</v>
      </c>
      <c r="F428" s="1602"/>
      <c r="G428" s="1075">
        <f t="shared" si="7"/>
        <v>467.09896101982167</v>
      </c>
    </row>
    <row r="429" spans="1:7" ht="15.75" x14ac:dyDescent="0.25">
      <c r="A429" s="1682" t="s">
        <v>211</v>
      </c>
      <c r="B429" s="1683" t="s">
        <v>1121</v>
      </c>
      <c r="C429" s="1603">
        <v>0</v>
      </c>
      <c r="D429" s="1569">
        <v>0</v>
      </c>
      <c r="E429" s="1569">
        <v>560.51875322378601</v>
      </c>
      <c r="F429" s="1602"/>
      <c r="G429" s="1075">
        <f t="shared" si="7"/>
        <v>560.51875322378601</v>
      </c>
    </row>
  </sheetData>
  <mergeCells count="75">
    <mergeCell ref="A8:A11"/>
    <mergeCell ref="D8:D11"/>
    <mergeCell ref="A12:A20"/>
    <mergeCell ref="D12:D20"/>
    <mergeCell ref="A21:A25"/>
    <mergeCell ref="D21:D25"/>
    <mergeCell ref="A26:A33"/>
    <mergeCell ref="D26:D33"/>
    <mergeCell ref="A34:A36"/>
    <mergeCell ref="D34:D36"/>
    <mergeCell ref="A37:A41"/>
    <mergeCell ref="D37:D41"/>
    <mergeCell ref="A42:A46"/>
    <mergeCell ref="D42:D46"/>
    <mergeCell ref="A48:A52"/>
    <mergeCell ref="D48:D52"/>
    <mergeCell ref="A53:A58"/>
    <mergeCell ref="D53:D58"/>
    <mergeCell ref="A59:A63"/>
    <mergeCell ref="D59:D63"/>
    <mergeCell ref="A65:A66"/>
    <mergeCell ref="D65:D66"/>
    <mergeCell ref="A67:A70"/>
    <mergeCell ref="D67:D70"/>
    <mergeCell ref="A71:A75"/>
    <mergeCell ref="D71:D75"/>
    <mergeCell ref="A76:A81"/>
    <mergeCell ref="D76:D81"/>
    <mergeCell ref="A82:A92"/>
    <mergeCell ref="D82:D92"/>
    <mergeCell ref="A95:A99"/>
    <mergeCell ref="D95:D99"/>
    <mergeCell ref="A100:A104"/>
    <mergeCell ref="D100:D104"/>
    <mergeCell ref="A106:A110"/>
    <mergeCell ref="D106:D110"/>
    <mergeCell ref="A112:A116"/>
    <mergeCell ref="D112:D116"/>
    <mergeCell ref="A117:A124"/>
    <mergeCell ref="D117:D124"/>
    <mergeCell ref="A126:A130"/>
    <mergeCell ref="D126:D130"/>
    <mergeCell ref="A136:A140"/>
    <mergeCell ref="D136:D140"/>
    <mergeCell ref="A141:A145"/>
    <mergeCell ref="D141:D145"/>
    <mergeCell ref="A147:A152"/>
    <mergeCell ref="D147:D152"/>
    <mergeCell ref="A154:A156"/>
    <mergeCell ref="D154:D156"/>
    <mergeCell ref="A157:A161"/>
    <mergeCell ref="D157:D161"/>
    <mergeCell ref="A162:A168"/>
    <mergeCell ref="D162:D168"/>
    <mergeCell ref="A234:A238"/>
    <mergeCell ref="D234:D238"/>
    <mergeCell ref="A169:A197"/>
    <mergeCell ref="D169:D197"/>
    <mergeCell ref="A199:A206"/>
    <mergeCell ref="D199:D206"/>
    <mergeCell ref="A207:A209"/>
    <mergeCell ref="A211:A213"/>
    <mergeCell ref="A216:A223"/>
    <mergeCell ref="D216:D223"/>
    <mergeCell ref="A224:A228"/>
    <mergeCell ref="D224:D228"/>
    <mergeCell ref="A229:A233"/>
    <mergeCell ref="A258:A261"/>
    <mergeCell ref="D258:D261"/>
    <mergeCell ref="A242:A245"/>
    <mergeCell ref="D242:D245"/>
    <mergeCell ref="A246:A250"/>
    <mergeCell ref="D246:D250"/>
    <mergeCell ref="A251:A257"/>
    <mergeCell ref="D251:D257"/>
  </mergeCells>
  <pageMargins left="0.7" right="0.7" top="0.75" bottom="0.75" header="0.3" footer="0.3"/>
  <drawing r:id="rId1"/>
  <legacyDrawing r:id="rId2"/>
  <tableParts count="1">
    <tablePart r:id="rId3"/>
  </tablePart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AP533"/>
  <sheetViews>
    <sheetView zoomScale="90" zoomScaleNormal="90" workbookViewId="0">
      <selection activeCell="A3" sqref="A3"/>
    </sheetView>
  </sheetViews>
  <sheetFormatPr defaultRowHeight="15" x14ac:dyDescent="0.25"/>
  <cols>
    <col min="1" max="1" width="24.42578125" bestFit="1" customWidth="1"/>
    <col min="2" max="2" width="34.28515625" customWidth="1"/>
    <col min="3" max="3" width="7.28515625" bestFit="1" customWidth="1"/>
    <col min="4" max="4" width="11.28515625" bestFit="1" customWidth="1"/>
    <col min="5" max="6" width="25" customWidth="1"/>
    <col min="7" max="7" width="16.28515625" customWidth="1"/>
    <col min="8" max="8" width="19.140625" bestFit="1" customWidth="1"/>
    <col min="9" max="10" width="22.28515625" customWidth="1"/>
    <col min="11" max="11" width="19.7109375" customWidth="1"/>
    <col min="12" max="13" width="15.42578125" customWidth="1"/>
    <col min="14" max="15" width="15.7109375" customWidth="1"/>
    <col min="16" max="17" width="19.85546875" customWidth="1"/>
    <col min="18" max="18" width="17.28515625" customWidth="1"/>
    <col min="19" max="19" width="32.42578125" bestFit="1" customWidth="1"/>
    <col min="20" max="20" width="3.85546875" customWidth="1"/>
    <col min="21" max="21" width="20.140625" bestFit="1" customWidth="1"/>
    <col min="22" max="22" width="16.42578125" customWidth="1"/>
    <col min="23" max="23" width="22" bestFit="1" customWidth="1"/>
    <col min="24" max="24" width="22" customWidth="1"/>
    <col min="25" max="25" width="23.28515625" bestFit="1" customWidth="1"/>
    <col min="26" max="26" width="14.140625" customWidth="1"/>
    <col min="27" max="27" width="18.140625" bestFit="1" customWidth="1"/>
    <col min="28" max="29" width="19.85546875" customWidth="1"/>
    <col min="30" max="31" width="14.42578125" customWidth="1"/>
    <col min="32" max="32" width="15.28515625" customWidth="1"/>
    <col min="33" max="33" width="25.42578125" customWidth="1"/>
    <col min="34" max="34" width="3.7109375" customWidth="1"/>
    <col min="35" max="35" width="13.5703125" customWidth="1"/>
    <col min="37" max="37" width="11.140625" customWidth="1"/>
    <col min="38" max="38" width="10.7109375" customWidth="1"/>
    <col min="42" max="43" width="75.28515625" customWidth="1"/>
  </cols>
  <sheetData>
    <row r="1" spans="1:42" ht="18.75" x14ac:dyDescent="0.3">
      <c r="A1" s="26" t="s">
        <v>1212</v>
      </c>
      <c r="B1" s="86"/>
      <c r="C1" s="24"/>
      <c r="D1" s="24"/>
    </row>
    <row r="2" spans="1:42" ht="16.5" thickBot="1" x14ac:dyDescent="0.3">
      <c r="A2" s="27" t="s">
        <v>1215</v>
      </c>
      <c r="B2" s="87"/>
      <c r="C2" s="25"/>
      <c r="D2" s="25"/>
      <c r="E2" s="397"/>
    </row>
    <row r="3" spans="1:42" ht="18.75" x14ac:dyDescent="0.3">
      <c r="AI3" s="395" t="s">
        <v>826</v>
      </c>
      <c r="AJ3" s="395"/>
      <c r="AK3" s="395"/>
      <c r="AL3" s="395"/>
      <c r="AM3" s="395"/>
      <c r="AN3" s="395"/>
      <c r="AO3" s="394"/>
      <c r="AP3" s="394"/>
    </row>
    <row r="4" spans="1:42" ht="23.25" hidden="1" x14ac:dyDescent="0.35">
      <c r="U4" s="1754" t="s">
        <v>679</v>
      </c>
      <c r="V4" s="1754"/>
      <c r="W4" s="1754"/>
      <c r="X4" s="1754"/>
      <c r="Y4" s="1754"/>
      <c r="Z4" s="1754"/>
      <c r="AA4" s="1754"/>
      <c r="AB4" s="1754"/>
      <c r="AC4" s="1754"/>
      <c r="AD4" s="1754"/>
      <c r="AE4" s="1754"/>
      <c r="AF4" s="1754"/>
      <c r="AG4" s="1754"/>
      <c r="AI4" s="1755" t="s">
        <v>248</v>
      </c>
      <c r="AJ4" s="1755"/>
      <c r="AK4" s="1755"/>
      <c r="AL4" s="1755"/>
      <c r="AM4" s="1755"/>
      <c r="AN4" s="1755"/>
      <c r="AO4" s="1755"/>
    </row>
    <row r="5" spans="1:42" ht="64.5" hidden="1" customHeight="1" x14ac:dyDescent="0.3">
      <c r="E5" s="89" t="s">
        <v>215</v>
      </c>
      <c r="F5" s="90" t="s">
        <v>827</v>
      </c>
      <c r="G5" s="111" t="s">
        <v>196</v>
      </c>
      <c r="H5" s="82" t="s">
        <v>197</v>
      </c>
      <c r="I5" s="552" t="s">
        <v>198</v>
      </c>
      <c r="J5" s="556" t="s">
        <v>833</v>
      </c>
      <c r="K5" s="555" t="s">
        <v>200</v>
      </c>
      <c r="L5" s="553" t="s">
        <v>834</v>
      </c>
      <c r="M5" s="556" t="s">
        <v>835</v>
      </c>
      <c r="N5" s="554" t="s">
        <v>201</v>
      </c>
      <c r="O5" s="556" t="s">
        <v>836</v>
      </c>
      <c r="P5" s="84" t="s">
        <v>199</v>
      </c>
      <c r="Q5" s="556" t="s">
        <v>840</v>
      </c>
      <c r="R5" s="564" t="s">
        <v>841</v>
      </c>
      <c r="S5" s="85" t="s">
        <v>203</v>
      </c>
      <c r="U5" s="110" t="s">
        <v>240</v>
      </c>
      <c r="V5" s="109" t="s">
        <v>241</v>
      </c>
      <c r="W5" s="108" t="s">
        <v>242</v>
      </c>
      <c r="X5" s="572" t="s">
        <v>843</v>
      </c>
      <c r="Y5" s="107" t="s">
        <v>243</v>
      </c>
      <c r="Z5" s="106" t="s">
        <v>244</v>
      </c>
      <c r="AA5" s="572" t="s">
        <v>845</v>
      </c>
      <c r="AB5" s="105" t="s">
        <v>245</v>
      </c>
      <c r="AC5" s="572" t="s">
        <v>847</v>
      </c>
      <c r="AD5" s="104" t="s">
        <v>246</v>
      </c>
      <c r="AE5" s="572" t="s">
        <v>850</v>
      </c>
      <c r="AF5" s="103" t="s">
        <v>852</v>
      </c>
      <c r="AG5" s="102" t="s">
        <v>642</v>
      </c>
      <c r="AI5" s="112" t="s">
        <v>249</v>
      </c>
      <c r="AJ5" s="112" t="s">
        <v>250</v>
      </c>
      <c r="AK5" s="112" t="s">
        <v>251</v>
      </c>
      <c r="AL5" s="112" t="s">
        <v>252</v>
      </c>
      <c r="AM5" s="112" t="s">
        <v>438</v>
      </c>
      <c r="AN5" s="112" t="s">
        <v>253</v>
      </c>
      <c r="AO5" s="112" t="s">
        <v>254</v>
      </c>
    </row>
    <row r="6" spans="1:42" ht="16.5" hidden="1" thickBot="1" x14ac:dyDescent="0.3">
      <c r="A6" s="42" t="s">
        <v>3</v>
      </c>
      <c r="B6" s="250" t="s">
        <v>58</v>
      </c>
      <c r="C6" s="799" t="s">
        <v>1190</v>
      </c>
      <c r="D6" s="799" t="s">
        <v>1022</v>
      </c>
      <c r="E6" s="91" t="s">
        <v>809</v>
      </c>
      <c r="F6" s="92" t="s">
        <v>810</v>
      </c>
      <c r="G6" s="7" t="s">
        <v>811</v>
      </c>
      <c r="H6" s="3" t="s">
        <v>812</v>
      </c>
      <c r="I6" s="33" t="s">
        <v>813</v>
      </c>
      <c r="J6" s="557" t="s">
        <v>832</v>
      </c>
      <c r="K6" s="68" t="s">
        <v>814</v>
      </c>
      <c r="L6" s="34" t="s">
        <v>815</v>
      </c>
      <c r="M6" s="557" t="s">
        <v>838</v>
      </c>
      <c r="N6" s="69" t="s">
        <v>816</v>
      </c>
      <c r="O6" s="557" t="s">
        <v>837</v>
      </c>
      <c r="P6" s="66" t="s">
        <v>817</v>
      </c>
      <c r="Q6" s="557" t="s">
        <v>839</v>
      </c>
      <c r="R6" s="67" t="s">
        <v>842</v>
      </c>
      <c r="S6" s="70" t="s">
        <v>818</v>
      </c>
      <c r="U6" s="93" t="s">
        <v>819</v>
      </c>
      <c r="V6" s="94" t="s">
        <v>820</v>
      </c>
      <c r="W6" s="95" t="s">
        <v>821</v>
      </c>
      <c r="X6" s="573" t="s">
        <v>844</v>
      </c>
      <c r="Y6" s="96" t="s">
        <v>822</v>
      </c>
      <c r="Z6" s="97" t="s">
        <v>823</v>
      </c>
      <c r="AA6" s="573" t="s">
        <v>846</v>
      </c>
      <c r="AB6" s="98" t="s">
        <v>849</v>
      </c>
      <c r="AC6" s="573" t="s">
        <v>848</v>
      </c>
      <c r="AD6" s="99" t="s">
        <v>824</v>
      </c>
      <c r="AE6" s="573" t="s">
        <v>851</v>
      </c>
      <c r="AF6" s="100" t="s">
        <v>853</v>
      </c>
      <c r="AG6" s="101" t="s">
        <v>825</v>
      </c>
      <c r="AI6" s="113"/>
      <c r="AJ6" s="113"/>
      <c r="AK6" s="113"/>
      <c r="AL6" s="113"/>
      <c r="AM6" s="113"/>
      <c r="AN6" s="113"/>
      <c r="AO6" s="113"/>
    </row>
    <row r="7" spans="1:42" ht="18.600000000000001" hidden="1" customHeight="1" x14ac:dyDescent="0.25">
      <c r="A7" s="1756" t="s">
        <v>33</v>
      </c>
      <c r="B7" s="752" t="s">
        <v>217</v>
      </c>
      <c r="C7" s="747" t="s">
        <v>429</v>
      </c>
      <c r="D7" s="815" t="s">
        <v>1024</v>
      </c>
      <c r="E7" s="1759">
        <v>20700</v>
      </c>
      <c r="F7" s="647">
        <f>'exchange rates'!$O$3</f>
        <v>18.600290000000001</v>
      </c>
      <c r="G7" s="625" t="s">
        <v>5</v>
      </c>
      <c r="H7" s="593" t="s">
        <v>5</v>
      </c>
      <c r="I7" s="594" t="s">
        <v>5</v>
      </c>
      <c r="J7" s="595" t="s">
        <v>5</v>
      </c>
      <c r="K7" s="566" t="s">
        <v>5</v>
      </c>
      <c r="L7" s="596" t="s">
        <v>5</v>
      </c>
      <c r="M7" s="595" t="s">
        <v>5</v>
      </c>
      <c r="N7" s="626" t="s">
        <v>5</v>
      </c>
      <c r="O7" s="595" t="s">
        <v>5</v>
      </c>
      <c r="P7" s="597" t="s">
        <v>5</v>
      </c>
      <c r="Q7" s="595" t="s">
        <v>5</v>
      </c>
      <c r="R7" s="570" t="s">
        <v>5</v>
      </c>
      <c r="S7" s="571">
        <f>741.75/F7</f>
        <v>39.878410497900838</v>
      </c>
      <c r="T7" s="397"/>
      <c r="U7" s="1762" t="str">
        <f>Tabel6689212734[[#This Row],[Fix.ch. 2017]]</f>
        <v>n/a</v>
      </c>
      <c r="V7" s="1765" t="s">
        <v>5</v>
      </c>
      <c r="W7" s="1768" t="s">
        <v>5</v>
      </c>
      <c r="X7" s="1771" t="s">
        <v>5</v>
      </c>
      <c r="Y7" s="1774" t="s">
        <v>5</v>
      </c>
      <c r="Z7" s="1777" t="s">
        <v>5</v>
      </c>
      <c r="AA7" s="1771" t="s">
        <v>5</v>
      </c>
      <c r="AB7" s="1810" t="s">
        <v>5</v>
      </c>
      <c r="AC7" s="1771" t="s">
        <v>5</v>
      </c>
      <c r="AD7" s="1812" t="s">
        <v>5</v>
      </c>
      <c r="AE7" s="1771" t="s">
        <v>5</v>
      </c>
      <c r="AF7" s="1814" t="s">
        <v>5</v>
      </c>
      <c r="AG7" s="1793">
        <f>MEDIAN(S7:S13)</f>
        <v>39.878410497900838</v>
      </c>
      <c r="AH7" s="397"/>
      <c r="AI7" s="591" t="s">
        <v>429</v>
      </c>
      <c r="AJ7" s="591"/>
      <c r="AK7" s="591"/>
      <c r="AL7" s="591"/>
      <c r="AM7" s="591" t="s">
        <v>429</v>
      </c>
      <c r="AN7" s="591" t="s">
        <v>429</v>
      </c>
      <c r="AO7" s="396"/>
      <c r="AP7" s="397"/>
    </row>
    <row r="8" spans="1:42" ht="15.75" hidden="1" x14ac:dyDescent="0.25">
      <c r="A8" s="1757"/>
      <c r="B8" s="747" t="s">
        <v>942</v>
      </c>
      <c r="C8" s="747"/>
      <c r="D8" s="815" t="s">
        <v>1024</v>
      </c>
      <c r="E8" s="1760"/>
      <c r="F8" s="647">
        <f>'exchange rates'!$O$3</f>
        <v>18.600290000000001</v>
      </c>
      <c r="G8" s="625" t="s">
        <v>5</v>
      </c>
      <c r="H8" s="593" t="s">
        <v>5</v>
      </c>
      <c r="I8" s="594" t="s">
        <v>5</v>
      </c>
      <c r="J8" s="595" t="s">
        <v>5</v>
      </c>
      <c r="K8" s="566" t="s">
        <v>5</v>
      </c>
      <c r="L8" s="596" t="s">
        <v>5</v>
      </c>
      <c r="M8" s="595" t="s">
        <v>5</v>
      </c>
      <c r="N8" s="626" t="s">
        <v>5</v>
      </c>
      <c r="O8" s="595" t="s">
        <v>5</v>
      </c>
      <c r="P8" s="597" t="s">
        <v>5</v>
      </c>
      <c r="Q8" s="595" t="s">
        <v>5</v>
      </c>
      <c r="R8" s="570" t="s">
        <v>5</v>
      </c>
      <c r="S8" s="571">
        <f>986.14/F8</f>
        <v>53.017452953690501</v>
      </c>
      <c r="T8" s="397"/>
      <c r="U8" s="1763"/>
      <c r="V8" s="1766"/>
      <c r="W8" s="1769"/>
      <c r="X8" s="1772"/>
      <c r="Y8" s="1775"/>
      <c r="Z8" s="1778"/>
      <c r="AA8" s="1772"/>
      <c r="AB8" s="1781"/>
      <c r="AC8" s="1772"/>
      <c r="AD8" s="1785"/>
      <c r="AE8" s="1772"/>
      <c r="AF8" s="1788"/>
      <c r="AG8" s="1791"/>
      <c r="AH8" s="397"/>
      <c r="AI8" s="396"/>
      <c r="AJ8" s="396"/>
      <c r="AK8" s="396"/>
      <c r="AL8" s="396"/>
      <c r="AM8" s="396"/>
      <c r="AN8" s="396"/>
      <c r="AO8" s="396"/>
      <c r="AP8" s="397"/>
    </row>
    <row r="9" spans="1:42" ht="15.75" hidden="1" x14ac:dyDescent="0.25">
      <c r="A9" s="1757"/>
      <c r="B9" s="747" t="s">
        <v>943</v>
      </c>
      <c r="C9" s="747"/>
      <c r="D9" s="815" t="s">
        <v>1024</v>
      </c>
      <c r="E9" s="1760"/>
      <c r="F9" s="647">
        <f>'exchange rates'!$O$3</f>
        <v>18.600290000000001</v>
      </c>
      <c r="G9" s="625" t="s">
        <v>5</v>
      </c>
      <c r="H9" s="593" t="s">
        <v>5</v>
      </c>
      <c r="I9" s="594" t="s">
        <v>5</v>
      </c>
      <c r="J9" s="595" t="s">
        <v>5</v>
      </c>
      <c r="K9" s="566" t="s">
        <v>5</v>
      </c>
      <c r="L9" s="596" t="s">
        <v>5</v>
      </c>
      <c r="M9" s="595" t="s">
        <v>5</v>
      </c>
      <c r="N9" s="626" t="s">
        <v>5</v>
      </c>
      <c r="O9" s="595" t="s">
        <v>5</v>
      </c>
      <c r="P9" s="597" t="s">
        <v>5</v>
      </c>
      <c r="Q9" s="595" t="s">
        <v>5</v>
      </c>
      <c r="R9" s="570" t="s">
        <v>5</v>
      </c>
      <c r="S9" s="571">
        <f>970.68/F9</f>
        <v>52.186283117091179</v>
      </c>
      <c r="T9" s="397"/>
      <c r="U9" s="1763"/>
      <c r="V9" s="1766"/>
      <c r="W9" s="1769"/>
      <c r="X9" s="1772"/>
      <c r="Y9" s="1775"/>
      <c r="Z9" s="1778"/>
      <c r="AA9" s="1772"/>
      <c r="AB9" s="1781"/>
      <c r="AC9" s="1772"/>
      <c r="AD9" s="1785"/>
      <c r="AE9" s="1772"/>
      <c r="AF9" s="1788"/>
      <c r="AG9" s="1791"/>
      <c r="AH9" s="397"/>
      <c r="AI9" s="396"/>
      <c r="AJ9" s="396"/>
      <c r="AK9" s="396"/>
      <c r="AL9" s="396"/>
      <c r="AM9" s="396"/>
      <c r="AN9" s="396"/>
      <c r="AO9" s="396"/>
      <c r="AP9" s="397"/>
    </row>
    <row r="10" spans="1:42" ht="15.75" hidden="1" x14ac:dyDescent="0.25">
      <c r="A10" s="1757"/>
      <c r="B10" s="747" t="s">
        <v>944</v>
      </c>
      <c r="C10" s="747"/>
      <c r="D10" s="815" t="s">
        <v>1024</v>
      </c>
      <c r="E10" s="1760"/>
      <c r="F10" s="647">
        <f>'exchange rates'!$O$3</f>
        <v>18.600290000000001</v>
      </c>
      <c r="G10" s="625" t="s">
        <v>5</v>
      </c>
      <c r="H10" s="593" t="s">
        <v>5</v>
      </c>
      <c r="I10" s="594" t="s">
        <v>5</v>
      </c>
      <c r="J10" s="595" t="s">
        <v>5</v>
      </c>
      <c r="K10" s="566" t="s">
        <v>5</v>
      </c>
      <c r="L10" s="596" t="s">
        <v>5</v>
      </c>
      <c r="M10" s="595" t="s">
        <v>5</v>
      </c>
      <c r="N10" s="626" t="s">
        <v>5</v>
      </c>
      <c r="O10" s="595" t="s">
        <v>5</v>
      </c>
      <c r="P10" s="597" t="s">
        <v>5</v>
      </c>
      <c r="Q10" s="595" t="s">
        <v>5</v>
      </c>
      <c r="R10" s="570" t="s">
        <v>5</v>
      </c>
      <c r="S10" s="571">
        <f>391.5/F10</f>
        <v>21.048058928113484</v>
      </c>
      <c r="T10" s="397"/>
      <c r="U10" s="1763"/>
      <c r="V10" s="1766"/>
      <c r="W10" s="1769"/>
      <c r="X10" s="1772"/>
      <c r="Y10" s="1775"/>
      <c r="Z10" s="1778"/>
      <c r="AA10" s="1772"/>
      <c r="AB10" s="1781"/>
      <c r="AC10" s="1772"/>
      <c r="AD10" s="1785"/>
      <c r="AE10" s="1772"/>
      <c r="AF10" s="1788"/>
      <c r="AG10" s="1791"/>
      <c r="AH10" s="397"/>
      <c r="AI10" s="396"/>
      <c r="AJ10" s="396"/>
      <c r="AK10" s="396"/>
      <c r="AL10" s="396"/>
      <c r="AM10" s="396"/>
      <c r="AN10" s="396"/>
      <c r="AO10" s="396"/>
      <c r="AP10" s="397"/>
    </row>
    <row r="11" spans="1:42" ht="15.75" hidden="1" x14ac:dyDescent="0.25">
      <c r="A11" s="1757"/>
      <c r="B11" s="747" t="s">
        <v>945</v>
      </c>
      <c r="C11" s="747"/>
      <c r="D11" s="815" t="s">
        <v>1024</v>
      </c>
      <c r="E11" s="1760"/>
      <c r="F11" s="647">
        <f>'exchange rates'!$O$3</f>
        <v>18.600290000000001</v>
      </c>
      <c r="G11" s="625" t="s">
        <v>5</v>
      </c>
      <c r="H11" s="593" t="s">
        <v>5</v>
      </c>
      <c r="I11" s="594" t="s">
        <v>5</v>
      </c>
      <c r="J11" s="595" t="s">
        <v>5</v>
      </c>
      <c r="K11" s="566" t="s">
        <v>5</v>
      </c>
      <c r="L11" s="596" t="s">
        <v>5</v>
      </c>
      <c r="M11" s="595" t="s">
        <v>5</v>
      </c>
      <c r="N11" s="626" t="s">
        <v>5</v>
      </c>
      <c r="O11" s="595" t="s">
        <v>5</v>
      </c>
      <c r="P11" s="597" t="s">
        <v>5</v>
      </c>
      <c r="Q11" s="595" t="s">
        <v>5</v>
      </c>
      <c r="R11" s="570" t="s">
        <v>5</v>
      </c>
      <c r="S11" s="571">
        <f>577.63/F11</f>
        <v>31.054892154907261</v>
      </c>
      <c r="T11" s="397"/>
      <c r="U11" s="1763"/>
      <c r="V11" s="1766"/>
      <c r="W11" s="1769"/>
      <c r="X11" s="1772"/>
      <c r="Y11" s="1775"/>
      <c r="Z11" s="1778"/>
      <c r="AA11" s="1772"/>
      <c r="AB11" s="1781"/>
      <c r="AC11" s="1772"/>
      <c r="AD11" s="1785"/>
      <c r="AE11" s="1772"/>
      <c r="AF11" s="1788"/>
      <c r="AG11" s="1791"/>
      <c r="AH11" s="397"/>
      <c r="AI11" s="396"/>
      <c r="AJ11" s="396"/>
      <c r="AK11" s="396"/>
      <c r="AL11" s="396"/>
      <c r="AM11" s="396"/>
      <c r="AN11" s="396"/>
      <c r="AO11" s="396"/>
      <c r="AP11" s="397"/>
    </row>
    <row r="12" spans="1:42" ht="15.75" hidden="1" x14ac:dyDescent="0.25">
      <c r="A12" s="1757"/>
      <c r="B12" s="747" t="s">
        <v>946</v>
      </c>
      <c r="C12" s="747"/>
      <c r="D12" s="815" t="s">
        <v>1024</v>
      </c>
      <c r="E12" s="1760"/>
      <c r="F12" s="647">
        <f>'exchange rates'!$O$3</f>
        <v>18.600290000000001</v>
      </c>
      <c r="G12" s="625" t="s">
        <v>5</v>
      </c>
      <c r="H12" s="593" t="s">
        <v>5</v>
      </c>
      <c r="I12" s="594" t="s">
        <v>5</v>
      </c>
      <c r="J12" s="595" t="s">
        <v>5</v>
      </c>
      <c r="K12" s="566" t="s">
        <v>5</v>
      </c>
      <c r="L12" s="596" t="s">
        <v>5</v>
      </c>
      <c r="M12" s="595" t="s">
        <v>5</v>
      </c>
      <c r="N12" s="626" t="s">
        <v>5</v>
      </c>
      <c r="O12" s="595" t="s">
        <v>5</v>
      </c>
      <c r="P12" s="597" t="s">
        <v>5</v>
      </c>
      <c r="Q12" s="595" t="s">
        <v>5</v>
      </c>
      <c r="R12" s="570" t="s">
        <v>5</v>
      </c>
      <c r="S12" s="571">
        <f>309.74/F12</f>
        <v>16.652428537404525</v>
      </c>
      <c r="T12" s="397"/>
      <c r="U12" s="1763"/>
      <c r="V12" s="1766"/>
      <c r="W12" s="1769"/>
      <c r="X12" s="1772"/>
      <c r="Y12" s="1775"/>
      <c r="Z12" s="1778"/>
      <c r="AA12" s="1772"/>
      <c r="AB12" s="1781"/>
      <c r="AC12" s="1772"/>
      <c r="AD12" s="1785"/>
      <c r="AE12" s="1772"/>
      <c r="AF12" s="1788"/>
      <c r="AG12" s="1791"/>
      <c r="AH12" s="397"/>
      <c r="AI12" s="396"/>
      <c r="AJ12" s="396"/>
      <c r="AK12" s="396"/>
      <c r="AL12" s="396"/>
      <c r="AM12" s="396"/>
      <c r="AN12" s="396"/>
      <c r="AO12" s="396"/>
      <c r="AP12" s="397"/>
    </row>
    <row r="13" spans="1:42" ht="16.5" hidden="1" thickBot="1" x14ac:dyDescent="0.3">
      <c r="A13" s="1758"/>
      <c r="B13" s="658" t="s">
        <v>947</v>
      </c>
      <c r="C13" s="747"/>
      <c r="D13" s="815" t="s">
        <v>1024</v>
      </c>
      <c r="E13" s="1761"/>
      <c r="F13" s="647">
        <f>'exchange rates'!$O$3</f>
        <v>18.600290000000001</v>
      </c>
      <c r="G13" s="625" t="s">
        <v>5</v>
      </c>
      <c r="H13" s="593" t="s">
        <v>5</v>
      </c>
      <c r="I13" s="594" t="s">
        <v>5</v>
      </c>
      <c r="J13" s="595" t="s">
        <v>5</v>
      </c>
      <c r="K13" s="566" t="s">
        <v>5</v>
      </c>
      <c r="L13" s="596" t="s">
        <v>5</v>
      </c>
      <c r="M13" s="595" t="s">
        <v>5</v>
      </c>
      <c r="N13" s="626" t="s">
        <v>5</v>
      </c>
      <c r="O13" s="595" t="s">
        <v>5</v>
      </c>
      <c r="P13" s="597" t="s">
        <v>5</v>
      </c>
      <c r="Q13" s="595" t="s">
        <v>5</v>
      </c>
      <c r="R13" s="570" t="s">
        <v>5</v>
      </c>
      <c r="S13" s="571">
        <f>970.93/F13</f>
        <v>52.199723767747699</v>
      </c>
      <c r="T13" s="397"/>
      <c r="U13" s="1764"/>
      <c r="V13" s="1767"/>
      <c r="W13" s="1770"/>
      <c r="X13" s="1773"/>
      <c r="Y13" s="1776"/>
      <c r="Z13" s="1779"/>
      <c r="AA13" s="1773"/>
      <c r="AB13" s="1811"/>
      <c r="AC13" s="1773"/>
      <c r="AD13" s="1813"/>
      <c r="AE13" s="1773"/>
      <c r="AF13" s="1815"/>
      <c r="AG13" s="1794"/>
      <c r="AH13" s="397"/>
      <c r="AI13" s="396"/>
      <c r="AJ13" s="396"/>
      <c r="AK13" s="396"/>
      <c r="AL13" s="396"/>
      <c r="AM13" s="396"/>
      <c r="AN13" s="396"/>
      <c r="AO13" s="396"/>
      <c r="AP13" s="397"/>
    </row>
    <row r="14" spans="1:42" ht="15.6" hidden="1" customHeight="1" thickBot="1" x14ac:dyDescent="0.3">
      <c r="A14" s="1033" t="s">
        <v>524</v>
      </c>
      <c r="B14" s="646" t="s">
        <v>526</v>
      </c>
      <c r="C14" s="1054" t="s">
        <v>429</v>
      </c>
      <c r="D14" s="816" t="s">
        <v>1026</v>
      </c>
      <c r="E14" s="981">
        <v>9100</v>
      </c>
      <c r="F14" s="647">
        <f>'exchange rates'!O4</f>
        <v>483.08548000000002</v>
      </c>
      <c r="G14" s="625">
        <f>(127.5*100)/F14</f>
        <v>26.392844595536175</v>
      </c>
      <c r="H14" s="593">
        <f>0</f>
        <v>0</v>
      </c>
      <c r="I14" s="594">
        <f>0</f>
        <v>0</v>
      </c>
      <c r="J14" s="595">
        <f>(25.5*100)/F14</f>
        <v>5.2785689191072356</v>
      </c>
      <c r="K14" s="566">
        <f>Tabel6689212734[[#This Row],[Fix.ch. 2017]]+Tabel6689212734[[#This Row],[Var. ch. 2017]]+Tabel6689212734[[#This Row],[Oth. ch. DW 2017]]+Tabel6689212734[[#This Row],[VAT DW 2017]]</f>
        <v>31.671413514643412</v>
      </c>
      <c r="L14" s="596">
        <f>(22.5*100)/F14</f>
        <v>4.6575608109769719</v>
      </c>
      <c r="M14" s="595">
        <f>(4.5*100)/F14</f>
        <v>0.93151216219539446</v>
      </c>
      <c r="N14" s="626">
        <v>0</v>
      </c>
      <c r="O14" s="595">
        <v>0</v>
      </c>
      <c r="P14" s="597">
        <v>0</v>
      </c>
      <c r="Q14" s="595">
        <v>0</v>
      </c>
      <c r="R14" s="570">
        <f>Tabel6689212734[[#This Row],[VAT DW 2017]]+Tabel6689212734[[#This Row],[VAT Sew. 2017]]+Tabel6689212734[[#This Row],[VAT WW 2017]]+Tabel6689212734[[#This Row],[VAT Other ch. 2017]]</f>
        <v>6.2100810813026301</v>
      </c>
      <c r="S14" s="571">
        <f>Tabel6689212734[[#This Row],[Total. ch. DW 2017]]+Tabel6689212734[[#This Row],[Sew. 2017]]+Tabel6689212734[[#This Row],[VAT Sew. 2017]]+Tabel6689212734[[#This Row],[WW 2017]]+Tabel6689212734[[#This Row],[VAT WW 2017]]+Tabel6689212734[[#This Row],[Other ch. 2017]]+Tabel6689212734[[#This Row],[VAT Other ch. 2017]]</f>
        <v>37.260486487815783</v>
      </c>
      <c r="T14" s="397"/>
      <c r="U14" s="983">
        <f t="shared" ref="U14:AG14" si="0">MEDIAN(G14:G14)</f>
        <v>26.392844595536175</v>
      </c>
      <c r="V14" s="984">
        <f t="shared" si="0"/>
        <v>0</v>
      </c>
      <c r="W14" s="985">
        <f t="shared" si="0"/>
        <v>0</v>
      </c>
      <c r="X14" s="972">
        <f t="shared" si="0"/>
        <v>5.2785689191072356</v>
      </c>
      <c r="Y14" s="971">
        <f t="shared" si="0"/>
        <v>31.671413514643412</v>
      </c>
      <c r="Z14" s="974">
        <f t="shared" si="0"/>
        <v>4.6575608109769719</v>
      </c>
      <c r="AA14" s="972">
        <f t="shared" si="0"/>
        <v>0.93151216219539446</v>
      </c>
      <c r="AB14" s="979">
        <f t="shared" si="0"/>
        <v>0</v>
      </c>
      <c r="AC14" s="972">
        <f t="shared" si="0"/>
        <v>0</v>
      </c>
      <c r="AD14" s="975">
        <f t="shared" si="0"/>
        <v>0</v>
      </c>
      <c r="AE14" s="972">
        <f t="shared" si="0"/>
        <v>0</v>
      </c>
      <c r="AF14" s="990">
        <f t="shared" si="0"/>
        <v>6.2100810813026301</v>
      </c>
      <c r="AG14" s="989">
        <f t="shared" si="0"/>
        <v>37.260486487815783</v>
      </c>
      <c r="AH14" s="397"/>
      <c r="AI14" s="398"/>
      <c r="AJ14" s="591" t="s">
        <v>429</v>
      </c>
      <c r="AK14" s="398"/>
      <c r="AL14" s="398"/>
      <c r="AM14" s="398"/>
      <c r="AN14" s="591" t="s">
        <v>429</v>
      </c>
      <c r="AO14" s="398"/>
      <c r="AP14" s="397"/>
    </row>
    <row r="15" spans="1:42" ht="18" hidden="1" customHeight="1" x14ac:dyDescent="0.25">
      <c r="A15" s="1795" t="s">
        <v>34</v>
      </c>
      <c r="B15" s="664" t="s">
        <v>176</v>
      </c>
      <c r="C15" s="653"/>
      <c r="D15" s="653" t="s">
        <v>1028</v>
      </c>
      <c r="E15" s="1798">
        <v>49900</v>
      </c>
      <c r="F15" s="616">
        <f>'exchange rates'!$O$5</f>
        <v>1.2820499999999999</v>
      </c>
      <c r="G15" s="625">
        <f>192.28/F15</f>
        <v>149.97854997854998</v>
      </c>
      <c r="H15" s="593">
        <f>351.76/F15</f>
        <v>274.37307437307436</v>
      </c>
      <c r="I15" s="594">
        <v>0</v>
      </c>
      <c r="J15" s="595">
        <v>0</v>
      </c>
      <c r="K15" s="566">
        <f>Tabel6689212734[[#This Row],[Fix.ch. 2017]]+Tabel6689212734[[#This Row],[Var. ch. 2017]]+Tabel6689212734[[#This Row],[Oth. ch. DW 2017]]+Tabel6689212734[[#This Row],[VAT DW 2017]]</f>
        <v>424.35162435162431</v>
      </c>
      <c r="L15" s="596">
        <f>522/F15</f>
        <v>407.1604071604072</v>
      </c>
      <c r="M15" s="595">
        <v>0</v>
      </c>
      <c r="N15" s="626">
        <v>0</v>
      </c>
      <c r="O15" s="595">
        <v>0</v>
      </c>
      <c r="P15" s="597">
        <v>0</v>
      </c>
      <c r="Q15" s="595">
        <v>0</v>
      </c>
      <c r="R15" s="570">
        <f>Tabel6689212734[[#This Row],[VAT DW 2017]]+Tabel6689212734[[#This Row],[VAT Sew. 2017]]+Tabel6689212734[[#This Row],[VAT WW 2017]]+Tabel6689212734[[#This Row],[VAT Other ch. 2017]]</f>
        <v>0</v>
      </c>
      <c r="S15" s="571">
        <f>Tabel6689212734[[#This Row],[Total. ch. DW 2017]]+Tabel6689212734[[#This Row],[Sew. 2017]]+Tabel6689212734[[#This Row],[VAT Sew. 2017]]+Tabel6689212734[[#This Row],[WW 2017]]+Tabel6689212734[[#This Row],[VAT WW 2017]]+Tabel6689212734[[#This Row],[Other ch. 2017]]+Tabel6689212734[[#This Row],[VAT Other ch. 2017]]</f>
        <v>831.51203151203151</v>
      </c>
      <c r="T15" s="397"/>
      <c r="U15" s="1800">
        <f>MEDIAN(G15:G23)</f>
        <v>129.72192972192974</v>
      </c>
      <c r="V15" s="1802">
        <f>MEDIAN(H15:H23)</f>
        <v>168.08236808236811</v>
      </c>
      <c r="W15" s="1804">
        <f>MEDIAN(I15:I23)</f>
        <v>0</v>
      </c>
      <c r="X15" s="1771">
        <f>MEDIAN(J15:J23)</f>
        <v>0</v>
      </c>
      <c r="Y15" s="1806">
        <f>SUM(U15:X23)</f>
        <v>297.80429780429785</v>
      </c>
      <c r="Z15" s="1808">
        <f t="shared" ref="Z15:AF15" si="1">MEDIAN(L15:L23)</f>
        <v>455.52045552045553</v>
      </c>
      <c r="AA15" s="1771">
        <f t="shared" si="1"/>
        <v>0</v>
      </c>
      <c r="AB15" s="1780">
        <f t="shared" si="1"/>
        <v>0</v>
      </c>
      <c r="AC15" s="1771">
        <f t="shared" si="1"/>
        <v>0</v>
      </c>
      <c r="AD15" s="1784">
        <f t="shared" si="1"/>
        <v>0</v>
      </c>
      <c r="AE15" s="1771">
        <f t="shared" si="1"/>
        <v>0</v>
      </c>
      <c r="AF15" s="1787">
        <f t="shared" si="1"/>
        <v>0</v>
      </c>
      <c r="AG15" s="1790">
        <f>Y15+Z15+AA15+AB15+AC15+AD15+AE15</f>
        <v>753.32475332475337</v>
      </c>
      <c r="AH15" s="397"/>
      <c r="AI15" s="398"/>
      <c r="AJ15" s="591" t="s">
        <v>429</v>
      </c>
      <c r="AK15" s="398"/>
      <c r="AL15" s="396"/>
      <c r="AM15" s="591" t="s">
        <v>429</v>
      </c>
      <c r="AN15" s="396"/>
      <c r="AO15" s="398"/>
      <c r="AP15" s="397"/>
    </row>
    <row r="16" spans="1:42" ht="15.6" hidden="1" customHeight="1" x14ac:dyDescent="0.25">
      <c r="A16" s="1796"/>
      <c r="B16" s="261" t="s">
        <v>177</v>
      </c>
      <c r="C16" s="261"/>
      <c r="D16" s="261" t="s">
        <v>1028</v>
      </c>
      <c r="E16" s="1760"/>
      <c r="F16" s="616">
        <f>'exchange rates'!$O$5</f>
        <v>1.2820499999999999</v>
      </c>
      <c r="G16" s="310"/>
      <c r="H16" s="311"/>
      <c r="I16" s="312"/>
      <c r="J16" s="558"/>
      <c r="K16" s="313">
        <f>Tabel6689212734[[#This Row],[Fix.ch. 2017]]+Tabel6689212734[[#This Row],[Var. ch. 2017]]+Tabel6689212734[[#This Row],[Oth. ch. DW 2017]]+Tabel6689212734[[#This Row],[VAT DW 2017]]</f>
        <v>0</v>
      </c>
      <c r="L16" s="314"/>
      <c r="M16" s="558"/>
      <c r="N16" s="315"/>
      <c r="O16" s="558"/>
      <c r="P16" s="316"/>
      <c r="Q16" s="558"/>
      <c r="R16" s="317">
        <f>Tabel6689212734[[#This Row],[VAT DW 2017]]+Tabel6689212734[[#This Row],[VAT Sew. 2017]]+Tabel6689212734[[#This Row],[VAT WW 2017]]+Tabel6689212734[[#This Row],[VAT Other ch. 2017]]</f>
        <v>0</v>
      </c>
      <c r="S16" s="318">
        <f>Tabel6689212734[[#This Row],[Total. ch. DW 2017]]+Tabel6689212734[[#This Row],[Sew. 2017]]+Tabel6689212734[[#This Row],[VAT Sew. 2017]]+Tabel6689212734[[#This Row],[WW 2017]]+Tabel6689212734[[#This Row],[VAT WW 2017]]+Tabel6689212734[[#This Row],[Other ch. 2017]]+Tabel6689212734[[#This Row],[VAT Other ch. 2017]]</f>
        <v>0</v>
      </c>
      <c r="T16" s="397"/>
      <c r="U16" s="1763"/>
      <c r="V16" s="1766"/>
      <c r="W16" s="1769"/>
      <c r="X16" s="1783"/>
      <c r="Y16" s="1775"/>
      <c r="Z16" s="1778"/>
      <c r="AA16" s="1783"/>
      <c r="AB16" s="1781"/>
      <c r="AC16" s="1783"/>
      <c r="AD16" s="1785"/>
      <c r="AE16" s="1783"/>
      <c r="AF16" s="1788"/>
      <c r="AG16" s="1791"/>
      <c r="AH16" s="397"/>
      <c r="AI16" s="398"/>
      <c r="AJ16" s="398"/>
      <c r="AK16" s="398"/>
      <c r="AL16" s="396"/>
      <c r="AM16" s="396"/>
      <c r="AN16" s="396"/>
      <c r="AO16" s="398"/>
      <c r="AP16" s="397"/>
    </row>
    <row r="17" spans="1:42" ht="15.6" hidden="1" customHeight="1" x14ac:dyDescent="0.25">
      <c r="A17" s="1796"/>
      <c r="B17" s="631" t="s">
        <v>178</v>
      </c>
      <c r="C17" s="631"/>
      <c r="D17" s="631" t="s">
        <v>1028</v>
      </c>
      <c r="E17" s="1760"/>
      <c r="F17" s="616">
        <f>'exchange rates'!$O$5</f>
        <v>1.2820499999999999</v>
      </c>
      <c r="G17" s="625">
        <f>166.31/F17</f>
        <v>129.72192972192974</v>
      </c>
      <c r="H17" s="593">
        <f>215.49/F17</f>
        <v>168.08236808236811</v>
      </c>
      <c r="I17" s="594">
        <v>0</v>
      </c>
      <c r="J17" s="595">
        <v>0</v>
      </c>
      <c r="K17" s="566">
        <f>Tabel6689212734[[#This Row],[Fix.ch. 2017]]+Tabel6689212734[[#This Row],[Var. ch. 2017]]+Tabel6689212734[[#This Row],[Oth. ch. DW 2017]]+Tabel6689212734[[#This Row],[VAT DW 2017]]</f>
        <v>297.80429780429785</v>
      </c>
      <c r="L17" s="596">
        <f>622.16/F17</f>
        <v>485.28528528528528</v>
      </c>
      <c r="M17" s="595">
        <v>0</v>
      </c>
      <c r="N17" s="626">
        <v>0</v>
      </c>
      <c r="O17" s="595">
        <v>0</v>
      </c>
      <c r="P17" s="597">
        <v>0</v>
      </c>
      <c r="Q17" s="595">
        <v>0</v>
      </c>
      <c r="R17" s="570">
        <f>Tabel6689212734[[#This Row],[VAT DW 2017]]+Tabel6689212734[[#This Row],[VAT Sew. 2017]]+Tabel6689212734[[#This Row],[VAT WW 2017]]+Tabel6689212734[[#This Row],[VAT Other ch. 2017]]</f>
        <v>0</v>
      </c>
      <c r="S17" s="571">
        <f>Tabel6689212734[[#This Row],[Total. ch. DW 2017]]+Tabel6689212734[[#This Row],[Sew. 2017]]+Tabel6689212734[[#This Row],[VAT Sew. 2017]]+Tabel6689212734[[#This Row],[WW 2017]]+Tabel6689212734[[#This Row],[VAT WW 2017]]+Tabel6689212734[[#This Row],[Other ch. 2017]]+Tabel6689212734[[#This Row],[VAT Other ch. 2017]]</f>
        <v>783.08958308958313</v>
      </c>
      <c r="T17" s="397"/>
      <c r="U17" s="1763"/>
      <c r="V17" s="1766"/>
      <c r="W17" s="1769"/>
      <c r="X17" s="1783"/>
      <c r="Y17" s="1775"/>
      <c r="Z17" s="1778"/>
      <c r="AA17" s="1783"/>
      <c r="AB17" s="1781"/>
      <c r="AC17" s="1783"/>
      <c r="AD17" s="1785"/>
      <c r="AE17" s="1783"/>
      <c r="AF17" s="1788"/>
      <c r="AG17" s="1791"/>
      <c r="AH17" s="397"/>
      <c r="AI17" s="398"/>
      <c r="AJ17" s="591" t="s">
        <v>429</v>
      </c>
      <c r="AK17" s="398"/>
      <c r="AL17" s="396"/>
      <c r="AM17" s="591" t="s">
        <v>429</v>
      </c>
      <c r="AN17" s="396"/>
      <c r="AO17" s="398"/>
      <c r="AP17" s="397"/>
    </row>
    <row r="18" spans="1:42" ht="15.6" hidden="1" customHeight="1" x14ac:dyDescent="0.25">
      <c r="A18" s="1796"/>
      <c r="B18" s="631" t="s">
        <v>179</v>
      </c>
      <c r="C18" s="631"/>
      <c r="D18" s="631" t="s">
        <v>1028</v>
      </c>
      <c r="E18" s="1760"/>
      <c r="F18" s="616">
        <f>'exchange rates'!$O$5</f>
        <v>1.2820499999999999</v>
      </c>
      <c r="G18" s="625">
        <f>236.32/F18</f>
        <v>184.32978432978433</v>
      </c>
      <c r="H18" s="593">
        <f>171.3/F18</f>
        <v>133.61413361413364</v>
      </c>
      <c r="I18" s="594">
        <v>0</v>
      </c>
      <c r="J18" s="595">
        <v>0</v>
      </c>
      <c r="K18" s="566">
        <f>Tabel6689212734[[#This Row],[Fix.ch. 2017]]+Tabel6689212734[[#This Row],[Var. ch. 2017]]+Tabel6689212734[[#This Row],[Oth. ch. DW 2017]]+Tabel6689212734[[#This Row],[VAT DW 2017]]</f>
        <v>317.943917943918</v>
      </c>
      <c r="L18" s="596">
        <f>758/F18</f>
        <v>591.24059124059124</v>
      </c>
      <c r="M18" s="595">
        <v>0</v>
      </c>
      <c r="N18" s="626">
        <v>0</v>
      </c>
      <c r="O18" s="595">
        <v>0</v>
      </c>
      <c r="P18" s="597">
        <v>0</v>
      </c>
      <c r="Q18" s="595">
        <v>0</v>
      </c>
      <c r="R18" s="570">
        <f>Tabel6689212734[[#This Row],[VAT DW 2017]]+Tabel6689212734[[#This Row],[VAT Sew. 2017]]+Tabel6689212734[[#This Row],[VAT WW 2017]]+Tabel6689212734[[#This Row],[VAT Other ch. 2017]]</f>
        <v>0</v>
      </c>
      <c r="S18" s="571">
        <f>Tabel6689212734[[#This Row],[Total. ch. DW 2017]]+Tabel6689212734[[#This Row],[Sew. 2017]]+Tabel6689212734[[#This Row],[VAT Sew. 2017]]+Tabel6689212734[[#This Row],[WW 2017]]+Tabel6689212734[[#This Row],[VAT WW 2017]]+Tabel6689212734[[#This Row],[Other ch. 2017]]+Tabel6689212734[[#This Row],[VAT Other ch. 2017]]</f>
        <v>909.18450918450924</v>
      </c>
      <c r="T18" s="397"/>
      <c r="U18" s="1763"/>
      <c r="V18" s="1766"/>
      <c r="W18" s="1769"/>
      <c r="X18" s="1783"/>
      <c r="Y18" s="1775"/>
      <c r="Z18" s="1778"/>
      <c r="AA18" s="1783"/>
      <c r="AB18" s="1781"/>
      <c r="AC18" s="1783"/>
      <c r="AD18" s="1785"/>
      <c r="AE18" s="1783"/>
      <c r="AF18" s="1788"/>
      <c r="AG18" s="1791"/>
      <c r="AH18" s="397"/>
      <c r="AI18" s="398"/>
      <c r="AJ18" s="591" t="s">
        <v>429</v>
      </c>
      <c r="AK18" s="398"/>
      <c r="AL18" s="396"/>
      <c r="AM18" s="591" t="s">
        <v>429</v>
      </c>
      <c r="AN18" s="396"/>
      <c r="AO18" s="398"/>
      <c r="AP18" s="397"/>
    </row>
    <row r="19" spans="1:42" ht="15.6" hidden="1" customHeight="1" x14ac:dyDescent="0.25">
      <c r="A19" s="1796"/>
      <c r="B19" s="631" t="s">
        <v>180</v>
      </c>
      <c r="C19" s="631"/>
      <c r="D19" s="631" t="s">
        <v>1028</v>
      </c>
      <c r="E19" s="1760"/>
      <c r="F19" s="616">
        <f>'exchange rates'!$O$5</f>
        <v>1.2820499999999999</v>
      </c>
      <c r="G19" s="625">
        <f>90/F19</f>
        <v>70.200070200070201</v>
      </c>
      <c r="H19" s="593">
        <f>200/F19</f>
        <v>156.00015600015601</v>
      </c>
      <c r="I19" s="594">
        <v>0</v>
      </c>
      <c r="J19" s="595">
        <v>0</v>
      </c>
      <c r="K19" s="566">
        <f>Tabel6689212734[[#This Row],[Fix.ch. 2017]]+Tabel6689212734[[#This Row],[Var. ch. 2017]]+Tabel6689212734[[#This Row],[Oth. ch. DW 2017]]+Tabel6689212734[[#This Row],[VAT DW 2017]]</f>
        <v>226.20022620022621</v>
      </c>
      <c r="L19" s="596">
        <f>584/F19</f>
        <v>455.52045552045553</v>
      </c>
      <c r="M19" s="595">
        <v>0</v>
      </c>
      <c r="N19" s="626">
        <v>0</v>
      </c>
      <c r="O19" s="595">
        <v>0</v>
      </c>
      <c r="P19" s="597">
        <v>0</v>
      </c>
      <c r="Q19" s="595">
        <v>0</v>
      </c>
      <c r="R19" s="570">
        <f>Tabel6689212734[[#This Row],[VAT DW 2017]]+Tabel6689212734[[#This Row],[VAT Sew. 2017]]+Tabel6689212734[[#This Row],[VAT WW 2017]]+Tabel6689212734[[#This Row],[VAT Other ch. 2017]]</f>
        <v>0</v>
      </c>
      <c r="S19" s="571">
        <f>Tabel6689212734[[#This Row],[Total. ch. DW 2017]]+Tabel6689212734[[#This Row],[Sew. 2017]]+Tabel6689212734[[#This Row],[VAT Sew. 2017]]+Tabel6689212734[[#This Row],[WW 2017]]+Tabel6689212734[[#This Row],[VAT WW 2017]]+Tabel6689212734[[#This Row],[Other ch. 2017]]+Tabel6689212734[[#This Row],[VAT Other ch. 2017]]</f>
        <v>681.7206817206818</v>
      </c>
      <c r="T19" s="397"/>
      <c r="U19" s="1763"/>
      <c r="V19" s="1766"/>
      <c r="W19" s="1769"/>
      <c r="X19" s="1783"/>
      <c r="Y19" s="1775"/>
      <c r="Z19" s="1778"/>
      <c r="AA19" s="1783"/>
      <c r="AB19" s="1781"/>
      <c r="AC19" s="1783"/>
      <c r="AD19" s="1785"/>
      <c r="AE19" s="1783"/>
      <c r="AF19" s="1788"/>
      <c r="AG19" s="1791"/>
      <c r="AH19" s="397"/>
      <c r="AI19" s="398"/>
      <c r="AJ19" s="591" t="s">
        <v>429</v>
      </c>
      <c r="AK19" s="396"/>
      <c r="AL19" s="396"/>
      <c r="AM19" s="591" t="s">
        <v>429</v>
      </c>
      <c r="AN19" s="396"/>
      <c r="AO19" s="398"/>
      <c r="AP19" s="397"/>
    </row>
    <row r="20" spans="1:42" ht="15.6" hidden="1" customHeight="1" x14ac:dyDescent="0.25">
      <c r="A20" s="1796"/>
      <c r="B20" s="631" t="s">
        <v>544</v>
      </c>
      <c r="C20" s="631" t="s">
        <v>429</v>
      </c>
      <c r="D20" s="631" t="s">
        <v>1028</v>
      </c>
      <c r="E20" s="1760"/>
      <c r="F20" s="616">
        <f>'exchange rates'!$O$5</f>
        <v>1.2820499999999999</v>
      </c>
      <c r="G20" s="625">
        <f>101.48/F20</f>
        <v>79.154479154479162</v>
      </c>
      <c r="H20" s="593">
        <f>261/F20</f>
        <v>203.5802035802036</v>
      </c>
      <c r="I20" s="594">
        <v>0</v>
      </c>
      <c r="J20" s="595">
        <v>0</v>
      </c>
      <c r="K20" s="566">
        <f>Tabel6689212734[[#This Row],[Fix.ch. 2017]]+Tabel6689212734[[#This Row],[Var. ch. 2017]]+Tabel6689212734[[#This Row],[Oth. ch. DW 2017]]+Tabel6689212734[[#This Row],[VAT DW 2017]]</f>
        <v>282.73468273468279</v>
      </c>
      <c r="L20" s="596">
        <f>529/F20</f>
        <v>412.62041262041265</v>
      </c>
      <c r="M20" s="595">
        <v>0</v>
      </c>
      <c r="N20" s="626">
        <v>0</v>
      </c>
      <c r="O20" s="595">
        <v>0</v>
      </c>
      <c r="P20" s="597">
        <v>0</v>
      </c>
      <c r="Q20" s="595">
        <v>0</v>
      </c>
      <c r="R20" s="570">
        <f>Tabel6689212734[[#This Row],[VAT DW 2017]]+Tabel6689212734[[#This Row],[VAT Sew. 2017]]+Tabel6689212734[[#This Row],[VAT WW 2017]]+Tabel6689212734[[#This Row],[VAT Other ch. 2017]]</f>
        <v>0</v>
      </c>
      <c r="S20" s="571">
        <f>Tabel6689212734[[#This Row],[Total. ch. DW 2017]]+Tabel6689212734[[#This Row],[Sew. 2017]]+Tabel6689212734[[#This Row],[VAT Sew. 2017]]+Tabel6689212734[[#This Row],[WW 2017]]+Tabel6689212734[[#This Row],[VAT WW 2017]]+Tabel6689212734[[#This Row],[Other ch. 2017]]+Tabel6689212734[[#This Row],[VAT Other ch. 2017]]</f>
        <v>695.3550953550955</v>
      </c>
      <c r="T20" s="397"/>
      <c r="U20" s="1763"/>
      <c r="V20" s="1766"/>
      <c r="W20" s="1769"/>
      <c r="X20" s="1783"/>
      <c r="Y20" s="1775"/>
      <c r="Z20" s="1778"/>
      <c r="AA20" s="1783"/>
      <c r="AB20" s="1781"/>
      <c r="AC20" s="1783"/>
      <c r="AD20" s="1785"/>
      <c r="AE20" s="1783"/>
      <c r="AF20" s="1788"/>
      <c r="AG20" s="1791"/>
      <c r="AH20" s="397"/>
      <c r="AI20" s="396"/>
      <c r="AJ20" s="591" t="s">
        <v>429</v>
      </c>
      <c r="AK20" s="396"/>
      <c r="AL20" s="396"/>
      <c r="AM20" s="591" t="s">
        <v>429</v>
      </c>
      <c r="AN20" s="396"/>
      <c r="AO20" s="396"/>
      <c r="AP20" s="399"/>
    </row>
    <row r="21" spans="1:42" ht="15.6" hidden="1" customHeight="1" x14ac:dyDescent="0.25">
      <c r="A21" s="1796"/>
      <c r="B21" s="261" t="s">
        <v>545</v>
      </c>
      <c r="C21" s="261"/>
      <c r="D21" s="261" t="s">
        <v>1028</v>
      </c>
      <c r="E21" s="1760"/>
      <c r="F21" s="616">
        <f>'exchange rates'!$O$5</f>
        <v>1.2820499999999999</v>
      </c>
      <c r="G21" s="310"/>
      <c r="H21" s="311"/>
      <c r="I21" s="312"/>
      <c r="J21" s="558"/>
      <c r="K21" s="313">
        <f>Tabel6689212734[[#This Row],[Fix.ch. 2017]]+Tabel6689212734[[#This Row],[Var. ch. 2017]]+Tabel6689212734[[#This Row],[Oth. ch. DW 2017]]+Tabel6689212734[[#This Row],[VAT DW 2017]]</f>
        <v>0</v>
      </c>
      <c r="L21" s="314"/>
      <c r="M21" s="558"/>
      <c r="N21" s="315"/>
      <c r="O21" s="558"/>
      <c r="P21" s="316"/>
      <c r="Q21" s="558"/>
      <c r="R21" s="317">
        <f>Tabel6689212734[[#This Row],[VAT DW 2017]]+Tabel6689212734[[#This Row],[VAT Sew. 2017]]+Tabel6689212734[[#This Row],[VAT WW 2017]]+Tabel6689212734[[#This Row],[VAT Other ch. 2017]]</f>
        <v>0</v>
      </c>
      <c r="S21" s="318">
        <f>Tabel6689212734[[#This Row],[Total. ch. DW 2017]]+Tabel6689212734[[#This Row],[Sew. 2017]]+Tabel6689212734[[#This Row],[VAT Sew. 2017]]+Tabel6689212734[[#This Row],[WW 2017]]+Tabel6689212734[[#This Row],[VAT WW 2017]]+Tabel6689212734[[#This Row],[Other ch. 2017]]+Tabel6689212734[[#This Row],[VAT Other ch. 2017]]</f>
        <v>0</v>
      </c>
      <c r="T21" s="397"/>
      <c r="U21" s="1763"/>
      <c r="V21" s="1766"/>
      <c r="W21" s="1769"/>
      <c r="X21" s="1783"/>
      <c r="Y21" s="1775"/>
      <c r="Z21" s="1778"/>
      <c r="AA21" s="1783"/>
      <c r="AB21" s="1781"/>
      <c r="AC21" s="1783"/>
      <c r="AD21" s="1785"/>
      <c r="AE21" s="1783"/>
      <c r="AF21" s="1788"/>
      <c r="AG21" s="1791"/>
      <c r="AH21" s="397"/>
      <c r="AI21" s="396"/>
      <c r="AJ21" s="396"/>
      <c r="AK21" s="396"/>
      <c r="AL21" s="396"/>
      <c r="AM21" s="396"/>
      <c r="AN21" s="396"/>
      <c r="AO21" s="396"/>
      <c r="AP21" s="399"/>
    </row>
    <row r="22" spans="1:42" ht="15.6" hidden="1" customHeight="1" x14ac:dyDescent="0.25">
      <c r="A22" s="1796"/>
      <c r="B22" s="261" t="s">
        <v>779</v>
      </c>
      <c r="C22" s="261"/>
      <c r="D22" s="261" t="s">
        <v>1028</v>
      </c>
      <c r="E22" s="1760"/>
      <c r="F22" s="616">
        <f>'exchange rates'!$O$5</f>
        <v>1.2820499999999999</v>
      </c>
      <c r="G22" s="310"/>
      <c r="H22" s="311"/>
      <c r="I22" s="312"/>
      <c r="J22" s="558"/>
      <c r="K22" s="313">
        <f>Tabel6689212734[[#This Row],[Fix.ch. 2017]]+Tabel6689212734[[#This Row],[Var. ch. 2017]]+Tabel6689212734[[#This Row],[Oth. ch. DW 2017]]+Tabel6689212734[[#This Row],[VAT DW 2017]]</f>
        <v>0</v>
      </c>
      <c r="L22" s="314"/>
      <c r="M22" s="558"/>
      <c r="N22" s="315"/>
      <c r="O22" s="558"/>
      <c r="P22" s="316"/>
      <c r="Q22" s="558"/>
      <c r="R22" s="317">
        <f>Tabel6689212734[[#This Row],[VAT DW 2017]]+Tabel6689212734[[#This Row],[VAT Sew. 2017]]+Tabel6689212734[[#This Row],[VAT WW 2017]]+Tabel6689212734[[#This Row],[VAT Other ch. 2017]]</f>
        <v>0</v>
      </c>
      <c r="S22" s="318">
        <f>Tabel6689212734[[#This Row],[Total. ch. DW 2017]]+Tabel6689212734[[#This Row],[Sew. 2017]]+Tabel6689212734[[#This Row],[VAT Sew. 2017]]+Tabel6689212734[[#This Row],[WW 2017]]+Tabel6689212734[[#This Row],[VAT WW 2017]]+Tabel6689212734[[#This Row],[Other ch. 2017]]+Tabel6689212734[[#This Row],[VAT Other ch. 2017]]</f>
        <v>0</v>
      </c>
      <c r="T22" s="397"/>
      <c r="U22" s="1763"/>
      <c r="V22" s="1766"/>
      <c r="W22" s="1769"/>
      <c r="X22" s="1783"/>
      <c r="Y22" s="1775"/>
      <c r="Z22" s="1778"/>
      <c r="AA22" s="1783"/>
      <c r="AB22" s="1781"/>
      <c r="AC22" s="1783"/>
      <c r="AD22" s="1785"/>
      <c r="AE22" s="1783"/>
      <c r="AF22" s="1788"/>
      <c r="AG22" s="1791"/>
      <c r="AH22" s="397"/>
      <c r="AI22" s="396"/>
      <c r="AJ22" s="396"/>
      <c r="AK22" s="396"/>
      <c r="AL22" s="396"/>
      <c r="AM22" s="396"/>
      <c r="AN22" s="396"/>
      <c r="AO22" s="396"/>
      <c r="AP22" s="399"/>
    </row>
    <row r="23" spans="1:42" ht="16.149999999999999" hidden="1" customHeight="1" thickBot="1" x14ac:dyDescent="0.3">
      <c r="A23" s="1797"/>
      <c r="B23" s="262" t="s">
        <v>546</v>
      </c>
      <c r="C23" s="261"/>
      <c r="D23" s="261" t="s">
        <v>1028</v>
      </c>
      <c r="E23" s="1799"/>
      <c r="F23" s="616">
        <f>'exchange rates'!$O$5</f>
        <v>1.2820499999999999</v>
      </c>
      <c r="G23" s="310"/>
      <c r="H23" s="311"/>
      <c r="I23" s="312"/>
      <c r="J23" s="558"/>
      <c r="K23" s="313">
        <f>Tabel6689212734[[#This Row],[Fix.ch. 2017]]+Tabel6689212734[[#This Row],[Var. ch. 2017]]+Tabel6689212734[[#This Row],[Oth. ch. DW 2017]]+Tabel6689212734[[#This Row],[VAT DW 2017]]</f>
        <v>0</v>
      </c>
      <c r="L23" s="314"/>
      <c r="M23" s="558"/>
      <c r="N23" s="315"/>
      <c r="O23" s="558"/>
      <c r="P23" s="316"/>
      <c r="Q23" s="558"/>
      <c r="R23" s="317">
        <f>Tabel6689212734[[#This Row],[VAT DW 2017]]+Tabel6689212734[[#This Row],[VAT Sew. 2017]]+Tabel6689212734[[#This Row],[VAT WW 2017]]+Tabel6689212734[[#This Row],[VAT Other ch. 2017]]</f>
        <v>0</v>
      </c>
      <c r="S23" s="318">
        <f>Tabel6689212734[[#This Row],[Total. ch. DW 2017]]+Tabel6689212734[[#This Row],[Sew. 2017]]+Tabel6689212734[[#This Row],[VAT Sew. 2017]]+Tabel6689212734[[#This Row],[WW 2017]]+Tabel6689212734[[#This Row],[VAT WW 2017]]+Tabel6689212734[[#This Row],[Other ch. 2017]]+Tabel6689212734[[#This Row],[VAT Other ch. 2017]]</f>
        <v>0</v>
      </c>
      <c r="T23" s="397"/>
      <c r="U23" s="1801"/>
      <c r="V23" s="1803"/>
      <c r="W23" s="1805"/>
      <c r="X23" s="1773"/>
      <c r="Y23" s="1807"/>
      <c r="Z23" s="1809"/>
      <c r="AA23" s="1773"/>
      <c r="AB23" s="1782"/>
      <c r="AC23" s="1773"/>
      <c r="AD23" s="1786"/>
      <c r="AE23" s="1773"/>
      <c r="AF23" s="1789"/>
      <c r="AG23" s="1792"/>
      <c r="AH23" s="397"/>
      <c r="AI23" s="396"/>
      <c r="AJ23" s="396"/>
      <c r="AK23" s="396"/>
      <c r="AL23" s="396"/>
      <c r="AM23" s="396"/>
      <c r="AN23" s="396"/>
      <c r="AO23" s="396"/>
      <c r="AP23" s="399"/>
    </row>
    <row r="24" spans="1:42" ht="15.75" hidden="1" customHeight="1" x14ac:dyDescent="0.25">
      <c r="A24" s="1795" t="s">
        <v>4</v>
      </c>
      <c r="B24" s="724" t="s">
        <v>932</v>
      </c>
      <c r="C24" s="724"/>
      <c r="D24" s="806" t="s">
        <v>1030</v>
      </c>
      <c r="E24" s="1760">
        <v>49200</v>
      </c>
      <c r="F24" s="616">
        <f>'exchange rates'!O6</f>
        <v>0.83301000000000003</v>
      </c>
      <c r="G24" s="625">
        <f>37/F24</f>
        <v>44.417233886748058</v>
      </c>
      <c r="H24" s="593">
        <f>149/F24</f>
        <v>178.86940132771514</v>
      </c>
      <c r="I24" s="594">
        <v>0</v>
      </c>
      <c r="J24" s="595">
        <f>18.53/F24</f>
        <v>22.244630916795717</v>
      </c>
      <c r="K24" s="566">
        <f>Tabel6689212734[[#This Row],[Fix.ch. 2017]]+Tabel6689212734[[#This Row],[Var. ch. 2017]]+Tabel6689212734[[#This Row],[Oth. ch. DW 2017]]+Tabel6689212734[[#This Row],[VAT DW 2017]]</f>
        <v>245.53126613125892</v>
      </c>
      <c r="L24" s="596">
        <v>0</v>
      </c>
      <c r="M24" s="595">
        <v>0</v>
      </c>
      <c r="N24" s="626">
        <f>193/F24</f>
        <v>231.68989567952366</v>
      </c>
      <c r="O24" s="595">
        <f>19.32/F24</f>
        <v>23.192998883566823</v>
      </c>
      <c r="P24" s="597">
        <v>0</v>
      </c>
      <c r="Q24" s="595">
        <v>0</v>
      </c>
      <c r="R24" s="570">
        <f>Tabel6689212734[[#This Row],[VAT DW 2017]]+Tabel6689212734[[#This Row],[VAT Sew. 2017]]+Tabel6689212734[[#This Row],[VAT WW 2017]]+Tabel6689212734[[#This Row],[VAT Other ch. 2017]]</f>
        <v>45.437629800362544</v>
      </c>
      <c r="S24" s="571">
        <f>Tabel6689212734[[#This Row],[Total. ch. DW 2017]]+Tabel6689212734[[#This Row],[Sew. 2017]]+Tabel6689212734[[#This Row],[VAT Sew. 2017]]+Tabel6689212734[[#This Row],[WW 2017]]+Tabel6689212734[[#This Row],[VAT WW 2017]]+Tabel6689212734[[#This Row],[Other ch. 2017]]+Tabel6689212734[[#This Row],[VAT Other ch. 2017]]</f>
        <v>500.41416069434939</v>
      </c>
      <c r="T24" s="397"/>
      <c r="U24" s="1824">
        <f>Tabel6689212734[[#This Row],[Fix.ch. 2017]]</f>
        <v>44.417233886748058</v>
      </c>
      <c r="V24" s="1825">
        <f>Tabel6689212734[[#This Row],[Var. ch. 2017]]</f>
        <v>178.86940132771514</v>
      </c>
      <c r="W24" s="1826">
        <f>Tabel6689212734[[#This Row],[Oth. ch. DW 2017]]</f>
        <v>0</v>
      </c>
      <c r="X24" s="1771">
        <f>Tabel6689212734[[#This Row],[VAT DW 2017]]</f>
        <v>22.244630916795717</v>
      </c>
      <c r="Y24" s="1827">
        <f>Tabel6689212734[[#This Row],[Total. ch. DW 2017]]</f>
        <v>245.53126613125892</v>
      </c>
      <c r="Z24" s="1828">
        <f>Tabel6689212734[[#This Row],[Sew. 2017]]</f>
        <v>0</v>
      </c>
      <c r="AA24" s="1771">
        <f>Tabel6689212734[[#This Row],[VAT Sew. 2017]]</f>
        <v>0</v>
      </c>
      <c r="AB24" s="1829">
        <f>Tabel6689212734[[#This Row],[WW 2017]]</f>
        <v>231.68989567952366</v>
      </c>
      <c r="AC24" s="1771">
        <f>Tabel6689212734[[#This Row],[VAT WW 2017]]</f>
        <v>23.192998883566823</v>
      </c>
      <c r="AD24" s="1830">
        <f>Tabel6689212734[[#This Row],[Other ch. 2017]]</f>
        <v>0</v>
      </c>
      <c r="AE24" s="1771">
        <f>Tabel6689212734[[#This Row],[VAT Other ch. 2017]]</f>
        <v>0</v>
      </c>
      <c r="AF24" s="1816">
        <f>Tabel6689212734[[#This Row],[Total VAT 2017]]</f>
        <v>45.437629800362544</v>
      </c>
      <c r="AG24" s="1817">
        <f>Tabel6689212734[[#This Row],[total charge 2017]]</f>
        <v>500.41416069434939</v>
      </c>
      <c r="AH24" s="397"/>
      <c r="AI24" s="398"/>
      <c r="AJ24" s="591" t="s">
        <v>429</v>
      </c>
      <c r="AK24" s="614"/>
      <c r="AL24" s="614"/>
      <c r="AM24" s="591" t="s">
        <v>429</v>
      </c>
      <c r="AN24" s="591" t="s">
        <v>429</v>
      </c>
      <c r="AO24" s="398"/>
      <c r="AP24" s="397"/>
    </row>
    <row r="25" spans="1:42" ht="15.75" hidden="1" customHeight="1" x14ac:dyDescent="0.25">
      <c r="A25" s="1796"/>
      <c r="B25" s="452" t="s">
        <v>60</v>
      </c>
      <c r="C25" s="452"/>
      <c r="D25" s="452" t="s">
        <v>1030</v>
      </c>
      <c r="E25" s="1760"/>
      <c r="F25" s="306">
        <f>'exchange rates'!K6</f>
        <v>0.72762000000000004</v>
      </c>
      <c r="G25" s="310">
        <f>17.52/F25</f>
        <v>24.078502515049063</v>
      </c>
      <c r="H25" s="311">
        <f>262/F25</f>
        <v>360.07806272504877</v>
      </c>
      <c r="I25" s="312">
        <v>0</v>
      </c>
      <c r="J25" s="558"/>
      <c r="K25" s="313">
        <f>Tabel6689212734[[#This Row],[Fix.ch. 2017]]+Tabel6689212734[[#This Row],[Var. ch. 2017]]+Tabel6689212734[[#This Row],[Oth. ch. DW 2017]]+Tabel6689212734[[#This Row],[VAT DW 2017]]</f>
        <v>384.15656524009785</v>
      </c>
      <c r="L25" s="314">
        <v>0</v>
      </c>
      <c r="M25" s="558"/>
      <c r="N25" s="315">
        <f>382.6/F25</f>
        <v>525.82391907863996</v>
      </c>
      <c r="O25" s="558"/>
      <c r="P25" s="316">
        <v>0</v>
      </c>
      <c r="Q25" s="558"/>
      <c r="R25" s="317">
        <f>Tabel6689212734[[#This Row],[VAT DW 2017]]+Tabel6689212734[[#This Row],[VAT Sew. 2017]]+Tabel6689212734[[#This Row],[VAT WW 2017]]+Tabel6689212734[[#This Row],[VAT Other ch. 2017]]</f>
        <v>0</v>
      </c>
      <c r="S25" s="318">
        <f>Tabel6689212734[[#This Row],[Total. ch. DW 2017]]+Tabel6689212734[[#This Row],[Sew. 2017]]+Tabel6689212734[[#This Row],[VAT Sew. 2017]]+Tabel6689212734[[#This Row],[WW 2017]]+Tabel6689212734[[#This Row],[VAT WW 2017]]+Tabel6689212734[[#This Row],[Other ch. 2017]]+Tabel6689212734[[#This Row],[VAT Other ch. 2017]]</f>
        <v>909.98048431873781</v>
      </c>
      <c r="T25" s="397"/>
      <c r="U25" s="1763"/>
      <c r="V25" s="1766"/>
      <c r="W25" s="1769"/>
      <c r="X25" s="1772"/>
      <c r="Y25" s="1775"/>
      <c r="Z25" s="1778"/>
      <c r="AA25" s="1772"/>
      <c r="AB25" s="1781"/>
      <c r="AC25" s="1772"/>
      <c r="AD25" s="1785"/>
      <c r="AE25" s="1772"/>
      <c r="AF25" s="1788"/>
      <c r="AG25" s="1791"/>
      <c r="AH25" s="397"/>
      <c r="AI25" s="398"/>
      <c r="AJ25" s="396" t="s">
        <v>429</v>
      </c>
      <c r="AK25" s="398"/>
      <c r="AL25" s="398"/>
      <c r="AM25" s="396" t="s">
        <v>429</v>
      </c>
      <c r="AN25" s="396"/>
      <c r="AO25" s="398"/>
      <c r="AP25" s="397"/>
    </row>
    <row r="26" spans="1:42" ht="15.75" hidden="1" customHeight="1" x14ac:dyDescent="0.25">
      <c r="A26" s="1796"/>
      <c r="B26" s="452" t="s">
        <v>61</v>
      </c>
      <c r="C26" s="452"/>
      <c r="D26" s="452" t="s">
        <v>1030</v>
      </c>
      <c r="E26" s="1760"/>
      <c r="F26" s="306">
        <f>'exchange rates'!K6</f>
        <v>0.72762000000000004</v>
      </c>
      <c r="G26" s="310">
        <f>62.59/F26</f>
        <v>86.020175366262606</v>
      </c>
      <c r="H26" s="311">
        <f>165.58/F26</f>
        <v>227.5638382672274</v>
      </c>
      <c r="I26" s="312">
        <v>0</v>
      </c>
      <c r="J26" s="558"/>
      <c r="K26" s="313">
        <f>Tabel6689212734[[#This Row],[Fix.ch. 2017]]+Tabel6689212734[[#This Row],[Var. ch. 2017]]+Tabel6689212734[[#This Row],[Oth. ch. DW 2017]]+Tabel6689212734[[#This Row],[VAT DW 2017]]</f>
        <v>313.58401363349003</v>
      </c>
      <c r="L26" s="314">
        <f>0</f>
        <v>0</v>
      </c>
      <c r="M26" s="558"/>
      <c r="N26" s="315">
        <f>192.04/F26</f>
        <v>263.92897391495558</v>
      </c>
      <c r="O26" s="558"/>
      <c r="P26" s="316">
        <v>0</v>
      </c>
      <c r="Q26" s="558"/>
      <c r="R26" s="317">
        <f>Tabel6689212734[[#This Row],[VAT DW 2017]]+Tabel6689212734[[#This Row],[VAT Sew. 2017]]+Tabel6689212734[[#This Row],[VAT WW 2017]]+Tabel6689212734[[#This Row],[VAT Other ch. 2017]]</f>
        <v>0</v>
      </c>
      <c r="S26" s="318">
        <f>Tabel6689212734[[#This Row],[Total. ch. DW 2017]]+Tabel6689212734[[#This Row],[Sew. 2017]]+Tabel6689212734[[#This Row],[VAT Sew. 2017]]+Tabel6689212734[[#This Row],[WW 2017]]+Tabel6689212734[[#This Row],[VAT WW 2017]]+Tabel6689212734[[#This Row],[Other ch. 2017]]+Tabel6689212734[[#This Row],[VAT Other ch. 2017]]</f>
        <v>577.51298754844561</v>
      </c>
      <c r="T26" s="397"/>
      <c r="U26" s="1763"/>
      <c r="V26" s="1766"/>
      <c r="W26" s="1769"/>
      <c r="X26" s="1772"/>
      <c r="Y26" s="1775"/>
      <c r="Z26" s="1778"/>
      <c r="AA26" s="1772"/>
      <c r="AB26" s="1781"/>
      <c r="AC26" s="1772"/>
      <c r="AD26" s="1785"/>
      <c r="AE26" s="1772"/>
      <c r="AF26" s="1788"/>
      <c r="AG26" s="1791"/>
      <c r="AH26" s="397"/>
      <c r="AI26" s="398"/>
      <c r="AJ26" s="396" t="s">
        <v>429</v>
      </c>
      <c r="AK26" s="398"/>
      <c r="AL26" s="398"/>
      <c r="AM26" s="396" t="s">
        <v>429</v>
      </c>
      <c r="AN26" s="396"/>
      <c r="AO26" s="398"/>
      <c r="AP26" s="397"/>
    </row>
    <row r="27" spans="1:42" ht="16.5" hidden="1" customHeight="1" x14ac:dyDescent="0.25">
      <c r="A27" s="1796"/>
      <c r="B27" s="452" t="s">
        <v>62</v>
      </c>
      <c r="C27" s="452"/>
      <c r="D27" s="452" t="s">
        <v>1030</v>
      </c>
      <c r="E27" s="1760"/>
      <c r="F27" s="306">
        <f>'exchange rates'!K6</f>
        <v>0.72762000000000004</v>
      </c>
      <c r="G27" s="310">
        <f>23.4/F27</f>
        <v>32.159643770099777</v>
      </c>
      <c r="H27" s="311">
        <f>293.62/F27</f>
        <v>403.53481212720925</v>
      </c>
      <c r="I27" s="312">
        <v>0</v>
      </c>
      <c r="J27" s="558"/>
      <c r="K27" s="313">
        <f>Tabel6689212734[[#This Row],[Fix.ch. 2017]]+Tabel6689212734[[#This Row],[Var. ch. 2017]]+Tabel6689212734[[#This Row],[Oth. ch. DW 2017]]+Tabel6689212734[[#This Row],[VAT DW 2017]]</f>
        <v>435.69445589730901</v>
      </c>
      <c r="L27" s="314">
        <v>0</v>
      </c>
      <c r="M27" s="558"/>
      <c r="N27" s="315">
        <f>496/F27</f>
        <v>681.67450042604651</v>
      </c>
      <c r="O27" s="558"/>
      <c r="P27" s="316">
        <v>0</v>
      </c>
      <c r="Q27" s="558"/>
      <c r="R27" s="317">
        <f>Tabel6689212734[[#This Row],[VAT DW 2017]]+Tabel6689212734[[#This Row],[VAT Sew. 2017]]+Tabel6689212734[[#This Row],[VAT WW 2017]]+Tabel6689212734[[#This Row],[VAT Other ch. 2017]]</f>
        <v>0</v>
      </c>
      <c r="S27" s="318">
        <f>Tabel6689212734[[#This Row],[Total. ch. DW 2017]]+Tabel6689212734[[#This Row],[Sew. 2017]]+Tabel6689212734[[#This Row],[VAT Sew. 2017]]+Tabel6689212734[[#This Row],[WW 2017]]+Tabel6689212734[[#This Row],[VAT WW 2017]]+Tabel6689212734[[#This Row],[Other ch. 2017]]+Tabel6689212734[[#This Row],[VAT Other ch. 2017]]</f>
        <v>1117.3689563233556</v>
      </c>
      <c r="T27" s="397"/>
      <c r="U27" s="1763"/>
      <c r="V27" s="1766"/>
      <c r="W27" s="1769"/>
      <c r="X27" s="1772"/>
      <c r="Y27" s="1775"/>
      <c r="Z27" s="1778"/>
      <c r="AA27" s="1772"/>
      <c r="AB27" s="1781"/>
      <c r="AC27" s="1772"/>
      <c r="AD27" s="1785"/>
      <c r="AE27" s="1772"/>
      <c r="AF27" s="1788"/>
      <c r="AG27" s="1791"/>
      <c r="AH27" s="397"/>
      <c r="AI27" s="398"/>
      <c r="AJ27" s="396" t="s">
        <v>429</v>
      </c>
      <c r="AK27" s="398"/>
      <c r="AL27" s="398"/>
      <c r="AM27" s="396" t="s">
        <v>429</v>
      </c>
      <c r="AN27" s="396"/>
      <c r="AO27" s="398"/>
      <c r="AP27" s="397"/>
    </row>
    <row r="28" spans="1:42" ht="16.5" hidden="1" customHeight="1" thickBot="1" x14ac:dyDescent="0.3">
      <c r="A28" s="1797"/>
      <c r="B28" s="453" t="s">
        <v>63</v>
      </c>
      <c r="C28" s="801" t="s">
        <v>429</v>
      </c>
      <c r="D28" s="801" t="s">
        <v>1030</v>
      </c>
      <c r="E28" s="1799"/>
      <c r="F28" s="306">
        <f>'exchange rates'!K6</f>
        <v>0.72762000000000004</v>
      </c>
      <c r="G28" s="310">
        <f>21.72/F28</f>
        <v>29.850746268656714</v>
      </c>
      <c r="H28" s="311">
        <f>311.4/F28</f>
        <v>427.97064401748162</v>
      </c>
      <c r="I28" s="312">
        <v>0</v>
      </c>
      <c r="J28" s="558"/>
      <c r="K28" s="313">
        <f>Tabel6689212734[[#This Row],[Fix.ch. 2017]]+Tabel6689212734[[#This Row],[Var. ch. 2017]]+Tabel6689212734[[#This Row],[Oth. ch. DW 2017]]+Tabel6689212734[[#This Row],[VAT DW 2017]]</f>
        <v>457.82139028613835</v>
      </c>
      <c r="L28" s="314">
        <v>0</v>
      </c>
      <c r="M28" s="558"/>
      <c r="N28" s="315">
        <f>354.6/F28</f>
        <v>487.34229405458893</v>
      </c>
      <c r="O28" s="558"/>
      <c r="P28" s="316">
        <v>0</v>
      </c>
      <c r="Q28" s="558"/>
      <c r="R28" s="317">
        <f>Tabel6689212734[[#This Row],[VAT DW 2017]]+Tabel6689212734[[#This Row],[VAT Sew. 2017]]+Tabel6689212734[[#This Row],[VAT WW 2017]]+Tabel6689212734[[#This Row],[VAT Other ch. 2017]]</f>
        <v>0</v>
      </c>
      <c r="S28" s="318">
        <f>Tabel6689212734[[#This Row],[Total. ch. DW 2017]]+Tabel6689212734[[#This Row],[Sew. 2017]]+Tabel6689212734[[#This Row],[VAT Sew. 2017]]+Tabel6689212734[[#This Row],[WW 2017]]+Tabel6689212734[[#This Row],[VAT WW 2017]]+Tabel6689212734[[#This Row],[Other ch. 2017]]+Tabel6689212734[[#This Row],[VAT Other ch. 2017]]</f>
        <v>945.16368434072729</v>
      </c>
      <c r="T28" s="397"/>
      <c r="U28" s="1801"/>
      <c r="V28" s="1803"/>
      <c r="W28" s="1805"/>
      <c r="X28" s="1773"/>
      <c r="Y28" s="1807"/>
      <c r="Z28" s="1809"/>
      <c r="AA28" s="1773"/>
      <c r="AB28" s="1782"/>
      <c r="AC28" s="1773"/>
      <c r="AD28" s="1786"/>
      <c r="AE28" s="1773"/>
      <c r="AF28" s="1789"/>
      <c r="AG28" s="1792"/>
      <c r="AH28" s="397"/>
      <c r="AI28" s="398"/>
      <c r="AJ28" s="396" t="s">
        <v>429</v>
      </c>
      <c r="AK28" s="398"/>
      <c r="AL28" s="398"/>
      <c r="AM28" s="396" t="s">
        <v>429</v>
      </c>
      <c r="AN28" s="396"/>
      <c r="AO28" s="398"/>
      <c r="AP28" s="397"/>
    </row>
    <row r="29" spans="1:42" ht="15.75" hidden="1" customHeight="1" x14ac:dyDescent="0.25">
      <c r="A29" s="1818" t="s">
        <v>6</v>
      </c>
      <c r="B29" s="735" t="s">
        <v>67</v>
      </c>
      <c r="C29" s="802"/>
      <c r="D29" s="802" t="s">
        <v>1032</v>
      </c>
      <c r="E29" s="1821">
        <v>46300</v>
      </c>
      <c r="F29" s="616">
        <f>'exchange rates'!$O$7</f>
        <v>0.83301000000000003</v>
      </c>
      <c r="G29" s="625">
        <f>20/F29</f>
        <v>24.009315614458409</v>
      </c>
      <c r="H29" s="593">
        <f>172.54/F29</f>
        <v>207.12836580593267</v>
      </c>
      <c r="I29" s="594">
        <v>0</v>
      </c>
      <c r="J29" s="595">
        <f>11.55/F29</f>
        <v>13.865379767349731</v>
      </c>
      <c r="K29" s="566">
        <f>Tabel6689212734[[#This Row],[Fix.ch. 2017]]+Tabel6689212734[[#This Row],[Var. ch. 2017]]+Tabel6689212734[[#This Row],[Oth. ch. DW 2017]]+Tabel6689212734[[#This Row],[VAT DW 2017]]</f>
        <v>245.00306118774083</v>
      </c>
      <c r="L29" s="596">
        <f>144.64/F29</f>
        <v>173.63537052376319</v>
      </c>
      <c r="M29" s="595">
        <f>8.68/F29</f>
        <v>10.420042976674949</v>
      </c>
      <c r="N29" s="626">
        <f>102.74/F29</f>
        <v>123.33585431147284</v>
      </c>
      <c r="O29" s="595">
        <f>6.16/F29</f>
        <v>7.3948692092531898</v>
      </c>
      <c r="P29" s="597">
        <v>0</v>
      </c>
      <c r="Q29" s="595">
        <v>0</v>
      </c>
      <c r="R29" s="570">
        <f>Tabel6689212734[[#This Row],[VAT DW 2017]]+Tabel6689212734[[#This Row],[VAT Sew. 2017]]+Tabel6689212734[[#This Row],[VAT WW 2017]]+Tabel6689212734[[#This Row],[VAT Other ch. 2017]]</f>
        <v>31.68029195327787</v>
      </c>
      <c r="S29" s="571">
        <f>Tabel6689212734[[#This Row],[Total. ch. DW 2017]]+Tabel6689212734[[#This Row],[Sew. 2017]]+Tabel6689212734[[#This Row],[VAT Sew. 2017]]+Tabel6689212734[[#This Row],[WW 2017]]+Tabel6689212734[[#This Row],[VAT WW 2017]]+Tabel6689212734[[#This Row],[Other ch. 2017]]+Tabel6689212734[[#This Row],[VAT Other ch. 2017]]</f>
        <v>559.78919820890508</v>
      </c>
      <c r="T29" s="397"/>
      <c r="U29" s="1824">
        <f>MEDIAN(G29:G36)</f>
        <v>30.011644518073012</v>
      </c>
      <c r="V29" s="1825">
        <f>MEDIAN(H29:H36)</f>
        <v>225.23138977923432</v>
      </c>
      <c r="W29" s="1826">
        <f>MEDIAN(I29:I36)</f>
        <v>0</v>
      </c>
      <c r="X29" s="1771">
        <f>MEDIAN(J29:J36)</f>
        <v>13.865379767349731</v>
      </c>
      <c r="Y29" s="1827">
        <f>SUM(U29:X36)</f>
        <v>269.10841406465704</v>
      </c>
      <c r="Z29" s="1828">
        <f t="shared" ref="Z29:AF29" si="2">MEDIAN(L29:L36)</f>
        <v>149.06783832126865</v>
      </c>
      <c r="AA29" s="1771">
        <f t="shared" si="2"/>
        <v>8.9494723952893711</v>
      </c>
      <c r="AB29" s="1829">
        <f t="shared" si="2"/>
        <v>123.33585431147284</v>
      </c>
      <c r="AC29" s="1771">
        <f t="shared" si="2"/>
        <v>7.3948692092531898</v>
      </c>
      <c r="AD29" s="1830">
        <f t="shared" si="2"/>
        <v>0</v>
      </c>
      <c r="AE29" s="1771">
        <f t="shared" si="2"/>
        <v>0</v>
      </c>
      <c r="AF29" s="1816">
        <f t="shared" si="2"/>
        <v>29.639500126048905</v>
      </c>
      <c r="AG29" s="1817">
        <f>Y29+Z29+AA29+AB29+AC29+AD29+AE29</f>
        <v>557.8564483019411</v>
      </c>
      <c r="AH29" s="397"/>
      <c r="AI29" s="398"/>
      <c r="AJ29" s="398"/>
      <c r="AK29" s="398"/>
      <c r="AL29" s="591" t="s">
        <v>429</v>
      </c>
      <c r="AM29" s="591" t="s">
        <v>429</v>
      </c>
      <c r="AN29" s="614"/>
      <c r="AO29" s="398"/>
      <c r="AP29" s="397"/>
    </row>
    <row r="30" spans="1:42" ht="15.75" hidden="1" customHeight="1" x14ac:dyDescent="0.25">
      <c r="A30" s="1819"/>
      <c r="B30" s="685" t="s">
        <v>71</v>
      </c>
      <c r="C30" s="802"/>
      <c r="D30" s="802" t="s">
        <v>1032</v>
      </c>
      <c r="E30" s="1822"/>
      <c r="F30" s="616">
        <f>'exchange rates'!$O$7</f>
        <v>0.83301000000000003</v>
      </c>
      <c r="G30" s="625">
        <f>26/F30</f>
        <v>31.212110298795931</v>
      </c>
      <c r="H30" s="593">
        <f>142.43/F30</f>
        <v>170.98234114836558</v>
      </c>
      <c r="I30" s="594">
        <v>0</v>
      </c>
      <c r="J30" s="595">
        <f>10.11/F30</f>
        <v>12.136709043108725</v>
      </c>
      <c r="K30" s="566">
        <f>Tabel6689212734[[#This Row],[Fix.ch. 2017]]+Tabel6689212734[[#This Row],[Var. ch. 2017]]+Tabel6689212734[[#This Row],[Oth. ch. DW 2017]]+Tabel6689212734[[#This Row],[VAT DW 2017]]</f>
        <v>214.33116049027024</v>
      </c>
      <c r="L30" s="596">
        <f>107.75/F30</f>
        <v>129.35018787289468</v>
      </c>
      <c r="M30" s="595">
        <f>6.47/F30</f>
        <v>7.767013601277295</v>
      </c>
      <c r="N30" s="626">
        <f>100.42/F30</f>
        <v>120.55077370019568</v>
      </c>
      <c r="O30" s="595">
        <f>6.03/F30</f>
        <v>7.2388086577592103</v>
      </c>
      <c r="P30" s="597">
        <v>0</v>
      </c>
      <c r="Q30" s="595">
        <v>0</v>
      </c>
      <c r="R30" s="570">
        <f>Tabel6689212734[[#This Row],[VAT DW 2017]]+Tabel6689212734[[#This Row],[VAT Sew. 2017]]+Tabel6689212734[[#This Row],[VAT WW 2017]]+Tabel6689212734[[#This Row],[VAT Other ch. 2017]]</f>
        <v>27.142531302145233</v>
      </c>
      <c r="S30" s="571">
        <f>Tabel6689212734[[#This Row],[Total. ch. DW 2017]]+Tabel6689212734[[#This Row],[Sew. 2017]]+Tabel6689212734[[#This Row],[VAT Sew. 2017]]+Tabel6689212734[[#This Row],[WW 2017]]+Tabel6689212734[[#This Row],[VAT WW 2017]]+Tabel6689212734[[#This Row],[Other ch. 2017]]+Tabel6689212734[[#This Row],[VAT Other ch. 2017]]</f>
        <v>479.23794432239714</v>
      </c>
      <c r="T30" s="397"/>
      <c r="U30" s="1763"/>
      <c r="V30" s="1766"/>
      <c r="W30" s="1769"/>
      <c r="X30" s="1772"/>
      <c r="Y30" s="1775"/>
      <c r="Z30" s="1778"/>
      <c r="AA30" s="1772"/>
      <c r="AB30" s="1781"/>
      <c r="AC30" s="1772"/>
      <c r="AD30" s="1785"/>
      <c r="AE30" s="1772"/>
      <c r="AF30" s="1788"/>
      <c r="AG30" s="1791"/>
      <c r="AH30" s="397"/>
      <c r="AI30" s="398"/>
      <c r="AJ30" s="398"/>
      <c r="AK30" s="398"/>
      <c r="AL30" s="591" t="s">
        <v>429</v>
      </c>
      <c r="AM30" s="591" t="s">
        <v>429</v>
      </c>
      <c r="AN30" s="614"/>
      <c r="AO30" s="398"/>
      <c r="AP30" s="397"/>
    </row>
    <row r="31" spans="1:42" ht="15.75" hidden="1" customHeight="1" x14ac:dyDescent="0.25">
      <c r="A31" s="1819"/>
      <c r="B31" s="685" t="s">
        <v>68</v>
      </c>
      <c r="C31" s="802" t="s">
        <v>429</v>
      </c>
      <c r="D31" s="802" t="s">
        <v>1032</v>
      </c>
      <c r="E31" s="1822"/>
      <c r="F31" s="616">
        <f>'exchange rates'!$O$7</f>
        <v>0.83301000000000003</v>
      </c>
      <c r="G31" s="625">
        <f>24/F31</f>
        <v>28.81117873735009</v>
      </c>
      <c r="H31" s="593">
        <f>202.7/F31</f>
        <v>243.33441375253597</v>
      </c>
      <c r="I31" s="594">
        <v>0</v>
      </c>
      <c r="J31" s="595">
        <f>13.6/F31</f>
        <v>16.326334617831719</v>
      </c>
      <c r="K31" s="566">
        <f>Tabel6689212734[[#This Row],[Fix.ch. 2017]]+Tabel6689212734[[#This Row],[Var. ch. 2017]]+Tabel6689212734[[#This Row],[Oth. ch. DW 2017]]+Tabel6689212734[[#This Row],[VAT DW 2017]]</f>
        <v>288.47192710771776</v>
      </c>
      <c r="L31" s="596">
        <f>101.6/F31</f>
        <v>121.96732332144872</v>
      </c>
      <c r="M31" s="595">
        <f>6.1/F31</f>
        <v>7.3228412624098143</v>
      </c>
      <c r="N31" s="626">
        <f>54.85/F31</f>
        <v>65.845548072652193</v>
      </c>
      <c r="O31" s="595">
        <f>3.29/F31</f>
        <v>3.9495324185784084</v>
      </c>
      <c r="P31" s="597">
        <v>0</v>
      </c>
      <c r="Q31" s="595">
        <v>0</v>
      </c>
      <c r="R31" s="570">
        <f>Tabel6689212734[[#This Row],[VAT DW 2017]]+Tabel6689212734[[#This Row],[VAT Sew. 2017]]+Tabel6689212734[[#This Row],[VAT WW 2017]]+Tabel6689212734[[#This Row],[VAT Other ch. 2017]]</f>
        <v>27.59870829881994</v>
      </c>
      <c r="S31" s="571">
        <f>Tabel6689212734[[#This Row],[Total. ch. DW 2017]]+Tabel6689212734[[#This Row],[Sew. 2017]]+Tabel6689212734[[#This Row],[VAT Sew. 2017]]+Tabel6689212734[[#This Row],[WW 2017]]+Tabel6689212734[[#This Row],[VAT WW 2017]]+Tabel6689212734[[#This Row],[Other ch. 2017]]+Tabel6689212734[[#This Row],[VAT Other ch. 2017]]</f>
        <v>487.55717218280694</v>
      </c>
      <c r="T31" s="397"/>
      <c r="U31" s="1763"/>
      <c r="V31" s="1766"/>
      <c r="W31" s="1769"/>
      <c r="X31" s="1772"/>
      <c r="Y31" s="1775"/>
      <c r="Z31" s="1778"/>
      <c r="AA31" s="1772"/>
      <c r="AB31" s="1781"/>
      <c r="AC31" s="1772"/>
      <c r="AD31" s="1785"/>
      <c r="AE31" s="1772"/>
      <c r="AF31" s="1788"/>
      <c r="AG31" s="1791"/>
      <c r="AH31" s="397"/>
      <c r="AI31" s="398"/>
      <c r="AJ31" s="398"/>
      <c r="AK31" s="398"/>
      <c r="AL31" s="591" t="s">
        <v>429</v>
      </c>
      <c r="AM31" s="591" t="s">
        <v>429</v>
      </c>
      <c r="AN31" s="614"/>
      <c r="AO31" s="398"/>
      <c r="AP31" s="397"/>
    </row>
    <row r="32" spans="1:42" ht="15.75" hidden="1" customHeight="1" x14ac:dyDescent="0.25">
      <c r="A32" s="1819"/>
      <c r="B32" s="685" t="s">
        <v>72</v>
      </c>
      <c r="C32" s="802"/>
      <c r="D32" s="802" t="s">
        <v>1032</v>
      </c>
      <c r="E32" s="1822"/>
      <c r="F32" s="616">
        <f>'exchange rates'!$O$7</f>
        <v>0.83301000000000003</v>
      </c>
      <c r="G32" s="625">
        <f>56.17/F32</f>
        <v>67.430162903206437</v>
      </c>
      <c r="H32" s="593">
        <f>238.73/F32</f>
        <v>286.5871958319828</v>
      </c>
      <c r="I32" s="594">
        <f>2.59/F32</f>
        <v>3.1092063720723639</v>
      </c>
      <c r="J32" s="595">
        <v>0</v>
      </c>
      <c r="K32" s="566">
        <f>Tabel6689212734[[#This Row],[Fix.ch. 2017]]+Tabel6689212734[[#This Row],[Var. ch. 2017]]+Tabel6689212734[[#This Row],[Oth. ch. DW 2017]]+Tabel6689212734[[#This Row],[VAT DW 2017]]</f>
        <v>357.12656510726163</v>
      </c>
      <c r="L32" s="596">
        <v>0</v>
      </c>
      <c r="M32" s="595">
        <v>0</v>
      </c>
      <c r="N32" s="626">
        <f>224/F32</f>
        <v>268.90433488193418</v>
      </c>
      <c r="O32" s="595">
        <f>13.44/F32</f>
        <v>16.134260092916051</v>
      </c>
      <c r="P32" s="597">
        <v>0</v>
      </c>
      <c r="Q32" s="595">
        <v>0</v>
      </c>
      <c r="R32" s="570">
        <f>Tabel6689212734[[#This Row],[VAT DW 2017]]+Tabel6689212734[[#This Row],[VAT Sew. 2017]]+Tabel6689212734[[#This Row],[VAT WW 2017]]+Tabel6689212734[[#This Row],[VAT Other ch. 2017]]</f>
        <v>16.134260092916051</v>
      </c>
      <c r="S32" s="571">
        <f>Tabel6689212734[[#This Row],[Total. ch. DW 2017]]+Tabel6689212734[[#This Row],[Sew. 2017]]+Tabel6689212734[[#This Row],[VAT Sew. 2017]]+Tabel6689212734[[#This Row],[WW 2017]]+Tabel6689212734[[#This Row],[VAT WW 2017]]+Tabel6689212734[[#This Row],[Other ch. 2017]]+Tabel6689212734[[#This Row],[VAT Other ch. 2017]]</f>
        <v>642.16516008211192</v>
      </c>
      <c r="T32" s="397"/>
      <c r="U32" s="1763"/>
      <c r="V32" s="1766"/>
      <c r="W32" s="1769"/>
      <c r="X32" s="1772"/>
      <c r="Y32" s="1775"/>
      <c r="Z32" s="1778"/>
      <c r="AA32" s="1772"/>
      <c r="AB32" s="1781"/>
      <c r="AC32" s="1772"/>
      <c r="AD32" s="1785"/>
      <c r="AE32" s="1772"/>
      <c r="AF32" s="1788"/>
      <c r="AG32" s="1791"/>
      <c r="AH32" s="397"/>
      <c r="AI32" s="398"/>
      <c r="AJ32" s="398"/>
      <c r="AK32" s="398"/>
      <c r="AL32" s="591" t="s">
        <v>429</v>
      </c>
      <c r="AM32" s="591" t="s">
        <v>429</v>
      </c>
      <c r="AN32" s="591" t="s">
        <v>429</v>
      </c>
      <c r="AO32" s="398"/>
      <c r="AP32" s="397"/>
    </row>
    <row r="33" spans="1:42" ht="15.75" hidden="1" customHeight="1" x14ac:dyDescent="0.25">
      <c r="A33" s="1819"/>
      <c r="B33" s="685" t="s">
        <v>69</v>
      </c>
      <c r="C33" s="802"/>
      <c r="D33" s="802" t="s">
        <v>1032</v>
      </c>
      <c r="E33" s="1822"/>
      <c r="F33" s="616">
        <f>'exchange rates'!$O$7</f>
        <v>0.83301000000000003</v>
      </c>
      <c r="G33" s="625">
        <f>20/F33</f>
        <v>24.009315614458409</v>
      </c>
      <c r="H33" s="593">
        <f>172.54/F33</f>
        <v>207.12836580593267</v>
      </c>
      <c r="I33" s="594">
        <v>0</v>
      </c>
      <c r="J33" s="595">
        <f>11.55/F33</f>
        <v>13.865379767349731</v>
      </c>
      <c r="K33" s="566">
        <f>Tabel6689212734[[#This Row],[Fix.ch. 2017]]+Tabel6689212734[[#This Row],[Var. ch. 2017]]+Tabel6689212734[[#This Row],[Oth. ch. DW 2017]]+Tabel6689212734[[#This Row],[VAT DW 2017]]</f>
        <v>245.00306118774083</v>
      </c>
      <c r="L33" s="596">
        <f>144.64/F33</f>
        <v>173.63537052376319</v>
      </c>
      <c r="M33" s="595">
        <f>8.68/F33</f>
        <v>10.420042976674949</v>
      </c>
      <c r="N33" s="626">
        <f>102.74/F33</f>
        <v>123.33585431147284</v>
      </c>
      <c r="O33" s="595">
        <f>6.16/F33</f>
        <v>7.3948692092531898</v>
      </c>
      <c r="P33" s="597">
        <v>0</v>
      </c>
      <c r="Q33" s="595">
        <v>0</v>
      </c>
      <c r="R33" s="570">
        <f>Tabel6689212734[[#This Row],[VAT DW 2017]]+Tabel6689212734[[#This Row],[VAT Sew. 2017]]+Tabel6689212734[[#This Row],[VAT WW 2017]]+Tabel6689212734[[#This Row],[VAT Other ch. 2017]]</f>
        <v>31.68029195327787</v>
      </c>
      <c r="S33" s="571">
        <f>Tabel6689212734[[#This Row],[Total. ch. DW 2017]]+Tabel6689212734[[#This Row],[Sew. 2017]]+Tabel6689212734[[#This Row],[VAT Sew. 2017]]+Tabel6689212734[[#This Row],[WW 2017]]+Tabel6689212734[[#This Row],[VAT WW 2017]]+Tabel6689212734[[#This Row],[Other ch. 2017]]+Tabel6689212734[[#This Row],[VAT Other ch. 2017]]</f>
        <v>559.78919820890508</v>
      </c>
      <c r="T33" s="397"/>
      <c r="U33" s="1763"/>
      <c r="V33" s="1766"/>
      <c r="W33" s="1769"/>
      <c r="X33" s="1772"/>
      <c r="Y33" s="1775"/>
      <c r="Z33" s="1778"/>
      <c r="AA33" s="1772"/>
      <c r="AB33" s="1781"/>
      <c r="AC33" s="1772"/>
      <c r="AD33" s="1785"/>
      <c r="AE33" s="1772"/>
      <c r="AF33" s="1788"/>
      <c r="AG33" s="1791"/>
      <c r="AH33" s="397"/>
      <c r="AI33" s="398"/>
      <c r="AJ33" s="398"/>
      <c r="AK33" s="398"/>
      <c r="AL33" s="591" t="s">
        <v>429</v>
      </c>
      <c r="AM33" s="591" t="s">
        <v>429</v>
      </c>
      <c r="AN33" s="614"/>
      <c r="AO33" s="398"/>
      <c r="AP33" s="397"/>
    </row>
    <row r="34" spans="1:42" ht="15.75" hidden="1" customHeight="1" x14ac:dyDescent="0.25">
      <c r="A34" s="1819"/>
      <c r="B34" s="685" t="s">
        <v>70</v>
      </c>
      <c r="C34" s="802"/>
      <c r="D34" s="802" t="s">
        <v>1032</v>
      </c>
      <c r="E34" s="1822"/>
      <c r="F34" s="616">
        <f>'exchange rates'!$O$7</f>
        <v>0.83301000000000003</v>
      </c>
      <c r="G34" s="625">
        <f>20/F34</f>
        <v>24.009315614458409</v>
      </c>
      <c r="H34" s="593">
        <f>172.54/F34</f>
        <v>207.12836580593267</v>
      </c>
      <c r="I34" s="594">
        <v>0</v>
      </c>
      <c r="J34" s="595">
        <f>11.55/F34</f>
        <v>13.865379767349731</v>
      </c>
      <c r="K34" s="566">
        <f>Tabel6689212734[[#This Row],[Fix.ch. 2017]]+Tabel6689212734[[#This Row],[Var. ch. 2017]]+Tabel6689212734[[#This Row],[Oth. ch. DW 2017]]+Tabel6689212734[[#This Row],[VAT DW 2017]]</f>
        <v>245.00306118774083</v>
      </c>
      <c r="L34" s="596">
        <f>144.64/F34</f>
        <v>173.63537052376319</v>
      </c>
      <c r="M34" s="595">
        <f>8.68/F34</f>
        <v>10.420042976674949</v>
      </c>
      <c r="N34" s="626">
        <f>102.74/F34</f>
        <v>123.33585431147284</v>
      </c>
      <c r="O34" s="595">
        <f>6.16/F34</f>
        <v>7.3948692092531898</v>
      </c>
      <c r="P34" s="597">
        <v>0</v>
      </c>
      <c r="Q34" s="595">
        <v>0</v>
      </c>
      <c r="R34" s="570">
        <f>Tabel6689212734[[#This Row],[VAT DW 2017]]+Tabel6689212734[[#This Row],[VAT Sew. 2017]]+Tabel6689212734[[#This Row],[VAT WW 2017]]+Tabel6689212734[[#This Row],[VAT Other ch. 2017]]</f>
        <v>31.68029195327787</v>
      </c>
      <c r="S34" s="571">
        <f>Tabel6689212734[[#This Row],[Total. ch. DW 2017]]+Tabel6689212734[[#This Row],[Sew. 2017]]+Tabel6689212734[[#This Row],[VAT Sew. 2017]]+Tabel6689212734[[#This Row],[WW 2017]]+Tabel6689212734[[#This Row],[VAT WW 2017]]+Tabel6689212734[[#This Row],[Other ch. 2017]]+Tabel6689212734[[#This Row],[VAT Other ch. 2017]]</f>
        <v>559.78919820890508</v>
      </c>
      <c r="T34" s="397"/>
      <c r="U34" s="1763"/>
      <c r="V34" s="1766"/>
      <c r="W34" s="1769"/>
      <c r="X34" s="1772"/>
      <c r="Y34" s="1775"/>
      <c r="Z34" s="1778"/>
      <c r="AA34" s="1772"/>
      <c r="AB34" s="1781"/>
      <c r="AC34" s="1772"/>
      <c r="AD34" s="1785"/>
      <c r="AE34" s="1772"/>
      <c r="AF34" s="1788"/>
      <c r="AG34" s="1791"/>
      <c r="AH34" s="397"/>
      <c r="AI34" s="398"/>
      <c r="AJ34" s="398"/>
      <c r="AK34" s="398"/>
      <c r="AL34" s="591" t="s">
        <v>429</v>
      </c>
      <c r="AM34" s="591" t="s">
        <v>429</v>
      </c>
      <c r="AN34" s="614"/>
      <c r="AO34" s="398"/>
      <c r="AP34" s="397"/>
    </row>
    <row r="35" spans="1:42" ht="16.5" hidden="1" customHeight="1" x14ac:dyDescent="0.25">
      <c r="A35" s="1819"/>
      <c r="B35" s="735" t="s">
        <v>216</v>
      </c>
      <c r="C35" s="802"/>
      <c r="D35" s="802" t="s">
        <v>1032</v>
      </c>
      <c r="E35" s="1822"/>
      <c r="F35" s="616">
        <f>'exchange rates'!$O$7</f>
        <v>0.83301000000000003</v>
      </c>
      <c r="G35" s="625">
        <f>26/F35</f>
        <v>31.212110298795931</v>
      </c>
      <c r="H35" s="593">
        <f>207.92/F35</f>
        <v>249.60084512790959</v>
      </c>
      <c r="I35" s="594">
        <v>0</v>
      </c>
      <c r="J35" s="595">
        <f>14.03/F35</f>
        <v>16.842534903542575</v>
      </c>
      <c r="K35" s="566">
        <f>Tabel6689212734[[#This Row],[Fix.ch. 2017]]+Tabel6689212734[[#This Row],[Var. ch. 2017]]+Tabel6689212734[[#This Row],[Oth. ch. DW 2017]]+Tabel6689212734[[#This Row],[VAT DW 2017]]</f>
        <v>297.65549033024809</v>
      </c>
      <c r="L35" s="596">
        <f>140.6/F35</f>
        <v>168.7854887696426</v>
      </c>
      <c r="M35" s="595">
        <f>8.44/F35</f>
        <v>10.131931189301447</v>
      </c>
      <c r="N35" s="626">
        <f>100.42/F35</f>
        <v>120.55077370019568</v>
      </c>
      <c r="O35" s="595">
        <f>6.03/F35</f>
        <v>7.2388086577592103</v>
      </c>
      <c r="P35" s="597">
        <v>0</v>
      </c>
      <c r="Q35" s="595">
        <v>0</v>
      </c>
      <c r="R35" s="570">
        <f>Tabel6689212734[[#This Row],[VAT DW 2017]]+Tabel6689212734[[#This Row],[VAT Sew. 2017]]+Tabel6689212734[[#This Row],[VAT WW 2017]]+Tabel6689212734[[#This Row],[VAT Other ch. 2017]]</f>
        <v>34.213274750603233</v>
      </c>
      <c r="S35" s="571">
        <f>Tabel6689212734[[#This Row],[Total. ch. DW 2017]]+Tabel6689212734[[#This Row],[Sew. 2017]]+Tabel6689212734[[#This Row],[VAT Sew. 2017]]+Tabel6689212734[[#This Row],[WW 2017]]+Tabel6689212734[[#This Row],[VAT WW 2017]]+Tabel6689212734[[#This Row],[Other ch. 2017]]+Tabel6689212734[[#This Row],[VAT Other ch. 2017]]</f>
        <v>604.36249264714706</v>
      </c>
      <c r="T35" s="397"/>
      <c r="U35" s="1763"/>
      <c r="V35" s="1766"/>
      <c r="W35" s="1769"/>
      <c r="X35" s="1772"/>
      <c r="Y35" s="1775"/>
      <c r="Z35" s="1778"/>
      <c r="AA35" s="1772"/>
      <c r="AB35" s="1781"/>
      <c r="AC35" s="1772"/>
      <c r="AD35" s="1785"/>
      <c r="AE35" s="1772"/>
      <c r="AF35" s="1788"/>
      <c r="AG35" s="1791"/>
      <c r="AH35" s="397"/>
      <c r="AI35" s="398"/>
      <c r="AJ35" s="398"/>
      <c r="AK35" s="398"/>
      <c r="AL35" s="591" t="s">
        <v>429</v>
      </c>
      <c r="AM35" s="591" t="s">
        <v>429</v>
      </c>
      <c r="AN35" s="614"/>
      <c r="AO35" s="398"/>
      <c r="AP35" s="397"/>
    </row>
    <row r="36" spans="1:42" ht="17.25" hidden="1" customHeight="1" thickBot="1" x14ac:dyDescent="0.3">
      <c r="A36" s="1820"/>
      <c r="B36" s="736" t="s">
        <v>629</v>
      </c>
      <c r="C36" s="802"/>
      <c r="D36" s="807" t="s">
        <v>1032</v>
      </c>
      <c r="E36" s="1823"/>
      <c r="F36" s="616">
        <f>'exchange rates'!$O$7</f>
        <v>0.83301000000000003</v>
      </c>
      <c r="G36" s="625">
        <f>52.4/F36</f>
        <v>62.904406909881033</v>
      </c>
      <c r="H36" s="593">
        <f>222.7/F36</f>
        <v>267.34372936699435</v>
      </c>
      <c r="I36" s="594">
        <f>2.59/F36</f>
        <v>3.1092063720723639</v>
      </c>
      <c r="J36" s="595">
        <f>0</f>
        <v>0</v>
      </c>
      <c r="K36" s="566">
        <f>Tabel6689212734[[#This Row],[Fix.ch. 2017]]+Tabel6689212734[[#This Row],[Var. ch. 2017]]+Tabel6689212734[[#This Row],[Oth. ch. DW 2017]]+Tabel6689212734[[#This Row],[VAT DW 2017]]</f>
        <v>333.35734264894774</v>
      </c>
      <c r="L36" s="596">
        <f>0/F36</f>
        <v>0</v>
      </c>
      <c r="M36" s="595">
        <v>0</v>
      </c>
      <c r="N36" s="626">
        <f>224/F36</f>
        <v>268.90433488193418</v>
      </c>
      <c r="O36" s="595">
        <f>13.44/F36</f>
        <v>16.134260092916051</v>
      </c>
      <c r="P36" s="597">
        <v>0</v>
      </c>
      <c r="Q36" s="595">
        <v>0</v>
      </c>
      <c r="R36" s="570">
        <f>Tabel6689212734[[#This Row],[VAT DW 2017]]+Tabel6689212734[[#This Row],[VAT Sew. 2017]]+Tabel6689212734[[#This Row],[VAT WW 2017]]+Tabel6689212734[[#This Row],[VAT Other ch. 2017]]</f>
        <v>16.134260092916051</v>
      </c>
      <c r="S36" s="571">
        <f>Tabel6689212734[[#This Row],[Total. ch. DW 2017]]+Tabel6689212734[[#This Row],[Sew. 2017]]+Tabel6689212734[[#This Row],[VAT Sew. 2017]]+Tabel6689212734[[#This Row],[WW 2017]]+Tabel6689212734[[#This Row],[VAT WW 2017]]+Tabel6689212734[[#This Row],[Other ch. 2017]]+Tabel6689212734[[#This Row],[VAT Other ch. 2017]]</f>
        <v>618.39593762379798</v>
      </c>
      <c r="T36" s="397"/>
      <c r="U36" s="1764"/>
      <c r="V36" s="1767"/>
      <c r="W36" s="1770"/>
      <c r="X36" s="1773"/>
      <c r="Y36" s="1776"/>
      <c r="Z36" s="1779"/>
      <c r="AA36" s="1773"/>
      <c r="AB36" s="1811"/>
      <c r="AC36" s="1773"/>
      <c r="AD36" s="1813"/>
      <c r="AE36" s="1773"/>
      <c r="AF36" s="1815"/>
      <c r="AG36" s="1794"/>
      <c r="AH36" s="397"/>
      <c r="AI36" s="398"/>
      <c r="AJ36" s="398"/>
      <c r="AK36" s="398"/>
      <c r="AL36" s="591" t="s">
        <v>429</v>
      </c>
      <c r="AM36" s="591" t="s">
        <v>429</v>
      </c>
      <c r="AN36" s="591" t="s">
        <v>429</v>
      </c>
      <c r="AO36" s="398"/>
      <c r="AP36" s="397"/>
    </row>
    <row r="37" spans="1:42" ht="18" hidden="1" customHeight="1" x14ac:dyDescent="0.25">
      <c r="A37" s="1878" t="s">
        <v>49</v>
      </c>
      <c r="B37" s="729" t="s">
        <v>935</v>
      </c>
      <c r="C37" s="803"/>
      <c r="D37" s="803" t="s">
        <v>1034</v>
      </c>
      <c r="E37" s="1879">
        <v>15500</v>
      </c>
      <c r="F37" s="616">
        <f>'exchange rates'!$O$8</f>
        <v>3.3117299999999998</v>
      </c>
      <c r="G37" s="625" t="s">
        <v>5</v>
      </c>
      <c r="H37" s="593" t="s">
        <v>5</v>
      </c>
      <c r="I37" s="594" t="s">
        <v>5</v>
      </c>
      <c r="J37" s="595" t="s">
        <v>5</v>
      </c>
      <c r="K37" s="566" t="s">
        <v>5</v>
      </c>
      <c r="L37" s="596" t="s">
        <v>5</v>
      </c>
      <c r="M37" s="595" t="s">
        <v>5</v>
      </c>
      <c r="N37" s="626" t="s">
        <v>5</v>
      </c>
      <c r="O37" s="595" t="s">
        <v>5</v>
      </c>
      <c r="P37" s="597" t="s">
        <v>5</v>
      </c>
      <c r="Q37" s="595" t="s">
        <v>5</v>
      </c>
      <c r="R37" s="570" t="s">
        <v>5</v>
      </c>
      <c r="S37" s="571">
        <f>296/F37</f>
        <v>89.379267029618958</v>
      </c>
      <c r="T37" s="397"/>
      <c r="U37" s="1881" t="s">
        <v>5</v>
      </c>
      <c r="V37" s="1895" t="s">
        <v>5</v>
      </c>
      <c r="W37" s="1898" t="s">
        <v>5</v>
      </c>
      <c r="X37" s="1860" t="s">
        <v>5</v>
      </c>
      <c r="Y37" s="1901" t="s">
        <v>5</v>
      </c>
      <c r="Z37" s="1904" t="s">
        <v>5</v>
      </c>
      <c r="AA37" s="1860" t="s">
        <v>5</v>
      </c>
      <c r="AB37" s="1863" t="s">
        <v>5</v>
      </c>
      <c r="AC37" s="1860" t="s">
        <v>5</v>
      </c>
      <c r="AD37" s="1866" t="s">
        <v>5</v>
      </c>
      <c r="AE37" s="1860" t="s">
        <v>5</v>
      </c>
      <c r="AF37" s="1869" t="s">
        <v>5</v>
      </c>
      <c r="AG37" s="1831">
        <f>Tabel6689212734[[#This Row],[total charge 2017]]</f>
        <v>89.379267029618958</v>
      </c>
      <c r="AH37" s="397"/>
      <c r="AI37" s="396"/>
      <c r="AJ37" s="398"/>
      <c r="AK37" s="398"/>
      <c r="AL37" s="591" t="s">
        <v>429</v>
      </c>
      <c r="AM37" s="398"/>
      <c r="AN37" s="398"/>
      <c r="AO37" s="398"/>
      <c r="AP37" s="397"/>
    </row>
    <row r="38" spans="1:42" ht="15.75" hidden="1" x14ac:dyDescent="0.25">
      <c r="A38" s="1757"/>
      <c r="B38" s="632" t="s">
        <v>462</v>
      </c>
      <c r="C38" s="803"/>
      <c r="D38" s="803" t="s">
        <v>1034</v>
      </c>
      <c r="E38" s="1880"/>
      <c r="F38" s="616">
        <f>'exchange rates'!$O$8</f>
        <v>3.3117299999999998</v>
      </c>
      <c r="G38" s="625" t="s">
        <v>5</v>
      </c>
      <c r="H38" s="593" t="s">
        <v>5</v>
      </c>
      <c r="I38" s="594" t="s">
        <v>5</v>
      </c>
      <c r="J38" s="595" t="s">
        <v>5</v>
      </c>
      <c r="K38" s="566" t="s">
        <v>5</v>
      </c>
      <c r="L38" s="596" t="s">
        <v>5</v>
      </c>
      <c r="M38" s="595" t="s">
        <v>5</v>
      </c>
      <c r="N38" s="626" t="s">
        <v>5</v>
      </c>
      <c r="O38" s="595" t="s">
        <v>5</v>
      </c>
      <c r="P38" s="597" t="s">
        <v>5</v>
      </c>
      <c r="Q38" s="595" t="s">
        <v>5</v>
      </c>
      <c r="R38" s="570" t="s">
        <v>5</v>
      </c>
      <c r="S38" s="571">
        <f>243/F38</f>
        <v>73.375546919585844</v>
      </c>
      <c r="T38" s="397"/>
      <c r="U38" s="1882"/>
      <c r="V38" s="1896"/>
      <c r="W38" s="1899"/>
      <c r="X38" s="1861"/>
      <c r="Y38" s="1902"/>
      <c r="Z38" s="1905"/>
      <c r="AA38" s="1861"/>
      <c r="AB38" s="1864"/>
      <c r="AC38" s="1861"/>
      <c r="AD38" s="1867"/>
      <c r="AE38" s="1861"/>
      <c r="AF38" s="1870"/>
      <c r="AG38" s="1832"/>
      <c r="AH38" s="397"/>
      <c r="AI38" s="396"/>
      <c r="AJ38" s="398"/>
      <c r="AK38" s="398"/>
      <c r="AL38" s="591" t="s">
        <v>429</v>
      </c>
      <c r="AM38" s="398"/>
      <c r="AN38" s="398"/>
      <c r="AO38" s="398"/>
      <c r="AP38" s="397"/>
    </row>
    <row r="39" spans="1:42" ht="16.5" hidden="1" thickBot="1" x14ac:dyDescent="0.3">
      <c r="A39" s="1758"/>
      <c r="B39" s="730" t="s">
        <v>933</v>
      </c>
      <c r="C39" s="803" t="s">
        <v>429</v>
      </c>
      <c r="D39" s="810" t="s">
        <v>1034</v>
      </c>
      <c r="E39" s="1799"/>
      <c r="F39" s="616">
        <f>'exchange rates'!$O$8</f>
        <v>3.3117299999999998</v>
      </c>
      <c r="G39" s="625" t="s">
        <v>5</v>
      </c>
      <c r="H39" s="593" t="s">
        <v>5</v>
      </c>
      <c r="I39" s="594" t="s">
        <v>5</v>
      </c>
      <c r="J39" s="595" t="s">
        <v>5</v>
      </c>
      <c r="K39" s="566" t="s">
        <v>5</v>
      </c>
      <c r="L39" s="596" t="s">
        <v>5</v>
      </c>
      <c r="M39" s="595" t="s">
        <v>5</v>
      </c>
      <c r="N39" s="626" t="s">
        <v>5</v>
      </c>
      <c r="O39" s="595" t="s">
        <v>5</v>
      </c>
      <c r="P39" s="597" t="s">
        <v>5</v>
      </c>
      <c r="Q39" s="595" t="s">
        <v>5</v>
      </c>
      <c r="R39" s="570" t="s">
        <v>5</v>
      </c>
      <c r="S39" s="571">
        <f>437/F39</f>
        <v>131.95520166197124</v>
      </c>
      <c r="T39" s="397"/>
      <c r="U39" s="1883"/>
      <c r="V39" s="1897"/>
      <c r="W39" s="1900"/>
      <c r="X39" s="1862"/>
      <c r="Y39" s="1903"/>
      <c r="Z39" s="1906"/>
      <c r="AA39" s="1862"/>
      <c r="AB39" s="1865"/>
      <c r="AC39" s="1862"/>
      <c r="AD39" s="1868"/>
      <c r="AE39" s="1862"/>
      <c r="AF39" s="1871"/>
      <c r="AG39" s="1792"/>
      <c r="AH39" s="397"/>
      <c r="AI39" s="396"/>
      <c r="AJ39" s="398"/>
      <c r="AK39" s="398"/>
      <c r="AL39" s="591" t="s">
        <v>429</v>
      </c>
      <c r="AM39" s="398"/>
      <c r="AN39" s="398"/>
      <c r="AO39" s="398"/>
      <c r="AP39" s="397"/>
    </row>
    <row r="40" spans="1:42" ht="18.75" hidden="1" customHeight="1" x14ac:dyDescent="0.25">
      <c r="A40" s="1833" t="s">
        <v>487</v>
      </c>
      <c r="B40" s="277" t="s">
        <v>481</v>
      </c>
      <c r="C40" s="804"/>
      <c r="D40" s="804" t="s">
        <v>1034</v>
      </c>
      <c r="E40" s="1836">
        <v>11600</v>
      </c>
      <c r="F40" s="306">
        <v>1.86534</v>
      </c>
      <c r="G40" s="310">
        <f>132.88/F40</f>
        <v>71.236342972326753</v>
      </c>
      <c r="H40" s="311">
        <v>0</v>
      </c>
      <c r="I40" s="312">
        <v>0</v>
      </c>
      <c r="J40" s="558"/>
      <c r="K40" s="313">
        <f>Tabel6689212734[[#This Row],[Fix.ch. 2017]]+Tabel6689212734[[#This Row],[Var. ch. 2017]]+Tabel6689212734[[#This Row],[Oth. ch. DW 2017]]+Tabel6689212734[[#This Row],[VAT DW 2017]]</f>
        <v>71.236342972326753</v>
      </c>
      <c r="L40" s="314">
        <f>132.88/F40</f>
        <v>71.236342972326753</v>
      </c>
      <c r="M40" s="558"/>
      <c r="N40" s="315">
        <v>0</v>
      </c>
      <c r="O40" s="558"/>
      <c r="P40" s="316">
        <v>0</v>
      </c>
      <c r="Q40" s="558"/>
      <c r="R40" s="317">
        <f>Tabel6689212734[[#This Row],[VAT DW 2017]]+Tabel6689212734[[#This Row],[VAT Sew. 2017]]+Tabel6689212734[[#This Row],[VAT WW 2017]]+Tabel6689212734[[#This Row],[VAT Other ch. 2017]]</f>
        <v>0</v>
      </c>
      <c r="S40" s="318">
        <f>Tabel6689212734[[#This Row],[Total. ch. DW 2017]]+Tabel6689212734[[#This Row],[Sew. 2017]]+Tabel6689212734[[#This Row],[VAT Sew. 2017]]+Tabel6689212734[[#This Row],[WW 2017]]+Tabel6689212734[[#This Row],[VAT WW 2017]]+Tabel6689212734[[#This Row],[Other ch. 2017]]+Tabel6689212734[[#This Row],[VAT Other ch. 2017]]</f>
        <v>142.47268594465351</v>
      </c>
      <c r="T40" s="397"/>
      <c r="U40" s="1839">
        <f>SUM(G40:G44)/5</f>
        <v>197.96069349287529</v>
      </c>
      <c r="V40" s="1842">
        <f>SUM(H40:H44)/5</f>
        <v>0</v>
      </c>
      <c r="W40" s="1845">
        <f>SUM(I40:I44)/5</f>
        <v>0</v>
      </c>
      <c r="X40" s="575"/>
      <c r="Y40" s="1848">
        <f>SUM(K40:K44)/5</f>
        <v>197.96069349287529</v>
      </c>
      <c r="Z40" s="1851">
        <f>SUM(L40:L44)/5</f>
        <v>197.96069349287529</v>
      </c>
      <c r="AA40" s="575"/>
      <c r="AB40" s="1854">
        <f>SUM(N40:N44)/5</f>
        <v>0</v>
      </c>
      <c r="AC40" s="575"/>
      <c r="AD40" s="1857">
        <f>SUM(P40:P44)/5</f>
        <v>0</v>
      </c>
      <c r="AE40" s="575"/>
      <c r="AF40" s="1872">
        <f t="shared" ref="AF40:AG40" si="3">SUM(R40:R44)/5</f>
        <v>0</v>
      </c>
      <c r="AG40" s="1875">
        <f t="shared" si="3"/>
        <v>395.92138698575059</v>
      </c>
      <c r="AH40" s="397"/>
      <c r="AI40" s="396"/>
      <c r="AJ40" s="398"/>
      <c r="AK40" s="398"/>
      <c r="AL40" s="398"/>
      <c r="AM40" s="398"/>
      <c r="AN40" s="398"/>
      <c r="AO40" s="398"/>
      <c r="AP40" s="397"/>
    </row>
    <row r="41" spans="1:42" ht="18.75" hidden="1" customHeight="1" x14ac:dyDescent="0.25">
      <c r="A41" s="1834"/>
      <c r="B41" s="277" t="s">
        <v>482</v>
      </c>
      <c r="C41" s="804"/>
      <c r="D41" s="804" t="s">
        <v>1034</v>
      </c>
      <c r="E41" s="1837"/>
      <c r="F41" s="306">
        <v>1.86534</v>
      </c>
      <c r="G41" s="310">
        <f>83.04/F41</f>
        <v>44.517353404741229</v>
      </c>
      <c r="H41" s="311">
        <v>0</v>
      </c>
      <c r="I41" s="312">
        <v>0</v>
      </c>
      <c r="J41" s="558"/>
      <c r="K41" s="313">
        <f>Tabel6689212734[[#This Row],[Fix.ch. 2017]]+Tabel6689212734[[#This Row],[Var. ch. 2017]]+Tabel6689212734[[#This Row],[Oth. ch. DW 2017]]+Tabel6689212734[[#This Row],[VAT DW 2017]]</f>
        <v>44.517353404741229</v>
      </c>
      <c r="L41" s="314">
        <f>83.04/F41</f>
        <v>44.517353404741229</v>
      </c>
      <c r="M41" s="558"/>
      <c r="N41" s="315">
        <v>0</v>
      </c>
      <c r="O41" s="558"/>
      <c r="P41" s="316">
        <v>0</v>
      </c>
      <c r="Q41" s="558"/>
      <c r="R41" s="317">
        <f>Tabel6689212734[[#This Row],[VAT DW 2017]]+Tabel6689212734[[#This Row],[VAT Sew. 2017]]+Tabel6689212734[[#This Row],[VAT WW 2017]]+Tabel6689212734[[#This Row],[VAT Other ch. 2017]]</f>
        <v>0</v>
      </c>
      <c r="S41" s="318">
        <f>Tabel6689212734[[#This Row],[Total. ch. DW 2017]]+Tabel6689212734[[#This Row],[Sew. 2017]]+Tabel6689212734[[#This Row],[VAT Sew. 2017]]+Tabel6689212734[[#This Row],[WW 2017]]+Tabel6689212734[[#This Row],[VAT WW 2017]]+Tabel6689212734[[#This Row],[Other ch. 2017]]+Tabel6689212734[[#This Row],[VAT Other ch. 2017]]</f>
        <v>89.034706809482458</v>
      </c>
      <c r="T41" s="397"/>
      <c r="U41" s="1840"/>
      <c r="V41" s="1843"/>
      <c r="W41" s="1846"/>
      <c r="X41" s="576"/>
      <c r="Y41" s="1849"/>
      <c r="Z41" s="1852"/>
      <c r="AA41" s="576"/>
      <c r="AB41" s="1855"/>
      <c r="AC41" s="576"/>
      <c r="AD41" s="1858"/>
      <c r="AE41" s="576"/>
      <c r="AF41" s="1873"/>
      <c r="AG41" s="1876"/>
      <c r="AH41" s="397"/>
      <c r="AI41" s="396"/>
      <c r="AJ41" s="398"/>
      <c r="AK41" s="398"/>
      <c r="AL41" s="398"/>
      <c r="AM41" s="398"/>
      <c r="AN41" s="398"/>
      <c r="AO41" s="398"/>
      <c r="AP41" s="397"/>
    </row>
    <row r="42" spans="1:42" ht="18.75" hidden="1" customHeight="1" x14ac:dyDescent="0.25">
      <c r="A42" s="1834"/>
      <c r="B42" s="277" t="s">
        <v>483</v>
      </c>
      <c r="C42" s="804"/>
      <c r="D42" s="804" t="s">
        <v>1034</v>
      </c>
      <c r="E42" s="1837"/>
      <c r="F42" s="306">
        <v>1.86534</v>
      </c>
      <c r="G42" s="310">
        <f>371.52/F42</f>
        <v>199.1701244813278</v>
      </c>
      <c r="H42" s="311">
        <v>0</v>
      </c>
      <c r="I42" s="312">
        <v>0</v>
      </c>
      <c r="J42" s="558"/>
      <c r="K42" s="313">
        <f>Tabel6689212734[[#This Row],[Fix.ch. 2017]]+Tabel6689212734[[#This Row],[Var. ch. 2017]]+Tabel6689212734[[#This Row],[Oth. ch. DW 2017]]+Tabel6689212734[[#This Row],[VAT DW 2017]]</f>
        <v>199.1701244813278</v>
      </c>
      <c r="L42" s="314">
        <f>371.52/F42</f>
        <v>199.1701244813278</v>
      </c>
      <c r="M42" s="558"/>
      <c r="N42" s="315">
        <v>0</v>
      </c>
      <c r="O42" s="558"/>
      <c r="P42" s="316">
        <v>0</v>
      </c>
      <c r="Q42" s="558"/>
      <c r="R42" s="317">
        <f>Tabel6689212734[[#This Row],[VAT DW 2017]]+Tabel6689212734[[#This Row],[VAT Sew. 2017]]+Tabel6689212734[[#This Row],[VAT WW 2017]]+Tabel6689212734[[#This Row],[VAT Other ch. 2017]]</f>
        <v>0</v>
      </c>
      <c r="S42" s="318">
        <f>Tabel6689212734[[#This Row],[Total. ch. DW 2017]]+Tabel6689212734[[#This Row],[Sew. 2017]]+Tabel6689212734[[#This Row],[VAT Sew. 2017]]+Tabel6689212734[[#This Row],[WW 2017]]+Tabel6689212734[[#This Row],[VAT WW 2017]]+Tabel6689212734[[#This Row],[Other ch. 2017]]+Tabel6689212734[[#This Row],[VAT Other ch. 2017]]</f>
        <v>398.34024896265561</v>
      </c>
      <c r="T42" s="397"/>
      <c r="U42" s="1840"/>
      <c r="V42" s="1843"/>
      <c r="W42" s="1846"/>
      <c r="X42" s="576"/>
      <c r="Y42" s="1849"/>
      <c r="Z42" s="1852"/>
      <c r="AA42" s="576"/>
      <c r="AB42" s="1855"/>
      <c r="AC42" s="576"/>
      <c r="AD42" s="1858"/>
      <c r="AE42" s="576"/>
      <c r="AF42" s="1873"/>
      <c r="AG42" s="1876"/>
      <c r="AH42" s="397"/>
      <c r="AI42" s="396"/>
      <c r="AJ42" s="398"/>
      <c r="AK42" s="398"/>
      <c r="AL42" s="396" t="s">
        <v>429</v>
      </c>
      <c r="AM42" s="398"/>
      <c r="AN42" s="398"/>
      <c r="AO42" s="398" t="s">
        <v>486</v>
      </c>
      <c r="AP42" s="397"/>
    </row>
    <row r="43" spans="1:42" ht="18.75" hidden="1" customHeight="1" x14ac:dyDescent="0.25">
      <c r="A43" s="1834"/>
      <c r="B43" s="277" t="s">
        <v>484</v>
      </c>
      <c r="C43" s="804"/>
      <c r="D43" s="804" t="s">
        <v>1034</v>
      </c>
      <c r="E43" s="1837"/>
      <c r="F43" s="306">
        <v>1.86534</v>
      </c>
      <c r="G43" s="310">
        <f>420.12/F43</f>
        <v>225.22435588150151</v>
      </c>
      <c r="H43" s="311">
        <v>0</v>
      </c>
      <c r="I43" s="312">
        <v>0</v>
      </c>
      <c r="J43" s="558"/>
      <c r="K43" s="313">
        <f>Tabel6689212734[[#This Row],[Fix.ch. 2017]]+Tabel6689212734[[#This Row],[Var. ch. 2017]]+Tabel6689212734[[#This Row],[Oth. ch. DW 2017]]+Tabel6689212734[[#This Row],[VAT DW 2017]]</f>
        <v>225.22435588150151</v>
      </c>
      <c r="L43" s="314">
        <f>420.12/F43</f>
        <v>225.22435588150151</v>
      </c>
      <c r="M43" s="558"/>
      <c r="N43" s="315">
        <v>0</v>
      </c>
      <c r="O43" s="558"/>
      <c r="P43" s="316">
        <v>0</v>
      </c>
      <c r="Q43" s="558"/>
      <c r="R43" s="317">
        <f>Tabel6689212734[[#This Row],[VAT DW 2017]]+Tabel6689212734[[#This Row],[VAT Sew. 2017]]+Tabel6689212734[[#This Row],[VAT WW 2017]]+Tabel6689212734[[#This Row],[VAT Other ch. 2017]]</f>
        <v>0</v>
      </c>
      <c r="S43" s="318">
        <f>Tabel6689212734[[#This Row],[Total. ch. DW 2017]]+Tabel6689212734[[#This Row],[Sew. 2017]]+Tabel6689212734[[#This Row],[VAT Sew. 2017]]+Tabel6689212734[[#This Row],[WW 2017]]+Tabel6689212734[[#This Row],[VAT WW 2017]]+Tabel6689212734[[#This Row],[Other ch. 2017]]+Tabel6689212734[[#This Row],[VAT Other ch. 2017]]</f>
        <v>450.44871176300302</v>
      </c>
      <c r="T43" s="397"/>
      <c r="U43" s="1840"/>
      <c r="V43" s="1843"/>
      <c r="W43" s="1846"/>
      <c r="X43" s="576"/>
      <c r="Y43" s="1849"/>
      <c r="Z43" s="1852"/>
      <c r="AA43" s="576"/>
      <c r="AB43" s="1855"/>
      <c r="AC43" s="576"/>
      <c r="AD43" s="1858"/>
      <c r="AE43" s="576"/>
      <c r="AF43" s="1873"/>
      <c r="AG43" s="1876"/>
      <c r="AH43" s="397"/>
      <c r="AI43" s="396"/>
      <c r="AJ43" s="398"/>
      <c r="AK43" s="398"/>
      <c r="AL43" s="398"/>
      <c r="AM43" s="398"/>
      <c r="AN43" s="398"/>
      <c r="AO43" s="398"/>
      <c r="AP43" s="397"/>
    </row>
    <row r="44" spans="1:42" ht="19.5" hidden="1" customHeight="1" thickBot="1" x14ac:dyDescent="0.3">
      <c r="A44" s="1835"/>
      <c r="B44" s="277" t="s">
        <v>485</v>
      </c>
      <c r="C44" s="804"/>
      <c r="D44" s="800" t="s">
        <v>1034</v>
      </c>
      <c r="E44" s="1838"/>
      <c r="F44" s="306">
        <v>1.86534</v>
      </c>
      <c r="G44" s="310">
        <f>838.76/F44</f>
        <v>449.65529072447919</v>
      </c>
      <c r="H44" s="311">
        <v>0</v>
      </c>
      <c r="I44" s="312">
        <v>0</v>
      </c>
      <c r="J44" s="558"/>
      <c r="K44" s="313">
        <f>Tabel6689212734[[#This Row],[Fix.ch. 2017]]+Tabel6689212734[[#This Row],[Var. ch. 2017]]+Tabel6689212734[[#This Row],[Oth. ch. DW 2017]]+Tabel6689212734[[#This Row],[VAT DW 2017]]</f>
        <v>449.65529072447919</v>
      </c>
      <c r="L44" s="314">
        <f>838.76/F44</f>
        <v>449.65529072447919</v>
      </c>
      <c r="M44" s="558"/>
      <c r="N44" s="315">
        <v>0</v>
      </c>
      <c r="O44" s="558"/>
      <c r="P44" s="316">
        <v>0</v>
      </c>
      <c r="Q44" s="558"/>
      <c r="R44" s="317">
        <f>Tabel6689212734[[#This Row],[VAT DW 2017]]+Tabel6689212734[[#This Row],[VAT Sew. 2017]]+Tabel6689212734[[#This Row],[VAT WW 2017]]+Tabel6689212734[[#This Row],[VAT Other ch. 2017]]</f>
        <v>0</v>
      </c>
      <c r="S44" s="318">
        <f>Tabel6689212734[[#This Row],[Total. ch. DW 2017]]+Tabel6689212734[[#This Row],[Sew. 2017]]+Tabel6689212734[[#This Row],[VAT Sew. 2017]]+Tabel6689212734[[#This Row],[WW 2017]]+Tabel6689212734[[#This Row],[VAT WW 2017]]+Tabel6689212734[[#This Row],[Other ch. 2017]]+Tabel6689212734[[#This Row],[VAT Other ch. 2017]]</f>
        <v>899.31058144895837</v>
      </c>
      <c r="T44" s="397"/>
      <c r="U44" s="1841"/>
      <c r="V44" s="1844"/>
      <c r="W44" s="1847"/>
      <c r="X44" s="577"/>
      <c r="Y44" s="1850"/>
      <c r="Z44" s="1853"/>
      <c r="AA44" s="577"/>
      <c r="AB44" s="1856"/>
      <c r="AC44" s="577"/>
      <c r="AD44" s="1859"/>
      <c r="AE44" s="577"/>
      <c r="AF44" s="1874"/>
      <c r="AG44" s="1877"/>
      <c r="AH44" s="397"/>
      <c r="AI44" s="396"/>
      <c r="AJ44" s="398"/>
      <c r="AK44" s="398"/>
      <c r="AL44" s="398"/>
      <c r="AM44" s="398"/>
      <c r="AN44" s="398"/>
      <c r="AO44" s="398"/>
      <c r="AP44" s="397"/>
    </row>
    <row r="45" spans="1:42" ht="15.75" hidden="1" customHeight="1" x14ac:dyDescent="0.25">
      <c r="A45" s="1818" t="s">
        <v>7</v>
      </c>
      <c r="B45" s="623" t="s">
        <v>73</v>
      </c>
      <c r="C45" s="802" t="s">
        <v>429</v>
      </c>
      <c r="D45" s="802" t="s">
        <v>1036</v>
      </c>
      <c r="E45" s="1884">
        <v>21600</v>
      </c>
      <c r="F45" s="647">
        <f>'exchange rates'!$O$9</f>
        <v>1.6293800000000001</v>
      </c>
      <c r="G45" s="625">
        <f>(1.17*100)/F45</f>
        <v>71.806453988633706</v>
      </c>
      <c r="H45" s="593">
        <v>0</v>
      </c>
      <c r="I45" s="594">
        <v>0</v>
      </c>
      <c r="J45" s="595">
        <f>(0.23*100)/F45</f>
        <v>14.11579864733825</v>
      </c>
      <c r="K45" s="566">
        <f>Tabel6689212734[[#This Row],[Fix.ch. 2017]]+Tabel6689212734[[#This Row],[Var. ch. 2017]]+Tabel6689212734[[#This Row],[Oth. ch. DW 2017]]+Tabel6689212734[[#This Row],[VAT DW 2017]]</f>
        <v>85.922252635971958</v>
      </c>
      <c r="L45" s="596">
        <f>(0.34*100)/F45</f>
        <v>20.866832783021763</v>
      </c>
      <c r="M45" s="595">
        <f>(0.07*100)/F45</f>
        <v>4.2961126317985983</v>
      </c>
      <c r="N45" s="626">
        <f>(0.29*100)/F45</f>
        <v>17.798180903165619</v>
      </c>
      <c r="O45" s="595">
        <f>(0.06*100)/F45</f>
        <v>3.68238225582737</v>
      </c>
      <c r="P45" s="597">
        <v>0</v>
      </c>
      <c r="Q45" s="595">
        <v>0</v>
      </c>
      <c r="R45" s="570">
        <f>Tabel6689212734[[#This Row],[VAT DW 2017]]+Tabel6689212734[[#This Row],[VAT Sew. 2017]]+Tabel6689212734[[#This Row],[VAT WW 2017]]+Tabel6689212734[[#This Row],[VAT Other ch. 2017]]</f>
        <v>22.094293534964219</v>
      </c>
      <c r="S45" s="571">
        <f>Tabel6689212734[[#This Row],[Total. ch. DW 2017]]+Tabel6689212734[[#This Row],[Sew. 2017]]+Tabel6689212734[[#This Row],[VAT Sew. 2017]]+Tabel6689212734[[#This Row],[WW 2017]]+Tabel6689212734[[#This Row],[VAT WW 2017]]+Tabel6689212734[[#This Row],[Other ch. 2017]]+Tabel6689212734[[#This Row],[VAT Other ch. 2017]]</f>
        <v>132.56576120978531</v>
      </c>
      <c r="T45" s="397"/>
      <c r="U45" s="1885">
        <f>MEDIAN(G45:G49)</f>
        <v>90.832095643741795</v>
      </c>
      <c r="V45" s="1887">
        <f t="shared" ref="V45:X45" si="4">MEDIAN(H45:H49)</f>
        <v>0</v>
      </c>
      <c r="W45" s="1889">
        <f t="shared" si="4"/>
        <v>0</v>
      </c>
      <c r="X45" s="1771">
        <f t="shared" si="4"/>
        <v>18.411911279136849</v>
      </c>
      <c r="Y45" s="1891">
        <f>SUM(U45:X49)</f>
        <v>109.24400692287864</v>
      </c>
      <c r="Z45" s="1893">
        <f t="shared" ref="Z45:AF45" si="5">MEDIAN(L45:L49)</f>
        <v>7.36476451165474</v>
      </c>
      <c r="AA45" s="1771">
        <f t="shared" si="5"/>
        <v>1.2274607519424565</v>
      </c>
      <c r="AB45" s="1910">
        <f t="shared" si="5"/>
        <v>19.025641655108078</v>
      </c>
      <c r="AC45" s="1771">
        <f t="shared" si="5"/>
        <v>3.68238225582737</v>
      </c>
      <c r="AD45" s="1912">
        <f t="shared" si="5"/>
        <v>0</v>
      </c>
      <c r="AE45" s="1771">
        <f t="shared" si="5"/>
        <v>0</v>
      </c>
      <c r="AF45" s="1914">
        <f t="shared" si="5"/>
        <v>26.390406166762816</v>
      </c>
      <c r="AG45" s="1909">
        <f>Y45+Z45+AA45+AB45+AC45+AD45+AE45</f>
        <v>140.54425609741131</v>
      </c>
      <c r="AH45" s="397"/>
      <c r="AI45" s="396"/>
      <c r="AJ45" s="396"/>
      <c r="AK45" s="396"/>
      <c r="AL45" s="396"/>
      <c r="AM45" s="396"/>
      <c r="AN45" s="396"/>
      <c r="AO45" s="398"/>
      <c r="AP45" s="397"/>
    </row>
    <row r="46" spans="1:42" ht="15.75" hidden="1" customHeight="1" x14ac:dyDescent="0.25">
      <c r="A46" s="1819"/>
      <c r="B46" s="685" t="s">
        <v>74</v>
      </c>
      <c r="C46" s="802"/>
      <c r="D46" s="802" t="s">
        <v>1036</v>
      </c>
      <c r="E46" s="1880"/>
      <c r="F46" s="647">
        <f>'exchange rates'!$O$9</f>
        <v>1.6293800000000001</v>
      </c>
      <c r="G46" s="625">
        <f>(1.29*100)/F46</f>
        <v>79.171218500288447</v>
      </c>
      <c r="H46" s="593">
        <v>0</v>
      </c>
      <c r="I46" s="594">
        <v>0</v>
      </c>
      <c r="J46" s="595">
        <f>(0.26*100)/F46</f>
        <v>15.956989775251936</v>
      </c>
      <c r="K46" s="566">
        <f>Tabel6689212734[[#This Row],[Fix.ch. 2017]]+Tabel6689212734[[#This Row],[Var. ch. 2017]]+Tabel6689212734[[#This Row],[Oth. ch. DW 2017]]+Tabel6689212734[[#This Row],[VAT DW 2017]]</f>
        <v>95.128208275540388</v>
      </c>
      <c r="L46" s="596">
        <f>(0.29*100)/F46</f>
        <v>17.798180903165619</v>
      </c>
      <c r="M46" s="595">
        <f>(0.06*100)/F46</f>
        <v>3.68238225582737</v>
      </c>
      <c r="N46" s="626">
        <f>(0.56*100)/F46</f>
        <v>34.368901054388786</v>
      </c>
      <c r="O46" s="595">
        <f>(0.11*100)/F46</f>
        <v>6.7510341356835113</v>
      </c>
      <c r="P46" s="597">
        <v>0</v>
      </c>
      <c r="Q46" s="595">
        <v>0</v>
      </c>
      <c r="R46" s="570">
        <f>Tabel6689212734[[#This Row],[VAT DW 2017]]+Tabel6689212734[[#This Row],[VAT Sew. 2017]]+Tabel6689212734[[#This Row],[VAT WW 2017]]+Tabel6689212734[[#This Row],[VAT Other ch. 2017]]</f>
        <v>26.390406166762816</v>
      </c>
      <c r="S46" s="571">
        <f>Tabel6689212734[[#This Row],[Total. ch. DW 2017]]+Tabel6689212734[[#This Row],[Sew. 2017]]+Tabel6689212734[[#This Row],[VAT Sew. 2017]]+Tabel6689212734[[#This Row],[WW 2017]]+Tabel6689212734[[#This Row],[VAT WW 2017]]+Tabel6689212734[[#This Row],[Other ch. 2017]]+Tabel6689212734[[#This Row],[VAT Other ch. 2017]]</f>
        <v>157.72870662460568</v>
      </c>
      <c r="T46" s="397"/>
      <c r="U46" s="1886"/>
      <c r="V46" s="1888"/>
      <c r="W46" s="1890"/>
      <c r="X46" s="1772"/>
      <c r="Y46" s="1892"/>
      <c r="Z46" s="1894"/>
      <c r="AA46" s="1772"/>
      <c r="AB46" s="1911"/>
      <c r="AC46" s="1772"/>
      <c r="AD46" s="1913"/>
      <c r="AE46" s="1772"/>
      <c r="AF46" s="1915"/>
      <c r="AG46" s="1832"/>
      <c r="AH46" s="397"/>
      <c r="AI46" s="396"/>
      <c r="AJ46" s="396"/>
      <c r="AK46" s="396"/>
      <c r="AL46" s="396"/>
      <c r="AM46" s="396"/>
      <c r="AN46" s="396"/>
      <c r="AO46" s="398"/>
      <c r="AP46" s="397"/>
    </row>
    <row r="47" spans="1:42" ht="15.75" hidden="1" customHeight="1" x14ac:dyDescent="0.25">
      <c r="A47" s="1819"/>
      <c r="B47" s="685" t="s">
        <v>75</v>
      </c>
      <c r="C47" s="802"/>
      <c r="D47" s="802" t="s">
        <v>1036</v>
      </c>
      <c r="E47" s="1880"/>
      <c r="F47" s="647">
        <f>'exchange rates'!$O$9</f>
        <v>1.6293800000000001</v>
      </c>
      <c r="G47" s="625">
        <f>(1.48*100)/F47</f>
        <v>90.832095643741795</v>
      </c>
      <c r="H47" s="593">
        <v>0</v>
      </c>
      <c r="I47" s="594">
        <v>0</v>
      </c>
      <c r="J47" s="595">
        <f>(0.3*100)/F47</f>
        <v>18.411911279136849</v>
      </c>
      <c r="K47" s="566">
        <f>Tabel6689212734[[#This Row],[Fix.ch. 2017]]+Tabel6689212734[[#This Row],[Var. ch. 2017]]+Tabel6689212734[[#This Row],[Oth. ch. DW 2017]]+Tabel6689212734[[#This Row],[VAT DW 2017]]</f>
        <v>109.24400692287864</v>
      </c>
      <c r="L47" s="596">
        <f>(0.12*100)/F47</f>
        <v>7.36476451165474</v>
      </c>
      <c r="M47" s="595">
        <f>(0.02*100)/F47</f>
        <v>1.2274607519424565</v>
      </c>
      <c r="N47" s="626">
        <f>(0.31*100)/F47</f>
        <v>19.025641655108078</v>
      </c>
      <c r="O47" s="595">
        <f t="shared" ref="O47" si="6">(0.06*100)/F47</f>
        <v>3.68238225582737</v>
      </c>
      <c r="P47" s="597">
        <v>0</v>
      </c>
      <c r="Q47" s="595">
        <v>0</v>
      </c>
      <c r="R47" s="570">
        <f>Tabel6689212734[[#This Row],[VAT DW 2017]]+Tabel6689212734[[#This Row],[VAT Sew. 2017]]+Tabel6689212734[[#This Row],[VAT WW 2017]]+Tabel6689212734[[#This Row],[VAT Other ch. 2017]]</f>
        <v>23.321754286906675</v>
      </c>
      <c r="S47" s="571">
        <f>Tabel6689212734[[#This Row],[Total. ch. DW 2017]]+Tabel6689212734[[#This Row],[Sew. 2017]]+Tabel6689212734[[#This Row],[VAT Sew. 2017]]+Tabel6689212734[[#This Row],[WW 2017]]+Tabel6689212734[[#This Row],[VAT WW 2017]]+Tabel6689212734[[#This Row],[Other ch. 2017]]+Tabel6689212734[[#This Row],[VAT Other ch. 2017]]</f>
        <v>140.54425609741131</v>
      </c>
      <c r="T47" s="397"/>
      <c r="U47" s="1886"/>
      <c r="V47" s="1888"/>
      <c r="W47" s="1890"/>
      <c r="X47" s="1772"/>
      <c r="Y47" s="1892"/>
      <c r="Z47" s="1894"/>
      <c r="AA47" s="1772"/>
      <c r="AB47" s="1911"/>
      <c r="AC47" s="1772"/>
      <c r="AD47" s="1913"/>
      <c r="AE47" s="1772"/>
      <c r="AF47" s="1915"/>
      <c r="AG47" s="1832"/>
      <c r="AH47" s="397"/>
      <c r="AI47" s="396"/>
      <c r="AJ47" s="396"/>
      <c r="AK47" s="396"/>
      <c r="AL47" s="396"/>
      <c r="AM47" s="396"/>
      <c r="AN47" s="396"/>
      <c r="AO47" s="398"/>
      <c r="AP47" s="397"/>
    </row>
    <row r="48" spans="1:42" ht="15.75" hidden="1" customHeight="1" x14ac:dyDescent="0.25">
      <c r="A48" s="1819"/>
      <c r="B48" s="685" t="s">
        <v>76</v>
      </c>
      <c r="C48" s="802"/>
      <c r="D48" s="802" t="s">
        <v>1036</v>
      </c>
      <c r="E48" s="1880"/>
      <c r="F48" s="647">
        <f>'exchange rates'!$O$9</f>
        <v>1.6293800000000001</v>
      </c>
      <c r="G48" s="625">
        <f>(2.1*100)/F48</f>
        <v>128.88337895395793</v>
      </c>
      <c r="H48" s="593">
        <v>0</v>
      </c>
      <c r="I48" s="594">
        <v>0</v>
      </c>
      <c r="J48" s="595">
        <f>(0.42*100)/F48</f>
        <v>25.77667579079159</v>
      </c>
      <c r="K48" s="566">
        <f>Tabel6689212734[[#This Row],[Fix.ch. 2017]]+Tabel6689212734[[#This Row],[Var. ch. 2017]]+Tabel6689212734[[#This Row],[Oth. ch. DW 2017]]+Tabel6689212734[[#This Row],[VAT DW 2017]]</f>
        <v>154.66005474474952</v>
      </c>
      <c r="L48" s="596">
        <f>(0.08*100)/F48</f>
        <v>4.9098430077698261</v>
      </c>
      <c r="M48" s="595">
        <f>(0.02*100)/F48</f>
        <v>1.2274607519424565</v>
      </c>
      <c r="N48" s="626">
        <f>(0.17*100)/F48</f>
        <v>10.433416391510882</v>
      </c>
      <c r="O48" s="595">
        <f>(0.03*100)/F48</f>
        <v>1.841191127913685</v>
      </c>
      <c r="P48" s="597">
        <v>0</v>
      </c>
      <c r="Q48" s="595">
        <v>0</v>
      </c>
      <c r="R48" s="570">
        <f>Tabel6689212734[[#This Row],[VAT DW 2017]]+Tabel6689212734[[#This Row],[VAT Sew. 2017]]+Tabel6689212734[[#This Row],[VAT WW 2017]]+Tabel6689212734[[#This Row],[VAT Other ch. 2017]]</f>
        <v>28.84532767064773</v>
      </c>
      <c r="S48" s="571">
        <f>Tabel6689212734[[#This Row],[Total. ch. DW 2017]]+Tabel6689212734[[#This Row],[Sew. 2017]]+Tabel6689212734[[#This Row],[VAT Sew. 2017]]+Tabel6689212734[[#This Row],[WW 2017]]+Tabel6689212734[[#This Row],[VAT WW 2017]]+Tabel6689212734[[#This Row],[Other ch. 2017]]+Tabel6689212734[[#This Row],[VAT Other ch. 2017]]</f>
        <v>173.07196602388638</v>
      </c>
      <c r="T48" s="397"/>
      <c r="U48" s="1886"/>
      <c r="V48" s="1888"/>
      <c r="W48" s="1890"/>
      <c r="X48" s="1772"/>
      <c r="Y48" s="1892"/>
      <c r="Z48" s="1894"/>
      <c r="AA48" s="1772"/>
      <c r="AB48" s="1911"/>
      <c r="AC48" s="1772"/>
      <c r="AD48" s="1913"/>
      <c r="AE48" s="1772"/>
      <c r="AF48" s="1915"/>
      <c r="AG48" s="1832"/>
      <c r="AH48" s="397"/>
      <c r="AI48" s="396"/>
      <c r="AJ48" s="396"/>
      <c r="AK48" s="396"/>
      <c r="AL48" s="396"/>
      <c r="AM48" s="396"/>
      <c r="AN48" s="396"/>
      <c r="AO48" s="398"/>
      <c r="AP48" s="397"/>
    </row>
    <row r="49" spans="1:42" ht="16.5" hidden="1" customHeight="1" thickBot="1" x14ac:dyDescent="0.3">
      <c r="A49" s="1820"/>
      <c r="B49" s="624" t="s">
        <v>77</v>
      </c>
      <c r="C49" s="802"/>
      <c r="D49" s="802" t="s">
        <v>1036</v>
      </c>
      <c r="E49" s="1799"/>
      <c r="F49" s="647">
        <f>'exchange rates'!$O$9</f>
        <v>1.6293800000000001</v>
      </c>
      <c r="G49" s="625">
        <f>(1.81*100)/F49</f>
        <v>111.08519805079233</v>
      </c>
      <c r="H49" s="593">
        <v>0</v>
      </c>
      <c r="I49" s="594">
        <v>0</v>
      </c>
      <c r="J49" s="595">
        <f>(0.36*100)/F49</f>
        <v>22.094293534964219</v>
      </c>
      <c r="K49" s="566">
        <f>Tabel6689212734[[#This Row],[Fix.ch. 2017]]+Tabel6689212734[[#This Row],[Var. ch. 2017]]+Tabel6689212734[[#This Row],[Oth. ch. DW 2017]]+Tabel6689212734[[#This Row],[VAT DW 2017]]</f>
        <v>133.17949158575655</v>
      </c>
      <c r="L49" s="596">
        <f>(0.1*100)/F49</f>
        <v>6.1373037597122826</v>
      </c>
      <c r="M49" s="595">
        <f>(0.02*100)/F49</f>
        <v>1.2274607519424565</v>
      </c>
      <c r="N49" s="626">
        <f>(0.36*100)/F49</f>
        <v>22.094293534964219</v>
      </c>
      <c r="O49" s="595">
        <f>(0.07*100)/F49</f>
        <v>4.2961126317985983</v>
      </c>
      <c r="P49" s="597">
        <v>0</v>
      </c>
      <c r="Q49" s="595">
        <v>0</v>
      </c>
      <c r="R49" s="570">
        <f>Tabel6689212734[[#This Row],[VAT DW 2017]]+Tabel6689212734[[#This Row],[VAT Sew. 2017]]+Tabel6689212734[[#This Row],[VAT WW 2017]]+Tabel6689212734[[#This Row],[VAT Other ch. 2017]]</f>
        <v>27.617866918705275</v>
      </c>
      <c r="S49" s="571">
        <f>Tabel6689212734[[#This Row],[Total. ch. DW 2017]]+Tabel6689212734[[#This Row],[Sew. 2017]]+Tabel6689212734[[#This Row],[VAT Sew. 2017]]+Tabel6689212734[[#This Row],[WW 2017]]+Tabel6689212734[[#This Row],[VAT WW 2017]]+Tabel6689212734[[#This Row],[Other ch. 2017]]+Tabel6689212734[[#This Row],[VAT Other ch. 2017]]</f>
        <v>166.93466226417411</v>
      </c>
      <c r="T49" s="397"/>
      <c r="U49" s="1801"/>
      <c r="V49" s="1803"/>
      <c r="W49" s="1805"/>
      <c r="X49" s="1773"/>
      <c r="Y49" s="1807"/>
      <c r="Z49" s="1809"/>
      <c r="AA49" s="1773"/>
      <c r="AB49" s="1782"/>
      <c r="AC49" s="1773"/>
      <c r="AD49" s="1786"/>
      <c r="AE49" s="1773"/>
      <c r="AF49" s="1789"/>
      <c r="AG49" s="1792"/>
      <c r="AH49" s="397"/>
      <c r="AI49" s="396"/>
      <c r="AJ49" s="396"/>
      <c r="AK49" s="396"/>
      <c r="AL49" s="396"/>
      <c r="AM49" s="396"/>
      <c r="AN49" s="396"/>
      <c r="AO49" s="398"/>
      <c r="AP49" s="397"/>
    </row>
    <row r="50" spans="1:42" ht="16.5" hidden="1" customHeight="1" thickBot="1" x14ac:dyDescent="0.3">
      <c r="A50" s="961" t="s">
        <v>501</v>
      </c>
      <c r="B50" s="265" t="s">
        <v>504</v>
      </c>
      <c r="C50" s="1045"/>
      <c r="D50" s="811" t="s">
        <v>1038</v>
      </c>
      <c r="E50" s="300">
        <v>1500</v>
      </c>
      <c r="F50" s="305">
        <v>506.17869999999999</v>
      </c>
      <c r="G50" s="310">
        <f>12000/F50</f>
        <v>23.707042591875162</v>
      </c>
      <c r="H50" s="311">
        <f>64348/F50</f>
        <v>127.12506472516525</v>
      </c>
      <c r="I50" s="312">
        <v>0</v>
      </c>
      <c r="J50" s="558"/>
      <c r="K50" s="313">
        <f>Tabel6689212734[[#This Row],[Fix.ch. 2017]]+Tabel6689212734[[#This Row],[Var. ch. 2017]]+Tabel6689212734[[#This Row],[Oth. ch. DW 2017]]+Tabel6689212734[[#This Row],[VAT DW 2017]]</f>
        <v>150.8321073170404</v>
      </c>
      <c r="L50" s="314">
        <f>12000/F50</f>
        <v>23.707042591875162</v>
      </c>
      <c r="M50" s="558"/>
      <c r="N50" s="315">
        <v>0</v>
      </c>
      <c r="O50" s="558"/>
      <c r="P50" s="316">
        <v>0</v>
      </c>
      <c r="Q50" s="558"/>
      <c r="R50" s="317">
        <f>Tabel6689212734[[#This Row],[VAT DW 2017]]+Tabel6689212734[[#This Row],[VAT Sew. 2017]]+Tabel6689212734[[#This Row],[VAT WW 2017]]+Tabel6689212734[[#This Row],[VAT Other ch. 2017]]</f>
        <v>0</v>
      </c>
      <c r="S50" s="318">
        <f>Tabel6689212734[[#This Row],[Total. ch. DW 2017]]+Tabel6689212734[[#This Row],[Sew. 2017]]+Tabel6689212734[[#This Row],[VAT Sew. 2017]]+Tabel6689212734[[#This Row],[WW 2017]]+Tabel6689212734[[#This Row],[VAT WW 2017]]+Tabel6689212734[[#This Row],[Other ch. 2017]]+Tabel6689212734[[#This Row],[VAT Other ch. 2017]]</f>
        <v>174.53914990891556</v>
      </c>
      <c r="T50" s="397"/>
      <c r="U50" s="1016">
        <f>Tabel6689212734[[#This Row],[Fix.ch. 2017]]</f>
        <v>23.707042591875162</v>
      </c>
      <c r="V50" s="1009">
        <f>Tabel6689212734[[#This Row],[Var. ch. 2017]]</f>
        <v>127.12506472516525</v>
      </c>
      <c r="W50" s="1008">
        <v>0</v>
      </c>
      <c r="X50" s="576"/>
      <c r="Y50" s="991">
        <f>Tabel6689212734[[#This Row],[Total. ch. DW 2017]]</f>
        <v>150.8321073170404</v>
      </c>
      <c r="Z50" s="1024">
        <f>Tabel6689212734[[#This Row],[Sew. 2017]]</f>
        <v>23.707042591875162</v>
      </c>
      <c r="AA50" s="576"/>
      <c r="AB50" s="1023">
        <v>0</v>
      </c>
      <c r="AC50" s="576"/>
      <c r="AD50" s="973">
        <v>0</v>
      </c>
      <c r="AE50" s="576"/>
      <c r="AF50" s="1027">
        <f>Tabel6689212734[[#This Row],[Total VAT 2017]]</f>
        <v>0</v>
      </c>
      <c r="AG50" s="1026">
        <f>Tabel6689212734[[#This Row],[total charge 2017]]</f>
        <v>174.53914990891556</v>
      </c>
      <c r="AH50" s="397"/>
      <c r="AI50" s="396"/>
      <c r="AJ50" s="396"/>
      <c r="AK50" s="396"/>
      <c r="AL50" s="396" t="s">
        <v>429</v>
      </c>
      <c r="AM50" s="396" t="s">
        <v>429</v>
      </c>
      <c r="AN50" s="396"/>
      <c r="AO50" s="398"/>
      <c r="AP50" s="397"/>
    </row>
    <row r="51" spans="1:42" ht="16.5" hidden="1" customHeight="1" x14ac:dyDescent="0.25">
      <c r="A51" s="1878" t="s">
        <v>343</v>
      </c>
      <c r="B51" s="740" t="s">
        <v>548</v>
      </c>
      <c r="C51" s="806"/>
      <c r="D51" s="806" t="s">
        <v>1040</v>
      </c>
      <c r="E51" s="1798">
        <v>48100</v>
      </c>
      <c r="F51" s="647">
        <f>'exchange rates'!$O$11</f>
        <v>1.25759</v>
      </c>
      <c r="G51" s="625">
        <f>187.08/F51</f>
        <v>148.76072487853753</v>
      </c>
      <c r="H51" s="593">
        <f>173.92/F51</f>
        <v>138.29626507844367</v>
      </c>
      <c r="I51" s="594">
        <v>0</v>
      </c>
      <c r="J51" s="595">
        <v>0</v>
      </c>
      <c r="K51" s="566">
        <f>Tabel6689212734[[#This Row],[Fix.ch. 2017]]+Tabel6689212734[[#This Row],[Var. ch. 2017]]+Tabel6689212734[[#This Row],[Oth. ch. DW 2017]]+Tabel6689212734[[#This Row],[VAT DW 2017]]</f>
        <v>287.05698995698117</v>
      </c>
      <c r="L51" s="596">
        <v>0</v>
      </c>
      <c r="M51" s="595">
        <v>0</v>
      </c>
      <c r="N51" s="626">
        <f>436/F51</f>
        <v>346.69486875690808</v>
      </c>
      <c r="O51" s="595">
        <v>0</v>
      </c>
      <c r="P51" s="597">
        <v>0</v>
      </c>
      <c r="Q51" s="595">
        <v>0</v>
      </c>
      <c r="R51" s="570">
        <f>Tabel6689212734[[#This Row],[VAT DW 2017]]+Tabel6689212734[[#This Row],[VAT Sew. 2017]]+Tabel6689212734[[#This Row],[VAT WW 2017]]+Tabel6689212734[[#This Row],[VAT Other ch. 2017]]</f>
        <v>0</v>
      </c>
      <c r="S51" s="571">
        <f>Tabel6689212734[[#This Row],[Total. ch. DW 2017]]+Tabel6689212734[[#This Row],[Sew. 2017]]+Tabel6689212734[[#This Row],[VAT Sew. 2017]]+Tabel6689212734[[#This Row],[WW 2017]]+Tabel6689212734[[#This Row],[VAT WW 2017]]+Tabel6689212734[[#This Row],[Other ch. 2017]]+Tabel6689212734[[#This Row],[VAT Other ch. 2017]]</f>
        <v>633.75185871388931</v>
      </c>
      <c r="T51" s="397"/>
      <c r="U51" s="1800">
        <f>MEDIAN(G51:G56)</f>
        <v>158.20736488044594</v>
      </c>
      <c r="V51" s="1802">
        <f>MEDIAN(H51:H56)</f>
        <v>139.78323618985519</v>
      </c>
      <c r="W51" s="1804">
        <f>MEDIAN(I51:I56)</f>
        <v>0</v>
      </c>
      <c r="X51" s="1771">
        <f>MEDIAN(J51:J56)</f>
        <v>0</v>
      </c>
      <c r="Y51" s="1806">
        <f>SUM(U51:X56)</f>
        <v>297.99060107030112</v>
      </c>
      <c r="Z51" s="1808">
        <f t="shared" ref="Z51:AF51" si="7">MEDIAN(L51:L56)</f>
        <v>0</v>
      </c>
      <c r="AA51" s="1771">
        <f t="shared" si="7"/>
        <v>0</v>
      </c>
      <c r="AB51" s="1780">
        <f t="shared" si="7"/>
        <v>227.02152529838821</v>
      </c>
      <c r="AC51" s="1771">
        <f t="shared" si="7"/>
        <v>0</v>
      </c>
      <c r="AD51" s="1784">
        <f t="shared" si="7"/>
        <v>0</v>
      </c>
      <c r="AE51" s="1771">
        <f t="shared" si="7"/>
        <v>0</v>
      </c>
      <c r="AF51" s="1787">
        <f t="shared" si="7"/>
        <v>0</v>
      </c>
      <c r="AG51" s="1790">
        <f>Y51+Z51+AA51+AB51+AC51+AD51+AE51</f>
        <v>525.01212636868934</v>
      </c>
      <c r="AH51" s="397"/>
      <c r="AI51" s="396"/>
      <c r="AJ51" s="591" t="s">
        <v>429</v>
      </c>
      <c r="AK51" s="591"/>
      <c r="AL51" s="591"/>
      <c r="AM51" s="591" t="s">
        <v>429</v>
      </c>
      <c r="AN51" s="591" t="s">
        <v>429</v>
      </c>
      <c r="AO51" s="398"/>
      <c r="AP51" s="397"/>
    </row>
    <row r="52" spans="1:42" ht="16.5" hidden="1" customHeight="1" x14ac:dyDescent="0.25">
      <c r="A52" s="1757"/>
      <c r="B52" s="724" t="s">
        <v>940</v>
      </c>
      <c r="C52" s="724" t="s">
        <v>429</v>
      </c>
      <c r="D52" s="724" t="s">
        <v>1040</v>
      </c>
      <c r="E52" s="1760"/>
      <c r="F52" s="647">
        <f>'exchange rates'!$O$11</f>
        <v>1.25759</v>
      </c>
      <c r="G52" s="625">
        <f>109.68/F52</f>
        <v>87.214433957013028</v>
      </c>
      <c r="H52" s="593">
        <f>188.32/F52</f>
        <v>149.74673780802965</v>
      </c>
      <c r="I52" s="594">
        <v>0</v>
      </c>
      <c r="J52" s="595">
        <v>0</v>
      </c>
      <c r="K52" s="566">
        <f>Tabel6689212734[[#This Row],[Fix.ch. 2017]]+Tabel6689212734[[#This Row],[Var. ch. 2017]]+Tabel6689212734[[#This Row],[Oth. ch. DW 2017]]+Tabel6689212734[[#This Row],[VAT DW 2017]]</f>
        <v>236.96117176504268</v>
      </c>
      <c r="L52" s="596">
        <v>0</v>
      </c>
      <c r="M52" s="595">
        <v>0</v>
      </c>
      <c r="N52" s="626">
        <f>317/F52</f>
        <v>252.06943439435747</v>
      </c>
      <c r="O52" s="595">
        <v>0</v>
      </c>
      <c r="P52" s="597">
        <v>0</v>
      </c>
      <c r="Q52" s="595">
        <v>0</v>
      </c>
      <c r="R52" s="570">
        <f>Tabel6689212734[[#This Row],[VAT DW 2017]]+Tabel6689212734[[#This Row],[VAT Sew. 2017]]+Tabel6689212734[[#This Row],[VAT WW 2017]]+Tabel6689212734[[#This Row],[VAT Other ch. 2017]]</f>
        <v>0</v>
      </c>
      <c r="S52" s="571">
        <f>Tabel6689212734[[#This Row],[Total. ch. DW 2017]]+Tabel6689212734[[#This Row],[Sew. 2017]]+Tabel6689212734[[#This Row],[VAT Sew. 2017]]+Tabel6689212734[[#This Row],[WW 2017]]+Tabel6689212734[[#This Row],[VAT WW 2017]]+Tabel6689212734[[#This Row],[Other ch. 2017]]+Tabel6689212734[[#This Row],[VAT Other ch. 2017]]</f>
        <v>489.03060615940012</v>
      </c>
      <c r="T52" s="397"/>
      <c r="U52" s="1763"/>
      <c r="V52" s="1766"/>
      <c r="W52" s="1769"/>
      <c r="X52" s="1772"/>
      <c r="Y52" s="1775"/>
      <c r="Z52" s="1778"/>
      <c r="AA52" s="1772"/>
      <c r="AB52" s="1781"/>
      <c r="AC52" s="1772"/>
      <c r="AD52" s="1785"/>
      <c r="AE52" s="1772"/>
      <c r="AF52" s="1788"/>
      <c r="AG52" s="1791"/>
      <c r="AH52" s="397"/>
      <c r="AI52" s="396"/>
      <c r="AJ52" s="591" t="s">
        <v>429</v>
      </c>
      <c r="AK52" s="591"/>
      <c r="AL52" s="591"/>
      <c r="AM52" s="591" t="s">
        <v>429</v>
      </c>
      <c r="AN52" s="591" t="s">
        <v>429</v>
      </c>
      <c r="AO52" s="398"/>
      <c r="AP52" s="397"/>
    </row>
    <row r="53" spans="1:42" ht="16.5" hidden="1" customHeight="1" x14ac:dyDescent="0.25">
      <c r="A53" s="1757"/>
      <c r="B53" s="724" t="s">
        <v>549</v>
      </c>
      <c r="C53" s="724"/>
      <c r="D53" s="724" t="s">
        <v>1040</v>
      </c>
      <c r="E53" s="1760"/>
      <c r="F53" s="647">
        <f>'exchange rates'!$O$11</f>
        <v>1.25759</v>
      </c>
      <c r="G53" s="625">
        <f>179.34/F53</f>
        <v>142.60609578638508</v>
      </c>
      <c r="H53" s="593">
        <f>177.66/F53</f>
        <v>141.27020730126671</v>
      </c>
      <c r="I53" s="594">
        <v>0</v>
      </c>
      <c r="J53" s="595">
        <v>0</v>
      </c>
      <c r="K53" s="566">
        <f>Tabel6689212734[[#This Row],[Fix.ch. 2017]]+Tabel6689212734[[#This Row],[Var. ch. 2017]]+Tabel6689212734[[#This Row],[Oth. ch. DW 2017]]+Tabel6689212734[[#This Row],[VAT DW 2017]]</f>
        <v>283.87630308765176</v>
      </c>
      <c r="L53" s="596">
        <v>0</v>
      </c>
      <c r="M53" s="595">
        <v>0</v>
      </c>
      <c r="N53" s="626">
        <f>254/F53</f>
        <v>201.97361620241892</v>
      </c>
      <c r="O53" s="595">
        <v>0</v>
      </c>
      <c r="P53" s="597">
        <v>0</v>
      </c>
      <c r="Q53" s="595">
        <v>0</v>
      </c>
      <c r="R53" s="570">
        <f>Tabel6689212734[[#This Row],[VAT DW 2017]]+Tabel6689212734[[#This Row],[VAT Sew. 2017]]+Tabel6689212734[[#This Row],[VAT WW 2017]]+Tabel6689212734[[#This Row],[VAT Other ch. 2017]]</f>
        <v>0</v>
      </c>
      <c r="S53" s="571">
        <f>Tabel6689212734[[#This Row],[Total. ch. DW 2017]]+Tabel6689212734[[#This Row],[Sew. 2017]]+Tabel6689212734[[#This Row],[VAT Sew. 2017]]+Tabel6689212734[[#This Row],[WW 2017]]+Tabel6689212734[[#This Row],[VAT WW 2017]]+Tabel6689212734[[#This Row],[Other ch. 2017]]+Tabel6689212734[[#This Row],[VAT Other ch. 2017]]</f>
        <v>485.84991929007072</v>
      </c>
      <c r="T53" s="397"/>
      <c r="U53" s="1763"/>
      <c r="V53" s="1766"/>
      <c r="W53" s="1769"/>
      <c r="X53" s="1772"/>
      <c r="Y53" s="1775"/>
      <c r="Z53" s="1778"/>
      <c r="AA53" s="1772"/>
      <c r="AB53" s="1781"/>
      <c r="AC53" s="1772"/>
      <c r="AD53" s="1785"/>
      <c r="AE53" s="1772"/>
      <c r="AF53" s="1788"/>
      <c r="AG53" s="1791"/>
      <c r="AH53" s="397"/>
      <c r="AI53" s="396"/>
      <c r="AJ53" s="591" t="s">
        <v>429</v>
      </c>
      <c r="AK53" s="591"/>
      <c r="AL53" s="591"/>
      <c r="AM53" s="591" t="s">
        <v>429</v>
      </c>
      <c r="AN53" s="591" t="s">
        <v>429</v>
      </c>
      <c r="AO53" s="398"/>
      <c r="AP53" s="397"/>
    </row>
    <row r="54" spans="1:42" ht="16.5" hidden="1" customHeight="1" x14ac:dyDescent="0.25">
      <c r="A54" s="1757"/>
      <c r="B54" s="724" t="s">
        <v>722</v>
      </c>
      <c r="C54" s="724"/>
      <c r="D54" s="724" t="s">
        <v>1040</v>
      </c>
      <c r="E54" s="1760"/>
      <c r="F54" s="647">
        <f>'exchange rates'!$O$11</f>
        <v>1.25759</v>
      </c>
      <c r="G54" s="625">
        <f>240/F54</f>
        <v>190.84121215976592</v>
      </c>
      <c r="H54" s="593">
        <f>358/F54</f>
        <v>284.67147480498414</v>
      </c>
      <c r="I54" s="594">
        <v>0</v>
      </c>
      <c r="J54" s="595">
        <v>0</v>
      </c>
      <c r="K54" s="566">
        <f>Tabel6689212734[[#This Row],[Fix.ch. 2017]]+Tabel6689212734[[#This Row],[Var. ch. 2017]]+Tabel6689212734[[#This Row],[Oth. ch. DW 2017]]+Tabel6689212734[[#This Row],[VAT DW 2017]]</f>
        <v>475.51268696475006</v>
      </c>
      <c r="L54" s="596">
        <v>0</v>
      </c>
      <c r="M54" s="595">
        <v>0</v>
      </c>
      <c r="N54" s="626">
        <f>247/F54</f>
        <v>196.40741418109241</v>
      </c>
      <c r="O54" s="595">
        <v>0</v>
      </c>
      <c r="P54" s="597">
        <v>0</v>
      </c>
      <c r="Q54" s="595">
        <v>0</v>
      </c>
      <c r="R54" s="570">
        <f>Tabel6689212734[[#This Row],[VAT DW 2017]]+Tabel6689212734[[#This Row],[VAT Sew. 2017]]+Tabel6689212734[[#This Row],[VAT WW 2017]]+Tabel6689212734[[#This Row],[VAT Other ch. 2017]]</f>
        <v>0</v>
      </c>
      <c r="S54" s="571">
        <f>Tabel6689212734[[#This Row],[Total. ch. DW 2017]]+Tabel6689212734[[#This Row],[Sew. 2017]]+Tabel6689212734[[#This Row],[VAT Sew. 2017]]+Tabel6689212734[[#This Row],[WW 2017]]+Tabel6689212734[[#This Row],[VAT WW 2017]]+Tabel6689212734[[#This Row],[Other ch. 2017]]+Tabel6689212734[[#This Row],[VAT Other ch. 2017]]</f>
        <v>671.92010114584241</v>
      </c>
      <c r="T54" s="397"/>
      <c r="U54" s="1763"/>
      <c r="V54" s="1766"/>
      <c r="W54" s="1769"/>
      <c r="X54" s="1772"/>
      <c r="Y54" s="1775"/>
      <c r="Z54" s="1778"/>
      <c r="AA54" s="1772"/>
      <c r="AB54" s="1781"/>
      <c r="AC54" s="1772"/>
      <c r="AD54" s="1785"/>
      <c r="AE54" s="1772"/>
      <c r="AF54" s="1788"/>
      <c r="AG54" s="1791"/>
      <c r="AH54" s="397"/>
      <c r="AI54" s="396"/>
      <c r="AJ54" s="396"/>
      <c r="AK54" s="396"/>
      <c r="AL54" s="591" t="s">
        <v>429</v>
      </c>
      <c r="AM54" s="591" t="s">
        <v>429</v>
      </c>
      <c r="AN54" s="591" t="s">
        <v>429</v>
      </c>
      <c r="AO54" s="398"/>
      <c r="AP54" s="397"/>
    </row>
    <row r="55" spans="1:42" ht="16.5" hidden="1" customHeight="1" x14ac:dyDescent="0.25">
      <c r="A55" s="1757"/>
      <c r="B55" s="724" t="s">
        <v>723</v>
      </c>
      <c r="C55" s="724"/>
      <c r="D55" s="724" t="s">
        <v>1040</v>
      </c>
      <c r="E55" s="1760"/>
      <c r="F55" s="647">
        <f>'exchange rates'!$O$11</f>
        <v>1.25759</v>
      </c>
      <c r="G55" s="625">
        <f>616/F55</f>
        <v>489.8257778767325</v>
      </c>
      <c r="H55" s="593">
        <f>0</f>
        <v>0</v>
      </c>
      <c r="I55" s="594">
        <v>0</v>
      </c>
      <c r="J55" s="595">
        <v>0</v>
      </c>
      <c r="K55" s="566">
        <f>Tabel6689212734[[#This Row],[Fix.ch. 2017]]+Tabel6689212734[[#This Row],[Var. ch. 2017]]+Tabel6689212734[[#This Row],[Oth. ch. DW 2017]]+Tabel6689212734[[#This Row],[VAT DW 2017]]</f>
        <v>489.8257778767325</v>
      </c>
      <c r="L55" s="596">
        <v>0</v>
      </c>
      <c r="M55" s="595">
        <v>0</v>
      </c>
      <c r="N55" s="626">
        <f>384/F55</f>
        <v>305.34593945562546</v>
      </c>
      <c r="O55" s="595">
        <v>0</v>
      </c>
      <c r="P55" s="597">
        <v>0</v>
      </c>
      <c r="Q55" s="595">
        <v>0</v>
      </c>
      <c r="R55" s="570">
        <f>Tabel6689212734[[#This Row],[VAT DW 2017]]+Tabel6689212734[[#This Row],[VAT Sew. 2017]]+Tabel6689212734[[#This Row],[VAT WW 2017]]+Tabel6689212734[[#This Row],[VAT Other ch. 2017]]</f>
        <v>0</v>
      </c>
      <c r="S55" s="571">
        <f>Tabel6689212734[[#This Row],[Total. ch. DW 2017]]+Tabel6689212734[[#This Row],[Sew. 2017]]+Tabel6689212734[[#This Row],[VAT Sew. 2017]]+Tabel6689212734[[#This Row],[WW 2017]]+Tabel6689212734[[#This Row],[VAT WW 2017]]+Tabel6689212734[[#This Row],[Other ch. 2017]]+Tabel6689212734[[#This Row],[VAT Other ch. 2017]]</f>
        <v>795.17171733235796</v>
      </c>
      <c r="T55" s="397"/>
      <c r="U55" s="1763"/>
      <c r="V55" s="1766"/>
      <c r="W55" s="1769"/>
      <c r="X55" s="1772"/>
      <c r="Y55" s="1775"/>
      <c r="Z55" s="1778"/>
      <c r="AA55" s="1772"/>
      <c r="AB55" s="1781"/>
      <c r="AC55" s="1772"/>
      <c r="AD55" s="1785"/>
      <c r="AE55" s="1772"/>
      <c r="AF55" s="1788"/>
      <c r="AG55" s="1791"/>
      <c r="AH55" s="397"/>
      <c r="AI55" s="591" t="s">
        <v>429</v>
      </c>
      <c r="AJ55" s="591"/>
      <c r="AK55" s="591"/>
      <c r="AL55" s="591"/>
      <c r="AM55" s="591" t="s">
        <v>429</v>
      </c>
      <c r="AN55" s="591" t="s">
        <v>429</v>
      </c>
      <c r="AO55" s="398"/>
      <c r="AP55" s="397"/>
    </row>
    <row r="56" spans="1:42" ht="16.5" hidden="1" customHeight="1" thickBot="1" x14ac:dyDescent="0.3">
      <c r="A56" s="1758"/>
      <c r="B56" s="743" t="s">
        <v>552</v>
      </c>
      <c r="C56" s="807"/>
      <c r="D56" s="807" t="s">
        <v>1040</v>
      </c>
      <c r="E56" s="1799"/>
      <c r="F56" s="647">
        <f>'exchange rates'!$O$11</f>
        <v>1.25759</v>
      </c>
      <c r="G56" s="625">
        <f>210.84/F56</f>
        <v>167.65400488235434</v>
      </c>
      <c r="H56" s="593">
        <f>104.16/F56</f>
        <v>82.825086077338398</v>
      </c>
      <c r="I56" s="594">
        <v>0</v>
      </c>
      <c r="J56" s="595">
        <v>0</v>
      </c>
      <c r="K56" s="566">
        <f>Tabel6689212734[[#This Row],[Fix.ch. 2017]]+Tabel6689212734[[#This Row],[Var. ch. 2017]]+Tabel6689212734[[#This Row],[Oth. ch. DW 2017]]+Tabel6689212734[[#This Row],[VAT DW 2017]]</f>
        <v>250.47909095969274</v>
      </c>
      <c r="L56" s="596">
        <v>0</v>
      </c>
      <c r="M56" s="595">
        <v>0</v>
      </c>
      <c r="N56" s="626">
        <f>251/F56</f>
        <v>199.58810105042184</v>
      </c>
      <c r="O56" s="595">
        <v>0</v>
      </c>
      <c r="P56" s="597">
        <v>0</v>
      </c>
      <c r="Q56" s="595">
        <v>0</v>
      </c>
      <c r="R56" s="570">
        <f>Tabel6689212734[[#This Row],[VAT DW 2017]]+Tabel6689212734[[#This Row],[VAT Sew. 2017]]+Tabel6689212734[[#This Row],[VAT WW 2017]]+Tabel6689212734[[#This Row],[VAT Other ch. 2017]]</f>
        <v>0</v>
      </c>
      <c r="S56" s="571">
        <f>Tabel6689212734[[#This Row],[Total. ch. DW 2017]]+Tabel6689212734[[#This Row],[Sew. 2017]]+Tabel6689212734[[#This Row],[VAT Sew. 2017]]+Tabel6689212734[[#This Row],[WW 2017]]+Tabel6689212734[[#This Row],[VAT WW 2017]]+Tabel6689212734[[#This Row],[Other ch. 2017]]+Tabel6689212734[[#This Row],[VAT Other ch. 2017]]</f>
        <v>450.06719201011458</v>
      </c>
      <c r="T56" s="397"/>
      <c r="U56" s="1801"/>
      <c r="V56" s="1803"/>
      <c r="W56" s="1805"/>
      <c r="X56" s="1773"/>
      <c r="Y56" s="1807"/>
      <c r="Z56" s="1809"/>
      <c r="AA56" s="1773"/>
      <c r="AB56" s="1782"/>
      <c r="AC56" s="1773"/>
      <c r="AD56" s="1786"/>
      <c r="AE56" s="1773"/>
      <c r="AF56" s="1789"/>
      <c r="AG56" s="1792"/>
      <c r="AH56" s="397"/>
      <c r="AI56" s="396"/>
      <c r="AJ56" s="396"/>
      <c r="AK56" s="591" t="s">
        <v>429</v>
      </c>
      <c r="AL56" s="591"/>
      <c r="AM56" s="591" t="s">
        <v>429</v>
      </c>
      <c r="AN56" s="591" t="s">
        <v>429</v>
      </c>
      <c r="AO56" s="398"/>
      <c r="AP56" s="397"/>
    </row>
    <row r="57" spans="1:42" ht="16.5" hidden="1" customHeight="1" x14ac:dyDescent="0.25">
      <c r="A57" s="1833" t="s">
        <v>489</v>
      </c>
      <c r="B57" s="288" t="s">
        <v>728</v>
      </c>
      <c r="C57" s="805"/>
      <c r="D57" s="805" t="s">
        <v>1042</v>
      </c>
      <c r="E57" s="1837">
        <v>23800</v>
      </c>
      <c r="F57" s="306">
        <f>'exchange rates'!$M$12</f>
        <v>711.02919999999995</v>
      </c>
      <c r="G57" s="310">
        <f>10990/F57</f>
        <v>15.456467891895299</v>
      </c>
      <c r="H57" s="311">
        <f>284335/F57</f>
        <v>399.89215632775705</v>
      </c>
      <c r="I57" s="312">
        <v>0</v>
      </c>
      <c r="J57" s="558"/>
      <c r="K57" s="313">
        <f>Tabel6689212734[[#This Row],[Fix.ch. 2017]]+Tabel6689212734[[#This Row],[Var. ch. 2017]]+Tabel6689212734[[#This Row],[Oth. ch. DW 2017]]+Tabel6689212734[[#This Row],[VAT DW 2017]]</f>
        <v>415.34862421965232</v>
      </c>
      <c r="L57" s="314">
        <f>64761/F57</f>
        <v>91.080647602095667</v>
      </c>
      <c r="M57" s="558"/>
      <c r="N57" s="315">
        <v>0</v>
      </c>
      <c r="O57" s="558"/>
      <c r="P57" s="316">
        <v>0</v>
      </c>
      <c r="Q57" s="558"/>
      <c r="R57" s="317">
        <f>Tabel6689212734[[#This Row],[VAT DW 2017]]+Tabel6689212734[[#This Row],[VAT Sew. 2017]]+Tabel6689212734[[#This Row],[VAT WW 2017]]+Tabel6689212734[[#This Row],[VAT Other ch. 2017]]</f>
        <v>0</v>
      </c>
      <c r="S57" s="318">
        <f>Tabel6689212734[[#This Row],[Total. ch. DW 2017]]+Tabel6689212734[[#This Row],[Sew. 2017]]+Tabel6689212734[[#This Row],[VAT Sew. 2017]]+Tabel6689212734[[#This Row],[WW 2017]]+Tabel6689212734[[#This Row],[VAT WW 2017]]+Tabel6689212734[[#This Row],[Other ch. 2017]]+Tabel6689212734[[#This Row],[VAT Other ch. 2017]]</f>
        <v>506.42927182174799</v>
      </c>
      <c r="T57" s="397"/>
      <c r="U57" s="1927">
        <f>MEDIAN(G57:G62)</f>
        <v>16.670904654829929</v>
      </c>
      <c r="V57" s="1928">
        <f>MEDIAN(H57:H62)</f>
        <v>155.12935333738756</v>
      </c>
      <c r="W57" s="1929">
        <f>MEDIAN(I57:I62)</f>
        <v>0</v>
      </c>
      <c r="X57" s="575"/>
      <c r="Y57" s="1930">
        <f>SUM(U57:W62)</f>
        <v>171.8002579922175</v>
      </c>
      <c r="Z57" s="1918">
        <f>MEDIAN(L57:L62)</f>
        <v>139.88314403965407</v>
      </c>
      <c r="AA57" s="575"/>
      <c r="AB57" s="1919">
        <f>MEDIAN(N57:N62)</f>
        <v>0</v>
      </c>
      <c r="AC57" s="575"/>
      <c r="AD57" s="1920">
        <f>MEDIAN(P57:P62)</f>
        <v>0</v>
      </c>
      <c r="AE57" s="575"/>
      <c r="AF57" s="1921">
        <f>MEDIAN(R57:R62)</f>
        <v>0</v>
      </c>
      <c r="AG57" s="1922">
        <f>SUM(Y57:AF62)</f>
        <v>311.68340203187154</v>
      </c>
      <c r="AH57" s="397"/>
      <c r="AI57" s="396"/>
      <c r="AJ57" s="396"/>
      <c r="AK57" s="396"/>
      <c r="AL57" s="396"/>
      <c r="AM57" s="396"/>
      <c r="AN57" s="396"/>
      <c r="AO57" s="398"/>
      <c r="AP57" s="397"/>
    </row>
    <row r="58" spans="1:42" ht="16.5" hidden="1" customHeight="1" x14ac:dyDescent="0.25">
      <c r="A58" s="1834"/>
      <c r="B58" s="525" t="s">
        <v>492</v>
      </c>
      <c r="C58" s="805"/>
      <c r="D58" s="805" t="s">
        <v>1042</v>
      </c>
      <c r="E58" s="1837"/>
      <c r="F58" s="306">
        <f>'exchange rates'!$M$12</f>
        <v>711.02919999999995</v>
      </c>
      <c r="G58" s="310">
        <f>12717/F58</f>
        <v>17.885341417764561</v>
      </c>
      <c r="H58" s="311">
        <f>135129/F58</f>
        <v>190.04704729426021</v>
      </c>
      <c r="I58" s="312">
        <v>0</v>
      </c>
      <c r="J58" s="558"/>
      <c r="K58" s="313">
        <f>Tabel6689212734[[#This Row],[Fix.ch. 2017]]+Tabel6689212734[[#This Row],[Var. ch. 2017]]+Tabel6689212734[[#This Row],[Oth. ch. DW 2017]]+Tabel6689212734[[#This Row],[VAT DW 2017]]</f>
        <v>207.93238871202476</v>
      </c>
      <c r="L58" s="314">
        <f>99461/F58</f>
        <v>139.88314403965407</v>
      </c>
      <c r="M58" s="558"/>
      <c r="N58" s="315">
        <v>0</v>
      </c>
      <c r="O58" s="558"/>
      <c r="P58" s="316">
        <v>0</v>
      </c>
      <c r="Q58" s="558"/>
      <c r="R58" s="317">
        <f>Tabel6689212734[[#This Row],[VAT DW 2017]]+Tabel6689212734[[#This Row],[VAT Sew. 2017]]+Tabel6689212734[[#This Row],[VAT WW 2017]]+Tabel6689212734[[#This Row],[VAT Other ch. 2017]]</f>
        <v>0</v>
      </c>
      <c r="S58" s="318">
        <f>Tabel6689212734[[#This Row],[Total. ch. DW 2017]]+Tabel6689212734[[#This Row],[Sew. 2017]]+Tabel6689212734[[#This Row],[VAT Sew. 2017]]+Tabel6689212734[[#This Row],[WW 2017]]+Tabel6689212734[[#This Row],[VAT WW 2017]]+Tabel6689212734[[#This Row],[Other ch. 2017]]+Tabel6689212734[[#This Row],[VAT Other ch. 2017]]</f>
        <v>347.8155327516788</v>
      </c>
      <c r="T58" s="397"/>
      <c r="U58" s="1840"/>
      <c r="V58" s="1843"/>
      <c r="W58" s="1846"/>
      <c r="X58" s="576"/>
      <c r="Y58" s="1849"/>
      <c r="Z58" s="1852"/>
      <c r="AA58" s="576"/>
      <c r="AB58" s="1855"/>
      <c r="AC58" s="576"/>
      <c r="AD58" s="1858"/>
      <c r="AE58" s="576"/>
      <c r="AF58" s="1873"/>
      <c r="AG58" s="1876"/>
      <c r="AH58" s="397"/>
      <c r="AI58" s="396"/>
      <c r="AJ58" s="396"/>
      <c r="AK58" s="396"/>
      <c r="AL58" s="396"/>
      <c r="AM58" s="396"/>
      <c r="AN58" s="396"/>
      <c r="AO58" s="398"/>
      <c r="AP58" s="397"/>
    </row>
    <row r="59" spans="1:42" ht="16.5" hidden="1" customHeight="1" x14ac:dyDescent="0.25">
      <c r="A59" s="1834"/>
      <c r="B59" s="525" t="s">
        <v>729</v>
      </c>
      <c r="C59" s="805"/>
      <c r="D59" s="805" t="s">
        <v>1042</v>
      </c>
      <c r="E59" s="1837"/>
      <c r="F59" s="306">
        <f>'exchange rates'!$M$12</f>
        <v>711.02919999999995</v>
      </c>
      <c r="G59" s="310">
        <f>12717/F59</f>
        <v>17.885341417764561</v>
      </c>
      <c r="H59" s="311">
        <f>135129/F59</f>
        <v>190.04704729426021</v>
      </c>
      <c r="I59" s="312">
        <v>0</v>
      </c>
      <c r="J59" s="558"/>
      <c r="K59" s="313">
        <f>Tabel6689212734[[#This Row],[Fix.ch. 2017]]+Tabel6689212734[[#This Row],[Var. ch. 2017]]+Tabel6689212734[[#This Row],[Oth. ch. DW 2017]]+Tabel6689212734[[#This Row],[VAT DW 2017]]</f>
        <v>207.93238871202476</v>
      </c>
      <c r="L59" s="314">
        <f>99461/F59</f>
        <v>139.88314403965407</v>
      </c>
      <c r="M59" s="558"/>
      <c r="N59" s="315">
        <v>0</v>
      </c>
      <c r="O59" s="558"/>
      <c r="P59" s="316">
        <v>0</v>
      </c>
      <c r="Q59" s="558"/>
      <c r="R59" s="317">
        <f>Tabel6689212734[[#This Row],[VAT DW 2017]]+Tabel6689212734[[#This Row],[VAT Sew. 2017]]+Tabel6689212734[[#This Row],[VAT WW 2017]]+Tabel6689212734[[#This Row],[VAT Other ch. 2017]]</f>
        <v>0</v>
      </c>
      <c r="S59" s="318">
        <f>Tabel6689212734[[#This Row],[Total. ch. DW 2017]]+Tabel6689212734[[#This Row],[Sew. 2017]]+Tabel6689212734[[#This Row],[VAT Sew. 2017]]+Tabel6689212734[[#This Row],[WW 2017]]+Tabel6689212734[[#This Row],[VAT WW 2017]]+Tabel6689212734[[#This Row],[Other ch. 2017]]+Tabel6689212734[[#This Row],[VAT Other ch. 2017]]</f>
        <v>347.8155327516788</v>
      </c>
      <c r="T59" s="397"/>
      <c r="U59" s="1840"/>
      <c r="V59" s="1843"/>
      <c r="W59" s="1846"/>
      <c r="X59" s="576"/>
      <c r="Y59" s="1849"/>
      <c r="Z59" s="1852"/>
      <c r="AA59" s="576"/>
      <c r="AB59" s="1855"/>
      <c r="AC59" s="576"/>
      <c r="AD59" s="1858"/>
      <c r="AE59" s="576"/>
      <c r="AF59" s="1873"/>
      <c r="AG59" s="1876"/>
      <c r="AH59" s="397"/>
      <c r="AI59" s="396"/>
      <c r="AJ59" s="396"/>
      <c r="AK59" s="396"/>
      <c r="AL59" s="396"/>
      <c r="AM59" s="396"/>
      <c r="AN59" s="396"/>
      <c r="AO59" s="398"/>
      <c r="AP59" s="397"/>
    </row>
    <row r="60" spans="1:42" ht="16.5" hidden="1" customHeight="1" x14ac:dyDescent="0.25">
      <c r="A60" s="1834"/>
      <c r="B60" s="525" t="s">
        <v>493</v>
      </c>
      <c r="C60" s="805"/>
      <c r="D60" s="805" t="s">
        <v>1042</v>
      </c>
      <c r="E60" s="1837"/>
      <c r="F60" s="306">
        <f>'exchange rates'!$M$12</f>
        <v>711.02919999999995</v>
      </c>
      <c r="G60" s="310">
        <f>7685/F60</f>
        <v>10.80827622831805</v>
      </c>
      <c r="H60" s="311">
        <f>81904/F60</f>
        <v>115.19076853665082</v>
      </c>
      <c r="I60" s="312">
        <v>0</v>
      </c>
      <c r="J60" s="558"/>
      <c r="K60" s="313">
        <f>Tabel6689212734[[#This Row],[Fix.ch. 2017]]+Tabel6689212734[[#This Row],[Var. ch. 2017]]+Tabel6689212734[[#This Row],[Oth. ch. DW 2017]]+Tabel6689212734[[#This Row],[VAT DW 2017]]</f>
        <v>125.99904476496887</v>
      </c>
      <c r="L60" s="314">
        <f>104035/F60</f>
        <v>146.31607253260486</v>
      </c>
      <c r="M60" s="558"/>
      <c r="N60" s="315">
        <v>0</v>
      </c>
      <c r="O60" s="558"/>
      <c r="P60" s="316">
        <v>0</v>
      </c>
      <c r="Q60" s="558"/>
      <c r="R60" s="317">
        <f>Tabel6689212734[[#This Row],[VAT DW 2017]]+Tabel6689212734[[#This Row],[VAT Sew. 2017]]+Tabel6689212734[[#This Row],[VAT WW 2017]]+Tabel6689212734[[#This Row],[VAT Other ch. 2017]]</f>
        <v>0</v>
      </c>
      <c r="S60" s="318">
        <f>Tabel6689212734[[#This Row],[Total. ch. DW 2017]]+Tabel6689212734[[#This Row],[Sew. 2017]]+Tabel6689212734[[#This Row],[VAT Sew. 2017]]+Tabel6689212734[[#This Row],[WW 2017]]+Tabel6689212734[[#This Row],[VAT WW 2017]]+Tabel6689212734[[#This Row],[Other ch. 2017]]+Tabel6689212734[[#This Row],[VAT Other ch. 2017]]</f>
        <v>272.31511729757375</v>
      </c>
      <c r="T60" s="397"/>
      <c r="U60" s="1840"/>
      <c r="V60" s="1843"/>
      <c r="W60" s="1846"/>
      <c r="X60" s="576"/>
      <c r="Y60" s="1849"/>
      <c r="Z60" s="1852"/>
      <c r="AA60" s="576"/>
      <c r="AB60" s="1855"/>
      <c r="AC60" s="576"/>
      <c r="AD60" s="1858"/>
      <c r="AE60" s="576"/>
      <c r="AF60" s="1873"/>
      <c r="AG60" s="1876"/>
      <c r="AH60" s="397"/>
      <c r="AI60" s="396"/>
      <c r="AJ60" s="396"/>
      <c r="AK60" s="396"/>
      <c r="AL60" s="396"/>
      <c r="AM60" s="396"/>
      <c r="AN60" s="396"/>
      <c r="AO60" s="398"/>
      <c r="AP60" s="397"/>
    </row>
    <row r="61" spans="1:42" ht="16.5" hidden="1" customHeight="1" x14ac:dyDescent="0.25">
      <c r="A61" s="1834"/>
      <c r="B61" s="288" t="s">
        <v>730</v>
      </c>
      <c r="C61" s="805"/>
      <c r="D61" s="805" t="s">
        <v>1042</v>
      </c>
      <c r="E61" s="1837"/>
      <c r="F61" s="306">
        <f>'exchange rates'!$M$12</f>
        <v>711.02919999999995</v>
      </c>
      <c r="G61" s="310">
        <f>12923/F61</f>
        <v>18.17506228998753</v>
      </c>
      <c r="H61" s="311">
        <f>85474/F61</f>
        <v>120.2116593805149</v>
      </c>
      <c r="I61" s="312">
        <v>0</v>
      </c>
      <c r="J61" s="558"/>
      <c r="K61" s="313">
        <f>Tabel6689212734[[#This Row],[Fix.ch. 2017]]+Tabel6689212734[[#This Row],[Var. ch. 2017]]+Tabel6689212734[[#This Row],[Oth. ch. DW 2017]]+Tabel6689212734[[#This Row],[VAT DW 2017]]</f>
        <v>138.38672167050242</v>
      </c>
      <c r="L61" s="314">
        <f>139941/F61</f>
        <v>196.81470184346861</v>
      </c>
      <c r="M61" s="558"/>
      <c r="N61" s="315">
        <v>0</v>
      </c>
      <c r="O61" s="558"/>
      <c r="P61" s="316">
        <v>0</v>
      </c>
      <c r="Q61" s="558"/>
      <c r="R61" s="317">
        <f>Tabel6689212734[[#This Row],[VAT DW 2017]]+Tabel6689212734[[#This Row],[VAT Sew. 2017]]+Tabel6689212734[[#This Row],[VAT WW 2017]]+Tabel6689212734[[#This Row],[VAT Other ch. 2017]]</f>
        <v>0</v>
      </c>
      <c r="S61" s="318">
        <f>Tabel6689212734[[#This Row],[Total. ch. DW 2017]]+Tabel6689212734[[#This Row],[Sew. 2017]]+Tabel6689212734[[#This Row],[VAT Sew. 2017]]+Tabel6689212734[[#This Row],[WW 2017]]+Tabel6689212734[[#This Row],[VAT WW 2017]]+Tabel6689212734[[#This Row],[Other ch. 2017]]+Tabel6689212734[[#This Row],[VAT Other ch. 2017]]</f>
        <v>335.20142351397101</v>
      </c>
      <c r="T61" s="397"/>
      <c r="U61" s="1840"/>
      <c r="V61" s="1843"/>
      <c r="W61" s="1846"/>
      <c r="X61" s="576"/>
      <c r="Y61" s="1849"/>
      <c r="Z61" s="1852"/>
      <c r="AA61" s="576"/>
      <c r="AB61" s="1855"/>
      <c r="AC61" s="576"/>
      <c r="AD61" s="1858"/>
      <c r="AE61" s="576"/>
      <c r="AF61" s="1873"/>
      <c r="AG61" s="1876"/>
      <c r="AH61" s="397"/>
      <c r="AI61" s="396"/>
      <c r="AJ61" s="396"/>
      <c r="AK61" s="396"/>
      <c r="AL61" s="396"/>
      <c r="AM61" s="396"/>
      <c r="AN61" s="396"/>
      <c r="AO61" s="398"/>
      <c r="AP61" s="397"/>
    </row>
    <row r="62" spans="1:42" ht="16.5" hidden="1" customHeight="1" thickBot="1" x14ac:dyDescent="0.3">
      <c r="A62" s="1835"/>
      <c r="B62" s="288" t="s">
        <v>731</v>
      </c>
      <c r="C62" s="805" t="s">
        <v>429</v>
      </c>
      <c r="D62" s="801" t="s">
        <v>1042</v>
      </c>
      <c r="E62" s="1838"/>
      <c r="F62" s="306">
        <f>'exchange rates'!$M$12</f>
        <v>711.02919999999995</v>
      </c>
      <c r="G62" s="310">
        <f>7300/F62</f>
        <v>10.266807607901336</v>
      </c>
      <c r="H62" s="311">
        <f>67207/F62</f>
        <v>94.520731356743156</v>
      </c>
      <c r="I62" s="312">
        <v>0</v>
      </c>
      <c r="J62" s="558"/>
      <c r="K62" s="313">
        <f>Tabel6689212734[[#This Row],[Fix.ch. 2017]]+Tabel6689212734[[#This Row],[Var. ch. 2017]]+Tabel6689212734[[#This Row],[Oth. ch. DW 2017]]+Tabel6689212734[[#This Row],[VAT DW 2017]]</f>
        <v>104.7875389646445</v>
      </c>
      <c r="L62" s="314">
        <f>90496/F62</f>
        <v>127.27466044995059</v>
      </c>
      <c r="M62" s="558"/>
      <c r="N62" s="315">
        <v>0</v>
      </c>
      <c r="O62" s="558"/>
      <c r="P62" s="316">
        <v>0</v>
      </c>
      <c r="Q62" s="558"/>
      <c r="R62" s="317">
        <f>Tabel6689212734[[#This Row],[VAT DW 2017]]+Tabel6689212734[[#This Row],[VAT Sew. 2017]]+Tabel6689212734[[#This Row],[VAT WW 2017]]+Tabel6689212734[[#This Row],[VAT Other ch. 2017]]</f>
        <v>0</v>
      </c>
      <c r="S62" s="318">
        <f>Tabel6689212734[[#This Row],[Total. ch. DW 2017]]+Tabel6689212734[[#This Row],[Sew. 2017]]+Tabel6689212734[[#This Row],[VAT Sew. 2017]]+Tabel6689212734[[#This Row],[WW 2017]]+Tabel6689212734[[#This Row],[VAT WW 2017]]+Tabel6689212734[[#This Row],[Other ch. 2017]]+Tabel6689212734[[#This Row],[VAT Other ch. 2017]]</f>
        <v>232.06219941459509</v>
      </c>
      <c r="T62" s="397"/>
      <c r="U62" s="1841"/>
      <c r="V62" s="1844"/>
      <c r="W62" s="1847"/>
      <c r="X62" s="577"/>
      <c r="Y62" s="1850"/>
      <c r="Z62" s="1853"/>
      <c r="AA62" s="577"/>
      <c r="AB62" s="1856"/>
      <c r="AC62" s="577"/>
      <c r="AD62" s="1859"/>
      <c r="AE62" s="577"/>
      <c r="AF62" s="1874"/>
      <c r="AG62" s="1877"/>
      <c r="AH62" s="397"/>
      <c r="AI62" s="396"/>
      <c r="AJ62" s="396"/>
      <c r="AK62" s="396"/>
      <c r="AL62" s="396"/>
      <c r="AM62" s="396"/>
      <c r="AN62" s="396"/>
      <c r="AO62" s="398"/>
      <c r="AP62" s="397"/>
    </row>
    <row r="63" spans="1:42" ht="18" hidden="1" customHeight="1" x14ac:dyDescent="0.25">
      <c r="A63" s="1818" t="s">
        <v>8</v>
      </c>
      <c r="B63" s="623" t="s">
        <v>78</v>
      </c>
      <c r="C63" s="802" t="s">
        <v>429</v>
      </c>
      <c r="D63" s="802" t="s">
        <v>1044</v>
      </c>
      <c r="E63" s="1879">
        <v>16600</v>
      </c>
      <c r="F63" s="647">
        <f>'exchange rates'!$O$13</f>
        <v>6.50176</v>
      </c>
      <c r="G63" s="686">
        <f>(2.07*100)/F63</f>
        <v>31.837533221773793</v>
      </c>
      <c r="H63" s="593">
        <v>0</v>
      </c>
      <c r="I63" s="594">
        <v>0</v>
      </c>
      <c r="J63" s="595">
        <v>0</v>
      </c>
      <c r="K63" s="566">
        <f>Tabel6689212734[[#This Row],[Fix.ch. 2017]]+Tabel6689212734[[#This Row],[Var. ch. 2017]]+Tabel6689212734[[#This Row],[Oth. ch. DW 2017]]+Tabel6689212734[[#This Row],[VAT DW 2017]]</f>
        <v>31.837533221773793</v>
      </c>
      <c r="L63" s="596">
        <v>0</v>
      </c>
      <c r="M63" s="595">
        <v>0</v>
      </c>
      <c r="N63" s="626">
        <f>(1.36*100)/F63</f>
        <v>20.917413131213703</v>
      </c>
      <c r="O63" s="595">
        <v>0</v>
      </c>
      <c r="P63" s="597">
        <f>(1.57*100)/F63</f>
        <v>24.147307805886406</v>
      </c>
      <c r="Q63" s="595">
        <v>0</v>
      </c>
      <c r="R63" s="570">
        <f>Tabel6689212734[[#This Row],[VAT DW 2017]]+Tabel6689212734[[#This Row],[VAT Sew. 2017]]+Tabel6689212734[[#This Row],[VAT WW 2017]]+Tabel6689212734[[#This Row],[VAT Other ch. 2017]]</f>
        <v>0</v>
      </c>
      <c r="S63" s="571">
        <f>Tabel6689212734[[#This Row],[Total. ch. DW 2017]]+Tabel6689212734[[#This Row],[Sew. 2017]]+Tabel6689212734[[#This Row],[VAT Sew. 2017]]+Tabel6689212734[[#This Row],[WW 2017]]+Tabel6689212734[[#This Row],[VAT WW 2017]]+Tabel6689212734[[#This Row],[Other ch. 2017]]+Tabel6689212734[[#This Row],[VAT Other ch. 2017]]</f>
        <v>76.902254158873902</v>
      </c>
      <c r="T63" s="397"/>
      <c r="U63" s="1924">
        <f>MEDIAN(G63:G67)</f>
        <v>31.837533221773793</v>
      </c>
      <c r="V63" s="1925">
        <f t="shared" ref="V63:AF63" si="8">MEDIAN(H63:H67)</f>
        <v>0</v>
      </c>
      <c r="W63" s="1926">
        <f t="shared" si="8"/>
        <v>0</v>
      </c>
      <c r="X63" s="1908">
        <f t="shared" si="8"/>
        <v>0</v>
      </c>
      <c r="Y63" s="1916">
        <f>SUM(U63:X67)</f>
        <v>31.837533221773793</v>
      </c>
      <c r="Z63" s="1917">
        <f t="shared" si="8"/>
        <v>0</v>
      </c>
      <c r="AA63" s="1908">
        <f t="shared" si="8"/>
        <v>0</v>
      </c>
      <c r="AB63" s="1907">
        <f t="shared" si="8"/>
        <v>13.842405748597303</v>
      </c>
      <c r="AC63" s="1908">
        <f t="shared" si="8"/>
        <v>0</v>
      </c>
      <c r="AD63" s="1931">
        <f t="shared" si="8"/>
        <v>0</v>
      </c>
      <c r="AE63" s="1908">
        <f t="shared" si="8"/>
        <v>0</v>
      </c>
      <c r="AF63" s="1932">
        <f t="shared" si="8"/>
        <v>0</v>
      </c>
      <c r="AG63" s="1831">
        <f>Y63+Z63+AA63+AB63+AC63+AD63+AE63</f>
        <v>45.679938970371097</v>
      </c>
      <c r="AH63" s="397"/>
      <c r="AI63" s="398"/>
      <c r="AJ63" s="398"/>
      <c r="AK63" s="398"/>
      <c r="AL63" s="591" t="s">
        <v>429</v>
      </c>
      <c r="AM63" s="591"/>
      <c r="AN63" s="591" t="s">
        <v>429</v>
      </c>
      <c r="AO63" s="614"/>
      <c r="AP63" s="397"/>
    </row>
    <row r="64" spans="1:42" ht="15.75" hidden="1" x14ac:dyDescent="0.25">
      <c r="A64" s="1819"/>
      <c r="B64" s="685" t="s">
        <v>79</v>
      </c>
      <c r="C64" s="802"/>
      <c r="D64" s="802" t="s">
        <v>1044</v>
      </c>
      <c r="E64" s="1880"/>
      <c r="F64" s="647">
        <f>'exchange rates'!$O$13</f>
        <v>6.50176</v>
      </c>
      <c r="G64" s="686">
        <f>(1.92*100)/F64</f>
        <v>29.530465597007581</v>
      </c>
      <c r="H64" s="593">
        <v>0</v>
      </c>
      <c r="I64" s="594">
        <v>0</v>
      </c>
      <c r="J64" s="595">
        <v>0</v>
      </c>
      <c r="K64" s="566">
        <f>Tabel6689212734[[#This Row],[Fix.ch. 2017]]+Tabel6689212734[[#This Row],[Var. ch. 2017]]+Tabel6689212734[[#This Row],[Oth. ch. DW 2017]]+Tabel6689212734[[#This Row],[VAT DW 2017]]</f>
        <v>29.530465597007581</v>
      </c>
      <c r="L64" s="596">
        <v>0</v>
      </c>
      <c r="M64" s="595">
        <v>0</v>
      </c>
      <c r="N64" s="626">
        <f>(1.7*100)/F64</f>
        <v>26.146766414017129</v>
      </c>
      <c r="O64" s="595">
        <v>0</v>
      </c>
      <c r="P64" s="597">
        <v>0</v>
      </c>
      <c r="Q64" s="595">
        <v>0</v>
      </c>
      <c r="R64" s="570">
        <f>Tabel6689212734[[#This Row],[VAT DW 2017]]+Tabel6689212734[[#This Row],[VAT Sew. 2017]]+Tabel6689212734[[#This Row],[VAT WW 2017]]+Tabel6689212734[[#This Row],[VAT Other ch. 2017]]</f>
        <v>0</v>
      </c>
      <c r="S64" s="571">
        <f>Tabel6689212734[[#This Row],[Total. ch. DW 2017]]+Tabel6689212734[[#This Row],[Sew. 2017]]+Tabel6689212734[[#This Row],[VAT Sew. 2017]]+Tabel6689212734[[#This Row],[WW 2017]]+Tabel6689212734[[#This Row],[VAT WW 2017]]+Tabel6689212734[[#This Row],[Other ch. 2017]]+Tabel6689212734[[#This Row],[VAT Other ch. 2017]]</f>
        <v>55.677232011024714</v>
      </c>
      <c r="T64" s="397"/>
      <c r="U64" s="1763"/>
      <c r="V64" s="1766"/>
      <c r="W64" s="1769"/>
      <c r="X64" s="1783"/>
      <c r="Y64" s="1775"/>
      <c r="Z64" s="1778"/>
      <c r="AA64" s="1783"/>
      <c r="AB64" s="1781"/>
      <c r="AC64" s="1783"/>
      <c r="AD64" s="1785"/>
      <c r="AE64" s="1783"/>
      <c r="AF64" s="1788"/>
      <c r="AG64" s="1791"/>
      <c r="AH64" s="397"/>
      <c r="AI64" s="398"/>
      <c r="AJ64" s="398"/>
      <c r="AK64" s="398"/>
      <c r="AL64" s="591" t="s">
        <v>429</v>
      </c>
      <c r="AM64" s="591"/>
      <c r="AN64" s="591" t="s">
        <v>429</v>
      </c>
      <c r="AO64" s="614"/>
      <c r="AP64" s="397"/>
    </row>
    <row r="65" spans="1:42" ht="15.75" hidden="1" x14ac:dyDescent="0.25">
      <c r="A65" s="1819"/>
      <c r="B65" s="685" t="s">
        <v>80</v>
      </c>
      <c r="C65" s="802"/>
      <c r="D65" s="802" t="s">
        <v>1044</v>
      </c>
      <c r="E65" s="1880"/>
      <c r="F65" s="647">
        <f>'exchange rates'!$O$13</f>
        <v>6.50176</v>
      </c>
      <c r="G65" s="686">
        <f>(2.61*100)/F65</f>
        <v>40.142976670932178</v>
      </c>
      <c r="H65" s="593">
        <v>0</v>
      </c>
      <c r="I65" s="594">
        <f>(1.39*100)/F65</f>
        <v>21.378826656166947</v>
      </c>
      <c r="J65" s="595">
        <v>0</v>
      </c>
      <c r="K65" s="566">
        <f>Tabel6689212734[[#This Row],[Fix.ch. 2017]]+Tabel6689212734[[#This Row],[Var. ch. 2017]]+Tabel6689212734[[#This Row],[Oth. ch. DW 2017]]+Tabel6689212734[[#This Row],[VAT DW 2017]]</f>
        <v>61.521803327099121</v>
      </c>
      <c r="L65" s="596">
        <v>0</v>
      </c>
      <c r="M65" s="595">
        <v>0</v>
      </c>
      <c r="N65" s="626">
        <f>(0.9*100)/F65</f>
        <v>13.842405748597303</v>
      </c>
      <c r="O65" s="595">
        <v>0</v>
      </c>
      <c r="P65" s="597">
        <v>0</v>
      </c>
      <c r="Q65" s="595">
        <v>0</v>
      </c>
      <c r="R65" s="570">
        <f>Tabel6689212734[[#This Row],[VAT DW 2017]]+Tabel6689212734[[#This Row],[VAT Sew. 2017]]+Tabel6689212734[[#This Row],[VAT WW 2017]]+Tabel6689212734[[#This Row],[VAT Other ch. 2017]]</f>
        <v>0</v>
      </c>
      <c r="S65" s="571">
        <f>Tabel6689212734[[#This Row],[Total. ch. DW 2017]]+Tabel6689212734[[#This Row],[Sew. 2017]]+Tabel6689212734[[#This Row],[VAT Sew. 2017]]+Tabel6689212734[[#This Row],[WW 2017]]+Tabel6689212734[[#This Row],[VAT WW 2017]]+Tabel6689212734[[#This Row],[Other ch. 2017]]+Tabel6689212734[[#This Row],[VAT Other ch. 2017]]</f>
        <v>75.364209075696422</v>
      </c>
      <c r="T65" s="397"/>
      <c r="U65" s="1763"/>
      <c r="V65" s="1766"/>
      <c r="W65" s="1769"/>
      <c r="X65" s="1783"/>
      <c r="Y65" s="1775"/>
      <c r="Z65" s="1778"/>
      <c r="AA65" s="1783"/>
      <c r="AB65" s="1781"/>
      <c r="AC65" s="1783"/>
      <c r="AD65" s="1785"/>
      <c r="AE65" s="1783"/>
      <c r="AF65" s="1788"/>
      <c r="AG65" s="1791"/>
      <c r="AH65" s="397"/>
      <c r="AI65" s="398"/>
      <c r="AJ65" s="398"/>
      <c r="AK65" s="398"/>
      <c r="AL65" s="591" t="s">
        <v>429</v>
      </c>
      <c r="AM65" s="591"/>
      <c r="AN65" s="591" t="s">
        <v>429</v>
      </c>
      <c r="AO65" s="614"/>
      <c r="AP65" s="397"/>
    </row>
    <row r="66" spans="1:42" ht="15.75" hidden="1" x14ac:dyDescent="0.25">
      <c r="A66" s="1819"/>
      <c r="B66" s="624" t="s">
        <v>81</v>
      </c>
      <c r="C66" s="802"/>
      <c r="D66" s="802" t="s">
        <v>1044</v>
      </c>
      <c r="E66" s="1880"/>
      <c r="F66" s="647">
        <f>'exchange rates'!$O$13</f>
        <v>6.50176</v>
      </c>
      <c r="G66" s="686">
        <f>(2.67*100)/F66</f>
        <v>41.065803720838666</v>
      </c>
      <c r="H66" s="593">
        <v>0</v>
      </c>
      <c r="I66" s="594">
        <v>0</v>
      </c>
      <c r="J66" s="595">
        <v>0</v>
      </c>
      <c r="K66" s="566">
        <f>Tabel6689212734[[#This Row],[Fix.ch. 2017]]+Tabel6689212734[[#This Row],[Var. ch. 2017]]+Tabel6689212734[[#This Row],[Oth. ch. DW 2017]]+Tabel6689212734[[#This Row],[VAT DW 2017]]</f>
        <v>41.065803720838666</v>
      </c>
      <c r="L66" s="596">
        <v>0</v>
      </c>
      <c r="M66" s="595">
        <v>0</v>
      </c>
      <c r="N66" s="626">
        <f>(0.9*100)/F66</f>
        <v>13.842405748597303</v>
      </c>
      <c r="O66" s="595">
        <v>0</v>
      </c>
      <c r="P66" s="597">
        <v>0</v>
      </c>
      <c r="Q66" s="595">
        <v>0</v>
      </c>
      <c r="R66" s="570">
        <f>Tabel6689212734[[#This Row],[VAT DW 2017]]+Tabel6689212734[[#This Row],[VAT Sew. 2017]]+Tabel6689212734[[#This Row],[VAT WW 2017]]+Tabel6689212734[[#This Row],[VAT Other ch. 2017]]</f>
        <v>0</v>
      </c>
      <c r="S66" s="571">
        <f>Tabel6689212734[[#This Row],[Total. ch. DW 2017]]+Tabel6689212734[[#This Row],[Sew. 2017]]+Tabel6689212734[[#This Row],[VAT Sew. 2017]]+Tabel6689212734[[#This Row],[WW 2017]]+Tabel6689212734[[#This Row],[VAT WW 2017]]+Tabel6689212734[[#This Row],[Other ch. 2017]]+Tabel6689212734[[#This Row],[VAT Other ch. 2017]]</f>
        <v>54.908209469435967</v>
      </c>
      <c r="T66" s="397"/>
      <c r="U66" s="1763"/>
      <c r="V66" s="1766"/>
      <c r="W66" s="1769"/>
      <c r="X66" s="1783"/>
      <c r="Y66" s="1775"/>
      <c r="Z66" s="1778"/>
      <c r="AA66" s="1783"/>
      <c r="AB66" s="1781"/>
      <c r="AC66" s="1783"/>
      <c r="AD66" s="1785"/>
      <c r="AE66" s="1783"/>
      <c r="AF66" s="1788"/>
      <c r="AG66" s="1791"/>
      <c r="AH66" s="397"/>
      <c r="AI66" s="398"/>
      <c r="AJ66" s="398"/>
      <c r="AK66" s="398"/>
      <c r="AL66" s="591" t="s">
        <v>429</v>
      </c>
      <c r="AM66" s="591"/>
      <c r="AN66" s="591" t="s">
        <v>429</v>
      </c>
      <c r="AO66" s="614"/>
      <c r="AP66" s="397"/>
    </row>
    <row r="67" spans="1:42" ht="16.5" hidden="1" thickBot="1" x14ac:dyDescent="0.3">
      <c r="A67" s="1820"/>
      <c r="B67" s="684" t="s">
        <v>468</v>
      </c>
      <c r="C67" s="802"/>
      <c r="D67" s="802" t="s">
        <v>1044</v>
      </c>
      <c r="E67" s="1923"/>
      <c r="F67" s="647">
        <f>'exchange rates'!$O$13</f>
        <v>6.50176</v>
      </c>
      <c r="G67" s="686">
        <f>(1.98*100)/F67</f>
        <v>30.453292646914065</v>
      </c>
      <c r="H67" s="593">
        <v>0</v>
      </c>
      <c r="I67" s="594">
        <v>0</v>
      </c>
      <c r="J67" s="595">
        <v>0</v>
      </c>
      <c r="K67" s="566">
        <f>Tabel6689212734[[#This Row],[Fix.ch. 2017]]+Tabel6689212734[[#This Row],[Var. ch. 2017]]+Tabel6689212734[[#This Row],[Oth. ch. DW 2017]]+Tabel6689212734[[#This Row],[VAT DW 2017]]</f>
        <v>30.453292646914065</v>
      </c>
      <c r="L67" s="596">
        <v>0</v>
      </c>
      <c r="M67" s="595">
        <v>0</v>
      </c>
      <c r="N67" s="626">
        <f>(0.9*100)/F67</f>
        <v>13.842405748597303</v>
      </c>
      <c r="O67" s="595">
        <v>0</v>
      </c>
      <c r="P67" s="597">
        <v>0</v>
      </c>
      <c r="Q67" s="595">
        <v>0</v>
      </c>
      <c r="R67" s="570">
        <f>Tabel6689212734[[#This Row],[VAT DW 2017]]+Tabel6689212734[[#This Row],[VAT Sew. 2017]]+Tabel6689212734[[#This Row],[VAT WW 2017]]+Tabel6689212734[[#This Row],[VAT Other ch. 2017]]</f>
        <v>0</v>
      </c>
      <c r="S67" s="571">
        <f>Tabel6689212734[[#This Row],[Total. ch. DW 2017]]+Tabel6689212734[[#This Row],[Sew. 2017]]+Tabel6689212734[[#This Row],[VAT Sew. 2017]]+Tabel6689212734[[#This Row],[WW 2017]]+Tabel6689212734[[#This Row],[VAT WW 2017]]+Tabel6689212734[[#This Row],[Other ch. 2017]]+Tabel6689212734[[#This Row],[VAT Other ch. 2017]]</f>
        <v>44.295698395511366</v>
      </c>
      <c r="T67" s="397"/>
      <c r="U67" s="1801"/>
      <c r="V67" s="1803"/>
      <c r="W67" s="1805"/>
      <c r="X67" s="1773"/>
      <c r="Y67" s="1807"/>
      <c r="Z67" s="1809"/>
      <c r="AA67" s="1773"/>
      <c r="AB67" s="1782"/>
      <c r="AC67" s="1773"/>
      <c r="AD67" s="1786"/>
      <c r="AE67" s="1773"/>
      <c r="AF67" s="1789"/>
      <c r="AG67" s="1792"/>
      <c r="AH67" s="397"/>
      <c r="AI67" s="398"/>
      <c r="AJ67" s="398"/>
      <c r="AK67" s="398"/>
      <c r="AL67" s="591" t="s">
        <v>429</v>
      </c>
      <c r="AM67" s="591"/>
      <c r="AN67" s="591" t="s">
        <v>429</v>
      </c>
      <c r="AO67" s="614"/>
      <c r="AP67" s="397"/>
    </row>
    <row r="68" spans="1:42" ht="19.5" hidden="1" thickBot="1" x14ac:dyDescent="0.3">
      <c r="A68" s="694" t="s">
        <v>585</v>
      </c>
      <c r="B68" s="685" t="s">
        <v>84</v>
      </c>
      <c r="C68" s="802" t="s">
        <v>429</v>
      </c>
      <c r="D68" s="812" t="s">
        <v>1046</v>
      </c>
      <c r="E68" s="700">
        <v>61000</v>
      </c>
      <c r="F68" s="616">
        <f>'exchange rates'!O14</f>
        <v>7.8123899999999997</v>
      </c>
      <c r="G68" s="625">
        <f>0</f>
        <v>0</v>
      </c>
      <c r="H68" s="593">
        <f>262.08/F68</f>
        <v>33.546712337709714</v>
      </c>
      <c r="I68" s="594">
        <v>0</v>
      </c>
      <c r="J68" s="595">
        <v>0</v>
      </c>
      <c r="K68" s="566">
        <f>Tabel6689212734[[#This Row],[Fix.ch. 2017]]+Tabel6689212734[[#This Row],[Var. ch. 2017]]+Tabel6689212734[[#This Row],[Oth. ch. DW 2017]]+Tabel6689212734[[#This Row],[VAT DW 2017]]</f>
        <v>33.546712337709714</v>
      </c>
      <c r="L68" s="596">
        <v>0</v>
      </c>
      <c r="M68" s="595">
        <v>0</v>
      </c>
      <c r="N68" s="626">
        <f>292/F68</f>
        <v>37.376526261489765</v>
      </c>
      <c r="O68" s="595">
        <v>0</v>
      </c>
      <c r="P68" s="597">
        <v>0</v>
      </c>
      <c r="Q68" s="595">
        <v>0</v>
      </c>
      <c r="R68" s="570">
        <f>Tabel6689212734[[#This Row],[VAT DW 2017]]+Tabel6689212734[[#This Row],[VAT Sew. 2017]]+Tabel6689212734[[#This Row],[VAT WW 2017]]+Tabel6689212734[[#This Row],[VAT Other ch. 2017]]</f>
        <v>0</v>
      </c>
      <c r="S68" s="571">
        <f>Tabel6689212734[[#This Row],[Total. ch. DW 2017]]+Tabel6689212734[[#This Row],[Sew. 2017]]+Tabel6689212734[[#This Row],[VAT Sew. 2017]]+Tabel6689212734[[#This Row],[WW 2017]]+Tabel6689212734[[#This Row],[VAT WW 2017]]+Tabel6689212734[[#This Row],[Other ch. 2017]]+Tabel6689212734[[#This Row],[VAT Other ch. 2017]]</f>
        <v>70.923238599199479</v>
      </c>
      <c r="T68" s="397"/>
      <c r="U68" s="701">
        <f>Tabel6689212734[[#This Row],[Fix.ch. 2017]]</f>
        <v>0</v>
      </c>
      <c r="V68" s="702">
        <f>Tabel6689212734[[#This Row],[Var. ch. 2017]]</f>
        <v>33.546712337709714</v>
      </c>
      <c r="W68" s="703">
        <f>Tabel6689212734[[#This Row],[Oth. ch. DW 2017]]</f>
        <v>0</v>
      </c>
      <c r="X68" s="704">
        <f>Tabel6689212734[[#This Row],[Oth. ch. DW 2017]]</f>
        <v>0</v>
      </c>
      <c r="Y68" s="705">
        <f>SUM(U68:W68)</f>
        <v>33.546712337709714</v>
      </c>
      <c r="Z68" s="706">
        <f>Tabel6689212734[[#This Row],[Sew. 2017]]</f>
        <v>0</v>
      </c>
      <c r="AA68" s="704">
        <f>Tabel6689212734[[#This Row],[Oth. ch. DW 2017]]</f>
        <v>0</v>
      </c>
      <c r="AB68" s="707">
        <f>Tabel6689212734[[#This Row],[WW 2017]]</f>
        <v>37.376526261489765</v>
      </c>
      <c r="AC68" s="704">
        <f>Tabel6689212734[[#This Row],[Oth. ch. DW 2017]]</f>
        <v>0</v>
      </c>
      <c r="AD68" s="708">
        <f>Tabel6689212734[[#This Row],[Other ch. 2017]]</f>
        <v>0</v>
      </c>
      <c r="AE68" s="704">
        <f>Tabel6689212734[[#This Row],[Oth. ch. DW 2017]]</f>
        <v>0</v>
      </c>
      <c r="AF68" s="709">
        <f>Tabel6689212734[[#This Row],[Total VAT 2017]]</f>
        <v>0</v>
      </c>
      <c r="AG68" s="710">
        <f>SUM(Y68:AF68)</f>
        <v>70.923238599199479</v>
      </c>
      <c r="AH68" s="397"/>
      <c r="AI68" s="398"/>
      <c r="AJ68" s="396"/>
      <c r="AK68" s="398"/>
      <c r="AL68" s="591" t="s">
        <v>429</v>
      </c>
      <c r="AM68" s="398"/>
      <c r="AN68" s="398"/>
      <c r="AO68" s="398"/>
      <c r="AP68" s="397"/>
    </row>
    <row r="69" spans="1:42" ht="18" hidden="1" customHeight="1" x14ac:dyDescent="0.25">
      <c r="A69" s="1818" t="s">
        <v>9</v>
      </c>
      <c r="B69" s="623" t="s">
        <v>82</v>
      </c>
      <c r="C69" s="802" t="s">
        <v>429</v>
      </c>
      <c r="D69" s="802" t="s">
        <v>1048</v>
      </c>
      <c r="E69" s="1948">
        <v>49800</v>
      </c>
      <c r="F69" s="306"/>
      <c r="G69" s="625">
        <v>27.2</v>
      </c>
      <c r="H69" s="593">
        <v>23.6</v>
      </c>
      <c r="I69" s="594">
        <v>1.67</v>
      </c>
      <c r="J69" s="595">
        <v>0</v>
      </c>
      <c r="K69" s="566">
        <f>Tabel6689212734[[#This Row],[Fix.ch. 2017]]+Tabel6689212734[[#This Row],[Var. ch. 2017]]+Tabel6689212734[[#This Row],[Oth. ch. DW 2017]]+Tabel6689212734[[#This Row],[VAT DW 2017]]</f>
        <v>52.47</v>
      </c>
      <c r="L69" s="596">
        <v>0</v>
      </c>
      <c r="M69" s="595">
        <v>0</v>
      </c>
      <c r="N69" s="626">
        <v>16.7</v>
      </c>
      <c r="O69" s="595">
        <v>0</v>
      </c>
      <c r="P69" s="597">
        <v>0</v>
      </c>
      <c r="Q69" s="595">
        <v>2.54</v>
      </c>
      <c r="R69" s="570">
        <f>Tabel6689212734[[#This Row],[VAT DW 2017]]+Tabel6689212734[[#This Row],[VAT Sew. 2017]]+Tabel6689212734[[#This Row],[VAT WW 2017]]+Tabel6689212734[[#This Row],[VAT Other ch. 2017]]</f>
        <v>2.54</v>
      </c>
      <c r="S69" s="571">
        <f>Tabel6689212734[[#This Row],[Total. ch. DW 2017]]+Tabel6689212734[[#This Row],[Sew. 2017]]+Tabel6689212734[[#This Row],[VAT Sew. 2017]]+Tabel6689212734[[#This Row],[WW 2017]]+Tabel6689212734[[#This Row],[VAT WW 2017]]+Tabel6689212734[[#This Row],[Other ch. 2017]]+Tabel6689212734[[#This Row],[VAT Other ch. 2017]]</f>
        <v>71.710000000000008</v>
      </c>
      <c r="T69" s="397"/>
      <c r="U69" s="1949">
        <f>MEDIAN(G69:G70)</f>
        <v>20.74</v>
      </c>
      <c r="V69" s="1952">
        <f>MEDIAN(H69:H70)</f>
        <v>30.085000000000001</v>
      </c>
      <c r="W69" s="1953">
        <f>MEDIAN(I69:I70)</f>
        <v>1.67</v>
      </c>
      <c r="X69" s="1938">
        <f>MEDIAN(J69:J70)</f>
        <v>0</v>
      </c>
      <c r="Y69" s="1940">
        <f>SUM(U69:X70)</f>
        <v>52.495000000000005</v>
      </c>
      <c r="Z69" s="1941">
        <f t="shared" ref="Z69:AF69" si="9">MEDIAN(L69:L70)</f>
        <v>0</v>
      </c>
      <c r="AA69" s="1938">
        <f t="shared" si="9"/>
        <v>0</v>
      </c>
      <c r="AB69" s="1942">
        <f t="shared" si="9"/>
        <v>16.7</v>
      </c>
      <c r="AC69" s="1938">
        <f t="shared" si="9"/>
        <v>0</v>
      </c>
      <c r="AD69" s="1943">
        <f t="shared" si="9"/>
        <v>0</v>
      </c>
      <c r="AE69" s="1938">
        <f t="shared" si="9"/>
        <v>2.54</v>
      </c>
      <c r="AF69" s="1951">
        <f t="shared" si="9"/>
        <v>2.54</v>
      </c>
      <c r="AG69" s="1933">
        <f>Y69+Z69+AA69+AB69+AC69+AD69+AE69</f>
        <v>71.735000000000014</v>
      </c>
      <c r="AH69" s="397"/>
      <c r="AI69" s="398"/>
      <c r="AJ69" s="398"/>
      <c r="AK69" s="398"/>
      <c r="AL69" s="591" t="s">
        <v>429</v>
      </c>
      <c r="AM69" s="591"/>
      <c r="AN69" s="591" t="s">
        <v>429</v>
      </c>
      <c r="AO69" s="398"/>
      <c r="AP69" s="397"/>
    </row>
    <row r="70" spans="1:42" ht="16.5" hidden="1" thickBot="1" x14ac:dyDescent="0.3">
      <c r="A70" s="1820"/>
      <c r="B70" s="624" t="s">
        <v>83</v>
      </c>
      <c r="C70" s="802"/>
      <c r="D70" s="802" t="s">
        <v>1048</v>
      </c>
      <c r="E70" s="1799"/>
      <c r="F70" s="306"/>
      <c r="G70" s="625">
        <v>14.28</v>
      </c>
      <c r="H70" s="593">
        <v>36.57</v>
      </c>
      <c r="I70" s="594">
        <v>1.67</v>
      </c>
      <c r="J70" s="595">
        <v>0</v>
      </c>
      <c r="K70" s="566">
        <f>Tabel6689212734[[#This Row],[Fix.ch. 2017]]+Tabel6689212734[[#This Row],[Var. ch. 2017]]+Tabel6689212734[[#This Row],[Oth. ch. DW 2017]]+Tabel6689212734[[#This Row],[VAT DW 2017]]</f>
        <v>52.52</v>
      </c>
      <c r="L70" s="596">
        <v>0</v>
      </c>
      <c r="M70" s="595">
        <v>0</v>
      </c>
      <c r="N70" s="626">
        <v>16.7</v>
      </c>
      <c r="O70" s="595">
        <v>0</v>
      </c>
      <c r="P70" s="597">
        <v>0</v>
      </c>
      <c r="Q70" s="595">
        <v>2.54</v>
      </c>
      <c r="R70" s="570">
        <f>Tabel6689212734[[#This Row],[VAT DW 2017]]+Tabel6689212734[[#This Row],[VAT Sew. 2017]]+Tabel6689212734[[#This Row],[VAT WW 2017]]+Tabel6689212734[[#This Row],[VAT Other ch. 2017]]</f>
        <v>2.54</v>
      </c>
      <c r="S70" s="571">
        <f>Tabel6689212734[[#This Row],[Total. ch. DW 2017]]+Tabel6689212734[[#This Row],[Sew. 2017]]+Tabel6689212734[[#This Row],[VAT Sew. 2017]]+Tabel6689212734[[#This Row],[WW 2017]]+Tabel6689212734[[#This Row],[VAT WW 2017]]+Tabel6689212734[[#This Row],[Other ch. 2017]]+Tabel6689212734[[#This Row],[VAT Other ch. 2017]]</f>
        <v>71.760000000000005</v>
      </c>
      <c r="T70" s="397"/>
      <c r="U70" s="1801"/>
      <c r="V70" s="1803"/>
      <c r="W70" s="1805"/>
      <c r="X70" s="1773"/>
      <c r="Y70" s="1807"/>
      <c r="Z70" s="1809"/>
      <c r="AA70" s="1773"/>
      <c r="AB70" s="1782"/>
      <c r="AC70" s="1773"/>
      <c r="AD70" s="1786"/>
      <c r="AE70" s="1773"/>
      <c r="AF70" s="1789"/>
      <c r="AG70" s="1792"/>
      <c r="AH70" s="397"/>
      <c r="AI70" s="398"/>
      <c r="AJ70" s="398"/>
      <c r="AK70" s="398"/>
      <c r="AL70" s="591" t="s">
        <v>429</v>
      </c>
      <c r="AM70" s="591"/>
      <c r="AN70" s="591" t="s">
        <v>429</v>
      </c>
      <c r="AO70" s="398"/>
      <c r="AP70" s="397"/>
    </row>
    <row r="71" spans="1:42" ht="18" hidden="1" customHeight="1" x14ac:dyDescent="0.25">
      <c r="A71" s="1878" t="s">
        <v>10</v>
      </c>
      <c r="B71" s="638" t="s">
        <v>85</v>
      </c>
      <c r="C71" s="693"/>
      <c r="D71" s="806" t="s">
        <v>1050</v>
      </c>
      <c r="E71" s="1934">
        <v>36600</v>
      </c>
      <c r="F71" s="617">
        <f>'exchange rates'!$O$16</f>
        <v>0.83301000000000003</v>
      </c>
      <c r="G71" s="625">
        <f>66/F71</f>
        <v>79.230741527712752</v>
      </c>
      <c r="H71" s="593">
        <f>94/F71</f>
        <v>112.84378338795452</v>
      </c>
      <c r="I71" s="594">
        <v>0</v>
      </c>
      <c r="J71" s="595">
        <f>8/F71</f>
        <v>9.6037262457833634</v>
      </c>
      <c r="K71" s="566">
        <f>Tabel6689212734[[#This Row],[Fix.ch. 2017]]+Tabel6689212734[[#This Row],[Var. ch. 2017]]+Tabel6689212734[[#This Row],[Oth. ch. DW 2017]]+Tabel6689212734[[#This Row],[VAT DW 2017]]</f>
        <v>201.67825116145065</v>
      </c>
      <c r="L71" s="596">
        <f>50/F71</f>
        <v>60.023289036146025</v>
      </c>
      <c r="M71" s="595">
        <v>0</v>
      </c>
      <c r="N71" s="626">
        <f>89.6/F71</f>
        <v>107.56173395277366</v>
      </c>
      <c r="O71" s="595">
        <v>0</v>
      </c>
      <c r="P71" s="597">
        <f>25.6/F71</f>
        <v>30.731923986506764</v>
      </c>
      <c r="Q71" s="595">
        <v>0</v>
      </c>
      <c r="R71" s="570">
        <f>Tabel6689212734[[#This Row],[VAT DW 2017]]+Tabel6689212734[[#This Row],[VAT Sew. 2017]]+Tabel6689212734[[#This Row],[VAT WW 2017]]+Tabel6689212734[[#This Row],[VAT Other ch. 2017]]</f>
        <v>9.6037262457833634</v>
      </c>
      <c r="S71" s="571">
        <f>Tabel6689212734[[#This Row],[Total. ch. DW 2017]]+Tabel6689212734[[#This Row],[Sew. 2017]]+Tabel6689212734[[#This Row],[VAT Sew. 2017]]+Tabel6689212734[[#This Row],[WW 2017]]+Tabel6689212734[[#This Row],[VAT WW 2017]]+Tabel6689212734[[#This Row],[Other ch. 2017]]+Tabel6689212734[[#This Row],[VAT Other ch. 2017]]</f>
        <v>399.99519813687709</v>
      </c>
      <c r="T71" s="397"/>
      <c r="U71" s="1935">
        <f>MEDIAN(G71:G74)</f>
        <v>68.426549501206466</v>
      </c>
      <c r="V71" s="1936">
        <f>MEDIAN(H71:H74)</f>
        <v>110.44285182650867</v>
      </c>
      <c r="W71" s="1937">
        <f>MEDIAN(I71:I74)</f>
        <v>0</v>
      </c>
      <c r="X71" s="1938">
        <f>MEDIAN(J71:J74)</f>
        <v>8.8234234883134661</v>
      </c>
      <c r="Y71" s="1939">
        <f>SUM(U71:X74)</f>
        <v>187.6928248160286</v>
      </c>
      <c r="Z71" s="1950">
        <f t="shared" ref="Z71:AF71" si="10">MEDIAN(L71:L74)</f>
        <v>63.024453487953323</v>
      </c>
      <c r="AA71" s="1938">
        <f t="shared" si="10"/>
        <v>0</v>
      </c>
      <c r="AB71" s="1946">
        <f t="shared" si="10"/>
        <v>159.99207692584724</v>
      </c>
      <c r="AC71" s="1938">
        <f t="shared" si="10"/>
        <v>0</v>
      </c>
      <c r="AD71" s="1947">
        <f t="shared" si="10"/>
        <v>36.374113155904489</v>
      </c>
      <c r="AE71" s="1938">
        <f t="shared" si="10"/>
        <v>0</v>
      </c>
      <c r="AF71" s="1944">
        <f t="shared" si="10"/>
        <v>8.8234234883134661</v>
      </c>
      <c r="AG71" s="1945">
        <f>Y71+Z71+AA71+AB71+AC71+AD71+AE71</f>
        <v>447.08346838573362</v>
      </c>
      <c r="AH71" s="397"/>
      <c r="AI71" s="398"/>
      <c r="AJ71" s="398"/>
      <c r="AK71" s="398"/>
      <c r="AL71" s="591" t="s">
        <v>429</v>
      </c>
      <c r="AM71" s="591" t="s">
        <v>429</v>
      </c>
      <c r="AN71" s="591" t="s">
        <v>429</v>
      </c>
      <c r="AO71" s="398"/>
      <c r="AP71" s="397"/>
    </row>
    <row r="72" spans="1:42" ht="15.6" hidden="1" customHeight="1" x14ac:dyDescent="0.25">
      <c r="A72" s="1757"/>
      <c r="B72" s="639" t="s">
        <v>878</v>
      </c>
      <c r="C72" s="639" t="s">
        <v>429</v>
      </c>
      <c r="D72" s="724" t="s">
        <v>1050</v>
      </c>
      <c r="E72" s="1760"/>
      <c r="F72" s="617">
        <f>'exchange rates'!$O$16</f>
        <v>0.83301000000000003</v>
      </c>
      <c r="G72" s="625">
        <f>42/F72</f>
        <v>50.419562790362662</v>
      </c>
      <c r="H72" s="593">
        <f>96/F72</f>
        <v>115.24471494940036</v>
      </c>
      <c r="I72" s="594">
        <f>0</f>
        <v>0</v>
      </c>
      <c r="J72" s="595">
        <f>6.9/F72</f>
        <v>8.2832138869881522</v>
      </c>
      <c r="K72" s="566">
        <f>Tabel6689212734[[#This Row],[Fix.ch. 2017]]+Tabel6689212734[[#This Row],[Var. ch. 2017]]+Tabel6689212734[[#This Row],[Oth. ch. DW 2017]]+Tabel6689212734[[#This Row],[VAT DW 2017]]</f>
        <v>173.94749162675117</v>
      </c>
      <c r="L72" s="596">
        <f>55/F72</f>
        <v>66.025617939760622</v>
      </c>
      <c r="M72" s="595">
        <v>0</v>
      </c>
      <c r="N72" s="626">
        <f>109.5/F72</f>
        <v>131.4510029891598</v>
      </c>
      <c r="O72" s="595">
        <v>0</v>
      </c>
      <c r="P72" s="597">
        <f>0</f>
        <v>0</v>
      </c>
      <c r="Q72" s="595">
        <v>0</v>
      </c>
      <c r="R72" s="570">
        <f>Tabel6689212734[[#This Row],[VAT DW 2017]]+Tabel6689212734[[#This Row],[VAT Sew. 2017]]+Tabel6689212734[[#This Row],[VAT WW 2017]]+Tabel6689212734[[#This Row],[VAT Other ch. 2017]]</f>
        <v>8.2832138869881522</v>
      </c>
      <c r="S72" s="571">
        <f>Tabel6689212734[[#This Row],[Total. ch. DW 2017]]+Tabel6689212734[[#This Row],[Sew. 2017]]+Tabel6689212734[[#This Row],[VAT Sew. 2017]]+Tabel6689212734[[#This Row],[WW 2017]]+Tabel6689212734[[#This Row],[VAT WW 2017]]+Tabel6689212734[[#This Row],[Other ch. 2017]]+Tabel6689212734[[#This Row],[VAT Other ch. 2017]]</f>
        <v>371.42411255567163</v>
      </c>
      <c r="T72" s="397"/>
      <c r="U72" s="1763"/>
      <c r="V72" s="1766"/>
      <c r="W72" s="1769"/>
      <c r="X72" s="1772"/>
      <c r="Y72" s="1775"/>
      <c r="Z72" s="1778"/>
      <c r="AA72" s="1772"/>
      <c r="AB72" s="1781"/>
      <c r="AC72" s="1772"/>
      <c r="AD72" s="1785"/>
      <c r="AE72" s="1772"/>
      <c r="AF72" s="1788"/>
      <c r="AG72" s="1791"/>
      <c r="AH72" s="397"/>
      <c r="AI72" s="398"/>
      <c r="AJ72" s="398"/>
      <c r="AK72" s="398"/>
      <c r="AL72" s="591" t="s">
        <v>429</v>
      </c>
      <c r="AM72" s="591" t="s">
        <v>429</v>
      </c>
      <c r="AN72" s="591" t="s">
        <v>429</v>
      </c>
      <c r="AO72" s="398"/>
      <c r="AP72" s="397"/>
    </row>
    <row r="73" spans="1:42" ht="15.6" hidden="1" customHeight="1" x14ac:dyDescent="0.25">
      <c r="A73" s="1757"/>
      <c r="B73" s="639" t="s">
        <v>879</v>
      </c>
      <c r="C73" s="639"/>
      <c r="D73" s="724" t="s">
        <v>1050</v>
      </c>
      <c r="E73" s="1760"/>
      <c r="F73" s="617">
        <f>'exchange rates'!$O$16</f>
        <v>0.83301000000000003</v>
      </c>
      <c r="G73" s="625">
        <f>66/F73</f>
        <v>79.230741527712752</v>
      </c>
      <c r="H73" s="593">
        <f>90/F73</f>
        <v>108.04192026506284</v>
      </c>
      <c r="I73" s="594">
        <v>0</v>
      </c>
      <c r="J73" s="595">
        <f>7.8/F73</f>
        <v>9.36363308963878</v>
      </c>
      <c r="K73" s="566">
        <f>Tabel6689212734[[#This Row],[Fix.ch. 2017]]+Tabel6689212734[[#This Row],[Var. ch. 2017]]+Tabel6689212734[[#This Row],[Oth. ch. DW 2017]]+Tabel6689212734[[#This Row],[VAT DW 2017]]</f>
        <v>196.63629488241435</v>
      </c>
      <c r="L73" s="596">
        <f>64/F73</f>
        <v>76.829809966266907</v>
      </c>
      <c r="M73" s="595">
        <v>0</v>
      </c>
      <c r="N73" s="626">
        <f>157.05/F73</f>
        <v>188.53315086253468</v>
      </c>
      <c r="O73" s="595">
        <v>0</v>
      </c>
      <c r="P73" s="597">
        <f>36/F73</f>
        <v>43.216768106025135</v>
      </c>
      <c r="Q73" s="595">
        <v>0</v>
      </c>
      <c r="R73" s="570">
        <f>Tabel6689212734[[#This Row],[VAT DW 2017]]+Tabel6689212734[[#This Row],[VAT Sew. 2017]]+Tabel6689212734[[#This Row],[VAT WW 2017]]+Tabel6689212734[[#This Row],[VAT Other ch. 2017]]</f>
        <v>9.36363308963878</v>
      </c>
      <c r="S73" s="571">
        <f>Tabel6689212734[[#This Row],[Total. ch. DW 2017]]+Tabel6689212734[[#This Row],[Sew. 2017]]+Tabel6689212734[[#This Row],[VAT Sew. 2017]]+Tabel6689212734[[#This Row],[WW 2017]]+Tabel6689212734[[#This Row],[VAT WW 2017]]+Tabel6689212734[[#This Row],[Other ch. 2017]]+Tabel6689212734[[#This Row],[VAT Other ch. 2017]]</f>
        <v>505.21602381724108</v>
      </c>
      <c r="T73" s="397"/>
      <c r="U73" s="1763"/>
      <c r="V73" s="1766"/>
      <c r="W73" s="1769"/>
      <c r="X73" s="1772"/>
      <c r="Y73" s="1775"/>
      <c r="Z73" s="1778"/>
      <c r="AA73" s="1772"/>
      <c r="AB73" s="1781"/>
      <c r="AC73" s="1772"/>
      <c r="AD73" s="1785"/>
      <c r="AE73" s="1772"/>
      <c r="AF73" s="1788"/>
      <c r="AG73" s="1791">
        <f t="shared" ref="AG73" si="11">Y73+Z73+AA73+AB73+AC73+AD73+AE73</f>
        <v>0</v>
      </c>
      <c r="AH73" s="397"/>
      <c r="AI73" s="398"/>
      <c r="AJ73" s="398"/>
      <c r="AK73" s="398"/>
      <c r="AL73" s="591" t="s">
        <v>429</v>
      </c>
      <c r="AM73" s="591" t="s">
        <v>429</v>
      </c>
      <c r="AN73" s="591" t="s">
        <v>429</v>
      </c>
      <c r="AO73" s="398"/>
      <c r="AP73" s="397"/>
    </row>
    <row r="74" spans="1:42" ht="16.149999999999999" hidden="1" customHeight="1" thickBot="1" x14ac:dyDescent="0.3">
      <c r="A74" s="1758"/>
      <c r="B74" s="640" t="s">
        <v>86</v>
      </c>
      <c r="C74" s="652"/>
      <c r="D74" s="807" t="s">
        <v>1050</v>
      </c>
      <c r="E74" s="1799"/>
      <c r="F74" s="617">
        <f>'exchange rates'!$O$16</f>
        <v>0.83301000000000003</v>
      </c>
      <c r="G74" s="625">
        <f>48/F74</f>
        <v>57.622357474700181</v>
      </c>
      <c r="H74" s="593">
        <f>84.6/F74</f>
        <v>101.55940504915907</v>
      </c>
      <c r="I74" s="594">
        <v>0</v>
      </c>
      <c r="J74" s="595">
        <f>6.63/F74</f>
        <v>7.9590881261929622</v>
      </c>
      <c r="K74" s="566">
        <f>Tabel6689212734[[#This Row],[Fix.ch. 2017]]+Tabel6689212734[[#This Row],[Var. ch. 2017]]+Tabel6689212734[[#This Row],[Oth. ch. DW 2017]]+Tabel6689212734[[#This Row],[VAT DW 2017]]</f>
        <v>167.14085065005222</v>
      </c>
      <c r="L74" s="596">
        <f>42.72/F74</f>
        <v>51.283898152483161</v>
      </c>
      <c r="M74" s="595">
        <v>0</v>
      </c>
      <c r="N74" s="626">
        <f>157.5/F74</f>
        <v>189.07336046385998</v>
      </c>
      <c r="O74" s="595">
        <v>0</v>
      </c>
      <c r="P74" s="597">
        <f>35/F74</f>
        <v>42.016302325302213</v>
      </c>
      <c r="Q74" s="595">
        <v>0</v>
      </c>
      <c r="R74" s="570">
        <f>Tabel6689212734[[#This Row],[VAT DW 2017]]+Tabel6689212734[[#This Row],[VAT Sew. 2017]]+Tabel6689212734[[#This Row],[VAT WW 2017]]+Tabel6689212734[[#This Row],[VAT Other ch. 2017]]</f>
        <v>7.9590881261929622</v>
      </c>
      <c r="S74" s="571">
        <f>Tabel6689212734[[#This Row],[Total. ch. DW 2017]]+Tabel6689212734[[#This Row],[Sew. 2017]]+Tabel6689212734[[#This Row],[VAT Sew. 2017]]+Tabel6689212734[[#This Row],[WW 2017]]+Tabel6689212734[[#This Row],[VAT WW 2017]]+Tabel6689212734[[#This Row],[Other ch. 2017]]+Tabel6689212734[[#This Row],[VAT Other ch. 2017]]</f>
        <v>449.51441159169752</v>
      </c>
      <c r="T74" s="397"/>
      <c r="U74" s="1801"/>
      <c r="V74" s="1803"/>
      <c r="W74" s="1805"/>
      <c r="X74" s="1773"/>
      <c r="Y74" s="1807"/>
      <c r="Z74" s="1809"/>
      <c r="AA74" s="1773"/>
      <c r="AB74" s="1782"/>
      <c r="AC74" s="1773"/>
      <c r="AD74" s="1786"/>
      <c r="AE74" s="1773"/>
      <c r="AF74" s="1789"/>
      <c r="AG74" s="1792"/>
      <c r="AH74" s="397"/>
      <c r="AI74" s="398"/>
      <c r="AJ74" s="398"/>
      <c r="AK74" s="398"/>
      <c r="AL74" s="591" t="s">
        <v>429</v>
      </c>
      <c r="AM74" s="591" t="s">
        <v>429</v>
      </c>
      <c r="AN74" s="591" t="s">
        <v>429</v>
      </c>
      <c r="AO74" s="398"/>
      <c r="AP74" s="397"/>
    </row>
    <row r="75" spans="1:42" ht="16.149999999999999" hidden="1" customHeight="1" x14ac:dyDescent="0.25">
      <c r="A75" s="1878" t="s">
        <v>910</v>
      </c>
      <c r="B75" s="693" t="s">
        <v>911</v>
      </c>
      <c r="C75" s="693" t="s">
        <v>429</v>
      </c>
      <c r="D75" s="806" t="s">
        <v>1052</v>
      </c>
      <c r="E75" s="1759">
        <v>35200</v>
      </c>
      <c r="F75" s="617">
        <f>'exchange rates'!$O$17</f>
        <v>21.275480000000002</v>
      </c>
      <c r="G75" s="625">
        <v>0</v>
      </c>
      <c r="H75" s="593">
        <f>4037/F75</f>
        <v>189.74895043496079</v>
      </c>
      <c r="I75" s="594">
        <v>0</v>
      </c>
      <c r="J75" s="595">
        <f>606/F75</f>
        <v>28.483493674408283</v>
      </c>
      <c r="K75" s="566">
        <f>Tabel6689212734[[#This Row],[Fix.ch. 2017]]+Tabel6689212734[[#This Row],[Var. ch. 2017]]+Tabel6689212734[[#This Row],[Oth. ch. DW 2017]]+Tabel6689212734[[#This Row],[VAT DW 2017]]</f>
        <v>218.23244410936908</v>
      </c>
      <c r="L75" s="596">
        <v>0</v>
      </c>
      <c r="M75" s="595">
        <v>0</v>
      </c>
      <c r="N75" s="626">
        <f>3391/F75</f>
        <v>159.38535816818234</v>
      </c>
      <c r="O75" s="595">
        <f>508/F75</f>
        <v>23.877252123101332</v>
      </c>
      <c r="P75" s="597">
        <v>0</v>
      </c>
      <c r="Q75" s="595">
        <v>0</v>
      </c>
      <c r="R75" s="570">
        <f>Tabel6689212734[[#This Row],[VAT DW 2017]]+Tabel6689212734[[#This Row],[VAT Sew. 2017]]+Tabel6689212734[[#This Row],[VAT WW 2017]]+Tabel6689212734[[#This Row],[VAT Other ch. 2017]]</f>
        <v>52.360745797509615</v>
      </c>
      <c r="S75" s="571">
        <f>Tabel6689212734[[#This Row],[Total. ch. DW 2017]]+Tabel6689212734[[#This Row],[Sew. 2017]]+Tabel6689212734[[#This Row],[VAT Sew. 2017]]+Tabel6689212734[[#This Row],[WW 2017]]+Tabel6689212734[[#This Row],[VAT WW 2017]]+Tabel6689212734[[#This Row],[Other ch. 2017]]+Tabel6689212734[[#This Row],[VAT Other ch. 2017]]</f>
        <v>401.49505440065275</v>
      </c>
      <c r="T75" s="397"/>
      <c r="U75" s="1762">
        <f>MEDIAN(G75:G79)</f>
        <v>0</v>
      </c>
      <c r="V75" s="1765">
        <f>MEDIAN(H75:H79)</f>
        <v>189.74895043496079</v>
      </c>
      <c r="W75" s="1768">
        <f>MEDIAN(I75:I79)</f>
        <v>0</v>
      </c>
      <c r="X75" s="1771">
        <f>MEDIAN(J75:J79)</f>
        <v>28.483493674408283</v>
      </c>
      <c r="Y75" s="1774">
        <f>SUM(U75:X79)</f>
        <v>218.23244410936908</v>
      </c>
      <c r="Z75" s="1777">
        <f t="shared" ref="Z75:AF75" si="12">MEDIAN(L75:L79)</f>
        <v>0</v>
      </c>
      <c r="AA75" s="1771">
        <f t="shared" si="12"/>
        <v>0</v>
      </c>
      <c r="AB75" s="1810">
        <f t="shared" si="12"/>
        <v>159.38535816818234</v>
      </c>
      <c r="AC75" s="1771">
        <f t="shared" si="12"/>
        <v>23.877252123101332</v>
      </c>
      <c r="AD75" s="1812">
        <f t="shared" si="12"/>
        <v>0</v>
      </c>
      <c r="AE75" s="1771">
        <f t="shared" si="12"/>
        <v>0</v>
      </c>
      <c r="AF75" s="1814">
        <f t="shared" si="12"/>
        <v>52.360745797509615</v>
      </c>
      <c r="AG75" s="1793">
        <f>Y75+Z75+AA75+AB75+AC75+AD75+AE75</f>
        <v>401.49505440065275</v>
      </c>
      <c r="AH75" s="397"/>
      <c r="AI75" s="398"/>
      <c r="AJ75" s="591" t="s">
        <v>429</v>
      </c>
      <c r="AK75" s="398"/>
      <c r="AL75" s="591"/>
      <c r="AM75" s="591"/>
      <c r="AN75" s="591" t="s">
        <v>429</v>
      </c>
      <c r="AO75" s="398"/>
      <c r="AP75" s="397"/>
    </row>
    <row r="76" spans="1:42" ht="16.149999999999999" hidden="1" customHeight="1" x14ac:dyDescent="0.25">
      <c r="A76" s="1757"/>
      <c r="B76" s="639" t="s">
        <v>912</v>
      </c>
      <c r="C76" s="639"/>
      <c r="D76" s="724" t="s">
        <v>1052</v>
      </c>
      <c r="E76" s="1760"/>
      <c r="F76" s="617">
        <f>'exchange rates'!$O$17</f>
        <v>21.275480000000002</v>
      </c>
      <c r="G76" s="625">
        <v>0</v>
      </c>
      <c r="H76" s="593">
        <f>3224/F76</f>
        <v>151.53594654503681</v>
      </c>
      <c r="I76" s="594">
        <v>0</v>
      </c>
      <c r="J76" s="595">
        <f>484/F76</f>
        <v>22.749192967679225</v>
      </c>
      <c r="K76" s="566">
        <f>Tabel6689212734[[#This Row],[Fix.ch. 2017]]+Tabel6689212734[[#This Row],[Var. ch. 2017]]+Tabel6689212734[[#This Row],[Oth. ch. DW 2017]]+Tabel6689212734[[#This Row],[VAT DW 2017]]</f>
        <v>174.28513951271603</v>
      </c>
      <c r="L76" s="596">
        <v>0</v>
      </c>
      <c r="M76" s="595">
        <v>0</v>
      </c>
      <c r="N76" s="626">
        <f>3362/F76</f>
        <v>158.02228668871393</v>
      </c>
      <c r="O76" s="595">
        <f>504/F76</f>
        <v>23.689242263864315</v>
      </c>
      <c r="P76" s="597">
        <v>0</v>
      </c>
      <c r="Q76" s="595">
        <v>0</v>
      </c>
      <c r="R76" s="570">
        <f>Tabel6689212734[[#This Row],[VAT DW 2017]]+Tabel6689212734[[#This Row],[VAT Sew. 2017]]+Tabel6689212734[[#This Row],[VAT WW 2017]]+Tabel6689212734[[#This Row],[VAT Other ch. 2017]]</f>
        <v>46.438435231543536</v>
      </c>
      <c r="S76" s="571">
        <f>Tabel6689212734[[#This Row],[Total. ch. DW 2017]]+Tabel6689212734[[#This Row],[Sew. 2017]]+Tabel6689212734[[#This Row],[VAT Sew. 2017]]+Tabel6689212734[[#This Row],[WW 2017]]+Tabel6689212734[[#This Row],[VAT WW 2017]]+Tabel6689212734[[#This Row],[Other ch. 2017]]+Tabel6689212734[[#This Row],[VAT Other ch. 2017]]</f>
        <v>355.99666846529431</v>
      </c>
      <c r="T76" s="397"/>
      <c r="U76" s="1763"/>
      <c r="V76" s="1766"/>
      <c r="W76" s="1769"/>
      <c r="X76" s="1772"/>
      <c r="Y76" s="1775"/>
      <c r="Z76" s="1778"/>
      <c r="AA76" s="1772"/>
      <c r="AB76" s="1781"/>
      <c r="AC76" s="1772"/>
      <c r="AD76" s="1785"/>
      <c r="AE76" s="1772"/>
      <c r="AF76" s="1788"/>
      <c r="AG76" s="1791"/>
      <c r="AH76" s="397"/>
      <c r="AI76" s="398"/>
      <c r="AJ76" s="591" t="s">
        <v>429</v>
      </c>
      <c r="AK76" s="398"/>
      <c r="AL76" s="591"/>
      <c r="AM76" s="591"/>
      <c r="AN76" s="591" t="s">
        <v>429</v>
      </c>
      <c r="AO76" s="398"/>
      <c r="AP76" s="397"/>
    </row>
    <row r="77" spans="1:42" ht="16.149999999999999" hidden="1" customHeight="1" x14ac:dyDescent="0.25">
      <c r="A77" s="1757"/>
      <c r="B77" s="639" t="s">
        <v>913</v>
      </c>
      <c r="C77" s="639"/>
      <c r="D77" s="724" t="s">
        <v>1052</v>
      </c>
      <c r="E77" s="1760"/>
      <c r="F77" s="617">
        <f>'exchange rates'!$O$17</f>
        <v>21.275480000000002</v>
      </c>
      <c r="G77" s="625">
        <v>0</v>
      </c>
      <c r="H77" s="593">
        <f>3245/F77</f>
        <v>152.52299830603116</v>
      </c>
      <c r="I77" s="594">
        <v>0</v>
      </c>
      <c r="J77" s="595">
        <f>487/F77</f>
        <v>22.890200362106988</v>
      </c>
      <c r="K77" s="566">
        <f>Tabel6689212734[[#This Row],[Fix.ch. 2017]]+Tabel6689212734[[#This Row],[Var. ch. 2017]]+Tabel6689212734[[#This Row],[Oth. ch. DW 2017]]+Tabel6689212734[[#This Row],[VAT DW 2017]]</f>
        <v>175.41319866813814</v>
      </c>
      <c r="L77" s="596">
        <v>0</v>
      </c>
      <c r="M77" s="595">
        <v>0</v>
      </c>
      <c r="N77" s="626">
        <f>3417/F77</f>
        <v>160.60742225322295</v>
      </c>
      <c r="O77" s="595">
        <f>513/F77</f>
        <v>24.112264447147606</v>
      </c>
      <c r="P77" s="597">
        <v>0</v>
      </c>
      <c r="Q77" s="595">
        <v>0</v>
      </c>
      <c r="R77" s="570">
        <f>Tabel6689212734[[#This Row],[VAT DW 2017]]+Tabel6689212734[[#This Row],[VAT Sew. 2017]]+Tabel6689212734[[#This Row],[VAT WW 2017]]+Tabel6689212734[[#This Row],[VAT Other ch. 2017]]</f>
        <v>47.00246480925459</v>
      </c>
      <c r="S77" s="571">
        <f>Tabel6689212734[[#This Row],[Total. ch. DW 2017]]+Tabel6689212734[[#This Row],[Sew. 2017]]+Tabel6689212734[[#This Row],[VAT Sew. 2017]]+Tabel6689212734[[#This Row],[WW 2017]]+Tabel6689212734[[#This Row],[VAT WW 2017]]+Tabel6689212734[[#This Row],[Other ch. 2017]]+Tabel6689212734[[#This Row],[VAT Other ch. 2017]]</f>
        <v>360.13288536850871</v>
      </c>
      <c r="T77" s="397"/>
      <c r="U77" s="1763"/>
      <c r="V77" s="1766"/>
      <c r="W77" s="1769"/>
      <c r="X77" s="1772"/>
      <c r="Y77" s="1775"/>
      <c r="Z77" s="1778"/>
      <c r="AA77" s="1772"/>
      <c r="AB77" s="1781"/>
      <c r="AC77" s="1772"/>
      <c r="AD77" s="1785"/>
      <c r="AE77" s="1772"/>
      <c r="AF77" s="1788"/>
      <c r="AG77" s="1791"/>
      <c r="AH77" s="397"/>
      <c r="AI77" s="398"/>
      <c r="AJ77" s="591" t="s">
        <v>429</v>
      </c>
      <c r="AK77" s="398"/>
      <c r="AL77" s="591"/>
      <c r="AM77" s="591"/>
      <c r="AN77" s="591" t="s">
        <v>429</v>
      </c>
      <c r="AO77" s="398"/>
      <c r="AP77" s="397"/>
    </row>
    <row r="78" spans="1:42" ht="16.149999999999999" hidden="1" customHeight="1" x14ac:dyDescent="0.25">
      <c r="A78" s="1757"/>
      <c r="B78" s="639" t="s">
        <v>914</v>
      </c>
      <c r="C78" s="639"/>
      <c r="D78" s="724" t="s">
        <v>1052</v>
      </c>
      <c r="E78" s="1760"/>
      <c r="F78" s="617">
        <f>'exchange rates'!$O$17</f>
        <v>21.275480000000002</v>
      </c>
      <c r="G78" s="625">
        <v>0</v>
      </c>
      <c r="H78" s="593">
        <f>4506/F78</f>
        <v>211.79310643050121</v>
      </c>
      <c r="I78" s="594">
        <v>0</v>
      </c>
      <c r="J78" s="595">
        <f>676/F78</f>
        <v>31.773666211056106</v>
      </c>
      <c r="K78" s="566">
        <f>Tabel6689212734[[#This Row],[Fix.ch. 2017]]+Tabel6689212734[[#This Row],[Var. ch. 2017]]+Tabel6689212734[[#This Row],[Oth. ch. DW 2017]]+Tabel6689212734[[#This Row],[VAT DW 2017]]</f>
        <v>243.56677264155732</v>
      </c>
      <c r="L78" s="596">
        <v>0</v>
      </c>
      <c r="M78" s="595">
        <v>0</v>
      </c>
      <c r="N78" s="626">
        <f>2984/F78</f>
        <v>140.2553549908157</v>
      </c>
      <c r="O78" s="595">
        <f>448/F78</f>
        <v>21.057104234546056</v>
      </c>
      <c r="P78" s="597">
        <v>0</v>
      </c>
      <c r="Q78" s="595">
        <v>0</v>
      </c>
      <c r="R78" s="570">
        <f>Tabel6689212734[[#This Row],[VAT DW 2017]]+Tabel6689212734[[#This Row],[VAT Sew. 2017]]+Tabel6689212734[[#This Row],[VAT WW 2017]]+Tabel6689212734[[#This Row],[VAT Other ch. 2017]]</f>
        <v>52.830770445602163</v>
      </c>
      <c r="S78" s="571">
        <f>Tabel6689212734[[#This Row],[Total. ch. DW 2017]]+Tabel6689212734[[#This Row],[Sew. 2017]]+Tabel6689212734[[#This Row],[VAT Sew. 2017]]+Tabel6689212734[[#This Row],[WW 2017]]+Tabel6689212734[[#This Row],[VAT WW 2017]]+Tabel6689212734[[#This Row],[Other ch. 2017]]+Tabel6689212734[[#This Row],[VAT Other ch. 2017]]</f>
        <v>404.8792318669191</v>
      </c>
      <c r="T78" s="397"/>
      <c r="U78" s="1763"/>
      <c r="V78" s="1766"/>
      <c r="W78" s="1769"/>
      <c r="X78" s="1772"/>
      <c r="Y78" s="1775"/>
      <c r="Z78" s="1778"/>
      <c r="AA78" s="1772"/>
      <c r="AB78" s="1781"/>
      <c r="AC78" s="1772"/>
      <c r="AD78" s="1785"/>
      <c r="AE78" s="1772"/>
      <c r="AF78" s="1788"/>
      <c r="AG78" s="1791"/>
      <c r="AH78" s="397"/>
      <c r="AI78" s="398"/>
      <c r="AJ78" s="591" t="s">
        <v>429</v>
      </c>
      <c r="AK78" s="398"/>
      <c r="AL78" s="591"/>
      <c r="AM78" s="591"/>
      <c r="AN78" s="591" t="s">
        <v>429</v>
      </c>
      <c r="AO78" s="398"/>
      <c r="AP78" s="397"/>
    </row>
    <row r="79" spans="1:42" ht="16.149999999999999" hidden="1" customHeight="1" thickBot="1" x14ac:dyDescent="0.3">
      <c r="A79" s="1758"/>
      <c r="B79" s="652" t="s">
        <v>915</v>
      </c>
      <c r="C79" s="652"/>
      <c r="D79" s="807" t="s">
        <v>1052</v>
      </c>
      <c r="E79" s="1761"/>
      <c r="F79" s="617">
        <f>'exchange rates'!$O$17</f>
        <v>21.275480000000002</v>
      </c>
      <c r="G79" s="625">
        <v>0</v>
      </c>
      <c r="H79" s="593">
        <f>4346/F79</f>
        <v>204.27271206102046</v>
      </c>
      <c r="I79" s="594">
        <v>0</v>
      </c>
      <c r="J79" s="595">
        <f>652/F79</f>
        <v>30.645607055633995</v>
      </c>
      <c r="K79" s="566">
        <f>Tabel6689212734[[#This Row],[Fix.ch. 2017]]+Tabel6689212734[[#This Row],[Var. ch. 2017]]+Tabel6689212734[[#This Row],[Oth. ch. DW 2017]]+Tabel6689212734[[#This Row],[VAT DW 2017]]</f>
        <v>234.91831911665446</v>
      </c>
      <c r="L79" s="596">
        <v>0</v>
      </c>
      <c r="M79" s="595">
        <v>0</v>
      </c>
      <c r="N79" s="626">
        <f>4202/F79</f>
        <v>197.50435712848781</v>
      </c>
      <c r="O79" s="595">
        <f>630/F79</f>
        <v>29.611552829830394</v>
      </c>
      <c r="P79" s="597">
        <v>0</v>
      </c>
      <c r="Q79" s="595">
        <v>0</v>
      </c>
      <c r="R79" s="570">
        <f>Tabel6689212734[[#This Row],[VAT DW 2017]]+Tabel6689212734[[#This Row],[VAT Sew. 2017]]+Tabel6689212734[[#This Row],[VAT WW 2017]]+Tabel6689212734[[#This Row],[VAT Other ch. 2017]]</f>
        <v>60.25715988546439</v>
      </c>
      <c r="S79" s="571">
        <f>Tabel6689212734[[#This Row],[Total. ch. DW 2017]]+Tabel6689212734[[#This Row],[Sew. 2017]]+Tabel6689212734[[#This Row],[VAT Sew. 2017]]+Tabel6689212734[[#This Row],[WW 2017]]+Tabel6689212734[[#This Row],[VAT WW 2017]]+Tabel6689212734[[#This Row],[Other ch. 2017]]+Tabel6689212734[[#This Row],[VAT Other ch. 2017]]</f>
        <v>462.03422907497264</v>
      </c>
      <c r="T79" s="397"/>
      <c r="U79" s="1764"/>
      <c r="V79" s="1767"/>
      <c r="W79" s="1770"/>
      <c r="X79" s="1773"/>
      <c r="Y79" s="1776"/>
      <c r="Z79" s="1779"/>
      <c r="AA79" s="1773"/>
      <c r="AB79" s="1811"/>
      <c r="AC79" s="1773"/>
      <c r="AD79" s="1813"/>
      <c r="AE79" s="1773"/>
      <c r="AF79" s="1815"/>
      <c r="AG79" s="1794"/>
      <c r="AH79" s="397"/>
      <c r="AI79" s="398"/>
      <c r="AJ79" s="591" t="s">
        <v>429</v>
      </c>
      <c r="AK79" s="398"/>
      <c r="AL79" s="591"/>
      <c r="AM79" s="591"/>
      <c r="AN79" s="591" t="s">
        <v>429</v>
      </c>
      <c r="AO79" s="398"/>
      <c r="AP79" s="397"/>
    </row>
    <row r="80" spans="1:42" ht="18" hidden="1" customHeight="1" x14ac:dyDescent="0.25">
      <c r="A80" s="1818" t="s">
        <v>11</v>
      </c>
      <c r="B80" s="663" t="s">
        <v>87</v>
      </c>
      <c r="C80" s="1046"/>
      <c r="D80" s="802" t="s">
        <v>1054</v>
      </c>
      <c r="E80" s="1966">
        <v>49600</v>
      </c>
      <c r="F80" s="661">
        <f>'exchange rates'!$O$18</f>
        <v>6.2037399999999998</v>
      </c>
      <c r="G80" s="625">
        <f>550.4/F80</f>
        <v>88.720674947692842</v>
      </c>
      <c r="H80" s="593">
        <f>819/F80</f>
        <v>132.01713804898336</v>
      </c>
      <c r="I80" s="594">
        <f>653/F80</f>
        <v>105.25908564833472</v>
      </c>
      <c r="J80" s="595">
        <f>505.6/F80</f>
        <v>81.49922466125274</v>
      </c>
      <c r="K80" s="566">
        <f>Tabel6689212734[[#This Row],[Fix.ch. 2017]]+Tabel6689212734[[#This Row],[Var. ch. 2017]]+Tabel6689212734[[#This Row],[Oth. ch. DW 2017]]+Tabel6689212734[[#This Row],[VAT DW 2017]]</f>
        <v>407.49612330626366</v>
      </c>
      <c r="L80" s="596">
        <v>0</v>
      </c>
      <c r="M80" s="595">
        <f>2731.78/F80</f>
        <v>440.34405052436114</v>
      </c>
      <c r="N80" s="626">
        <f>57.02/F80</f>
        <v>9.1912298065360574</v>
      </c>
      <c r="O80" s="595">
        <f>697.2/F80</f>
        <v>112.3838200827243</v>
      </c>
      <c r="P80" s="597">
        <v>0</v>
      </c>
      <c r="Q80" s="595">
        <v>0</v>
      </c>
      <c r="R80" s="570">
        <f>Tabel6689212734[[#This Row],[VAT DW 2017]]+Tabel6689212734[[#This Row],[VAT Sew. 2017]]+Tabel6689212734[[#This Row],[VAT WW 2017]]+Tabel6689212734[[#This Row],[VAT Other ch. 2017]]</f>
        <v>634.22709526833819</v>
      </c>
      <c r="S80" s="571">
        <f>Tabel6689212734[[#This Row],[Total. ch. DW 2017]]+Tabel6689212734[[#This Row],[Sew. 2017]]+Tabel6689212734[[#This Row],[VAT Sew. 2017]]+Tabel6689212734[[#This Row],[WW 2017]]+Tabel6689212734[[#This Row],[VAT WW 2017]]+Tabel6689212734[[#This Row],[Other ch. 2017]]+Tabel6689212734[[#This Row],[VAT Other ch. 2017]]</f>
        <v>969.41522371988503</v>
      </c>
      <c r="T80" s="397"/>
      <c r="U80" s="1968">
        <f>MEDIAN(G80:G84)</f>
        <v>88.720674947692842</v>
      </c>
      <c r="V80" s="1971">
        <f>MEDIAN(H80:H84)</f>
        <v>129.82491206917118</v>
      </c>
      <c r="W80" s="1974">
        <f>MEDIAN(I80:I84)</f>
        <v>105.25908564833472</v>
      </c>
      <c r="X80" s="1771">
        <f>MEDIAN(J80:J84)</f>
        <v>81.49922466125274</v>
      </c>
      <c r="Y80" s="1977">
        <f>SUM(U80:X84)</f>
        <v>405.30389732645148</v>
      </c>
      <c r="Z80" s="1980">
        <f t="shared" ref="Z80:AF80" si="13">MEDIAN(L80:L84)</f>
        <v>0</v>
      </c>
      <c r="AA80" s="1771">
        <f t="shared" si="13"/>
        <v>440.34405052436114</v>
      </c>
      <c r="AB80" s="1954">
        <f t="shared" si="13"/>
        <v>9.1912298065360574</v>
      </c>
      <c r="AC80" s="1771">
        <f t="shared" si="13"/>
        <v>112.3838200827243</v>
      </c>
      <c r="AD80" s="1957">
        <f t="shared" si="13"/>
        <v>0</v>
      </c>
      <c r="AE80" s="1771">
        <f t="shared" si="13"/>
        <v>0</v>
      </c>
      <c r="AF80" s="1960">
        <f t="shared" si="13"/>
        <v>634.22709526833819</v>
      </c>
      <c r="AG80" s="1963">
        <f>Y80+Z80+AA80+AB80+AC80+AD80+AE80</f>
        <v>967.22299774007297</v>
      </c>
      <c r="AH80" s="397"/>
      <c r="AI80" s="396"/>
      <c r="AJ80" s="591" t="s">
        <v>429</v>
      </c>
      <c r="AK80" s="591"/>
      <c r="AL80" s="591"/>
      <c r="AM80" s="591" t="s">
        <v>429</v>
      </c>
      <c r="AN80" s="591" t="s">
        <v>429</v>
      </c>
      <c r="AO80" s="396"/>
      <c r="AP80" s="397"/>
    </row>
    <row r="81" spans="1:42" ht="15.75" hidden="1" x14ac:dyDescent="0.25">
      <c r="A81" s="1819"/>
      <c r="B81" s="547" t="s">
        <v>213</v>
      </c>
      <c r="C81" s="1046"/>
      <c r="D81" s="802" t="s">
        <v>1054</v>
      </c>
      <c r="E81" s="1967"/>
      <c r="F81" s="661">
        <f>'exchange rates'!$O$18</f>
        <v>6.2037399999999998</v>
      </c>
      <c r="G81" s="625">
        <f>384/F81</f>
        <v>61.898145312343843</v>
      </c>
      <c r="H81" s="593">
        <f>805.4/F81</f>
        <v>129.82491206917118</v>
      </c>
      <c r="I81" s="594">
        <f>653/F81</f>
        <v>105.25908564833472</v>
      </c>
      <c r="J81" s="595">
        <f>460.6/F81</f>
        <v>74.245535757462434</v>
      </c>
      <c r="K81" s="566">
        <f>Tabel6689212734[[#This Row],[Fix.ch. 2017]]+Tabel6689212734[[#This Row],[Var. ch. 2017]]+Tabel6689212734[[#This Row],[Oth. ch. DW 2017]]+Tabel6689212734[[#This Row],[VAT DW 2017]]</f>
        <v>371.22767878731219</v>
      </c>
      <c r="L81" s="596">
        <v>0</v>
      </c>
      <c r="M81" s="595">
        <f>1554.42/F81</f>
        <v>250.56175790732689</v>
      </c>
      <c r="N81" s="626">
        <f>69.58/F81</f>
        <v>11.215814976127303</v>
      </c>
      <c r="O81" s="595">
        <f>406/F81</f>
        <v>65.444393220863546</v>
      </c>
      <c r="P81" s="597">
        <v>0</v>
      </c>
      <c r="Q81" s="595">
        <v>0</v>
      </c>
      <c r="R81" s="570">
        <f>Tabel6689212734[[#This Row],[VAT DW 2017]]+Tabel6689212734[[#This Row],[VAT Sew. 2017]]+Tabel6689212734[[#This Row],[VAT WW 2017]]+Tabel6689212734[[#This Row],[VAT Other ch. 2017]]</f>
        <v>390.25168688565287</v>
      </c>
      <c r="S81" s="571">
        <f>Tabel6689212734[[#This Row],[Total. ch. DW 2017]]+Tabel6689212734[[#This Row],[Sew. 2017]]+Tabel6689212734[[#This Row],[VAT Sew. 2017]]+Tabel6689212734[[#This Row],[WW 2017]]+Tabel6689212734[[#This Row],[VAT WW 2017]]+Tabel6689212734[[#This Row],[Other ch. 2017]]+Tabel6689212734[[#This Row],[VAT Other ch. 2017]]</f>
        <v>698.44964489162987</v>
      </c>
      <c r="T81" s="397"/>
      <c r="U81" s="1969"/>
      <c r="V81" s="1972"/>
      <c r="W81" s="1975"/>
      <c r="X81" s="1772"/>
      <c r="Y81" s="1978"/>
      <c r="Z81" s="1981"/>
      <c r="AA81" s="1772"/>
      <c r="AB81" s="1955"/>
      <c r="AC81" s="1772"/>
      <c r="AD81" s="1958"/>
      <c r="AE81" s="1772"/>
      <c r="AF81" s="1961"/>
      <c r="AG81" s="1964"/>
      <c r="AH81" s="397"/>
      <c r="AI81" s="396"/>
      <c r="AJ81" s="591" t="s">
        <v>429</v>
      </c>
      <c r="AK81" s="591"/>
      <c r="AL81" s="591"/>
      <c r="AM81" s="591" t="s">
        <v>429</v>
      </c>
      <c r="AN81" s="591" t="s">
        <v>429</v>
      </c>
      <c r="AO81" s="396"/>
      <c r="AP81" s="397"/>
    </row>
    <row r="82" spans="1:42" ht="15.75" hidden="1" x14ac:dyDescent="0.25">
      <c r="A82" s="1819"/>
      <c r="B82" s="547" t="s">
        <v>88</v>
      </c>
      <c r="C82" s="1046" t="s">
        <v>429</v>
      </c>
      <c r="D82" s="802" t="s">
        <v>1054</v>
      </c>
      <c r="E82" s="1967"/>
      <c r="F82" s="661">
        <f>'exchange rates'!$O$18</f>
        <v>6.2037399999999998</v>
      </c>
      <c r="G82" s="625">
        <f>1000/F82</f>
        <v>161.19308675089545</v>
      </c>
      <c r="H82" s="593">
        <f>482.2/F82</f>
        <v>77.727306431281775</v>
      </c>
      <c r="I82" s="594">
        <f>653/F82</f>
        <v>105.25908564833472</v>
      </c>
      <c r="J82" s="595">
        <f>533.8/F82</f>
        <v>86.044869707627981</v>
      </c>
      <c r="K82" s="566">
        <f>Tabel6689212734[[#This Row],[Fix.ch. 2017]]+Tabel6689212734[[#This Row],[Var. ch. 2017]]+Tabel6689212734[[#This Row],[Oth. ch. DW 2017]]+Tabel6689212734[[#This Row],[VAT DW 2017]]</f>
        <v>430.22434853813991</v>
      </c>
      <c r="L82" s="596">
        <v>0</v>
      </c>
      <c r="M82" s="595">
        <f>2672.33/F82</f>
        <v>430.7611215170204</v>
      </c>
      <c r="N82" s="626">
        <f>76.47/F82</f>
        <v>12.326435343840974</v>
      </c>
      <c r="O82" s="595">
        <f>687.2/F82</f>
        <v>110.77188921521535</v>
      </c>
      <c r="P82" s="597">
        <v>0</v>
      </c>
      <c r="Q82" s="595">
        <v>0</v>
      </c>
      <c r="R82" s="570">
        <f>Tabel6689212734[[#This Row],[VAT DW 2017]]+Tabel6689212734[[#This Row],[VAT Sew. 2017]]+Tabel6689212734[[#This Row],[VAT WW 2017]]+Tabel6689212734[[#This Row],[VAT Other ch. 2017]]</f>
        <v>627.57788043986363</v>
      </c>
      <c r="S82" s="571">
        <f>Tabel6689212734[[#This Row],[Total. ch. DW 2017]]+Tabel6689212734[[#This Row],[Sew. 2017]]+Tabel6689212734[[#This Row],[VAT Sew. 2017]]+Tabel6689212734[[#This Row],[WW 2017]]+Tabel6689212734[[#This Row],[VAT WW 2017]]+Tabel6689212734[[#This Row],[Other ch. 2017]]+Tabel6689212734[[#This Row],[VAT Other ch. 2017]]</f>
        <v>984.08379461421657</v>
      </c>
      <c r="T82" s="397"/>
      <c r="U82" s="1969"/>
      <c r="V82" s="1972"/>
      <c r="W82" s="1975"/>
      <c r="X82" s="1772"/>
      <c r="Y82" s="1978"/>
      <c r="Z82" s="1981"/>
      <c r="AA82" s="1772"/>
      <c r="AB82" s="1955"/>
      <c r="AC82" s="1772"/>
      <c r="AD82" s="1958"/>
      <c r="AE82" s="1772"/>
      <c r="AF82" s="1961"/>
      <c r="AG82" s="1964"/>
      <c r="AH82" s="397"/>
      <c r="AI82" s="396"/>
      <c r="AJ82" s="591" t="s">
        <v>429</v>
      </c>
      <c r="AK82" s="591"/>
      <c r="AL82" s="591"/>
      <c r="AM82" s="591" t="s">
        <v>429</v>
      </c>
      <c r="AN82" s="591" t="s">
        <v>429</v>
      </c>
      <c r="AO82" s="396"/>
      <c r="AP82" s="397"/>
    </row>
    <row r="83" spans="1:42" ht="15.75" hidden="1" x14ac:dyDescent="0.25">
      <c r="A83" s="1819"/>
      <c r="B83" s="547" t="s">
        <v>89</v>
      </c>
      <c r="C83" s="1046"/>
      <c r="D83" s="802" t="s">
        <v>1054</v>
      </c>
      <c r="E83" s="1967"/>
      <c r="F83" s="661">
        <f>'exchange rates'!$O$18</f>
        <v>6.2037399999999998</v>
      </c>
      <c r="G83" s="625">
        <f>662.4/F83</f>
        <v>106.77430066379313</v>
      </c>
      <c r="H83" s="593">
        <f>457.4/F83</f>
        <v>73.729717879859564</v>
      </c>
      <c r="I83" s="594">
        <f>653/F83</f>
        <v>105.25908564833472</v>
      </c>
      <c r="J83" s="595">
        <f>443.2/F83</f>
        <v>71.440776047996849</v>
      </c>
      <c r="K83" s="566">
        <f>Tabel6689212734[[#This Row],[Fix.ch. 2017]]+Tabel6689212734[[#This Row],[Var. ch. 2017]]+Tabel6689212734[[#This Row],[Oth. ch. DW 2017]]+Tabel6689212734[[#This Row],[VAT DW 2017]]</f>
        <v>357.20388023998424</v>
      </c>
      <c r="L83" s="596">
        <v>0</v>
      </c>
      <c r="M83" s="595">
        <f>2880/F83</f>
        <v>464.23608984257885</v>
      </c>
      <c r="N83" s="626">
        <f>50.4/F83</f>
        <v>8.1241315722451297</v>
      </c>
      <c r="O83" s="595">
        <f>734.6/F83</f>
        <v>118.41244152720779</v>
      </c>
      <c r="P83" s="597">
        <v>0</v>
      </c>
      <c r="Q83" s="595">
        <v>0</v>
      </c>
      <c r="R83" s="570">
        <f>Tabel6689212734[[#This Row],[VAT DW 2017]]+Tabel6689212734[[#This Row],[VAT Sew. 2017]]+Tabel6689212734[[#This Row],[VAT WW 2017]]+Tabel6689212734[[#This Row],[VAT Other ch. 2017]]</f>
        <v>654.08930741778352</v>
      </c>
      <c r="S83" s="571">
        <f>Tabel6689212734[[#This Row],[Total. ch. DW 2017]]+Tabel6689212734[[#This Row],[Sew. 2017]]+Tabel6689212734[[#This Row],[VAT Sew. 2017]]+Tabel6689212734[[#This Row],[WW 2017]]+Tabel6689212734[[#This Row],[VAT WW 2017]]+Tabel6689212734[[#This Row],[Other ch. 2017]]+Tabel6689212734[[#This Row],[VAT Other ch. 2017]]</f>
        <v>947.97654318201603</v>
      </c>
      <c r="T83" s="397"/>
      <c r="U83" s="1969"/>
      <c r="V83" s="1972"/>
      <c r="W83" s="1975"/>
      <c r="X83" s="1772"/>
      <c r="Y83" s="1978"/>
      <c r="Z83" s="1981"/>
      <c r="AA83" s="1772"/>
      <c r="AB83" s="1955"/>
      <c r="AC83" s="1772"/>
      <c r="AD83" s="1958"/>
      <c r="AE83" s="1772"/>
      <c r="AF83" s="1961"/>
      <c r="AG83" s="1964"/>
      <c r="AH83" s="397"/>
      <c r="AI83" s="396"/>
      <c r="AJ83" s="591" t="s">
        <v>429</v>
      </c>
      <c r="AK83" s="591"/>
      <c r="AL83" s="591"/>
      <c r="AM83" s="591" t="s">
        <v>429</v>
      </c>
      <c r="AN83" s="591" t="s">
        <v>429</v>
      </c>
      <c r="AO83" s="396"/>
      <c r="AP83" s="397"/>
    </row>
    <row r="84" spans="1:42" ht="16.5" hidden="1" thickBot="1" x14ac:dyDescent="0.3">
      <c r="A84" s="1820"/>
      <c r="B84" s="613" t="s">
        <v>90</v>
      </c>
      <c r="C84" s="1046"/>
      <c r="D84" s="807" t="s">
        <v>1054</v>
      </c>
      <c r="E84" s="1923"/>
      <c r="F84" s="661">
        <f>'exchange rates'!$O$18</f>
        <v>6.2037399999999998</v>
      </c>
      <c r="G84" s="625">
        <f>480/F84</f>
        <v>77.372681640429803</v>
      </c>
      <c r="H84" s="593">
        <f>922.2/F84</f>
        <v>148.65226460167577</v>
      </c>
      <c r="I84" s="594">
        <f>653/F84</f>
        <v>105.25908564833472</v>
      </c>
      <c r="J84" s="595">
        <f>513.8/F84</f>
        <v>82.821007972610062</v>
      </c>
      <c r="K84" s="566">
        <f>Tabel6689212734[[#This Row],[Fix.ch. 2017]]+Tabel6689212734[[#This Row],[Var. ch. 2017]]+Tabel6689212734[[#This Row],[Oth. ch. DW 2017]]+Tabel6689212734[[#This Row],[VAT DW 2017]]</f>
        <v>414.10503986305031</v>
      </c>
      <c r="L84" s="596">
        <v>0</v>
      </c>
      <c r="M84" s="595">
        <f>3676.62/F84</f>
        <v>592.64572661007719</v>
      </c>
      <c r="N84" s="626">
        <f>53.78/F84</f>
        <v>8.6689642054631566</v>
      </c>
      <c r="O84" s="595">
        <f>932.6/F84</f>
        <v>150.32867270388508</v>
      </c>
      <c r="P84" s="597">
        <v>0</v>
      </c>
      <c r="Q84" s="595">
        <v>0</v>
      </c>
      <c r="R84" s="570">
        <f>Tabel6689212734[[#This Row],[VAT DW 2017]]+Tabel6689212734[[#This Row],[VAT Sew. 2017]]+Tabel6689212734[[#This Row],[VAT WW 2017]]+Tabel6689212734[[#This Row],[VAT Other ch. 2017]]</f>
        <v>825.7954072865723</v>
      </c>
      <c r="S84" s="571">
        <f>Tabel6689212734[[#This Row],[Total. ch. DW 2017]]+Tabel6689212734[[#This Row],[Sew. 2017]]+Tabel6689212734[[#This Row],[VAT Sew. 2017]]+Tabel6689212734[[#This Row],[WW 2017]]+Tabel6689212734[[#This Row],[VAT WW 2017]]+Tabel6689212734[[#This Row],[Other ch. 2017]]+Tabel6689212734[[#This Row],[VAT Other ch. 2017]]</f>
        <v>1165.7484033824755</v>
      </c>
      <c r="T84" s="397"/>
      <c r="U84" s="1970"/>
      <c r="V84" s="1973"/>
      <c r="W84" s="1976"/>
      <c r="X84" s="1773"/>
      <c r="Y84" s="1979"/>
      <c r="Z84" s="1982"/>
      <c r="AA84" s="1773"/>
      <c r="AB84" s="1956"/>
      <c r="AC84" s="1773"/>
      <c r="AD84" s="1959"/>
      <c r="AE84" s="1773"/>
      <c r="AF84" s="1962"/>
      <c r="AG84" s="1965"/>
      <c r="AH84" s="397"/>
      <c r="AI84" s="396"/>
      <c r="AJ84" s="591" t="s">
        <v>429</v>
      </c>
      <c r="AK84" s="591"/>
      <c r="AL84" s="591"/>
      <c r="AM84" s="591" t="s">
        <v>429</v>
      </c>
      <c r="AN84" s="591" t="s">
        <v>429</v>
      </c>
      <c r="AO84" s="396"/>
      <c r="AP84" s="397"/>
    </row>
    <row r="85" spans="1:42" ht="18" hidden="1" customHeight="1" x14ac:dyDescent="0.25">
      <c r="A85" s="1818" t="s">
        <v>12</v>
      </c>
      <c r="B85" s="546" t="s">
        <v>91</v>
      </c>
      <c r="C85" s="1046"/>
      <c r="D85" s="802" t="s">
        <v>1056</v>
      </c>
      <c r="E85" s="1966">
        <v>44000</v>
      </c>
      <c r="F85" s="616">
        <f>'exchange rates'!$O$19</f>
        <v>0.83301000000000003</v>
      </c>
      <c r="G85" s="625">
        <f>39.52/F85</f>
        <v>47.44240765416982</v>
      </c>
      <c r="H85" s="593">
        <f>113/F85</f>
        <v>135.65263322169002</v>
      </c>
      <c r="I85" s="594">
        <v>0</v>
      </c>
      <c r="J85" s="595">
        <f>36.6/F85</f>
        <v>43.937047574458887</v>
      </c>
      <c r="K85" s="566">
        <f>Tabel6689212734[[#This Row],[Fix.ch. 2017]]+Tabel6689212734[[#This Row],[Var. ch. 2017]]+Tabel6689212734[[#This Row],[Oth. ch. DW 2017]]+Tabel6689212734[[#This Row],[VAT DW 2017]]</f>
        <v>227.03208845031872</v>
      </c>
      <c r="L85" s="596">
        <f>139/F85</f>
        <v>166.86474352048594</v>
      </c>
      <c r="M85" s="595">
        <f>33.36/F85</f>
        <v>40.047538444916626</v>
      </c>
      <c r="N85" s="626">
        <v>0</v>
      </c>
      <c r="O85" s="595">
        <v>0</v>
      </c>
      <c r="P85" s="597">
        <f>39.52/F85</f>
        <v>47.44240765416982</v>
      </c>
      <c r="Q85" s="595">
        <f>9.48/F85</f>
        <v>11.380415601253286</v>
      </c>
      <c r="R85" s="317">
        <f>Tabel6689212734[[#This Row],[VAT DW 2017]]+Tabel6689212734[[#This Row],[VAT Sew. 2017]]+Tabel6689212734[[#This Row],[VAT WW 2017]]+Tabel6689212734[[#This Row],[VAT Other ch. 2017]]</f>
        <v>95.365001620628803</v>
      </c>
      <c r="S85" s="571">
        <f>Tabel6689212734[[#This Row],[Total. ch. DW 2017]]+Tabel6689212734[[#This Row],[Sew. 2017]]+Tabel6689212734[[#This Row],[VAT Sew. 2017]]+Tabel6689212734[[#This Row],[WW 2017]]+Tabel6689212734[[#This Row],[VAT WW 2017]]+Tabel6689212734[[#This Row],[Other ch. 2017]]+Tabel6689212734[[#This Row],[VAT Other ch. 2017]]</f>
        <v>492.76719367114441</v>
      </c>
      <c r="T85" s="397"/>
      <c r="U85" s="1968">
        <f>MEDIAN(G85:G90)</f>
        <v>48.894971248844556</v>
      </c>
      <c r="V85" s="1971">
        <f>MEDIAN(H85:H90)</f>
        <v>136.85309900241293</v>
      </c>
      <c r="W85" s="1974">
        <f>MEDIAN(I85:I90)</f>
        <v>0</v>
      </c>
      <c r="X85" s="1771">
        <f>MEDIAN(J85:J90)</f>
        <v>45.731743916639658</v>
      </c>
      <c r="Y85" s="1977">
        <f>SUM(U85:X90)</f>
        <v>231.47981416789716</v>
      </c>
      <c r="Z85" s="1980">
        <f t="shared" ref="Z85:AF85" si="14">MEDIAN(L85:L90)</f>
        <v>176.37243250381147</v>
      </c>
      <c r="AA85" s="1771">
        <f t="shared" si="14"/>
        <v>42.328423428290172</v>
      </c>
      <c r="AB85" s="1954">
        <f t="shared" si="14"/>
        <v>0</v>
      </c>
      <c r="AC85" s="1771">
        <f t="shared" si="14"/>
        <v>0</v>
      </c>
      <c r="AD85" s="1957">
        <f t="shared" si="14"/>
        <v>47.44240765416982</v>
      </c>
      <c r="AE85" s="1771">
        <f t="shared" si="14"/>
        <v>11.380415601253286</v>
      </c>
      <c r="AF85" s="1960">
        <f t="shared" si="14"/>
        <v>99.782715693689141</v>
      </c>
      <c r="AG85" s="1963">
        <f>Y85+Z85+AA85+AB85+AC85+AD85+AE85</f>
        <v>509.00349335542188</v>
      </c>
      <c r="AH85" s="397"/>
      <c r="AI85" s="400"/>
      <c r="AJ85" s="662" t="s">
        <v>429</v>
      </c>
      <c r="AK85" s="662"/>
      <c r="AL85" s="662"/>
      <c r="AM85" s="662" t="s">
        <v>429</v>
      </c>
      <c r="AN85" s="662" t="s">
        <v>429</v>
      </c>
      <c r="AO85" s="400"/>
      <c r="AP85" s="397"/>
    </row>
    <row r="86" spans="1:42" ht="15.75" hidden="1" x14ac:dyDescent="0.25">
      <c r="A86" s="1819"/>
      <c r="B86" s="547" t="s">
        <v>92</v>
      </c>
      <c r="C86" s="1046" t="s">
        <v>429</v>
      </c>
      <c r="D86" s="802" t="s">
        <v>1056</v>
      </c>
      <c r="E86" s="1967"/>
      <c r="F86" s="616">
        <f>'exchange rates'!$O$19</f>
        <v>0.83301000000000003</v>
      </c>
      <c r="G86" s="625">
        <f>39.52/F86</f>
        <v>47.44240765416982</v>
      </c>
      <c r="H86" s="593">
        <f>113/F86</f>
        <v>135.65263322169002</v>
      </c>
      <c r="I86" s="594">
        <v>0</v>
      </c>
      <c r="J86" s="595">
        <f>36.6/F86</f>
        <v>43.937047574458887</v>
      </c>
      <c r="K86" s="566">
        <f>Tabel6689212734[[#This Row],[Fix.ch. 2017]]+Tabel6689212734[[#This Row],[Var. ch. 2017]]+Tabel6689212734[[#This Row],[Oth. ch. DW 2017]]+Tabel6689212734[[#This Row],[VAT DW 2017]]</f>
        <v>227.03208845031872</v>
      </c>
      <c r="L86" s="596">
        <f>139/F86</f>
        <v>166.86474352048594</v>
      </c>
      <c r="M86" s="595">
        <f>33.36/F86</f>
        <v>40.047538444916626</v>
      </c>
      <c r="N86" s="626">
        <v>0</v>
      </c>
      <c r="O86" s="595">
        <v>0</v>
      </c>
      <c r="P86" s="597">
        <f>39.52/F86</f>
        <v>47.44240765416982</v>
      </c>
      <c r="Q86" s="595">
        <f>9.48/F86</f>
        <v>11.380415601253286</v>
      </c>
      <c r="R86" s="570">
        <f>Tabel6689212734[[#This Row],[VAT DW 2017]]+Tabel6689212734[[#This Row],[VAT Sew. 2017]]+Tabel6689212734[[#This Row],[VAT WW 2017]]+Tabel6689212734[[#This Row],[VAT Other ch. 2017]]</f>
        <v>95.365001620628803</v>
      </c>
      <c r="S86" s="571">
        <f>Tabel6689212734[[#This Row],[Total. ch. DW 2017]]+Tabel6689212734[[#This Row],[Sew. 2017]]+Tabel6689212734[[#This Row],[VAT Sew. 2017]]+Tabel6689212734[[#This Row],[WW 2017]]+Tabel6689212734[[#This Row],[VAT WW 2017]]+Tabel6689212734[[#This Row],[Other ch. 2017]]+Tabel6689212734[[#This Row],[VAT Other ch. 2017]]</f>
        <v>492.76719367114441</v>
      </c>
      <c r="T86" s="397"/>
      <c r="U86" s="1969"/>
      <c r="V86" s="1972"/>
      <c r="W86" s="1975"/>
      <c r="X86" s="1772"/>
      <c r="Y86" s="1978"/>
      <c r="Z86" s="1981"/>
      <c r="AA86" s="1772"/>
      <c r="AB86" s="1955"/>
      <c r="AC86" s="1772"/>
      <c r="AD86" s="1958"/>
      <c r="AE86" s="1772"/>
      <c r="AF86" s="1961"/>
      <c r="AG86" s="1964"/>
      <c r="AH86" s="397"/>
      <c r="AI86" s="400"/>
      <c r="AJ86" s="662" t="s">
        <v>429</v>
      </c>
      <c r="AK86" s="662"/>
      <c r="AL86" s="662"/>
      <c r="AM86" s="662" t="s">
        <v>429</v>
      </c>
      <c r="AN86" s="662" t="s">
        <v>429</v>
      </c>
      <c r="AO86" s="400"/>
      <c r="AP86" s="397"/>
    </row>
    <row r="87" spans="1:42" ht="15.75" hidden="1" x14ac:dyDescent="0.25">
      <c r="A87" s="1819"/>
      <c r="B87" s="547" t="s">
        <v>93</v>
      </c>
      <c r="C87" s="1046"/>
      <c r="D87" s="802" t="s">
        <v>1056</v>
      </c>
      <c r="E87" s="1967"/>
      <c r="F87" s="616">
        <f>'exchange rates'!$O$19</f>
        <v>0.83301000000000003</v>
      </c>
      <c r="G87" s="625">
        <f>41.94/F87</f>
        <v>50.347534843519284</v>
      </c>
      <c r="H87" s="593">
        <f>123/F87</f>
        <v>147.65729102891922</v>
      </c>
      <c r="I87" s="594">
        <v>0</v>
      </c>
      <c r="J87" s="595">
        <f>39.59/F87</f>
        <v>47.526440258820422</v>
      </c>
      <c r="K87" s="566">
        <f>Tabel6689212734[[#This Row],[Fix.ch. 2017]]+Tabel6689212734[[#This Row],[Var. ch. 2017]]+Tabel6689212734[[#This Row],[Oth. ch. DW 2017]]+Tabel6689212734[[#This Row],[VAT DW 2017]]</f>
        <v>245.53126613125895</v>
      </c>
      <c r="L87" s="596">
        <f>160/F87</f>
        <v>192.07452491566727</v>
      </c>
      <c r="M87" s="595">
        <f>38.4/F87</f>
        <v>46.097885979760143</v>
      </c>
      <c r="N87" s="626">
        <v>0</v>
      </c>
      <c r="O87" s="595">
        <v>0</v>
      </c>
      <c r="P87" s="597">
        <f>41.94/F87</f>
        <v>50.347534843519284</v>
      </c>
      <c r="Q87" s="595">
        <f>10.07/F87</f>
        <v>12.08869041187981</v>
      </c>
      <c r="R87" s="570">
        <f>Tabel6689212734[[#This Row],[VAT DW 2017]]+Tabel6689212734[[#This Row],[VAT Sew. 2017]]+Tabel6689212734[[#This Row],[VAT WW 2017]]+Tabel6689212734[[#This Row],[VAT Other ch. 2017]]</f>
        <v>105.71301665046037</v>
      </c>
      <c r="S87" s="571">
        <f>Tabel6689212734[[#This Row],[Total. ch. DW 2017]]+Tabel6689212734[[#This Row],[Sew. 2017]]+Tabel6689212734[[#This Row],[VAT Sew. 2017]]+Tabel6689212734[[#This Row],[WW 2017]]+Tabel6689212734[[#This Row],[VAT WW 2017]]+Tabel6689212734[[#This Row],[Other ch. 2017]]+Tabel6689212734[[#This Row],[VAT Other ch. 2017]]</f>
        <v>546.13990228208547</v>
      </c>
      <c r="T87" s="397"/>
      <c r="U87" s="1969"/>
      <c r="V87" s="1972"/>
      <c r="W87" s="1975"/>
      <c r="X87" s="1772"/>
      <c r="Y87" s="1978"/>
      <c r="Z87" s="1981"/>
      <c r="AA87" s="1772"/>
      <c r="AB87" s="1955"/>
      <c r="AC87" s="1772"/>
      <c r="AD87" s="1958"/>
      <c r="AE87" s="1772"/>
      <c r="AF87" s="1961"/>
      <c r="AG87" s="1964"/>
      <c r="AH87" s="397"/>
      <c r="AI87" s="400"/>
      <c r="AJ87" s="662" t="s">
        <v>429</v>
      </c>
      <c r="AK87" s="662"/>
      <c r="AL87" s="662"/>
      <c r="AM87" s="662" t="s">
        <v>429</v>
      </c>
      <c r="AN87" s="662" t="s">
        <v>429</v>
      </c>
      <c r="AO87" s="400"/>
      <c r="AP87" s="397"/>
    </row>
    <row r="88" spans="1:42" ht="15.75" hidden="1" x14ac:dyDescent="0.25">
      <c r="A88" s="1819"/>
      <c r="B88" s="547" t="s">
        <v>94</v>
      </c>
      <c r="C88" s="1046"/>
      <c r="D88" s="802" t="s">
        <v>1056</v>
      </c>
      <c r="E88" s="1967"/>
      <c r="F88" s="616">
        <f>'exchange rates'!$O$19</f>
        <v>0.83301000000000003</v>
      </c>
      <c r="G88" s="625">
        <f>80.65/F88</f>
        <v>96.817565215303546</v>
      </c>
      <c r="H88" s="593">
        <f>115/F88</f>
        <v>138.05356478313584</v>
      </c>
      <c r="I88" s="594">
        <v>0</v>
      </c>
      <c r="J88" s="595">
        <f>46.96/F88</f>
        <v>56.373873062748345</v>
      </c>
      <c r="K88" s="566">
        <f>Tabel6689212734[[#This Row],[Fix.ch. 2017]]+Tabel6689212734[[#This Row],[Var. ch. 2017]]+Tabel6689212734[[#This Row],[Oth. ch. DW 2017]]+Tabel6689212734[[#This Row],[VAT DW 2017]]</f>
        <v>291.24500306118773</v>
      </c>
      <c r="L88" s="596">
        <f>166/F88</f>
        <v>199.2773196000048</v>
      </c>
      <c r="M88" s="595">
        <f>39.84/F88</f>
        <v>47.826556704001156</v>
      </c>
      <c r="N88" s="626">
        <v>0</v>
      </c>
      <c r="O88" s="595">
        <v>0</v>
      </c>
      <c r="P88" s="597">
        <v>0</v>
      </c>
      <c r="Q88" s="595">
        <v>0</v>
      </c>
      <c r="R88" s="570">
        <f>Tabel6689212734[[#This Row],[VAT DW 2017]]+Tabel6689212734[[#This Row],[VAT Sew. 2017]]+Tabel6689212734[[#This Row],[VAT WW 2017]]+Tabel6689212734[[#This Row],[VAT Other ch. 2017]]</f>
        <v>104.20042976674949</v>
      </c>
      <c r="S88" s="571">
        <f>Tabel6689212734[[#This Row],[Total. ch. DW 2017]]+Tabel6689212734[[#This Row],[Sew. 2017]]+Tabel6689212734[[#This Row],[VAT Sew. 2017]]+Tabel6689212734[[#This Row],[WW 2017]]+Tabel6689212734[[#This Row],[VAT WW 2017]]+Tabel6689212734[[#This Row],[Other ch. 2017]]+Tabel6689212734[[#This Row],[VAT Other ch. 2017]]</f>
        <v>538.34887936519374</v>
      </c>
      <c r="T88" s="397"/>
      <c r="U88" s="1969"/>
      <c r="V88" s="1972"/>
      <c r="W88" s="1975"/>
      <c r="X88" s="1772"/>
      <c r="Y88" s="1978"/>
      <c r="Z88" s="1981"/>
      <c r="AA88" s="1772"/>
      <c r="AB88" s="1955"/>
      <c r="AC88" s="1772"/>
      <c r="AD88" s="1958"/>
      <c r="AE88" s="1772"/>
      <c r="AF88" s="1961"/>
      <c r="AG88" s="1964"/>
      <c r="AH88" s="397"/>
      <c r="AI88" s="400"/>
      <c r="AJ88" s="662" t="s">
        <v>429</v>
      </c>
      <c r="AK88" s="662"/>
      <c r="AL88" s="662"/>
      <c r="AM88" s="662" t="s">
        <v>429</v>
      </c>
      <c r="AN88" s="662" t="s">
        <v>429</v>
      </c>
      <c r="AO88" s="400"/>
      <c r="AP88" s="397"/>
    </row>
    <row r="89" spans="1:42" ht="15.75" hidden="1" x14ac:dyDescent="0.25">
      <c r="A89" s="1819"/>
      <c r="B89" s="547" t="s">
        <v>95</v>
      </c>
      <c r="C89" s="1046"/>
      <c r="D89" s="802" t="s">
        <v>1056</v>
      </c>
      <c r="E89" s="1967"/>
      <c r="F89" s="616">
        <f>'exchange rates'!$O$19</f>
        <v>0.83301000000000003</v>
      </c>
      <c r="G89" s="625">
        <f>108.06/F89</f>
        <v>129.72233226491878</v>
      </c>
      <c r="H89" s="593">
        <f>141.13/F89</f>
        <v>169.42173563342575</v>
      </c>
      <c r="I89" s="594">
        <v>0</v>
      </c>
      <c r="J89" s="595">
        <f>59.81/F89</f>
        <v>71.799858345037876</v>
      </c>
      <c r="K89" s="566">
        <f>Tabel6689212734[[#This Row],[Fix.ch. 2017]]+Tabel6689212734[[#This Row],[Var. ch. 2017]]+Tabel6689212734[[#This Row],[Oth. ch. DW 2017]]+Tabel6689212734[[#This Row],[VAT DW 2017]]</f>
        <v>370.94392624338241</v>
      </c>
      <c r="L89" s="596">
        <f>154.84/F89</f>
        <v>185.88012148713702</v>
      </c>
      <c r="M89" s="595">
        <f>37.16/F89</f>
        <v>44.609308411663719</v>
      </c>
      <c r="N89" s="626">
        <v>0</v>
      </c>
      <c r="O89" s="595">
        <v>0</v>
      </c>
      <c r="P89" s="597">
        <v>0</v>
      </c>
      <c r="Q89" s="595">
        <v>0</v>
      </c>
      <c r="R89" s="570">
        <f>Tabel6689212734[[#This Row],[VAT DW 2017]]+Tabel6689212734[[#This Row],[VAT Sew. 2017]]+Tabel6689212734[[#This Row],[VAT WW 2017]]+Tabel6689212734[[#This Row],[VAT Other ch. 2017]]</f>
        <v>116.40916675670159</v>
      </c>
      <c r="S89" s="571">
        <f>Tabel6689212734[[#This Row],[Total. ch. DW 2017]]+Tabel6689212734[[#This Row],[Sew. 2017]]+Tabel6689212734[[#This Row],[VAT Sew. 2017]]+Tabel6689212734[[#This Row],[WW 2017]]+Tabel6689212734[[#This Row],[VAT WW 2017]]+Tabel6689212734[[#This Row],[Other ch. 2017]]+Tabel6689212734[[#This Row],[VAT Other ch. 2017]]</f>
        <v>601.43335614218313</v>
      </c>
      <c r="T89" s="397"/>
      <c r="U89" s="1969"/>
      <c r="V89" s="1972"/>
      <c r="W89" s="1975"/>
      <c r="X89" s="1772"/>
      <c r="Y89" s="1978"/>
      <c r="Z89" s="1981"/>
      <c r="AA89" s="1772"/>
      <c r="AB89" s="1955"/>
      <c r="AC89" s="1772"/>
      <c r="AD89" s="1958"/>
      <c r="AE89" s="1772"/>
      <c r="AF89" s="1961"/>
      <c r="AG89" s="1964"/>
      <c r="AH89" s="397"/>
      <c r="AI89" s="400"/>
      <c r="AJ89" s="662" t="s">
        <v>429</v>
      </c>
      <c r="AK89" s="662"/>
      <c r="AL89" s="662"/>
      <c r="AM89" s="662" t="s">
        <v>429</v>
      </c>
      <c r="AN89" s="662" t="s">
        <v>429</v>
      </c>
      <c r="AO89" s="400"/>
      <c r="AP89" s="397"/>
    </row>
    <row r="90" spans="1:42" ht="16.5" hidden="1" thickBot="1" x14ac:dyDescent="0.3">
      <c r="A90" s="1820"/>
      <c r="B90" s="613" t="s">
        <v>195</v>
      </c>
      <c r="C90" s="1046"/>
      <c r="D90" s="807" t="s">
        <v>1056</v>
      </c>
      <c r="E90" s="1923"/>
      <c r="F90" s="616">
        <f>'exchange rates'!$O$19</f>
        <v>0.83301000000000003</v>
      </c>
      <c r="G90" s="625">
        <f>39.52/F90</f>
        <v>47.44240765416982</v>
      </c>
      <c r="H90" s="593">
        <f>113/F90</f>
        <v>135.65263322169002</v>
      </c>
      <c r="I90" s="594">
        <v>0</v>
      </c>
      <c r="J90" s="595">
        <f>36.6/F90</f>
        <v>43.937047574458887</v>
      </c>
      <c r="K90" s="566">
        <f>Tabel6689212734[[#This Row],[Fix.ch. 2017]]+Tabel6689212734[[#This Row],[Var. ch. 2017]]+Tabel6689212734[[#This Row],[Oth. ch. DW 2017]]+Tabel6689212734[[#This Row],[VAT DW 2017]]</f>
        <v>227.03208845031872</v>
      </c>
      <c r="L90" s="596">
        <f>139/F90</f>
        <v>166.86474352048594</v>
      </c>
      <c r="M90" s="595">
        <f>33.36/F90</f>
        <v>40.047538444916626</v>
      </c>
      <c r="N90" s="626">
        <v>0</v>
      </c>
      <c r="O90" s="595">
        <v>0</v>
      </c>
      <c r="P90" s="597">
        <f>39.52/F90</f>
        <v>47.44240765416982</v>
      </c>
      <c r="Q90" s="595">
        <f>9.48/F90</f>
        <v>11.380415601253286</v>
      </c>
      <c r="R90" s="570">
        <f>Tabel6689212734[[#This Row],[VAT DW 2017]]+Tabel6689212734[[#This Row],[VAT Sew. 2017]]+Tabel6689212734[[#This Row],[VAT WW 2017]]+Tabel6689212734[[#This Row],[VAT Other ch. 2017]]</f>
        <v>95.365001620628803</v>
      </c>
      <c r="S90" s="571">
        <f>Tabel6689212734[[#This Row],[Total. ch. DW 2017]]+Tabel6689212734[[#This Row],[Sew. 2017]]+Tabel6689212734[[#This Row],[VAT Sew. 2017]]+Tabel6689212734[[#This Row],[WW 2017]]+Tabel6689212734[[#This Row],[VAT WW 2017]]+Tabel6689212734[[#This Row],[Other ch. 2017]]+Tabel6689212734[[#This Row],[VAT Other ch. 2017]]</f>
        <v>492.76719367114441</v>
      </c>
      <c r="T90" s="397"/>
      <c r="U90" s="1970"/>
      <c r="V90" s="1973"/>
      <c r="W90" s="1976"/>
      <c r="X90" s="1773"/>
      <c r="Y90" s="1979"/>
      <c r="Z90" s="1982"/>
      <c r="AA90" s="1773"/>
      <c r="AB90" s="1956"/>
      <c r="AC90" s="1773"/>
      <c r="AD90" s="1959"/>
      <c r="AE90" s="1773"/>
      <c r="AF90" s="1962"/>
      <c r="AG90" s="1965"/>
      <c r="AH90" s="397"/>
      <c r="AI90" s="400"/>
      <c r="AJ90" s="662" t="s">
        <v>429</v>
      </c>
      <c r="AK90" s="662"/>
      <c r="AL90" s="662"/>
      <c r="AM90" s="662" t="s">
        <v>429</v>
      </c>
      <c r="AN90" s="662" t="s">
        <v>429</v>
      </c>
      <c r="AO90" s="400"/>
      <c r="AP90" s="397"/>
    </row>
    <row r="91" spans="1:42" ht="15.75" hidden="1" customHeight="1" x14ac:dyDescent="0.25">
      <c r="A91" s="1878" t="s">
        <v>13</v>
      </c>
      <c r="B91" s="546" t="s">
        <v>97</v>
      </c>
      <c r="C91" s="1046"/>
      <c r="D91" s="802" t="s">
        <v>1058</v>
      </c>
      <c r="E91" s="1983">
        <v>43600</v>
      </c>
      <c r="F91" s="616">
        <f>'exchange rates'!$O$20</f>
        <v>0.83301000000000003</v>
      </c>
      <c r="G91" s="625">
        <f>55.32/F91</f>
        <v>66.409766989591958</v>
      </c>
      <c r="H91" s="593">
        <f>(1.08*100)/F91</f>
        <v>129.6503043180754</v>
      </c>
      <c r="I91" s="594">
        <f>(0.39*100)/F91</f>
        <v>46.818165448193895</v>
      </c>
      <c r="J91" s="595">
        <f>11.09/F91</f>
        <v>13.313165508217187</v>
      </c>
      <c r="K91" s="566">
        <f>Tabel6689212734[[#This Row],[Fix.ch. 2017]]+Tabel6689212734[[#This Row],[Var. ch. 2017]]+Tabel6689212734[[#This Row],[Oth. ch. DW 2017]]+Tabel6689212734[[#This Row],[VAT DW 2017]]</f>
        <v>256.19140226407842</v>
      </c>
      <c r="L91" s="596">
        <f>(1.1*100)/F91</f>
        <v>132.05123587952127</v>
      </c>
      <c r="M91" s="595">
        <f>13.36/F91</f>
        <v>16.038222830458217</v>
      </c>
      <c r="N91" s="626">
        <f>(0*100)/F91</f>
        <v>0</v>
      </c>
      <c r="O91" s="595">
        <v>0</v>
      </c>
      <c r="P91" s="597">
        <f>(0.24*100)/F91</f>
        <v>28.81117873735009</v>
      </c>
      <c r="Q91" s="595">
        <v>0</v>
      </c>
      <c r="R91" s="570">
        <f>Tabel6689212734[[#This Row],[VAT DW 2017]]+Tabel6689212734[[#This Row],[VAT Sew. 2017]]+Tabel6689212734[[#This Row],[VAT WW 2017]]+Tabel6689212734[[#This Row],[VAT Other ch. 2017]]</f>
        <v>29.351388338675406</v>
      </c>
      <c r="S91" s="571">
        <f>Tabel6689212734[[#This Row],[Total. ch. DW 2017]]+Tabel6689212734[[#This Row],[Sew. 2017]]+Tabel6689212734[[#This Row],[VAT Sew. 2017]]+Tabel6689212734[[#This Row],[WW 2017]]+Tabel6689212734[[#This Row],[VAT WW 2017]]+Tabel6689212734[[#This Row],[Other ch. 2017]]+Tabel6689212734[[#This Row],[VAT Other ch. 2017]]</f>
        <v>433.09203971140801</v>
      </c>
      <c r="T91" s="397"/>
      <c r="U91" s="1984">
        <f>MEDIAN(G91:G101)</f>
        <v>32.040431687494745</v>
      </c>
      <c r="V91" s="1985">
        <f>MEDIAN(H91:H101)</f>
        <v>136.8530990024129</v>
      </c>
      <c r="W91" s="1986">
        <f>MEDIAN(I91:I101)</f>
        <v>49.219097009639739</v>
      </c>
      <c r="X91" s="1938">
        <f>MEDIAN(J91:J101)</f>
        <v>12.604890697590665</v>
      </c>
      <c r="Y91" s="1987">
        <f>SUM(U91:X101)</f>
        <v>230.71751839713806</v>
      </c>
      <c r="Z91" s="2031">
        <f t="shared" ref="Z91:AF91" si="15">MEDIAN(L91:L101)</f>
        <v>139.25403056385875</v>
      </c>
      <c r="AA91" s="1938">
        <f t="shared" si="15"/>
        <v>16.038222830458217</v>
      </c>
      <c r="AB91" s="2032">
        <f t="shared" si="15"/>
        <v>0</v>
      </c>
      <c r="AC91" s="1938">
        <f t="shared" si="15"/>
        <v>0</v>
      </c>
      <c r="AD91" s="2028">
        <f t="shared" si="15"/>
        <v>31.932389767229687</v>
      </c>
      <c r="AE91" s="1938">
        <f t="shared" si="15"/>
        <v>0</v>
      </c>
      <c r="AF91" s="1988">
        <f t="shared" si="15"/>
        <v>29.795560677542888</v>
      </c>
      <c r="AG91" s="1989">
        <f>Y91+Z91+AA91+AB91+AC91+AD91+AE91</f>
        <v>417.94216155868469</v>
      </c>
      <c r="AH91" s="397"/>
      <c r="AI91" s="614"/>
      <c r="AJ91" s="591"/>
      <c r="AK91" s="591"/>
      <c r="AL91" s="591" t="s">
        <v>429</v>
      </c>
      <c r="AM91" s="591" t="s">
        <v>429</v>
      </c>
      <c r="AN91" s="591"/>
      <c r="AO91" s="614"/>
    </row>
    <row r="92" spans="1:42" ht="15.75" hidden="1" customHeight="1" x14ac:dyDescent="0.25">
      <c r="A92" s="1757"/>
      <c r="B92" s="547" t="s">
        <v>98</v>
      </c>
      <c r="C92" s="1046"/>
      <c r="D92" s="802" t="s">
        <v>1058</v>
      </c>
      <c r="E92" s="1880"/>
      <c r="F92" s="616">
        <f>'exchange rates'!$O$20</f>
        <v>0.83301000000000003</v>
      </c>
      <c r="G92" s="625">
        <f>22.64/F92</f>
        <v>27.178545275566918</v>
      </c>
      <c r="H92" s="593">
        <f>(1.18*100)/F92</f>
        <v>141.65496212530462</v>
      </c>
      <c r="I92" s="594">
        <f>(0.5*100)/F92</f>
        <v>60.023289036146025</v>
      </c>
      <c r="J92" s="595">
        <f>10.5/F92</f>
        <v>12.604890697590665</v>
      </c>
      <c r="K92" s="566">
        <f>Tabel6689212734[[#This Row],[Fix.ch. 2017]]+Tabel6689212734[[#This Row],[Var. ch. 2017]]+Tabel6689212734[[#This Row],[Oth. ch. DW 2017]]+Tabel6689212734[[#This Row],[VAT DW 2017]]</f>
        <v>241.46168713460824</v>
      </c>
      <c r="L92" s="596">
        <f>(1.6*100)/F92</f>
        <v>192.07452491566727</v>
      </c>
      <c r="M92" s="595">
        <v>0</v>
      </c>
      <c r="N92" s="626">
        <f>(1.24*100)/F92</f>
        <v>148.85775680964213</v>
      </c>
      <c r="O92" s="595">
        <f>31.38/F92</f>
        <v>37.670616199085245</v>
      </c>
      <c r="P92" s="597">
        <f>(0.3*100)/F92</f>
        <v>36.013973421687616</v>
      </c>
      <c r="Q92" s="595">
        <v>0</v>
      </c>
      <c r="R92" s="570">
        <f>Tabel6689212734[[#This Row],[VAT DW 2017]]+Tabel6689212734[[#This Row],[VAT Sew. 2017]]+Tabel6689212734[[#This Row],[VAT WW 2017]]+Tabel6689212734[[#This Row],[VAT Other ch. 2017]]</f>
        <v>50.275506896675907</v>
      </c>
      <c r="S92" s="571">
        <f>Tabel6689212734[[#This Row],[Total. ch. DW 2017]]+Tabel6689212734[[#This Row],[Sew. 2017]]+Tabel6689212734[[#This Row],[VAT Sew. 2017]]+Tabel6689212734[[#This Row],[WW 2017]]+Tabel6689212734[[#This Row],[VAT WW 2017]]+Tabel6689212734[[#This Row],[Other ch. 2017]]+Tabel6689212734[[#This Row],[VAT Other ch. 2017]]</f>
        <v>656.07855848069039</v>
      </c>
      <c r="T92" s="397"/>
      <c r="U92" s="1763"/>
      <c r="V92" s="1766"/>
      <c r="W92" s="1769"/>
      <c r="X92" s="1772"/>
      <c r="Y92" s="1775"/>
      <c r="Z92" s="1778"/>
      <c r="AA92" s="1772"/>
      <c r="AB92" s="1781"/>
      <c r="AC92" s="1772"/>
      <c r="AD92" s="1785"/>
      <c r="AE92" s="1772"/>
      <c r="AF92" s="1788"/>
      <c r="AG92" s="1990"/>
      <c r="AH92" s="397"/>
      <c r="AI92" s="614"/>
      <c r="AJ92" s="591" t="s">
        <v>429</v>
      </c>
      <c r="AK92" s="591" t="s">
        <v>429</v>
      </c>
      <c r="AL92" s="591"/>
      <c r="AM92" s="591" t="s">
        <v>429</v>
      </c>
      <c r="AN92" s="591"/>
      <c r="AO92" s="614"/>
    </row>
    <row r="93" spans="1:42" ht="15.75" hidden="1" customHeight="1" x14ac:dyDescent="0.25">
      <c r="A93" s="1757"/>
      <c r="B93" s="547" t="s">
        <v>99</v>
      </c>
      <c r="C93" s="1046"/>
      <c r="D93" s="802" t="s">
        <v>1058</v>
      </c>
      <c r="E93" s="1880"/>
      <c r="F93" s="616">
        <f>'exchange rates'!$O$20</f>
        <v>0.83301000000000003</v>
      </c>
      <c r="G93" s="625">
        <f>37.32/F93</f>
        <v>44.801382936579394</v>
      </c>
      <c r="H93" s="593">
        <f>(1.14*100)/F93</f>
        <v>136.8530990024129</v>
      </c>
      <c r="I93" s="594">
        <f>(0.46*100)/F93</f>
        <v>55.221425913254343</v>
      </c>
      <c r="J93" s="595">
        <f>10.84/F93</f>
        <v>13.013049063036458</v>
      </c>
      <c r="K93" s="566">
        <f>Tabel6689212734[[#This Row],[Fix.ch. 2017]]+Tabel6689212734[[#This Row],[Var. ch. 2017]]+Tabel6689212734[[#This Row],[Oth. ch. DW 2017]]+Tabel6689212734[[#This Row],[VAT DW 2017]]</f>
        <v>249.88895691528307</v>
      </c>
      <c r="L93" s="596">
        <f>(1.46*100)/F93</f>
        <v>175.26800398554639</v>
      </c>
      <c r="M93" s="595">
        <f>17.29/F93</f>
        <v>20.756053348699293</v>
      </c>
      <c r="N93" s="626">
        <f>(0*100)/F93</f>
        <v>0</v>
      </c>
      <c r="O93" s="595">
        <v>0</v>
      </c>
      <c r="P93" s="597">
        <f>(0.266*100)/F93</f>
        <v>31.932389767229687</v>
      </c>
      <c r="Q93" s="595">
        <v>0</v>
      </c>
      <c r="R93" s="570">
        <f>Tabel6689212734[[#This Row],[VAT DW 2017]]+Tabel6689212734[[#This Row],[VAT Sew. 2017]]+Tabel6689212734[[#This Row],[VAT WW 2017]]+Tabel6689212734[[#This Row],[VAT Other ch. 2017]]</f>
        <v>33.769102411735751</v>
      </c>
      <c r="S93" s="571">
        <f>Tabel6689212734[[#This Row],[Total. ch. DW 2017]]+Tabel6689212734[[#This Row],[Sew. 2017]]+Tabel6689212734[[#This Row],[VAT Sew. 2017]]+Tabel6689212734[[#This Row],[WW 2017]]+Tabel6689212734[[#This Row],[VAT WW 2017]]+Tabel6689212734[[#This Row],[Other ch. 2017]]+Tabel6689212734[[#This Row],[VAT Other ch. 2017]]</f>
        <v>477.84540401675844</v>
      </c>
      <c r="T93" s="397"/>
      <c r="U93" s="1763"/>
      <c r="V93" s="1766"/>
      <c r="W93" s="1769"/>
      <c r="X93" s="1772"/>
      <c r="Y93" s="1775"/>
      <c r="Z93" s="1778"/>
      <c r="AA93" s="1772"/>
      <c r="AB93" s="1781"/>
      <c r="AC93" s="1772"/>
      <c r="AD93" s="1785"/>
      <c r="AE93" s="1772"/>
      <c r="AF93" s="1788"/>
      <c r="AG93" s="1990"/>
      <c r="AH93" s="397"/>
      <c r="AI93" s="614"/>
      <c r="AJ93" s="591" t="s">
        <v>429</v>
      </c>
      <c r="AK93" s="591" t="s">
        <v>429</v>
      </c>
      <c r="AL93" s="591"/>
      <c r="AM93" s="591" t="s">
        <v>429</v>
      </c>
      <c r="AN93" s="591"/>
      <c r="AO93" s="614"/>
    </row>
    <row r="94" spans="1:42" ht="15.75" hidden="1" customHeight="1" x14ac:dyDescent="0.25">
      <c r="A94" s="1757"/>
      <c r="B94" s="547" t="s">
        <v>100</v>
      </c>
      <c r="C94" s="1046"/>
      <c r="D94" s="802" t="s">
        <v>1058</v>
      </c>
      <c r="E94" s="1880"/>
      <c r="F94" s="616">
        <f>'exchange rates'!$O$20</f>
        <v>0.83301000000000003</v>
      </c>
      <c r="G94" s="625">
        <f>41.19/F94</f>
        <v>49.447185507977089</v>
      </c>
      <c r="H94" s="593">
        <f>(1.03*100)/F94</f>
        <v>123.6479754144608</v>
      </c>
      <c r="I94" s="594">
        <f>(0.35*100)/F94</f>
        <v>42.016302325302213</v>
      </c>
      <c r="J94" s="595">
        <f>9.83/F94</f>
        <v>11.800578624506308</v>
      </c>
      <c r="K94" s="566">
        <f>Tabel6689212734[[#This Row],[Fix.ch. 2017]]+Tabel6689212734[[#This Row],[Var. ch. 2017]]+Tabel6689212734[[#This Row],[Oth. ch. DW 2017]]+Tabel6689212734[[#This Row],[VAT DW 2017]]</f>
        <v>226.91204187224639</v>
      </c>
      <c r="L94" s="596">
        <f>(0.98*100)/F94</f>
        <v>117.64564651084621</v>
      </c>
      <c r="M94" s="595">
        <f>12.2/F94</f>
        <v>14.645682524819629</v>
      </c>
      <c r="N94" s="626">
        <v>0</v>
      </c>
      <c r="O94" s="595">
        <v>0</v>
      </c>
      <c r="P94" s="597">
        <f>(0.24131*100)/F94</f>
        <v>28.968439754624793</v>
      </c>
      <c r="Q94" s="595">
        <v>0</v>
      </c>
      <c r="R94" s="570">
        <f>Tabel6689212734[[#This Row],[VAT DW 2017]]+Tabel6689212734[[#This Row],[VAT Sew. 2017]]+Tabel6689212734[[#This Row],[VAT WW 2017]]+Tabel6689212734[[#This Row],[VAT Other ch. 2017]]</f>
        <v>26.446261149325935</v>
      </c>
      <c r="S94" s="571">
        <f>Tabel6689212734[[#This Row],[Total. ch. DW 2017]]+Tabel6689212734[[#This Row],[Sew. 2017]]+Tabel6689212734[[#This Row],[VAT Sew. 2017]]+Tabel6689212734[[#This Row],[WW 2017]]+Tabel6689212734[[#This Row],[VAT WW 2017]]+Tabel6689212734[[#This Row],[Other ch. 2017]]+Tabel6689212734[[#This Row],[VAT Other ch. 2017]]</f>
        <v>388.17181066253698</v>
      </c>
      <c r="T94" s="397"/>
      <c r="U94" s="1763"/>
      <c r="V94" s="1766"/>
      <c r="W94" s="1769"/>
      <c r="X94" s="1772"/>
      <c r="Y94" s="1775"/>
      <c r="Z94" s="1778"/>
      <c r="AA94" s="1772"/>
      <c r="AB94" s="1781"/>
      <c r="AC94" s="1772"/>
      <c r="AD94" s="1785"/>
      <c r="AE94" s="1772"/>
      <c r="AF94" s="1788"/>
      <c r="AG94" s="1990"/>
      <c r="AH94" s="397"/>
      <c r="AI94" s="614"/>
      <c r="AJ94" s="591" t="s">
        <v>429</v>
      </c>
      <c r="AK94" s="591"/>
      <c r="AL94" s="591"/>
      <c r="AM94" s="591" t="s">
        <v>429</v>
      </c>
      <c r="AN94" s="591"/>
      <c r="AO94" s="614"/>
    </row>
    <row r="95" spans="1:42" ht="15.75" hidden="1" customHeight="1" x14ac:dyDescent="0.25">
      <c r="A95" s="1757"/>
      <c r="B95" s="547" t="s">
        <v>101</v>
      </c>
      <c r="C95" s="1046" t="s">
        <v>429</v>
      </c>
      <c r="D95" s="802" t="s">
        <v>1058</v>
      </c>
      <c r="E95" s="1880"/>
      <c r="F95" s="616">
        <f>'exchange rates'!$O$20</f>
        <v>0.83301000000000003</v>
      </c>
      <c r="G95" s="625">
        <f>20.61/F95</f>
        <v>24.741599740699389</v>
      </c>
      <c r="H95" s="593">
        <f>(1.02*100)/F95</f>
        <v>122.44750963373788</v>
      </c>
      <c r="I95" s="594">
        <f>(0.48*100)/F95</f>
        <v>57.622357474700181</v>
      </c>
      <c r="J95" s="595">
        <f>9.42/F95</f>
        <v>11.308387654409911</v>
      </c>
      <c r="K95" s="566">
        <f>Tabel6689212734[[#This Row],[Fix.ch. 2017]]+Tabel6689212734[[#This Row],[Var. ch. 2017]]+Tabel6689212734[[#This Row],[Oth. ch. DW 2017]]+Tabel6689212734[[#This Row],[VAT DW 2017]]</f>
        <v>216.11985450354734</v>
      </c>
      <c r="L95" s="596">
        <f>(0.31*100)/F95</f>
        <v>37.214439202410531</v>
      </c>
      <c r="M95" s="595">
        <v>0</v>
      </c>
      <c r="N95" s="626">
        <f>(1.04*100)/F95</f>
        <v>124.84844119518372</v>
      </c>
      <c r="O95" s="595">
        <f>16.53/F95</f>
        <v>19.843699355349877</v>
      </c>
      <c r="P95" s="597">
        <f>(0.3*100)/F95</f>
        <v>36.013973421687616</v>
      </c>
      <c r="Q95" s="595">
        <v>0</v>
      </c>
      <c r="R95" s="570">
        <f>Tabel6689212734[[#This Row],[VAT DW 2017]]+Tabel6689212734[[#This Row],[VAT Sew. 2017]]+Tabel6689212734[[#This Row],[VAT WW 2017]]+Tabel6689212734[[#This Row],[VAT Other ch. 2017]]</f>
        <v>31.152087009759789</v>
      </c>
      <c r="S95" s="571">
        <f>Tabel6689212734[[#This Row],[Total. ch. DW 2017]]+Tabel6689212734[[#This Row],[Sew. 2017]]+Tabel6689212734[[#This Row],[VAT Sew. 2017]]+Tabel6689212734[[#This Row],[WW 2017]]+Tabel6689212734[[#This Row],[VAT WW 2017]]+Tabel6689212734[[#This Row],[Other ch. 2017]]+Tabel6689212734[[#This Row],[VAT Other ch. 2017]]</f>
        <v>434.04040767817912</v>
      </c>
      <c r="T95" s="397"/>
      <c r="U95" s="1763"/>
      <c r="V95" s="1766"/>
      <c r="W95" s="1769"/>
      <c r="X95" s="1772"/>
      <c r="Y95" s="1775"/>
      <c r="Z95" s="1778"/>
      <c r="AA95" s="1772"/>
      <c r="AB95" s="1781"/>
      <c r="AC95" s="1772"/>
      <c r="AD95" s="1785"/>
      <c r="AE95" s="1772"/>
      <c r="AF95" s="1788"/>
      <c r="AG95" s="1990"/>
      <c r="AH95" s="397"/>
      <c r="AI95" s="614"/>
      <c r="AJ95" s="591" t="s">
        <v>429</v>
      </c>
      <c r="AK95" s="591"/>
      <c r="AL95" s="591"/>
      <c r="AM95" s="591" t="s">
        <v>429</v>
      </c>
      <c r="AN95" s="591"/>
      <c r="AO95" s="614"/>
    </row>
    <row r="96" spans="1:42" ht="15.75" hidden="1" customHeight="1" x14ac:dyDescent="0.25">
      <c r="A96" s="1757"/>
      <c r="B96" s="547" t="s">
        <v>630</v>
      </c>
      <c r="C96" s="1046"/>
      <c r="D96" s="802" t="s">
        <v>1058</v>
      </c>
      <c r="E96" s="1880"/>
      <c r="F96" s="616">
        <f>'exchange rates'!$O$20</f>
        <v>0.83301000000000003</v>
      </c>
      <c r="G96" s="625">
        <f>26.69/F96</f>
        <v>32.040431687494745</v>
      </c>
      <c r="H96" s="593">
        <f>(1*100)/F96</f>
        <v>120.04657807229205</v>
      </c>
      <c r="I96" s="594">
        <f>(0.35*100)/F96</f>
        <v>42.016302325302213</v>
      </c>
      <c r="J96" s="595">
        <f>8.89/F96</f>
        <v>10.672140790626763</v>
      </c>
      <c r="K96" s="566">
        <f>Tabel6689212734[[#This Row],[Fix.ch. 2017]]+Tabel6689212734[[#This Row],[Var. ch. 2017]]+Tabel6689212734[[#This Row],[Oth. ch. DW 2017]]+Tabel6689212734[[#This Row],[VAT DW 2017]]</f>
        <v>204.77545287571576</v>
      </c>
      <c r="L96" s="596">
        <f>(0.5*100)/F96</f>
        <v>60.023289036146025</v>
      </c>
      <c r="M96" s="595">
        <v>0</v>
      </c>
      <c r="N96" s="626">
        <f>(0.47*100)/F96</f>
        <v>56.421891693977258</v>
      </c>
      <c r="O96" s="595">
        <f>13.18/F96</f>
        <v>15.82213898992809</v>
      </c>
      <c r="P96" s="597">
        <f>(0.35*100)/F96</f>
        <v>42.016302325302213</v>
      </c>
      <c r="Q96" s="595">
        <v>0</v>
      </c>
      <c r="R96" s="570">
        <f>Tabel6689212734[[#This Row],[VAT DW 2017]]+Tabel6689212734[[#This Row],[VAT Sew. 2017]]+Tabel6689212734[[#This Row],[VAT WW 2017]]+Tabel6689212734[[#This Row],[VAT Other ch. 2017]]</f>
        <v>26.494279780554855</v>
      </c>
      <c r="S96" s="571">
        <f>Tabel6689212734[[#This Row],[Total. ch. DW 2017]]+Tabel6689212734[[#This Row],[Sew. 2017]]+Tabel6689212734[[#This Row],[VAT Sew. 2017]]+Tabel6689212734[[#This Row],[WW 2017]]+Tabel6689212734[[#This Row],[VAT WW 2017]]+Tabel6689212734[[#This Row],[Other ch. 2017]]+Tabel6689212734[[#This Row],[VAT Other ch. 2017]]</f>
        <v>379.05907492106934</v>
      </c>
      <c r="T96" s="397"/>
      <c r="U96" s="1763"/>
      <c r="V96" s="1766"/>
      <c r="W96" s="1769"/>
      <c r="X96" s="1772"/>
      <c r="Y96" s="1775"/>
      <c r="Z96" s="1778"/>
      <c r="AA96" s="1772"/>
      <c r="AB96" s="1781"/>
      <c r="AC96" s="1772"/>
      <c r="AD96" s="1785"/>
      <c r="AE96" s="1772"/>
      <c r="AF96" s="1788"/>
      <c r="AG96" s="1990"/>
      <c r="AH96" s="397"/>
      <c r="AI96" s="614"/>
      <c r="AJ96" s="591" t="s">
        <v>429</v>
      </c>
      <c r="AK96" s="591"/>
      <c r="AL96" s="591"/>
      <c r="AM96" s="591" t="s">
        <v>429</v>
      </c>
      <c r="AN96" s="591"/>
      <c r="AO96" s="614"/>
    </row>
    <row r="97" spans="1:42" ht="15.75" hidden="1" customHeight="1" x14ac:dyDescent="0.25">
      <c r="A97" s="1757"/>
      <c r="B97" s="547" t="s">
        <v>631</v>
      </c>
      <c r="C97" s="1046"/>
      <c r="D97" s="802" t="s">
        <v>1058</v>
      </c>
      <c r="E97" s="1880"/>
      <c r="F97" s="616">
        <f>'exchange rates'!$O$20</f>
        <v>0.83301000000000003</v>
      </c>
      <c r="G97" s="625">
        <f>10.95/F97</f>
        <v>13.145100298915978</v>
      </c>
      <c r="H97" s="593">
        <f>(0.93*100)/F97</f>
        <v>111.64331760723161</v>
      </c>
      <c r="I97" s="594">
        <f>(0.44*100)/F97</f>
        <v>52.820494351808499</v>
      </c>
      <c r="J97" s="595">
        <f>8.13/F97</f>
        <v>9.7597867972773447</v>
      </c>
      <c r="K97" s="566">
        <f>Tabel6689212734[[#This Row],[Fix.ch. 2017]]+Tabel6689212734[[#This Row],[Var. ch. 2017]]+Tabel6689212734[[#This Row],[Oth. ch. DW 2017]]+Tabel6689212734[[#This Row],[VAT DW 2017]]</f>
        <v>187.36869905523344</v>
      </c>
      <c r="L97" s="596">
        <f>(1.16*100)/F97</f>
        <v>139.25403056385875</v>
      </c>
      <c r="M97" s="595">
        <f>14.6/F97</f>
        <v>17.526800398554638</v>
      </c>
      <c r="N97" s="626">
        <f>(0*100)/F97</f>
        <v>0</v>
      </c>
      <c r="O97" s="595">
        <v>0</v>
      </c>
      <c r="P97" s="597">
        <f>(0.3*100)/F97</f>
        <v>36.013973421687616</v>
      </c>
      <c r="Q97" s="595">
        <v>0</v>
      </c>
      <c r="R97" s="570">
        <f>Tabel6689212734[[#This Row],[VAT DW 2017]]+Tabel6689212734[[#This Row],[VAT Sew. 2017]]+Tabel6689212734[[#This Row],[VAT WW 2017]]+Tabel6689212734[[#This Row],[VAT Other ch. 2017]]</f>
        <v>27.286587195831984</v>
      </c>
      <c r="S97" s="571">
        <f>Tabel6689212734[[#This Row],[Total. ch. DW 2017]]+Tabel6689212734[[#This Row],[Sew. 2017]]+Tabel6689212734[[#This Row],[VAT Sew. 2017]]+Tabel6689212734[[#This Row],[WW 2017]]+Tabel6689212734[[#This Row],[VAT WW 2017]]+Tabel6689212734[[#This Row],[Other ch. 2017]]+Tabel6689212734[[#This Row],[VAT Other ch. 2017]]</f>
        <v>380.16350343933448</v>
      </c>
      <c r="T97" s="397"/>
      <c r="U97" s="1763"/>
      <c r="V97" s="1766"/>
      <c r="W97" s="1769"/>
      <c r="X97" s="1772"/>
      <c r="Y97" s="1775"/>
      <c r="Z97" s="1778"/>
      <c r="AA97" s="1772"/>
      <c r="AB97" s="1781"/>
      <c r="AC97" s="1772"/>
      <c r="AD97" s="1785"/>
      <c r="AE97" s="1772"/>
      <c r="AF97" s="1788"/>
      <c r="AG97" s="1990"/>
      <c r="AH97" s="397"/>
      <c r="AI97" s="614"/>
      <c r="AJ97" s="591" t="s">
        <v>429</v>
      </c>
      <c r="AK97" s="591"/>
      <c r="AL97" s="591"/>
      <c r="AM97" s="591"/>
      <c r="AN97" s="591"/>
      <c r="AO97" s="614"/>
    </row>
    <row r="98" spans="1:42" ht="15.75" hidden="1" customHeight="1" x14ac:dyDescent="0.25">
      <c r="A98" s="1757"/>
      <c r="B98" s="547" t="s">
        <v>632</v>
      </c>
      <c r="C98" s="1046"/>
      <c r="D98" s="802" t="s">
        <v>1058</v>
      </c>
      <c r="E98" s="1880"/>
      <c r="F98" s="616">
        <f>'exchange rates'!$O$20</f>
        <v>0.83301000000000003</v>
      </c>
      <c r="G98" s="625">
        <f>40.94/F98</f>
        <v>49.147069062796362</v>
      </c>
      <c r="H98" s="593">
        <f>(1.43*100)/F98</f>
        <v>171.66660664337763</v>
      </c>
      <c r="I98" s="594">
        <f>(0.41*100)/F98</f>
        <v>49.219097009639739</v>
      </c>
      <c r="J98" s="595">
        <f>12.39/F98</f>
        <v>14.873771023156985</v>
      </c>
      <c r="K98" s="566">
        <f>Tabel6689212734[[#This Row],[Fix.ch. 2017]]+Tabel6689212734[[#This Row],[Var. ch. 2017]]+Tabel6689212734[[#This Row],[Oth. ch. DW 2017]]+Tabel6689212734[[#This Row],[VAT DW 2017]]</f>
        <v>284.9065437389707</v>
      </c>
      <c r="L98" s="596">
        <f>(0.91*100)/F98</f>
        <v>109.24238604578576</v>
      </c>
      <c r="M98" s="595">
        <f>11.23/F98</f>
        <v>13.481230717518397</v>
      </c>
      <c r="N98" s="626">
        <v>0</v>
      </c>
      <c r="O98" s="595">
        <v>0</v>
      </c>
      <c r="P98" s="597">
        <f>(0.2097*100)/F98</f>
        <v>25.173767421759642</v>
      </c>
      <c r="Q98" s="595">
        <v>0</v>
      </c>
      <c r="R98" s="570">
        <f>Tabel6689212734[[#This Row],[VAT DW 2017]]+Tabel6689212734[[#This Row],[VAT Sew. 2017]]+Tabel6689212734[[#This Row],[VAT WW 2017]]+Tabel6689212734[[#This Row],[VAT Other ch. 2017]]</f>
        <v>28.355001740675384</v>
      </c>
      <c r="S98" s="571">
        <f>Tabel6689212734[[#This Row],[Total. ch. DW 2017]]+Tabel6689212734[[#This Row],[Sew. 2017]]+Tabel6689212734[[#This Row],[VAT Sew. 2017]]+Tabel6689212734[[#This Row],[WW 2017]]+Tabel6689212734[[#This Row],[VAT WW 2017]]+Tabel6689212734[[#This Row],[Other ch. 2017]]+Tabel6689212734[[#This Row],[VAT Other ch. 2017]]</f>
        <v>432.80392792403444</v>
      </c>
      <c r="T98" s="397"/>
      <c r="U98" s="1763"/>
      <c r="V98" s="1766"/>
      <c r="W98" s="1769"/>
      <c r="X98" s="1772"/>
      <c r="Y98" s="1775"/>
      <c r="Z98" s="1778"/>
      <c r="AA98" s="1772"/>
      <c r="AB98" s="1781"/>
      <c r="AC98" s="1772"/>
      <c r="AD98" s="1785"/>
      <c r="AE98" s="1772"/>
      <c r="AF98" s="1788"/>
      <c r="AG98" s="1990"/>
      <c r="AH98" s="397"/>
      <c r="AI98" s="614"/>
      <c r="AJ98" s="591" t="s">
        <v>429</v>
      </c>
      <c r="AK98" s="591"/>
      <c r="AL98" s="591"/>
      <c r="AM98" s="591" t="s">
        <v>429</v>
      </c>
      <c r="AN98" s="591"/>
      <c r="AO98" s="614"/>
    </row>
    <row r="99" spans="1:42" ht="15.75" hidden="1" customHeight="1" x14ac:dyDescent="0.25">
      <c r="A99" s="1757"/>
      <c r="B99" s="547" t="s">
        <v>633</v>
      </c>
      <c r="C99" s="1046"/>
      <c r="D99" s="802" t="s">
        <v>1058</v>
      </c>
      <c r="E99" s="1880"/>
      <c r="F99" s="616">
        <f>'exchange rates'!$O$20</f>
        <v>0.83301000000000003</v>
      </c>
      <c r="G99" s="625">
        <f>30.37/F99</f>
        <v>36.458145760555098</v>
      </c>
      <c r="H99" s="593">
        <f>(1.51*100)/F99</f>
        <v>181.27033288916098</v>
      </c>
      <c r="I99" s="594">
        <f>(0.52*100)/F99</f>
        <v>62.424220597591862</v>
      </c>
      <c r="J99" s="595">
        <f>12.83/F99</f>
        <v>15.401975966675069</v>
      </c>
      <c r="K99" s="566">
        <f>Tabel6689212734[[#This Row],[Fix.ch. 2017]]+Tabel6689212734[[#This Row],[Var. ch. 2017]]+Tabel6689212734[[#This Row],[Oth. ch. DW 2017]]+Tabel6689212734[[#This Row],[VAT DW 2017]]</f>
        <v>295.55467521398299</v>
      </c>
      <c r="L99" s="596">
        <f>(2.01*100)/F99</f>
        <v>241.29362192530698</v>
      </c>
      <c r="M99" s="595">
        <f>23.13/F99</f>
        <v>27.766773508121148</v>
      </c>
      <c r="N99" s="626">
        <f>(0*100)/F99</f>
        <v>0</v>
      </c>
      <c r="O99" s="595">
        <v>0</v>
      </c>
      <c r="P99" s="597">
        <f>(0.3*100)/F99</f>
        <v>36.013973421687616</v>
      </c>
      <c r="Q99" s="595">
        <v>0</v>
      </c>
      <c r="R99" s="570">
        <f>Tabel6689212734[[#This Row],[VAT DW 2017]]+Tabel6689212734[[#This Row],[VAT Sew. 2017]]+Tabel6689212734[[#This Row],[VAT WW 2017]]+Tabel6689212734[[#This Row],[VAT Other ch. 2017]]</f>
        <v>43.168749474796215</v>
      </c>
      <c r="S99" s="571">
        <f>Tabel6689212734[[#This Row],[Total. ch. DW 2017]]+Tabel6689212734[[#This Row],[Sew. 2017]]+Tabel6689212734[[#This Row],[VAT Sew. 2017]]+Tabel6689212734[[#This Row],[WW 2017]]+Tabel6689212734[[#This Row],[VAT WW 2017]]+Tabel6689212734[[#This Row],[Other ch. 2017]]+Tabel6689212734[[#This Row],[VAT Other ch. 2017]]</f>
        <v>600.62904406909877</v>
      </c>
      <c r="T99" s="397"/>
      <c r="U99" s="1763"/>
      <c r="V99" s="1766"/>
      <c r="W99" s="1769"/>
      <c r="X99" s="1772"/>
      <c r="Y99" s="1775"/>
      <c r="Z99" s="1778"/>
      <c r="AA99" s="1772"/>
      <c r="AB99" s="1781"/>
      <c r="AC99" s="1772"/>
      <c r="AD99" s="1785"/>
      <c r="AE99" s="1772"/>
      <c r="AF99" s="1788"/>
      <c r="AG99" s="1990"/>
      <c r="AH99" s="397"/>
      <c r="AI99" s="614"/>
      <c r="AJ99" s="591" t="s">
        <v>429</v>
      </c>
      <c r="AK99" s="591"/>
      <c r="AL99" s="591"/>
      <c r="AM99" s="591" t="s">
        <v>429</v>
      </c>
      <c r="AN99" s="591"/>
      <c r="AO99" s="614"/>
    </row>
    <row r="100" spans="1:42" ht="15.75" hidden="1" customHeight="1" x14ac:dyDescent="0.25">
      <c r="A100" s="1757"/>
      <c r="B100" s="547" t="s">
        <v>634</v>
      </c>
      <c r="C100" s="1046"/>
      <c r="D100" s="802" t="s">
        <v>1058</v>
      </c>
      <c r="E100" s="1880"/>
      <c r="F100" s="616">
        <f>'exchange rates'!$O$20</f>
        <v>0.83301000000000003</v>
      </c>
      <c r="G100" s="625">
        <f>9.46/F100</f>
        <v>11.356406285638828</v>
      </c>
      <c r="H100" s="593">
        <f>(1.41*100)/F100</f>
        <v>169.26567508193179</v>
      </c>
      <c r="I100" s="594">
        <f>(0.37*100)/F100</f>
        <v>44.417233886748058</v>
      </c>
      <c r="J100" s="595">
        <f>10.3/F100</f>
        <v>12.364797541446082</v>
      </c>
      <c r="K100" s="566">
        <f>Tabel6689212734[[#This Row],[Fix.ch. 2017]]+Tabel6689212734[[#This Row],[Var. ch. 2017]]+Tabel6689212734[[#This Row],[Oth. ch. DW 2017]]+Tabel6689212734[[#This Row],[VAT DW 2017]]</f>
        <v>237.40411279576475</v>
      </c>
      <c r="L100" s="596">
        <f>(1.29*100)/F100</f>
        <v>154.86008571325675</v>
      </c>
      <c r="M100" s="595">
        <f>14.52/F100</f>
        <v>17.430763136096804</v>
      </c>
      <c r="N100" s="626">
        <f>(0*100)/F100</f>
        <v>0</v>
      </c>
      <c r="O100" s="595">
        <v>0</v>
      </c>
      <c r="P100" s="597">
        <f>(0.16*100)/F100</f>
        <v>19.207452491566727</v>
      </c>
      <c r="Q100" s="595">
        <v>0</v>
      </c>
      <c r="R100" s="570">
        <f>Tabel6689212734[[#This Row],[VAT DW 2017]]+Tabel6689212734[[#This Row],[VAT Sew. 2017]]+Tabel6689212734[[#This Row],[VAT WW 2017]]+Tabel6689212734[[#This Row],[VAT Other ch. 2017]]</f>
        <v>29.795560677542888</v>
      </c>
      <c r="S100" s="571">
        <f>Tabel6689212734[[#This Row],[Total. ch. DW 2017]]+Tabel6689212734[[#This Row],[Sew. 2017]]+Tabel6689212734[[#This Row],[VAT Sew. 2017]]+Tabel6689212734[[#This Row],[WW 2017]]+Tabel6689212734[[#This Row],[VAT WW 2017]]+Tabel6689212734[[#This Row],[Other ch. 2017]]+Tabel6689212734[[#This Row],[VAT Other ch. 2017]]</f>
        <v>428.90241413668502</v>
      </c>
      <c r="T100" s="397"/>
      <c r="U100" s="1763"/>
      <c r="V100" s="1766"/>
      <c r="W100" s="1769"/>
      <c r="X100" s="1772"/>
      <c r="Y100" s="1775"/>
      <c r="Z100" s="1778"/>
      <c r="AA100" s="1772"/>
      <c r="AB100" s="1781"/>
      <c r="AC100" s="1772"/>
      <c r="AD100" s="1785"/>
      <c r="AE100" s="1772"/>
      <c r="AF100" s="1788"/>
      <c r="AG100" s="1990"/>
      <c r="AH100" s="397"/>
      <c r="AI100" s="614"/>
      <c r="AJ100" s="591" t="s">
        <v>429</v>
      </c>
      <c r="AK100" s="591"/>
      <c r="AL100" s="591"/>
      <c r="AM100" s="591"/>
      <c r="AN100" s="591"/>
      <c r="AO100" s="614"/>
    </row>
    <row r="101" spans="1:42" ht="16.5" hidden="1" customHeight="1" thickBot="1" x14ac:dyDescent="0.3">
      <c r="A101" s="1758"/>
      <c r="B101" s="547" t="s">
        <v>635</v>
      </c>
      <c r="C101" s="1046"/>
      <c r="D101" s="802" t="s">
        <v>1058</v>
      </c>
      <c r="E101" s="1761"/>
      <c r="F101" s="616">
        <f>'exchange rates'!$O$20</f>
        <v>0.83301000000000003</v>
      </c>
      <c r="G101" s="625">
        <f>12.36/F101</f>
        <v>14.837757049735297</v>
      </c>
      <c r="H101" s="593">
        <f>(1.62*100)/F101</f>
        <v>194.47545647711311</v>
      </c>
      <c r="I101" s="594">
        <f>(0.38*100)/F101</f>
        <v>45.61769966747098</v>
      </c>
      <c r="J101" s="595">
        <f>11.68/F101</f>
        <v>14.021440318843711</v>
      </c>
      <c r="K101" s="566">
        <f>Tabel6689212734[[#This Row],[Fix.ch. 2017]]+Tabel6689212734[[#This Row],[Var. ch. 2017]]+Tabel6689212734[[#This Row],[Oth. ch. DW 2017]]+Tabel6689212734[[#This Row],[VAT DW 2017]]</f>
        <v>268.95235351316313</v>
      </c>
      <c r="L101" s="596">
        <f>(2.04*100)/F101</f>
        <v>244.89501926747576</v>
      </c>
      <c r="M101" s="595">
        <f>22.48/F101</f>
        <v>26.986470750651254</v>
      </c>
      <c r="N101" s="626">
        <f>(0*100)/F101</f>
        <v>0</v>
      </c>
      <c r="O101" s="595">
        <v>0</v>
      </c>
      <c r="P101" s="597">
        <f>(0.209*100)/F101</f>
        <v>25.089734817109036</v>
      </c>
      <c r="Q101" s="595">
        <v>0</v>
      </c>
      <c r="R101" s="570">
        <f>Tabel6689212734[[#This Row],[VAT DW 2017]]+Tabel6689212734[[#This Row],[VAT Sew. 2017]]+Tabel6689212734[[#This Row],[VAT WW 2017]]+Tabel6689212734[[#This Row],[VAT Other ch. 2017]]</f>
        <v>41.007911069494966</v>
      </c>
      <c r="S101" s="571">
        <f>Tabel6689212734[[#This Row],[Total. ch. DW 2017]]+Tabel6689212734[[#This Row],[Sew. 2017]]+Tabel6689212734[[#This Row],[VAT Sew. 2017]]+Tabel6689212734[[#This Row],[WW 2017]]+Tabel6689212734[[#This Row],[VAT WW 2017]]+Tabel6689212734[[#This Row],[Other ch. 2017]]+Tabel6689212734[[#This Row],[VAT Other ch. 2017]]</f>
        <v>565.92357834839925</v>
      </c>
      <c r="T101" s="397"/>
      <c r="U101" s="1764"/>
      <c r="V101" s="1767"/>
      <c r="W101" s="1770"/>
      <c r="X101" s="1773"/>
      <c r="Y101" s="1776"/>
      <c r="Z101" s="1779"/>
      <c r="AA101" s="1773"/>
      <c r="AB101" s="1811"/>
      <c r="AC101" s="1773"/>
      <c r="AD101" s="1813"/>
      <c r="AE101" s="1773"/>
      <c r="AF101" s="1815"/>
      <c r="AG101" s="1991"/>
      <c r="AH101" s="397"/>
      <c r="AI101" s="614"/>
      <c r="AJ101" s="591" t="s">
        <v>429</v>
      </c>
      <c r="AK101" s="591" t="s">
        <v>429</v>
      </c>
      <c r="AL101" s="591"/>
      <c r="AM101" s="591" t="s">
        <v>429</v>
      </c>
      <c r="AN101" s="591"/>
      <c r="AO101" s="614"/>
    </row>
    <row r="102" spans="1:42" ht="19.5" hidden="1" thickBot="1" x14ac:dyDescent="0.3">
      <c r="A102" s="962" t="s">
        <v>521</v>
      </c>
      <c r="B102" s="292" t="s">
        <v>522</v>
      </c>
      <c r="C102" s="1047"/>
      <c r="D102" s="811" t="s">
        <v>1060</v>
      </c>
      <c r="E102" s="301">
        <v>16000</v>
      </c>
      <c r="F102" s="308">
        <v>506.17869999999999</v>
      </c>
      <c r="G102" s="319">
        <f>3396/F102</f>
        <v>6.7090930535006708</v>
      </c>
      <c r="H102" s="320">
        <f>74524/F102</f>
        <v>147.22863684307538</v>
      </c>
      <c r="I102" s="321">
        <v>0</v>
      </c>
      <c r="J102" s="559"/>
      <c r="K102" s="313">
        <f>Tabel6689212734[[#This Row],[Fix.ch. 2017]]+Tabel6689212734[[#This Row],[Var. ch. 2017]]+Tabel6689212734[[#This Row],[Oth. ch. DW 2017]]+Tabel6689212734[[#This Row],[VAT DW 2017]]</f>
        <v>153.93772989657606</v>
      </c>
      <c r="L102" s="322">
        <v>0</v>
      </c>
      <c r="M102" s="559"/>
      <c r="N102" s="323">
        <v>0</v>
      </c>
      <c r="O102" s="559"/>
      <c r="P102" s="324">
        <v>0</v>
      </c>
      <c r="Q102" s="559"/>
      <c r="R102" s="317">
        <f>Tabel6689212734[[#This Row],[VAT DW 2017]]+Tabel6689212734[[#This Row],[VAT Sew. 2017]]+Tabel6689212734[[#This Row],[VAT WW 2017]]+Tabel6689212734[[#This Row],[VAT Other ch. 2017]]</f>
        <v>0</v>
      </c>
      <c r="S102" s="318">
        <f>Tabel6689212734[[#This Row],[Total. ch. DW 2017]]+Tabel6689212734[[#This Row],[Sew. 2017]]+Tabel6689212734[[#This Row],[VAT Sew. 2017]]+Tabel6689212734[[#This Row],[WW 2017]]+Tabel6689212734[[#This Row],[VAT WW 2017]]+Tabel6689212734[[#This Row],[Other ch. 2017]]+Tabel6689212734[[#This Row],[VAT Other ch. 2017]]</f>
        <v>153.93772989657606</v>
      </c>
      <c r="T102" s="397"/>
      <c r="U102" s="340">
        <f>Tabel6689212734[[#This Row],[Fix.ch. 2017]]</f>
        <v>6.7090930535006708</v>
      </c>
      <c r="V102" s="341">
        <f>Tabel6689212734[[#This Row],[Var. ch. 2017]]</f>
        <v>147.22863684307538</v>
      </c>
      <c r="W102" s="342">
        <v>0</v>
      </c>
      <c r="X102" s="581"/>
      <c r="Y102" s="343">
        <f>Tabel6689212734[[#This Row],[Total. ch. DW 2017]]</f>
        <v>153.93772989657606</v>
      </c>
      <c r="Z102" s="344">
        <v>0</v>
      </c>
      <c r="AA102" s="581"/>
      <c r="AB102" s="345">
        <v>0</v>
      </c>
      <c r="AC102" s="581"/>
      <c r="AD102" s="346">
        <v>0</v>
      </c>
      <c r="AE102" s="581"/>
      <c r="AF102" s="347">
        <f>Tabel6689212734[[#This Row],[Total VAT 2017]]</f>
        <v>0</v>
      </c>
      <c r="AG102" s="348">
        <f>Tabel6689212734[[#This Row],[total charge 2017]]</f>
        <v>153.93772989657606</v>
      </c>
      <c r="AH102" s="397"/>
      <c r="AI102" s="398"/>
      <c r="AJ102" s="398"/>
      <c r="AK102" s="398"/>
      <c r="AL102" s="396" t="s">
        <v>429</v>
      </c>
      <c r="AM102" s="398"/>
      <c r="AN102" s="398"/>
      <c r="AO102" s="398"/>
      <c r="AP102" s="397"/>
    </row>
    <row r="103" spans="1:42" ht="19.5" hidden="1" thickBot="1" x14ac:dyDescent="0.35">
      <c r="A103" s="669" t="s">
        <v>14</v>
      </c>
      <c r="B103" s="544" t="s">
        <v>939</v>
      </c>
      <c r="C103" s="1046" t="s">
        <v>429</v>
      </c>
      <c r="D103" s="812" t="s">
        <v>1062</v>
      </c>
      <c r="E103" s="671">
        <v>50200</v>
      </c>
      <c r="F103" s="616">
        <f>'exchange rates'!O22</f>
        <v>0.83301000000000003</v>
      </c>
      <c r="G103" s="549">
        <f>16.43/F103</f>
        <v>19.723652777277582</v>
      </c>
      <c r="H103" s="550">
        <f>169.4/F103</f>
        <v>203.35890325446272</v>
      </c>
      <c r="I103" s="551">
        <v>0</v>
      </c>
      <c r="J103" s="560">
        <f>13/F103</f>
        <v>15.606055149397966</v>
      </c>
      <c r="K103" s="566">
        <f>Tabel6689212734[[#This Row],[Fix.ch. 2017]]+Tabel6689212734[[#This Row],[Var. ch. 2017]]+Tabel6689212734[[#This Row],[Oth. ch. DW 2017]]+Tabel6689212734[[#This Row],[VAT DW 2017]]</f>
        <v>238.68861118113827</v>
      </c>
      <c r="L103" s="567">
        <v>0</v>
      </c>
      <c r="M103" s="560">
        <v>0</v>
      </c>
      <c r="N103" s="568">
        <f>221/F103</f>
        <v>265.30293753976542</v>
      </c>
      <c r="O103" s="560">
        <v>0</v>
      </c>
      <c r="P103" s="569">
        <v>0</v>
      </c>
      <c r="Q103" s="560">
        <v>0</v>
      </c>
      <c r="R103" s="570">
        <f>Tabel6689212734[[#This Row],[VAT DW 2017]]+Tabel6689212734[[#This Row],[VAT Sew. 2017]]+Tabel6689212734[[#This Row],[VAT WW 2017]]+Tabel6689212734[[#This Row],[VAT Other ch. 2017]]</f>
        <v>15.606055149397966</v>
      </c>
      <c r="S103" s="571">
        <f>Tabel6689212734[[#This Row],[Total. ch. DW 2017]]+Tabel6689212734[[#This Row],[Sew. 2017]]+Tabel6689212734[[#This Row],[VAT Sew. 2017]]+Tabel6689212734[[#This Row],[WW 2017]]+Tabel6689212734[[#This Row],[VAT WW 2017]]+Tabel6689212734[[#This Row],[Other ch. 2017]]+Tabel6689212734[[#This Row],[VAT Other ch. 2017]]</f>
        <v>503.99154872090367</v>
      </c>
      <c r="T103" s="397"/>
      <c r="U103" s="672">
        <f>Tabel6689212734[[#This Row],[Fix.ch. 2017]]</f>
        <v>19.723652777277582</v>
      </c>
      <c r="V103" s="673">
        <f>Tabel6689212734[[#This Row],[Var. ch. 2017]]</f>
        <v>203.35890325446272</v>
      </c>
      <c r="W103" s="674">
        <f>Tabel6689212734[[#This Row],[Oth. ch. DW 2017]]</f>
        <v>0</v>
      </c>
      <c r="X103" s="675">
        <f>Tabel6689212734[[#This Row],[VAT DW 2017]]</f>
        <v>15.606055149397966</v>
      </c>
      <c r="Y103" s="676">
        <f>Tabel6689212734[[#This Row],[Total. ch. DW 2017]]</f>
        <v>238.68861118113827</v>
      </c>
      <c r="Z103" s="677">
        <f>Tabel6689212734[[#This Row],[Sew. 2017]]</f>
        <v>0</v>
      </c>
      <c r="AA103" s="675">
        <f>Tabel6689212734[[#This Row],[VAT Sew. 2017]]</f>
        <v>0</v>
      </c>
      <c r="AB103" s="678">
        <f>Tabel6689212734[[#This Row],[WW 2017]]</f>
        <v>265.30293753976542</v>
      </c>
      <c r="AC103" s="675">
        <f>Tabel6689212734[[#This Row],[VAT WW 2017]]</f>
        <v>0</v>
      </c>
      <c r="AD103" s="679">
        <f>Tabel6689212734[[#This Row],[Other ch. 2017]]</f>
        <v>0</v>
      </c>
      <c r="AE103" s="675">
        <f>Tabel6689212734[[#This Row],[VAT Other ch. 2017]]</f>
        <v>0</v>
      </c>
      <c r="AF103" s="680">
        <f>Tabel6689212734[[#This Row],[Total VAT 2017]]</f>
        <v>15.606055149397966</v>
      </c>
      <c r="AG103" s="681">
        <f>Tabel6689212734[[#This Row],[total charge 2017]]</f>
        <v>503.99154872090367</v>
      </c>
      <c r="AH103" s="397"/>
      <c r="AI103" s="398"/>
      <c r="AJ103" s="398"/>
      <c r="AK103" s="591" t="s">
        <v>429</v>
      </c>
      <c r="AL103" s="591"/>
      <c r="AM103" s="591" t="s">
        <v>429</v>
      </c>
      <c r="AN103" s="398"/>
      <c r="AO103" s="398"/>
      <c r="AP103" s="397"/>
    </row>
    <row r="104" spans="1:42" ht="15.6" hidden="1" customHeight="1" x14ac:dyDescent="0.25">
      <c r="A104" s="2004" t="s">
        <v>35</v>
      </c>
      <c r="B104" s="501" t="s">
        <v>712</v>
      </c>
      <c r="C104" s="457"/>
      <c r="D104" s="457" t="s">
        <v>1064</v>
      </c>
      <c r="E104" s="2007">
        <v>25600</v>
      </c>
      <c r="F104" s="306">
        <f>'exchange rates'!$M$23</f>
        <v>0.92093999999999998</v>
      </c>
      <c r="G104" s="319">
        <f>79.5/F104</f>
        <v>86.324842009251412</v>
      </c>
      <c r="H104" s="320">
        <f>74.92/F104</f>
        <v>81.351662431863105</v>
      </c>
      <c r="I104" s="321">
        <f>59.93/F104</f>
        <v>65.074814863074693</v>
      </c>
      <c r="J104" s="559"/>
      <c r="K104" s="313">
        <f>Tabel6689212734[[#This Row],[Fix.ch. 2017]]+Tabel6689212734[[#This Row],[Var. ch. 2017]]+Tabel6689212734[[#This Row],[Oth. ch. DW 2017]]+Tabel6689212734[[#This Row],[VAT DW 2017]]</f>
        <v>232.7513193041892</v>
      </c>
      <c r="L104" s="322">
        <f>67.42/F104</f>
        <v>73.207809412122401</v>
      </c>
      <c r="M104" s="559"/>
      <c r="N104" s="323">
        <v>0</v>
      </c>
      <c r="O104" s="559"/>
      <c r="P104" s="324">
        <f>13.25/F104</f>
        <v>14.387473668208569</v>
      </c>
      <c r="Q104" s="559"/>
      <c r="R104" s="317">
        <f>Tabel6689212734[[#This Row],[VAT DW 2017]]+Tabel6689212734[[#This Row],[VAT Sew. 2017]]+Tabel6689212734[[#This Row],[VAT WW 2017]]+Tabel6689212734[[#This Row],[VAT Other ch. 2017]]</f>
        <v>0</v>
      </c>
      <c r="S104" s="318">
        <f>Tabel6689212734[[#This Row],[Total. ch. DW 2017]]+Tabel6689212734[[#This Row],[Sew. 2017]]+Tabel6689212734[[#This Row],[VAT Sew. 2017]]+Tabel6689212734[[#This Row],[WW 2017]]+Tabel6689212734[[#This Row],[VAT WW 2017]]+Tabel6689212734[[#This Row],[Other ch. 2017]]+Tabel6689212734[[#This Row],[VAT Other ch. 2017]]</f>
        <v>320.34660238452017</v>
      </c>
      <c r="T104" s="397"/>
      <c r="U104" s="2009">
        <f>MEDIAN(G104:G108)</f>
        <v>52.989336981779488</v>
      </c>
      <c r="V104" s="2012">
        <f>MEDIAN(H104:H108)</f>
        <v>143.98332138901557</v>
      </c>
      <c r="W104" s="2014">
        <f>MEDIAN(I104:I108)</f>
        <v>0</v>
      </c>
      <c r="X104" s="575"/>
      <c r="Y104" s="2016">
        <f>SUM(U104:W108)</f>
        <v>196.97265837079505</v>
      </c>
      <c r="Z104" s="2018">
        <f>MEDIAN(L104:L108)</f>
        <v>115.18665711121245</v>
      </c>
      <c r="AA104" s="575"/>
      <c r="AB104" s="2020">
        <f>MEDIAN(N104:N108)</f>
        <v>0</v>
      </c>
      <c r="AC104" s="575"/>
      <c r="AD104" s="2029">
        <f>MEDIAN(P104:P108)</f>
        <v>13.03016483158512</v>
      </c>
      <c r="AE104" s="575"/>
      <c r="AF104" s="1992">
        <f>MEDIAN(R104:R108)</f>
        <v>0</v>
      </c>
      <c r="AG104" s="1994">
        <f>SUM(Y104:AF108)</f>
        <v>325.18948031359264</v>
      </c>
      <c r="AH104" s="397"/>
      <c r="AI104" s="398"/>
      <c r="AJ104" s="398"/>
      <c r="AK104" s="396" t="s">
        <v>429</v>
      </c>
      <c r="AL104" s="396" t="s">
        <v>429</v>
      </c>
      <c r="AM104" s="396" t="s">
        <v>429</v>
      </c>
      <c r="AN104" s="396" t="s">
        <v>429</v>
      </c>
      <c r="AO104" s="398"/>
      <c r="AP104" s="397"/>
    </row>
    <row r="105" spans="1:42" ht="15.6" hidden="1" customHeight="1" x14ac:dyDescent="0.25">
      <c r="A105" s="2005"/>
      <c r="B105" s="457" t="s">
        <v>713</v>
      </c>
      <c r="C105" s="457"/>
      <c r="D105" s="457" t="s">
        <v>1064</v>
      </c>
      <c r="E105" s="1837"/>
      <c r="F105" s="306">
        <f>'exchange rates'!$M$23</f>
        <v>0.92093999999999998</v>
      </c>
      <c r="G105" s="319">
        <f>51/F105</f>
        <v>55.378200534236761</v>
      </c>
      <c r="H105" s="320">
        <f>170/F105</f>
        <v>184.5940017807892</v>
      </c>
      <c r="I105" s="321">
        <f>0/F105</f>
        <v>0</v>
      </c>
      <c r="J105" s="559"/>
      <c r="K105" s="313">
        <f>Tabel6689212734[[#This Row],[Fix.ch. 2017]]+Tabel6689212734[[#This Row],[Var. ch. 2017]]+Tabel6689212734[[#This Row],[Oth. ch. DW 2017]]+Tabel6689212734[[#This Row],[VAT DW 2017]]</f>
        <v>239.97220231502595</v>
      </c>
      <c r="L105" s="322">
        <f>93.5/F105</f>
        <v>101.52670097943405</v>
      </c>
      <c r="M105" s="559"/>
      <c r="N105" s="323">
        <v>0</v>
      </c>
      <c r="O105" s="559"/>
      <c r="P105" s="324">
        <f>12/F105</f>
        <v>13.03016483158512</v>
      </c>
      <c r="Q105" s="559"/>
      <c r="R105" s="317">
        <f>Tabel6689212734[[#This Row],[VAT DW 2017]]+Tabel6689212734[[#This Row],[VAT Sew. 2017]]+Tabel6689212734[[#This Row],[VAT WW 2017]]+Tabel6689212734[[#This Row],[VAT Other ch. 2017]]</f>
        <v>0</v>
      </c>
      <c r="S105" s="318">
        <f>Tabel6689212734[[#This Row],[Total. ch. DW 2017]]+Tabel6689212734[[#This Row],[Sew. 2017]]+Tabel6689212734[[#This Row],[VAT Sew. 2017]]+Tabel6689212734[[#This Row],[WW 2017]]+Tabel6689212734[[#This Row],[VAT WW 2017]]+Tabel6689212734[[#This Row],[Other ch. 2017]]+Tabel6689212734[[#This Row],[VAT Other ch. 2017]]</f>
        <v>354.5290681260451</v>
      </c>
      <c r="T105" s="397"/>
      <c r="U105" s="2010"/>
      <c r="V105" s="1843"/>
      <c r="W105" s="1846"/>
      <c r="X105" s="576"/>
      <c r="Y105" s="1849"/>
      <c r="Z105" s="1852"/>
      <c r="AA105" s="576"/>
      <c r="AB105" s="1855"/>
      <c r="AC105" s="576"/>
      <c r="AD105" s="1858"/>
      <c r="AE105" s="576"/>
      <c r="AF105" s="1873"/>
      <c r="AG105" s="1876"/>
      <c r="AH105" s="397"/>
      <c r="AI105" s="398"/>
      <c r="AJ105" s="398"/>
      <c r="AK105" s="396" t="s">
        <v>429</v>
      </c>
      <c r="AL105" s="396" t="s">
        <v>429</v>
      </c>
      <c r="AM105" s="396" t="s">
        <v>429</v>
      </c>
      <c r="AN105" s="396" t="s">
        <v>429</v>
      </c>
      <c r="AO105" s="398"/>
      <c r="AP105" s="397"/>
    </row>
    <row r="106" spans="1:42" ht="15.6" hidden="1" customHeight="1" x14ac:dyDescent="0.25">
      <c r="A106" s="2005"/>
      <c r="B106" s="457" t="s">
        <v>714</v>
      </c>
      <c r="C106" s="457"/>
      <c r="D106" s="457" t="s">
        <v>1064</v>
      </c>
      <c r="E106" s="1837"/>
      <c r="F106" s="306">
        <f>'exchange rates'!$M$23</f>
        <v>0.92093999999999998</v>
      </c>
      <c r="G106" s="319">
        <f>48.8/F106</f>
        <v>52.989336981779488</v>
      </c>
      <c r="H106" s="320">
        <f>100/F106</f>
        <v>108.58470692987599</v>
      </c>
      <c r="I106" s="321">
        <f>80/F106</f>
        <v>86.867765543900802</v>
      </c>
      <c r="J106" s="559"/>
      <c r="K106" s="313">
        <f>Tabel6689212734[[#This Row],[Fix.ch. 2017]]+Tabel6689212734[[#This Row],[Var. ch. 2017]]+Tabel6689212734[[#This Row],[Oth. ch. DW 2017]]+Tabel6689212734[[#This Row],[VAT DW 2017]]</f>
        <v>248.44180945555627</v>
      </c>
      <c r="L106" s="322">
        <f>118/F106</f>
        <v>128.12995417725367</v>
      </c>
      <c r="M106" s="559"/>
      <c r="N106" s="323">
        <v>0</v>
      </c>
      <c r="O106" s="559"/>
      <c r="P106" s="324">
        <f>0/F106</f>
        <v>0</v>
      </c>
      <c r="Q106" s="559"/>
      <c r="R106" s="317">
        <f>Tabel6689212734[[#This Row],[VAT DW 2017]]+Tabel6689212734[[#This Row],[VAT Sew. 2017]]+Tabel6689212734[[#This Row],[VAT WW 2017]]+Tabel6689212734[[#This Row],[VAT Other ch. 2017]]</f>
        <v>0</v>
      </c>
      <c r="S106" s="318">
        <f>Tabel6689212734[[#This Row],[Total. ch. DW 2017]]+Tabel6689212734[[#This Row],[Sew. 2017]]+Tabel6689212734[[#This Row],[VAT Sew. 2017]]+Tabel6689212734[[#This Row],[WW 2017]]+Tabel6689212734[[#This Row],[VAT WW 2017]]+Tabel6689212734[[#This Row],[Other ch. 2017]]+Tabel6689212734[[#This Row],[VAT Other ch. 2017]]</f>
        <v>376.57176363280996</v>
      </c>
      <c r="T106" s="397"/>
      <c r="U106" s="2010"/>
      <c r="V106" s="1843"/>
      <c r="W106" s="1846"/>
      <c r="X106" s="576"/>
      <c r="Y106" s="1849"/>
      <c r="Z106" s="1852"/>
      <c r="AA106" s="576"/>
      <c r="AB106" s="1855"/>
      <c r="AC106" s="576"/>
      <c r="AD106" s="1858"/>
      <c r="AE106" s="576"/>
      <c r="AF106" s="1873"/>
      <c r="AG106" s="1876"/>
      <c r="AH106" s="397"/>
      <c r="AI106" s="398"/>
      <c r="AJ106" s="398"/>
      <c r="AK106" s="396" t="s">
        <v>429</v>
      </c>
      <c r="AL106" s="396" t="s">
        <v>429</v>
      </c>
      <c r="AM106" s="396" t="s">
        <v>429</v>
      </c>
      <c r="AN106" s="396" t="s">
        <v>429</v>
      </c>
      <c r="AO106" s="398"/>
      <c r="AP106" s="397"/>
    </row>
    <row r="107" spans="1:42" ht="15.6" hidden="1" customHeight="1" x14ac:dyDescent="0.25">
      <c r="A107" s="2005"/>
      <c r="B107" s="457" t="s">
        <v>715</v>
      </c>
      <c r="C107" s="457" t="s">
        <v>429</v>
      </c>
      <c r="D107" s="457" t="s">
        <v>1064</v>
      </c>
      <c r="E107" s="1837"/>
      <c r="F107" s="306">
        <f>'exchange rates'!$M$23</f>
        <v>0.92093999999999998</v>
      </c>
      <c r="G107" s="319">
        <f>12/F107</f>
        <v>13.03016483158512</v>
      </c>
      <c r="H107" s="320">
        <f>437.92/F107</f>
        <v>475.514148587313</v>
      </c>
      <c r="I107" s="321">
        <f>0/F107</f>
        <v>0</v>
      </c>
      <c r="J107" s="559"/>
      <c r="K107" s="313">
        <f>Tabel6689212734[[#This Row],[Fix.ch. 2017]]+Tabel6689212734[[#This Row],[Var. ch. 2017]]+Tabel6689212734[[#This Row],[Oth. ch. DW 2017]]+Tabel6689212734[[#This Row],[VAT DW 2017]]</f>
        <v>488.54431341889813</v>
      </c>
      <c r="L107" s="322">
        <f>328.44/F107</f>
        <v>356.63561144048475</v>
      </c>
      <c r="M107" s="559"/>
      <c r="N107" s="323">
        <v>0</v>
      </c>
      <c r="O107" s="559"/>
      <c r="P107" s="324">
        <f>0/F107</f>
        <v>0</v>
      </c>
      <c r="Q107" s="559"/>
      <c r="R107" s="317">
        <f>Tabel6689212734[[#This Row],[VAT DW 2017]]+Tabel6689212734[[#This Row],[VAT Sew. 2017]]+Tabel6689212734[[#This Row],[VAT WW 2017]]+Tabel6689212734[[#This Row],[VAT Other ch. 2017]]</f>
        <v>0</v>
      </c>
      <c r="S107" s="318">
        <f>Tabel6689212734[[#This Row],[Total. ch. DW 2017]]+Tabel6689212734[[#This Row],[Sew. 2017]]+Tabel6689212734[[#This Row],[VAT Sew. 2017]]+Tabel6689212734[[#This Row],[WW 2017]]+Tabel6689212734[[#This Row],[VAT WW 2017]]+Tabel6689212734[[#This Row],[Other ch. 2017]]+Tabel6689212734[[#This Row],[VAT Other ch. 2017]]</f>
        <v>845.17992485938294</v>
      </c>
      <c r="T107" s="397"/>
      <c r="U107" s="2010"/>
      <c r="V107" s="1843"/>
      <c r="W107" s="1846"/>
      <c r="X107" s="576"/>
      <c r="Y107" s="1849"/>
      <c r="Z107" s="1852"/>
      <c r="AA107" s="576"/>
      <c r="AB107" s="1855"/>
      <c r="AC107" s="576"/>
      <c r="AD107" s="1858"/>
      <c r="AE107" s="576"/>
      <c r="AF107" s="1873"/>
      <c r="AG107" s="1876"/>
      <c r="AH107" s="397"/>
      <c r="AI107" s="398"/>
      <c r="AJ107" s="398"/>
      <c r="AK107" s="396" t="s">
        <v>429</v>
      </c>
      <c r="AL107" s="396" t="s">
        <v>429</v>
      </c>
      <c r="AM107" s="396" t="s">
        <v>429</v>
      </c>
      <c r="AN107" s="396" t="s">
        <v>429</v>
      </c>
      <c r="AO107" s="398"/>
      <c r="AP107" s="397"/>
    </row>
    <row r="108" spans="1:42" ht="16.149999999999999" hidden="1" customHeight="1" thickBot="1" x14ac:dyDescent="0.3">
      <c r="A108" s="2006"/>
      <c r="B108" s="268" t="s">
        <v>716</v>
      </c>
      <c r="C108" s="457"/>
      <c r="D108" s="800" t="s">
        <v>1064</v>
      </c>
      <c r="E108" s="2008"/>
      <c r="F108" s="306">
        <f>'exchange rates'!$M$23</f>
        <v>0.92093999999999998</v>
      </c>
      <c r="G108" s="319">
        <f>24/F108</f>
        <v>26.06032966317024</v>
      </c>
      <c r="H108" s="320">
        <f>132.6/F108</f>
        <v>143.98332138901557</v>
      </c>
      <c r="I108" s="321">
        <f>0/F108</f>
        <v>0</v>
      </c>
      <c r="J108" s="559"/>
      <c r="K108" s="313">
        <f>Tabel6689212734[[#This Row],[Fix.ch. 2017]]+Tabel6689212734[[#This Row],[Var. ch. 2017]]+Tabel6689212734[[#This Row],[Oth. ch. DW 2017]]+Tabel6689212734[[#This Row],[VAT DW 2017]]</f>
        <v>170.04365105218582</v>
      </c>
      <c r="L108" s="322">
        <f>106.08/F108</f>
        <v>115.18665711121245</v>
      </c>
      <c r="M108" s="559"/>
      <c r="N108" s="323">
        <v>0</v>
      </c>
      <c r="O108" s="559"/>
      <c r="P108" s="324">
        <f>14/F108</f>
        <v>15.20185897018264</v>
      </c>
      <c r="Q108" s="559"/>
      <c r="R108" s="317">
        <f>Tabel6689212734[[#This Row],[VAT DW 2017]]+Tabel6689212734[[#This Row],[VAT Sew. 2017]]+Tabel6689212734[[#This Row],[VAT WW 2017]]+Tabel6689212734[[#This Row],[VAT Other ch. 2017]]</f>
        <v>0</v>
      </c>
      <c r="S108" s="318">
        <f>Tabel6689212734[[#This Row],[Total. ch. DW 2017]]+Tabel6689212734[[#This Row],[Sew. 2017]]+Tabel6689212734[[#This Row],[VAT Sew. 2017]]+Tabel6689212734[[#This Row],[WW 2017]]+Tabel6689212734[[#This Row],[VAT WW 2017]]+Tabel6689212734[[#This Row],[Other ch. 2017]]+Tabel6689212734[[#This Row],[VAT Other ch. 2017]]</f>
        <v>300.43216713358089</v>
      </c>
      <c r="T108" s="397"/>
      <c r="U108" s="2011"/>
      <c r="V108" s="2013"/>
      <c r="W108" s="2015"/>
      <c r="X108" s="577"/>
      <c r="Y108" s="2017"/>
      <c r="Z108" s="2019"/>
      <c r="AA108" s="577"/>
      <c r="AB108" s="2021"/>
      <c r="AC108" s="577"/>
      <c r="AD108" s="2030"/>
      <c r="AE108" s="577"/>
      <c r="AF108" s="1993"/>
      <c r="AG108" s="1995"/>
      <c r="AH108" s="397"/>
      <c r="AI108" s="398"/>
      <c r="AJ108" s="398"/>
      <c r="AK108" s="396" t="s">
        <v>429</v>
      </c>
      <c r="AL108" s="396" t="s">
        <v>429</v>
      </c>
      <c r="AM108" s="396" t="s">
        <v>429</v>
      </c>
      <c r="AN108" s="396" t="s">
        <v>429</v>
      </c>
      <c r="AO108" s="398"/>
      <c r="AP108" s="397"/>
    </row>
    <row r="109" spans="1:42" ht="15.75" hidden="1" customHeight="1" x14ac:dyDescent="0.25">
      <c r="A109" s="1818" t="s">
        <v>45</v>
      </c>
      <c r="B109" s="546" t="s">
        <v>102</v>
      </c>
      <c r="C109" s="1046" t="s">
        <v>429</v>
      </c>
      <c r="D109" s="802" t="s">
        <v>1066</v>
      </c>
      <c r="E109" s="1983">
        <v>28900</v>
      </c>
      <c r="F109" s="616">
        <f>'exchange rates'!$O$24</f>
        <v>258.86743000000001</v>
      </c>
      <c r="G109" s="549">
        <f>1700/F109</f>
        <v>6.5670679389832856</v>
      </c>
      <c r="H109" s="550">
        <f>17240/F109</f>
        <v>66.597794863571664</v>
      </c>
      <c r="I109" s="551">
        <v>0</v>
      </c>
      <c r="J109" s="560">
        <f>5113.8/F109</f>
        <v>19.75451295668984</v>
      </c>
      <c r="K109" s="566">
        <f>Tabel6689212734[[#This Row],[Fix.ch. 2017]]+Tabel6689212734[[#This Row],[Var. ch. 2017]]+Tabel6689212734[[#This Row],[Oth. ch. DW 2017]]+Tabel6689212734[[#This Row],[VAT DW 2017]]</f>
        <v>92.919375759244787</v>
      </c>
      <c r="L109" s="567">
        <f>457/F109</f>
        <v>1.7653823812443303</v>
      </c>
      <c r="M109" s="560">
        <f>123.39/F109</f>
        <v>0.47665324293596917</v>
      </c>
      <c r="N109" s="568">
        <f>29566/F109</f>
        <v>114.21290040234106</v>
      </c>
      <c r="O109" s="560">
        <f>7982.82/F109</f>
        <v>30.837483108632089</v>
      </c>
      <c r="P109" s="569">
        <v>0</v>
      </c>
      <c r="Q109" s="560">
        <f>0</f>
        <v>0</v>
      </c>
      <c r="R109" s="570">
        <f>Tabel6689212734[[#This Row],[VAT DW 2017]]+Tabel6689212734[[#This Row],[VAT Sew. 2017]]+Tabel6689212734[[#This Row],[VAT WW 2017]]+Tabel6689212734[[#This Row],[VAT Other ch. 2017]]</f>
        <v>51.068649308257903</v>
      </c>
      <c r="S109" s="571">
        <f>Tabel6689212734[[#This Row],[Total. ch. DW 2017]]+Tabel6689212734[[#This Row],[Sew. 2017]]+Tabel6689212734[[#This Row],[VAT Sew. 2017]]+Tabel6689212734[[#This Row],[WW 2017]]+Tabel6689212734[[#This Row],[VAT WW 2017]]+Tabel6689212734[[#This Row],[Other ch. 2017]]+Tabel6689212734[[#This Row],[VAT Other ch. 2017]]</f>
        <v>240.21179489439825</v>
      </c>
      <c r="T109" s="397"/>
      <c r="U109" s="1824">
        <f>MEDIAN(G109:G113)</f>
        <v>0</v>
      </c>
      <c r="V109" s="1825">
        <f>MEDIAN(H109:H113)</f>
        <v>94.604408132765101</v>
      </c>
      <c r="W109" s="1826">
        <f>MEDIAN(I109:I113)</f>
        <v>0</v>
      </c>
      <c r="X109" s="1938">
        <f>MEDIAN(J109:J113)</f>
        <v>25.983338267004079</v>
      </c>
      <c r="Y109" s="1827">
        <f>SUM(U109:X113)</f>
        <v>120.58774639976917</v>
      </c>
      <c r="Z109" s="1828">
        <f t="shared" ref="Z109:AF109" si="16">MEDIAN(L109:L113)</f>
        <v>1.6494929470269781</v>
      </c>
      <c r="AA109" s="1938">
        <f t="shared" si="16"/>
        <v>0.44536309569728411</v>
      </c>
      <c r="AB109" s="1829">
        <f t="shared" si="16"/>
        <v>75.212242807061514</v>
      </c>
      <c r="AC109" s="1938">
        <f t="shared" si="16"/>
        <v>20.307305557906606</v>
      </c>
      <c r="AD109" s="1830">
        <f t="shared" si="16"/>
        <v>0</v>
      </c>
      <c r="AE109" s="1938">
        <f t="shared" si="16"/>
        <v>0</v>
      </c>
      <c r="AF109" s="1816">
        <f t="shared" si="16"/>
        <v>48.863736932838549</v>
      </c>
      <c r="AG109" s="1817">
        <f>Y109+Z109+AA109+AB109+AC109+AD109+AE109</f>
        <v>218.20215080746155</v>
      </c>
      <c r="AH109" s="397"/>
      <c r="AI109" s="398"/>
      <c r="AJ109" s="398"/>
      <c r="AK109" s="398"/>
      <c r="AL109" s="398"/>
      <c r="AM109" s="591" t="s">
        <v>429</v>
      </c>
      <c r="AN109" s="398"/>
      <c r="AO109" s="398"/>
      <c r="AP109" s="397"/>
    </row>
    <row r="110" spans="1:42" ht="15.75" hidden="1" customHeight="1" x14ac:dyDescent="0.25">
      <c r="A110" s="1819"/>
      <c r="B110" s="547" t="s">
        <v>103</v>
      </c>
      <c r="C110" s="1046"/>
      <c r="D110" s="802" t="s">
        <v>1066</v>
      </c>
      <c r="E110" s="1760"/>
      <c r="F110" s="616">
        <f>'exchange rates'!$O$24</f>
        <v>258.86743000000001</v>
      </c>
      <c r="G110" s="549">
        <f>1231/F110</f>
        <v>4.7553297840520141</v>
      </c>
      <c r="H110" s="550">
        <f>24490/F110</f>
        <v>94.604408132765101</v>
      </c>
      <c r="I110" s="551">
        <v>0</v>
      </c>
      <c r="J110" s="560">
        <f>6944.67/F110</f>
        <v>26.827129237540621</v>
      </c>
      <c r="K110" s="566">
        <f>Tabel6689212734[[#This Row],[Fix.ch. 2017]]+Tabel6689212734[[#This Row],[Var. ch. 2017]]+Tabel6689212734[[#This Row],[Oth. ch. DW 2017]]+Tabel6689212734[[#This Row],[VAT DW 2017]]</f>
        <v>126.18686715435773</v>
      </c>
      <c r="L110" s="567">
        <f>427/F110</f>
        <v>1.6494929470269781</v>
      </c>
      <c r="M110" s="560">
        <f>115.29/F110</f>
        <v>0.44536309569728411</v>
      </c>
      <c r="N110" s="568">
        <f>19470/F110</f>
        <v>75.212242807061514</v>
      </c>
      <c r="O110" s="560">
        <f>5256.9/F110</f>
        <v>20.307305557906606</v>
      </c>
      <c r="P110" s="569">
        <f>1231/F110</f>
        <v>4.7553297840520141</v>
      </c>
      <c r="Q110" s="560">
        <f>332.37/F110</f>
        <v>1.2839390416940439</v>
      </c>
      <c r="R110" s="570">
        <f>Tabel6689212734[[#This Row],[VAT DW 2017]]+Tabel6689212734[[#This Row],[VAT Sew. 2017]]+Tabel6689212734[[#This Row],[VAT WW 2017]]+Tabel6689212734[[#This Row],[VAT Other ch. 2017]]</f>
        <v>48.863736932838549</v>
      </c>
      <c r="S110" s="571">
        <f>Tabel6689212734[[#This Row],[Total. ch. DW 2017]]+Tabel6689212734[[#This Row],[Sew. 2017]]+Tabel6689212734[[#This Row],[VAT Sew. 2017]]+Tabel6689212734[[#This Row],[WW 2017]]+Tabel6689212734[[#This Row],[VAT WW 2017]]+Tabel6689212734[[#This Row],[Other ch. 2017]]+Tabel6689212734[[#This Row],[VAT Other ch. 2017]]</f>
        <v>229.84054038779615</v>
      </c>
      <c r="T110" s="397"/>
      <c r="U110" s="1763"/>
      <c r="V110" s="1766"/>
      <c r="W110" s="1769"/>
      <c r="X110" s="1772"/>
      <c r="Y110" s="1775"/>
      <c r="Z110" s="1778"/>
      <c r="AA110" s="1772"/>
      <c r="AB110" s="1781"/>
      <c r="AC110" s="1772"/>
      <c r="AD110" s="1785"/>
      <c r="AE110" s="1772"/>
      <c r="AF110" s="1788"/>
      <c r="AG110" s="1791"/>
      <c r="AH110" s="397"/>
      <c r="AI110" s="398"/>
      <c r="AJ110" s="398"/>
      <c r="AK110" s="398"/>
      <c r="AL110" s="398"/>
      <c r="AM110" s="591" t="s">
        <v>429</v>
      </c>
      <c r="AN110" s="398"/>
      <c r="AO110" s="398"/>
      <c r="AP110" s="397"/>
    </row>
    <row r="111" spans="1:42" ht="15.75" hidden="1" customHeight="1" x14ac:dyDescent="0.25">
      <c r="A111" s="1819"/>
      <c r="B111" s="547" t="s">
        <v>104</v>
      </c>
      <c r="C111" s="1046"/>
      <c r="D111" s="802" t="s">
        <v>1066</v>
      </c>
      <c r="E111" s="1760"/>
      <c r="F111" s="616">
        <f>'exchange rates'!$O$24</f>
        <v>258.86743000000001</v>
      </c>
      <c r="G111" s="549">
        <v>0</v>
      </c>
      <c r="H111" s="550">
        <f>24912/F111</f>
        <v>96.234586174089173</v>
      </c>
      <c r="I111" s="551">
        <v>0</v>
      </c>
      <c r="J111" s="560">
        <f>6726.24/F111</f>
        <v>25.983338267004079</v>
      </c>
      <c r="K111" s="566">
        <f>Tabel6689212734[[#This Row],[Fix.ch. 2017]]+Tabel6689212734[[#This Row],[Var. ch. 2017]]+Tabel6689212734[[#This Row],[Oth. ch. DW 2017]]+Tabel6689212734[[#This Row],[VAT DW 2017]]</f>
        <v>122.21792444109326</v>
      </c>
      <c r="L111" s="567">
        <v>0</v>
      </c>
      <c r="M111" s="560">
        <v>0</v>
      </c>
      <c r="N111" s="568">
        <f>19161/F111</f>
        <v>74.018581634622777</v>
      </c>
      <c r="O111" s="560">
        <f>5173.47/F111</f>
        <v>19.985017041348154</v>
      </c>
      <c r="P111" s="569">
        <v>0</v>
      </c>
      <c r="Q111" s="560">
        <v>0</v>
      </c>
      <c r="R111" s="570">
        <f>Tabel6689212734[[#This Row],[VAT DW 2017]]+Tabel6689212734[[#This Row],[VAT Sew. 2017]]+Tabel6689212734[[#This Row],[VAT WW 2017]]+Tabel6689212734[[#This Row],[VAT Other ch. 2017]]</f>
        <v>45.96835530835223</v>
      </c>
      <c r="S111" s="571">
        <f>Tabel6689212734[[#This Row],[Total. ch. DW 2017]]+Tabel6689212734[[#This Row],[Sew. 2017]]+Tabel6689212734[[#This Row],[VAT Sew. 2017]]+Tabel6689212734[[#This Row],[WW 2017]]+Tabel6689212734[[#This Row],[VAT WW 2017]]+Tabel6689212734[[#This Row],[Other ch. 2017]]+Tabel6689212734[[#This Row],[VAT Other ch. 2017]]</f>
        <v>216.22152311706418</v>
      </c>
      <c r="T111" s="397"/>
      <c r="U111" s="1763"/>
      <c r="V111" s="1766"/>
      <c r="W111" s="1769"/>
      <c r="X111" s="1772"/>
      <c r="Y111" s="1775"/>
      <c r="Z111" s="1778"/>
      <c r="AA111" s="1772"/>
      <c r="AB111" s="1781"/>
      <c r="AC111" s="1772"/>
      <c r="AD111" s="1785"/>
      <c r="AE111" s="1772"/>
      <c r="AF111" s="1788"/>
      <c r="AG111" s="1791"/>
      <c r="AH111" s="397"/>
      <c r="AI111" s="398"/>
      <c r="AJ111" s="398"/>
      <c r="AK111" s="398"/>
      <c r="AL111" s="398"/>
      <c r="AM111" s="398"/>
      <c r="AN111" s="398"/>
      <c r="AO111" s="398"/>
      <c r="AP111" s="397"/>
    </row>
    <row r="112" spans="1:42" ht="16.5" hidden="1" customHeight="1" x14ac:dyDescent="0.25">
      <c r="A112" s="1819"/>
      <c r="B112" s="543" t="s">
        <v>105</v>
      </c>
      <c r="C112" s="1046"/>
      <c r="D112" s="802" t="s">
        <v>1066</v>
      </c>
      <c r="E112" s="1760"/>
      <c r="F112" s="616">
        <f>'exchange rates'!$O$24</f>
        <v>258.86743000000001</v>
      </c>
      <c r="G112" s="549">
        <v>0</v>
      </c>
      <c r="H112" s="550">
        <f>34000/F112</f>
        <v>131.34135877966571</v>
      </c>
      <c r="I112" s="551">
        <v>0</v>
      </c>
      <c r="J112" s="560">
        <f>9180/F112</f>
        <v>35.462166870509741</v>
      </c>
      <c r="K112" s="566">
        <f>Tabel6689212734[[#This Row],[Fix.ch. 2017]]+Tabel6689212734[[#This Row],[Var. ch. 2017]]+Tabel6689212734[[#This Row],[Oth. ch. DW 2017]]+Tabel6689212734[[#This Row],[VAT DW 2017]]</f>
        <v>166.80352565017546</v>
      </c>
      <c r="L112" s="567">
        <f>400/F112</f>
        <v>1.5451924562313613</v>
      </c>
      <c r="M112" s="560">
        <f>108/F112</f>
        <v>0.41720196318246755</v>
      </c>
      <c r="N112" s="568">
        <f>24800/F112</f>
        <v>95.801932286344396</v>
      </c>
      <c r="O112" s="560">
        <f>6696/F112</f>
        <v>25.866521717312988</v>
      </c>
      <c r="P112" s="569">
        <v>0</v>
      </c>
      <c r="Q112" s="560">
        <v>0</v>
      </c>
      <c r="R112" s="570">
        <f>Tabel6689212734[[#This Row],[VAT DW 2017]]+Tabel6689212734[[#This Row],[VAT Sew. 2017]]+Tabel6689212734[[#This Row],[VAT WW 2017]]+Tabel6689212734[[#This Row],[VAT Other ch. 2017]]</f>
        <v>61.745890551005203</v>
      </c>
      <c r="S112" s="571">
        <f>Tabel6689212734[[#This Row],[Total. ch. DW 2017]]+Tabel6689212734[[#This Row],[Sew. 2017]]+Tabel6689212734[[#This Row],[VAT Sew. 2017]]+Tabel6689212734[[#This Row],[WW 2017]]+Tabel6689212734[[#This Row],[VAT WW 2017]]+Tabel6689212734[[#This Row],[Other ch. 2017]]+Tabel6689212734[[#This Row],[VAT Other ch. 2017]]</f>
        <v>290.43437407324666</v>
      </c>
      <c r="T112" s="397"/>
      <c r="U112" s="1763"/>
      <c r="V112" s="1766"/>
      <c r="W112" s="1769"/>
      <c r="X112" s="1772"/>
      <c r="Y112" s="1775"/>
      <c r="Z112" s="1778"/>
      <c r="AA112" s="1772"/>
      <c r="AB112" s="1781"/>
      <c r="AC112" s="1772"/>
      <c r="AD112" s="1785"/>
      <c r="AE112" s="1772"/>
      <c r="AF112" s="1788"/>
      <c r="AG112" s="1791"/>
      <c r="AH112" s="397"/>
      <c r="AI112" s="398"/>
      <c r="AJ112" s="398"/>
      <c r="AK112" s="398"/>
      <c r="AL112" s="398"/>
      <c r="AM112" s="398"/>
      <c r="AN112" s="398"/>
      <c r="AO112" s="398"/>
      <c r="AP112" s="397"/>
    </row>
    <row r="113" spans="1:42" ht="17.25" hidden="1" customHeight="1" thickBot="1" x14ac:dyDescent="0.3">
      <c r="A113" s="1820"/>
      <c r="B113" s="548" t="s">
        <v>613</v>
      </c>
      <c r="C113" s="1046"/>
      <c r="D113" s="802" t="s">
        <v>1066</v>
      </c>
      <c r="E113" s="1996"/>
      <c r="F113" s="616">
        <f>'exchange rates'!$O$24</f>
        <v>258.86743000000001</v>
      </c>
      <c r="G113" s="549">
        <v>0</v>
      </c>
      <c r="H113" s="550">
        <f>21780/F113</f>
        <v>84.13572924179762</v>
      </c>
      <c r="I113" s="551">
        <v>0</v>
      </c>
      <c r="J113" s="560">
        <f>5880/F113</f>
        <v>22.71432910660101</v>
      </c>
      <c r="K113" s="566">
        <f>Tabel6689212734[[#This Row],[Fix.ch. 2017]]+Tabel6689212734[[#This Row],[Var. ch. 2017]]+Tabel6689212734[[#This Row],[Oth. ch. DW 2017]]+Tabel6689212734[[#This Row],[VAT DW 2017]]</f>
        <v>106.85005834839863</v>
      </c>
      <c r="L113" s="567">
        <f>630/F113</f>
        <v>2.4336781185643939</v>
      </c>
      <c r="M113" s="560">
        <f>170.1/F113</f>
        <v>0.65709309201238641</v>
      </c>
      <c r="N113" s="568">
        <f>13230/F113</f>
        <v>51.107240489852273</v>
      </c>
      <c r="O113" s="560">
        <f>3572/F113</f>
        <v>13.798568634146056</v>
      </c>
      <c r="P113" s="569">
        <v>0</v>
      </c>
      <c r="Q113" s="560">
        <v>0</v>
      </c>
      <c r="R113" s="570">
        <f>Tabel6689212734[[#This Row],[VAT DW 2017]]+Tabel6689212734[[#This Row],[VAT Sew. 2017]]+Tabel6689212734[[#This Row],[VAT WW 2017]]+Tabel6689212734[[#This Row],[VAT Other ch. 2017]]</f>
        <v>37.169990832759453</v>
      </c>
      <c r="S113" s="571">
        <f>Tabel6689212734[[#This Row],[Total. ch. DW 2017]]+Tabel6689212734[[#This Row],[Sew. 2017]]+Tabel6689212734[[#This Row],[VAT Sew. 2017]]+Tabel6689212734[[#This Row],[WW 2017]]+Tabel6689212734[[#This Row],[VAT WW 2017]]+Tabel6689212734[[#This Row],[Other ch. 2017]]+Tabel6689212734[[#This Row],[VAT Other ch. 2017]]</f>
        <v>174.84663868297375</v>
      </c>
      <c r="T113" s="397"/>
      <c r="U113" s="1997"/>
      <c r="V113" s="1998"/>
      <c r="W113" s="1999"/>
      <c r="X113" s="1773"/>
      <c r="Y113" s="2000"/>
      <c r="Z113" s="2026"/>
      <c r="AA113" s="1773"/>
      <c r="AB113" s="2027"/>
      <c r="AC113" s="1773"/>
      <c r="AD113" s="2003"/>
      <c r="AE113" s="1773"/>
      <c r="AF113" s="2001"/>
      <c r="AG113" s="2002"/>
      <c r="AH113" s="397"/>
      <c r="AI113" s="398"/>
      <c r="AJ113" s="398"/>
      <c r="AK113" s="398"/>
      <c r="AL113" s="398"/>
      <c r="AM113" s="398"/>
      <c r="AN113" s="398"/>
      <c r="AO113" s="398"/>
      <c r="AP113" s="397"/>
    </row>
    <row r="114" spans="1:42" ht="17.25" hidden="1" customHeight="1" thickBot="1" x14ac:dyDescent="0.3">
      <c r="A114" s="959" t="s">
        <v>754</v>
      </c>
      <c r="B114" s="455" t="s">
        <v>755</v>
      </c>
      <c r="C114" s="1048"/>
      <c r="D114" s="811" t="s">
        <v>1068</v>
      </c>
      <c r="E114" s="1014">
        <v>46600</v>
      </c>
      <c r="F114" s="306">
        <f>'exchange rates'!M25</f>
        <v>130.32431</v>
      </c>
      <c r="G114" s="319"/>
      <c r="H114" s="320"/>
      <c r="I114" s="321"/>
      <c r="J114" s="559"/>
      <c r="K114" s="313">
        <f>Tabel6689212734[[#This Row],[Fix.ch. 2017]]+Tabel6689212734[[#This Row],[Var. ch. 2017]]+Tabel6689212734[[#This Row],[Oth. ch. DW 2017]]+Tabel6689212734[[#This Row],[VAT DW 2017]]</f>
        <v>0</v>
      </c>
      <c r="L114" s="322"/>
      <c r="M114" s="559"/>
      <c r="N114" s="323"/>
      <c r="O114" s="559"/>
      <c r="P114" s="324"/>
      <c r="Q114" s="559"/>
      <c r="R114" s="317">
        <f>Tabel6689212734[[#This Row],[VAT DW 2017]]+Tabel6689212734[[#This Row],[VAT Sew. 2017]]+Tabel6689212734[[#This Row],[VAT WW 2017]]+Tabel6689212734[[#This Row],[VAT Other ch. 2017]]</f>
        <v>0</v>
      </c>
      <c r="S114" s="318">
        <f>Tabel6689212734[[#This Row],[Total. ch. DW 2017]]+Tabel6689212734[[#This Row],[Sew. 2017]]+Tabel6689212734[[#This Row],[VAT Sew. 2017]]+Tabel6689212734[[#This Row],[WW 2017]]+Tabel6689212734[[#This Row],[VAT WW 2017]]+Tabel6689212734[[#This Row],[Other ch. 2017]]+Tabel6689212734[[#This Row],[VAT Other ch. 2017]]</f>
        <v>0</v>
      </c>
      <c r="T114" s="397"/>
      <c r="U114" s="1016"/>
      <c r="V114" s="1009"/>
      <c r="W114" s="1008"/>
      <c r="X114" s="576"/>
      <c r="Y114" s="991"/>
      <c r="Z114" s="1024"/>
      <c r="AA114" s="576"/>
      <c r="AB114" s="1023"/>
      <c r="AC114" s="576"/>
      <c r="AD114" s="973"/>
      <c r="AE114" s="576"/>
      <c r="AF114" s="1027"/>
      <c r="AG114" s="1026"/>
      <c r="AH114" s="397"/>
      <c r="AI114" s="398"/>
      <c r="AJ114" s="398"/>
      <c r="AK114" s="398"/>
      <c r="AL114" s="398"/>
      <c r="AM114" s="398"/>
      <c r="AN114" s="398"/>
      <c r="AO114" s="398"/>
      <c r="AP114" s="397"/>
    </row>
    <row r="115" spans="1:42" ht="18" hidden="1" customHeight="1" x14ac:dyDescent="0.25">
      <c r="A115" s="1833" t="s">
        <v>466</v>
      </c>
      <c r="B115" s="299" t="s">
        <v>606</v>
      </c>
      <c r="C115" s="1048" t="s">
        <v>429</v>
      </c>
      <c r="D115" s="805" t="s">
        <v>1070</v>
      </c>
      <c r="E115" s="2039">
        <v>12800</v>
      </c>
      <c r="F115" s="307">
        <f>'exchange rates'!K28</f>
        <v>11241.536700000001</v>
      </c>
      <c r="G115" s="319">
        <f>0</f>
        <v>0</v>
      </c>
      <c r="H115" s="320">
        <f>466512/F115</f>
        <v>41.498952718804006</v>
      </c>
      <c r="I115" s="321">
        <v>0</v>
      </c>
      <c r="J115" s="559"/>
      <c r="K115" s="313">
        <f>Tabel6689212734[[#This Row],[Fix.ch. 2017]]+Tabel6689212734[[#This Row],[Var. ch. 2017]]+Tabel6689212734[[#This Row],[Oth. ch. DW 2017]]+Tabel6689212734[[#This Row],[VAT DW 2017]]</f>
        <v>41.498952718804006</v>
      </c>
      <c r="L115" s="322">
        <f>71496/F115</f>
        <v>6.3599845739951189</v>
      </c>
      <c r="M115" s="559"/>
      <c r="N115" s="323">
        <v>0</v>
      </c>
      <c r="O115" s="559"/>
      <c r="P115" s="324">
        <v>0</v>
      </c>
      <c r="Q115" s="559"/>
      <c r="R115" s="317">
        <f>Tabel6689212734[[#This Row],[VAT DW 2017]]+Tabel6689212734[[#This Row],[VAT Sew. 2017]]+Tabel6689212734[[#This Row],[VAT WW 2017]]+Tabel6689212734[[#This Row],[VAT Other ch. 2017]]</f>
        <v>0</v>
      </c>
      <c r="S115" s="318">
        <f>Tabel6689212734[[#This Row],[Total. ch. DW 2017]]+Tabel6689212734[[#This Row],[Sew. 2017]]+Tabel6689212734[[#This Row],[VAT Sew. 2017]]+Tabel6689212734[[#This Row],[WW 2017]]+Tabel6689212734[[#This Row],[VAT WW 2017]]+Tabel6689212734[[#This Row],[Other ch. 2017]]+Tabel6689212734[[#This Row],[VAT Other ch. 2017]]</f>
        <v>47.858937292799126</v>
      </c>
      <c r="T115" s="397"/>
      <c r="U115" s="2041">
        <f>SUM(G115:G119)/5</f>
        <v>0</v>
      </c>
      <c r="V115" s="2043">
        <f>SUM(H115:H119)/5</f>
        <v>37.034153880403203</v>
      </c>
      <c r="W115" s="2045">
        <f>SUM(I115:I119)/5</f>
        <v>0</v>
      </c>
      <c r="X115" s="575"/>
      <c r="Y115" s="2047">
        <f>SUM(K115:K119)/5</f>
        <v>37.034153880403203</v>
      </c>
      <c r="Z115" s="2022">
        <f>SUM(L115:L119)/5</f>
        <v>6.3599845739951189</v>
      </c>
      <c r="AA115" s="575"/>
      <c r="AB115" s="2024">
        <f>SUM(N115:N119)/5</f>
        <v>0</v>
      </c>
      <c r="AC115" s="575"/>
      <c r="AD115" s="2033">
        <f>SUM(P115:P119)/5</f>
        <v>0</v>
      </c>
      <c r="AE115" s="575"/>
      <c r="AF115" s="2035">
        <f t="shared" ref="AF115:AG115" si="17">SUM(R115:R119)/5</f>
        <v>0</v>
      </c>
      <c r="AG115" s="2037">
        <f t="shared" si="17"/>
        <v>43.394138454398316</v>
      </c>
      <c r="AH115" s="397"/>
      <c r="AI115" s="398"/>
      <c r="AJ115" s="398"/>
      <c r="AK115" s="398"/>
      <c r="AL115" s="396" t="s">
        <v>429</v>
      </c>
      <c r="AM115" s="398"/>
      <c r="AN115" s="398"/>
      <c r="AO115" s="398"/>
      <c r="AP115" s="397"/>
    </row>
    <row r="116" spans="1:42" ht="18.75" hidden="1" x14ac:dyDescent="0.25">
      <c r="A116" s="1834"/>
      <c r="B116" s="298" t="s">
        <v>607</v>
      </c>
      <c r="C116" s="1048"/>
      <c r="D116" s="805" t="s">
        <v>1070</v>
      </c>
      <c r="E116" s="1837"/>
      <c r="F116" s="307">
        <f>'exchange rates'!K28</f>
        <v>11241.536700000001</v>
      </c>
      <c r="G116" s="319">
        <f>0</f>
        <v>0</v>
      </c>
      <c r="H116" s="320">
        <f>408600/F116</f>
        <v>36.347343864473615</v>
      </c>
      <c r="I116" s="321">
        <v>0</v>
      </c>
      <c r="J116" s="559"/>
      <c r="K116" s="313">
        <f>Tabel6689212734[[#This Row],[Fix.ch. 2017]]+Tabel6689212734[[#This Row],[Var. ch. 2017]]+Tabel6689212734[[#This Row],[Oth. ch. DW 2017]]+Tabel6689212734[[#This Row],[VAT DW 2017]]</f>
        <v>36.347343864473615</v>
      </c>
      <c r="L116" s="322">
        <f>71496/F116</f>
        <v>6.3599845739951189</v>
      </c>
      <c r="M116" s="559"/>
      <c r="N116" s="323">
        <v>0</v>
      </c>
      <c r="O116" s="559"/>
      <c r="P116" s="324">
        <v>0</v>
      </c>
      <c r="Q116" s="559"/>
      <c r="R116" s="317">
        <f>Tabel6689212734[[#This Row],[VAT DW 2017]]+Tabel6689212734[[#This Row],[VAT Sew. 2017]]+Tabel6689212734[[#This Row],[VAT WW 2017]]+Tabel6689212734[[#This Row],[VAT Other ch. 2017]]</f>
        <v>0</v>
      </c>
      <c r="S116" s="318">
        <f>Tabel6689212734[[#This Row],[Total. ch. DW 2017]]+Tabel6689212734[[#This Row],[Sew. 2017]]+Tabel6689212734[[#This Row],[VAT Sew. 2017]]+Tabel6689212734[[#This Row],[WW 2017]]+Tabel6689212734[[#This Row],[VAT WW 2017]]+Tabel6689212734[[#This Row],[Other ch. 2017]]+Tabel6689212734[[#This Row],[VAT Other ch. 2017]]</f>
        <v>42.707328438468735</v>
      </c>
      <c r="T116" s="397"/>
      <c r="U116" s="1840"/>
      <c r="V116" s="1843"/>
      <c r="W116" s="1846"/>
      <c r="X116" s="576"/>
      <c r="Y116" s="1849"/>
      <c r="Z116" s="1852"/>
      <c r="AA116" s="576"/>
      <c r="AB116" s="1855"/>
      <c r="AC116" s="576"/>
      <c r="AD116" s="1858"/>
      <c r="AE116" s="576"/>
      <c r="AF116" s="1873"/>
      <c r="AG116" s="1876"/>
      <c r="AH116" s="397"/>
      <c r="AI116" s="398"/>
      <c r="AJ116" s="398"/>
      <c r="AK116" s="398"/>
      <c r="AL116" s="396" t="s">
        <v>429</v>
      </c>
      <c r="AM116" s="398"/>
      <c r="AN116" s="398"/>
      <c r="AO116" s="398"/>
      <c r="AP116" s="397"/>
    </row>
    <row r="117" spans="1:42" ht="18.75" hidden="1" x14ac:dyDescent="0.25">
      <c r="A117" s="1834"/>
      <c r="B117" s="298" t="s">
        <v>608</v>
      </c>
      <c r="C117" s="1048"/>
      <c r="D117" s="805" t="s">
        <v>1070</v>
      </c>
      <c r="E117" s="1837"/>
      <c r="F117" s="307">
        <f>'exchange rates'!K28</f>
        <v>11241.536700000001</v>
      </c>
      <c r="G117" s="319">
        <f>0</f>
        <v>0</v>
      </c>
      <c r="H117" s="320">
        <f>366780/F117</f>
        <v>32.62721190066479</v>
      </c>
      <c r="I117" s="321">
        <v>0</v>
      </c>
      <c r="J117" s="559"/>
      <c r="K117" s="313">
        <f>Tabel6689212734[[#This Row],[Fix.ch. 2017]]+Tabel6689212734[[#This Row],[Var. ch. 2017]]+Tabel6689212734[[#This Row],[Oth. ch. DW 2017]]+Tabel6689212734[[#This Row],[VAT DW 2017]]</f>
        <v>32.62721190066479</v>
      </c>
      <c r="L117" s="322">
        <f t="shared" ref="L117:L119" si="18">71496/F117</f>
        <v>6.3599845739951189</v>
      </c>
      <c r="M117" s="559"/>
      <c r="N117" s="323">
        <v>0</v>
      </c>
      <c r="O117" s="559"/>
      <c r="P117" s="324">
        <v>0</v>
      </c>
      <c r="Q117" s="559"/>
      <c r="R117" s="317">
        <f>Tabel6689212734[[#This Row],[VAT DW 2017]]+Tabel6689212734[[#This Row],[VAT Sew. 2017]]+Tabel6689212734[[#This Row],[VAT WW 2017]]+Tabel6689212734[[#This Row],[VAT Other ch. 2017]]</f>
        <v>0</v>
      </c>
      <c r="S117" s="318">
        <f>Tabel6689212734[[#This Row],[Total. ch. DW 2017]]+Tabel6689212734[[#This Row],[Sew. 2017]]+Tabel6689212734[[#This Row],[VAT Sew. 2017]]+Tabel6689212734[[#This Row],[WW 2017]]+Tabel6689212734[[#This Row],[VAT WW 2017]]+Tabel6689212734[[#This Row],[Other ch. 2017]]+Tabel6689212734[[#This Row],[VAT Other ch. 2017]]</f>
        <v>38.98719647465991</v>
      </c>
      <c r="T117" s="397"/>
      <c r="U117" s="1840"/>
      <c r="V117" s="1843"/>
      <c r="W117" s="1846"/>
      <c r="X117" s="576"/>
      <c r="Y117" s="1849"/>
      <c r="Z117" s="1852"/>
      <c r="AA117" s="576"/>
      <c r="AB117" s="1855"/>
      <c r="AC117" s="576"/>
      <c r="AD117" s="1858"/>
      <c r="AE117" s="576"/>
      <c r="AF117" s="1873"/>
      <c r="AG117" s="1876"/>
      <c r="AH117" s="397"/>
      <c r="AI117" s="398"/>
      <c r="AJ117" s="398"/>
      <c r="AK117" s="398"/>
      <c r="AL117" s="396" t="s">
        <v>429</v>
      </c>
      <c r="AM117" s="398"/>
      <c r="AN117" s="398"/>
      <c r="AO117" s="398"/>
      <c r="AP117" s="397"/>
    </row>
    <row r="118" spans="1:42" ht="18.75" hidden="1" x14ac:dyDescent="0.25">
      <c r="A118" s="1834"/>
      <c r="B118" s="298" t="s">
        <v>609</v>
      </c>
      <c r="C118" s="1048"/>
      <c r="D118" s="805" t="s">
        <v>1070</v>
      </c>
      <c r="E118" s="1837"/>
      <c r="F118" s="307">
        <f>'exchange rates'!K28</f>
        <v>11241.536700000001</v>
      </c>
      <c r="G118" s="319">
        <f>0</f>
        <v>0</v>
      </c>
      <c r="H118" s="320">
        <f>418248/F118</f>
        <v>37.205589516956344</v>
      </c>
      <c r="I118" s="321">
        <v>0</v>
      </c>
      <c r="J118" s="559"/>
      <c r="K118" s="313">
        <f>Tabel6689212734[[#This Row],[Fix.ch. 2017]]+Tabel6689212734[[#This Row],[Var. ch. 2017]]+Tabel6689212734[[#This Row],[Oth. ch. DW 2017]]+Tabel6689212734[[#This Row],[VAT DW 2017]]</f>
        <v>37.205589516956344</v>
      </c>
      <c r="L118" s="322">
        <f t="shared" si="18"/>
        <v>6.3599845739951189</v>
      </c>
      <c r="M118" s="559"/>
      <c r="N118" s="323">
        <v>0</v>
      </c>
      <c r="O118" s="559"/>
      <c r="P118" s="324">
        <v>0</v>
      </c>
      <c r="Q118" s="559"/>
      <c r="R118" s="317">
        <f>Tabel6689212734[[#This Row],[VAT DW 2017]]+Tabel6689212734[[#This Row],[VAT Sew. 2017]]+Tabel6689212734[[#This Row],[VAT WW 2017]]+Tabel6689212734[[#This Row],[VAT Other ch. 2017]]</f>
        <v>0</v>
      </c>
      <c r="S118" s="318">
        <f>Tabel6689212734[[#This Row],[Total. ch. DW 2017]]+Tabel6689212734[[#This Row],[Sew. 2017]]+Tabel6689212734[[#This Row],[VAT Sew. 2017]]+Tabel6689212734[[#This Row],[WW 2017]]+Tabel6689212734[[#This Row],[VAT WW 2017]]+Tabel6689212734[[#This Row],[Other ch. 2017]]+Tabel6689212734[[#This Row],[VAT Other ch. 2017]]</f>
        <v>43.565574090951465</v>
      </c>
      <c r="T118" s="397"/>
      <c r="U118" s="1840"/>
      <c r="V118" s="1843"/>
      <c r="W118" s="1846"/>
      <c r="X118" s="576"/>
      <c r="Y118" s="1849"/>
      <c r="Z118" s="1852"/>
      <c r="AA118" s="576"/>
      <c r="AB118" s="1855"/>
      <c r="AC118" s="576"/>
      <c r="AD118" s="1858"/>
      <c r="AE118" s="576"/>
      <c r="AF118" s="1873"/>
      <c r="AG118" s="1876"/>
      <c r="AH118" s="397"/>
      <c r="AI118" s="398"/>
      <c r="AJ118" s="398"/>
      <c r="AK118" s="398"/>
      <c r="AL118" s="396" t="s">
        <v>429</v>
      </c>
      <c r="AM118" s="398"/>
      <c r="AN118" s="398"/>
      <c r="AO118" s="398"/>
      <c r="AP118" s="397"/>
    </row>
    <row r="119" spans="1:42" ht="19.5" hidden="1" thickBot="1" x14ac:dyDescent="0.3">
      <c r="A119" s="1835"/>
      <c r="B119" s="293" t="s">
        <v>610</v>
      </c>
      <c r="C119" s="1048"/>
      <c r="D119" s="805" t="s">
        <v>1070</v>
      </c>
      <c r="E119" s="2040"/>
      <c r="F119" s="307">
        <f>'exchange rates'!K28</f>
        <v>11241.536700000001</v>
      </c>
      <c r="G119" s="319">
        <f>0</f>
        <v>0</v>
      </c>
      <c r="H119" s="320">
        <f>421464/F119</f>
        <v>37.491671401117252</v>
      </c>
      <c r="I119" s="321">
        <v>0</v>
      </c>
      <c r="J119" s="559"/>
      <c r="K119" s="313">
        <f>Tabel6689212734[[#This Row],[Fix.ch. 2017]]+Tabel6689212734[[#This Row],[Var. ch. 2017]]+Tabel6689212734[[#This Row],[Oth. ch. DW 2017]]+Tabel6689212734[[#This Row],[VAT DW 2017]]</f>
        <v>37.491671401117252</v>
      </c>
      <c r="L119" s="322">
        <f t="shared" si="18"/>
        <v>6.3599845739951189</v>
      </c>
      <c r="M119" s="559"/>
      <c r="N119" s="323">
        <v>0</v>
      </c>
      <c r="O119" s="559"/>
      <c r="P119" s="324">
        <v>0</v>
      </c>
      <c r="Q119" s="559"/>
      <c r="R119" s="317">
        <f>Tabel6689212734[[#This Row],[VAT DW 2017]]+Tabel6689212734[[#This Row],[VAT Sew. 2017]]+Tabel6689212734[[#This Row],[VAT WW 2017]]+Tabel6689212734[[#This Row],[VAT Other ch. 2017]]</f>
        <v>0</v>
      </c>
      <c r="S119" s="318">
        <f>Tabel6689212734[[#This Row],[Total. ch. DW 2017]]+Tabel6689212734[[#This Row],[Sew. 2017]]+Tabel6689212734[[#This Row],[VAT Sew. 2017]]+Tabel6689212734[[#This Row],[WW 2017]]+Tabel6689212734[[#This Row],[VAT WW 2017]]+Tabel6689212734[[#This Row],[Other ch. 2017]]+Tabel6689212734[[#This Row],[VAT Other ch. 2017]]</f>
        <v>43.851655975112372</v>
      </c>
      <c r="T119" s="397"/>
      <c r="U119" s="2042"/>
      <c r="V119" s="2044"/>
      <c r="W119" s="2046"/>
      <c r="X119" s="577"/>
      <c r="Y119" s="2048"/>
      <c r="Z119" s="2023"/>
      <c r="AA119" s="577"/>
      <c r="AB119" s="2025"/>
      <c r="AC119" s="577"/>
      <c r="AD119" s="2034"/>
      <c r="AE119" s="577"/>
      <c r="AF119" s="2036"/>
      <c r="AG119" s="2038"/>
      <c r="AH119" s="397"/>
      <c r="AI119" s="398"/>
      <c r="AJ119" s="398"/>
      <c r="AK119" s="398"/>
      <c r="AL119" s="396" t="s">
        <v>429</v>
      </c>
      <c r="AM119" s="398"/>
      <c r="AN119" s="398"/>
      <c r="AO119" s="398"/>
      <c r="AP119" s="397"/>
    </row>
    <row r="120" spans="1:42" ht="19.5" hidden="1" thickBot="1" x14ac:dyDescent="0.35">
      <c r="A120" s="267" t="s">
        <v>16</v>
      </c>
      <c r="B120" s="296" t="s">
        <v>106</v>
      </c>
      <c r="C120" s="1048" t="s">
        <v>429</v>
      </c>
      <c r="D120" s="811" t="s">
        <v>1072</v>
      </c>
      <c r="E120" s="301">
        <v>34900</v>
      </c>
      <c r="F120" s="308">
        <f>'exchange rates'!K29</f>
        <v>3.4691000000000001</v>
      </c>
      <c r="G120" s="319">
        <v>0</v>
      </c>
      <c r="H120" s="320">
        <f>1632.16/F120</f>
        <v>470.48514023810213</v>
      </c>
      <c r="I120" s="321">
        <v>0</v>
      </c>
      <c r="J120" s="559"/>
      <c r="K120" s="313">
        <f>Tabel6689212734[[#This Row],[Fix.ch. 2017]]+Tabel6689212734[[#This Row],[Var. ch. 2017]]+Tabel6689212734[[#This Row],[Oth. ch. DW 2017]]+Tabel6689212734[[#This Row],[VAT DW 2017]]</f>
        <v>470.48514023810213</v>
      </c>
      <c r="L120" s="322">
        <v>0</v>
      </c>
      <c r="M120" s="559"/>
      <c r="N120" s="323">
        <v>0</v>
      </c>
      <c r="O120" s="559"/>
      <c r="P120" s="324">
        <v>0</v>
      </c>
      <c r="Q120" s="559"/>
      <c r="R120" s="317">
        <f>Tabel6689212734[[#This Row],[VAT DW 2017]]+Tabel6689212734[[#This Row],[VAT Sew. 2017]]+Tabel6689212734[[#This Row],[VAT WW 2017]]+Tabel6689212734[[#This Row],[VAT Other ch. 2017]]</f>
        <v>0</v>
      </c>
      <c r="S120" s="318">
        <f>Tabel6689212734[[#This Row],[Total. ch. DW 2017]]+Tabel6689212734[[#This Row],[Sew. 2017]]+Tabel6689212734[[#This Row],[VAT Sew. 2017]]+Tabel6689212734[[#This Row],[WW 2017]]+Tabel6689212734[[#This Row],[VAT WW 2017]]+Tabel6689212734[[#This Row],[Other ch. 2017]]+Tabel6689212734[[#This Row],[VAT Other ch. 2017]]</f>
        <v>470.48514023810213</v>
      </c>
      <c r="T120" s="397"/>
      <c r="U120" s="331">
        <v>0</v>
      </c>
      <c r="V120" s="332">
        <f>Tabel6689212734[[#This Row],[Var. ch. 2017]]</f>
        <v>470.48514023810213</v>
      </c>
      <c r="W120" s="333">
        <v>0</v>
      </c>
      <c r="X120" s="574"/>
      <c r="Y120" s="334">
        <f>Tabel6689212734[[#This Row],[Total. ch. DW 2017]]</f>
        <v>470.48514023810213</v>
      </c>
      <c r="Z120" s="335">
        <v>0</v>
      </c>
      <c r="AA120" s="574"/>
      <c r="AB120" s="336">
        <v>0</v>
      </c>
      <c r="AC120" s="574"/>
      <c r="AD120" s="337">
        <v>0</v>
      </c>
      <c r="AE120" s="574"/>
      <c r="AF120" s="338">
        <f>Tabel6689212734[[#This Row],[Total VAT 2017]]</f>
        <v>0</v>
      </c>
      <c r="AG120" s="339">
        <f>Tabel6689212734[[#This Row],[total charge 2017]]</f>
        <v>470.48514023810213</v>
      </c>
      <c r="AH120" s="397"/>
      <c r="AI120" s="398"/>
      <c r="AJ120" s="398"/>
      <c r="AK120" s="398"/>
      <c r="AL120" s="396" t="s">
        <v>429</v>
      </c>
      <c r="AM120" s="398"/>
      <c r="AN120" s="398"/>
      <c r="AO120" s="398" t="s">
        <v>590</v>
      </c>
      <c r="AP120" s="397"/>
    </row>
    <row r="121" spans="1:42" ht="18" hidden="1" customHeight="1" x14ac:dyDescent="0.25">
      <c r="A121" s="1818" t="s">
        <v>17</v>
      </c>
      <c r="B121" s="546" t="s">
        <v>107</v>
      </c>
      <c r="C121" s="1046"/>
      <c r="D121" s="802" t="s">
        <v>1074</v>
      </c>
      <c r="E121" s="1966">
        <v>38000</v>
      </c>
      <c r="F121" s="616">
        <f>'exchange rates'!$O$30</f>
        <v>0.83301000000000003</v>
      </c>
      <c r="G121" s="549">
        <f>25.34/F121</f>
        <v>30.419802883518805</v>
      </c>
      <c r="H121" s="550">
        <f>41.82/F121</f>
        <v>50.203478949832537</v>
      </c>
      <c r="I121" s="551">
        <f>0.4/F121</f>
        <v>0.48018631228916819</v>
      </c>
      <c r="J121" s="560">
        <f>6.76/F121</f>
        <v>8.1151486776869426</v>
      </c>
      <c r="K121" s="566">
        <f>Tabel6689212734[[#This Row],[Fix.ch. 2017]]+Tabel6689212734[[#This Row],[Var. ch. 2017]]+Tabel6689212734[[#This Row],[Oth. ch. DW 2017]]+Tabel6689212734[[#This Row],[VAT DW 2017]]</f>
        <v>89.218616823327451</v>
      </c>
      <c r="L121" s="567">
        <f>21.93/F121</f>
        <v>26.326214571253644</v>
      </c>
      <c r="M121" s="560">
        <f>2.19/F121</f>
        <v>2.6290200597831959</v>
      </c>
      <c r="N121" s="568">
        <f>59.09/F121</f>
        <v>70.935522982917377</v>
      </c>
      <c r="O121" s="560">
        <f>5.91/F121</f>
        <v>7.0947527640724601</v>
      </c>
      <c r="P121" s="569">
        <f>0.8/F121</f>
        <v>0.96037262457833639</v>
      </c>
      <c r="Q121" s="560">
        <f>0.08/F121</f>
        <v>9.6037262457833644E-2</v>
      </c>
      <c r="R121" s="570">
        <f>Tabel6689212734[[#This Row],[VAT DW 2017]]+Tabel6689212734[[#This Row],[VAT Sew. 2017]]+Tabel6689212734[[#This Row],[VAT WW 2017]]+Tabel6689212734[[#This Row],[VAT Other ch. 2017]]</f>
        <v>17.934958764000434</v>
      </c>
      <c r="S121" s="571">
        <f>Tabel6689212734[[#This Row],[Total. ch. DW 2017]]+Tabel6689212734[[#This Row],[Sew. 2017]]+Tabel6689212734[[#This Row],[VAT Sew. 2017]]+Tabel6689212734[[#This Row],[WW 2017]]+Tabel6689212734[[#This Row],[VAT WW 2017]]+Tabel6689212734[[#This Row],[Other ch. 2017]]+Tabel6689212734[[#This Row],[VAT Other ch. 2017]]</f>
        <v>197.26053708839029</v>
      </c>
      <c r="T121" s="397"/>
      <c r="U121" s="1924">
        <f>MEDIAN(G121:G125)</f>
        <v>13.013049063036458</v>
      </c>
      <c r="V121" s="1925">
        <f>MEDIAN(H121:H125)</f>
        <v>50.203478949832537</v>
      </c>
      <c r="W121" s="1926">
        <f>MEDIAN(I121:I125)</f>
        <v>0.48018631228916819</v>
      </c>
      <c r="X121" s="1908">
        <f>MEDIAN(J121:J125)</f>
        <v>6.5065245315182292</v>
      </c>
      <c r="Y121" s="1916">
        <f>SUM(U121:X125)</f>
        <v>70.203238856676393</v>
      </c>
      <c r="Z121" s="1917">
        <f>MEDIAN(L121:L125)</f>
        <v>26.326214571253644</v>
      </c>
      <c r="AA121" s="1908">
        <f>MEDIAN(M121:M125)</f>
        <v>2.6290200597831959</v>
      </c>
      <c r="AB121" s="1907">
        <f t="shared" ref="AB121:AF121" si="19">MEDIAN(N121:N125)</f>
        <v>70.935522982917377</v>
      </c>
      <c r="AC121" s="1908">
        <f t="shared" si="19"/>
        <v>7.0947527640724601</v>
      </c>
      <c r="AD121" s="1931">
        <f t="shared" si="19"/>
        <v>0.96037262457833639</v>
      </c>
      <c r="AE121" s="1908">
        <f t="shared" si="19"/>
        <v>9.6037262457833644E-2</v>
      </c>
      <c r="AF121" s="1932">
        <f t="shared" si="19"/>
        <v>17.370739847060658</v>
      </c>
      <c r="AG121" s="1831">
        <f>Y121+Z121+AA121+AB121+AC121+AD121+AE121</f>
        <v>178.24515912173922</v>
      </c>
      <c r="AH121" s="397"/>
      <c r="AI121" s="398"/>
      <c r="AJ121" s="398"/>
      <c r="AK121" s="398"/>
      <c r="AL121" s="591" t="s">
        <v>429</v>
      </c>
      <c r="AM121" s="591" t="s">
        <v>429</v>
      </c>
      <c r="AN121" s="398"/>
      <c r="AO121" s="398"/>
      <c r="AP121" s="397"/>
    </row>
    <row r="122" spans="1:42" ht="15.75" hidden="1" x14ac:dyDescent="0.25">
      <c r="A122" s="1819"/>
      <c r="B122" s="547" t="s">
        <v>108</v>
      </c>
      <c r="C122" s="1046"/>
      <c r="D122" s="802" t="s">
        <v>1074</v>
      </c>
      <c r="E122" s="1760"/>
      <c r="F122" s="616">
        <f>'exchange rates'!$O$30</f>
        <v>0.83301000000000003</v>
      </c>
      <c r="G122" s="549">
        <f>0.3/F122</f>
        <v>0.36013973421687612</v>
      </c>
      <c r="H122" s="550">
        <f>14.18/F122</f>
        <v>17.022604770651011</v>
      </c>
      <c r="I122" s="551">
        <f>0.4/F122</f>
        <v>0.48018631228916819</v>
      </c>
      <c r="J122" s="560">
        <f>1.49/F122</f>
        <v>1.7886940132771514</v>
      </c>
      <c r="K122" s="566">
        <f>Tabel6689212734[[#This Row],[Fix.ch. 2017]]+Tabel6689212734[[#This Row],[Var. ch. 2017]]+Tabel6689212734[[#This Row],[Oth. ch. DW 2017]]+Tabel6689212734[[#This Row],[VAT DW 2017]]</f>
        <v>19.651624830434205</v>
      </c>
      <c r="L122" s="567">
        <f>13.93/F122</f>
        <v>16.72248832547028</v>
      </c>
      <c r="M122" s="560">
        <f>1.39/F122</f>
        <v>1.6686474352048593</v>
      </c>
      <c r="N122" s="568">
        <f>35.72/F122</f>
        <v>42.88063768742272</v>
      </c>
      <c r="O122" s="560">
        <f>3.57/F122</f>
        <v>4.2856628371808254</v>
      </c>
      <c r="P122" s="569">
        <f>0.8/F122</f>
        <v>0.96037262457833639</v>
      </c>
      <c r="Q122" s="560">
        <f>0.08/F122</f>
        <v>9.6037262457833644E-2</v>
      </c>
      <c r="R122" s="570">
        <f>Tabel6689212734[[#This Row],[VAT DW 2017]]+Tabel6689212734[[#This Row],[VAT Sew. 2017]]+Tabel6689212734[[#This Row],[VAT WW 2017]]+Tabel6689212734[[#This Row],[VAT Other ch. 2017]]</f>
        <v>7.8390415481206706</v>
      </c>
      <c r="S122" s="571">
        <f>Tabel6689212734[[#This Row],[Total. ch. DW 2017]]+Tabel6689212734[[#This Row],[Sew. 2017]]+Tabel6689212734[[#This Row],[VAT Sew. 2017]]+Tabel6689212734[[#This Row],[WW 2017]]+Tabel6689212734[[#This Row],[VAT WW 2017]]+Tabel6689212734[[#This Row],[Other ch. 2017]]+Tabel6689212734[[#This Row],[VAT Other ch. 2017]]</f>
        <v>86.265471002749052</v>
      </c>
      <c r="T122" s="397"/>
      <c r="U122" s="1886"/>
      <c r="V122" s="1888"/>
      <c r="W122" s="1890"/>
      <c r="X122" s="1772"/>
      <c r="Y122" s="1892"/>
      <c r="Z122" s="1894"/>
      <c r="AA122" s="1772"/>
      <c r="AB122" s="1911"/>
      <c r="AC122" s="1772"/>
      <c r="AD122" s="1913"/>
      <c r="AE122" s="1772"/>
      <c r="AF122" s="1915"/>
      <c r="AG122" s="1832"/>
      <c r="AH122" s="397"/>
      <c r="AI122" s="398"/>
      <c r="AJ122" s="398"/>
      <c r="AK122" s="398"/>
      <c r="AL122" s="591" t="s">
        <v>429</v>
      </c>
      <c r="AM122" s="591" t="s">
        <v>429</v>
      </c>
      <c r="AN122" s="398"/>
      <c r="AO122" s="398"/>
      <c r="AP122" s="397"/>
    </row>
    <row r="123" spans="1:42" ht="15.75" hidden="1" x14ac:dyDescent="0.25">
      <c r="A123" s="1819"/>
      <c r="B123" s="547" t="s">
        <v>109</v>
      </c>
      <c r="C123" s="1046"/>
      <c r="D123" s="802" t="s">
        <v>1074</v>
      </c>
      <c r="E123" s="1760"/>
      <c r="F123" s="616">
        <f>'exchange rates'!$O$30</f>
        <v>0.83301000000000003</v>
      </c>
      <c r="G123" s="549">
        <f>10.84/F123</f>
        <v>13.013049063036458</v>
      </c>
      <c r="H123" s="550">
        <f>61.56/F123</f>
        <v>73.900673461302986</v>
      </c>
      <c r="I123" s="551">
        <f>0.4/F123</f>
        <v>0.48018631228916819</v>
      </c>
      <c r="J123" s="560">
        <f>7.28/F123</f>
        <v>8.7393908836628604</v>
      </c>
      <c r="K123" s="566">
        <f>Tabel6689212734[[#This Row],[Fix.ch. 2017]]+Tabel6689212734[[#This Row],[Var. ch. 2017]]+Tabel6689212734[[#This Row],[Oth. ch. DW 2017]]+Tabel6689212734[[#This Row],[VAT DW 2017]]</f>
        <v>96.133299720291475</v>
      </c>
      <c r="L123" s="567">
        <f>11.62/F123</f>
        <v>13.949412372000335</v>
      </c>
      <c r="M123" s="560">
        <f>1.16/F123</f>
        <v>1.3925403056385877</v>
      </c>
      <c r="N123" s="568">
        <f>31.04/F123</f>
        <v>37.262457833639452</v>
      </c>
      <c r="O123" s="560">
        <f>3.1/F123</f>
        <v>3.7214439202410534</v>
      </c>
      <c r="P123" s="569">
        <f>0.8/F123</f>
        <v>0.96037262457833639</v>
      </c>
      <c r="Q123" s="560">
        <f>0.08/F123</f>
        <v>9.6037262457833644E-2</v>
      </c>
      <c r="R123" s="570">
        <f>Tabel6689212734[[#This Row],[VAT DW 2017]]+Tabel6689212734[[#This Row],[VAT Sew. 2017]]+Tabel6689212734[[#This Row],[VAT WW 2017]]+Tabel6689212734[[#This Row],[VAT Other ch. 2017]]</f>
        <v>13.949412372000335</v>
      </c>
      <c r="S123" s="571">
        <f>Tabel6689212734[[#This Row],[Total. ch. DW 2017]]+Tabel6689212734[[#This Row],[Sew. 2017]]+Tabel6689212734[[#This Row],[VAT Sew. 2017]]+Tabel6689212734[[#This Row],[WW 2017]]+Tabel6689212734[[#This Row],[VAT WW 2017]]+Tabel6689212734[[#This Row],[Other ch. 2017]]+Tabel6689212734[[#This Row],[VAT Other ch. 2017]]</f>
        <v>153.51556403884706</v>
      </c>
      <c r="T123" s="397"/>
      <c r="U123" s="1886"/>
      <c r="V123" s="1888"/>
      <c r="W123" s="1890"/>
      <c r="X123" s="1772"/>
      <c r="Y123" s="1892"/>
      <c r="Z123" s="1894"/>
      <c r="AA123" s="1772"/>
      <c r="AB123" s="1911"/>
      <c r="AC123" s="1772"/>
      <c r="AD123" s="1913"/>
      <c r="AE123" s="1772"/>
      <c r="AF123" s="1915"/>
      <c r="AG123" s="1832"/>
      <c r="AH123" s="397"/>
      <c r="AI123" s="398"/>
      <c r="AJ123" s="398"/>
      <c r="AK123" s="398"/>
      <c r="AL123" s="591" t="s">
        <v>429</v>
      </c>
      <c r="AM123" s="591" t="s">
        <v>429</v>
      </c>
      <c r="AN123" s="398"/>
      <c r="AO123" s="398"/>
      <c r="AP123" s="397"/>
    </row>
    <row r="124" spans="1:42" ht="15.75" hidden="1" x14ac:dyDescent="0.25">
      <c r="A124" s="1819"/>
      <c r="B124" s="547" t="s">
        <v>110</v>
      </c>
      <c r="C124" s="1046" t="s">
        <v>429</v>
      </c>
      <c r="D124" s="802" t="s">
        <v>1074</v>
      </c>
      <c r="E124" s="1760"/>
      <c r="F124" s="616">
        <f>'exchange rates'!$O$30</f>
        <v>0.83301000000000003</v>
      </c>
      <c r="G124" s="549">
        <f>18.35/F124</f>
        <v>22.028547076265593</v>
      </c>
      <c r="H124" s="550">
        <f>25.8/F124</f>
        <v>30.97201714265135</v>
      </c>
      <c r="I124" s="551">
        <f>0.4/F124</f>
        <v>0.48018631228916819</v>
      </c>
      <c r="J124" s="560">
        <f>4.45/F124</f>
        <v>5.3420727242169965</v>
      </c>
      <c r="K124" s="566">
        <f>Tabel6689212734[[#This Row],[Fix.ch. 2017]]+Tabel6689212734[[#This Row],[Var. ch. 2017]]+Tabel6689212734[[#This Row],[Oth. ch. DW 2017]]+Tabel6689212734[[#This Row],[VAT DW 2017]]</f>
        <v>58.82282325542311</v>
      </c>
      <c r="L124" s="567">
        <f>25.49/F124</f>
        <v>30.599872750627242</v>
      </c>
      <c r="M124" s="560">
        <f>2.55/F124</f>
        <v>3.0611877408434469</v>
      </c>
      <c r="N124" s="568">
        <f>73.9/F124</f>
        <v>88.714421195423824</v>
      </c>
      <c r="O124" s="560">
        <f>7.39/F124</f>
        <v>8.8714421195423814</v>
      </c>
      <c r="P124" s="569">
        <f>0.8/F124</f>
        <v>0.96037262457833639</v>
      </c>
      <c r="Q124" s="560">
        <f>0.08/F124</f>
        <v>9.6037262457833644E-2</v>
      </c>
      <c r="R124" s="570">
        <f>Tabel6689212734[[#This Row],[VAT DW 2017]]+Tabel6689212734[[#This Row],[VAT Sew. 2017]]+Tabel6689212734[[#This Row],[VAT WW 2017]]+Tabel6689212734[[#This Row],[VAT Other ch. 2017]]</f>
        <v>17.370739847060658</v>
      </c>
      <c r="S124" s="571">
        <f>Tabel6689212734[[#This Row],[Total. ch. DW 2017]]+Tabel6689212734[[#This Row],[Sew. 2017]]+Tabel6689212734[[#This Row],[VAT Sew. 2017]]+Tabel6689212734[[#This Row],[WW 2017]]+Tabel6689212734[[#This Row],[VAT WW 2017]]+Tabel6689212734[[#This Row],[Other ch. 2017]]+Tabel6689212734[[#This Row],[VAT Other ch. 2017]]</f>
        <v>191.12615694889618</v>
      </c>
      <c r="T124" s="397"/>
      <c r="U124" s="1886"/>
      <c r="V124" s="1888"/>
      <c r="W124" s="1890"/>
      <c r="X124" s="1772"/>
      <c r="Y124" s="1892"/>
      <c r="Z124" s="1894"/>
      <c r="AA124" s="1772"/>
      <c r="AB124" s="1911"/>
      <c r="AC124" s="1772"/>
      <c r="AD124" s="1913"/>
      <c r="AE124" s="1772"/>
      <c r="AF124" s="1915"/>
      <c r="AG124" s="1832"/>
      <c r="AH124" s="397"/>
      <c r="AI124" s="398"/>
      <c r="AJ124" s="398"/>
      <c r="AK124" s="398"/>
      <c r="AL124" s="591" t="s">
        <v>429</v>
      </c>
      <c r="AM124" s="591" t="s">
        <v>429</v>
      </c>
      <c r="AN124" s="398"/>
      <c r="AO124" s="398"/>
      <c r="AP124" s="397"/>
    </row>
    <row r="125" spans="1:42" ht="16.5" hidden="1" thickBot="1" x14ac:dyDescent="0.3">
      <c r="A125" s="1820"/>
      <c r="B125" s="613" t="s">
        <v>111</v>
      </c>
      <c r="C125" s="1046"/>
      <c r="D125" s="807" t="s">
        <v>1074</v>
      </c>
      <c r="E125" s="1799"/>
      <c r="F125" s="616">
        <f>'exchange rates'!$O$30</f>
        <v>0.83301000000000003</v>
      </c>
      <c r="G125" s="549">
        <f>8.64/F125</f>
        <v>10.372024345446034</v>
      </c>
      <c r="H125" s="550">
        <f>45.19/F125</f>
        <v>54.249048630868771</v>
      </c>
      <c r="I125" s="551">
        <f>0.4/F125</f>
        <v>0.48018631228916819</v>
      </c>
      <c r="J125" s="560">
        <f>5.42/F125</f>
        <v>6.5065245315182292</v>
      </c>
      <c r="K125" s="566">
        <f>Tabel6689212734[[#This Row],[Fix.ch. 2017]]+Tabel6689212734[[#This Row],[Var. ch. 2017]]+Tabel6689212734[[#This Row],[Oth. ch. DW 2017]]+Tabel6689212734[[#This Row],[VAT DW 2017]]</f>
        <v>71.607783820122194</v>
      </c>
      <c r="L125" s="567">
        <f>27.46/F125</f>
        <v>32.964790338651397</v>
      </c>
      <c r="M125" s="560">
        <f>2.75/F125</f>
        <v>3.3012808969880312</v>
      </c>
      <c r="N125" s="568">
        <f>73.22/F125</f>
        <v>87.898104464532238</v>
      </c>
      <c r="O125" s="560">
        <f>7.32/F125</f>
        <v>8.7874095148917775</v>
      </c>
      <c r="P125" s="569">
        <f>0.8/F125</f>
        <v>0.96037262457833639</v>
      </c>
      <c r="Q125" s="560">
        <f>0.08/F125</f>
        <v>9.6037262457833644E-2</v>
      </c>
      <c r="R125" s="570">
        <f>Tabel6689212734[[#This Row],[VAT DW 2017]]+Tabel6689212734[[#This Row],[VAT Sew. 2017]]+Tabel6689212734[[#This Row],[VAT WW 2017]]+Tabel6689212734[[#This Row],[VAT Other ch. 2017]]</f>
        <v>18.691252205855871</v>
      </c>
      <c r="S125" s="571">
        <f>Tabel6689212734[[#This Row],[Total. ch. DW 2017]]+Tabel6689212734[[#This Row],[Sew. 2017]]+Tabel6689212734[[#This Row],[VAT Sew. 2017]]+Tabel6689212734[[#This Row],[WW 2017]]+Tabel6689212734[[#This Row],[VAT WW 2017]]+Tabel6689212734[[#This Row],[Other ch. 2017]]+Tabel6689212734[[#This Row],[VAT Other ch. 2017]]</f>
        <v>205.61577892222181</v>
      </c>
      <c r="T125" s="397"/>
      <c r="U125" s="1801"/>
      <c r="V125" s="1803"/>
      <c r="W125" s="1805"/>
      <c r="X125" s="1773"/>
      <c r="Y125" s="1807"/>
      <c r="Z125" s="1809"/>
      <c r="AA125" s="1773"/>
      <c r="AB125" s="1782"/>
      <c r="AC125" s="1773"/>
      <c r="AD125" s="1786"/>
      <c r="AE125" s="1773"/>
      <c r="AF125" s="1789"/>
      <c r="AG125" s="1792"/>
      <c r="AH125" s="397"/>
      <c r="AI125" s="398"/>
      <c r="AJ125" s="398"/>
      <c r="AK125" s="398"/>
      <c r="AL125" s="591" t="s">
        <v>429</v>
      </c>
      <c r="AM125" s="591" t="s">
        <v>429</v>
      </c>
      <c r="AN125" s="398"/>
      <c r="AO125" s="398"/>
      <c r="AP125" s="397"/>
    </row>
    <row r="126" spans="1:42" ht="18" hidden="1" customHeight="1" x14ac:dyDescent="0.25">
      <c r="A126" s="1818" t="s">
        <v>18</v>
      </c>
      <c r="B126" s="546" t="s">
        <v>112</v>
      </c>
      <c r="C126" s="1046"/>
      <c r="D126" s="802" t="s">
        <v>1076</v>
      </c>
      <c r="E126" s="1966">
        <v>42700</v>
      </c>
      <c r="F126" s="617">
        <f>'exchange rates'!$O$31</f>
        <v>112.66098</v>
      </c>
      <c r="G126" s="549">
        <f>7500/F126</f>
        <v>66.571407420741423</v>
      </c>
      <c r="H126" s="550">
        <f>240/F126</f>
        <v>2.1302850374637252</v>
      </c>
      <c r="I126" s="551">
        <f>0</f>
        <v>0</v>
      </c>
      <c r="J126" s="560">
        <f>617/F126</f>
        <v>5.4766077838129936</v>
      </c>
      <c r="K126" s="566">
        <f>Tabel6689212734[[#This Row],[Fix.ch. 2017]]+Tabel6689212734[[#This Row],[Var. ch. 2017]]+Tabel6689212734[[#This Row],[Oth. ch. DW 2017]]+Tabel6689212734[[#This Row],[VAT DW 2017]]</f>
        <v>74.178300242018139</v>
      </c>
      <c r="L126" s="567">
        <f>6720/F126</f>
        <v>59.647981048984306</v>
      </c>
      <c r="M126" s="560">
        <f>535/F126</f>
        <v>4.7487603960128881</v>
      </c>
      <c r="N126" s="568">
        <v>0</v>
      </c>
      <c r="O126" s="560">
        <v>0</v>
      </c>
      <c r="P126" s="569">
        <v>0</v>
      </c>
      <c r="Q126" s="560">
        <v>0</v>
      </c>
      <c r="R126" s="570">
        <f>Tabel6689212734[[#This Row],[VAT DW 2017]]+Tabel6689212734[[#This Row],[VAT Sew. 2017]]+Tabel6689212734[[#This Row],[VAT WW 2017]]+Tabel6689212734[[#This Row],[VAT Other ch. 2017]]</f>
        <v>10.225368179825882</v>
      </c>
      <c r="S126" s="571">
        <f>Tabel6689212734[[#This Row],[Total. ch. DW 2017]]+Tabel6689212734[[#This Row],[Sew. 2017]]+Tabel6689212734[[#This Row],[VAT Sew. 2017]]+Tabel6689212734[[#This Row],[WW 2017]]+Tabel6689212734[[#This Row],[VAT WW 2017]]+Tabel6689212734[[#This Row],[Other ch. 2017]]+Tabel6689212734[[#This Row],[VAT Other ch. 2017]]</f>
        <v>138.57504168701533</v>
      </c>
      <c r="T126" s="397"/>
      <c r="U126" s="1800">
        <f>MEDIAN(G126:G133)</f>
        <v>90.537114092208327</v>
      </c>
      <c r="V126" s="1802">
        <f>MEDIAN(H126:H133)</f>
        <v>6.1245694827082104</v>
      </c>
      <c r="W126" s="1804">
        <f>MEDIAN(I126:I133)</f>
        <v>0</v>
      </c>
      <c r="X126" s="1771">
        <f>MEDIAN(J126:J133)</f>
        <v>8.1350259868146004</v>
      </c>
      <c r="Y126" s="1806">
        <f>SUM(U126:X133)</f>
        <v>104.79670956173113</v>
      </c>
      <c r="Z126" s="1808">
        <f t="shared" ref="Z126:AF126" si="20">MEDIAN(L126:L133)</f>
        <v>65.861312408253511</v>
      </c>
      <c r="AA126" s="1771">
        <f t="shared" si="20"/>
        <v>5.2458269047544235</v>
      </c>
      <c r="AB126" s="1780">
        <f t="shared" si="20"/>
        <v>0</v>
      </c>
      <c r="AC126" s="1771">
        <f t="shared" si="20"/>
        <v>0</v>
      </c>
      <c r="AD126" s="1784">
        <f t="shared" si="20"/>
        <v>0</v>
      </c>
      <c r="AE126" s="1771">
        <f t="shared" si="20"/>
        <v>0</v>
      </c>
      <c r="AF126" s="1787">
        <f t="shared" si="20"/>
        <v>14.379424002880146</v>
      </c>
      <c r="AG126" s="1790">
        <f>Y126+Z126+AA126+AB126+AC126+AD126+AE126</f>
        <v>175.90384887473908</v>
      </c>
      <c r="AH126" s="397"/>
      <c r="AI126" s="591" t="s">
        <v>429</v>
      </c>
      <c r="AJ126" s="396"/>
      <c r="AK126" s="398"/>
      <c r="AL126" s="591" t="s">
        <v>429</v>
      </c>
      <c r="AM126" s="398"/>
      <c r="AN126" s="398"/>
      <c r="AO126" s="398"/>
      <c r="AP126" s="397"/>
    </row>
    <row r="127" spans="1:42" ht="15.75" hidden="1" x14ac:dyDescent="0.25">
      <c r="A127" s="1819"/>
      <c r="B127" s="547" t="s">
        <v>113</v>
      </c>
      <c r="C127" s="1046"/>
      <c r="D127" s="802" t="s">
        <v>1076</v>
      </c>
      <c r="E127" s="1967"/>
      <c r="F127" s="617">
        <f>'exchange rates'!$O$31</f>
        <v>112.66098</v>
      </c>
      <c r="G127" s="549">
        <f>10200/F127</f>
        <v>90.537114092208327</v>
      </c>
      <c r="H127" s="550">
        <f>1000/F127</f>
        <v>8.8761876560988551</v>
      </c>
      <c r="I127" s="551">
        <v>0</v>
      </c>
      <c r="J127" s="560">
        <f>893/F127</f>
        <v>7.926435576896278</v>
      </c>
      <c r="K127" s="566">
        <f>Tabel6689212734[[#This Row],[Fix.ch. 2017]]+Tabel6689212734[[#This Row],[Var. ch. 2017]]+Tabel6689212734[[#This Row],[Oth. ch. DW 2017]]+Tabel6689212734[[#This Row],[VAT DW 2017]]</f>
        <v>107.33973732520346</v>
      </c>
      <c r="L127" s="567">
        <f>6600/F127</f>
        <v>58.582838530252445</v>
      </c>
      <c r="M127" s="560">
        <f>527/F127</f>
        <v>4.6777508947640971</v>
      </c>
      <c r="N127" s="568">
        <v>0</v>
      </c>
      <c r="O127" s="560">
        <v>0</v>
      </c>
      <c r="P127" s="569">
        <v>0</v>
      </c>
      <c r="Q127" s="560">
        <v>0</v>
      </c>
      <c r="R127" s="570">
        <f>Tabel6689212734[[#This Row],[VAT DW 2017]]+Tabel6689212734[[#This Row],[VAT Sew. 2017]]+Tabel6689212734[[#This Row],[VAT WW 2017]]+Tabel6689212734[[#This Row],[VAT Other ch. 2017]]</f>
        <v>12.604186471660375</v>
      </c>
      <c r="S127" s="571">
        <f>Tabel6689212734[[#This Row],[Total. ch. DW 2017]]+Tabel6689212734[[#This Row],[Sew. 2017]]+Tabel6689212734[[#This Row],[VAT Sew. 2017]]+Tabel6689212734[[#This Row],[WW 2017]]+Tabel6689212734[[#This Row],[VAT WW 2017]]+Tabel6689212734[[#This Row],[Other ch. 2017]]+Tabel6689212734[[#This Row],[VAT Other ch. 2017]]</f>
        <v>170.60032675022001</v>
      </c>
      <c r="T127" s="397"/>
      <c r="U127" s="1763"/>
      <c r="V127" s="1766"/>
      <c r="W127" s="1769"/>
      <c r="X127" s="1772"/>
      <c r="Y127" s="1775"/>
      <c r="Z127" s="1778"/>
      <c r="AA127" s="1772"/>
      <c r="AB127" s="1781"/>
      <c r="AC127" s="1772"/>
      <c r="AD127" s="1785"/>
      <c r="AE127" s="1772"/>
      <c r="AF127" s="1788"/>
      <c r="AG127" s="1791"/>
      <c r="AH127" s="397"/>
      <c r="AI127" s="591" t="s">
        <v>429</v>
      </c>
      <c r="AJ127" s="396"/>
      <c r="AK127" s="398"/>
      <c r="AL127" s="591" t="s">
        <v>429</v>
      </c>
      <c r="AM127" s="398"/>
      <c r="AN127" s="398"/>
      <c r="AO127" s="398"/>
      <c r="AP127" s="397"/>
    </row>
    <row r="128" spans="1:42" ht="15.75" hidden="1" x14ac:dyDescent="0.25">
      <c r="A128" s="1819"/>
      <c r="B128" s="547" t="s">
        <v>114</v>
      </c>
      <c r="C128" s="1046"/>
      <c r="D128" s="802" t="s">
        <v>1076</v>
      </c>
      <c r="E128" s="1967"/>
      <c r="F128" s="617">
        <f>'exchange rates'!$O$31</f>
        <v>112.66098</v>
      </c>
      <c r="G128" s="549">
        <f>9720/F128</f>
        <v>86.27654401728087</v>
      </c>
      <c r="H128" s="550">
        <f>500/F128</f>
        <v>4.4380938280494275</v>
      </c>
      <c r="I128" s="551">
        <v>0</v>
      </c>
      <c r="J128" s="560">
        <f>815/F128</f>
        <v>7.2340929397205675</v>
      </c>
      <c r="K128" s="566">
        <f>Tabel6689212734[[#This Row],[Fix.ch. 2017]]+Tabel6689212734[[#This Row],[Var. ch. 2017]]+Tabel6689212734[[#This Row],[Oth. ch. DW 2017]]+Tabel6689212734[[#This Row],[VAT DW 2017]]</f>
        <v>97.94873078505087</v>
      </c>
      <c r="L128" s="567">
        <f>8480/F128</f>
        <v>75.270071323718298</v>
      </c>
      <c r="M128" s="560">
        <f>677/F128</f>
        <v>6.0091790431789249</v>
      </c>
      <c r="N128" s="568">
        <v>0</v>
      </c>
      <c r="O128" s="560">
        <v>0</v>
      </c>
      <c r="P128" s="569">
        <v>0</v>
      </c>
      <c r="Q128" s="560">
        <v>0</v>
      </c>
      <c r="R128" s="570">
        <f>Tabel6689212734[[#This Row],[VAT DW 2017]]+Tabel6689212734[[#This Row],[VAT Sew. 2017]]+Tabel6689212734[[#This Row],[VAT WW 2017]]+Tabel6689212734[[#This Row],[VAT Other ch. 2017]]</f>
        <v>13.243271982899493</v>
      </c>
      <c r="S128" s="571">
        <f>Tabel6689212734[[#This Row],[Total. ch. DW 2017]]+Tabel6689212734[[#This Row],[Sew. 2017]]+Tabel6689212734[[#This Row],[VAT Sew. 2017]]+Tabel6689212734[[#This Row],[WW 2017]]+Tabel6689212734[[#This Row],[VAT WW 2017]]+Tabel6689212734[[#This Row],[Other ch. 2017]]+Tabel6689212734[[#This Row],[VAT Other ch. 2017]]</f>
        <v>179.22798115194811</v>
      </c>
      <c r="T128" s="397"/>
      <c r="U128" s="1763"/>
      <c r="V128" s="1766"/>
      <c r="W128" s="1769"/>
      <c r="X128" s="1772"/>
      <c r="Y128" s="1775"/>
      <c r="Z128" s="1778"/>
      <c r="AA128" s="1772"/>
      <c r="AB128" s="1781"/>
      <c r="AC128" s="1772"/>
      <c r="AD128" s="1785"/>
      <c r="AE128" s="1772"/>
      <c r="AF128" s="1788"/>
      <c r="AG128" s="1791"/>
      <c r="AH128" s="397"/>
      <c r="AI128" s="591" t="s">
        <v>429</v>
      </c>
      <c r="AJ128" s="396"/>
      <c r="AK128" s="398"/>
      <c r="AL128" s="591" t="s">
        <v>429</v>
      </c>
      <c r="AM128" s="398"/>
      <c r="AN128" s="398"/>
      <c r="AO128" s="398"/>
      <c r="AP128" s="397"/>
    </row>
    <row r="129" spans="1:42" ht="15.75" hidden="1" x14ac:dyDescent="0.25">
      <c r="A129" s="1819"/>
      <c r="B129" s="547" t="s">
        <v>115</v>
      </c>
      <c r="C129" s="1046"/>
      <c r="D129" s="802" t="s">
        <v>1076</v>
      </c>
      <c r="E129" s="1967"/>
      <c r="F129" s="617">
        <f>'exchange rates'!$O$31</f>
        <v>112.66098</v>
      </c>
      <c r="G129" s="549">
        <f>10200/F129</f>
        <v>90.537114092208327</v>
      </c>
      <c r="H129" s="550">
        <f>1632/F129</f>
        <v>14.485938254753332</v>
      </c>
      <c r="I129" s="551">
        <v>0</v>
      </c>
      <c r="J129" s="560">
        <f>940/F129</f>
        <v>8.3436163967329247</v>
      </c>
      <c r="K129" s="566">
        <f>Tabel6689212734[[#This Row],[Fix.ch. 2017]]+Tabel6689212734[[#This Row],[Var. ch. 2017]]+Tabel6689212734[[#This Row],[Oth. ch. DW 2017]]+Tabel6689212734[[#This Row],[VAT DW 2017]]</f>
        <v>113.36666874369459</v>
      </c>
      <c r="L129" s="567">
        <f>10368/F129</f>
        <v>92.028313618432932</v>
      </c>
      <c r="M129" s="560">
        <f>824/F129</f>
        <v>7.3139786286254571</v>
      </c>
      <c r="N129" s="568">
        <v>0</v>
      </c>
      <c r="O129" s="560">
        <v>0</v>
      </c>
      <c r="P129" s="569">
        <v>0</v>
      </c>
      <c r="Q129" s="560">
        <v>0</v>
      </c>
      <c r="R129" s="570">
        <f>Tabel6689212734[[#This Row],[VAT DW 2017]]+Tabel6689212734[[#This Row],[VAT Sew. 2017]]+Tabel6689212734[[#This Row],[VAT WW 2017]]+Tabel6689212734[[#This Row],[VAT Other ch. 2017]]</f>
        <v>15.657595025358383</v>
      </c>
      <c r="S129" s="571">
        <f>Tabel6689212734[[#This Row],[Total. ch. DW 2017]]+Tabel6689212734[[#This Row],[Sew. 2017]]+Tabel6689212734[[#This Row],[VAT Sew. 2017]]+Tabel6689212734[[#This Row],[WW 2017]]+Tabel6689212734[[#This Row],[VAT WW 2017]]+Tabel6689212734[[#This Row],[Other ch. 2017]]+Tabel6689212734[[#This Row],[VAT Other ch. 2017]]</f>
        <v>212.70896099075296</v>
      </c>
      <c r="T129" s="397"/>
      <c r="U129" s="1763"/>
      <c r="V129" s="1766"/>
      <c r="W129" s="1769"/>
      <c r="X129" s="1772"/>
      <c r="Y129" s="1775"/>
      <c r="Z129" s="1778"/>
      <c r="AA129" s="1772"/>
      <c r="AB129" s="1781"/>
      <c r="AC129" s="1772"/>
      <c r="AD129" s="1785"/>
      <c r="AE129" s="1772"/>
      <c r="AF129" s="1788"/>
      <c r="AG129" s="1791"/>
      <c r="AH129" s="397"/>
      <c r="AI129" s="591" t="s">
        <v>429</v>
      </c>
      <c r="AJ129" s="396"/>
      <c r="AK129" s="398"/>
      <c r="AL129" s="591" t="s">
        <v>429</v>
      </c>
      <c r="AM129" s="398"/>
      <c r="AN129" s="398"/>
      <c r="AO129" s="398"/>
      <c r="AP129" s="397"/>
    </row>
    <row r="130" spans="1:42" ht="15.75" hidden="1" x14ac:dyDescent="0.25">
      <c r="A130" s="1819"/>
      <c r="B130" s="547" t="s">
        <v>116</v>
      </c>
      <c r="C130" s="1046"/>
      <c r="D130" s="802" t="s">
        <v>1076</v>
      </c>
      <c r="E130" s="1967"/>
      <c r="F130" s="617">
        <f>'exchange rates'!$O$31</f>
        <v>112.66098</v>
      </c>
      <c r="G130" s="549">
        <f>15840/F130</f>
        <v>140.59881247260589</v>
      </c>
      <c r="H130" s="550">
        <v>0</v>
      </c>
      <c r="I130" s="551">
        <v>0</v>
      </c>
      <c r="J130" s="560">
        <f>1262/F130</f>
        <v>11.201748821996755</v>
      </c>
      <c r="K130" s="566">
        <f>Tabel6689212734[[#This Row],[Fix.ch. 2017]]+Tabel6689212734[[#This Row],[Var. ch. 2017]]+Tabel6689212734[[#This Row],[Oth. ch. DW 2017]]+Tabel6689212734[[#This Row],[VAT DW 2017]]</f>
        <v>151.80056129460263</v>
      </c>
      <c r="L130" s="567">
        <f>7200/F130</f>
        <v>63.908551123911757</v>
      </c>
      <c r="M130" s="560">
        <f>574/F130</f>
        <v>5.0949317146007429</v>
      </c>
      <c r="N130" s="568">
        <v>0</v>
      </c>
      <c r="O130" s="560">
        <v>0</v>
      </c>
      <c r="P130" s="569">
        <v>0</v>
      </c>
      <c r="Q130" s="560">
        <v>0</v>
      </c>
      <c r="R130" s="570">
        <f>Tabel6689212734[[#This Row],[VAT DW 2017]]+Tabel6689212734[[#This Row],[VAT Sew. 2017]]+Tabel6689212734[[#This Row],[VAT WW 2017]]+Tabel6689212734[[#This Row],[VAT Other ch. 2017]]</f>
        <v>16.296680536597499</v>
      </c>
      <c r="S130" s="571">
        <f>Tabel6689212734[[#This Row],[Total. ch. DW 2017]]+Tabel6689212734[[#This Row],[Sew. 2017]]+Tabel6689212734[[#This Row],[VAT Sew. 2017]]+Tabel6689212734[[#This Row],[WW 2017]]+Tabel6689212734[[#This Row],[VAT WW 2017]]+Tabel6689212734[[#This Row],[Other ch. 2017]]+Tabel6689212734[[#This Row],[VAT Other ch. 2017]]</f>
        <v>220.80404413311513</v>
      </c>
      <c r="T130" s="397"/>
      <c r="U130" s="1763"/>
      <c r="V130" s="1766"/>
      <c r="W130" s="1769"/>
      <c r="X130" s="1772"/>
      <c r="Y130" s="1775"/>
      <c r="Z130" s="1778"/>
      <c r="AA130" s="1772"/>
      <c r="AB130" s="1781"/>
      <c r="AC130" s="1772"/>
      <c r="AD130" s="1785"/>
      <c r="AE130" s="1772"/>
      <c r="AF130" s="1788"/>
      <c r="AG130" s="1791"/>
      <c r="AH130" s="397"/>
      <c r="AI130" s="591" t="s">
        <v>429</v>
      </c>
      <c r="AJ130" s="396"/>
      <c r="AK130" s="398"/>
      <c r="AL130" s="591" t="s">
        <v>429</v>
      </c>
      <c r="AM130" s="398"/>
      <c r="AN130" s="398"/>
      <c r="AO130" s="398"/>
      <c r="AP130" s="397"/>
    </row>
    <row r="131" spans="1:42" ht="15.75" hidden="1" x14ac:dyDescent="0.25">
      <c r="A131" s="1819"/>
      <c r="B131" s="547" t="s">
        <v>117</v>
      </c>
      <c r="C131" s="1046"/>
      <c r="D131" s="802" t="s">
        <v>1076</v>
      </c>
      <c r="E131" s="1967"/>
      <c r="F131" s="617">
        <f>'exchange rates'!$O$31</f>
        <v>112.66098</v>
      </c>
      <c r="G131" s="549">
        <f>15000/F131</f>
        <v>133.14281484148285</v>
      </c>
      <c r="H131" s="550">
        <f>7968/F131</f>
        <v>70.725463243795687</v>
      </c>
      <c r="I131" s="551">
        <v>0</v>
      </c>
      <c r="J131" s="560">
        <f>1834/F131</f>
        <v>16.2789281612853</v>
      </c>
      <c r="K131" s="566">
        <f>Tabel6689212734[[#This Row],[Fix.ch. 2017]]+Tabel6689212734[[#This Row],[Var. ch. 2017]]+Tabel6689212734[[#This Row],[Oth. ch. DW 2017]]+Tabel6689212734[[#This Row],[VAT DW 2017]]</f>
        <v>220.14720624656383</v>
      </c>
      <c r="L131" s="567">
        <f>8436/F131</f>
        <v>74.879519066849952</v>
      </c>
      <c r="M131" s="560">
        <f>674/F131</f>
        <v>5.9825504802106284</v>
      </c>
      <c r="N131" s="568">
        <v>0</v>
      </c>
      <c r="O131" s="560">
        <v>0</v>
      </c>
      <c r="P131" s="569">
        <v>0</v>
      </c>
      <c r="Q131" s="560">
        <v>0</v>
      </c>
      <c r="R131" s="570">
        <f>Tabel6689212734[[#This Row],[VAT DW 2017]]+Tabel6689212734[[#This Row],[VAT Sew. 2017]]+Tabel6689212734[[#This Row],[VAT WW 2017]]+Tabel6689212734[[#This Row],[VAT Other ch. 2017]]</f>
        <v>22.261478641495927</v>
      </c>
      <c r="S131" s="571">
        <f>Tabel6689212734[[#This Row],[Total. ch. DW 2017]]+Tabel6689212734[[#This Row],[Sew. 2017]]+Tabel6689212734[[#This Row],[VAT Sew. 2017]]+Tabel6689212734[[#This Row],[WW 2017]]+Tabel6689212734[[#This Row],[VAT WW 2017]]+Tabel6689212734[[#This Row],[Other ch. 2017]]+Tabel6689212734[[#This Row],[VAT Other ch. 2017]]</f>
        <v>301.0092757936244</v>
      </c>
      <c r="T131" s="397"/>
      <c r="U131" s="1763"/>
      <c r="V131" s="1766"/>
      <c r="W131" s="1769"/>
      <c r="X131" s="1772"/>
      <c r="Y131" s="1775"/>
      <c r="Z131" s="1778"/>
      <c r="AA131" s="1772"/>
      <c r="AB131" s="1781"/>
      <c r="AC131" s="1772"/>
      <c r="AD131" s="1785"/>
      <c r="AE131" s="1772"/>
      <c r="AF131" s="1788"/>
      <c r="AG131" s="1791"/>
      <c r="AH131" s="397"/>
      <c r="AI131" s="591" t="s">
        <v>429</v>
      </c>
      <c r="AJ131" s="396"/>
      <c r="AK131" s="398"/>
      <c r="AL131" s="591" t="s">
        <v>429</v>
      </c>
      <c r="AM131" s="398"/>
      <c r="AN131" s="398"/>
      <c r="AO131" s="398"/>
      <c r="AP131" s="397"/>
    </row>
    <row r="132" spans="1:42" ht="15.75" hidden="1" x14ac:dyDescent="0.25">
      <c r="A132" s="1819"/>
      <c r="B132" s="547" t="s">
        <v>118</v>
      </c>
      <c r="C132" s="1046" t="s">
        <v>429</v>
      </c>
      <c r="D132" s="802" t="s">
        <v>1076</v>
      </c>
      <c r="E132" s="1967"/>
      <c r="F132" s="617">
        <f>'exchange rates'!$O$31</f>
        <v>112.66098</v>
      </c>
      <c r="G132" s="549">
        <f>14040/F132</f>
        <v>124.62167469162793</v>
      </c>
      <c r="H132" s="550">
        <f>880/F132</f>
        <v>7.8110451373669925</v>
      </c>
      <c r="I132" s="551">
        <v>0</v>
      </c>
      <c r="J132" s="560">
        <f>1181/F132</f>
        <v>10.482777621852748</v>
      </c>
      <c r="K132" s="566">
        <f>Tabel6689212734[[#This Row],[Fix.ch. 2017]]+Tabel6689212734[[#This Row],[Var. ch. 2017]]+Tabel6689212734[[#This Row],[Oth. ch. DW 2017]]+Tabel6689212734[[#This Row],[VAT DW 2017]]</f>
        <v>142.91549745084768</v>
      </c>
      <c r="L132" s="567">
        <f>7160/F132</f>
        <v>63.553503617667808</v>
      </c>
      <c r="M132" s="560">
        <f>567/F132</f>
        <v>5.0327984010080513</v>
      </c>
      <c r="N132" s="568">
        <v>0</v>
      </c>
      <c r="O132" s="560">
        <v>0</v>
      </c>
      <c r="P132" s="569">
        <v>0</v>
      </c>
      <c r="Q132" s="560">
        <v>0</v>
      </c>
      <c r="R132" s="570">
        <f>Tabel6689212734[[#This Row],[VAT DW 2017]]+Tabel6689212734[[#This Row],[VAT Sew. 2017]]+Tabel6689212734[[#This Row],[VAT WW 2017]]+Tabel6689212734[[#This Row],[VAT Other ch. 2017]]</f>
        <v>15.515576022860799</v>
      </c>
      <c r="S132" s="571">
        <f>Tabel6689212734[[#This Row],[Total. ch. DW 2017]]+Tabel6689212734[[#This Row],[Sew. 2017]]+Tabel6689212734[[#This Row],[VAT Sew. 2017]]+Tabel6689212734[[#This Row],[WW 2017]]+Tabel6689212734[[#This Row],[VAT WW 2017]]+Tabel6689212734[[#This Row],[Other ch. 2017]]+Tabel6689212734[[#This Row],[VAT Other ch. 2017]]</f>
        <v>211.50179946952355</v>
      </c>
      <c r="T132" s="397"/>
      <c r="U132" s="1763"/>
      <c r="V132" s="1766"/>
      <c r="W132" s="1769"/>
      <c r="X132" s="1772"/>
      <c r="Y132" s="1775"/>
      <c r="Z132" s="1778"/>
      <c r="AA132" s="1772"/>
      <c r="AB132" s="1781"/>
      <c r="AC132" s="1772"/>
      <c r="AD132" s="1785"/>
      <c r="AE132" s="1772"/>
      <c r="AF132" s="1788"/>
      <c r="AG132" s="1791"/>
      <c r="AH132" s="397"/>
      <c r="AI132" s="591" t="s">
        <v>429</v>
      </c>
      <c r="AJ132" s="396"/>
      <c r="AK132" s="398"/>
      <c r="AL132" s="591" t="s">
        <v>429</v>
      </c>
      <c r="AM132" s="398"/>
      <c r="AN132" s="398"/>
      <c r="AO132" s="398"/>
      <c r="AP132" s="397"/>
    </row>
    <row r="133" spans="1:42" ht="16.5" hidden="1" thickBot="1" x14ac:dyDescent="0.3">
      <c r="A133" s="1820"/>
      <c r="B133" s="613" t="s">
        <v>119</v>
      </c>
      <c r="C133" s="1046"/>
      <c r="D133" s="802" t="s">
        <v>1076</v>
      </c>
      <c r="E133" s="1799"/>
      <c r="F133" s="617">
        <f>'exchange rates'!$O$31</f>
        <v>112.66098</v>
      </c>
      <c r="G133" s="549">
        <f>9480/F133</f>
        <v>84.146258979817148</v>
      </c>
      <c r="H133" s="550">
        <f>172/F133</f>
        <v>1.5267042768490031</v>
      </c>
      <c r="I133" s="551">
        <v>0</v>
      </c>
      <c r="J133" s="560">
        <f>768/F133</f>
        <v>6.8169121198839209</v>
      </c>
      <c r="K133" s="566">
        <f>Tabel6689212734[[#This Row],[Fix.ch. 2017]]+Tabel6689212734[[#This Row],[Var. ch. 2017]]+Tabel6689212734[[#This Row],[Oth. ch. DW 2017]]+Tabel6689212734[[#This Row],[VAT DW 2017]]</f>
        <v>92.489875376550074</v>
      </c>
      <c r="L133" s="567">
        <f>7640/F133</f>
        <v>67.814073692595258</v>
      </c>
      <c r="M133" s="560">
        <f>608/F133</f>
        <v>5.3967220949081041</v>
      </c>
      <c r="N133" s="568">
        <v>0</v>
      </c>
      <c r="O133" s="560">
        <v>0</v>
      </c>
      <c r="P133" s="569">
        <v>0</v>
      </c>
      <c r="Q133" s="560">
        <v>0</v>
      </c>
      <c r="R133" s="570">
        <f>Tabel6689212734[[#This Row],[VAT DW 2017]]+Tabel6689212734[[#This Row],[VAT Sew. 2017]]+Tabel6689212734[[#This Row],[VAT WW 2017]]+Tabel6689212734[[#This Row],[VAT Other ch. 2017]]</f>
        <v>12.213634214792025</v>
      </c>
      <c r="S133" s="571">
        <f>Tabel6689212734[[#This Row],[Total. ch. DW 2017]]+Tabel6689212734[[#This Row],[Sew. 2017]]+Tabel6689212734[[#This Row],[VAT Sew. 2017]]+Tabel6689212734[[#This Row],[WW 2017]]+Tabel6689212734[[#This Row],[VAT WW 2017]]+Tabel6689212734[[#This Row],[Other ch. 2017]]+Tabel6689212734[[#This Row],[VAT Other ch. 2017]]</f>
        <v>165.70067116405346</v>
      </c>
      <c r="T133" s="397"/>
      <c r="U133" s="1801"/>
      <c r="V133" s="1803"/>
      <c r="W133" s="1805"/>
      <c r="X133" s="1773"/>
      <c r="Y133" s="1807"/>
      <c r="Z133" s="1809"/>
      <c r="AA133" s="1773"/>
      <c r="AB133" s="1782"/>
      <c r="AC133" s="1773"/>
      <c r="AD133" s="1786"/>
      <c r="AE133" s="1773"/>
      <c r="AF133" s="1789"/>
      <c r="AG133" s="1792"/>
      <c r="AH133" s="397"/>
      <c r="AI133" s="591" t="s">
        <v>429</v>
      </c>
      <c r="AJ133" s="396"/>
      <c r="AK133" s="398"/>
      <c r="AL133" s="591" t="s">
        <v>429</v>
      </c>
      <c r="AM133" s="398"/>
      <c r="AN133" s="398"/>
      <c r="AO133" s="398"/>
      <c r="AP133" s="397"/>
    </row>
    <row r="134" spans="1:42" ht="19.5" hidden="1" thickBot="1" x14ac:dyDescent="0.3">
      <c r="A134" s="959" t="s">
        <v>742</v>
      </c>
      <c r="B134" s="260" t="s">
        <v>743</v>
      </c>
      <c r="C134" s="1049"/>
      <c r="D134" s="817" t="s">
        <v>1078</v>
      </c>
      <c r="E134" s="1014">
        <v>3300</v>
      </c>
      <c r="F134" s="307">
        <f>'exchange rates'!M32</f>
        <v>102.86302000000001</v>
      </c>
      <c r="G134" s="319">
        <f>600/F134</f>
        <v>5.8330000421920332</v>
      </c>
      <c r="H134" s="320">
        <f>4603.08/F134</f>
        <v>44.749609723688842</v>
      </c>
      <c r="I134" s="321">
        <f>0</f>
        <v>0</v>
      </c>
      <c r="J134" s="559"/>
      <c r="K134" s="313">
        <f>Tabel6689212734[[#This Row],[Fix.ch. 2017]]+Tabel6689212734[[#This Row],[Var. ch. 2017]]+Tabel6689212734[[#This Row],[Oth. ch. DW 2017]]+Tabel6689212734[[#This Row],[VAT DW 2017]]</f>
        <v>50.582609765880875</v>
      </c>
      <c r="L134" s="322">
        <f>0</f>
        <v>0</v>
      </c>
      <c r="M134" s="559"/>
      <c r="N134" s="323">
        <f>3452.31/F134</f>
        <v>33.56220729276663</v>
      </c>
      <c r="O134" s="559"/>
      <c r="P134" s="324">
        <f>0</f>
        <v>0</v>
      </c>
      <c r="Q134" s="559"/>
      <c r="R134" s="317">
        <f>Tabel6689212734[[#This Row],[VAT DW 2017]]+Tabel6689212734[[#This Row],[VAT Sew. 2017]]+Tabel6689212734[[#This Row],[VAT WW 2017]]+Tabel6689212734[[#This Row],[VAT Other ch. 2017]]</f>
        <v>0</v>
      </c>
      <c r="S134" s="318">
        <f>Tabel6689212734[[#This Row],[Total. ch. DW 2017]]+Tabel6689212734[[#This Row],[Sew. 2017]]+Tabel6689212734[[#This Row],[VAT Sew. 2017]]+Tabel6689212734[[#This Row],[WW 2017]]+Tabel6689212734[[#This Row],[VAT WW 2017]]+Tabel6689212734[[#This Row],[Other ch. 2017]]+Tabel6689212734[[#This Row],[VAT Other ch. 2017]]</f>
        <v>84.144817058647504</v>
      </c>
      <c r="T134" s="397"/>
      <c r="U134" s="1016">
        <f>Tabel6689212734[[#This Row],[Fix.ch. 2017]]</f>
        <v>5.8330000421920332</v>
      </c>
      <c r="V134" s="1009">
        <f>Tabel6689212734[[#This Row],[Var. ch. 2017]]</f>
        <v>44.749609723688842</v>
      </c>
      <c r="W134" s="1008">
        <f>Tabel6689212734[[#This Row],[Oth. ch. DW 2017]]</f>
        <v>0</v>
      </c>
      <c r="X134" s="576"/>
      <c r="Y134" s="991">
        <f>SUM(U134:W134)</f>
        <v>50.582609765880875</v>
      </c>
      <c r="Z134" s="1024">
        <f>Tabel6689212734[[#This Row],[Sew. 2017]]</f>
        <v>0</v>
      </c>
      <c r="AA134" s="576"/>
      <c r="AB134" s="1023">
        <f>Tabel6689212734[[#This Row],[WW 2017]]</f>
        <v>33.56220729276663</v>
      </c>
      <c r="AC134" s="576"/>
      <c r="AD134" s="973">
        <f>Tabel6689212734[[#This Row],[Other ch. 2017]]</f>
        <v>0</v>
      </c>
      <c r="AE134" s="576"/>
      <c r="AF134" s="1027">
        <f>Tabel6689212734[[#This Row],[Total VAT 2017]]</f>
        <v>0</v>
      </c>
      <c r="AG134" s="1026">
        <f>SUM(Y134:AF134)</f>
        <v>84.144817058647504</v>
      </c>
      <c r="AH134" s="397"/>
      <c r="AI134" s="396"/>
      <c r="AJ134" s="396" t="s">
        <v>429</v>
      </c>
      <c r="AK134" s="398"/>
      <c r="AL134" s="396" t="s">
        <v>429</v>
      </c>
      <c r="AM134" s="396" t="s">
        <v>429</v>
      </c>
      <c r="AN134" s="398"/>
      <c r="AO134" s="398" t="s">
        <v>745</v>
      </c>
      <c r="AP134" s="397"/>
    </row>
    <row r="135" spans="1:42" ht="18.75" hidden="1" customHeight="1" x14ac:dyDescent="0.25">
      <c r="A135" s="1833" t="s">
        <v>19</v>
      </c>
      <c r="B135" s="291" t="s">
        <v>120</v>
      </c>
      <c r="C135" s="1048"/>
      <c r="D135" s="805" t="s">
        <v>1080</v>
      </c>
      <c r="E135" s="2054">
        <v>18700</v>
      </c>
      <c r="F135" s="307">
        <v>2.6644800000000002</v>
      </c>
      <c r="G135" s="319">
        <f>39/F135</f>
        <v>14.637002341920374</v>
      </c>
      <c r="H135" s="320">
        <f>364/F135</f>
        <v>136.61202185792348</v>
      </c>
      <c r="I135" s="321">
        <v>0</v>
      </c>
      <c r="J135" s="559"/>
      <c r="K135" s="313">
        <f>Tabel6689212734[[#This Row],[Fix.ch. 2017]]+Tabel6689212734[[#This Row],[Var. ch. 2017]]+Tabel6689212734[[#This Row],[Oth. ch. DW 2017]]+Tabel6689212734[[#This Row],[VAT DW 2017]]</f>
        <v>151.24902419984386</v>
      </c>
      <c r="L135" s="322">
        <f>398/F135</f>
        <v>149.37248543805919</v>
      </c>
      <c r="M135" s="559"/>
      <c r="N135" s="323">
        <v>0</v>
      </c>
      <c r="O135" s="559"/>
      <c r="P135" s="324">
        <v>0</v>
      </c>
      <c r="Q135" s="559"/>
      <c r="R135" s="317">
        <f>Tabel6689212734[[#This Row],[VAT DW 2017]]+Tabel6689212734[[#This Row],[VAT Sew. 2017]]+Tabel6689212734[[#This Row],[VAT WW 2017]]+Tabel6689212734[[#This Row],[VAT Other ch. 2017]]</f>
        <v>0</v>
      </c>
      <c r="S135" s="318">
        <f>Tabel6689212734[[#This Row],[Total. ch. DW 2017]]+Tabel6689212734[[#This Row],[Sew. 2017]]+Tabel6689212734[[#This Row],[VAT Sew. 2017]]+Tabel6689212734[[#This Row],[WW 2017]]+Tabel6689212734[[#This Row],[VAT WW 2017]]+Tabel6689212734[[#This Row],[Other ch. 2017]]+Tabel6689212734[[#This Row],[VAT Other ch. 2017]]</f>
        <v>300.62150963790305</v>
      </c>
      <c r="T135" s="397"/>
      <c r="U135" s="2057">
        <f>SUM(G135:G139)/5</f>
        <v>14.29472167177085</v>
      </c>
      <c r="V135" s="2059">
        <f>SUM(H135:H139)/5</f>
        <v>145.16903861166153</v>
      </c>
      <c r="W135" s="2061">
        <f>SUM(I135:I139)/5</f>
        <v>0</v>
      </c>
      <c r="X135" s="575"/>
      <c r="Y135" s="2063">
        <f>SUM(K135:K139)/5</f>
        <v>159.46376028343238</v>
      </c>
      <c r="Z135" s="2065">
        <f>SUM(L135:L139)/5</f>
        <v>181.19858283792709</v>
      </c>
      <c r="AA135" s="575"/>
      <c r="AB135" s="2067">
        <f>SUM(N135:N139)/5</f>
        <v>0</v>
      </c>
      <c r="AC135" s="575"/>
      <c r="AD135" s="2069">
        <f>SUM(P135:P139)/5</f>
        <v>0</v>
      </c>
      <c r="AE135" s="575"/>
      <c r="AF135" s="2071">
        <f t="shared" ref="AF135:AG135" si="21">SUM(R135:R139)/5</f>
        <v>0</v>
      </c>
      <c r="AG135" s="2049">
        <f t="shared" si="21"/>
        <v>340.66234312135947</v>
      </c>
      <c r="AH135" s="397"/>
      <c r="AI135" s="398"/>
      <c r="AJ135" s="398"/>
      <c r="AK135" s="398"/>
      <c r="AL135" s="398"/>
      <c r="AM135" s="396" t="s">
        <v>429</v>
      </c>
      <c r="AN135" s="398"/>
      <c r="AO135" s="398" t="s">
        <v>444</v>
      </c>
      <c r="AP135" s="397"/>
    </row>
    <row r="136" spans="1:42" ht="18.75" hidden="1" customHeight="1" x14ac:dyDescent="0.25">
      <c r="A136" s="1834"/>
      <c r="B136" s="269" t="s">
        <v>121</v>
      </c>
      <c r="C136" s="1048"/>
      <c r="D136" s="805" t="s">
        <v>1080</v>
      </c>
      <c r="E136" s="2055"/>
      <c r="F136" s="307">
        <v>2.6644800000000002</v>
      </c>
      <c r="G136" s="319">
        <f>47.04/F136</f>
        <v>17.65447667087011</v>
      </c>
      <c r="H136" s="320">
        <f>330/F136</f>
        <v>123.85155827778777</v>
      </c>
      <c r="I136" s="321">
        <v>0</v>
      </c>
      <c r="J136" s="559"/>
      <c r="K136" s="313">
        <f>Tabel6689212734[[#This Row],[Fix.ch. 2017]]+Tabel6689212734[[#This Row],[Var. ch. 2017]]+Tabel6689212734[[#This Row],[Oth. ch. DW 2017]]+Tabel6689212734[[#This Row],[VAT DW 2017]]</f>
        <v>141.50603494865788</v>
      </c>
      <c r="L136" s="322">
        <f>468/F136</f>
        <v>175.64402810304449</v>
      </c>
      <c r="M136" s="559"/>
      <c r="N136" s="323">
        <v>0</v>
      </c>
      <c r="O136" s="559"/>
      <c r="P136" s="324">
        <v>0</v>
      </c>
      <c r="Q136" s="559"/>
      <c r="R136" s="317">
        <f>Tabel6689212734[[#This Row],[VAT DW 2017]]+Tabel6689212734[[#This Row],[VAT Sew. 2017]]+Tabel6689212734[[#This Row],[VAT WW 2017]]+Tabel6689212734[[#This Row],[VAT Other ch. 2017]]</f>
        <v>0</v>
      </c>
      <c r="S136" s="318">
        <f>Tabel6689212734[[#This Row],[Total. ch. DW 2017]]+Tabel6689212734[[#This Row],[Sew. 2017]]+Tabel6689212734[[#This Row],[VAT Sew. 2017]]+Tabel6689212734[[#This Row],[WW 2017]]+Tabel6689212734[[#This Row],[VAT WW 2017]]+Tabel6689212734[[#This Row],[Other ch. 2017]]+Tabel6689212734[[#This Row],[VAT Other ch. 2017]]</f>
        <v>317.15006305170238</v>
      </c>
      <c r="T136" s="397"/>
      <c r="U136" s="2058"/>
      <c r="V136" s="2060"/>
      <c r="W136" s="2062"/>
      <c r="X136" s="576"/>
      <c r="Y136" s="2064"/>
      <c r="Z136" s="2066"/>
      <c r="AA136" s="576"/>
      <c r="AB136" s="2068"/>
      <c r="AC136" s="576"/>
      <c r="AD136" s="2070"/>
      <c r="AE136" s="576"/>
      <c r="AF136" s="2072"/>
      <c r="AG136" s="2050"/>
      <c r="AH136" s="397"/>
      <c r="AI136" s="398"/>
      <c r="AJ136" s="398"/>
      <c r="AK136" s="398"/>
      <c r="AL136" s="398"/>
      <c r="AM136" s="396" t="s">
        <v>429</v>
      </c>
      <c r="AN136" s="398"/>
      <c r="AO136" s="398" t="s">
        <v>444</v>
      </c>
      <c r="AP136" s="397"/>
    </row>
    <row r="137" spans="1:42" ht="18.75" hidden="1" customHeight="1" x14ac:dyDescent="0.25">
      <c r="A137" s="1834"/>
      <c r="B137" s="269" t="s">
        <v>122</v>
      </c>
      <c r="C137" s="1048"/>
      <c r="D137" s="805" t="s">
        <v>1080</v>
      </c>
      <c r="E137" s="2055"/>
      <c r="F137" s="307">
        <v>2.6644800000000002</v>
      </c>
      <c r="G137" s="319">
        <f>30.84/F137</f>
        <v>11.574491082687803</v>
      </c>
      <c r="H137" s="320">
        <f>334/F137</f>
        <v>125.35278928721551</v>
      </c>
      <c r="I137" s="321">
        <v>0</v>
      </c>
      <c r="J137" s="559"/>
      <c r="K137" s="313">
        <f>Tabel6689212734[[#This Row],[Fix.ch. 2017]]+Tabel6689212734[[#This Row],[Var. ch. 2017]]+Tabel6689212734[[#This Row],[Oth. ch. DW 2017]]+Tabel6689212734[[#This Row],[VAT DW 2017]]</f>
        <v>136.92728036990331</v>
      </c>
      <c r="L137" s="322">
        <f>636/F137</f>
        <v>238.69573049900916</v>
      </c>
      <c r="M137" s="559"/>
      <c r="N137" s="323">
        <v>0</v>
      </c>
      <c r="O137" s="559"/>
      <c r="P137" s="324">
        <v>0</v>
      </c>
      <c r="Q137" s="559"/>
      <c r="R137" s="317">
        <f>Tabel6689212734[[#This Row],[VAT DW 2017]]+Tabel6689212734[[#This Row],[VAT Sew. 2017]]+Tabel6689212734[[#This Row],[VAT WW 2017]]+Tabel6689212734[[#This Row],[VAT Other ch. 2017]]</f>
        <v>0</v>
      </c>
      <c r="S137" s="318">
        <f>Tabel6689212734[[#This Row],[Total. ch. DW 2017]]+Tabel6689212734[[#This Row],[Sew. 2017]]+Tabel6689212734[[#This Row],[VAT Sew. 2017]]+Tabel6689212734[[#This Row],[WW 2017]]+Tabel6689212734[[#This Row],[VAT WW 2017]]+Tabel6689212734[[#This Row],[Other ch. 2017]]+Tabel6689212734[[#This Row],[VAT Other ch. 2017]]</f>
        <v>375.6230108689125</v>
      </c>
      <c r="T137" s="397"/>
      <c r="U137" s="2058"/>
      <c r="V137" s="2060"/>
      <c r="W137" s="2062"/>
      <c r="X137" s="576"/>
      <c r="Y137" s="2064"/>
      <c r="Z137" s="2066"/>
      <c r="AA137" s="576"/>
      <c r="AB137" s="2068"/>
      <c r="AC137" s="576"/>
      <c r="AD137" s="2070"/>
      <c r="AE137" s="576"/>
      <c r="AF137" s="2072"/>
      <c r="AG137" s="2050"/>
      <c r="AH137" s="397"/>
      <c r="AI137" s="398"/>
      <c r="AJ137" s="398"/>
      <c r="AK137" s="398"/>
      <c r="AL137" s="398"/>
      <c r="AM137" s="396" t="s">
        <v>429</v>
      </c>
      <c r="AN137" s="398"/>
      <c r="AO137" s="398" t="s">
        <v>444</v>
      </c>
      <c r="AP137" s="397"/>
    </row>
    <row r="138" spans="1:42" ht="18.75" hidden="1" customHeight="1" x14ac:dyDescent="0.25">
      <c r="A138" s="1834"/>
      <c r="B138" s="269" t="s">
        <v>123</v>
      </c>
      <c r="C138" s="1048"/>
      <c r="D138" s="805" t="s">
        <v>1080</v>
      </c>
      <c r="E138" s="2055"/>
      <c r="F138" s="307">
        <v>2.6644800000000002</v>
      </c>
      <c r="G138" s="319">
        <f>34.68/F138</f>
        <v>13.015672851738424</v>
      </c>
      <c r="H138" s="320">
        <f>570/F138</f>
        <v>213.92541884345161</v>
      </c>
      <c r="I138" s="321">
        <v>0</v>
      </c>
      <c r="J138" s="559"/>
      <c r="K138" s="313">
        <f>Tabel6689212734[[#This Row],[Fix.ch. 2017]]+Tabel6689212734[[#This Row],[Var. ch. 2017]]+Tabel6689212734[[#This Row],[Oth. ch. DW 2017]]+Tabel6689212734[[#This Row],[VAT DW 2017]]</f>
        <v>226.94109169519004</v>
      </c>
      <c r="L138" s="322">
        <f>526/F138</f>
        <v>197.41187773974659</v>
      </c>
      <c r="M138" s="559"/>
      <c r="N138" s="323">
        <v>0</v>
      </c>
      <c r="O138" s="559"/>
      <c r="P138" s="324">
        <v>0</v>
      </c>
      <c r="Q138" s="559"/>
      <c r="R138" s="317">
        <f>Tabel6689212734[[#This Row],[VAT DW 2017]]+Tabel6689212734[[#This Row],[VAT Sew. 2017]]+Tabel6689212734[[#This Row],[VAT WW 2017]]+Tabel6689212734[[#This Row],[VAT Other ch. 2017]]</f>
        <v>0</v>
      </c>
      <c r="S138" s="318">
        <f>Tabel6689212734[[#This Row],[Total. ch. DW 2017]]+Tabel6689212734[[#This Row],[Sew. 2017]]+Tabel6689212734[[#This Row],[VAT Sew. 2017]]+Tabel6689212734[[#This Row],[WW 2017]]+Tabel6689212734[[#This Row],[VAT WW 2017]]+Tabel6689212734[[#This Row],[Other ch. 2017]]+Tabel6689212734[[#This Row],[VAT Other ch. 2017]]</f>
        <v>424.35296943493665</v>
      </c>
      <c r="T138" s="397"/>
      <c r="U138" s="2058"/>
      <c r="V138" s="2060"/>
      <c r="W138" s="2062"/>
      <c r="X138" s="576"/>
      <c r="Y138" s="2064"/>
      <c r="Z138" s="2066"/>
      <c r="AA138" s="576"/>
      <c r="AB138" s="2068"/>
      <c r="AC138" s="576"/>
      <c r="AD138" s="2070"/>
      <c r="AE138" s="576"/>
      <c r="AF138" s="2072"/>
      <c r="AG138" s="2050"/>
      <c r="AH138" s="397"/>
      <c r="AI138" s="398"/>
      <c r="AJ138" s="398"/>
      <c r="AK138" s="398"/>
      <c r="AL138" s="398"/>
      <c r="AM138" s="396" t="s">
        <v>429</v>
      </c>
      <c r="AN138" s="398"/>
      <c r="AO138" s="398" t="s">
        <v>444</v>
      </c>
      <c r="AP138" s="397"/>
    </row>
    <row r="139" spans="1:42" ht="19.5" hidden="1" customHeight="1" thickBot="1" x14ac:dyDescent="0.3">
      <c r="A139" s="1835"/>
      <c r="B139" s="290" t="s">
        <v>124</v>
      </c>
      <c r="C139" s="1048" t="s">
        <v>429</v>
      </c>
      <c r="D139" s="805" t="s">
        <v>1080</v>
      </c>
      <c r="E139" s="2056"/>
      <c r="F139" s="307">
        <v>2.6644800000000002</v>
      </c>
      <c r="G139" s="319">
        <f>38.88/F139</f>
        <v>14.591965411637542</v>
      </c>
      <c r="H139" s="320">
        <f>336/F139</f>
        <v>126.10340479192938</v>
      </c>
      <c r="I139" s="321">
        <v>0</v>
      </c>
      <c r="J139" s="559"/>
      <c r="K139" s="313">
        <f>Tabel6689212734[[#This Row],[Fix.ch. 2017]]+Tabel6689212734[[#This Row],[Var. ch. 2017]]+Tabel6689212734[[#This Row],[Oth. ch. DW 2017]]+Tabel6689212734[[#This Row],[VAT DW 2017]]</f>
        <v>140.69537020356691</v>
      </c>
      <c r="L139" s="322">
        <f>386/F139</f>
        <v>144.86879240977601</v>
      </c>
      <c r="M139" s="559"/>
      <c r="N139" s="323">
        <v>0</v>
      </c>
      <c r="O139" s="559"/>
      <c r="P139" s="324">
        <v>0</v>
      </c>
      <c r="Q139" s="559"/>
      <c r="R139" s="317">
        <f>Tabel6689212734[[#This Row],[VAT DW 2017]]+Tabel6689212734[[#This Row],[VAT Sew. 2017]]+Tabel6689212734[[#This Row],[VAT WW 2017]]+Tabel6689212734[[#This Row],[VAT Other ch. 2017]]</f>
        <v>0</v>
      </c>
      <c r="S139" s="318">
        <f>Tabel6689212734[[#This Row],[Total. ch. DW 2017]]+Tabel6689212734[[#This Row],[Sew. 2017]]+Tabel6689212734[[#This Row],[VAT Sew. 2017]]+Tabel6689212734[[#This Row],[WW 2017]]+Tabel6689212734[[#This Row],[VAT WW 2017]]+Tabel6689212734[[#This Row],[Other ch. 2017]]+Tabel6689212734[[#This Row],[VAT Other ch. 2017]]</f>
        <v>285.56416261334289</v>
      </c>
      <c r="T139" s="397"/>
      <c r="U139" s="1841"/>
      <c r="V139" s="1844"/>
      <c r="W139" s="1847"/>
      <c r="X139" s="577"/>
      <c r="Y139" s="1850"/>
      <c r="Z139" s="1853"/>
      <c r="AA139" s="577"/>
      <c r="AB139" s="1856"/>
      <c r="AC139" s="577"/>
      <c r="AD139" s="1859"/>
      <c r="AE139" s="577"/>
      <c r="AF139" s="1874"/>
      <c r="AG139" s="2051"/>
      <c r="AH139" s="397"/>
      <c r="AI139" s="398"/>
      <c r="AJ139" s="398"/>
      <c r="AK139" s="398"/>
      <c r="AL139" s="398"/>
      <c r="AM139" s="396" t="s">
        <v>429</v>
      </c>
      <c r="AN139" s="398"/>
      <c r="AO139" s="398" t="s">
        <v>444</v>
      </c>
      <c r="AP139" s="397"/>
    </row>
    <row r="140" spans="1:42" ht="16.5" hidden="1" thickBot="1" x14ac:dyDescent="0.3">
      <c r="A140" s="270" t="s">
        <v>50</v>
      </c>
      <c r="B140" s="297"/>
      <c r="C140" s="1050"/>
      <c r="D140" s="817" t="s">
        <v>1082</v>
      </c>
      <c r="E140" s="303"/>
      <c r="F140" s="309"/>
      <c r="G140" s="325"/>
      <c r="H140" s="326"/>
      <c r="I140" s="327"/>
      <c r="J140" s="561"/>
      <c r="K140" s="313">
        <f>Tabel6689212734[[#This Row],[Fix.ch. 2017]]+Tabel6689212734[[#This Row],[Var. ch. 2017]]+Tabel6689212734[[#This Row],[Oth. ch. DW 2017]]+Tabel6689212734[[#This Row],[VAT DW 2017]]</f>
        <v>0</v>
      </c>
      <c r="L140" s="328"/>
      <c r="M140" s="561"/>
      <c r="N140" s="329"/>
      <c r="O140" s="561"/>
      <c r="P140" s="330"/>
      <c r="Q140" s="561"/>
      <c r="R140" s="317">
        <f>Tabel6689212734[[#This Row],[VAT DW 2017]]+Tabel6689212734[[#This Row],[VAT Sew. 2017]]+Tabel6689212734[[#This Row],[VAT WW 2017]]+Tabel6689212734[[#This Row],[VAT Other ch. 2017]]</f>
        <v>0</v>
      </c>
      <c r="S140" s="318">
        <f>Tabel6689212734[[#This Row],[Total. ch. DW 2017]]+Tabel6689212734[[#This Row],[Sew. 2017]]+Tabel6689212734[[#This Row],[VAT Sew. 2017]]+Tabel6689212734[[#This Row],[WW 2017]]+Tabel6689212734[[#This Row],[VAT WW 2017]]+Tabel6689212734[[#This Row],[Other ch. 2017]]+Tabel6689212734[[#This Row],[VAT Other ch. 2017]]</f>
        <v>0</v>
      </c>
      <c r="T140" s="397"/>
      <c r="U140" s="349"/>
      <c r="V140" s="350"/>
      <c r="W140" s="351"/>
      <c r="X140" s="582"/>
      <c r="Y140" s="352"/>
      <c r="Z140" s="353"/>
      <c r="AA140" s="582"/>
      <c r="AB140" s="354"/>
      <c r="AC140" s="582"/>
      <c r="AD140" s="355"/>
      <c r="AE140" s="582"/>
      <c r="AF140" s="356"/>
      <c r="AG140" s="357"/>
      <c r="AH140" s="397"/>
      <c r="AI140" s="398"/>
      <c r="AJ140" s="398"/>
      <c r="AK140" s="398"/>
      <c r="AL140" s="398"/>
      <c r="AM140" s="398"/>
      <c r="AN140" s="398"/>
      <c r="AO140" s="398"/>
      <c r="AP140" s="397"/>
    </row>
    <row r="141" spans="1:42" ht="19.5" hidden="1" thickBot="1" x14ac:dyDescent="0.35">
      <c r="A141" s="695" t="s">
        <v>586</v>
      </c>
      <c r="B141" s="696" t="s">
        <v>587</v>
      </c>
      <c r="C141" s="760"/>
      <c r="D141" s="812" t="s">
        <v>1084</v>
      </c>
      <c r="E141" s="697">
        <v>114400</v>
      </c>
      <c r="F141" s="616">
        <f>'exchange rates'!O37</f>
        <v>8.0445100000000007</v>
      </c>
      <c r="G141" s="549">
        <f>0</f>
        <v>0</v>
      </c>
      <c r="H141" s="550">
        <f>678.05/F141</f>
        <v>84.287296553798782</v>
      </c>
      <c r="I141" s="551">
        <v>0</v>
      </c>
      <c r="J141" s="560">
        <v>0</v>
      </c>
      <c r="K141" s="566">
        <f>Tabel6689212734[[#This Row],[Fix.ch. 2017]]+Tabel6689212734[[#This Row],[Var. ch. 2017]]+Tabel6689212734[[#This Row],[Oth. ch. DW 2017]]+Tabel6689212734[[#This Row],[VAT DW 2017]]</f>
        <v>84.287296553798782</v>
      </c>
      <c r="L141" s="567">
        <v>0</v>
      </c>
      <c r="M141" s="560">
        <v>0</v>
      </c>
      <c r="N141" s="568">
        <v>0</v>
      </c>
      <c r="O141" s="560">
        <v>0</v>
      </c>
      <c r="P141" s="569">
        <v>0</v>
      </c>
      <c r="Q141" s="560">
        <v>0</v>
      </c>
      <c r="R141" s="570">
        <f>Tabel6689212734[[#This Row],[VAT DW 2017]]+Tabel6689212734[[#This Row],[VAT Sew. 2017]]+Tabel6689212734[[#This Row],[VAT WW 2017]]+Tabel6689212734[[#This Row],[VAT Other ch. 2017]]</f>
        <v>0</v>
      </c>
      <c r="S141" s="571">
        <f>Tabel6689212734[[#This Row],[Total. ch. DW 2017]]+Tabel6689212734[[#This Row],[Sew. 2017]]+Tabel6689212734[[#This Row],[VAT Sew. 2017]]+Tabel6689212734[[#This Row],[WW 2017]]+Tabel6689212734[[#This Row],[VAT WW 2017]]+Tabel6689212734[[#This Row],[Other ch. 2017]]+Tabel6689212734[[#This Row],[VAT Other ch. 2017]]</f>
        <v>84.287296553798782</v>
      </c>
      <c r="T141" s="397"/>
      <c r="U141" s="672">
        <v>0</v>
      </c>
      <c r="V141" s="673">
        <f>Tabel6689212734[[#This Row],[Var. ch. 2017]]</f>
        <v>84.287296553798782</v>
      </c>
      <c r="W141" s="674">
        <v>0</v>
      </c>
      <c r="X141" s="675">
        <v>0</v>
      </c>
      <c r="Y141" s="676">
        <f>Tabel6689212734[[#This Row],[Total. ch. DW 2017]]</f>
        <v>84.287296553798782</v>
      </c>
      <c r="Z141" s="677">
        <v>0</v>
      </c>
      <c r="AA141" s="675">
        <v>0</v>
      </c>
      <c r="AB141" s="678">
        <v>0</v>
      </c>
      <c r="AC141" s="675">
        <v>0</v>
      </c>
      <c r="AD141" s="679">
        <v>0</v>
      </c>
      <c r="AE141" s="675">
        <v>0</v>
      </c>
      <c r="AF141" s="680">
        <v>0</v>
      </c>
      <c r="AG141" s="681">
        <f>Tabel6689212734[[#This Row],[total charge 2017]]</f>
        <v>84.287296553798782</v>
      </c>
      <c r="AH141" s="397"/>
      <c r="AI141" s="398"/>
      <c r="AJ141" s="396"/>
      <c r="AK141" s="398"/>
      <c r="AL141" s="591" t="s">
        <v>429</v>
      </c>
      <c r="AM141" s="398"/>
      <c r="AN141" s="398"/>
      <c r="AO141" s="398"/>
      <c r="AP141" s="397"/>
    </row>
    <row r="142" spans="1:42" ht="19.5" hidden="1" thickBot="1" x14ac:dyDescent="0.35">
      <c r="A142" s="267" t="s">
        <v>36</v>
      </c>
      <c r="B142" s="261" t="s">
        <v>181</v>
      </c>
      <c r="C142" s="261"/>
      <c r="D142" s="808" t="s">
        <v>1086</v>
      </c>
      <c r="E142" s="301">
        <v>900</v>
      </c>
      <c r="F142" s="306">
        <v>163.83132000000001</v>
      </c>
      <c r="G142" s="319">
        <f>363/F142</f>
        <v>2.2156935560306783</v>
      </c>
      <c r="H142" s="320">
        <f>(124*200)/F142</f>
        <v>151.37520713377637</v>
      </c>
      <c r="I142" s="321">
        <v>0</v>
      </c>
      <c r="J142" s="559"/>
      <c r="K142" s="313">
        <f>Tabel6689212734[[#This Row],[Fix.ch. 2017]]+Tabel6689212734[[#This Row],[Var. ch. 2017]]+Tabel6689212734[[#This Row],[Oth. ch. DW 2017]]+Tabel6689212734[[#This Row],[VAT DW 2017]]</f>
        <v>153.59090068980706</v>
      </c>
      <c r="L142" s="322">
        <v>0</v>
      </c>
      <c r="M142" s="559"/>
      <c r="N142" s="323">
        <v>0</v>
      </c>
      <c r="O142" s="559"/>
      <c r="P142" s="324">
        <v>0</v>
      </c>
      <c r="Q142" s="559"/>
      <c r="R142" s="317">
        <f>Tabel6689212734[[#This Row],[VAT DW 2017]]+Tabel6689212734[[#This Row],[VAT Sew. 2017]]+Tabel6689212734[[#This Row],[VAT WW 2017]]+Tabel6689212734[[#This Row],[VAT Other ch. 2017]]</f>
        <v>0</v>
      </c>
      <c r="S142" s="318">
        <f>Tabel6689212734[[#This Row],[Total. ch. DW 2017]]+Tabel6689212734[[#This Row],[Sew. 2017]]+Tabel6689212734[[#This Row],[VAT Sew. 2017]]+Tabel6689212734[[#This Row],[WW 2017]]+Tabel6689212734[[#This Row],[VAT WW 2017]]+Tabel6689212734[[#This Row],[Other ch. 2017]]+Tabel6689212734[[#This Row],[VAT Other ch. 2017]]</f>
        <v>153.59090068980706</v>
      </c>
      <c r="T142" s="397"/>
      <c r="U142" s="331">
        <f>Tabel6689212734[[#This Row],[Fix.ch. 2017]]</f>
        <v>2.2156935560306783</v>
      </c>
      <c r="V142" s="332">
        <f>Tabel6689212734[[#This Row],[Var. ch. 2017]]</f>
        <v>151.37520713377637</v>
      </c>
      <c r="W142" s="333">
        <v>0</v>
      </c>
      <c r="X142" s="574"/>
      <c r="Y142" s="334">
        <v>0</v>
      </c>
      <c r="Z142" s="335">
        <v>0</v>
      </c>
      <c r="AA142" s="574"/>
      <c r="AB142" s="336">
        <v>0</v>
      </c>
      <c r="AC142" s="574"/>
      <c r="AD142" s="337">
        <v>0</v>
      </c>
      <c r="AE142" s="574"/>
      <c r="AF142" s="338">
        <v>0</v>
      </c>
      <c r="AG142" s="339">
        <f>Tabel6689212734[[#This Row],[total charge 2017]]</f>
        <v>153.59090068980706</v>
      </c>
      <c r="AH142" s="397"/>
      <c r="AI142" s="398"/>
      <c r="AJ142" s="398"/>
      <c r="AK142" s="398"/>
      <c r="AL142" s="396" t="s">
        <v>429</v>
      </c>
      <c r="AM142" s="396" t="s">
        <v>429</v>
      </c>
      <c r="AN142" s="398"/>
      <c r="AO142" s="398"/>
      <c r="AP142" s="397"/>
    </row>
    <row r="143" spans="1:42" ht="19.5" hidden="1" thickBot="1" x14ac:dyDescent="0.35">
      <c r="A143" s="669" t="s">
        <v>774</v>
      </c>
      <c r="B143" s="645" t="s">
        <v>775</v>
      </c>
      <c r="C143" s="751"/>
      <c r="D143" s="818" t="s">
        <v>1088</v>
      </c>
      <c r="E143" s="671">
        <v>42500</v>
      </c>
      <c r="F143" s="616">
        <f>'exchange rates'!O39</f>
        <v>0.83301000000000003</v>
      </c>
      <c r="G143" s="549">
        <f>59/F143</f>
        <v>70.827481062652311</v>
      </c>
      <c r="H143" s="550">
        <f>143.39/F143</f>
        <v>172.13478829785956</v>
      </c>
      <c r="I143" s="551">
        <v>0</v>
      </c>
      <c r="J143" s="560">
        <v>0</v>
      </c>
      <c r="K143" s="566">
        <f>Tabel6689212734[[#This Row],[Fix.ch. 2017]]+Tabel6689212734[[#This Row],[Var. ch. 2017]]+Tabel6689212734[[#This Row],[Oth. ch. DW 2017]]+Tabel6689212734[[#This Row],[VAT DW 2017]]</f>
        <v>242.96226936051187</v>
      </c>
      <c r="L143" s="567">
        <v>0</v>
      </c>
      <c r="M143" s="560">
        <v>0</v>
      </c>
      <c r="N143" s="568">
        <v>0</v>
      </c>
      <c r="O143" s="560">
        <v>0</v>
      </c>
      <c r="P143" s="569">
        <v>0</v>
      </c>
      <c r="Q143" s="560">
        <v>0</v>
      </c>
      <c r="R143" s="570">
        <f>Tabel6689212734[[#This Row],[VAT DW 2017]]+Tabel6689212734[[#This Row],[VAT Sew. 2017]]+Tabel6689212734[[#This Row],[VAT WW 2017]]+Tabel6689212734[[#This Row],[VAT Other ch. 2017]]</f>
        <v>0</v>
      </c>
      <c r="S143" s="571">
        <f>Tabel6689212734[[#This Row],[Total. ch. DW 2017]]+Tabel6689212734[[#This Row],[Sew. 2017]]+Tabel6689212734[[#This Row],[VAT Sew. 2017]]+Tabel6689212734[[#This Row],[WW 2017]]+Tabel6689212734[[#This Row],[VAT WW 2017]]+Tabel6689212734[[#This Row],[Other ch. 2017]]+Tabel6689212734[[#This Row],[VAT Other ch. 2017]]</f>
        <v>242.96226936051187</v>
      </c>
      <c r="T143" s="397"/>
      <c r="U143" s="672">
        <f>Tabel6689212734[[#This Row],[Fix.ch. 2017]]</f>
        <v>70.827481062652311</v>
      </c>
      <c r="V143" s="673">
        <f>Tabel6689212734[[#This Row],[Var. ch. 2017]]</f>
        <v>172.13478829785956</v>
      </c>
      <c r="W143" s="674">
        <f>Tabel6689212734[[#This Row],[Oth. ch. DW 2017]]</f>
        <v>0</v>
      </c>
      <c r="X143" s="675">
        <f>Tabel6689212734[[#This Row],[VAT DW 2017]]</f>
        <v>0</v>
      </c>
      <c r="Y143" s="676">
        <f>Tabel6689212734[[#This Row],[Total. ch. DW 2017]]</f>
        <v>242.96226936051187</v>
      </c>
      <c r="Z143" s="677">
        <f>Tabel6689212734[[#This Row],[Sew. 2017]]</f>
        <v>0</v>
      </c>
      <c r="AA143" s="675">
        <f>Tabel6689212734[[#This Row],[VAT Sew. 2017]]</f>
        <v>0</v>
      </c>
      <c r="AB143" s="678">
        <f>Tabel6689212734[[#This Row],[WW 2017]]</f>
        <v>0</v>
      </c>
      <c r="AC143" s="675">
        <f>Tabel6689212734[[#This Row],[VAT WW 2017]]</f>
        <v>0</v>
      </c>
      <c r="AD143" s="679">
        <f>Tabel6689212734[[#This Row],[Other ch. 2017]]</f>
        <v>0</v>
      </c>
      <c r="AE143" s="675">
        <f>Tabel6689212734[[#This Row],[VAT Other ch. 2017]]</f>
        <v>0</v>
      </c>
      <c r="AF143" s="680">
        <f>Tabel6689212734[[#This Row],[Total VAT 2017]]</f>
        <v>0</v>
      </c>
      <c r="AG143" s="681">
        <f>Tabel6689212734[[#This Row],[total charge 2017]]</f>
        <v>242.96226936051187</v>
      </c>
      <c r="AH143" s="397"/>
      <c r="AI143" s="398"/>
      <c r="AJ143" s="398"/>
      <c r="AK143" s="398"/>
      <c r="AL143" s="591" t="s">
        <v>429</v>
      </c>
      <c r="AM143" s="591" t="s">
        <v>429</v>
      </c>
      <c r="AN143" s="398"/>
      <c r="AO143" s="398"/>
      <c r="AP143" s="397"/>
    </row>
    <row r="144" spans="1:42" ht="19.5" hidden="1" thickBot="1" x14ac:dyDescent="0.35">
      <c r="A144" s="267" t="s">
        <v>37</v>
      </c>
      <c r="B144" s="526" t="s">
        <v>37</v>
      </c>
      <c r="C144" s="808"/>
      <c r="D144" s="808" t="s">
        <v>1090</v>
      </c>
      <c r="E144" s="301">
        <v>19500</v>
      </c>
      <c r="F144" s="306">
        <f>'exchange rates'!M40</f>
        <v>35.849890000000002</v>
      </c>
      <c r="G144" s="319">
        <f>660/F144</f>
        <v>18.410098329450939</v>
      </c>
      <c r="H144" s="320">
        <f>732/F144</f>
        <v>20.418472692663769</v>
      </c>
      <c r="I144" s="321">
        <v>0</v>
      </c>
      <c r="J144" s="559"/>
      <c r="K144" s="313">
        <f>Tabel6689212734[[#This Row],[Fix.ch. 2017]]+Tabel6689212734[[#This Row],[Var. ch. 2017]]+Tabel6689212734[[#This Row],[Oth. ch. DW 2017]]+Tabel6689212734[[#This Row],[VAT DW 2017]]</f>
        <v>38.828571022114708</v>
      </c>
      <c r="L144" s="322">
        <f>7.515/F144</f>
        <v>0.2096240741603391</v>
      </c>
      <c r="M144" s="559"/>
      <c r="N144" s="323">
        <f>1650/F144</f>
        <v>46.025245823627351</v>
      </c>
      <c r="O144" s="559"/>
      <c r="P144" s="324">
        <v>0</v>
      </c>
      <c r="Q144" s="559"/>
      <c r="R144" s="317">
        <f>Tabel6689212734[[#This Row],[VAT DW 2017]]+Tabel6689212734[[#This Row],[VAT Sew. 2017]]+Tabel6689212734[[#This Row],[VAT WW 2017]]+Tabel6689212734[[#This Row],[VAT Other ch. 2017]]</f>
        <v>0</v>
      </c>
      <c r="S144" s="318">
        <f>Tabel6689212734[[#This Row],[Total. ch. DW 2017]]+Tabel6689212734[[#This Row],[Sew. 2017]]+Tabel6689212734[[#This Row],[VAT Sew. 2017]]+Tabel6689212734[[#This Row],[WW 2017]]+Tabel6689212734[[#This Row],[VAT WW 2017]]+Tabel6689212734[[#This Row],[Other ch. 2017]]+Tabel6689212734[[#This Row],[VAT Other ch. 2017]]</f>
        <v>85.063440919902405</v>
      </c>
      <c r="T144" s="397"/>
      <c r="U144" s="331">
        <f>Tabel6689212734[[#This Row],[Fix.ch. 2017]]</f>
        <v>18.410098329450939</v>
      </c>
      <c r="V144" s="332">
        <f>Tabel6689212734[[#This Row],[Var. ch. 2017]]</f>
        <v>20.418472692663769</v>
      </c>
      <c r="W144" s="333">
        <v>0</v>
      </c>
      <c r="X144" s="574"/>
      <c r="Y144" s="334">
        <f>Tabel6689212734[[#This Row],[Total. ch. DW 2017]]</f>
        <v>38.828571022114708</v>
      </c>
      <c r="Z144" s="335">
        <f>Tabel6689212734[[#This Row],[Sew. 2017]]</f>
        <v>0.2096240741603391</v>
      </c>
      <c r="AA144" s="574"/>
      <c r="AB144" s="336">
        <f>Tabel6689212734[[#This Row],[WW 2017]]</f>
        <v>46.025245823627351</v>
      </c>
      <c r="AC144" s="574"/>
      <c r="AD144" s="337">
        <v>0</v>
      </c>
      <c r="AE144" s="574"/>
      <c r="AF144" s="338">
        <v>0</v>
      </c>
      <c r="AG144" s="339">
        <f>Tabel6689212734[[#This Row],[total charge 2017]]</f>
        <v>85.063440919902405</v>
      </c>
      <c r="AH144" s="397"/>
      <c r="AI144" s="398"/>
      <c r="AJ144" s="398"/>
      <c r="AK144" s="398"/>
      <c r="AL144" s="396" t="s">
        <v>429</v>
      </c>
      <c r="AM144" s="398"/>
      <c r="AN144" s="398"/>
      <c r="AO144" s="398"/>
      <c r="AP144" s="397"/>
    </row>
    <row r="145" spans="1:42" ht="18" hidden="1" customHeight="1" x14ac:dyDescent="0.25">
      <c r="A145" s="1795" t="s">
        <v>38</v>
      </c>
      <c r="B145" s="659" t="s">
        <v>620</v>
      </c>
      <c r="C145" s="752"/>
      <c r="D145" s="816" t="s">
        <v>1092</v>
      </c>
      <c r="E145" s="1983">
        <v>19500</v>
      </c>
      <c r="F145" s="616">
        <f>'exchange rates'!$O$41</f>
        <v>19.670400000000001</v>
      </c>
      <c r="G145" s="549">
        <f>1390/F145</f>
        <v>70.664551813892956</v>
      </c>
      <c r="H145" s="550">
        <v>0</v>
      </c>
      <c r="I145" s="551">
        <v>0</v>
      </c>
      <c r="J145" s="560">
        <v>0</v>
      </c>
      <c r="K145" s="566">
        <f>Tabel6689212734[[#This Row],[Fix.ch. 2017]]+Tabel6689212734[[#This Row],[Var. ch. 2017]]+Tabel6689212734[[#This Row],[Oth. ch. DW 2017]]+Tabel6689212734[[#This Row],[VAT DW 2017]]</f>
        <v>70.664551813892956</v>
      </c>
      <c r="L145" s="567">
        <v>0</v>
      </c>
      <c r="M145" s="560">
        <v>0</v>
      </c>
      <c r="N145" s="568">
        <f>460/F145</f>
        <v>23.385391247763135</v>
      </c>
      <c r="O145" s="560">
        <v>0</v>
      </c>
      <c r="P145" s="569">
        <v>0</v>
      </c>
      <c r="Q145" s="560">
        <v>0</v>
      </c>
      <c r="R145" s="570">
        <f>Tabel6689212734[[#This Row],[VAT DW 2017]]+Tabel6689212734[[#This Row],[VAT Sew. 2017]]+Tabel6689212734[[#This Row],[VAT WW 2017]]+Tabel6689212734[[#This Row],[VAT Other ch. 2017]]</f>
        <v>0</v>
      </c>
      <c r="S145" s="571">
        <f>Tabel6689212734[[#This Row],[Total. ch. DW 2017]]+Tabel6689212734[[#This Row],[Sew. 2017]]+Tabel6689212734[[#This Row],[VAT Sew. 2017]]+Tabel6689212734[[#This Row],[WW 2017]]+Tabel6689212734[[#This Row],[VAT WW 2017]]+Tabel6689212734[[#This Row],[Other ch. 2017]]+Tabel6689212734[[#This Row],[VAT Other ch. 2017]]</f>
        <v>94.049943061656094</v>
      </c>
      <c r="T145" s="430"/>
      <c r="U145" s="1824">
        <f>MEDIAN(G145:G150)</f>
        <v>87.441028143809987</v>
      </c>
      <c r="V145" s="1825">
        <f>MEDIAN(H145:H150)</f>
        <v>0</v>
      </c>
      <c r="W145" s="1826">
        <f>MEDIAN(I145:I150)</f>
        <v>0</v>
      </c>
      <c r="X145" s="1908">
        <f>MEDIAN(J145:J150)</f>
        <v>0</v>
      </c>
      <c r="Y145" s="1827">
        <f>SUM(U145:X150)</f>
        <v>87.441028143809987</v>
      </c>
      <c r="Z145" s="1828">
        <f t="shared" ref="Z145:AF145" si="22">MEDIAN(L145:L150)</f>
        <v>0</v>
      </c>
      <c r="AA145" s="1908">
        <f t="shared" si="22"/>
        <v>0</v>
      </c>
      <c r="AB145" s="1829">
        <f t="shared" si="22"/>
        <v>8.6424272002602898</v>
      </c>
      <c r="AC145" s="1908">
        <f t="shared" si="22"/>
        <v>0</v>
      </c>
      <c r="AD145" s="1830">
        <f t="shared" si="22"/>
        <v>0</v>
      </c>
      <c r="AE145" s="1908">
        <f t="shared" si="22"/>
        <v>0</v>
      </c>
      <c r="AF145" s="1816">
        <f t="shared" si="22"/>
        <v>0</v>
      </c>
      <c r="AG145" s="2052">
        <f>Y145+Z145+AA145+AB145+AC145+AD145+AE145</f>
        <v>96.083455344070273</v>
      </c>
      <c r="AH145" s="397"/>
      <c r="AI145" s="591" t="s">
        <v>429</v>
      </c>
      <c r="AJ145" s="591" t="s">
        <v>429</v>
      </c>
      <c r="AK145" s="591"/>
      <c r="AL145" s="591"/>
      <c r="AM145" s="591" t="s">
        <v>429</v>
      </c>
      <c r="AN145" s="591" t="s">
        <v>429</v>
      </c>
      <c r="AO145" s="398"/>
      <c r="AP145" s="397"/>
    </row>
    <row r="146" spans="1:42" ht="15.75" hidden="1" x14ac:dyDescent="0.25">
      <c r="A146" s="1796"/>
      <c r="B146" s="657" t="s">
        <v>889</v>
      </c>
      <c r="C146" s="747" t="s">
        <v>429</v>
      </c>
      <c r="D146" s="815" t="s">
        <v>1092</v>
      </c>
      <c r="E146" s="1880"/>
      <c r="F146" s="616">
        <f>'exchange rates'!$O$41</f>
        <v>19.670400000000001</v>
      </c>
      <c r="G146" s="549">
        <f>2080/F146</f>
        <v>105.74263868553766</v>
      </c>
      <c r="H146" s="550">
        <v>0</v>
      </c>
      <c r="I146" s="551">
        <v>0</v>
      </c>
      <c r="J146" s="560">
        <v>0</v>
      </c>
      <c r="K146" s="566">
        <f>Tabel6689212734[[#This Row],[Fix.ch. 2017]]+Tabel6689212734[[#This Row],[Var. ch. 2017]]+Tabel6689212734[[#This Row],[Oth. ch. DW 2017]]+Tabel6689212734[[#This Row],[VAT DW 2017]]</f>
        <v>105.74263868553766</v>
      </c>
      <c r="L146" s="567">
        <v>0</v>
      </c>
      <c r="M146" s="560">
        <v>0</v>
      </c>
      <c r="N146" s="568">
        <v>0</v>
      </c>
      <c r="O146" s="560">
        <v>0</v>
      </c>
      <c r="P146" s="569">
        <v>0</v>
      </c>
      <c r="Q146" s="560">
        <v>0</v>
      </c>
      <c r="R146" s="570">
        <f>Tabel6689212734[[#This Row],[VAT DW 2017]]+Tabel6689212734[[#This Row],[VAT Sew. 2017]]+Tabel6689212734[[#This Row],[VAT WW 2017]]+Tabel6689212734[[#This Row],[VAT Other ch. 2017]]</f>
        <v>0</v>
      </c>
      <c r="S146" s="571">
        <f>Tabel6689212734[[#This Row],[Total. ch. DW 2017]]+Tabel6689212734[[#This Row],[Sew. 2017]]+Tabel6689212734[[#This Row],[VAT Sew. 2017]]+Tabel6689212734[[#This Row],[WW 2017]]+Tabel6689212734[[#This Row],[VAT WW 2017]]+Tabel6689212734[[#This Row],[Other ch. 2017]]+Tabel6689212734[[#This Row],[VAT Other ch. 2017]]</f>
        <v>105.74263868553766</v>
      </c>
      <c r="T146" s="430"/>
      <c r="U146" s="1886"/>
      <c r="V146" s="1888"/>
      <c r="W146" s="1890"/>
      <c r="X146" s="1783"/>
      <c r="Y146" s="1892"/>
      <c r="Z146" s="1894"/>
      <c r="AA146" s="1783"/>
      <c r="AB146" s="1911"/>
      <c r="AC146" s="1783"/>
      <c r="AD146" s="1913"/>
      <c r="AE146" s="1783"/>
      <c r="AF146" s="1915"/>
      <c r="AG146" s="2053"/>
      <c r="AH146" s="397"/>
      <c r="AI146" s="396"/>
      <c r="AJ146" s="398"/>
      <c r="AK146" s="398"/>
      <c r="AL146" s="396"/>
      <c r="AM146" s="591" t="s">
        <v>429</v>
      </c>
      <c r="AN146" s="591" t="s">
        <v>429</v>
      </c>
      <c r="AO146" s="398"/>
      <c r="AP146" s="397"/>
    </row>
    <row r="147" spans="1:42" ht="15.75" hidden="1" x14ac:dyDescent="0.25">
      <c r="A147" s="1796"/>
      <c r="B147" s="657" t="s">
        <v>621</v>
      </c>
      <c r="C147" s="747"/>
      <c r="D147" s="815" t="s">
        <v>1092</v>
      </c>
      <c r="E147" s="1760"/>
      <c r="F147" s="616">
        <f>'exchange rates'!$O$41</f>
        <v>19.670400000000001</v>
      </c>
      <c r="G147" s="549">
        <f>1130/F147</f>
        <v>57.446721978200749</v>
      </c>
      <c r="H147" s="550">
        <v>0</v>
      </c>
      <c r="I147" s="551">
        <v>0</v>
      </c>
      <c r="J147" s="560">
        <v>0</v>
      </c>
      <c r="K147" s="566">
        <f>Tabel6689212734[[#This Row],[Fix.ch. 2017]]+Tabel6689212734[[#This Row],[Var. ch. 2017]]+Tabel6689212734[[#This Row],[Oth. ch. DW 2017]]+Tabel6689212734[[#This Row],[VAT DW 2017]]</f>
        <v>57.446721978200749</v>
      </c>
      <c r="L147" s="567">
        <v>0</v>
      </c>
      <c r="M147" s="560">
        <v>0</v>
      </c>
      <c r="N147" s="568">
        <f>80/F147</f>
        <v>4.0670245648283716</v>
      </c>
      <c r="O147" s="560">
        <v>0</v>
      </c>
      <c r="P147" s="569">
        <v>0</v>
      </c>
      <c r="Q147" s="560">
        <v>0</v>
      </c>
      <c r="R147" s="570">
        <f>Tabel6689212734[[#This Row],[VAT DW 2017]]+Tabel6689212734[[#This Row],[VAT Sew. 2017]]+Tabel6689212734[[#This Row],[VAT WW 2017]]+Tabel6689212734[[#This Row],[VAT Other ch. 2017]]</f>
        <v>0</v>
      </c>
      <c r="S147" s="571">
        <f>Tabel6689212734[[#This Row],[Total. ch. DW 2017]]+Tabel6689212734[[#This Row],[Sew. 2017]]+Tabel6689212734[[#This Row],[VAT Sew. 2017]]+Tabel6689212734[[#This Row],[WW 2017]]+Tabel6689212734[[#This Row],[VAT WW 2017]]+Tabel6689212734[[#This Row],[Other ch. 2017]]+Tabel6689212734[[#This Row],[VAT Other ch. 2017]]</f>
        <v>61.513746543029121</v>
      </c>
      <c r="T147" s="430"/>
      <c r="U147" s="1886"/>
      <c r="V147" s="1888"/>
      <c r="W147" s="1890"/>
      <c r="X147" s="1783"/>
      <c r="Y147" s="1892"/>
      <c r="Z147" s="1894"/>
      <c r="AA147" s="1783"/>
      <c r="AB147" s="1911"/>
      <c r="AC147" s="1783"/>
      <c r="AD147" s="1913"/>
      <c r="AE147" s="1783"/>
      <c r="AF147" s="1915"/>
      <c r="AG147" s="2053"/>
      <c r="AH147" s="397"/>
      <c r="AI147" s="591" t="s">
        <v>429</v>
      </c>
      <c r="AJ147" s="398"/>
      <c r="AK147" s="398"/>
      <c r="AL147" s="396"/>
      <c r="AM147" s="591" t="s">
        <v>429</v>
      </c>
      <c r="AN147" s="591" t="s">
        <v>429</v>
      </c>
      <c r="AO147" s="398"/>
      <c r="AP147" s="397"/>
    </row>
    <row r="148" spans="1:42" ht="15.75" hidden="1" x14ac:dyDescent="0.25">
      <c r="A148" s="1796"/>
      <c r="B148" s="657" t="s">
        <v>622</v>
      </c>
      <c r="C148" s="747"/>
      <c r="D148" s="815" t="s">
        <v>1092</v>
      </c>
      <c r="E148" s="1760"/>
      <c r="F148" s="616">
        <f>'exchange rates'!$O$41</f>
        <v>19.670400000000001</v>
      </c>
      <c r="G148" s="549">
        <f>2300/F148</f>
        <v>116.92695623881568</v>
      </c>
      <c r="H148" s="550">
        <v>0</v>
      </c>
      <c r="I148" s="551">
        <v>0</v>
      </c>
      <c r="J148" s="560">
        <v>0</v>
      </c>
      <c r="K148" s="566">
        <f>Tabel6689212734[[#This Row],[Fix.ch. 2017]]+Tabel6689212734[[#This Row],[Var. ch. 2017]]+Tabel6689212734[[#This Row],[Oth. ch. DW 2017]]+Tabel6689212734[[#This Row],[VAT DW 2017]]</f>
        <v>116.92695623881568</v>
      </c>
      <c r="L148" s="567">
        <v>0</v>
      </c>
      <c r="M148" s="560">
        <v>0</v>
      </c>
      <c r="N148" s="568">
        <v>0</v>
      </c>
      <c r="O148" s="560">
        <v>0</v>
      </c>
      <c r="P148" s="569">
        <v>0</v>
      </c>
      <c r="Q148" s="560">
        <v>0</v>
      </c>
      <c r="R148" s="570">
        <f>Tabel6689212734[[#This Row],[VAT DW 2017]]+Tabel6689212734[[#This Row],[VAT Sew. 2017]]+Tabel6689212734[[#This Row],[VAT WW 2017]]+Tabel6689212734[[#This Row],[VAT Other ch. 2017]]</f>
        <v>0</v>
      </c>
      <c r="S148" s="571">
        <f>Tabel6689212734[[#This Row],[Total. ch. DW 2017]]+Tabel6689212734[[#This Row],[Sew. 2017]]+Tabel6689212734[[#This Row],[VAT Sew. 2017]]+Tabel6689212734[[#This Row],[WW 2017]]+Tabel6689212734[[#This Row],[VAT WW 2017]]+Tabel6689212734[[#This Row],[Other ch. 2017]]+Tabel6689212734[[#This Row],[VAT Other ch. 2017]]</f>
        <v>116.92695623881568</v>
      </c>
      <c r="T148" s="430"/>
      <c r="U148" s="1886"/>
      <c r="V148" s="1888"/>
      <c r="W148" s="1890"/>
      <c r="X148" s="1783"/>
      <c r="Y148" s="1892"/>
      <c r="Z148" s="1894"/>
      <c r="AA148" s="1783"/>
      <c r="AB148" s="1911"/>
      <c r="AC148" s="1783"/>
      <c r="AD148" s="1913"/>
      <c r="AE148" s="1783"/>
      <c r="AF148" s="1915"/>
      <c r="AG148" s="2053"/>
      <c r="AH148" s="397"/>
      <c r="AI148" s="396"/>
      <c r="AJ148" s="398"/>
      <c r="AK148" s="398"/>
      <c r="AL148" s="396"/>
      <c r="AM148" s="591" t="s">
        <v>429</v>
      </c>
      <c r="AN148" s="591" t="s">
        <v>429</v>
      </c>
      <c r="AO148" s="398"/>
      <c r="AP148" s="397"/>
    </row>
    <row r="149" spans="1:42" ht="15.75" hidden="1" x14ac:dyDescent="0.25">
      <c r="A149" s="1796"/>
      <c r="B149" s="657" t="s">
        <v>623</v>
      </c>
      <c r="C149" s="747"/>
      <c r="D149" s="815" t="s">
        <v>1092</v>
      </c>
      <c r="E149" s="1760"/>
      <c r="F149" s="616">
        <f>'exchange rates'!$O$41</f>
        <v>19.670400000000001</v>
      </c>
      <c r="G149" s="549">
        <f>1200/F149</f>
        <v>61.005368472425573</v>
      </c>
      <c r="H149" s="550">
        <v>0</v>
      </c>
      <c r="I149" s="551">
        <v>0</v>
      </c>
      <c r="J149" s="560">
        <v>0</v>
      </c>
      <c r="K149" s="566">
        <f>Tabel6689212734[[#This Row],[Fix.ch. 2017]]+Tabel6689212734[[#This Row],[Var. ch. 2017]]+Tabel6689212734[[#This Row],[Oth. ch. DW 2017]]+Tabel6689212734[[#This Row],[VAT DW 2017]]</f>
        <v>61.005368472425573</v>
      </c>
      <c r="L149" s="567">
        <v>0</v>
      </c>
      <c r="M149" s="560">
        <v>0</v>
      </c>
      <c r="N149" s="568">
        <f>260/F149</f>
        <v>13.217829835692207</v>
      </c>
      <c r="O149" s="560">
        <v>0</v>
      </c>
      <c r="P149" s="569">
        <v>0</v>
      </c>
      <c r="Q149" s="560">
        <v>0</v>
      </c>
      <c r="R149" s="570">
        <f>Tabel6689212734[[#This Row],[VAT DW 2017]]+Tabel6689212734[[#This Row],[VAT Sew. 2017]]+Tabel6689212734[[#This Row],[VAT WW 2017]]+Tabel6689212734[[#This Row],[VAT Other ch. 2017]]</f>
        <v>0</v>
      </c>
      <c r="S149" s="571">
        <f>Tabel6689212734[[#This Row],[Total. ch. DW 2017]]+Tabel6689212734[[#This Row],[Sew. 2017]]+Tabel6689212734[[#This Row],[VAT Sew. 2017]]+Tabel6689212734[[#This Row],[WW 2017]]+Tabel6689212734[[#This Row],[VAT WW 2017]]+Tabel6689212734[[#This Row],[Other ch. 2017]]+Tabel6689212734[[#This Row],[VAT Other ch. 2017]]</f>
        <v>74.223198308117787</v>
      </c>
      <c r="T149" s="430"/>
      <c r="U149" s="1886"/>
      <c r="V149" s="1888"/>
      <c r="W149" s="1890"/>
      <c r="X149" s="1783"/>
      <c r="Y149" s="1892"/>
      <c r="Z149" s="1894"/>
      <c r="AA149" s="1783"/>
      <c r="AB149" s="1911"/>
      <c r="AC149" s="1783"/>
      <c r="AD149" s="1913"/>
      <c r="AE149" s="1783"/>
      <c r="AF149" s="1915"/>
      <c r="AG149" s="2053"/>
      <c r="AH149" s="397"/>
      <c r="AI149" s="396"/>
      <c r="AJ149" s="398"/>
      <c r="AK149" s="398"/>
      <c r="AL149" s="396"/>
      <c r="AM149" s="591" t="s">
        <v>429</v>
      </c>
      <c r="AN149" s="591" t="s">
        <v>429</v>
      </c>
      <c r="AO149" s="398"/>
      <c r="AP149" s="397"/>
    </row>
    <row r="150" spans="1:42" ht="16.5" hidden="1" thickBot="1" x14ac:dyDescent="0.3">
      <c r="A150" s="1797"/>
      <c r="B150" s="657" t="s">
        <v>624</v>
      </c>
      <c r="C150" s="747"/>
      <c r="D150" s="819" t="s">
        <v>1092</v>
      </c>
      <c r="E150" s="1761"/>
      <c r="F150" s="616">
        <f>'exchange rates'!$O$41</f>
        <v>19.670400000000001</v>
      </c>
      <c r="G150" s="549">
        <f>2050/F150</f>
        <v>104.21750447372702</v>
      </c>
      <c r="H150" s="550">
        <v>0</v>
      </c>
      <c r="I150" s="551">
        <v>0</v>
      </c>
      <c r="J150" s="560">
        <v>0</v>
      </c>
      <c r="K150" s="566">
        <f>Tabel6689212734[[#This Row],[Fix.ch. 2017]]+Tabel6689212734[[#This Row],[Var. ch. 2017]]+Tabel6689212734[[#This Row],[Oth. ch. DW 2017]]+Tabel6689212734[[#This Row],[VAT DW 2017]]</f>
        <v>104.21750447372702</v>
      </c>
      <c r="L150" s="567">
        <v>0</v>
      </c>
      <c r="M150" s="560">
        <v>0</v>
      </c>
      <c r="N150" s="568">
        <f>340/F150</f>
        <v>17.28485440052058</v>
      </c>
      <c r="O150" s="560">
        <v>0</v>
      </c>
      <c r="P150" s="569">
        <v>0</v>
      </c>
      <c r="Q150" s="560">
        <v>0</v>
      </c>
      <c r="R150" s="570">
        <f>Tabel6689212734[[#This Row],[VAT DW 2017]]+Tabel6689212734[[#This Row],[VAT Sew. 2017]]+Tabel6689212734[[#This Row],[VAT WW 2017]]+Tabel6689212734[[#This Row],[VAT Other ch. 2017]]</f>
        <v>0</v>
      </c>
      <c r="S150" s="571">
        <f>Tabel6689212734[[#This Row],[Total. ch. DW 2017]]+Tabel6689212734[[#This Row],[Sew. 2017]]+Tabel6689212734[[#This Row],[VAT Sew. 2017]]+Tabel6689212734[[#This Row],[WW 2017]]+Tabel6689212734[[#This Row],[VAT WW 2017]]+Tabel6689212734[[#This Row],[Other ch. 2017]]+Tabel6689212734[[#This Row],[VAT Other ch. 2017]]</f>
        <v>121.50235887424759</v>
      </c>
      <c r="T150" s="430"/>
      <c r="U150" s="1764"/>
      <c r="V150" s="1767"/>
      <c r="W150" s="1770"/>
      <c r="X150" s="1773"/>
      <c r="Y150" s="1776"/>
      <c r="Z150" s="1779"/>
      <c r="AA150" s="1773"/>
      <c r="AB150" s="1811"/>
      <c r="AC150" s="1773"/>
      <c r="AD150" s="1813"/>
      <c r="AE150" s="1773"/>
      <c r="AF150" s="1815"/>
      <c r="AG150" s="1991"/>
      <c r="AH150" s="397"/>
      <c r="AI150" s="396"/>
      <c r="AJ150" s="398"/>
      <c r="AK150" s="398"/>
      <c r="AL150" s="396"/>
      <c r="AM150" s="591" t="s">
        <v>429</v>
      </c>
      <c r="AN150" s="591" t="s">
        <v>429</v>
      </c>
      <c r="AO150" s="398"/>
      <c r="AP150" s="397"/>
    </row>
    <row r="151" spans="1:42" ht="18.75" hidden="1" x14ac:dyDescent="0.25">
      <c r="A151" s="2082" t="s">
        <v>39</v>
      </c>
      <c r="B151" s="271" t="s">
        <v>494</v>
      </c>
      <c r="C151" s="1051"/>
      <c r="D151" s="820" t="s">
        <v>1094</v>
      </c>
      <c r="E151" s="2085">
        <v>5100</v>
      </c>
      <c r="F151" s="306">
        <v>8.5832200000000007</v>
      </c>
      <c r="G151" s="319">
        <f>84/F151</f>
        <v>9.7865369872844923</v>
      </c>
      <c r="H151" s="320">
        <f>1362.08/F151</f>
        <v>158.69102737667214</v>
      </c>
      <c r="I151" s="321">
        <v>0</v>
      </c>
      <c r="J151" s="559"/>
      <c r="K151" s="313">
        <f>Tabel6689212734[[#This Row],[Fix.ch. 2017]]+Tabel6689212734[[#This Row],[Var. ch. 2017]]+Tabel6689212734[[#This Row],[Oth. ch. DW 2017]]+Tabel6689212734[[#This Row],[VAT DW 2017]]</f>
        <v>168.47756436395662</v>
      </c>
      <c r="L151" s="322">
        <f>343.44/F151</f>
        <v>40.012955510868878</v>
      </c>
      <c r="M151" s="559"/>
      <c r="N151" s="323">
        <v>0</v>
      </c>
      <c r="O151" s="559"/>
      <c r="P151" s="324">
        <v>0</v>
      </c>
      <c r="Q151" s="559"/>
      <c r="R151" s="317">
        <f>Tabel6689212734[[#This Row],[VAT DW 2017]]+Tabel6689212734[[#This Row],[VAT Sew. 2017]]+Tabel6689212734[[#This Row],[VAT WW 2017]]+Tabel6689212734[[#This Row],[VAT Other ch. 2017]]</f>
        <v>0</v>
      </c>
      <c r="S151" s="318">
        <f>Tabel6689212734[[#This Row],[Total. ch. DW 2017]]+Tabel6689212734[[#This Row],[Sew. 2017]]+Tabel6689212734[[#This Row],[VAT Sew. 2017]]+Tabel6689212734[[#This Row],[WW 2017]]+Tabel6689212734[[#This Row],[VAT WW 2017]]+Tabel6689212734[[#This Row],[Other ch. 2017]]+Tabel6689212734[[#This Row],[VAT Other ch. 2017]]</f>
        <v>208.49051987482551</v>
      </c>
      <c r="T151" s="397"/>
      <c r="U151" s="2087">
        <f>SUM(G151:G155)/5</f>
        <v>9.38109474066842</v>
      </c>
      <c r="V151" s="2089">
        <f>SUM(H151:H155)/5</f>
        <v>129.00333441295922</v>
      </c>
      <c r="W151" s="2090">
        <f>SUM(I151:I155)/5</f>
        <v>0</v>
      </c>
      <c r="X151" s="575"/>
      <c r="Y151" s="2091">
        <f>SUM(K151:K155)/5</f>
        <v>138.38442915362765</v>
      </c>
      <c r="Z151" s="2092">
        <f>SUM(L151:L155)/5</f>
        <v>34.621971707587591</v>
      </c>
      <c r="AA151" s="575"/>
      <c r="AB151" s="2073">
        <f>SUM(N151:N155)/5</f>
        <v>0</v>
      </c>
      <c r="AC151" s="575"/>
      <c r="AD151" s="2074">
        <f>SUM(P151:P155)/5</f>
        <v>0</v>
      </c>
      <c r="AE151" s="575"/>
      <c r="AF151" s="2075">
        <f t="shared" ref="AF151:AG151" si="23">SUM(R151:R155)/5</f>
        <v>0</v>
      </c>
      <c r="AG151" s="2076">
        <f t="shared" si="23"/>
        <v>173.00640086121524</v>
      </c>
      <c r="AH151" s="397"/>
      <c r="AI151" s="398"/>
      <c r="AJ151" s="398"/>
      <c r="AK151" s="398"/>
      <c r="AL151" s="396" t="s">
        <v>429</v>
      </c>
      <c r="AM151" s="398"/>
      <c r="AN151" s="398"/>
      <c r="AO151" s="398"/>
      <c r="AP151" s="397"/>
    </row>
    <row r="152" spans="1:42" ht="18.75" hidden="1" x14ac:dyDescent="0.25">
      <c r="A152" s="2083"/>
      <c r="B152" s="272" t="s">
        <v>495</v>
      </c>
      <c r="C152" s="764" t="s">
        <v>429</v>
      </c>
      <c r="D152" s="821" t="s">
        <v>1094</v>
      </c>
      <c r="E152" s="2086"/>
      <c r="F152" s="306">
        <v>8.5832200000000007</v>
      </c>
      <c r="G152" s="319">
        <f>102.6/F152</f>
        <v>11.953555891611771</v>
      </c>
      <c r="H152" s="320">
        <f>1117.04/F152</f>
        <v>130.1423009080508</v>
      </c>
      <c r="I152" s="321">
        <v>0</v>
      </c>
      <c r="J152" s="559"/>
      <c r="K152" s="313">
        <f>Tabel6689212734[[#This Row],[Fix.ch. 2017]]+Tabel6689212734[[#This Row],[Var. ch. 2017]]+Tabel6689212734[[#This Row],[Oth. ch. DW 2017]]+Tabel6689212734[[#This Row],[VAT DW 2017]]</f>
        <v>142.09585679966256</v>
      </c>
      <c r="L152" s="322">
        <f>328.8/F152</f>
        <v>38.307301921656439</v>
      </c>
      <c r="M152" s="559"/>
      <c r="N152" s="323">
        <v>0</v>
      </c>
      <c r="O152" s="559"/>
      <c r="P152" s="324">
        <v>0</v>
      </c>
      <c r="Q152" s="559"/>
      <c r="R152" s="317">
        <f>Tabel6689212734[[#This Row],[VAT DW 2017]]+Tabel6689212734[[#This Row],[VAT Sew. 2017]]+Tabel6689212734[[#This Row],[VAT WW 2017]]+Tabel6689212734[[#This Row],[VAT Other ch. 2017]]</f>
        <v>0</v>
      </c>
      <c r="S152" s="318">
        <f>Tabel6689212734[[#This Row],[Total. ch. DW 2017]]+Tabel6689212734[[#This Row],[Sew. 2017]]+Tabel6689212734[[#This Row],[VAT Sew. 2017]]+Tabel6689212734[[#This Row],[WW 2017]]+Tabel6689212734[[#This Row],[VAT WW 2017]]+Tabel6689212734[[#This Row],[Other ch. 2017]]+Tabel6689212734[[#This Row],[VAT Other ch. 2017]]</f>
        <v>180.40315872131899</v>
      </c>
      <c r="T152" s="397"/>
      <c r="U152" s="2058"/>
      <c r="V152" s="2060"/>
      <c r="W152" s="2062"/>
      <c r="X152" s="576"/>
      <c r="Y152" s="2064"/>
      <c r="Z152" s="2066"/>
      <c r="AA152" s="576"/>
      <c r="AB152" s="2068"/>
      <c r="AC152" s="576"/>
      <c r="AD152" s="2070"/>
      <c r="AE152" s="576"/>
      <c r="AF152" s="2072"/>
      <c r="AG152" s="2077"/>
      <c r="AH152" s="397"/>
      <c r="AI152" s="398"/>
      <c r="AJ152" s="398"/>
      <c r="AK152" s="398"/>
      <c r="AL152" s="396" t="s">
        <v>429</v>
      </c>
      <c r="AM152" s="398"/>
      <c r="AN152" s="398"/>
      <c r="AO152" s="398"/>
      <c r="AP152" s="397"/>
    </row>
    <row r="153" spans="1:42" ht="18.75" hidden="1" x14ac:dyDescent="0.25">
      <c r="A153" s="2083"/>
      <c r="B153" s="272" t="s">
        <v>496</v>
      </c>
      <c r="C153" s="764"/>
      <c r="D153" s="821" t="s">
        <v>1094</v>
      </c>
      <c r="E153" s="2086"/>
      <c r="F153" s="306">
        <v>8.5832200000000007</v>
      </c>
      <c r="G153" s="319">
        <f>72/F153</f>
        <v>8.3884602748152783</v>
      </c>
      <c r="H153" s="320">
        <f>1045.2/F153</f>
        <v>121.77248165606846</v>
      </c>
      <c r="I153" s="321">
        <v>0</v>
      </c>
      <c r="J153" s="559"/>
      <c r="K153" s="313">
        <f>Tabel6689212734[[#This Row],[Fix.ch. 2017]]+Tabel6689212734[[#This Row],[Var. ch. 2017]]+Tabel6689212734[[#This Row],[Oth. ch. DW 2017]]+Tabel6689212734[[#This Row],[VAT DW 2017]]</f>
        <v>130.16094193088375</v>
      </c>
      <c r="L153" s="322">
        <f>223.4/F153</f>
        <v>26.027528130468518</v>
      </c>
      <c r="M153" s="559"/>
      <c r="N153" s="323">
        <v>0</v>
      </c>
      <c r="O153" s="559"/>
      <c r="P153" s="324">
        <v>0</v>
      </c>
      <c r="Q153" s="559"/>
      <c r="R153" s="317">
        <f>Tabel6689212734[[#This Row],[VAT DW 2017]]+Tabel6689212734[[#This Row],[VAT Sew. 2017]]+Tabel6689212734[[#This Row],[VAT WW 2017]]+Tabel6689212734[[#This Row],[VAT Other ch. 2017]]</f>
        <v>0</v>
      </c>
      <c r="S153" s="318">
        <f>Tabel6689212734[[#This Row],[Total. ch. DW 2017]]+Tabel6689212734[[#This Row],[Sew. 2017]]+Tabel6689212734[[#This Row],[VAT Sew. 2017]]+Tabel6689212734[[#This Row],[WW 2017]]+Tabel6689212734[[#This Row],[VAT WW 2017]]+Tabel6689212734[[#This Row],[Other ch. 2017]]+Tabel6689212734[[#This Row],[VAT Other ch. 2017]]</f>
        <v>156.18847006135226</v>
      </c>
      <c r="T153" s="397"/>
      <c r="U153" s="2058"/>
      <c r="V153" s="2060"/>
      <c r="W153" s="2062"/>
      <c r="X153" s="576"/>
      <c r="Y153" s="2064"/>
      <c r="Z153" s="2066"/>
      <c r="AA153" s="576"/>
      <c r="AB153" s="2068"/>
      <c r="AC153" s="576"/>
      <c r="AD153" s="2070"/>
      <c r="AE153" s="576"/>
      <c r="AF153" s="2072"/>
      <c r="AG153" s="2077"/>
      <c r="AH153" s="397"/>
      <c r="AI153" s="398"/>
      <c r="AJ153" s="398"/>
      <c r="AK153" s="398"/>
      <c r="AL153" s="396" t="s">
        <v>429</v>
      </c>
      <c r="AM153" s="398"/>
      <c r="AN153" s="398"/>
      <c r="AO153" s="398"/>
      <c r="AP153" s="397"/>
    </row>
    <row r="154" spans="1:42" ht="18.75" hidden="1" x14ac:dyDescent="0.25">
      <c r="A154" s="2083"/>
      <c r="B154" s="272" t="s">
        <v>497</v>
      </c>
      <c r="C154" s="764"/>
      <c r="D154" s="821" t="s">
        <v>1094</v>
      </c>
      <c r="E154" s="2086"/>
      <c r="F154" s="306">
        <v>8.5832200000000007</v>
      </c>
      <c r="G154" s="319">
        <f>72/F154</f>
        <v>8.3884602748152783</v>
      </c>
      <c r="H154" s="320">
        <f>1074.24/F154</f>
        <v>125.15582730024396</v>
      </c>
      <c r="I154" s="321">
        <v>0</v>
      </c>
      <c r="J154" s="559"/>
      <c r="K154" s="313">
        <f>Tabel6689212734[[#This Row],[Fix.ch. 2017]]+Tabel6689212734[[#This Row],[Var. ch. 2017]]+Tabel6689212734[[#This Row],[Oth. ch. DW 2017]]+Tabel6689212734[[#This Row],[VAT DW 2017]]</f>
        <v>133.54428757505923</v>
      </c>
      <c r="L154" s="322">
        <f>233.08/F154</f>
        <v>27.155310011860351</v>
      </c>
      <c r="M154" s="559"/>
      <c r="N154" s="323">
        <v>0</v>
      </c>
      <c r="O154" s="559"/>
      <c r="P154" s="324">
        <v>0</v>
      </c>
      <c r="Q154" s="559"/>
      <c r="R154" s="317">
        <f>Tabel6689212734[[#This Row],[VAT DW 2017]]+Tabel6689212734[[#This Row],[VAT Sew. 2017]]+Tabel6689212734[[#This Row],[VAT WW 2017]]+Tabel6689212734[[#This Row],[VAT Other ch. 2017]]</f>
        <v>0</v>
      </c>
      <c r="S154" s="318">
        <f>Tabel6689212734[[#This Row],[Total. ch. DW 2017]]+Tabel6689212734[[#This Row],[Sew. 2017]]+Tabel6689212734[[#This Row],[VAT Sew. 2017]]+Tabel6689212734[[#This Row],[WW 2017]]+Tabel6689212734[[#This Row],[VAT WW 2017]]+Tabel6689212734[[#This Row],[Other ch. 2017]]+Tabel6689212734[[#This Row],[VAT Other ch. 2017]]</f>
        <v>160.69959758691959</v>
      </c>
      <c r="T154" s="397"/>
      <c r="U154" s="2058"/>
      <c r="V154" s="2060"/>
      <c r="W154" s="2062"/>
      <c r="X154" s="576"/>
      <c r="Y154" s="2064"/>
      <c r="Z154" s="2066"/>
      <c r="AA154" s="576"/>
      <c r="AB154" s="2068"/>
      <c r="AC154" s="576"/>
      <c r="AD154" s="2070"/>
      <c r="AE154" s="576"/>
      <c r="AF154" s="2072"/>
      <c r="AG154" s="2077"/>
      <c r="AH154" s="397"/>
      <c r="AI154" s="398"/>
      <c r="AJ154" s="398"/>
      <c r="AK154" s="398"/>
      <c r="AL154" s="396" t="s">
        <v>429</v>
      </c>
      <c r="AM154" s="398"/>
      <c r="AN154" s="398"/>
      <c r="AO154" s="398"/>
      <c r="AP154" s="397"/>
    </row>
    <row r="155" spans="1:42" ht="19.5" hidden="1" thickBot="1" x14ac:dyDescent="0.3">
      <c r="A155" s="2084"/>
      <c r="B155" s="273" t="s">
        <v>498</v>
      </c>
      <c r="C155" s="1052"/>
      <c r="D155" s="822" t="s">
        <v>1094</v>
      </c>
      <c r="E155" s="2008"/>
      <c r="F155" s="306">
        <v>8.5832200000000007</v>
      </c>
      <c r="G155" s="319">
        <f>72/F155</f>
        <v>8.3884602748152783</v>
      </c>
      <c r="H155" s="320">
        <f>937.76/F155</f>
        <v>109.25503482376077</v>
      </c>
      <c r="I155" s="321">
        <v>0</v>
      </c>
      <c r="J155" s="559"/>
      <c r="K155" s="313">
        <f>Tabel6689212734[[#This Row],[Fix.ch. 2017]]+Tabel6689212734[[#This Row],[Var. ch. 2017]]+Tabel6689212734[[#This Row],[Oth. ch. DW 2017]]+Tabel6689212734[[#This Row],[VAT DW 2017]]</f>
        <v>117.64349509857604</v>
      </c>
      <c r="L155" s="322">
        <f>357.12/F155</f>
        <v>41.606762963083781</v>
      </c>
      <c r="M155" s="559"/>
      <c r="N155" s="323">
        <v>0</v>
      </c>
      <c r="O155" s="559"/>
      <c r="P155" s="324">
        <v>0</v>
      </c>
      <c r="Q155" s="559"/>
      <c r="R155" s="317">
        <f>Tabel6689212734[[#This Row],[VAT DW 2017]]+Tabel6689212734[[#This Row],[VAT Sew. 2017]]+Tabel6689212734[[#This Row],[VAT WW 2017]]+Tabel6689212734[[#This Row],[VAT Other ch. 2017]]</f>
        <v>0</v>
      </c>
      <c r="S155" s="318">
        <f>Tabel6689212734[[#This Row],[Total. ch. DW 2017]]+Tabel6689212734[[#This Row],[Sew. 2017]]+Tabel6689212734[[#This Row],[VAT Sew. 2017]]+Tabel6689212734[[#This Row],[WW 2017]]+Tabel6689212734[[#This Row],[VAT WW 2017]]+Tabel6689212734[[#This Row],[Other ch. 2017]]+Tabel6689212734[[#This Row],[VAT Other ch. 2017]]</f>
        <v>159.25025806165982</v>
      </c>
      <c r="T155" s="397"/>
      <c r="U155" s="2088"/>
      <c r="V155" s="2013"/>
      <c r="W155" s="2015"/>
      <c r="X155" s="577"/>
      <c r="Y155" s="2017"/>
      <c r="Z155" s="2019"/>
      <c r="AA155" s="577"/>
      <c r="AB155" s="2021"/>
      <c r="AC155" s="577"/>
      <c r="AD155" s="2030"/>
      <c r="AE155" s="577"/>
      <c r="AF155" s="1993"/>
      <c r="AG155" s="1995"/>
      <c r="AH155" s="397"/>
      <c r="AI155" s="398"/>
      <c r="AJ155" s="398"/>
      <c r="AK155" s="398"/>
      <c r="AL155" s="396" t="s">
        <v>429</v>
      </c>
      <c r="AM155" s="398"/>
      <c r="AN155" s="398"/>
      <c r="AO155" s="398"/>
      <c r="AP155" s="397"/>
    </row>
    <row r="156" spans="1:42" ht="19.5" hidden="1" thickBot="1" x14ac:dyDescent="0.3">
      <c r="A156" s="961" t="s">
        <v>734</v>
      </c>
      <c r="B156" s="260" t="s">
        <v>735</v>
      </c>
      <c r="C156" s="1049"/>
      <c r="D156" s="817" t="s">
        <v>1104</v>
      </c>
      <c r="E156" s="1041">
        <v>11300</v>
      </c>
      <c r="F156" s="306">
        <f>'exchange rates'!M43</f>
        <v>15.682219999999999</v>
      </c>
      <c r="G156" s="319"/>
      <c r="H156" s="320"/>
      <c r="I156" s="321"/>
      <c r="J156" s="559"/>
      <c r="K156" s="313">
        <f>Tabel6689212734[[#This Row],[Fix.ch. 2017]]+Tabel6689212734[[#This Row],[Var. ch. 2017]]+Tabel6689212734[[#This Row],[Oth. ch. DW 2017]]+Tabel6689212734[[#This Row],[VAT DW 2017]]</f>
        <v>0</v>
      </c>
      <c r="L156" s="322"/>
      <c r="M156" s="559"/>
      <c r="N156" s="323"/>
      <c r="O156" s="559"/>
      <c r="P156" s="324"/>
      <c r="Q156" s="559"/>
      <c r="R156" s="317">
        <f>Tabel6689212734[[#This Row],[VAT DW 2017]]+Tabel6689212734[[#This Row],[VAT Sew. 2017]]+Tabel6689212734[[#This Row],[VAT WW 2017]]+Tabel6689212734[[#This Row],[VAT Other ch. 2017]]</f>
        <v>0</v>
      </c>
      <c r="S156" s="318">
        <f>Tabel6689212734[[#This Row],[Total. ch. DW 2017]]+Tabel6689212734[[#This Row],[Sew. 2017]]+Tabel6689212734[[#This Row],[VAT Sew. 2017]]+Tabel6689212734[[#This Row],[WW 2017]]+Tabel6689212734[[#This Row],[VAT WW 2017]]+Tabel6689212734[[#This Row],[Other ch. 2017]]+Tabel6689212734[[#This Row],[VAT Other ch. 2017]]</f>
        <v>0</v>
      </c>
      <c r="T156" s="397"/>
      <c r="U156" s="992"/>
      <c r="V156" s="1043"/>
      <c r="W156" s="1042"/>
      <c r="X156" s="576"/>
      <c r="Y156" s="977"/>
      <c r="Z156" s="978"/>
      <c r="AA156" s="576"/>
      <c r="AB156" s="980"/>
      <c r="AC156" s="576"/>
      <c r="AD156" s="976"/>
      <c r="AE156" s="576"/>
      <c r="AF156" s="1028"/>
      <c r="AG156" s="1044"/>
      <c r="AH156" s="397"/>
      <c r="AI156" s="398"/>
      <c r="AJ156" s="398"/>
      <c r="AK156" s="398"/>
      <c r="AL156" s="396"/>
      <c r="AM156" s="398"/>
      <c r="AN156" s="398"/>
      <c r="AO156" s="398"/>
      <c r="AP156" s="397"/>
    </row>
    <row r="157" spans="1:42" ht="15.75" hidden="1" customHeight="1" x14ac:dyDescent="0.25">
      <c r="A157" s="2078" t="s">
        <v>20</v>
      </c>
      <c r="B157" s="631" t="s">
        <v>182</v>
      </c>
      <c r="C157" s="631" t="s">
        <v>429</v>
      </c>
      <c r="D157" s="631" t="s">
        <v>1106</v>
      </c>
      <c r="E157" s="1966">
        <v>53600</v>
      </c>
      <c r="F157" s="616">
        <f>'exchange rates'!$O$44</f>
        <v>0.83301000000000003</v>
      </c>
      <c r="G157" s="549">
        <f>42.15/F157</f>
        <v>50.599632657471098</v>
      </c>
      <c r="H157" s="550">
        <f>118/F157</f>
        <v>141.65496212530462</v>
      </c>
      <c r="I157" s="551">
        <v>0</v>
      </c>
      <c r="J157" s="560">
        <f>9.61/F157</f>
        <v>11.536476152747264</v>
      </c>
      <c r="K157" s="566">
        <f>Tabel6689212734[[#This Row],[Fix.ch. 2017]]+Tabel6689212734[[#This Row],[Var. ch. 2017]]+Tabel6689212734[[#This Row],[Oth. ch. DW 2017]]+Tabel6689212734[[#This Row],[VAT DW 2017]]</f>
        <v>203.79107093552298</v>
      </c>
      <c r="L157" s="567">
        <f>128/F157</f>
        <v>153.65961993253381</v>
      </c>
      <c r="M157" s="560">
        <f>0</f>
        <v>0</v>
      </c>
      <c r="N157" s="568">
        <f>157.95/F157</f>
        <v>189.61357006518529</v>
      </c>
      <c r="O157" s="560">
        <v>0</v>
      </c>
      <c r="P157" s="569">
        <f>33.6/F157</f>
        <v>40.335650232290128</v>
      </c>
      <c r="Q157" s="560">
        <f>2.02/F157</f>
        <v>2.4249408770602994</v>
      </c>
      <c r="R157" s="570">
        <f>Tabel6689212734[[#This Row],[VAT DW 2017]]+Tabel6689212734[[#This Row],[VAT Sew. 2017]]+Tabel6689212734[[#This Row],[VAT WW 2017]]+Tabel6689212734[[#This Row],[VAT Other ch. 2017]]</f>
        <v>13.961417029807563</v>
      </c>
      <c r="S157" s="571">
        <f>Tabel6689212734[[#This Row],[Total. ch. DW 2017]]+Tabel6689212734[[#This Row],[Sew. 2017]]+Tabel6689212734[[#This Row],[VAT Sew. 2017]]+Tabel6689212734[[#This Row],[WW 2017]]+Tabel6689212734[[#This Row],[VAT WW 2017]]+Tabel6689212734[[#This Row],[Other ch. 2017]]+Tabel6689212734[[#This Row],[VAT Other ch. 2017]]</f>
        <v>589.82485204259251</v>
      </c>
      <c r="T157" s="397"/>
      <c r="U157" s="2080">
        <f>MEDIAN(G157:G161)</f>
        <v>70.827481062652311</v>
      </c>
      <c r="V157" s="1825">
        <f>MEDIAN(H157:H161)</f>
        <v>108.04192026506284</v>
      </c>
      <c r="W157" s="1826">
        <f>MEDIAN(I157:I161)</f>
        <v>0</v>
      </c>
      <c r="X157" s="1771">
        <f>MEDIAN(J157:J161)</f>
        <v>11.296382996602681</v>
      </c>
      <c r="Y157" s="1827">
        <f>SUM(U157:X161)</f>
        <v>190.16578432431783</v>
      </c>
      <c r="Z157" s="1828">
        <f t="shared" ref="Z157" si="24">MEDIAN(L157:L161)</f>
        <v>172.86707242410054</v>
      </c>
      <c r="AA157" s="1771">
        <f>MEDIAN(M157:M161)</f>
        <v>0</v>
      </c>
      <c r="AB157" s="1829">
        <f t="shared" ref="AB157" si="25">MEDIAN(N157:N161)</f>
        <v>191.94247367978772</v>
      </c>
      <c r="AC157" s="1771">
        <f>MEDIAN(O157:O161)</f>
        <v>0</v>
      </c>
      <c r="AD157" s="1830">
        <f t="shared" ref="AD157" si="26">MEDIAN(P157:P161)</f>
        <v>40.335650232290128</v>
      </c>
      <c r="AE157" s="1771">
        <f>MEDIAN(Q157:Q161)</f>
        <v>2.4249408770602994</v>
      </c>
      <c r="AF157" s="1816">
        <f t="shared" ref="AF157" si="27">MEDIAN(R157:R161)</f>
        <v>13.72132387366298</v>
      </c>
      <c r="AG157" s="1817">
        <f>Y157+Z157+AA157+AB157+AC157+AD157+AE157</f>
        <v>597.73592153755646</v>
      </c>
      <c r="AH157" s="397"/>
      <c r="AI157" s="591" t="s">
        <v>429</v>
      </c>
      <c r="AJ157" s="591" t="s">
        <v>429</v>
      </c>
      <c r="AK157" s="591"/>
      <c r="AL157" s="591"/>
      <c r="AM157" s="591" t="s">
        <v>429</v>
      </c>
      <c r="AN157" s="591"/>
      <c r="AO157" s="712" t="s">
        <v>925</v>
      </c>
      <c r="AP157" s="397"/>
    </row>
    <row r="158" spans="1:42" ht="15.75" hidden="1" customHeight="1" x14ac:dyDescent="0.25">
      <c r="A158" s="2079"/>
      <c r="B158" s="631" t="s">
        <v>183</v>
      </c>
      <c r="C158" s="631"/>
      <c r="D158" s="631" t="s">
        <v>1106</v>
      </c>
      <c r="E158" s="1967"/>
      <c r="F158" s="616">
        <f>'exchange rates'!$O$44</f>
        <v>0.83301000000000003</v>
      </c>
      <c r="G158" s="549">
        <f>59/F158</f>
        <v>70.827481062652311</v>
      </c>
      <c r="H158" s="550">
        <f>90/F158</f>
        <v>108.04192026506284</v>
      </c>
      <c r="I158" s="551">
        <f>7.84/F158</f>
        <v>9.4116517208676953</v>
      </c>
      <c r="J158" s="560">
        <f>9.41/F158</f>
        <v>11.296382996602681</v>
      </c>
      <c r="K158" s="566">
        <f>Tabel6689212734[[#This Row],[Fix.ch. 2017]]+Tabel6689212734[[#This Row],[Var. ch. 2017]]+Tabel6689212734[[#This Row],[Oth. ch. DW 2017]]+Tabel6689212734[[#This Row],[VAT DW 2017]]</f>
        <v>199.57743604518552</v>
      </c>
      <c r="L158" s="567">
        <f>190/F158</f>
        <v>228.08849833735488</v>
      </c>
      <c r="M158" s="560">
        <v>0</v>
      </c>
      <c r="N158" s="568">
        <f>159.89/F158</f>
        <v>191.94247367978772</v>
      </c>
      <c r="O158" s="560">
        <v>0</v>
      </c>
      <c r="P158" s="569">
        <f>33.6/F158</f>
        <v>40.335650232290128</v>
      </c>
      <c r="Q158" s="560">
        <f t="shared" ref="Q158:Q161" si="28">2.02/F158</f>
        <v>2.4249408770602994</v>
      </c>
      <c r="R158" s="570">
        <f>Tabel6689212734[[#This Row],[VAT DW 2017]]+Tabel6689212734[[#This Row],[VAT Sew. 2017]]+Tabel6689212734[[#This Row],[VAT WW 2017]]+Tabel6689212734[[#This Row],[VAT Other ch. 2017]]</f>
        <v>13.72132387366298</v>
      </c>
      <c r="S158" s="571">
        <f>Tabel6689212734[[#This Row],[Total. ch. DW 2017]]+Tabel6689212734[[#This Row],[Sew. 2017]]+Tabel6689212734[[#This Row],[VAT Sew. 2017]]+Tabel6689212734[[#This Row],[WW 2017]]+Tabel6689212734[[#This Row],[VAT WW 2017]]+Tabel6689212734[[#This Row],[Other ch. 2017]]+Tabel6689212734[[#This Row],[VAT Other ch. 2017]]</f>
        <v>662.36899917167864</v>
      </c>
      <c r="T158" s="397"/>
      <c r="U158" s="2081"/>
      <c r="V158" s="1766"/>
      <c r="W158" s="1769"/>
      <c r="X158" s="1772"/>
      <c r="Y158" s="1775"/>
      <c r="Z158" s="1778"/>
      <c r="AA158" s="1772"/>
      <c r="AB158" s="1781"/>
      <c r="AC158" s="1772"/>
      <c r="AD158" s="1785"/>
      <c r="AE158" s="1772"/>
      <c r="AF158" s="1788"/>
      <c r="AG158" s="1791"/>
      <c r="AH158" s="397"/>
      <c r="AI158" s="591" t="s">
        <v>429</v>
      </c>
      <c r="AJ158" s="591" t="s">
        <v>429</v>
      </c>
      <c r="AK158" s="591"/>
      <c r="AL158" s="591"/>
      <c r="AM158" s="591" t="s">
        <v>429</v>
      </c>
      <c r="AN158" s="591"/>
      <c r="AO158" s="712" t="s">
        <v>925</v>
      </c>
      <c r="AP158" s="397"/>
    </row>
    <row r="159" spans="1:42" ht="15.75" hidden="1" customHeight="1" x14ac:dyDescent="0.25">
      <c r="A159" s="2079"/>
      <c r="B159" s="631" t="s">
        <v>184</v>
      </c>
      <c r="C159" s="631"/>
      <c r="D159" s="631" t="s">
        <v>1106</v>
      </c>
      <c r="E159" s="1967"/>
      <c r="F159" s="616">
        <f>'exchange rates'!$O$44</f>
        <v>0.83301000000000003</v>
      </c>
      <c r="G159" s="549">
        <f>61.18/F159</f>
        <v>73.444496464628273</v>
      </c>
      <c r="H159" s="550">
        <f>102/F159</f>
        <v>122.44750963373788</v>
      </c>
      <c r="I159" s="551">
        <f>18.4/F159</f>
        <v>22.088570365301734</v>
      </c>
      <c r="J159" s="560">
        <f>10.89/F159</f>
        <v>13.073072352072604</v>
      </c>
      <c r="K159" s="566">
        <f>Tabel6689212734[[#This Row],[Fix.ch. 2017]]+Tabel6689212734[[#This Row],[Var. ch. 2017]]+Tabel6689212734[[#This Row],[Oth. ch. DW 2017]]+Tabel6689212734[[#This Row],[VAT DW 2017]]</f>
        <v>231.0536488157405</v>
      </c>
      <c r="L159" s="567">
        <f>137/F159</f>
        <v>164.4638119590401</v>
      </c>
      <c r="M159" s="560">
        <v>0</v>
      </c>
      <c r="N159" s="568">
        <f>280.5/F159</f>
        <v>336.7306514927792</v>
      </c>
      <c r="O159" s="560">
        <v>0</v>
      </c>
      <c r="P159" s="569">
        <f>33.6/F159</f>
        <v>40.335650232290128</v>
      </c>
      <c r="Q159" s="560">
        <f t="shared" si="28"/>
        <v>2.4249408770602994</v>
      </c>
      <c r="R159" s="570">
        <f>Tabel6689212734[[#This Row],[VAT DW 2017]]+Tabel6689212734[[#This Row],[VAT Sew. 2017]]+Tabel6689212734[[#This Row],[VAT WW 2017]]+Tabel6689212734[[#This Row],[VAT Other ch. 2017]]</f>
        <v>15.498013229132903</v>
      </c>
      <c r="S159" s="571">
        <f>Tabel6689212734[[#This Row],[Total. ch. DW 2017]]+Tabel6689212734[[#This Row],[Sew. 2017]]+Tabel6689212734[[#This Row],[VAT Sew. 2017]]+Tabel6689212734[[#This Row],[WW 2017]]+Tabel6689212734[[#This Row],[VAT WW 2017]]+Tabel6689212734[[#This Row],[Other ch. 2017]]+Tabel6689212734[[#This Row],[VAT Other ch. 2017]]</f>
        <v>775.00870337691026</v>
      </c>
      <c r="T159" s="397"/>
      <c r="U159" s="2081"/>
      <c r="V159" s="1766"/>
      <c r="W159" s="1769"/>
      <c r="X159" s="1772"/>
      <c r="Y159" s="1775"/>
      <c r="Z159" s="1778"/>
      <c r="AA159" s="1772"/>
      <c r="AB159" s="1781"/>
      <c r="AC159" s="1772"/>
      <c r="AD159" s="1785"/>
      <c r="AE159" s="1772"/>
      <c r="AF159" s="1788"/>
      <c r="AG159" s="1791"/>
      <c r="AH159" s="397"/>
      <c r="AI159" s="614"/>
      <c r="AJ159" s="591" t="s">
        <v>429</v>
      </c>
      <c r="AK159" s="591"/>
      <c r="AL159" s="591"/>
      <c r="AM159" s="591" t="s">
        <v>429</v>
      </c>
      <c r="AN159" s="591"/>
      <c r="AO159" s="712" t="s">
        <v>925</v>
      </c>
      <c r="AP159" s="397"/>
    </row>
    <row r="160" spans="1:42" ht="15.75" hidden="1" customHeight="1" x14ac:dyDescent="0.25">
      <c r="A160" s="2079"/>
      <c r="B160" s="631" t="s">
        <v>185</v>
      </c>
      <c r="C160" s="631"/>
      <c r="D160" s="631" t="s">
        <v>1106</v>
      </c>
      <c r="E160" s="1967"/>
      <c r="F160" s="616">
        <f>'exchange rates'!$O$44</f>
        <v>0.83301000000000003</v>
      </c>
      <c r="G160" s="549">
        <f>45/F160</f>
        <v>54.020960132531421</v>
      </c>
      <c r="H160" s="550">
        <f>63/F160</f>
        <v>75.629344185543985</v>
      </c>
      <c r="I160" s="551">
        <v>0</v>
      </c>
      <c r="J160" s="560">
        <f>6.48/F160</f>
        <v>7.7790182590845252</v>
      </c>
      <c r="K160" s="566">
        <f>Tabel6689212734[[#This Row],[Fix.ch. 2017]]+Tabel6689212734[[#This Row],[Var. ch. 2017]]+Tabel6689212734[[#This Row],[Oth. ch. DW 2017]]+Tabel6689212734[[#This Row],[VAT DW 2017]]</f>
        <v>137.42932257715992</v>
      </c>
      <c r="L160" s="567">
        <f>220/F160</f>
        <v>264.10247175904249</v>
      </c>
      <c r="M160" s="560">
        <v>0</v>
      </c>
      <c r="N160" s="568">
        <f>192.24/F160</f>
        <v>230.77754168617423</v>
      </c>
      <c r="O160" s="560">
        <v>0</v>
      </c>
      <c r="P160" s="569">
        <f>33.6/F160</f>
        <v>40.335650232290128</v>
      </c>
      <c r="Q160" s="560">
        <f t="shared" si="28"/>
        <v>2.4249408770602994</v>
      </c>
      <c r="R160" s="570">
        <f>Tabel6689212734[[#This Row],[VAT DW 2017]]+Tabel6689212734[[#This Row],[VAT Sew. 2017]]+Tabel6689212734[[#This Row],[VAT WW 2017]]+Tabel6689212734[[#This Row],[VAT Other ch. 2017]]</f>
        <v>10.203959136144825</v>
      </c>
      <c r="S160" s="571">
        <f>Tabel6689212734[[#This Row],[Total. ch. DW 2017]]+Tabel6689212734[[#This Row],[Sew. 2017]]+Tabel6689212734[[#This Row],[VAT Sew. 2017]]+Tabel6689212734[[#This Row],[WW 2017]]+Tabel6689212734[[#This Row],[VAT WW 2017]]+Tabel6689212734[[#This Row],[Other ch. 2017]]+Tabel6689212734[[#This Row],[VAT Other ch. 2017]]</f>
        <v>675.06992713172713</v>
      </c>
      <c r="T160" s="397"/>
      <c r="U160" s="2081"/>
      <c r="V160" s="1766"/>
      <c r="W160" s="1769"/>
      <c r="X160" s="1772"/>
      <c r="Y160" s="1775"/>
      <c r="Z160" s="1778"/>
      <c r="AA160" s="1772"/>
      <c r="AB160" s="1781"/>
      <c r="AC160" s="1772"/>
      <c r="AD160" s="1785"/>
      <c r="AE160" s="1772"/>
      <c r="AF160" s="1788"/>
      <c r="AG160" s="1791"/>
      <c r="AH160" s="397"/>
      <c r="AI160" s="614"/>
      <c r="AJ160" s="591" t="s">
        <v>429</v>
      </c>
      <c r="AK160" s="591"/>
      <c r="AL160" s="591"/>
      <c r="AM160" s="591" t="s">
        <v>429</v>
      </c>
      <c r="AN160" s="591"/>
      <c r="AO160" s="712" t="s">
        <v>925</v>
      </c>
      <c r="AP160" s="397"/>
    </row>
    <row r="161" spans="1:42" ht="16.5" hidden="1" customHeight="1" thickBot="1" x14ac:dyDescent="0.3">
      <c r="A161" s="2079"/>
      <c r="B161" s="631" t="s">
        <v>186</v>
      </c>
      <c r="C161" s="631"/>
      <c r="D161" s="631" t="s">
        <v>1106</v>
      </c>
      <c r="E161" s="1967"/>
      <c r="F161" s="616">
        <f>'exchange rates'!$O$44</f>
        <v>0.83301000000000003</v>
      </c>
      <c r="G161" s="549">
        <f>70.44/F161</f>
        <v>84.560809594122517</v>
      </c>
      <c r="H161" s="550">
        <f>46.15/F161</f>
        <v>55.401495780362779</v>
      </c>
      <c r="I161" s="551">
        <v>0</v>
      </c>
      <c r="J161" s="560">
        <f>7/F161</f>
        <v>8.403260465060443</v>
      </c>
      <c r="K161" s="566">
        <f>Tabel6689212734[[#This Row],[Fix.ch. 2017]]+Tabel6689212734[[#This Row],[Var. ch. 2017]]+Tabel6689212734[[#This Row],[Oth. ch. DW 2017]]+Tabel6689212734[[#This Row],[VAT DW 2017]]</f>
        <v>148.36556583954575</v>
      </c>
      <c r="L161" s="567">
        <f>144/F161</f>
        <v>172.86707242410054</v>
      </c>
      <c r="M161" s="560">
        <v>0</v>
      </c>
      <c r="N161" s="568">
        <f>145.44/F161</f>
        <v>174.59574314834154</v>
      </c>
      <c r="O161" s="560">
        <v>0</v>
      </c>
      <c r="P161" s="569">
        <f>33.6/F161</f>
        <v>40.335650232290128</v>
      </c>
      <c r="Q161" s="560">
        <f t="shared" si="28"/>
        <v>2.4249408770602994</v>
      </c>
      <c r="R161" s="570">
        <f>Tabel6689212734[[#This Row],[VAT DW 2017]]+Tabel6689212734[[#This Row],[VAT Sew. 2017]]+Tabel6689212734[[#This Row],[VAT WW 2017]]+Tabel6689212734[[#This Row],[VAT Other ch. 2017]]</f>
        <v>10.828201342120742</v>
      </c>
      <c r="S161" s="571">
        <f>Tabel6689212734[[#This Row],[Total. ch. DW 2017]]+Tabel6689212734[[#This Row],[Sew. 2017]]+Tabel6689212734[[#This Row],[VAT Sew. 2017]]+Tabel6689212734[[#This Row],[WW 2017]]+Tabel6689212734[[#This Row],[VAT WW 2017]]+Tabel6689212734[[#This Row],[Other ch. 2017]]+Tabel6689212734[[#This Row],[VAT Other ch. 2017]]</f>
        <v>538.58897252133829</v>
      </c>
      <c r="T161" s="397"/>
      <c r="U161" s="2081"/>
      <c r="V161" s="1766"/>
      <c r="W161" s="1769"/>
      <c r="X161" s="1773"/>
      <c r="Y161" s="1775"/>
      <c r="Z161" s="1778"/>
      <c r="AA161" s="1773"/>
      <c r="AB161" s="1781"/>
      <c r="AC161" s="1773"/>
      <c r="AD161" s="1785"/>
      <c r="AE161" s="1773"/>
      <c r="AF161" s="1788"/>
      <c r="AG161" s="1791"/>
      <c r="AH161" s="397"/>
      <c r="AI161" s="614"/>
      <c r="AJ161" s="591" t="s">
        <v>429</v>
      </c>
      <c r="AK161" s="591"/>
      <c r="AL161" s="591"/>
      <c r="AM161" s="591" t="s">
        <v>429</v>
      </c>
      <c r="AN161" s="591"/>
      <c r="AO161" s="712" t="s">
        <v>925</v>
      </c>
      <c r="AP161" s="397"/>
    </row>
    <row r="162" spans="1:42" ht="18.75" hidden="1" x14ac:dyDescent="0.25">
      <c r="A162" s="2004" t="s">
        <v>527</v>
      </c>
      <c r="B162" s="275" t="s">
        <v>528</v>
      </c>
      <c r="C162" s="809" t="s">
        <v>429</v>
      </c>
      <c r="D162" s="809" t="s">
        <v>1108</v>
      </c>
      <c r="E162" s="2111">
        <v>27900</v>
      </c>
      <c r="F162" s="306">
        <v>1.28559</v>
      </c>
      <c r="G162" s="319">
        <f>125/F162</f>
        <v>97.231621278945852</v>
      </c>
      <c r="H162" s="320">
        <v>0</v>
      </c>
      <c r="I162" s="321">
        <f>220/F162</f>
        <v>171.12765345094471</v>
      </c>
      <c r="J162" s="559"/>
      <c r="K162" s="313">
        <f>Tabel6689212734[[#This Row],[Fix.ch. 2017]]+Tabel6689212734[[#This Row],[Var. ch. 2017]]+Tabel6689212734[[#This Row],[Oth. ch. DW 2017]]+Tabel6689212734[[#This Row],[VAT DW 2017]]</f>
        <v>268.35927472989056</v>
      </c>
      <c r="L162" s="322">
        <v>0</v>
      </c>
      <c r="M162" s="559"/>
      <c r="N162" s="323">
        <f>280/F162</f>
        <v>217.7988316648387</v>
      </c>
      <c r="O162" s="559"/>
      <c r="P162" s="324">
        <v>0</v>
      </c>
      <c r="Q162" s="559"/>
      <c r="R162" s="317">
        <f>Tabel6689212734[[#This Row],[VAT DW 2017]]+Tabel6689212734[[#This Row],[VAT Sew. 2017]]+Tabel6689212734[[#This Row],[VAT WW 2017]]+Tabel6689212734[[#This Row],[VAT Other ch. 2017]]</f>
        <v>0</v>
      </c>
      <c r="S162" s="318">
        <f>Tabel6689212734[[#This Row],[Total. ch. DW 2017]]+Tabel6689212734[[#This Row],[Sew. 2017]]+Tabel6689212734[[#This Row],[VAT Sew. 2017]]+Tabel6689212734[[#This Row],[WW 2017]]+Tabel6689212734[[#This Row],[VAT WW 2017]]+Tabel6689212734[[#This Row],[Other ch. 2017]]+Tabel6689212734[[#This Row],[VAT Other ch. 2017]]</f>
        <v>486.15810639472926</v>
      </c>
      <c r="T162" s="397"/>
      <c r="U162" s="2112">
        <f>SUM(G162:G166)/5</f>
        <v>118.23365147519814</v>
      </c>
      <c r="V162" s="2113">
        <f>SUM(H162:H166)/5</f>
        <v>98.009474249177416</v>
      </c>
      <c r="W162" s="2114">
        <f>SUM(I162:I166)/5</f>
        <v>34.22553069018894</v>
      </c>
      <c r="X162" s="575"/>
      <c r="Y162" s="2115">
        <f>SUM(K162:K166)/5</f>
        <v>250.46865641456452</v>
      </c>
      <c r="Z162" s="2116">
        <f>SUM(L162:L166)/5</f>
        <v>0</v>
      </c>
      <c r="AA162" s="575"/>
      <c r="AB162" s="2117">
        <f>SUM(N162:N166)/5</f>
        <v>238.80086186109102</v>
      </c>
      <c r="AC162" s="575"/>
      <c r="AD162" s="2118">
        <f>SUM(P162:P166)/5</f>
        <v>0</v>
      </c>
      <c r="AE162" s="575"/>
      <c r="AF162" s="2093">
        <f t="shared" ref="AF162:AG162" si="29">SUM(R162:R166)/5</f>
        <v>0</v>
      </c>
      <c r="AG162" s="2094">
        <f t="shared" si="29"/>
        <v>489.26951827565551</v>
      </c>
      <c r="AH162" s="397"/>
      <c r="AI162" s="398"/>
      <c r="AJ162" s="398"/>
      <c r="AK162" s="398"/>
      <c r="AL162" s="398"/>
      <c r="AM162" s="398"/>
      <c r="AN162" s="398"/>
      <c r="AO162" s="398"/>
      <c r="AP162" s="397"/>
    </row>
    <row r="163" spans="1:42" ht="18.75" hidden="1" x14ac:dyDescent="0.25">
      <c r="A163" s="2005"/>
      <c r="B163" s="261" t="s">
        <v>529</v>
      </c>
      <c r="C163" s="261"/>
      <c r="D163" s="261" t="s">
        <v>1108</v>
      </c>
      <c r="E163" s="1837"/>
      <c r="F163" s="306">
        <v>1.28559</v>
      </c>
      <c r="G163" s="319">
        <f>360/F163</f>
        <v>280.02706928336403</v>
      </c>
      <c r="H163" s="320">
        <v>0</v>
      </c>
      <c r="I163" s="321">
        <v>0</v>
      </c>
      <c r="J163" s="559"/>
      <c r="K163" s="313">
        <f>Tabel6689212734[[#This Row],[Fix.ch. 2017]]+Tabel6689212734[[#This Row],[Var. ch. 2017]]+Tabel6689212734[[#This Row],[Oth. ch. DW 2017]]+Tabel6689212734[[#This Row],[VAT DW 2017]]</f>
        <v>280.02706928336403</v>
      </c>
      <c r="L163" s="322">
        <v>0</v>
      </c>
      <c r="M163" s="559"/>
      <c r="N163" s="323">
        <f>310/F163</f>
        <v>241.13442077178573</v>
      </c>
      <c r="O163" s="559"/>
      <c r="P163" s="324">
        <v>0</v>
      </c>
      <c r="Q163" s="559"/>
      <c r="R163" s="317">
        <f>Tabel6689212734[[#This Row],[VAT DW 2017]]+Tabel6689212734[[#This Row],[VAT Sew. 2017]]+Tabel6689212734[[#This Row],[VAT WW 2017]]+Tabel6689212734[[#This Row],[VAT Other ch. 2017]]</f>
        <v>0</v>
      </c>
      <c r="S163" s="318">
        <f>Tabel6689212734[[#This Row],[Total. ch. DW 2017]]+Tabel6689212734[[#This Row],[Sew. 2017]]+Tabel6689212734[[#This Row],[VAT Sew. 2017]]+Tabel6689212734[[#This Row],[WW 2017]]+Tabel6689212734[[#This Row],[VAT WW 2017]]+Tabel6689212734[[#This Row],[Other ch. 2017]]+Tabel6689212734[[#This Row],[VAT Other ch. 2017]]</f>
        <v>521.16149005514978</v>
      </c>
      <c r="T163" s="397"/>
      <c r="U163" s="1840"/>
      <c r="V163" s="1843"/>
      <c r="W163" s="1846"/>
      <c r="X163" s="576"/>
      <c r="Y163" s="1849"/>
      <c r="Z163" s="1852"/>
      <c r="AA163" s="576"/>
      <c r="AB163" s="1855"/>
      <c r="AC163" s="576"/>
      <c r="AD163" s="1858"/>
      <c r="AE163" s="576"/>
      <c r="AF163" s="1873"/>
      <c r="AG163" s="1876"/>
      <c r="AH163" s="397"/>
      <c r="AI163" s="398"/>
      <c r="AJ163" s="398"/>
      <c r="AK163" s="398"/>
      <c r="AL163" s="398"/>
      <c r="AM163" s="398"/>
      <c r="AN163" s="398"/>
      <c r="AO163" s="398"/>
      <c r="AP163" s="397"/>
    </row>
    <row r="164" spans="1:42" ht="18.75" hidden="1" x14ac:dyDescent="0.25">
      <c r="A164" s="2005"/>
      <c r="B164" s="261" t="s">
        <v>530</v>
      </c>
      <c r="C164" s="261"/>
      <c r="D164" s="261" t="s">
        <v>1108</v>
      </c>
      <c r="E164" s="1837"/>
      <c r="F164" s="306">
        <v>1.28559</v>
      </c>
      <c r="G164" s="319">
        <f>225/F164</f>
        <v>175.01691830210254</v>
      </c>
      <c r="H164" s="320">
        <v>0</v>
      </c>
      <c r="I164" s="321">
        <v>0</v>
      </c>
      <c r="J164" s="559"/>
      <c r="K164" s="313">
        <f>Tabel6689212734[[#This Row],[Fix.ch. 2017]]+Tabel6689212734[[#This Row],[Var. ch. 2017]]+Tabel6689212734[[#This Row],[Oth. ch. DW 2017]]+Tabel6689212734[[#This Row],[VAT DW 2017]]</f>
        <v>175.01691830210254</v>
      </c>
      <c r="L164" s="322">
        <v>0</v>
      </c>
      <c r="M164" s="559"/>
      <c r="N164" s="323">
        <f>125/F164</f>
        <v>97.231621278945852</v>
      </c>
      <c r="O164" s="559"/>
      <c r="P164" s="324">
        <v>0</v>
      </c>
      <c r="Q164" s="559"/>
      <c r="R164" s="317">
        <f>Tabel6689212734[[#This Row],[VAT DW 2017]]+Tabel6689212734[[#This Row],[VAT Sew. 2017]]+Tabel6689212734[[#This Row],[VAT WW 2017]]+Tabel6689212734[[#This Row],[VAT Other ch. 2017]]</f>
        <v>0</v>
      </c>
      <c r="S164" s="318">
        <f>Tabel6689212734[[#This Row],[Total. ch. DW 2017]]+Tabel6689212734[[#This Row],[Sew. 2017]]+Tabel6689212734[[#This Row],[VAT Sew. 2017]]+Tabel6689212734[[#This Row],[WW 2017]]+Tabel6689212734[[#This Row],[VAT WW 2017]]+Tabel6689212734[[#This Row],[Other ch. 2017]]+Tabel6689212734[[#This Row],[VAT Other ch. 2017]]</f>
        <v>272.24853958104836</v>
      </c>
      <c r="T164" s="397"/>
      <c r="U164" s="1840"/>
      <c r="V164" s="1843"/>
      <c r="W164" s="1846"/>
      <c r="X164" s="576"/>
      <c r="Y164" s="1849"/>
      <c r="Z164" s="1852"/>
      <c r="AA164" s="576"/>
      <c r="AB164" s="1855"/>
      <c r="AC164" s="576"/>
      <c r="AD164" s="1858"/>
      <c r="AE164" s="576"/>
      <c r="AF164" s="1873"/>
      <c r="AG164" s="1876"/>
      <c r="AH164" s="397"/>
      <c r="AI164" s="398"/>
      <c r="AJ164" s="398"/>
      <c r="AK164" s="398"/>
      <c r="AL164" s="398"/>
      <c r="AM164" s="398"/>
      <c r="AN164" s="398"/>
      <c r="AO164" s="398"/>
      <c r="AP164" s="397"/>
    </row>
    <row r="165" spans="1:42" ht="18.75" hidden="1" x14ac:dyDescent="0.25">
      <c r="A165" s="2005"/>
      <c r="B165" s="261" t="s">
        <v>531</v>
      </c>
      <c r="C165" s="261"/>
      <c r="D165" s="261" t="s">
        <v>1108</v>
      </c>
      <c r="E165" s="1837"/>
      <c r="F165" s="306">
        <v>1.28559</v>
      </c>
      <c r="G165" s="319">
        <f>25/F165</f>
        <v>19.446324255789172</v>
      </c>
      <c r="H165" s="320">
        <f>280/F165</f>
        <v>217.7988316648387</v>
      </c>
      <c r="I165" s="321">
        <v>0</v>
      </c>
      <c r="J165" s="559"/>
      <c r="K165" s="313">
        <f>Tabel6689212734[[#This Row],[Fix.ch. 2017]]+Tabel6689212734[[#This Row],[Var. ch. 2017]]+Tabel6689212734[[#This Row],[Oth. ch. DW 2017]]+Tabel6689212734[[#This Row],[VAT DW 2017]]</f>
        <v>237.24515592062787</v>
      </c>
      <c r="L165" s="322">
        <v>0</v>
      </c>
      <c r="M165" s="559"/>
      <c r="N165" s="323">
        <f>280/F165</f>
        <v>217.7988316648387</v>
      </c>
      <c r="O165" s="559"/>
      <c r="P165" s="324">
        <v>0</v>
      </c>
      <c r="Q165" s="559"/>
      <c r="R165" s="317">
        <f>Tabel6689212734[[#This Row],[VAT DW 2017]]+Tabel6689212734[[#This Row],[VAT Sew. 2017]]+Tabel6689212734[[#This Row],[VAT WW 2017]]+Tabel6689212734[[#This Row],[VAT Other ch. 2017]]</f>
        <v>0</v>
      </c>
      <c r="S165" s="318">
        <f>Tabel6689212734[[#This Row],[Total. ch. DW 2017]]+Tabel6689212734[[#This Row],[Sew. 2017]]+Tabel6689212734[[#This Row],[VAT Sew. 2017]]+Tabel6689212734[[#This Row],[WW 2017]]+Tabel6689212734[[#This Row],[VAT WW 2017]]+Tabel6689212734[[#This Row],[Other ch. 2017]]+Tabel6689212734[[#This Row],[VAT Other ch. 2017]]</f>
        <v>455.04398758546654</v>
      </c>
      <c r="T165" s="397"/>
      <c r="U165" s="1840"/>
      <c r="V165" s="1843"/>
      <c r="W165" s="1846"/>
      <c r="X165" s="576"/>
      <c r="Y165" s="1849"/>
      <c r="Z165" s="1852"/>
      <c r="AA165" s="576"/>
      <c r="AB165" s="1855"/>
      <c r="AC165" s="576"/>
      <c r="AD165" s="1858"/>
      <c r="AE165" s="576"/>
      <c r="AF165" s="1873"/>
      <c r="AG165" s="1876"/>
      <c r="AH165" s="397"/>
      <c r="AI165" s="398"/>
      <c r="AJ165" s="398"/>
      <c r="AK165" s="398"/>
      <c r="AL165" s="398"/>
      <c r="AM165" s="398"/>
      <c r="AN165" s="398"/>
      <c r="AO165" s="398"/>
      <c r="AP165" s="397"/>
    </row>
    <row r="166" spans="1:42" ht="19.5" hidden="1" thickBot="1" x14ac:dyDescent="0.3">
      <c r="A166" s="2006"/>
      <c r="B166" s="262" t="s">
        <v>532</v>
      </c>
      <c r="C166" s="800"/>
      <c r="D166" s="800" t="s">
        <v>1108</v>
      </c>
      <c r="E166" s="1838"/>
      <c r="F166" s="306">
        <v>1.28559</v>
      </c>
      <c r="G166" s="319">
        <f>25/F166</f>
        <v>19.446324255789172</v>
      </c>
      <c r="H166" s="320">
        <f>350/F166</f>
        <v>272.24853958104836</v>
      </c>
      <c r="I166" s="321">
        <v>0</v>
      </c>
      <c r="J166" s="559"/>
      <c r="K166" s="313">
        <f>Tabel6689212734[[#This Row],[Fix.ch. 2017]]+Tabel6689212734[[#This Row],[Var. ch. 2017]]+Tabel6689212734[[#This Row],[Oth. ch. DW 2017]]+Tabel6689212734[[#This Row],[VAT DW 2017]]</f>
        <v>291.69486383683756</v>
      </c>
      <c r="L166" s="322">
        <v>0</v>
      </c>
      <c r="M166" s="559"/>
      <c r="N166" s="323">
        <f>540/F166</f>
        <v>420.04060392504607</v>
      </c>
      <c r="O166" s="559"/>
      <c r="P166" s="324">
        <v>0</v>
      </c>
      <c r="Q166" s="559"/>
      <c r="R166" s="317">
        <f>Tabel6689212734[[#This Row],[VAT DW 2017]]+Tabel6689212734[[#This Row],[VAT Sew. 2017]]+Tabel6689212734[[#This Row],[VAT WW 2017]]+Tabel6689212734[[#This Row],[VAT Other ch. 2017]]</f>
        <v>0</v>
      </c>
      <c r="S166" s="318">
        <f>Tabel6689212734[[#This Row],[Total. ch. DW 2017]]+Tabel6689212734[[#This Row],[Sew. 2017]]+Tabel6689212734[[#This Row],[VAT Sew. 2017]]+Tabel6689212734[[#This Row],[WW 2017]]+Tabel6689212734[[#This Row],[VAT WW 2017]]+Tabel6689212734[[#This Row],[Other ch. 2017]]+Tabel6689212734[[#This Row],[VAT Other ch. 2017]]</f>
        <v>711.73546776188368</v>
      </c>
      <c r="T166" s="397"/>
      <c r="U166" s="1841"/>
      <c r="V166" s="1844"/>
      <c r="W166" s="1847"/>
      <c r="X166" s="577"/>
      <c r="Y166" s="1850"/>
      <c r="Z166" s="1853"/>
      <c r="AA166" s="577"/>
      <c r="AB166" s="1856"/>
      <c r="AC166" s="577"/>
      <c r="AD166" s="1859"/>
      <c r="AE166" s="577"/>
      <c r="AF166" s="1874"/>
      <c r="AG166" s="1877"/>
      <c r="AH166" s="397"/>
      <c r="AI166" s="398"/>
      <c r="AJ166" s="398"/>
      <c r="AK166" s="398"/>
      <c r="AL166" s="398"/>
      <c r="AM166" s="398"/>
      <c r="AN166" s="398"/>
      <c r="AO166" s="398"/>
      <c r="AP166" s="397"/>
    </row>
    <row r="167" spans="1:42" ht="19.5" hidden="1" thickBot="1" x14ac:dyDescent="0.35">
      <c r="A167" s="267" t="s">
        <v>46</v>
      </c>
      <c r="B167" s="295" t="s">
        <v>477</v>
      </c>
      <c r="C167" s="1048"/>
      <c r="D167" s="811" t="s">
        <v>1110</v>
      </c>
      <c r="E167" s="302">
        <v>39500</v>
      </c>
      <c r="F167" s="306">
        <v>0.64417999999999997</v>
      </c>
      <c r="G167" s="319">
        <f>94/F167</f>
        <v>145.92194728181565</v>
      </c>
      <c r="H167" s="320">
        <f>208/F167</f>
        <v>322.89111738954949</v>
      </c>
      <c r="I167" s="321">
        <v>0</v>
      </c>
      <c r="J167" s="559"/>
      <c r="K167" s="313">
        <f>Tabel6689212734[[#This Row],[Fix.ch. 2017]]+Tabel6689212734[[#This Row],[Var. ch. 2017]]+Tabel6689212734[[#This Row],[Oth. ch. DW 2017]]+Tabel6689212734[[#This Row],[VAT DW 2017]]</f>
        <v>468.81306467136517</v>
      </c>
      <c r="L167" s="322">
        <v>0</v>
      </c>
      <c r="M167" s="559"/>
      <c r="N167" s="323">
        <f>449/F167</f>
        <v>697.01015244186408</v>
      </c>
      <c r="O167" s="559"/>
      <c r="P167" s="324">
        <v>0</v>
      </c>
      <c r="Q167" s="559"/>
      <c r="R167" s="317">
        <f>Tabel6689212734[[#This Row],[VAT DW 2017]]+Tabel6689212734[[#This Row],[VAT Sew. 2017]]+Tabel6689212734[[#This Row],[VAT WW 2017]]+Tabel6689212734[[#This Row],[VAT Other ch. 2017]]</f>
        <v>0</v>
      </c>
      <c r="S167" s="318">
        <f>Tabel6689212734[[#This Row],[Total. ch. DW 2017]]+Tabel6689212734[[#This Row],[Sew. 2017]]+Tabel6689212734[[#This Row],[VAT Sew. 2017]]+Tabel6689212734[[#This Row],[WW 2017]]+Tabel6689212734[[#This Row],[VAT WW 2017]]+Tabel6689212734[[#This Row],[Other ch. 2017]]+Tabel6689212734[[#This Row],[VAT Other ch. 2017]]</f>
        <v>1165.8232171132292</v>
      </c>
      <c r="T167" s="397"/>
      <c r="U167" s="385">
        <f>Tabel6689212734[[#This Row],[Fix.ch. 2017]]</f>
        <v>145.92194728181565</v>
      </c>
      <c r="V167" s="386">
        <f>Tabel6689212734[[#This Row],[Var. ch. 2017]]</f>
        <v>322.89111738954949</v>
      </c>
      <c r="W167" s="387">
        <v>0</v>
      </c>
      <c r="X167" s="574"/>
      <c r="Y167" s="388">
        <f>Tabel6689212734[[#This Row],[Total. ch. DW 2017]]</f>
        <v>468.81306467136517</v>
      </c>
      <c r="Z167" s="389">
        <v>0</v>
      </c>
      <c r="AA167" s="574"/>
      <c r="AB167" s="390">
        <f>Tabel6689212734[[#This Row],[WW 2017]]</f>
        <v>697.01015244186408</v>
      </c>
      <c r="AC167" s="574"/>
      <c r="AD167" s="391">
        <v>0</v>
      </c>
      <c r="AE167" s="574"/>
      <c r="AF167" s="392">
        <f>Tabel6689212734[[#This Row],[Total VAT 2017]]</f>
        <v>0</v>
      </c>
      <c r="AG167" s="393">
        <f>Tabel6689212734[[#This Row],[total charge 2017]]</f>
        <v>1165.8232171132292</v>
      </c>
      <c r="AH167" s="397"/>
      <c r="AI167" s="398"/>
      <c r="AJ167" s="398"/>
      <c r="AK167" s="398"/>
      <c r="AL167" s="398"/>
      <c r="AM167" s="398"/>
      <c r="AN167" s="398"/>
      <c r="AO167" s="398" t="s">
        <v>476</v>
      </c>
      <c r="AP167" s="397"/>
    </row>
    <row r="168" spans="1:42" ht="15.75" hidden="1" customHeight="1" x14ac:dyDescent="0.25">
      <c r="A168" s="1818" t="s">
        <v>21</v>
      </c>
      <c r="B168" s="546" t="s">
        <v>125</v>
      </c>
      <c r="C168" s="1046"/>
      <c r="D168" s="802" t="s">
        <v>1112</v>
      </c>
      <c r="E168" s="1983">
        <v>70600</v>
      </c>
      <c r="F168" s="617">
        <f>'exchange rates'!$O$47</f>
        <v>8.20533</v>
      </c>
      <c r="G168" s="549">
        <f>1229/F168</f>
        <v>149.78069133112257</v>
      </c>
      <c r="H168" s="550">
        <v>0</v>
      </c>
      <c r="I168" s="551">
        <v>0</v>
      </c>
      <c r="J168" s="560">
        <f>307.25/F168</f>
        <v>37.445172832780642</v>
      </c>
      <c r="K168" s="566">
        <f>Tabel6689212734[[#This Row],[Fix.ch. 2017]]+Tabel6689212734[[#This Row],[Var. ch. 2017]]+Tabel6689212734[[#This Row],[Oth. ch. DW 2017]]+Tabel6689212734[[#This Row],[VAT DW 2017]]</f>
        <v>187.22586416390322</v>
      </c>
      <c r="L168" s="567">
        <f>1714/F168</f>
        <v>208.88861264568274</v>
      </c>
      <c r="M168" s="560">
        <f>428.5/F168</f>
        <v>52.222153161420685</v>
      </c>
      <c r="N168" s="568">
        <f>0</f>
        <v>0</v>
      </c>
      <c r="O168" s="560">
        <v>0</v>
      </c>
      <c r="P168" s="569">
        <v>0</v>
      </c>
      <c r="Q168" s="560">
        <v>0</v>
      </c>
      <c r="R168" s="570">
        <f>Tabel6689212734[[#This Row],[VAT DW 2017]]+Tabel6689212734[[#This Row],[VAT Sew. 2017]]+Tabel6689212734[[#This Row],[VAT WW 2017]]+Tabel6689212734[[#This Row],[VAT Other ch. 2017]]</f>
        <v>89.66732599420132</v>
      </c>
      <c r="S168" s="571">
        <f>Tabel6689212734[[#This Row],[Total. ch. DW 2017]]+Tabel6689212734[[#This Row],[Sew. 2017]]+Tabel6689212734[[#This Row],[VAT Sew. 2017]]+Tabel6689212734[[#This Row],[WW 2017]]+Tabel6689212734[[#This Row],[VAT WW 2017]]+Tabel6689212734[[#This Row],[Other ch. 2017]]+Tabel6689212734[[#This Row],[VAT Other ch. 2017]]</f>
        <v>448.33662997100669</v>
      </c>
      <c r="T168" s="397"/>
      <c r="U168" s="2080">
        <f>MEDIAN(G168:G170)</f>
        <v>38.609050458665287</v>
      </c>
      <c r="V168" s="2096">
        <f>MEDIAN(H168:H170)</f>
        <v>106.51613036891874</v>
      </c>
      <c r="W168" s="2099">
        <f>MEDIAN(I168:I170)</f>
        <v>0</v>
      </c>
      <c r="X168" s="2102">
        <f>MEDIAN(J168:J170)</f>
        <v>37.445172832780642</v>
      </c>
      <c r="Y168" s="2105">
        <f>SUM(U168:X170)</f>
        <v>182.57035366036467</v>
      </c>
      <c r="Z168" s="2108">
        <f t="shared" ref="Z168:AF168" si="30">MEDIAN(L168:L170)</f>
        <v>178.66435597349528</v>
      </c>
      <c r="AA168" s="2102">
        <f t="shared" si="30"/>
        <v>49.3581610977255</v>
      </c>
      <c r="AB168" s="2119">
        <f t="shared" si="30"/>
        <v>0</v>
      </c>
      <c r="AC168" s="2102">
        <f t="shared" si="30"/>
        <v>0</v>
      </c>
      <c r="AD168" s="2122">
        <f t="shared" si="30"/>
        <v>0</v>
      </c>
      <c r="AE168" s="2102">
        <f t="shared" si="30"/>
        <v>0</v>
      </c>
      <c r="AF168" s="2125">
        <f t="shared" si="30"/>
        <v>83.817469864100531</v>
      </c>
      <c r="AG168" s="1817">
        <f>Y168+Z168+AA168+AB168+AC168+AD168+AE168</f>
        <v>410.59287073158544</v>
      </c>
      <c r="AH168" s="397"/>
      <c r="AI168" s="591" t="s">
        <v>429</v>
      </c>
      <c r="AJ168" s="591" t="s">
        <v>429</v>
      </c>
      <c r="AK168" s="591"/>
      <c r="AL168" s="591"/>
      <c r="AM168" s="591" t="s">
        <v>429</v>
      </c>
      <c r="AN168" s="591" t="s">
        <v>429</v>
      </c>
      <c r="AO168" s="614"/>
      <c r="AP168" s="397"/>
    </row>
    <row r="169" spans="1:42" ht="16.5" hidden="1" customHeight="1" x14ac:dyDescent="0.25">
      <c r="A169" s="1819"/>
      <c r="B169" s="547" t="s">
        <v>126</v>
      </c>
      <c r="C169" s="1046" t="s">
        <v>429</v>
      </c>
      <c r="D169" s="802" t="s">
        <v>1112</v>
      </c>
      <c r="E169" s="1760"/>
      <c r="F169" s="617">
        <f>'exchange rates'!$O$47</f>
        <v>8.20533</v>
      </c>
      <c r="G169" s="549">
        <f>308/F169</f>
        <v>37.536576834813467</v>
      </c>
      <c r="H169" s="550">
        <f>977/F169</f>
        <v>119.06894664809337</v>
      </c>
      <c r="I169" s="551">
        <v>0</v>
      </c>
      <c r="J169" s="560">
        <f>282.75/F169</f>
        <v>34.459308766375024</v>
      </c>
      <c r="K169" s="566">
        <f>Tabel6689212734[[#This Row],[Fix.ch. 2017]]+Tabel6689212734[[#This Row],[Var. ch. 2017]]+Tabel6689212734[[#This Row],[Oth. ch. DW 2017]]+Tabel6689212734[[#This Row],[VAT DW 2017]]</f>
        <v>191.06483224928186</v>
      </c>
      <c r="L169" s="567">
        <f>1466/F169</f>
        <v>178.66435597349528</v>
      </c>
      <c r="M169" s="560">
        <f>405/F169</f>
        <v>49.3581610977255</v>
      </c>
      <c r="N169" s="568">
        <v>0</v>
      </c>
      <c r="O169" s="560">
        <v>0</v>
      </c>
      <c r="P169" s="569">
        <v>0</v>
      </c>
      <c r="Q169" s="560">
        <v>0</v>
      </c>
      <c r="R169" s="570">
        <f>Tabel6689212734[[#This Row],[VAT DW 2017]]+Tabel6689212734[[#This Row],[VAT Sew. 2017]]+Tabel6689212734[[#This Row],[VAT WW 2017]]+Tabel6689212734[[#This Row],[VAT Other ch. 2017]]</f>
        <v>83.817469864100531</v>
      </c>
      <c r="S169" s="571">
        <f>Tabel6689212734[[#This Row],[Total. ch. DW 2017]]+Tabel6689212734[[#This Row],[Sew. 2017]]+Tabel6689212734[[#This Row],[VAT Sew. 2017]]+Tabel6689212734[[#This Row],[WW 2017]]+Tabel6689212734[[#This Row],[VAT WW 2017]]+Tabel6689212734[[#This Row],[Other ch. 2017]]+Tabel6689212734[[#This Row],[VAT Other ch. 2017]]</f>
        <v>419.0873493205026</v>
      </c>
      <c r="T169" s="397"/>
      <c r="U169" s="2081"/>
      <c r="V169" s="2097"/>
      <c r="W169" s="2100"/>
      <c r="X169" s="2103"/>
      <c r="Y169" s="2106"/>
      <c r="Z169" s="2109"/>
      <c r="AA169" s="2103"/>
      <c r="AB169" s="2120"/>
      <c r="AC169" s="2103"/>
      <c r="AD169" s="2123"/>
      <c r="AE169" s="2103"/>
      <c r="AF169" s="2126"/>
      <c r="AG169" s="1791"/>
      <c r="AH169" s="397"/>
      <c r="AI169" s="591" t="s">
        <v>429</v>
      </c>
      <c r="AJ169" s="591" t="s">
        <v>429</v>
      </c>
      <c r="AK169" s="591"/>
      <c r="AL169" s="591"/>
      <c r="AM169" s="591" t="s">
        <v>429</v>
      </c>
      <c r="AN169" s="591" t="s">
        <v>429</v>
      </c>
      <c r="AO169" s="614"/>
      <c r="AP169" s="397"/>
    </row>
    <row r="170" spans="1:42" ht="18" hidden="1" customHeight="1" thickBot="1" x14ac:dyDescent="0.3">
      <c r="A170" s="1820"/>
      <c r="B170" s="641" t="s">
        <v>127</v>
      </c>
      <c r="C170" s="1046"/>
      <c r="D170" s="807" t="s">
        <v>1112</v>
      </c>
      <c r="E170" s="1996"/>
      <c r="F170" s="617">
        <f>'exchange rates'!$O$47</f>
        <v>8.20533</v>
      </c>
      <c r="G170" s="549">
        <f>316.8/F170</f>
        <v>38.609050458665287</v>
      </c>
      <c r="H170" s="550">
        <f>874/F170</f>
        <v>106.51613036891874</v>
      </c>
      <c r="I170" s="551">
        <f>97.6/F170</f>
        <v>11.894707464538293</v>
      </c>
      <c r="J170" s="560">
        <f>322.1/F170</f>
        <v>39.254972073030579</v>
      </c>
      <c r="K170" s="566">
        <f>Tabel6689212734[[#This Row],[Fix.ch. 2017]]+Tabel6689212734[[#This Row],[Var. ch. 2017]]+Tabel6689212734[[#This Row],[Oth. ch. DW 2017]]+Tabel6689212734[[#This Row],[VAT DW 2017]]</f>
        <v>196.2748603651529</v>
      </c>
      <c r="L170" s="567">
        <f>1334.6/F170</f>
        <v>162.65037481734433</v>
      </c>
      <c r="M170" s="560">
        <f>333.65/F170</f>
        <v>40.662593704336082</v>
      </c>
      <c r="N170" s="568">
        <v>0</v>
      </c>
      <c r="O170" s="560">
        <v>0</v>
      </c>
      <c r="P170" s="569">
        <v>0</v>
      </c>
      <c r="Q170" s="560">
        <v>0</v>
      </c>
      <c r="R170" s="570">
        <f>Tabel6689212734[[#This Row],[VAT DW 2017]]+Tabel6689212734[[#This Row],[VAT Sew. 2017]]+Tabel6689212734[[#This Row],[VAT WW 2017]]+Tabel6689212734[[#This Row],[VAT Other ch. 2017]]</f>
        <v>79.917565777366661</v>
      </c>
      <c r="S170" s="571">
        <f>Tabel6689212734[[#This Row],[Total. ch. DW 2017]]+Tabel6689212734[[#This Row],[Sew. 2017]]+Tabel6689212734[[#This Row],[VAT Sew. 2017]]+Tabel6689212734[[#This Row],[WW 2017]]+Tabel6689212734[[#This Row],[VAT WW 2017]]+Tabel6689212734[[#This Row],[Other ch. 2017]]+Tabel6689212734[[#This Row],[VAT Other ch. 2017]]</f>
        <v>399.58782888683328</v>
      </c>
      <c r="T170" s="397"/>
      <c r="U170" s="2095"/>
      <c r="V170" s="2098"/>
      <c r="W170" s="2101"/>
      <c r="X170" s="2104"/>
      <c r="Y170" s="2107"/>
      <c r="Z170" s="2110"/>
      <c r="AA170" s="2104"/>
      <c r="AB170" s="2121"/>
      <c r="AC170" s="2104"/>
      <c r="AD170" s="2124"/>
      <c r="AE170" s="2104"/>
      <c r="AF170" s="2127"/>
      <c r="AG170" s="2002"/>
      <c r="AH170" s="397"/>
      <c r="AI170" s="591" t="s">
        <v>429</v>
      </c>
      <c r="AJ170" s="591" t="s">
        <v>429</v>
      </c>
      <c r="AK170" s="591"/>
      <c r="AL170" s="591"/>
      <c r="AM170" s="591" t="s">
        <v>429</v>
      </c>
      <c r="AN170" s="591" t="s">
        <v>429</v>
      </c>
      <c r="AO170" s="614"/>
      <c r="AP170" s="397"/>
    </row>
    <row r="171" spans="1:42" ht="18" hidden="1" customHeight="1" x14ac:dyDescent="0.25">
      <c r="A171" s="1818" t="s">
        <v>22</v>
      </c>
      <c r="B171" s="546" t="s">
        <v>128</v>
      </c>
      <c r="C171" s="1046"/>
      <c r="D171" s="802" t="s">
        <v>1114</v>
      </c>
      <c r="E171" s="1884">
        <v>29300</v>
      </c>
      <c r="F171" s="661">
        <f>'exchange rates'!$O$48</f>
        <v>3.4784999999999999</v>
      </c>
      <c r="G171" s="549">
        <v>0</v>
      </c>
      <c r="H171" s="550">
        <f>477/F171</f>
        <v>137.1280724450194</v>
      </c>
      <c r="I171" s="551">
        <v>0</v>
      </c>
      <c r="J171" s="560">
        <f>38.16/F171</f>
        <v>10.970245795601551</v>
      </c>
      <c r="K171" s="566">
        <f>Tabel6689212734[[#This Row],[Fix.ch. 2017]]+Tabel6689212734[[#This Row],[Var. ch. 2017]]+Tabel6689212734[[#This Row],[Oth. ch. DW 2017]]+Tabel6689212734[[#This Row],[VAT DW 2017]]</f>
        <v>148.09831824062096</v>
      </c>
      <c r="L171" s="567">
        <v>0</v>
      </c>
      <c r="M171" s="560">
        <v>0</v>
      </c>
      <c r="N171" s="568">
        <f>488/F171</f>
        <v>140.29035503809112</v>
      </c>
      <c r="O171" s="560">
        <f>39.04/F171</f>
        <v>11.22322840304729</v>
      </c>
      <c r="P171" s="569">
        <v>0</v>
      </c>
      <c r="Q171" s="560">
        <v>0</v>
      </c>
      <c r="R171" s="570">
        <f>Tabel6689212734[[#This Row],[VAT DW 2017]]+Tabel6689212734[[#This Row],[VAT Sew. 2017]]+Tabel6689212734[[#This Row],[VAT WW 2017]]+Tabel6689212734[[#This Row],[VAT Other ch. 2017]]</f>
        <v>22.193474198648843</v>
      </c>
      <c r="S171" s="571">
        <f>Tabel6689212734[[#This Row],[Total. ch. DW 2017]]+Tabel6689212734[[#This Row],[Sew. 2017]]+Tabel6689212734[[#This Row],[VAT Sew. 2017]]+Tabel6689212734[[#This Row],[WW 2017]]+Tabel6689212734[[#This Row],[VAT WW 2017]]+Tabel6689212734[[#This Row],[Other ch. 2017]]+Tabel6689212734[[#This Row],[VAT Other ch. 2017]]</f>
        <v>299.61190168175938</v>
      </c>
      <c r="T171" s="397"/>
      <c r="U171" s="1885">
        <f>MEDIAN(G171:G176)</f>
        <v>0</v>
      </c>
      <c r="V171" s="1887">
        <f>MEDIAN(H171:H176)</f>
        <v>108.95500934310766</v>
      </c>
      <c r="W171" s="1889">
        <f>MEDIAN(I171:I176)</f>
        <v>0</v>
      </c>
      <c r="X171" s="1771">
        <f>MEDIAN(J171:J176)</f>
        <v>8.7164007474486134</v>
      </c>
      <c r="Y171" s="1891">
        <f>SUM(U171:X176)</f>
        <v>117.67141009055628</v>
      </c>
      <c r="Z171" s="1893">
        <f t="shared" ref="Z171:AF171" si="31">MEDIAN(L171:L176)</f>
        <v>0</v>
      </c>
      <c r="AA171" s="1771">
        <f t="shared" si="31"/>
        <v>0</v>
      </c>
      <c r="AB171" s="1910">
        <f t="shared" si="31"/>
        <v>149.34598246370561</v>
      </c>
      <c r="AC171" s="1771">
        <f t="shared" si="31"/>
        <v>11.947678597096449</v>
      </c>
      <c r="AD171" s="1912">
        <f t="shared" si="31"/>
        <v>0</v>
      </c>
      <c r="AE171" s="1771">
        <f t="shared" si="31"/>
        <v>0</v>
      </c>
      <c r="AF171" s="1914">
        <f t="shared" si="31"/>
        <v>21.319534282018111</v>
      </c>
      <c r="AG171" s="1909">
        <f>Y171+Z171+AA171+AB171+AC171+AD171+AE171</f>
        <v>278.96507115135836</v>
      </c>
      <c r="AH171" s="397"/>
      <c r="AI171" s="398"/>
      <c r="AJ171" s="591" t="s">
        <v>429</v>
      </c>
      <c r="AK171" s="398"/>
      <c r="AL171" s="398"/>
      <c r="AM171" s="398"/>
      <c r="AN171" s="398"/>
      <c r="AO171" s="398"/>
      <c r="AP171" s="397"/>
    </row>
    <row r="172" spans="1:42" ht="15.75" hidden="1" x14ac:dyDescent="0.25">
      <c r="A172" s="1819"/>
      <c r="B172" s="641" t="s">
        <v>891</v>
      </c>
      <c r="C172" s="1046" t="s">
        <v>429</v>
      </c>
      <c r="D172" s="802" t="s">
        <v>1114</v>
      </c>
      <c r="E172" s="1760"/>
      <c r="F172" s="661">
        <f>'exchange rates'!$O$48</f>
        <v>3.4784999999999999</v>
      </c>
      <c r="G172" s="549">
        <v>0</v>
      </c>
      <c r="H172" s="550">
        <f>420/F172</f>
        <v>120.74169900819319</v>
      </c>
      <c r="I172" s="551">
        <v>0</v>
      </c>
      <c r="J172" s="560">
        <f>33.6/F172</f>
        <v>9.6593359206554563</v>
      </c>
      <c r="K172" s="566">
        <f>Tabel6689212734[[#This Row],[Fix.ch. 2017]]+Tabel6689212734[[#This Row],[Var. ch. 2017]]+Tabel6689212734[[#This Row],[Oth. ch. DW 2017]]+Tabel6689212734[[#This Row],[VAT DW 2017]]</f>
        <v>130.40103492884865</v>
      </c>
      <c r="L172" s="567">
        <v>0</v>
      </c>
      <c r="M172" s="560">
        <v>0</v>
      </c>
      <c r="N172" s="568">
        <f>642/F172</f>
        <v>184.5623113410953</v>
      </c>
      <c r="O172" s="560">
        <f>51.36/F172</f>
        <v>14.764984907287625</v>
      </c>
      <c r="P172" s="569">
        <v>0</v>
      </c>
      <c r="Q172" s="560">
        <v>0</v>
      </c>
      <c r="R172" s="570">
        <f>Tabel6689212734[[#This Row],[VAT DW 2017]]+Tabel6689212734[[#This Row],[VAT Sew. 2017]]+Tabel6689212734[[#This Row],[VAT WW 2017]]+Tabel6689212734[[#This Row],[VAT Other ch. 2017]]</f>
        <v>24.424320827943081</v>
      </c>
      <c r="S172" s="571">
        <f>Tabel6689212734[[#This Row],[Total. ch. DW 2017]]+Tabel6689212734[[#This Row],[Sew. 2017]]+Tabel6689212734[[#This Row],[VAT Sew. 2017]]+Tabel6689212734[[#This Row],[WW 2017]]+Tabel6689212734[[#This Row],[VAT WW 2017]]+Tabel6689212734[[#This Row],[Other ch. 2017]]+Tabel6689212734[[#This Row],[VAT Other ch. 2017]]</f>
        <v>329.72833117723155</v>
      </c>
      <c r="T172" s="397"/>
      <c r="U172" s="1763"/>
      <c r="V172" s="1766"/>
      <c r="W172" s="1769"/>
      <c r="X172" s="1772"/>
      <c r="Y172" s="1775"/>
      <c r="Z172" s="1778"/>
      <c r="AA172" s="1772"/>
      <c r="AB172" s="1781"/>
      <c r="AC172" s="1772"/>
      <c r="AD172" s="1785"/>
      <c r="AE172" s="1772"/>
      <c r="AF172" s="1788"/>
      <c r="AG172" s="1791"/>
      <c r="AH172" s="397"/>
      <c r="AI172" s="398"/>
      <c r="AJ172" s="591" t="s">
        <v>429</v>
      </c>
      <c r="AK172" s="398"/>
      <c r="AL172" s="398"/>
      <c r="AM172" s="398"/>
      <c r="AN172" s="398"/>
      <c r="AO172" s="398"/>
      <c r="AP172" s="397"/>
    </row>
    <row r="173" spans="1:42" ht="15.75" hidden="1" x14ac:dyDescent="0.25">
      <c r="A173" s="1819"/>
      <c r="B173" s="547" t="s">
        <v>129</v>
      </c>
      <c r="C173" s="1046"/>
      <c r="D173" s="802" t="s">
        <v>1114</v>
      </c>
      <c r="E173" s="1880"/>
      <c r="F173" s="661">
        <f>'exchange rates'!$O$48</f>
        <v>3.4784999999999999</v>
      </c>
      <c r="G173" s="549">
        <v>0</v>
      </c>
      <c r="H173" s="550">
        <f>448/F173</f>
        <v>128.79114560873941</v>
      </c>
      <c r="I173" s="551">
        <v>0</v>
      </c>
      <c r="J173" s="560">
        <f>35.84/F173</f>
        <v>10.303291648699153</v>
      </c>
      <c r="K173" s="566">
        <f>Tabel6689212734[[#This Row],[Fix.ch. 2017]]+Tabel6689212734[[#This Row],[Var. ch. 2017]]+Tabel6689212734[[#This Row],[Oth. ch. DW 2017]]+Tabel6689212734[[#This Row],[VAT DW 2017]]</f>
        <v>139.09443725743856</v>
      </c>
      <c r="L173" s="567">
        <v>0</v>
      </c>
      <c r="M173" s="560">
        <v>0</v>
      </c>
      <c r="N173" s="568">
        <f>551/F173</f>
        <v>158.4016098893201</v>
      </c>
      <c r="O173" s="560">
        <f>44.08/F173</f>
        <v>12.672128791145608</v>
      </c>
      <c r="P173" s="569">
        <v>0</v>
      </c>
      <c r="Q173" s="560">
        <v>0</v>
      </c>
      <c r="R173" s="570">
        <f>Tabel6689212734[[#This Row],[VAT DW 2017]]+Tabel6689212734[[#This Row],[VAT Sew. 2017]]+Tabel6689212734[[#This Row],[VAT WW 2017]]+Tabel6689212734[[#This Row],[VAT Other ch. 2017]]</f>
        <v>22.975420439844761</v>
      </c>
      <c r="S173" s="571">
        <f>Tabel6689212734[[#This Row],[Total. ch. DW 2017]]+Tabel6689212734[[#This Row],[Sew. 2017]]+Tabel6689212734[[#This Row],[VAT Sew. 2017]]+Tabel6689212734[[#This Row],[WW 2017]]+Tabel6689212734[[#This Row],[VAT WW 2017]]+Tabel6689212734[[#This Row],[Other ch. 2017]]+Tabel6689212734[[#This Row],[VAT Other ch. 2017]]</f>
        <v>310.16817593790427</v>
      </c>
      <c r="T173" s="397"/>
      <c r="U173" s="1886"/>
      <c r="V173" s="1888"/>
      <c r="W173" s="1890"/>
      <c r="X173" s="1772"/>
      <c r="Y173" s="1892"/>
      <c r="Z173" s="1894"/>
      <c r="AA173" s="1772"/>
      <c r="AB173" s="1911"/>
      <c r="AC173" s="1772"/>
      <c r="AD173" s="1913"/>
      <c r="AE173" s="1772"/>
      <c r="AF173" s="1915"/>
      <c r="AG173" s="1832"/>
      <c r="AH173" s="397"/>
      <c r="AI173" s="398"/>
      <c r="AJ173" s="591" t="s">
        <v>429</v>
      </c>
      <c r="AK173" s="398"/>
      <c r="AL173" s="398"/>
      <c r="AM173" s="398"/>
      <c r="AN173" s="398"/>
      <c r="AO173" s="398"/>
      <c r="AP173" s="397"/>
    </row>
    <row r="174" spans="1:42" ht="15.75" hidden="1" x14ac:dyDescent="0.25">
      <c r="A174" s="1819"/>
      <c r="B174" s="547" t="s">
        <v>130</v>
      </c>
      <c r="C174" s="1046"/>
      <c r="D174" s="802" t="s">
        <v>1114</v>
      </c>
      <c r="E174" s="1880"/>
      <c r="F174" s="661">
        <f>'exchange rates'!$O$48</f>
        <v>3.4784999999999999</v>
      </c>
      <c r="G174" s="549">
        <v>0</v>
      </c>
      <c r="H174" s="550">
        <f>334/F174</f>
        <v>96.018398735086961</v>
      </c>
      <c r="I174" s="551">
        <v>0</v>
      </c>
      <c r="J174" s="560">
        <f>26.72/F174</f>
        <v>7.681471898806957</v>
      </c>
      <c r="K174" s="566">
        <f>Tabel6689212734[[#This Row],[Fix.ch. 2017]]+Tabel6689212734[[#This Row],[Var. ch. 2017]]+Tabel6689212734[[#This Row],[Oth. ch. DW 2017]]+Tabel6689212734[[#This Row],[VAT DW 2017]]</f>
        <v>103.69987063389392</v>
      </c>
      <c r="L174" s="567">
        <v>0</v>
      </c>
      <c r="M174" s="560">
        <v>0</v>
      </c>
      <c r="N174" s="568">
        <f>555/F174</f>
        <v>159.55153083225528</v>
      </c>
      <c r="O174" s="560">
        <f>44.4/F174</f>
        <v>12.764122466580423</v>
      </c>
      <c r="P174" s="569">
        <v>0</v>
      </c>
      <c r="Q174" s="560">
        <v>0</v>
      </c>
      <c r="R174" s="570">
        <f>Tabel6689212734[[#This Row],[VAT DW 2017]]+Tabel6689212734[[#This Row],[VAT Sew. 2017]]+Tabel6689212734[[#This Row],[VAT WW 2017]]+Tabel6689212734[[#This Row],[VAT Other ch. 2017]]</f>
        <v>20.445594365387379</v>
      </c>
      <c r="S174" s="571">
        <f>Tabel6689212734[[#This Row],[Total. ch. DW 2017]]+Tabel6689212734[[#This Row],[Sew. 2017]]+Tabel6689212734[[#This Row],[VAT Sew. 2017]]+Tabel6689212734[[#This Row],[WW 2017]]+Tabel6689212734[[#This Row],[VAT WW 2017]]+Tabel6689212734[[#This Row],[Other ch. 2017]]+Tabel6689212734[[#This Row],[VAT Other ch. 2017]]</f>
        <v>276.01552393272965</v>
      </c>
      <c r="T174" s="397"/>
      <c r="U174" s="1886"/>
      <c r="V174" s="1888"/>
      <c r="W174" s="1890"/>
      <c r="X174" s="1772"/>
      <c r="Y174" s="1892"/>
      <c r="Z174" s="1894"/>
      <c r="AA174" s="1772"/>
      <c r="AB174" s="1911"/>
      <c r="AC174" s="1772"/>
      <c r="AD174" s="1913"/>
      <c r="AE174" s="1772"/>
      <c r="AF174" s="1915"/>
      <c r="AG174" s="1832"/>
      <c r="AH174" s="397"/>
      <c r="AI174" s="396"/>
      <c r="AJ174" s="591" t="s">
        <v>429</v>
      </c>
      <c r="AK174" s="398"/>
      <c r="AL174" s="398"/>
      <c r="AM174" s="398"/>
      <c r="AN174" s="398"/>
      <c r="AO174" s="398"/>
      <c r="AP174" s="397"/>
    </row>
    <row r="175" spans="1:42" ht="15.75" hidden="1" x14ac:dyDescent="0.25">
      <c r="A175" s="1819"/>
      <c r="B175" s="547" t="s">
        <v>131</v>
      </c>
      <c r="C175" s="1046"/>
      <c r="D175" s="802" t="s">
        <v>1114</v>
      </c>
      <c r="E175" s="1880"/>
      <c r="F175" s="661">
        <f>'exchange rates'!$O$48</f>
        <v>3.4784999999999999</v>
      </c>
      <c r="G175" s="549">
        <v>0</v>
      </c>
      <c r="H175" s="550">
        <f>338/F175</f>
        <v>97.168319678022144</v>
      </c>
      <c r="I175" s="551">
        <v>0</v>
      </c>
      <c r="J175" s="560">
        <f>27.04/F175</f>
        <v>7.7734655742417704</v>
      </c>
      <c r="K175" s="566">
        <f>Tabel6689212734[[#This Row],[Fix.ch. 2017]]+Tabel6689212734[[#This Row],[Var. ch. 2017]]+Tabel6689212734[[#This Row],[Oth. ch. DW 2017]]+Tabel6689212734[[#This Row],[VAT DW 2017]]</f>
        <v>104.94178525226391</v>
      </c>
      <c r="L175" s="567">
        <v>0</v>
      </c>
      <c r="M175" s="560">
        <v>0</v>
      </c>
      <c r="N175" s="568">
        <f>332/F175</f>
        <v>95.443438263619385</v>
      </c>
      <c r="O175" s="560">
        <f>26.56/F175</f>
        <v>7.6354750610895499</v>
      </c>
      <c r="P175" s="569">
        <v>0</v>
      </c>
      <c r="Q175" s="560">
        <v>0</v>
      </c>
      <c r="R175" s="570">
        <f>Tabel6689212734[[#This Row],[VAT DW 2017]]+Tabel6689212734[[#This Row],[VAT Sew. 2017]]+Tabel6689212734[[#This Row],[VAT WW 2017]]+Tabel6689212734[[#This Row],[VAT Other ch. 2017]]</f>
        <v>15.408940635331319</v>
      </c>
      <c r="S175" s="571">
        <f>Tabel6689212734[[#This Row],[Total. ch. DW 2017]]+Tabel6689212734[[#This Row],[Sew. 2017]]+Tabel6689212734[[#This Row],[VAT Sew. 2017]]+Tabel6689212734[[#This Row],[WW 2017]]+Tabel6689212734[[#This Row],[VAT WW 2017]]+Tabel6689212734[[#This Row],[Other ch. 2017]]+Tabel6689212734[[#This Row],[VAT Other ch. 2017]]</f>
        <v>208.02069857697285</v>
      </c>
      <c r="T175" s="397"/>
      <c r="U175" s="1886"/>
      <c r="V175" s="1888"/>
      <c r="W175" s="1890"/>
      <c r="X175" s="1772"/>
      <c r="Y175" s="1892"/>
      <c r="Z175" s="1894"/>
      <c r="AA175" s="1772"/>
      <c r="AB175" s="1911"/>
      <c r="AC175" s="1772"/>
      <c r="AD175" s="1913"/>
      <c r="AE175" s="1772"/>
      <c r="AF175" s="1915"/>
      <c r="AG175" s="1832"/>
      <c r="AH175" s="397"/>
      <c r="AI175" s="396"/>
      <c r="AJ175" s="591" t="s">
        <v>429</v>
      </c>
      <c r="AK175" s="398"/>
      <c r="AL175" s="398"/>
      <c r="AM175" s="398"/>
      <c r="AN175" s="398"/>
      <c r="AO175" s="398"/>
      <c r="AP175" s="397"/>
    </row>
    <row r="176" spans="1:42" ht="16.5" hidden="1" thickBot="1" x14ac:dyDescent="0.3">
      <c r="A176" s="1820"/>
      <c r="B176" s="543" t="s">
        <v>132</v>
      </c>
      <c r="C176" s="1046"/>
      <c r="D176" s="802" t="s">
        <v>1114</v>
      </c>
      <c r="E176" s="1799"/>
      <c r="F176" s="661">
        <f>'exchange rates'!$O$48</f>
        <v>3.4784999999999999</v>
      </c>
      <c r="G176" s="549">
        <v>0</v>
      </c>
      <c r="H176" s="550">
        <f>295/F176</f>
        <v>84.80666954146902</v>
      </c>
      <c r="I176" s="551">
        <v>0</v>
      </c>
      <c r="J176" s="560">
        <f>23.6/F176</f>
        <v>6.7845335633175221</v>
      </c>
      <c r="K176" s="566">
        <f>Tabel6689212734[[#This Row],[Fix.ch. 2017]]+Tabel6689212734[[#This Row],[Var. ch. 2017]]+Tabel6689212734[[#This Row],[Oth. ch. DW 2017]]+Tabel6689212734[[#This Row],[VAT DW 2017]]</f>
        <v>91.591203104786544</v>
      </c>
      <c r="L176" s="567">
        <v>0</v>
      </c>
      <c r="M176" s="560">
        <v>0</v>
      </c>
      <c r="N176" s="568">
        <f>451/F176</f>
        <v>129.65358631594077</v>
      </c>
      <c r="O176" s="560">
        <f>36.08/F176</f>
        <v>10.372286905275262</v>
      </c>
      <c r="P176" s="569">
        <v>0</v>
      </c>
      <c r="Q176" s="560">
        <v>0</v>
      </c>
      <c r="R176" s="570">
        <f>Tabel6689212734[[#This Row],[VAT DW 2017]]+Tabel6689212734[[#This Row],[VAT Sew. 2017]]+Tabel6689212734[[#This Row],[VAT WW 2017]]+Tabel6689212734[[#This Row],[VAT Other ch. 2017]]</f>
        <v>17.156820468592784</v>
      </c>
      <c r="S176" s="571">
        <f>Tabel6689212734[[#This Row],[Total. ch. DW 2017]]+Tabel6689212734[[#This Row],[Sew. 2017]]+Tabel6689212734[[#This Row],[VAT Sew. 2017]]+Tabel6689212734[[#This Row],[WW 2017]]+Tabel6689212734[[#This Row],[VAT WW 2017]]+Tabel6689212734[[#This Row],[Other ch. 2017]]+Tabel6689212734[[#This Row],[VAT Other ch. 2017]]</f>
        <v>231.6170763260026</v>
      </c>
      <c r="T176" s="397"/>
      <c r="U176" s="1801"/>
      <c r="V176" s="1803"/>
      <c r="W176" s="1805"/>
      <c r="X176" s="1773"/>
      <c r="Y176" s="1807"/>
      <c r="Z176" s="1809"/>
      <c r="AA176" s="1773"/>
      <c r="AB176" s="1782"/>
      <c r="AC176" s="1773"/>
      <c r="AD176" s="1786"/>
      <c r="AE176" s="1773"/>
      <c r="AF176" s="1789"/>
      <c r="AG176" s="1792"/>
      <c r="AH176" s="397"/>
      <c r="AI176" s="396"/>
      <c r="AJ176" s="591" t="s">
        <v>429</v>
      </c>
      <c r="AK176" s="398"/>
      <c r="AL176" s="398"/>
      <c r="AM176" s="398"/>
      <c r="AN176" s="398"/>
      <c r="AO176" s="398"/>
      <c r="AP176" s="397"/>
    </row>
    <row r="177" spans="1:42" ht="18" hidden="1" customHeight="1" x14ac:dyDescent="0.25">
      <c r="A177" s="1878" t="s">
        <v>23</v>
      </c>
      <c r="B177" s="638" t="s">
        <v>133</v>
      </c>
      <c r="C177" s="693" t="s">
        <v>429</v>
      </c>
      <c r="D177" s="806" t="s">
        <v>1116</v>
      </c>
      <c r="E177" s="1934">
        <v>30300</v>
      </c>
      <c r="F177" s="616">
        <f>'exchange rates'!$O$49</f>
        <v>0.83301000000000003</v>
      </c>
      <c r="G177" s="549">
        <f>57/F177</f>
        <v>68.426549501206466</v>
      </c>
      <c r="H177" s="550">
        <f>51.85/F177</f>
        <v>62.244150730483426</v>
      </c>
      <c r="I177" s="551">
        <f>2.26/F177</f>
        <v>2.7130526644337998</v>
      </c>
      <c r="J177" s="560">
        <f>6.67/F177</f>
        <v>8.0071067574218802</v>
      </c>
      <c r="K177" s="566">
        <f>Tabel6689212734[[#This Row],[Fix.ch. 2017]]+Tabel6689212734[[#This Row],[Var. ch. 2017]]+Tabel6689212734[[#This Row],[Oth. ch. DW 2017]]+Tabel6689212734[[#This Row],[VAT DW 2017]]</f>
        <v>141.39085965354559</v>
      </c>
      <c r="L177" s="567">
        <f>71.28/F177</f>
        <v>85.569200849929771</v>
      </c>
      <c r="M177" s="560">
        <v>0</v>
      </c>
      <c r="N177" s="568">
        <v>0</v>
      </c>
      <c r="O177" s="560">
        <v>0</v>
      </c>
      <c r="P177" s="569">
        <f>14.53/F177</f>
        <v>17.442767793904032</v>
      </c>
      <c r="Q177" s="560">
        <v>0</v>
      </c>
      <c r="R177" s="570">
        <f>Tabel6689212734[[#This Row],[VAT DW 2017]]+Tabel6689212734[[#This Row],[VAT Sew. 2017]]+Tabel6689212734[[#This Row],[VAT WW 2017]]+Tabel6689212734[[#This Row],[VAT Other ch. 2017]]</f>
        <v>8.0071067574218802</v>
      </c>
      <c r="S177" s="571">
        <f>Tabel6689212734[[#This Row],[Total. ch. DW 2017]]+Tabel6689212734[[#This Row],[Sew. 2017]]+Tabel6689212734[[#This Row],[VAT Sew. 2017]]+Tabel6689212734[[#This Row],[WW 2017]]+Tabel6689212734[[#This Row],[VAT WW 2017]]+Tabel6689212734[[#This Row],[Other ch. 2017]]+Tabel6689212734[[#This Row],[VAT Other ch. 2017]]</f>
        <v>244.40282829737939</v>
      </c>
      <c r="T177" s="397"/>
      <c r="U177" s="1935">
        <f>MEDIAN(G177:G183)</f>
        <v>56.181798537832677</v>
      </c>
      <c r="V177" s="1936">
        <f>MEDIAN(H177:H183)</f>
        <v>81.631673089158596</v>
      </c>
      <c r="W177" s="1937">
        <f>MEDIAN(I177:I183)</f>
        <v>2.7250573222410295</v>
      </c>
      <c r="X177" s="1938">
        <f>MEDIAN(J177:J183)</f>
        <v>8.4392744384821317</v>
      </c>
      <c r="Y177" s="1939">
        <f>SUM(U177:X183)</f>
        <v>148.97780338771443</v>
      </c>
      <c r="Z177" s="1950">
        <f t="shared" ref="Z177:AF177" si="32">MEDIAN(L177:L183)</f>
        <v>101.27129326178557</v>
      </c>
      <c r="AA177" s="1938">
        <f t="shared" si="32"/>
        <v>0</v>
      </c>
      <c r="AB177" s="1946">
        <f t="shared" si="32"/>
        <v>0</v>
      </c>
      <c r="AC177" s="1938">
        <f t="shared" si="32"/>
        <v>0</v>
      </c>
      <c r="AD177" s="1947">
        <f t="shared" si="32"/>
        <v>0</v>
      </c>
      <c r="AE177" s="1938">
        <f t="shared" si="32"/>
        <v>0</v>
      </c>
      <c r="AF177" s="1944">
        <f t="shared" si="32"/>
        <v>9.1115352756869665</v>
      </c>
      <c r="AG177" s="1945">
        <f>Y177+Z177+AA177+AB177+AC177+AD177+AE177</f>
        <v>250.24909664950002</v>
      </c>
      <c r="AH177" s="397"/>
      <c r="AI177" s="398"/>
      <c r="AJ177" s="398"/>
      <c r="AK177" s="398"/>
      <c r="AL177" s="591" t="s">
        <v>429</v>
      </c>
      <c r="AM177" s="591" t="s">
        <v>429</v>
      </c>
      <c r="AN177" s="614"/>
      <c r="AO177" s="398"/>
      <c r="AP177" s="397"/>
    </row>
    <row r="178" spans="1:42" ht="15.6" hidden="1" customHeight="1" x14ac:dyDescent="0.25">
      <c r="A178" s="1757"/>
      <c r="B178" s="639" t="s">
        <v>134</v>
      </c>
      <c r="C178" s="639"/>
      <c r="D178" s="724" t="s">
        <v>1116</v>
      </c>
      <c r="E178" s="1760"/>
      <c r="F178" s="616">
        <f>'exchange rates'!$O$49</f>
        <v>0.83301000000000003</v>
      </c>
      <c r="G178" s="549">
        <f>48.84/F178</f>
        <v>58.630748730507442</v>
      </c>
      <c r="H178" s="550">
        <f>75.33/F178</f>
        <v>90.431087261857598</v>
      </c>
      <c r="I178" s="551">
        <f>2.27/F178</f>
        <v>2.7250573222410295</v>
      </c>
      <c r="J178" s="560">
        <f>7.59/F178</f>
        <v>9.1115352756869665</v>
      </c>
      <c r="K178" s="566">
        <f>Tabel6689212734[[#This Row],[Fix.ch. 2017]]+Tabel6689212734[[#This Row],[Var. ch. 2017]]+Tabel6689212734[[#This Row],[Oth. ch. DW 2017]]+Tabel6689212734[[#This Row],[VAT DW 2017]]</f>
        <v>160.89842859029307</v>
      </c>
      <c r="L178" s="567">
        <f>109.92/F178</f>
        <v>131.95519861706342</v>
      </c>
      <c r="M178" s="560">
        <v>0</v>
      </c>
      <c r="N178" s="568">
        <v>0</v>
      </c>
      <c r="O178" s="560">
        <v>0</v>
      </c>
      <c r="P178" s="569">
        <v>0</v>
      </c>
      <c r="Q178" s="560">
        <v>0</v>
      </c>
      <c r="R178" s="570">
        <f>Tabel6689212734[[#This Row],[VAT DW 2017]]+Tabel6689212734[[#This Row],[VAT Sew. 2017]]+Tabel6689212734[[#This Row],[VAT WW 2017]]+Tabel6689212734[[#This Row],[VAT Other ch. 2017]]</f>
        <v>9.1115352756869665</v>
      </c>
      <c r="S178" s="571">
        <f>Tabel6689212734[[#This Row],[Total. ch. DW 2017]]+Tabel6689212734[[#This Row],[Sew. 2017]]+Tabel6689212734[[#This Row],[VAT Sew. 2017]]+Tabel6689212734[[#This Row],[WW 2017]]+Tabel6689212734[[#This Row],[VAT WW 2017]]+Tabel6689212734[[#This Row],[Other ch. 2017]]+Tabel6689212734[[#This Row],[VAT Other ch. 2017]]</f>
        <v>292.85362720735645</v>
      </c>
      <c r="T178" s="397"/>
      <c r="U178" s="1763"/>
      <c r="V178" s="1766"/>
      <c r="W178" s="1769"/>
      <c r="X178" s="1772"/>
      <c r="Y178" s="1775"/>
      <c r="Z178" s="1778"/>
      <c r="AA178" s="1772"/>
      <c r="AB178" s="1781"/>
      <c r="AC178" s="1772"/>
      <c r="AD178" s="1785"/>
      <c r="AE178" s="1772"/>
      <c r="AF178" s="1788"/>
      <c r="AG178" s="1791"/>
      <c r="AH178" s="397"/>
      <c r="AI178" s="398"/>
      <c r="AJ178" s="398"/>
      <c r="AK178" s="398"/>
      <c r="AL178" s="591" t="s">
        <v>429</v>
      </c>
      <c r="AM178" s="591" t="s">
        <v>429</v>
      </c>
      <c r="AN178" s="614"/>
      <c r="AO178" s="398"/>
      <c r="AP178" s="397"/>
    </row>
    <row r="179" spans="1:42" ht="15.6" hidden="1" customHeight="1" x14ac:dyDescent="0.25">
      <c r="A179" s="1757"/>
      <c r="B179" s="639" t="s">
        <v>135</v>
      </c>
      <c r="C179" s="639"/>
      <c r="D179" s="724" t="s">
        <v>1116</v>
      </c>
      <c r="E179" s="1760"/>
      <c r="F179" s="616">
        <f>'exchange rates'!$O$49</f>
        <v>0.83301000000000003</v>
      </c>
      <c r="G179" s="549">
        <f>41.62/F179</f>
        <v>49.963385793687948</v>
      </c>
      <c r="H179" s="550">
        <f>78.89/F179</f>
        <v>94.704745441231196</v>
      </c>
      <c r="I179" s="551">
        <f>2.04/F179</f>
        <v>2.4489501926747579</v>
      </c>
      <c r="J179" s="560">
        <f>7.35/F179</f>
        <v>8.8234234883134643</v>
      </c>
      <c r="K179" s="566">
        <f>Tabel6689212734[[#This Row],[Fix.ch. 2017]]+Tabel6689212734[[#This Row],[Var. ch. 2017]]+Tabel6689212734[[#This Row],[Oth. ch. DW 2017]]+Tabel6689212734[[#This Row],[VAT DW 2017]]</f>
        <v>155.94050491590738</v>
      </c>
      <c r="L179" s="567">
        <f>47.51/F179</f>
        <v>57.034129242145951</v>
      </c>
      <c r="M179" s="560">
        <f>2.85/F179</f>
        <v>3.4213274750603233</v>
      </c>
      <c r="N179" s="568">
        <v>0</v>
      </c>
      <c r="O179" s="560">
        <v>0</v>
      </c>
      <c r="P179" s="569">
        <v>0</v>
      </c>
      <c r="Q179" s="560">
        <v>0</v>
      </c>
      <c r="R179" s="570">
        <f>Tabel6689212734[[#This Row],[VAT DW 2017]]+Tabel6689212734[[#This Row],[VAT Sew. 2017]]+Tabel6689212734[[#This Row],[VAT WW 2017]]+Tabel6689212734[[#This Row],[VAT Other ch. 2017]]</f>
        <v>12.244750963373788</v>
      </c>
      <c r="S179" s="571">
        <f>Tabel6689212734[[#This Row],[Total. ch. DW 2017]]+Tabel6689212734[[#This Row],[Sew. 2017]]+Tabel6689212734[[#This Row],[VAT Sew. 2017]]+Tabel6689212734[[#This Row],[WW 2017]]+Tabel6689212734[[#This Row],[VAT WW 2017]]+Tabel6689212734[[#This Row],[Other ch. 2017]]+Tabel6689212734[[#This Row],[VAT Other ch. 2017]]</f>
        <v>216.39596163311364</v>
      </c>
      <c r="T179" s="397"/>
      <c r="U179" s="1763"/>
      <c r="V179" s="1766"/>
      <c r="W179" s="1769"/>
      <c r="X179" s="1772"/>
      <c r="Y179" s="1775"/>
      <c r="Z179" s="1778"/>
      <c r="AA179" s="1772"/>
      <c r="AB179" s="1781"/>
      <c r="AC179" s="1772"/>
      <c r="AD179" s="1785"/>
      <c r="AE179" s="1772"/>
      <c r="AF179" s="1788"/>
      <c r="AG179" s="1791"/>
      <c r="AH179" s="397"/>
      <c r="AI179" s="398"/>
      <c r="AJ179" s="398"/>
      <c r="AK179" s="398"/>
      <c r="AL179" s="591" t="s">
        <v>429</v>
      </c>
      <c r="AM179" s="591" t="s">
        <v>429</v>
      </c>
      <c r="AN179" s="614"/>
      <c r="AO179" s="398"/>
      <c r="AP179" s="397"/>
    </row>
    <row r="180" spans="1:42" ht="15.6" hidden="1" customHeight="1" x14ac:dyDescent="0.25">
      <c r="A180" s="1757"/>
      <c r="B180" s="639" t="s">
        <v>136</v>
      </c>
      <c r="C180" s="639"/>
      <c r="D180" s="724" t="s">
        <v>1116</v>
      </c>
      <c r="E180" s="1760"/>
      <c r="F180" s="616">
        <f>'exchange rates'!$O$49</f>
        <v>0.83301000000000003</v>
      </c>
      <c r="G180" s="549">
        <f>38.11/F180</f>
        <v>45.749750903350495</v>
      </c>
      <c r="H180" s="550">
        <f>87.82/F180</f>
        <v>105.42490486308687</v>
      </c>
      <c r="I180" s="551">
        <f>2.5/F180</f>
        <v>3.0011644518073011</v>
      </c>
      <c r="J180" s="560">
        <f>7.71/F180</f>
        <v>9.2555911693737158</v>
      </c>
      <c r="K180" s="566">
        <f>Tabel6689212734[[#This Row],[Fix.ch. 2017]]+Tabel6689212734[[#This Row],[Var. ch. 2017]]+Tabel6689212734[[#This Row],[Oth. ch. DW 2017]]+Tabel6689212734[[#This Row],[VAT DW 2017]]</f>
        <v>163.43141138761837</v>
      </c>
      <c r="L180" s="567">
        <f>102.88/F180</f>
        <v>123.50391952077405</v>
      </c>
      <c r="M180" s="560">
        <v>0</v>
      </c>
      <c r="N180" s="568">
        <v>0</v>
      </c>
      <c r="O180" s="560">
        <v>0</v>
      </c>
      <c r="P180" s="569">
        <v>0</v>
      </c>
      <c r="Q180" s="560">
        <v>0</v>
      </c>
      <c r="R180" s="570">
        <f>Tabel6689212734[[#This Row],[VAT DW 2017]]+Tabel6689212734[[#This Row],[VAT Sew. 2017]]+Tabel6689212734[[#This Row],[VAT WW 2017]]+Tabel6689212734[[#This Row],[VAT Other ch. 2017]]</f>
        <v>9.2555911693737158</v>
      </c>
      <c r="S180" s="571">
        <f>Tabel6689212734[[#This Row],[Total. ch. DW 2017]]+Tabel6689212734[[#This Row],[Sew. 2017]]+Tabel6689212734[[#This Row],[VAT Sew. 2017]]+Tabel6689212734[[#This Row],[WW 2017]]+Tabel6689212734[[#This Row],[VAT WW 2017]]+Tabel6689212734[[#This Row],[Other ch. 2017]]+Tabel6689212734[[#This Row],[VAT Other ch. 2017]]</f>
        <v>286.93533090839242</v>
      </c>
      <c r="T180" s="397"/>
      <c r="U180" s="1763"/>
      <c r="V180" s="1766"/>
      <c r="W180" s="1769"/>
      <c r="X180" s="1772"/>
      <c r="Y180" s="1775"/>
      <c r="Z180" s="1778"/>
      <c r="AA180" s="1772"/>
      <c r="AB180" s="1781"/>
      <c r="AC180" s="1772"/>
      <c r="AD180" s="1785"/>
      <c r="AE180" s="1772"/>
      <c r="AF180" s="1788"/>
      <c r="AG180" s="1791"/>
      <c r="AH180" s="397"/>
      <c r="AI180" s="398"/>
      <c r="AJ180" s="398"/>
      <c r="AK180" s="398"/>
      <c r="AL180" s="591" t="s">
        <v>429</v>
      </c>
      <c r="AM180" s="591" t="s">
        <v>429</v>
      </c>
      <c r="AN180" s="614"/>
      <c r="AO180" s="398"/>
      <c r="AP180" s="397"/>
    </row>
    <row r="181" spans="1:42" ht="15.6" hidden="1" customHeight="1" x14ac:dyDescent="0.25">
      <c r="A181" s="1757"/>
      <c r="B181" s="639" t="s">
        <v>137</v>
      </c>
      <c r="C181" s="639"/>
      <c r="D181" s="724" t="s">
        <v>1116</v>
      </c>
      <c r="E181" s="1760"/>
      <c r="F181" s="616">
        <f>'exchange rates'!$O$49</f>
        <v>0.83301000000000003</v>
      </c>
      <c r="G181" s="549">
        <f>55.97/F181</f>
        <v>67.190069747061855</v>
      </c>
      <c r="H181" s="550">
        <f>56.19/F181</f>
        <v>67.454172218820901</v>
      </c>
      <c r="I181" s="551">
        <f>1.71/F181</f>
        <v>2.0527964850361937</v>
      </c>
      <c r="J181" s="560">
        <f>6.83/F181</f>
        <v>8.1991812823375465</v>
      </c>
      <c r="K181" s="566">
        <f>Tabel6689212734[[#This Row],[Fix.ch. 2017]]+Tabel6689212734[[#This Row],[Var. ch. 2017]]+Tabel6689212734[[#This Row],[Oth. ch. DW 2017]]+Tabel6689212734[[#This Row],[VAT DW 2017]]</f>
        <v>144.89621973325652</v>
      </c>
      <c r="L181" s="567">
        <f>49.09/F181</f>
        <v>58.930865175688169</v>
      </c>
      <c r="M181" s="560">
        <v>0</v>
      </c>
      <c r="N181" s="568">
        <v>0</v>
      </c>
      <c r="O181" s="560">
        <v>0</v>
      </c>
      <c r="P181" s="569">
        <v>0</v>
      </c>
      <c r="Q181" s="560">
        <v>0</v>
      </c>
      <c r="R181" s="570">
        <f>Tabel6689212734[[#This Row],[VAT DW 2017]]+Tabel6689212734[[#This Row],[VAT Sew. 2017]]+Tabel6689212734[[#This Row],[VAT WW 2017]]+Tabel6689212734[[#This Row],[VAT Other ch. 2017]]</f>
        <v>8.1991812823375465</v>
      </c>
      <c r="S181" s="571">
        <f>Tabel6689212734[[#This Row],[Total. ch. DW 2017]]+Tabel6689212734[[#This Row],[Sew. 2017]]+Tabel6689212734[[#This Row],[VAT Sew. 2017]]+Tabel6689212734[[#This Row],[WW 2017]]+Tabel6689212734[[#This Row],[VAT WW 2017]]+Tabel6689212734[[#This Row],[Other ch. 2017]]+Tabel6689212734[[#This Row],[VAT Other ch. 2017]]</f>
        <v>203.8270849089447</v>
      </c>
      <c r="T181" s="397"/>
      <c r="U181" s="1763"/>
      <c r="V181" s="1766"/>
      <c r="W181" s="1769"/>
      <c r="X181" s="1772"/>
      <c r="Y181" s="1775"/>
      <c r="Z181" s="1778"/>
      <c r="AA181" s="1772"/>
      <c r="AB181" s="1781"/>
      <c r="AC181" s="1772"/>
      <c r="AD181" s="1785"/>
      <c r="AE181" s="1772"/>
      <c r="AF181" s="1788"/>
      <c r="AG181" s="1791"/>
      <c r="AH181" s="397"/>
      <c r="AI181" s="398"/>
      <c r="AJ181" s="398"/>
      <c r="AK181" s="398"/>
      <c r="AL181" s="591" t="s">
        <v>429</v>
      </c>
      <c r="AM181" s="591" t="s">
        <v>429</v>
      </c>
      <c r="AN181" s="614"/>
      <c r="AO181" s="398"/>
      <c r="AP181" s="397"/>
    </row>
    <row r="182" spans="1:42" ht="15.6" hidden="1" customHeight="1" x14ac:dyDescent="0.25">
      <c r="A182" s="1757"/>
      <c r="B182" s="639" t="s">
        <v>138</v>
      </c>
      <c r="C182" s="639"/>
      <c r="D182" s="724" t="s">
        <v>1116</v>
      </c>
      <c r="E182" s="1760"/>
      <c r="F182" s="616">
        <f>'exchange rates'!$O$49</f>
        <v>0.83301000000000003</v>
      </c>
      <c r="G182" s="549">
        <f>46.8/F182</f>
        <v>56.181798537832677</v>
      </c>
      <c r="H182" s="550">
        <f>68/F182</f>
        <v>81.631673089158596</v>
      </c>
      <c r="I182" s="551">
        <f>2.43/F182</f>
        <v>2.9171318471566967</v>
      </c>
      <c r="J182" s="560">
        <f>7.03/F182</f>
        <v>8.4392744384821317</v>
      </c>
      <c r="K182" s="566">
        <f>Tabel6689212734[[#This Row],[Fix.ch. 2017]]+Tabel6689212734[[#This Row],[Var. ch. 2017]]+Tabel6689212734[[#This Row],[Oth. ch. DW 2017]]+Tabel6689212734[[#This Row],[VAT DW 2017]]</f>
        <v>149.16987791263008</v>
      </c>
      <c r="L182" s="567">
        <f>84.36/F182</f>
        <v>101.27129326178557</v>
      </c>
      <c r="M182" s="560">
        <f>5.06/F182</f>
        <v>6.0743568504579768</v>
      </c>
      <c r="N182" s="568">
        <v>0</v>
      </c>
      <c r="O182" s="560">
        <v>0</v>
      </c>
      <c r="P182" s="569">
        <v>0</v>
      </c>
      <c r="Q182" s="560">
        <v>0</v>
      </c>
      <c r="R182" s="570">
        <f>Tabel6689212734[[#This Row],[VAT DW 2017]]+Tabel6689212734[[#This Row],[VAT Sew. 2017]]+Tabel6689212734[[#This Row],[VAT WW 2017]]+Tabel6689212734[[#This Row],[VAT Other ch. 2017]]</f>
        <v>14.513631288940108</v>
      </c>
      <c r="S182" s="571">
        <f>Tabel6689212734[[#This Row],[Total. ch. DW 2017]]+Tabel6689212734[[#This Row],[Sew. 2017]]+Tabel6689212734[[#This Row],[VAT Sew. 2017]]+Tabel6689212734[[#This Row],[WW 2017]]+Tabel6689212734[[#This Row],[VAT WW 2017]]+Tabel6689212734[[#This Row],[Other ch. 2017]]+Tabel6689212734[[#This Row],[VAT Other ch. 2017]]</f>
        <v>256.51552802487367</v>
      </c>
      <c r="T182" s="397"/>
      <c r="U182" s="1763"/>
      <c r="V182" s="1766"/>
      <c r="W182" s="1769"/>
      <c r="X182" s="1772"/>
      <c r="Y182" s="1775"/>
      <c r="Z182" s="1778"/>
      <c r="AA182" s="1772"/>
      <c r="AB182" s="1781"/>
      <c r="AC182" s="1772"/>
      <c r="AD182" s="1785"/>
      <c r="AE182" s="1772"/>
      <c r="AF182" s="1788"/>
      <c r="AG182" s="1791"/>
      <c r="AH182" s="397"/>
      <c r="AI182" s="398"/>
      <c r="AJ182" s="398"/>
      <c r="AK182" s="398"/>
      <c r="AL182" s="591" t="s">
        <v>429</v>
      </c>
      <c r="AM182" s="591" t="s">
        <v>429</v>
      </c>
      <c r="AN182" s="614"/>
      <c r="AO182" s="398"/>
      <c r="AP182" s="397"/>
    </row>
    <row r="183" spans="1:42" ht="16.149999999999999" hidden="1" customHeight="1" thickBot="1" x14ac:dyDescent="0.3">
      <c r="A183" s="1758"/>
      <c r="B183" s="640" t="s">
        <v>139</v>
      </c>
      <c r="C183" s="652"/>
      <c r="D183" s="807" t="s">
        <v>1116</v>
      </c>
      <c r="E183" s="1799"/>
      <c r="F183" s="616">
        <f>'exchange rates'!$O$49</f>
        <v>0.83301000000000003</v>
      </c>
      <c r="G183" s="549">
        <f>33.94/F183</f>
        <v>40.743808597735921</v>
      </c>
      <c r="H183" s="550">
        <f>55.59/F183</f>
        <v>66.733892750387156</v>
      </c>
      <c r="I183" s="551">
        <f>2.68/F183</f>
        <v>3.2172482923374268</v>
      </c>
      <c r="J183" s="560">
        <f>5.53/F183</f>
        <v>6.6385757673977501</v>
      </c>
      <c r="K183" s="566">
        <f>Tabel6689212734[[#This Row],[Fix.ch. 2017]]+Tabel6689212734[[#This Row],[Var. ch. 2017]]+Tabel6689212734[[#This Row],[Oth. ch. DW 2017]]+Tabel6689212734[[#This Row],[VAT DW 2017]]</f>
        <v>117.33352540785826</v>
      </c>
      <c r="L183" s="567">
        <f>114.67/F183</f>
        <v>137.65741107549729</v>
      </c>
      <c r="M183" s="560">
        <v>0</v>
      </c>
      <c r="N183" s="568">
        <v>0</v>
      </c>
      <c r="O183" s="560">
        <v>0</v>
      </c>
      <c r="P183" s="569">
        <v>0</v>
      </c>
      <c r="Q183" s="560">
        <v>0</v>
      </c>
      <c r="R183" s="570">
        <f>Tabel6689212734[[#This Row],[VAT DW 2017]]+Tabel6689212734[[#This Row],[VAT Sew. 2017]]+Tabel6689212734[[#This Row],[VAT WW 2017]]+Tabel6689212734[[#This Row],[VAT Other ch. 2017]]</f>
        <v>6.6385757673977501</v>
      </c>
      <c r="S183" s="571">
        <f>Tabel6689212734[[#This Row],[Total. ch. DW 2017]]+Tabel6689212734[[#This Row],[Sew. 2017]]+Tabel6689212734[[#This Row],[VAT Sew. 2017]]+Tabel6689212734[[#This Row],[WW 2017]]+Tabel6689212734[[#This Row],[VAT WW 2017]]+Tabel6689212734[[#This Row],[Other ch. 2017]]+Tabel6689212734[[#This Row],[VAT Other ch. 2017]]</f>
        <v>254.99093648335554</v>
      </c>
      <c r="T183" s="397"/>
      <c r="U183" s="1801"/>
      <c r="V183" s="1803"/>
      <c r="W183" s="1805"/>
      <c r="X183" s="1773"/>
      <c r="Y183" s="1807"/>
      <c r="Z183" s="1809"/>
      <c r="AA183" s="1773"/>
      <c r="AB183" s="1782"/>
      <c r="AC183" s="1773"/>
      <c r="AD183" s="1786"/>
      <c r="AE183" s="1773"/>
      <c r="AF183" s="1789"/>
      <c r="AG183" s="1792"/>
      <c r="AH183" s="397"/>
      <c r="AI183" s="398"/>
      <c r="AJ183" s="398"/>
      <c r="AK183" s="398"/>
      <c r="AL183" s="591" t="s">
        <v>429</v>
      </c>
      <c r="AM183" s="591" t="s">
        <v>429</v>
      </c>
      <c r="AN183" s="591" t="s">
        <v>429</v>
      </c>
      <c r="AO183" s="398"/>
      <c r="AP183" s="397"/>
    </row>
    <row r="184" spans="1:42" ht="18.75" hidden="1" customHeight="1" x14ac:dyDescent="0.25">
      <c r="A184" s="1878" t="s">
        <v>40</v>
      </c>
      <c r="B184" s="630" t="s">
        <v>869</v>
      </c>
      <c r="C184" s="754"/>
      <c r="D184" s="754" t="s">
        <v>1118</v>
      </c>
      <c r="E184" s="1983">
        <v>24000</v>
      </c>
      <c r="F184" s="616">
        <f>'exchange rates'!$O$50</f>
        <v>3.8868399999999999</v>
      </c>
      <c r="G184" s="549">
        <v>0</v>
      </c>
      <c r="H184" s="550">
        <f>263/F184</f>
        <v>67.664220806619255</v>
      </c>
      <c r="I184" s="551">
        <v>0</v>
      </c>
      <c r="J184" s="560">
        <f>23.67/F184</f>
        <v>6.0897798725957344</v>
      </c>
      <c r="K184" s="566">
        <f>Tabel6689212734[[#This Row],[Fix.ch. 2017]]+Tabel6689212734[[#This Row],[Var. ch. 2017]]+Tabel6689212734[[#This Row],[Oth. ch. DW 2017]]+Tabel6689212734[[#This Row],[VAT DW 2017]]</f>
        <v>73.754000679214982</v>
      </c>
      <c r="L184" s="567">
        <v>0</v>
      </c>
      <c r="M184" s="560">
        <v>0</v>
      </c>
      <c r="N184" s="568">
        <f>279/F184</f>
        <v>71.780675304360358</v>
      </c>
      <c r="O184" s="560">
        <f>53.01/F184</f>
        <v>13.638328307828468</v>
      </c>
      <c r="P184" s="569">
        <v>0</v>
      </c>
      <c r="Q184" s="560">
        <v>0</v>
      </c>
      <c r="R184" s="570">
        <f>Tabel6689212734[[#This Row],[VAT DW 2017]]+Tabel6689212734[[#This Row],[VAT Sew. 2017]]+Tabel6689212734[[#This Row],[VAT WW 2017]]+Tabel6689212734[[#This Row],[VAT Other ch. 2017]]</f>
        <v>19.728108180424201</v>
      </c>
      <c r="S184" s="571">
        <f>Tabel6689212734[[#This Row],[Total. ch. DW 2017]]+Tabel6689212734[[#This Row],[Sew. 2017]]+Tabel6689212734[[#This Row],[VAT Sew. 2017]]+Tabel6689212734[[#This Row],[WW 2017]]+Tabel6689212734[[#This Row],[VAT WW 2017]]+Tabel6689212734[[#This Row],[Other ch. 2017]]+Tabel6689212734[[#This Row],[VAT Other ch. 2017]]</f>
        <v>159.1730042914038</v>
      </c>
      <c r="T184" s="397"/>
      <c r="U184" s="1824">
        <f t="shared" ref="U184:AG184" si="33">MEDIAN(G184:G224)</f>
        <v>0</v>
      </c>
      <c r="V184" s="2338">
        <f t="shared" si="33"/>
        <v>91.848390980848194</v>
      </c>
      <c r="W184" s="1826">
        <f t="shared" si="33"/>
        <v>0</v>
      </c>
      <c r="X184" s="1938">
        <f t="shared" si="33"/>
        <v>8.2663551882763393</v>
      </c>
      <c r="Y184" s="1827">
        <f t="shared" si="33"/>
        <v>100.11474616912453</v>
      </c>
      <c r="Z184" s="1828">
        <f t="shared" si="33"/>
        <v>0</v>
      </c>
      <c r="AA184" s="1938">
        <f t="shared" si="33"/>
        <v>0</v>
      </c>
      <c r="AB184" s="1829">
        <f t="shared" si="33"/>
        <v>66.892385588292811</v>
      </c>
      <c r="AC184" s="1938">
        <f t="shared" si="33"/>
        <v>12.709553261775632</v>
      </c>
      <c r="AD184" s="1830">
        <f t="shared" si="33"/>
        <v>0</v>
      </c>
      <c r="AE184" s="1938">
        <f t="shared" si="33"/>
        <v>0</v>
      </c>
      <c r="AF184" s="2136">
        <f t="shared" si="33"/>
        <v>21.17658560681685</v>
      </c>
      <c r="AG184" s="2052">
        <f t="shared" si="33"/>
        <v>183.3288738409608</v>
      </c>
      <c r="AH184" s="397"/>
      <c r="AI184" s="591" t="s">
        <v>429</v>
      </c>
      <c r="AJ184" s="591" t="s">
        <v>429</v>
      </c>
      <c r="AK184" s="591"/>
      <c r="AL184" s="591"/>
      <c r="AM184" s="591"/>
      <c r="AN184" s="591" t="s">
        <v>429</v>
      </c>
      <c r="AO184" s="614"/>
      <c r="AP184" s="397"/>
    </row>
    <row r="185" spans="1:42" ht="15.75" hidden="1" customHeight="1" x14ac:dyDescent="0.25">
      <c r="A185" s="1757"/>
      <c r="B185" s="274" t="s">
        <v>188</v>
      </c>
      <c r="C185" s="457"/>
      <c r="D185" s="457" t="s">
        <v>1118</v>
      </c>
      <c r="E185" s="1880"/>
      <c r="F185" s="616">
        <f>'exchange rates'!$O$50</f>
        <v>3.8868399999999999</v>
      </c>
      <c r="G185" s="319"/>
      <c r="H185" s="320"/>
      <c r="I185" s="321"/>
      <c r="J185" s="559"/>
      <c r="K185" s="313"/>
      <c r="L185" s="322"/>
      <c r="M185" s="559"/>
      <c r="N185" s="323"/>
      <c r="O185" s="559"/>
      <c r="P185" s="324"/>
      <c r="Q185" s="559"/>
      <c r="R185" s="317"/>
      <c r="S185" s="318"/>
      <c r="T185" s="397"/>
      <c r="U185" s="1763"/>
      <c r="V185" s="2129"/>
      <c r="W185" s="1769"/>
      <c r="X185" s="1772"/>
      <c r="Y185" s="1775"/>
      <c r="Z185" s="1778"/>
      <c r="AA185" s="1772"/>
      <c r="AB185" s="1781"/>
      <c r="AC185" s="1772"/>
      <c r="AD185" s="1785"/>
      <c r="AE185" s="1772"/>
      <c r="AF185" s="2137"/>
      <c r="AG185" s="1990"/>
      <c r="AH185" s="397"/>
      <c r="AI185" s="591"/>
      <c r="AJ185" s="591"/>
      <c r="AK185" s="591"/>
      <c r="AL185" s="591"/>
      <c r="AM185" s="591"/>
      <c r="AN185" s="591"/>
      <c r="AO185" s="614"/>
      <c r="AP185" s="397"/>
    </row>
    <row r="186" spans="1:42" ht="15.75" hidden="1" customHeight="1" x14ac:dyDescent="0.25">
      <c r="A186" s="1757"/>
      <c r="B186" s="630" t="s">
        <v>189</v>
      </c>
      <c r="C186" s="754"/>
      <c r="D186" s="754" t="s">
        <v>1118</v>
      </c>
      <c r="E186" s="1880"/>
      <c r="F186" s="616">
        <f>'exchange rates'!$O$50</f>
        <v>3.8868399999999999</v>
      </c>
      <c r="G186" s="549">
        <v>0</v>
      </c>
      <c r="H186" s="550">
        <f>320/F186</f>
        <v>82.32908995482191</v>
      </c>
      <c r="I186" s="551">
        <v>0</v>
      </c>
      <c r="J186" s="560">
        <f>28.8/F186</f>
        <v>7.4096180959339728</v>
      </c>
      <c r="K186" s="566">
        <f>Tabel6689212734[[#This Row],[Fix.ch. 2017]]+Tabel6689212734[[#This Row],[Var. ch. 2017]]+Tabel6689212734[[#This Row],[Oth. ch. DW 2017]]+Tabel6689212734[[#This Row],[VAT DW 2017]]</f>
        <v>89.738708050755889</v>
      </c>
      <c r="L186" s="567">
        <v>0</v>
      </c>
      <c r="M186" s="560">
        <v>0</v>
      </c>
      <c r="N186" s="568">
        <f>180/F186</f>
        <v>46.310113099587326</v>
      </c>
      <c r="O186" s="560">
        <f>34.2/F186</f>
        <v>8.798921488921593</v>
      </c>
      <c r="P186" s="569">
        <v>0</v>
      </c>
      <c r="Q186" s="560">
        <v>0</v>
      </c>
      <c r="R186" s="570">
        <f>Tabel6689212734[[#This Row],[VAT DW 2017]]+Tabel6689212734[[#This Row],[VAT Sew. 2017]]+Tabel6689212734[[#This Row],[VAT WW 2017]]+Tabel6689212734[[#This Row],[VAT Other ch. 2017]]</f>
        <v>16.208539584855565</v>
      </c>
      <c r="S186" s="571">
        <f>Tabel6689212734[[#This Row],[Total. ch. DW 2017]]+Tabel6689212734[[#This Row],[Sew. 2017]]+Tabel6689212734[[#This Row],[VAT Sew. 2017]]+Tabel6689212734[[#This Row],[WW 2017]]+Tabel6689212734[[#This Row],[VAT WW 2017]]+Tabel6689212734[[#This Row],[Other ch. 2017]]+Tabel6689212734[[#This Row],[VAT Other ch. 2017]]</f>
        <v>144.84774263926479</v>
      </c>
      <c r="T186" s="397"/>
      <c r="U186" s="1763"/>
      <c r="V186" s="2129"/>
      <c r="W186" s="1769"/>
      <c r="X186" s="1772"/>
      <c r="Y186" s="1775"/>
      <c r="Z186" s="1778"/>
      <c r="AA186" s="1772"/>
      <c r="AB186" s="1781"/>
      <c r="AC186" s="1772"/>
      <c r="AD186" s="1785"/>
      <c r="AE186" s="1772"/>
      <c r="AF186" s="2137"/>
      <c r="AG186" s="1990"/>
      <c r="AH186" s="397"/>
      <c r="AI186" s="591" t="s">
        <v>429</v>
      </c>
      <c r="AJ186" s="591" t="s">
        <v>429</v>
      </c>
      <c r="AK186" s="591"/>
      <c r="AL186" s="591"/>
      <c r="AM186" s="591"/>
      <c r="AN186" s="591" t="s">
        <v>429</v>
      </c>
      <c r="AO186" s="614"/>
      <c r="AP186" s="397"/>
    </row>
    <row r="187" spans="1:42" ht="15.75" hidden="1" customHeight="1" x14ac:dyDescent="0.25">
      <c r="A187" s="1757"/>
      <c r="B187" s="630" t="s">
        <v>190</v>
      </c>
      <c r="C187" s="754"/>
      <c r="D187" s="754" t="s">
        <v>1118</v>
      </c>
      <c r="E187" s="1880"/>
      <c r="F187" s="616">
        <f>'exchange rates'!$O$50</f>
        <v>3.8868399999999999</v>
      </c>
      <c r="G187" s="549">
        <v>0</v>
      </c>
      <c r="H187" s="550">
        <f>372/F187</f>
        <v>95.707567072480472</v>
      </c>
      <c r="I187" s="551">
        <v>0</v>
      </c>
      <c r="J187" s="560">
        <f>33.48/F187</f>
        <v>8.6136810365232428</v>
      </c>
      <c r="K187" s="566">
        <f>Tabel6689212734[[#This Row],[Fix.ch. 2017]]+Tabel6689212734[[#This Row],[Var. ch. 2017]]+Tabel6689212734[[#This Row],[Oth. ch. DW 2017]]+Tabel6689212734[[#This Row],[VAT DW 2017]]</f>
        <v>104.32124810900372</v>
      </c>
      <c r="L187" s="567">
        <v>0</v>
      </c>
      <c r="M187" s="560">
        <v>0</v>
      </c>
      <c r="N187" s="568">
        <f>257/F187</f>
        <v>66.120550369966352</v>
      </c>
      <c r="O187" s="560">
        <f>48.83/F187</f>
        <v>12.562904570293606</v>
      </c>
      <c r="P187" s="569">
        <v>0</v>
      </c>
      <c r="Q187" s="560">
        <v>0</v>
      </c>
      <c r="R187" s="570">
        <f>Tabel6689212734[[#This Row],[VAT DW 2017]]+Tabel6689212734[[#This Row],[VAT Sew. 2017]]+Tabel6689212734[[#This Row],[VAT WW 2017]]+Tabel6689212734[[#This Row],[VAT Other ch. 2017]]</f>
        <v>21.17658560681685</v>
      </c>
      <c r="S187" s="571">
        <f>Tabel6689212734[[#This Row],[Total. ch. DW 2017]]+Tabel6689212734[[#This Row],[Sew. 2017]]+Tabel6689212734[[#This Row],[VAT Sew. 2017]]+Tabel6689212734[[#This Row],[WW 2017]]+Tabel6689212734[[#This Row],[VAT WW 2017]]+Tabel6689212734[[#This Row],[Other ch. 2017]]+Tabel6689212734[[#This Row],[VAT Other ch. 2017]]</f>
        <v>183.00470304926367</v>
      </c>
      <c r="T187" s="397"/>
      <c r="U187" s="1763"/>
      <c r="V187" s="2129"/>
      <c r="W187" s="1769"/>
      <c r="X187" s="1772"/>
      <c r="Y187" s="1775"/>
      <c r="Z187" s="1778"/>
      <c r="AA187" s="1772"/>
      <c r="AB187" s="1781"/>
      <c r="AC187" s="1772"/>
      <c r="AD187" s="1785"/>
      <c r="AE187" s="1772"/>
      <c r="AF187" s="2137"/>
      <c r="AG187" s="1990"/>
      <c r="AH187" s="397"/>
      <c r="AI187" s="591" t="s">
        <v>429</v>
      </c>
      <c r="AJ187" s="591" t="s">
        <v>429</v>
      </c>
      <c r="AK187" s="591"/>
      <c r="AL187" s="591"/>
      <c r="AM187" s="591"/>
      <c r="AN187" s="591" t="s">
        <v>429</v>
      </c>
      <c r="AO187" s="614"/>
      <c r="AP187" s="397"/>
    </row>
    <row r="188" spans="1:42" ht="15.75" hidden="1" customHeight="1" x14ac:dyDescent="0.25">
      <c r="A188" s="1757"/>
      <c r="B188" s="631" t="s">
        <v>191</v>
      </c>
      <c r="C188" s="754"/>
      <c r="D188" s="754" t="s">
        <v>1118</v>
      </c>
      <c r="E188" s="1880"/>
      <c r="F188" s="616">
        <f>'exchange rates'!$O$50</f>
        <v>3.8868399999999999</v>
      </c>
      <c r="G188" s="549">
        <v>0</v>
      </c>
      <c r="H188" s="550">
        <f>285/F188</f>
        <v>73.324345741013275</v>
      </c>
      <c r="I188" s="551">
        <v>0</v>
      </c>
      <c r="J188" s="560">
        <f>25.65/F188</f>
        <v>6.5991911166911938</v>
      </c>
      <c r="K188" s="566">
        <f>Tabel6689212734[[#This Row],[Fix.ch. 2017]]+Tabel6689212734[[#This Row],[Var. ch. 2017]]+Tabel6689212734[[#This Row],[Oth. ch. DW 2017]]+Tabel6689212734[[#This Row],[VAT DW 2017]]</f>
        <v>79.923536857704462</v>
      </c>
      <c r="L188" s="567">
        <v>0</v>
      </c>
      <c r="M188" s="560">
        <v>0</v>
      </c>
      <c r="N188" s="568">
        <f>284/F188</f>
        <v>73.067067334904451</v>
      </c>
      <c r="O188" s="560">
        <f>53.96/F188</f>
        <v>13.882742793631845</v>
      </c>
      <c r="P188" s="569">
        <v>0</v>
      </c>
      <c r="Q188" s="560">
        <v>0</v>
      </c>
      <c r="R188" s="570">
        <f>Tabel6689212734[[#This Row],[VAT DW 2017]]+Tabel6689212734[[#This Row],[VAT Sew. 2017]]+Tabel6689212734[[#This Row],[VAT WW 2017]]+Tabel6689212734[[#This Row],[VAT Other ch. 2017]]</f>
        <v>20.48193391032304</v>
      </c>
      <c r="S188" s="571">
        <f>Tabel6689212734[[#This Row],[Total. ch. DW 2017]]+Tabel6689212734[[#This Row],[Sew. 2017]]+Tabel6689212734[[#This Row],[VAT Sew. 2017]]+Tabel6689212734[[#This Row],[WW 2017]]+Tabel6689212734[[#This Row],[VAT WW 2017]]+Tabel6689212734[[#This Row],[Other ch. 2017]]+Tabel6689212734[[#This Row],[VAT Other ch. 2017]]</f>
        <v>166.87334698624076</v>
      </c>
      <c r="T188" s="397"/>
      <c r="U188" s="1763"/>
      <c r="V188" s="2129"/>
      <c r="W188" s="1769"/>
      <c r="X188" s="1772"/>
      <c r="Y188" s="1775"/>
      <c r="Z188" s="1778"/>
      <c r="AA188" s="1772"/>
      <c r="AB188" s="1781"/>
      <c r="AC188" s="1772"/>
      <c r="AD188" s="1785"/>
      <c r="AE188" s="1772"/>
      <c r="AF188" s="2137"/>
      <c r="AG188" s="1990"/>
      <c r="AH188" s="397"/>
      <c r="AI188" s="591" t="s">
        <v>429</v>
      </c>
      <c r="AJ188" s="591" t="s">
        <v>429</v>
      </c>
      <c r="AK188" s="591"/>
      <c r="AL188" s="591"/>
      <c r="AM188" s="591"/>
      <c r="AN188" s="591" t="s">
        <v>429</v>
      </c>
      <c r="AO188" s="614"/>
      <c r="AP188" s="397"/>
    </row>
    <row r="189" spans="1:42" ht="15.75" hidden="1" customHeight="1" x14ac:dyDescent="0.25">
      <c r="A189" s="1757"/>
      <c r="B189" s="631" t="s">
        <v>218</v>
      </c>
      <c r="C189" s="754"/>
      <c r="D189" s="754" t="s">
        <v>1118</v>
      </c>
      <c r="E189" s="1880"/>
      <c r="F189" s="616">
        <f>'exchange rates'!$O$50</f>
        <v>3.8868399999999999</v>
      </c>
      <c r="G189" s="549">
        <v>0</v>
      </c>
      <c r="H189" s="550">
        <f>402/F189</f>
        <v>103.42591925574503</v>
      </c>
      <c r="I189" s="551">
        <v>0</v>
      </c>
      <c r="J189" s="560">
        <f>36.18/F189</f>
        <v>9.3083327330170533</v>
      </c>
      <c r="K189" s="566">
        <f>Tabel6689212734[[#This Row],[Fix.ch. 2017]]+Tabel6689212734[[#This Row],[Var. ch. 2017]]+Tabel6689212734[[#This Row],[Oth. ch. DW 2017]]+Tabel6689212734[[#This Row],[VAT DW 2017]]</f>
        <v>112.73425198876208</v>
      </c>
      <c r="L189" s="567">
        <v>0</v>
      </c>
      <c r="M189" s="560">
        <v>0</v>
      </c>
      <c r="N189" s="568">
        <f>242/F189</f>
        <v>62.261374278334074</v>
      </c>
      <c r="O189" s="560">
        <f>45.98/F189</f>
        <v>11.829661112883473</v>
      </c>
      <c r="P189" s="569">
        <v>0</v>
      </c>
      <c r="Q189" s="560">
        <v>0</v>
      </c>
      <c r="R189" s="570">
        <f>Tabel6689212734[[#This Row],[VAT DW 2017]]+Tabel6689212734[[#This Row],[VAT Sew. 2017]]+Tabel6689212734[[#This Row],[VAT WW 2017]]+Tabel6689212734[[#This Row],[VAT Other ch. 2017]]</f>
        <v>21.137993845900525</v>
      </c>
      <c r="S189" s="571">
        <f>Tabel6689212734[[#This Row],[Total. ch. DW 2017]]+Tabel6689212734[[#This Row],[Sew. 2017]]+Tabel6689212734[[#This Row],[VAT Sew. 2017]]+Tabel6689212734[[#This Row],[WW 2017]]+Tabel6689212734[[#This Row],[VAT WW 2017]]+Tabel6689212734[[#This Row],[Other ch. 2017]]+Tabel6689212734[[#This Row],[VAT Other ch. 2017]]</f>
        <v>186.82528737997964</v>
      </c>
      <c r="T189" s="397"/>
      <c r="U189" s="1763"/>
      <c r="V189" s="2129"/>
      <c r="W189" s="1769"/>
      <c r="X189" s="1772"/>
      <c r="Y189" s="1775"/>
      <c r="Z189" s="1778"/>
      <c r="AA189" s="1772"/>
      <c r="AB189" s="1781"/>
      <c r="AC189" s="1772"/>
      <c r="AD189" s="1785"/>
      <c r="AE189" s="1772"/>
      <c r="AF189" s="2137"/>
      <c r="AG189" s="1990"/>
      <c r="AH189" s="397"/>
      <c r="AI189" s="591" t="s">
        <v>429</v>
      </c>
      <c r="AJ189" s="591" t="s">
        <v>429</v>
      </c>
      <c r="AK189" s="591"/>
      <c r="AL189" s="591"/>
      <c r="AM189" s="591"/>
      <c r="AN189" s="591" t="s">
        <v>429</v>
      </c>
      <c r="AO189" s="614"/>
      <c r="AP189" s="397"/>
    </row>
    <row r="190" spans="1:42" ht="16.5" hidden="1" customHeight="1" x14ac:dyDescent="0.25">
      <c r="A190" s="1757"/>
      <c r="B190" s="632" t="s">
        <v>219</v>
      </c>
      <c r="C190" s="925"/>
      <c r="D190" s="754" t="s">
        <v>1118</v>
      </c>
      <c r="E190" s="1880"/>
      <c r="F190" s="616">
        <f>'exchange rates'!$O$50</f>
        <v>3.8868399999999999</v>
      </c>
      <c r="G190" s="549">
        <v>0</v>
      </c>
      <c r="H190" s="550">
        <f>308/F190</f>
        <v>79.24174908151609</v>
      </c>
      <c r="I190" s="551">
        <v>0</v>
      </c>
      <c r="J190" s="560">
        <f>27.72/F190</f>
        <v>7.1317574173364484</v>
      </c>
      <c r="K190" s="566">
        <f>Tabel6689212734[[#This Row],[Fix.ch. 2017]]+Tabel6689212734[[#This Row],[Var. ch. 2017]]+Tabel6689212734[[#This Row],[Oth. ch. DW 2017]]+Tabel6689212734[[#This Row],[VAT DW 2017]]</f>
        <v>86.373506498852535</v>
      </c>
      <c r="L190" s="567">
        <v>0</v>
      </c>
      <c r="M190" s="560">
        <v>0</v>
      </c>
      <c r="N190" s="568">
        <f>213/F190</f>
        <v>54.800300501178334</v>
      </c>
      <c r="O190" s="560">
        <f>40.47/F190</f>
        <v>10.412057095223883</v>
      </c>
      <c r="P190" s="569">
        <v>0</v>
      </c>
      <c r="Q190" s="560">
        <v>0</v>
      </c>
      <c r="R190" s="570">
        <f>Tabel6689212734[[#This Row],[VAT DW 2017]]+Tabel6689212734[[#This Row],[VAT Sew. 2017]]+Tabel6689212734[[#This Row],[VAT WW 2017]]+Tabel6689212734[[#This Row],[VAT Other ch. 2017]]</f>
        <v>17.543814512560331</v>
      </c>
      <c r="S190" s="571">
        <f>Tabel6689212734[[#This Row],[Total. ch. DW 2017]]+Tabel6689212734[[#This Row],[Sew. 2017]]+Tabel6689212734[[#This Row],[VAT Sew. 2017]]+Tabel6689212734[[#This Row],[WW 2017]]+Tabel6689212734[[#This Row],[VAT WW 2017]]+Tabel6689212734[[#This Row],[Other ch. 2017]]+Tabel6689212734[[#This Row],[VAT Other ch. 2017]]</f>
        <v>151.58586409525475</v>
      </c>
      <c r="T190" s="397"/>
      <c r="U190" s="1763"/>
      <c r="V190" s="2129"/>
      <c r="W190" s="1769"/>
      <c r="X190" s="1772"/>
      <c r="Y190" s="1775"/>
      <c r="Z190" s="1778"/>
      <c r="AA190" s="1772"/>
      <c r="AB190" s="1781"/>
      <c r="AC190" s="1772"/>
      <c r="AD190" s="1785"/>
      <c r="AE190" s="1772"/>
      <c r="AF190" s="2137"/>
      <c r="AG190" s="1990"/>
      <c r="AH190" s="397"/>
      <c r="AI190" s="591" t="s">
        <v>429</v>
      </c>
      <c r="AJ190" s="591" t="s">
        <v>429</v>
      </c>
      <c r="AK190" s="591"/>
      <c r="AL190" s="591"/>
      <c r="AM190" s="591"/>
      <c r="AN190" s="591" t="s">
        <v>429</v>
      </c>
      <c r="AO190" s="614"/>
      <c r="AP190" s="397"/>
    </row>
    <row r="191" spans="1:42" ht="15.75" hidden="1" customHeight="1" x14ac:dyDescent="0.25">
      <c r="A191" s="1757"/>
      <c r="B191" s="632" t="s">
        <v>513</v>
      </c>
      <c r="C191" s="925"/>
      <c r="D191" s="754" t="s">
        <v>1118</v>
      </c>
      <c r="E191" s="1880"/>
      <c r="F191" s="616">
        <f>'exchange rates'!$O$50</f>
        <v>3.8868399999999999</v>
      </c>
      <c r="G191" s="549">
        <v>0</v>
      </c>
      <c r="H191" s="550">
        <f>409/F191</f>
        <v>105.22686809850676</v>
      </c>
      <c r="I191" s="551">
        <v>0</v>
      </c>
      <c r="J191" s="560">
        <f>36.81/F191</f>
        <v>9.4704181288656084</v>
      </c>
      <c r="K191" s="566">
        <f>Tabel6689212734[[#This Row],[Fix.ch. 2017]]+Tabel6689212734[[#This Row],[Var. ch. 2017]]+Tabel6689212734[[#This Row],[Oth. ch. DW 2017]]+Tabel6689212734[[#This Row],[VAT DW 2017]]</f>
        <v>114.69728622737236</v>
      </c>
      <c r="L191" s="567">
        <v>0</v>
      </c>
      <c r="M191" s="560">
        <v>0</v>
      </c>
      <c r="N191" s="568">
        <f>363/F191</f>
        <v>93.392061417501111</v>
      </c>
      <c r="O191" s="560">
        <f>68.97/F191</f>
        <v>17.74449166932521</v>
      </c>
      <c r="P191" s="569">
        <v>0</v>
      </c>
      <c r="Q191" s="560">
        <v>0</v>
      </c>
      <c r="R191" s="570">
        <f>Tabel6689212734[[#This Row],[VAT DW 2017]]+Tabel6689212734[[#This Row],[VAT Sew. 2017]]+Tabel6689212734[[#This Row],[VAT WW 2017]]+Tabel6689212734[[#This Row],[VAT Other ch. 2017]]</f>
        <v>27.214909798190817</v>
      </c>
      <c r="S191" s="571">
        <f>Tabel6689212734[[#This Row],[Total. ch. DW 2017]]+Tabel6689212734[[#This Row],[Sew. 2017]]+Tabel6689212734[[#This Row],[VAT Sew. 2017]]+Tabel6689212734[[#This Row],[WW 2017]]+Tabel6689212734[[#This Row],[VAT WW 2017]]+Tabel6689212734[[#This Row],[Other ch. 2017]]+Tabel6689212734[[#This Row],[VAT Other ch. 2017]]</f>
        <v>225.83383931419868</v>
      </c>
      <c r="T191" s="397"/>
      <c r="U191" s="1763"/>
      <c r="V191" s="2129"/>
      <c r="W191" s="1769"/>
      <c r="X191" s="1772"/>
      <c r="Y191" s="1775"/>
      <c r="Z191" s="1778"/>
      <c r="AA191" s="1772"/>
      <c r="AB191" s="1781"/>
      <c r="AC191" s="1772"/>
      <c r="AD191" s="1785"/>
      <c r="AE191" s="1772"/>
      <c r="AF191" s="2137"/>
      <c r="AG191" s="1990"/>
      <c r="AH191" s="397"/>
      <c r="AI191" s="591" t="s">
        <v>429</v>
      </c>
      <c r="AJ191" s="591" t="s">
        <v>429</v>
      </c>
      <c r="AK191" s="591"/>
      <c r="AL191" s="591"/>
      <c r="AM191" s="591"/>
      <c r="AN191" s="591" t="s">
        <v>429</v>
      </c>
      <c r="AO191" s="614"/>
      <c r="AP191" s="397"/>
    </row>
    <row r="192" spans="1:42" ht="15.75" hidden="1" customHeight="1" x14ac:dyDescent="0.25">
      <c r="A192" s="1757"/>
      <c r="B192" s="632" t="s">
        <v>514</v>
      </c>
      <c r="C192" s="925"/>
      <c r="D192" s="754" t="s">
        <v>1118</v>
      </c>
      <c r="E192" s="1880"/>
      <c r="F192" s="616">
        <f>'exchange rates'!$O$50</f>
        <v>3.8868399999999999</v>
      </c>
      <c r="G192" s="549">
        <v>0</v>
      </c>
      <c r="H192" s="550">
        <f>320/F192</f>
        <v>82.32908995482191</v>
      </c>
      <c r="I192" s="551">
        <v>0</v>
      </c>
      <c r="J192" s="560">
        <f>28.8/F192</f>
        <v>7.4096180959339728</v>
      </c>
      <c r="K192" s="566">
        <f>Tabel6689212734[[#This Row],[Fix.ch. 2017]]+Tabel6689212734[[#This Row],[Var. ch. 2017]]+Tabel6689212734[[#This Row],[Oth. ch. DW 2017]]+Tabel6689212734[[#This Row],[VAT DW 2017]]</f>
        <v>89.738708050755889</v>
      </c>
      <c r="L192" s="567">
        <v>0</v>
      </c>
      <c r="M192" s="560">
        <v>0</v>
      </c>
      <c r="N192" s="568">
        <f>321/F192</f>
        <v>82.586368360930734</v>
      </c>
      <c r="O192" s="560">
        <f>60.99/F192</f>
        <v>15.69140998857684</v>
      </c>
      <c r="P192" s="569">
        <v>0</v>
      </c>
      <c r="Q192" s="560">
        <v>0</v>
      </c>
      <c r="R192" s="570">
        <f>Tabel6689212734[[#This Row],[VAT DW 2017]]+Tabel6689212734[[#This Row],[VAT Sew. 2017]]+Tabel6689212734[[#This Row],[VAT WW 2017]]+Tabel6689212734[[#This Row],[VAT Other ch. 2017]]</f>
        <v>23.101028084510812</v>
      </c>
      <c r="S192" s="571">
        <f>Tabel6689212734[[#This Row],[Total. ch. DW 2017]]+Tabel6689212734[[#This Row],[Sew. 2017]]+Tabel6689212734[[#This Row],[VAT Sew. 2017]]+Tabel6689212734[[#This Row],[WW 2017]]+Tabel6689212734[[#This Row],[VAT WW 2017]]+Tabel6689212734[[#This Row],[Other ch. 2017]]+Tabel6689212734[[#This Row],[VAT Other ch. 2017]]</f>
        <v>188.01648640026346</v>
      </c>
      <c r="T192" s="397"/>
      <c r="U192" s="1763"/>
      <c r="V192" s="2129"/>
      <c r="W192" s="1769"/>
      <c r="X192" s="1772"/>
      <c r="Y192" s="1775"/>
      <c r="Z192" s="1778"/>
      <c r="AA192" s="1772"/>
      <c r="AB192" s="1781"/>
      <c r="AC192" s="1772"/>
      <c r="AD192" s="1785"/>
      <c r="AE192" s="1772"/>
      <c r="AF192" s="2137"/>
      <c r="AG192" s="1990"/>
      <c r="AH192" s="397"/>
      <c r="AI192" s="591" t="s">
        <v>429</v>
      </c>
      <c r="AJ192" s="591" t="s">
        <v>429</v>
      </c>
      <c r="AK192" s="591"/>
      <c r="AL192" s="591"/>
      <c r="AM192" s="591"/>
      <c r="AN192" s="591" t="s">
        <v>429</v>
      </c>
      <c r="AO192" s="614"/>
      <c r="AP192" s="397"/>
    </row>
    <row r="193" spans="1:42" ht="15.75" hidden="1" customHeight="1" x14ac:dyDescent="0.25">
      <c r="A193" s="1757"/>
      <c r="B193" s="632" t="s">
        <v>515</v>
      </c>
      <c r="C193" s="925"/>
      <c r="D193" s="754" t="s">
        <v>1118</v>
      </c>
      <c r="E193" s="1880"/>
      <c r="F193" s="616">
        <f>'exchange rates'!$O$50</f>
        <v>3.8868399999999999</v>
      </c>
      <c r="G193" s="549">
        <v>0</v>
      </c>
      <c r="H193" s="550">
        <f>371/F193</f>
        <v>95.450288666371662</v>
      </c>
      <c r="I193" s="551">
        <v>0</v>
      </c>
      <c r="J193" s="560">
        <f>33.39/F193</f>
        <v>8.5905259799734495</v>
      </c>
      <c r="K193" s="566">
        <f>Tabel6689212734[[#This Row],[Fix.ch. 2017]]+Tabel6689212734[[#This Row],[Var. ch. 2017]]+Tabel6689212734[[#This Row],[Oth. ch. DW 2017]]+Tabel6689212734[[#This Row],[VAT DW 2017]]</f>
        <v>104.04081464634511</v>
      </c>
      <c r="L193" s="567">
        <v>0</v>
      </c>
      <c r="M193" s="560">
        <v>0</v>
      </c>
      <c r="N193" s="568">
        <f>276/F193</f>
        <v>71.008840086033899</v>
      </c>
      <c r="O193" s="560">
        <f>52.44/F193</f>
        <v>13.49167961634644</v>
      </c>
      <c r="P193" s="569">
        <v>0</v>
      </c>
      <c r="Q193" s="560">
        <v>0</v>
      </c>
      <c r="R193" s="570">
        <f>Tabel6689212734[[#This Row],[VAT DW 2017]]+Tabel6689212734[[#This Row],[VAT Sew. 2017]]+Tabel6689212734[[#This Row],[VAT WW 2017]]+Tabel6689212734[[#This Row],[VAT Other ch. 2017]]</f>
        <v>22.082205596319888</v>
      </c>
      <c r="S193" s="571">
        <f>Tabel6689212734[[#This Row],[Total. ch. DW 2017]]+Tabel6689212734[[#This Row],[Sew. 2017]]+Tabel6689212734[[#This Row],[VAT Sew. 2017]]+Tabel6689212734[[#This Row],[WW 2017]]+Tabel6689212734[[#This Row],[VAT WW 2017]]+Tabel6689212734[[#This Row],[Other ch. 2017]]+Tabel6689212734[[#This Row],[VAT Other ch. 2017]]</f>
        <v>188.54133434872543</v>
      </c>
      <c r="T193" s="397"/>
      <c r="U193" s="1763"/>
      <c r="V193" s="2129"/>
      <c r="W193" s="1769"/>
      <c r="X193" s="1772"/>
      <c r="Y193" s="1775"/>
      <c r="Z193" s="1778"/>
      <c r="AA193" s="1772"/>
      <c r="AB193" s="1781"/>
      <c r="AC193" s="1772"/>
      <c r="AD193" s="1785"/>
      <c r="AE193" s="1772"/>
      <c r="AF193" s="2137"/>
      <c r="AG193" s="1990"/>
      <c r="AH193" s="397"/>
      <c r="AI193" s="591" t="s">
        <v>429</v>
      </c>
      <c r="AJ193" s="591" t="s">
        <v>429</v>
      </c>
      <c r="AK193" s="591"/>
      <c r="AL193" s="591"/>
      <c r="AM193" s="591"/>
      <c r="AN193" s="591" t="s">
        <v>429</v>
      </c>
      <c r="AO193" s="614"/>
      <c r="AP193" s="397"/>
    </row>
    <row r="194" spans="1:42" ht="15.75" hidden="1" customHeight="1" x14ac:dyDescent="0.25">
      <c r="A194" s="1757"/>
      <c r="B194" s="632" t="s">
        <v>516</v>
      </c>
      <c r="C194" s="925"/>
      <c r="D194" s="754" t="s">
        <v>1118</v>
      </c>
      <c r="E194" s="1880"/>
      <c r="F194" s="616">
        <f>'exchange rates'!$O$50</f>
        <v>3.8868399999999999</v>
      </c>
      <c r="G194" s="549">
        <v>0</v>
      </c>
      <c r="H194" s="550">
        <f>464/F194</f>
        <v>119.37718043449178</v>
      </c>
      <c r="I194" s="551">
        <v>0</v>
      </c>
      <c r="J194" s="560">
        <f>41.76/F194</f>
        <v>10.743946239104259</v>
      </c>
      <c r="K194" s="566">
        <f>Tabel6689212734[[#This Row],[Fix.ch. 2017]]+Tabel6689212734[[#This Row],[Var. ch. 2017]]+Tabel6689212734[[#This Row],[Oth. ch. DW 2017]]+Tabel6689212734[[#This Row],[VAT DW 2017]]</f>
        <v>130.12112667359602</v>
      </c>
      <c r="L194" s="567">
        <v>0</v>
      </c>
      <c r="M194" s="560">
        <v>0</v>
      </c>
      <c r="N194" s="568">
        <f>260/F194</f>
        <v>66.892385588292811</v>
      </c>
      <c r="O194" s="560">
        <f>49.4/F194</f>
        <v>12.709553261775632</v>
      </c>
      <c r="P194" s="569">
        <v>0</v>
      </c>
      <c r="Q194" s="560">
        <v>0</v>
      </c>
      <c r="R194" s="570">
        <f>Tabel6689212734[[#This Row],[VAT DW 2017]]+Tabel6689212734[[#This Row],[VAT Sew. 2017]]+Tabel6689212734[[#This Row],[VAT WW 2017]]+Tabel6689212734[[#This Row],[VAT Other ch. 2017]]</f>
        <v>23.453499500879893</v>
      </c>
      <c r="S194" s="571">
        <f>Tabel6689212734[[#This Row],[Total. ch. DW 2017]]+Tabel6689212734[[#This Row],[Sew. 2017]]+Tabel6689212734[[#This Row],[VAT Sew. 2017]]+Tabel6689212734[[#This Row],[WW 2017]]+Tabel6689212734[[#This Row],[VAT WW 2017]]+Tabel6689212734[[#This Row],[Other ch. 2017]]+Tabel6689212734[[#This Row],[VAT Other ch. 2017]]</f>
        <v>209.72306552366445</v>
      </c>
      <c r="T194" s="397"/>
      <c r="U194" s="1763"/>
      <c r="V194" s="2129"/>
      <c r="W194" s="1769"/>
      <c r="X194" s="1772"/>
      <c r="Y194" s="1775"/>
      <c r="Z194" s="1778"/>
      <c r="AA194" s="1772"/>
      <c r="AB194" s="1781"/>
      <c r="AC194" s="1772"/>
      <c r="AD194" s="1785"/>
      <c r="AE194" s="1772"/>
      <c r="AF194" s="2137"/>
      <c r="AG194" s="1990"/>
      <c r="AH194" s="397"/>
      <c r="AI194" s="591" t="s">
        <v>429</v>
      </c>
      <c r="AJ194" s="591" t="s">
        <v>429</v>
      </c>
      <c r="AK194" s="591"/>
      <c r="AL194" s="591"/>
      <c r="AM194" s="591"/>
      <c r="AN194" s="591" t="s">
        <v>429</v>
      </c>
      <c r="AO194" s="614"/>
      <c r="AP194" s="397"/>
    </row>
    <row r="195" spans="1:42" ht="15.75" hidden="1" customHeight="1" x14ac:dyDescent="0.25">
      <c r="A195" s="1757"/>
      <c r="B195" s="632" t="s">
        <v>875</v>
      </c>
      <c r="C195" s="925"/>
      <c r="D195" s="754" t="s">
        <v>1118</v>
      </c>
      <c r="E195" s="1880"/>
      <c r="F195" s="616">
        <f>'exchange rates'!$O$50</f>
        <v>3.8868399999999999</v>
      </c>
      <c r="G195" s="549">
        <v>0</v>
      </c>
      <c r="H195" s="550">
        <f>350/F195</f>
        <v>90.047442138086467</v>
      </c>
      <c r="I195" s="551">
        <v>0</v>
      </c>
      <c r="J195" s="560">
        <f>31.5/F195</f>
        <v>8.1042697924277824</v>
      </c>
      <c r="K195" s="566">
        <f>Tabel6689212734[[#This Row],[Fix.ch. 2017]]+Tabel6689212734[[#This Row],[Var. ch. 2017]]+Tabel6689212734[[#This Row],[Oth. ch. DW 2017]]+Tabel6689212734[[#This Row],[VAT DW 2017]]</f>
        <v>98.151711930514253</v>
      </c>
      <c r="L195" s="567">
        <v>0</v>
      </c>
      <c r="M195" s="560">
        <v>0</v>
      </c>
      <c r="N195" s="568">
        <f>297/F195</f>
        <v>76.411686614319095</v>
      </c>
      <c r="O195" s="560">
        <f>56.43/F195</f>
        <v>14.518220456720627</v>
      </c>
      <c r="P195" s="569">
        <v>0</v>
      </c>
      <c r="Q195" s="560">
        <v>0</v>
      </c>
      <c r="R195" s="570">
        <f>Tabel6689212734[[#This Row],[VAT DW 2017]]+Tabel6689212734[[#This Row],[VAT Sew. 2017]]+Tabel6689212734[[#This Row],[VAT WW 2017]]+Tabel6689212734[[#This Row],[VAT Other ch. 2017]]</f>
        <v>22.622490249148409</v>
      </c>
      <c r="S195" s="571">
        <f>Tabel6689212734[[#This Row],[Total. ch. DW 2017]]+Tabel6689212734[[#This Row],[Sew. 2017]]+Tabel6689212734[[#This Row],[VAT Sew. 2017]]+Tabel6689212734[[#This Row],[WW 2017]]+Tabel6689212734[[#This Row],[VAT WW 2017]]+Tabel6689212734[[#This Row],[Other ch. 2017]]+Tabel6689212734[[#This Row],[VAT Other ch. 2017]]</f>
        <v>189.08161900155397</v>
      </c>
      <c r="T195" s="397"/>
      <c r="U195" s="1763"/>
      <c r="V195" s="2129"/>
      <c r="W195" s="1769"/>
      <c r="X195" s="1772"/>
      <c r="Y195" s="1775"/>
      <c r="Z195" s="1778"/>
      <c r="AA195" s="1772"/>
      <c r="AB195" s="1781"/>
      <c r="AC195" s="1772"/>
      <c r="AD195" s="1785"/>
      <c r="AE195" s="1772"/>
      <c r="AF195" s="2137"/>
      <c r="AG195" s="1990"/>
      <c r="AH195" s="397"/>
      <c r="AI195" s="591" t="s">
        <v>429</v>
      </c>
      <c r="AJ195" s="591" t="s">
        <v>429</v>
      </c>
      <c r="AK195" s="591"/>
      <c r="AL195" s="591"/>
      <c r="AM195" s="591"/>
      <c r="AN195" s="591" t="s">
        <v>429</v>
      </c>
      <c r="AO195" s="614"/>
      <c r="AP195" s="397"/>
    </row>
    <row r="196" spans="1:42" ht="15.75" hidden="1" customHeight="1" x14ac:dyDescent="0.25">
      <c r="A196" s="1757"/>
      <c r="B196" s="632" t="s">
        <v>517</v>
      </c>
      <c r="C196" s="925"/>
      <c r="D196" s="754" t="s">
        <v>1118</v>
      </c>
      <c r="E196" s="1880"/>
      <c r="F196" s="616">
        <f>'exchange rates'!$O$50</f>
        <v>3.8868399999999999</v>
      </c>
      <c r="G196" s="549">
        <v>0</v>
      </c>
      <c r="H196" s="550">
        <f>344/F196</f>
        <v>88.503771701433564</v>
      </c>
      <c r="I196" s="551">
        <v>0</v>
      </c>
      <c r="J196" s="560">
        <f>30.96/F196</f>
        <v>7.9653394531290207</v>
      </c>
      <c r="K196" s="566">
        <f>Tabel6689212734[[#This Row],[Fix.ch. 2017]]+Tabel6689212734[[#This Row],[Var. ch. 2017]]+Tabel6689212734[[#This Row],[Oth. ch. DW 2017]]+Tabel6689212734[[#This Row],[VAT DW 2017]]</f>
        <v>96.469111154562583</v>
      </c>
      <c r="L196" s="567">
        <v>0</v>
      </c>
      <c r="M196" s="560">
        <v>0</v>
      </c>
      <c r="N196" s="568">
        <f>299/F196</f>
        <v>76.926243426536729</v>
      </c>
      <c r="O196" s="560">
        <f>56.81/F196</f>
        <v>14.61598625104198</v>
      </c>
      <c r="P196" s="569">
        <v>0</v>
      </c>
      <c r="Q196" s="560">
        <v>0</v>
      </c>
      <c r="R196" s="570">
        <f>Tabel6689212734[[#This Row],[VAT DW 2017]]+Tabel6689212734[[#This Row],[VAT Sew. 2017]]+Tabel6689212734[[#This Row],[VAT WW 2017]]+Tabel6689212734[[#This Row],[VAT Other ch. 2017]]</f>
        <v>22.581325704171</v>
      </c>
      <c r="S196" s="571">
        <f>Tabel6689212734[[#This Row],[Total. ch. DW 2017]]+Tabel6689212734[[#This Row],[Sew. 2017]]+Tabel6689212734[[#This Row],[VAT Sew. 2017]]+Tabel6689212734[[#This Row],[WW 2017]]+Tabel6689212734[[#This Row],[VAT WW 2017]]+Tabel6689212734[[#This Row],[Other ch. 2017]]+Tabel6689212734[[#This Row],[VAT Other ch. 2017]]</f>
        <v>188.01134083214129</v>
      </c>
      <c r="T196" s="397"/>
      <c r="U196" s="1763"/>
      <c r="V196" s="2129"/>
      <c r="W196" s="1769"/>
      <c r="X196" s="1772"/>
      <c r="Y196" s="1775"/>
      <c r="Z196" s="1778"/>
      <c r="AA196" s="1772"/>
      <c r="AB196" s="1781"/>
      <c r="AC196" s="1772"/>
      <c r="AD196" s="1785"/>
      <c r="AE196" s="1772"/>
      <c r="AF196" s="2137"/>
      <c r="AG196" s="1990"/>
      <c r="AH196" s="397"/>
      <c r="AI196" s="591" t="s">
        <v>429</v>
      </c>
      <c r="AJ196" s="591" t="s">
        <v>429</v>
      </c>
      <c r="AK196" s="591"/>
      <c r="AL196" s="591"/>
      <c r="AM196" s="591"/>
      <c r="AN196" s="591" t="s">
        <v>429</v>
      </c>
      <c r="AO196" s="614"/>
      <c r="AP196" s="397"/>
    </row>
    <row r="197" spans="1:42" ht="15.75" hidden="1" customHeight="1" x14ac:dyDescent="0.25">
      <c r="A197" s="1757"/>
      <c r="B197" s="456" t="s">
        <v>518</v>
      </c>
      <c r="C197" s="804"/>
      <c r="D197" s="804" t="s">
        <v>1118</v>
      </c>
      <c r="E197" s="1880"/>
      <c r="F197" s="616">
        <f>'exchange rates'!$O$50</f>
        <v>3.8868399999999999</v>
      </c>
      <c r="G197" s="319"/>
      <c r="H197" s="320"/>
      <c r="I197" s="321"/>
      <c r="J197" s="559"/>
      <c r="K197" s="313"/>
      <c r="L197" s="322"/>
      <c r="M197" s="559"/>
      <c r="N197" s="323"/>
      <c r="O197" s="559"/>
      <c r="P197" s="324"/>
      <c r="Q197" s="559"/>
      <c r="R197" s="317"/>
      <c r="S197" s="318"/>
      <c r="T197" s="397"/>
      <c r="U197" s="1763"/>
      <c r="V197" s="2129"/>
      <c r="W197" s="1769"/>
      <c r="X197" s="1772"/>
      <c r="Y197" s="1775"/>
      <c r="Z197" s="1778"/>
      <c r="AA197" s="1772"/>
      <c r="AB197" s="1781"/>
      <c r="AC197" s="1772"/>
      <c r="AD197" s="1785"/>
      <c r="AE197" s="1772"/>
      <c r="AF197" s="2137"/>
      <c r="AG197" s="1990"/>
      <c r="AH197" s="397"/>
      <c r="AI197" s="591"/>
      <c r="AJ197" s="591"/>
      <c r="AK197" s="591"/>
      <c r="AL197" s="591"/>
      <c r="AM197" s="591"/>
      <c r="AN197" s="591"/>
      <c r="AO197" s="614"/>
      <c r="AP197" s="397"/>
    </row>
    <row r="198" spans="1:42" ht="15.75" hidden="1" customHeight="1" x14ac:dyDescent="0.25">
      <c r="A198" s="1757"/>
      <c r="B198" s="456" t="s">
        <v>519</v>
      </c>
      <c r="C198" s="804"/>
      <c r="D198" s="804" t="s">
        <v>1118</v>
      </c>
      <c r="E198" s="1880"/>
      <c r="F198" s="616">
        <f>'exchange rates'!$O$50</f>
        <v>3.8868399999999999</v>
      </c>
      <c r="G198" s="319"/>
      <c r="H198" s="320"/>
      <c r="I198" s="321"/>
      <c r="J198" s="559"/>
      <c r="K198" s="313"/>
      <c r="L198" s="322"/>
      <c r="M198" s="559"/>
      <c r="N198" s="323"/>
      <c r="O198" s="559"/>
      <c r="P198" s="324"/>
      <c r="Q198" s="559"/>
      <c r="R198" s="317"/>
      <c r="S198" s="318"/>
      <c r="T198" s="397"/>
      <c r="U198" s="1763"/>
      <c r="V198" s="2129"/>
      <c r="W198" s="1769"/>
      <c r="X198" s="1772"/>
      <c r="Y198" s="1775"/>
      <c r="Z198" s="1778"/>
      <c r="AA198" s="1772"/>
      <c r="AB198" s="1781"/>
      <c r="AC198" s="1772"/>
      <c r="AD198" s="1785"/>
      <c r="AE198" s="1772"/>
      <c r="AF198" s="2137"/>
      <c r="AG198" s="1990"/>
      <c r="AH198" s="397"/>
      <c r="AI198" s="591"/>
      <c r="AJ198" s="591"/>
      <c r="AK198" s="591"/>
      <c r="AL198" s="591"/>
      <c r="AM198" s="591"/>
      <c r="AN198" s="591"/>
      <c r="AO198" s="614"/>
      <c r="AP198" s="397"/>
    </row>
    <row r="199" spans="1:42" ht="15.75" hidden="1" customHeight="1" x14ac:dyDescent="0.25">
      <c r="A199" s="1757"/>
      <c r="B199" s="456" t="s">
        <v>596</v>
      </c>
      <c r="C199" s="804"/>
      <c r="D199" s="804" t="s">
        <v>1118</v>
      </c>
      <c r="E199" s="1880"/>
      <c r="F199" s="616">
        <f>'exchange rates'!$O$50</f>
        <v>3.8868399999999999</v>
      </c>
      <c r="G199" s="319"/>
      <c r="H199" s="320"/>
      <c r="I199" s="321"/>
      <c r="J199" s="559"/>
      <c r="K199" s="313"/>
      <c r="L199" s="322"/>
      <c r="M199" s="559"/>
      <c r="N199" s="323"/>
      <c r="O199" s="559"/>
      <c r="P199" s="324"/>
      <c r="Q199" s="559"/>
      <c r="R199" s="317"/>
      <c r="S199" s="318"/>
      <c r="T199" s="397"/>
      <c r="U199" s="1763"/>
      <c r="V199" s="2129"/>
      <c r="W199" s="1769"/>
      <c r="X199" s="1772"/>
      <c r="Y199" s="1775"/>
      <c r="Z199" s="1778"/>
      <c r="AA199" s="1772"/>
      <c r="AB199" s="1781"/>
      <c r="AC199" s="1772"/>
      <c r="AD199" s="1785"/>
      <c r="AE199" s="1772"/>
      <c r="AF199" s="2137"/>
      <c r="AG199" s="1990"/>
      <c r="AH199" s="397"/>
      <c r="AI199" s="591"/>
      <c r="AJ199" s="591"/>
      <c r="AK199" s="591"/>
      <c r="AL199" s="591"/>
      <c r="AM199" s="591"/>
      <c r="AN199" s="591"/>
      <c r="AO199" s="614"/>
      <c r="AP199" s="397"/>
    </row>
    <row r="200" spans="1:42" ht="15.75" hidden="1" customHeight="1" x14ac:dyDescent="0.25">
      <c r="A200" s="1757"/>
      <c r="B200" s="632" t="s">
        <v>873</v>
      </c>
      <c r="C200" s="803"/>
      <c r="D200" s="803" t="s">
        <v>1118</v>
      </c>
      <c r="E200" s="1880"/>
      <c r="F200" s="616">
        <f>'exchange rates'!$O$50</f>
        <v>3.8868399999999999</v>
      </c>
      <c r="G200" s="549">
        <v>0</v>
      </c>
      <c r="H200" s="550">
        <f>382/F200</f>
        <v>98.280351133568658</v>
      </c>
      <c r="I200" s="551">
        <v>0</v>
      </c>
      <c r="J200" s="560">
        <f>34.38/F200</f>
        <v>8.8452316020211796</v>
      </c>
      <c r="K200" s="566">
        <f>Tabel6689212734[[#This Row],[Fix.ch. 2017]]+Tabel6689212734[[#This Row],[Var. ch. 2017]]+Tabel6689212734[[#This Row],[Oth. ch. DW 2017]]+Tabel6689212734[[#This Row],[VAT DW 2017]]</f>
        <v>107.12558273558983</v>
      </c>
      <c r="L200" s="567">
        <v>0</v>
      </c>
      <c r="M200" s="560">
        <v>0</v>
      </c>
      <c r="N200" s="568">
        <f>152/F200</f>
        <v>39.106317728540411</v>
      </c>
      <c r="O200" s="560">
        <f>28.88/F200</f>
        <v>7.4302003684226774</v>
      </c>
      <c r="P200" s="569">
        <v>0</v>
      </c>
      <c r="Q200" s="560">
        <v>0</v>
      </c>
      <c r="R200" s="570">
        <f>Tabel6689212734[[#This Row],[VAT DW 2017]]+Tabel6689212734[[#This Row],[VAT Sew. 2017]]+Tabel6689212734[[#This Row],[VAT WW 2017]]+Tabel6689212734[[#This Row],[VAT Other ch. 2017]]</f>
        <v>16.275431970443858</v>
      </c>
      <c r="S200" s="571">
        <f>Tabel6689212734[[#This Row],[Total. ch. DW 2017]]+Tabel6689212734[[#This Row],[Sew. 2017]]+Tabel6689212734[[#This Row],[VAT Sew. 2017]]+Tabel6689212734[[#This Row],[WW 2017]]+Tabel6689212734[[#This Row],[VAT WW 2017]]+Tabel6689212734[[#This Row],[Other ch. 2017]]+Tabel6689212734[[#This Row],[VAT Other ch. 2017]]</f>
        <v>153.66210083255291</v>
      </c>
      <c r="T200" s="397"/>
      <c r="U200" s="1763"/>
      <c r="V200" s="2129"/>
      <c r="W200" s="1769"/>
      <c r="X200" s="1772"/>
      <c r="Y200" s="1775"/>
      <c r="Z200" s="1778"/>
      <c r="AA200" s="1772"/>
      <c r="AB200" s="1781"/>
      <c r="AC200" s="1772"/>
      <c r="AD200" s="1785"/>
      <c r="AE200" s="1772"/>
      <c r="AF200" s="2137"/>
      <c r="AG200" s="1990"/>
      <c r="AH200" s="397"/>
      <c r="AI200" s="591" t="s">
        <v>429</v>
      </c>
      <c r="AJ200" s="591" t="s">
        <v>429</v>
      </c>
      <c r="AK200" s="591"/>
      <c r="AL200" s="591"/>
      <c r="AM200" s="591"/>
      <c r="AN200" s="591" t="s">
        <v>429</v>
      </c>
      <c r="AO200" s="614"/>
      <c r="AP200" s="397"/>
    </row>
    <row r="201" spans="1:42" ht="16.5" hidden="1" customHeight="1" x14ac:dyDescent="0.25">
      <c r="A201" s="1757"/>
      <c r="B201" s="633" t="s">
        <v>520</v>
      </c>
      <c r="C201" s="803"/>
      <c r="D201" s="803" t="s">
        <v>1118</v>
      </c>
      <c r="E201" s="1880"/>
      <c r="F201" s="616">
        <f>'exchange rates'!$O$50</f>
        <v>3.8868399999999999</v>
      </c>
      <c r="G201" s="549">
        <v>0</v>
      </c>
      <c r="H201" s="550">
        <f>319/F201</f>
        <v>82.0718115487131</v>
      </c>
      <c r="I201" s="551">
        <v>0</v>
      </c>
      <c r="J201" s="560">
        <f>28.71/F201</f>
        <v>7.3864630393841786</v>
      </c>
      <c r="K201" s="566">
        <f>Tabel6689212734[[#This Row],[Fix.ch. 2017]]+Tabel6689212734[[#This Row],[Var. ch. 2017]]+Tabel6689212734[[#This Row],[Oth. ch. DW 2017]]+Tabel6689212734[[#This Row],[VAT DW 2017]]</f>
        <v>89.458274588097282</v>
      </c>
      <c r="L201" s="567">
        <v>0</v>
      </c>
      <c r="M201" s="560">
        <v>0</v>
      </c>
      <c r="N201" s="568">
        <f>307/F201</f>
        <v>78.98447067540728</v>
      </c>
      <c r="O201" s="560">
        <f>58.33/F201</f>
        <v>15.007049428327381</v>
      </c>
      <c r="P201" s="569">
        <v>0</v>
      </c>
      <c r="Q201" s="560">
        <v>0</v>
      </c>
      <c r="R201" s="570">
        <f>Tabel6689212734[[#This Row],[VAT DW 2017]]+Tabel6689212734[[#This Row],[VAT Sew. 2017]]+Tabel6689212734[[#This Row],[VAT WW 2017]]+Tabel6689212734[[#This Row],[VAT Other ch. 2017]]</f>
        <v>22.39351246771156</v>
      </c>
      <c r="S201" s="571">
        <f>Tabel6689212734[[#This Row],[Total. ch. DW 2017]]+Tabel6689212734[[#This Row],[Sew. 2017]]+Tabel6689212734[[#This Row],[VAT Sew. 2017]]+Tabel6689212734[[#This Row],[WW 2017]]+Tabel6689212734[[#This Row],[VAT WW 2017]]+Tabel6689212734[[#This Row],[Other ch. 2017]]+Tabel6689212734[[#This Row],[VAT Other ch. 2017]]</f>
        <v>183.44979469183193</v>
      </c>
      <c r="T201" s="397"/>
      <c r="U201" s="1763"/>
      <c r="V201" s="2129"/>
      <c r="W201" s="1769"/>
      <c r="X201" s="1772"/>
      <c r="Y201" s="1775"/>
      <c r="Z201" s="1778"/>
      <c r="AA201" s="1772"/>
      <c r="AB201" s="1781"/>
      <c r="AC201" s="1772"/>
      <c r="AD201" s="1785"/>
      <c r="AE201" s="1772"/>
      <c r="AF201" s="2137"/>
      <c r="AG201" s="1990"/>
      <c r="AH201" s="397"/>
      <c r="AI201" s="591" t="s">
        <v>429</v>
      </c>
      <c r="AJ201" s="591" t="s">
        <v>429</v>
      </c>
      <c r="AK201" s="591"/>
      <c r="AL201" s="591"/>
      <c r="AM201" s="591"/>
      <c r="AN201" s="591" t="s">
        <v>429</v>
      </c>
      <c r="AO201" s="614"/>
      <c r="AP201" s="397"/>
    </row>
    <row r="202" spans="1:42" ht="18" hidden="1" customHeight="1" x14ac:dyDescent="0.25">
      <c r="A202" s="1757"/>
      <c r="B202" s="633" t="s">
        <v>597</v>
      </c>
      <c r="C202" s="803"/>
      <c r="D202" s="803" t="s">
        <v>1118</v>
      </c>
      <c r="E202" s="1880"/>
      <c r="F202" s="616">
        <f>'exchange rates'!$O$50</f>
        <v>3.8868399999999999</v>
      </c>
      <c r="G202" s="549">
        <v>0</v>
      </c>
      <c r="H202" s="550">
        <f>410/F202</f>
        <v>105.48414650461558</v>
      </c>
      <c r="I202" s="551">
        <v>0</v>
      </c>
      <c r="J202" s="560">
        <f>36.9/F202</f>
        <v>9.4935731854154017</v>
      </c>
      <c r="K202" s="566">
        <f>Tabel6689212734[[#This Row],[Fix.ch. 2017]]+Tabel6689212734[[#This Row],[Var. ch. 2017]]+Tabel6689212734[[#This Row],[Oth. ch. DW 2017]]+Tabel6689212734[[#This Row],[VAT DW 2017]]</f>
        <v>114.97771969003098</v>
      </c>
      <c r="L202" s="567">
        <v>0</v>
      </c>
      <c r="M202" s="560">
        <v>0</v>
      </c>
      <c r="N202" s="568">
        <f>289/F202</f>
        <v>74.353459365448543</v>
      </c>
      <c r="O202" s="560">
        <f>54.91/F202</f>
        <v>14.127157279435222</v>
      </c>
      <c r="P202" s="569">
        <v>0</v>
      </c>
      <c r="Q202" s="560">
        <v>0</v>
      </c>
      <c r="R202" s="570">
        <f>Tabel6689212734[[#This Row],[VAT DW 2017]]+Tabel6689212734[[#This Row],[VAT Sew. 2017]]+Tabel6689212734[[#This Row],[VAT WW 2017]]+Tabel6689212734[[#This Row],[VAT Other ch. 2017]]</f>
        <v>23.620730464850624</v>
      </c>
      <c r="S202" s="571">
        <f>Tabel6689212734[[#This Row],[Total. ch. DW 2017]]+Tabel6689212734[[#This Row],[Sew. 2017]]+Tabel6689212734[[#This Row],[VAT Sew. 2017]]+Tabel6689212734[[#This Row],[WW 2017]]+Tabel6689212734[[#This Row],[VAT WW 2017]]+Tabel6689212734[[#This Row],[Other ch. 2017]]+Tabel6689212734[[#This Row],[VAT Other ch. 2017]]</f>
        <v>203.45833633491475</v>
      </c>
      <c r="T202" s="397"/>
      <c r="U202" s="1763"/>
      <c r="V202" s="2129"/>
      <c r="W202" s="1769"/>
      <c r="X202" s="1772"/>
      <c r="Y202" s="1775"/>
      <c r="Z202" s="1778"/>
      <c r="AA202" s="1772"/>
      <c r="AB202" s="1781"/>
      <c r="AC202" s="1772"/>
      <c r="AD202" s="1785"/>
      <c r="AE202" s="1772"/>
      <c r="AF202" s="2137"/>
      <c r="AG202" s="1990"/>
      <c r="AH202" s="397"/>
      <c r="AI202" s="591" t="s">
        <v>429</v>
      </c>
      <c r="AJ202" s="591" t="s">
        <v>429</v>
      </c>
      <c r="AK202" s="591"/>
      <c r="AL202" s="591"/>
      <c r="AM202" s="591"/>
      <c r="AN202" s="591" t="s">
        <v>429</v>
      </c>
      <c r="AO202" s="614"/>
      <c r="AP202" s="397"/>
    </row>
    <row r="203" spans="1:42" ht="18" hidden="1" customHeight="1" x14ac:dyDescent="0.25">
      <c r="A203" s="1757"/>
      <c r="B203" s="503" t="s">
        <v>765</v>
      </c>
      <c r="C203" s="804"/>
      <c r="D203" s="804" t="s">
        <v>1118</v>
      </c>
      <c r="E203" s="1880"/>
      <c r="F203" s="616">
        <f>'exchange rates'!$O$50</f>
        <v>3.8868399999999999</v>
      </c>
      <c r="G203" s="319"/>
      <c r="H203" s="320"/>
      <c r="I203" s="321"/>
      <c r="J203" s="559"/>
      <c r="K203" s="313"/>
      <c r="L203" s="322"/>
      <c r="M203" s="559"/>
      <c r="N203" s="323"/>
      <c r="O203" s="559"/>
      <c r="P203" s="324"/>
      <c r="Q203" s="559"/>
      <c r="R203" s="317"/>
      <c r="S203" s="318"/>
      <c r="T203" s="397"/>
      <c r="U203" s="1886"/>
      <c r="V203" s="2129"/>
      <c r="W203" s="1890"/>
      <c r="X203" s="1772"/>
      <c r="Y203" s="1892"/>
      <c r="Z203" s="1894"/>
      <c r="AA203" s="1772"/>
      <c r="AB203" s="1911"/>
      <c r="AC203" s="1772"/>
      <c r="AD203" s="1913"/>
      <c r="AE203" s="1772"/>
      <c r="AF203" s="2138"/>
      <c r="AG203" s="2053"/>
      <c r="AH203" s="397"/>
      <c r="AI203" s="591"/>
      <c r="AJ203" s="591"/>
      <c r="AK203" s="591"/>
      <c r="AL203" s="591"/>
      <c r="AM203" s="591"/>
      <c r="AN203" s="591"/>
      <c r="AO203" s="614"/>
      <c r="AP203" s="397"/>
    </row>
    <row r="204" spans="1:42" ht="18" hidden="1" customHeight="1" x14ac:dyDescent="0.25">
      <c r="A204" s="1757"/>
      <c r="B204" s="633" t="s">
        <v>860</v>
      </c>
      <c r="C204" s="803" t="s">
        <v>429</v>
      </c>
      <c r="D204" s="803" t="s">
        <v>1118</v>
      </c>
      <c r="E204" s="1880"/>
      <c r="F204" s="616">
        <f>'exchange rates'!$O$50</f>
        <v>3.8868399999999999</v>
      </c>
      <c r="G204" s="549">
        <v>0</v>
      </c>
      <c r="H204" s="550">
        <f>331/F204</f>
        <v>85.15915242201892</v>
      </c>
      <c r="I204" s="551">
        <v>0</v>
      </c>
      <c r="J204" s="560">
        <f>29.79/F204</f>
        <v>7.6643237179817021</v>
      </c>
      <c r="K204" s="566">
        <f>Tabel6689212734[[#This Row],[Fix.ch. 2017]]+Tabel6689212734[[#This Row],[Var. ch. 2017]]+Tabel6689212734[[#This Row],[Oth. ch. DW 2017]]+Tabel6689212734[[#This Row],[VAT DW 2017]]</f>
        <v>92.823476140000622</v>
      </c>
      <c r="L204" s="567">
        <v>0</v>
      </c>
      <c r="M204" s="560">
        <v>0</v>
      </c>
      <c r="N204" s="568">
        <f>174/F204</f>
        <v>44.766442662934416</v>
      </c>
      <c r="O204" s="560">
        <f>33.06/F204</f>
        <v>8.5056241059575388</v>
      </c>
      <c r="P204" s="569">
        <v>0</v>
      </c>
      <c r="Q204" s="560">
        <v>0</v>
      </c>
      <c r="R204" s="570">
        <f>Tabel6689212734[[#This Row],[VAT DW 2017]]+Tabel6689212734[[#This Row],[VAT Sew. 2017]]+Tabel6689212734[[#This Row],[VAT WW 2017]]+Tabel6689212734[[#This Row],[VAT Other ch. 2017]]</f>
        <v>16.169947823939239</v>
      </c>
      <c r="S204" s="571">
        <f>Tabel6689212734[[#This Row],[Total. ch. DW 2017]]+Tabel6689212734[[#This Row],[Sew. 2017]]+Tabel6689212734[[#This Row],[VAT Sew. 2017]]+Tabel6689212734[[#This Row],[WW 2017]]+Tabel6689212734[[#This Row],[VAT WW 2017]]+Tabel6689212734[[#This Row],[Other ch. 2017]]+Tabel6689212734[[#This Row],[VAT Other ch. 2017]]</f>
        <v>146.09554290889258</v>
      </c>
      <c r="T204" s="397"/>
      <c r="U204" s="1886"/>
      <c r="V204" s="2129"/>
      <c r="W204" s="1890"/>
      <c r="X204" s="1772"/>
      <c r="Y204" s="1892"/>
      <c r="Z204" s="1894"/>
      <c r="AA204" s="1772"/>
      <c r="AB204" s="1911"/>
      <c r="AC204" s="1772"/>
      <c r="AD204" s="1913"/>
      <c r="AE204" s="1772"/>
      <c r="AF204" s="2138"/>
      <c r="AG204" s="2053"/>
      <c r="AH204" s="397"/>
      <c r="AI204" s="591" t="s">
        <v>429</v>
      </c>
      <c r="AJ204" s="591" t="s">
        <v>429</v>
      </c>
      <c r="AK204" s="591"/>
      <c r="AL204" s="591"/>
      <c r="AM204" s="591"/>
      <c r="AN204" s="591" t="s">
        <v>429</v>
      </c>
      <c r="AO204" s="614"/>
      <c r="AP204" s="397"/>
    </row>
    <row r="205" spans="1:42" ht="18" hidden="1" customHeight="1" x14ac:dyDescent="0.25">
      <c r="A205" s="1757"/>
      <c r="B205" s="503" t="s">
        <v>766</v>
      </c>
      <c r="C205" s="804"/>
      <c r="D205" s="804" t="s">
        <v>1118</v>
      </c>
      <c r="E205" s="1880"/>
      <c r="F205" s="616">
        <f>'exchange rates'!$O$50</f>
        <v>3.8868399999999999</v>
      </c>
      <c r="G205" s="319"/>
      <c r="H205" s="320"/>
      <c r="I205" s="321"/>
      <c r="J205" s="559"/>
      <c r="K205" s="313"/>
      <c r="L205" s="322"/>
      <c r="M205" s="559"/>
      <c r="N205" s="323"/>
      <c r="O205" s="559"/>
      <c r="P205" s="324"/>
      <c r="Q205" s="559"/>
      <c r="R205" s="317"/>
      <c r="S205" s="318"/>
      <c r="T205" s="397"/>
      <c r="U205" s="1886"/>
      <c r="V205" s="2129"/>
      <c r="W205" s="1890"/>
      <c r="X205" s="1772"/>
      <c r="Y205" s="1892"/>
      <c r="Z205" s="1894"/>
      <c r="AA205" s="1772"/>
      <c r="AB205" s="1911"/>
      <c r="AC205" s="1772"/>
      <c r="AD205" s="1913"/>
      <c r="AE205" s="1772"/>
      <c r="AF205" s="2138"/>
      <c r="AG205" s="2053"/>
      <c r="AH205" s="397"/>
      <c r="AI205" s="591"/>
      <c r="AJ205" s="591"/>
      <c r="AK205" s="591"/>
      <c r="AL205" s="591"/>
      <c r="AM205" s="591"/>
      <c r="AN205" s="591"/>
      <c r="AO205" s="614"/>
      <c r="AP205" s="397"/>
    </row>
    <row r="206" spans="1:42" ht="18" hidden="1" customHeight="1" x14ac:dyDescent="0.25">
      <c r="A206" s="1757"/>
      <c r="B206" s="503" t="s">
        <v>767</v>
      </c>
      <c r="C206" s="804"/>
      <c r="D206" s="804" t="s">
        <v>1118</v>
      </c>
      <c r="E206" s="1880"/>
      <c r="F206" s="616">
        <f>'exchange rates'!$O$50</f>
        <v>3.8868399999999999</v>
      </c>
      <c r="G206" s="319"/>
      <c r="H206" s="320"/>
      <c r="I206" s="321"/>
      <c r="J206" s="559"/>
      <c r="K206" s="313"/>
      <c r="L206" s="322"/>
      <c r="M206" s="559"/>
      <c r="N206" s="323"/>
      <c r="O206" s="559"/>
      <c r="P206" s="324"/>
      <c r="Q206" s="559"/>
      <c r="R206" s="317"/>
      <c r="S206" s="318"/>
      <c r="T206" s="397"/>
      <c r="U206" s="1886"/>
      <c r="V206" s="2129"/>
      <c r="W206" s="1890"/>
      <c r="X206" s="1772"/>
      <c r="Y206" s="1892"/>
      <c r="Z206" s="1894"/>
      <c r="AA206" s="1772"/>
      <c r="AB206" s="1911"/>
      <c r="AC206" s="1772"/>
      <c r="AD206" s="1913"/>
      <c r="AE206" s="1772"/>
      <c r="AF206" s="2138"/>
      <c r="AG206" s="2053"/>
      <c r="AH206" s="397"/>
      <c r="AI206" s="591"/>
      <c r="AJ206" s="591"/>
      <c r="AK206" s="591"/>
      <c r="AL206" s="591"/>
      <c r="AM206" s="591"/>
      <c r="AN206" s="591"/>
      <c r="AO206" s="614"/>
      <c r="AP206" s="397"/>
    </row>
    <row r="207" spans="1:42" ht="18" hidden="1" customHeight="1" x14ac:dyDescent="0.25">
      <c r="A207" s="1757"/>
      <c r="B207" s="503" t="s">
        <v>768</v>
      </c>
      <c r="C207" s="804"/>
      <c r="D207" s="804" t="s">
        <v>1118</v>
      </c>
      <c r="E207" s="1880"/>
      <c r="F207" s="616">
        <f>'exchange rates'!$O$50</f>
        <v>3.8868399999999999</v>
      </c>
      <c r="G207" s="319"/>
      <c r="H207" s="320"/>
      <c r="I207" s="321"/>
      <c r="J207" s="559"/>
      <c r="K207" s="313"/>
      <c r="L207" s="322"/>
      <c r="M207" s="559"/>
      <c r="N207" s="323"/>
      <c r="O207" s="559"/>
      <c r="P207" s="324"/>
      <c r="Q207" s="559"/>
      <c r="R207" s="317"/>
      <c r="S207" s="318"/>
      <c r="T207" s="397"/>
      <c r="U207" s="1886"/>
      <c r="V207" s="2129"/>
      <c r="W207" s="1890"/>
      <c r="X207" s="1772"/>
      <c r="Y207" s="1892"/>
      <c r="Z207" s="1894"/>
      <c r="AA207" s="1772"/>
      <c r="AB207" s="1911"/>
      <c r="AC207" s="1772"/>
      <c r="AD207" s="1913"/>
      <c r="AE207" s="1772"/>
      <c r="AF207" s="2138"/>
      <c r="AG207" s="2053"/>
      <c r="AH207" s="397"/>
      <c r="AI207" s="591"/>
      <c r="AJ207" s="591"/>
      <c r="AK207" s="591"/>
      <c r="AL207" s="591"/>
      <c r="AM207" s="591"/>
      <c r="AN207" s="591"/>
      <c r="AO207" s="614"/>
      <c r="AP207" s="397"/>
    </row>
    <row r="208" spans="1:42" ht="18" hidden="1" customHeight="1" x14ac:dyDescent="0.25">
      <c r="A208" s="1757"/>
      <c r="B208" s="633" t="s">
        <v>769</v>
      </c>
      <c r="C208" s="803"/>
      <c r="D208" s="803" t="s">
        <v>1118</v>
      </c>
      <c r="E208" s="1880"/>
      <c r="F208" s="616">
        <f>'exchange rates'!$O$50</f>
        <v>3.8868399999999999</v>
      </c>
      <c r="G208" s="549">
        <v>0</v>
      </c>
      <c r="H208" s="550">
        <f>348/F208</f>
        <v>89.532885325868833</v>
      </c>
      <c r="I208" s="551">
        <v>0</v>
      </c>
      <c r="J208" s="560">
        <f>31.32/F208</f>
        <v>8.0579596793281958</v>
      </c>
      <c r="K208" s="566">
        <f>Tabel6689212734[[#This Row],[Fix.ch. 2017]]+Tabel6689212734[[#This Row],[Var. ch. 2017]]+Tabel6689212734[[#This Row],[Oth. ch. DW 2017]]+Tabel6689212734[[#This Row],[VAT DW 2017]]</f>
        <v>97.590845005197025</v>
      </c>
      <c r="L208" s="567">
        <v>0</v>
      </c>
      <c r="M208" s="560">
        <v>0</v>
      </c>
      <c r="N208" s="568">
        <f>276/F208</f>
        <v>71.008840086033899</v>
      </c>
      <c r="O208" s="560">
        <f>52.44/F208</f>
        <v>13.49167961634644</v>
      </c>
      <c r="P208" s="569">
        <v>0</v>
      </c>
      <c r="Q208" s="560">
        <v>0</v>
      </c>
      <c r="R208" s="570">
        <f>Tabel6689212734[[#This Row],[VAT DW 2017]]+Tabel6689212734[[#This Row],[VAT Sew. 2017]]+Tabel6689212734[[#This Row],[VAT WW 2017]]+Tabel6689212734[[#This Row],[VAT Other ch. 2017]]</f>
        <v>21.549639295674638</v>
      </c>
      <c r="S208" s="571">
        <f>Tabel6689212734[[#This Row],[Total. ch. DW 2017]]+Tabel6689212734[[#This Row],[Sew. 2017]]+Tabel6689212734[[#This Row],[VAT Sew. 2017]]+Tabel6689212734[[#This Row],[WW 2017]]+Tabel6689212734[[#This Row],[VAT WW 2017]]+Tabel6689212734[[#This Row],[Other ch. 2017]]+Tabel6689212734[[#This Row],[VAT Other ch. 2017]]</f>
        <v>182.09136470757736</v>
      </c>
      <c r="T208" s="397"/>
      <c r="U208" s="1886"/>
      <c r="V208" s="2129"/>
      <c r="W208" s="1890"/>
      <c r="X208" s="1772"/>
      <c r="Y208" s="1892"/>
      <c r="Z208" s="1894"/>
      <c r="AA208" s="1772"/>
      <c r="AB208" s="1911"/>
      <c r="AC208" s="1772"/>
      <c r="AD208" s="1913"/>
      <c r="AE208" s="1772"/>
      <c r="AF208" s="2138"/>
      <c r="AG208" s="2053"/>
      <c r="AH208" s="397"/>
      <c r="AI208" s="591" t="s">
        <v>429</v>
      </c>
      <c r="AJ208" s="591" t="s">
        <v>429</v>
      </c>
      <c r="AK208" s="591"/>
      <c r="AL208" s="591"/>
      <c r="AM208" s="591"/>
      <c r="AN208" s="591" t="s">
        <v>429</v>
      </c>
      <c r="AO208" s="614"/>
      <c r="AP208" s="397"/>
    </row>
    <row r="209" spans="1:42" ht="18" hidden="1" customHeight="1" x14ac:dyDescent="0.25">
      <c r="A209" s="1757"/>
      <c r="B209" s="503" t="s">
        <v>770</v>
      </c>
      <c r="C209" s="804"/>
      <c r="D209" s="804" t="s">
        <v>1118</v>
      </c>
      <c r="E209" s="1880"/>
      <c r="F209" s="616">
        <f>'exchange rates'!$O$50</f>
        <v>3.8868399999999999</v>
      </c>
      <c r="G209" s="319"/>
      <c r="H209" s="320"/>
      <c r="I209" s="321"/>
      <c r="J209" s="559"/>
      <c r="K209" s="313"/>
      <c r="L209" s="322"/>
      <c r="M209" s="559"/>
      <c r="N209" s="323"/>
      <c r="O209" s="559"/>
      <c r="P209" s="324"/>
      <c r="Q209" s="559"/>
      <c r="R209" s="317"/>
      <c r="S209" s="318"/>
      <c r="T209" s="397"/>
      <c r="U209" s="1886"/>
      <c r="V209" s="2129"/>
      <c r="W209" s="1890"/>
      <c r="X209" s="1772"/>
      <c r="Y209" s="1892"/>
      <c r="Z209" s="1894"/>
      <c r="AA209" s="1772"/>
      <c r="AB209" s="1911"/>
      <c r="AC209" s="1772"/>
      <c r="AD209" s="1913"/>
      <c r="AE209" s="1772"/>
      <c r="AF209" s="2138"/>
      <c r="AG209" s="2053"/>
      <c r="AH209" s="397"/>
      <c r="AI209" s="591"/>
      <c r="AJ209" s="591"/>
      <c r="AK209" s="591"/>
      <c r="AL209" s="591"/>
      <c r="AM209" s="591"/>
      <c r="AN209" s="591"/>
      <c r="AO209" s="614"/>
      <c r="AP209" s="397"/>
    </row>
    <row r="210" spans="1:42" ht="18" hidden="1" customHeight="1" x14ac:dyDescent="0.25">
      <c r="A210" s="1757"/>
      <c r="B210" s="633" t="s">
        <v>771</v>
      </c>
      <c r="C210" s="803"/>
      <c r="D210" s="803" t="s">
        <v>1118</v>
      </c>
      <c r="E210" s="1880"/>
      <c r="F210" s="616">
        <f>'exchange rates'!$O$50</f>
        <v>3.8868399999999999</v>
      </c>
      <c r="G210" s="549">
        <v>0</v>
      </c>
      <c r="H210" s="550">
        <f>357/F210</f>
        <v>91.848390980848194</v>
      </c>
      <c r="I210" s="551">
        <v>0</v>
      </c>
      <c r="J210" s="560">
        <f>32.13/F210</f>
        <v>8.2663551882763393</v>
      </c>
      <c r="K210" s="566">
        <f>Tabel6689212734[[#This Row],[Fix.ch. 2017]]+Tabel6689212734[[#This Row],[Var. ch. 2017]]+Tabel6689212734[[#This Row],[Oth. ch. DW 2017]]+Tabel6689212734[[#This Row],[VAT DW 2017]]</f>
        <v>100.11474616912453</v>
      </c>
      <c r="L210" s="567">
        <v>0</v>
      </c>
      <c r="M210" s="560">
        <v>0</v>
      </c>
      <c r="N210" s="568">
        <f>244/F210</f>
        <v>62.775931090551708</v>
      </c>
      <c r="O210" s="560">
        <f>46.36/F210</f>
        <v>11.927426907204826</v>
      </c>
      <c r="P210" s="569">
        <v>0</v>
      </c>
      <c r="Q210" s="560">
        <v>0</v>
      </c>
      <c r="R210" s="570">
        <f>Tabel6689212734[[#This Row],[VAT DW 2017]]+Tabel6689212734[[#This Row],[VAT Sew. 2017]]+Tabel6689212734[[#This Row],[VAT WW 2017]]+Tabel6689212734[[#This Row],[VAT Other ch. 2017]]</f>
        <v>20.193782095481165</v>
      </c>
      <c r="S210" s="571">
        <f>Tabel6689212734[[#This Row],[Total. ch. DW 2017]]+Tabel6689212734[[#This Row],[Sew. 2017]]+Tabel6689212734[[#This Row],[VAT Sew. 2017]]+Tabel6689212734[[#This Row],[WW 2017]]+Tabel6689212734[[#This Row],[VAT WW 2017]]+Tabel6689212734[[#This Row],[Other ch. 2017]]+Tabel6689212734[[#This Row],[VAT Other ch. 2017]]</f>
        <v>174.81810416688106</v>
      </c>
      <c r="T210" s="397"/>
      <c r="U210" s="1886"/>
      <c r="V210" s="2129"/>
      <c r="W210" s="1890"/>
      <c r="X210" s="1772"/>
      <c r="Y210" s="1892"/>
      <c r="Z210" s="1894"/>
      <c r="AA210" s="1772"/>
      <c r="AB210" s="1911"/>
      <c r="AC210" s="1772"/>
      <c r="AD210" s="1913"/>
      <c r="AE210" s="1772"/>
      <c r="AF210" s="2138"/>
      <c r="AG210" s="2053"/>
      <c r="AH210" s="397"/>
      <c r="AI210" s="591" t="s">
        <v>429</v>
      </c>
      <c r="AJ210" s="591" t="s">
        <v>429</v>
      </c>
      <c r="AK210" s="591"/>
      <c r="AL210" s="591"/>
      <c r="AM210" s="591"/>
      <c r="AN210" s="591" t="s">
        <v>429</v>
      </c>
      <c r="AO210" s="614"/>
      <c r="AP210" s="397"/>
    </row>
    <row r="211" spans="1:42" ht="18" hidden="1" customHeight="1" x14ac:dyDescent="0.25">
      <c r="A211" s="1757"/>
      <c r="B211" s="503" t="s">
        <v>772</v>
      </c>
      <c r="C211" s="804"/>
      <c r="D211" s="804" t="s">
        <v>1118</v>
      </c>
      <c r="E211" s="1880"/>
      <c r="F211" s="616">
        <f>'exchange rates'!$O$50</f>
        <v>3.8868399999999999</v>
      </c>
      <c r="G211" s="319"/>
      <c r="H211" s="320"/>
      <c r="I211" s="321"/>
      <c r="J211" s="559"/>
      <c r="K211" s="313"/>
      <c r="L211" s="322"/>
      <c r="M211" s="559"/>
      <c r="N211" s="323"/>
      <c r="O211" s="559"/>
      <c r="P211" s="324"/>
      <c r="Q211" s="559"/>
      <c r="R211" s="317"/>
      <c r="S211" s="318"/>
      <c r="T211" s="397"/>
      <c r="U211" s="1886"/>
      <c r="V211" s="2129"/>
      <c r="W211" s="1890"/>
      <c r="X211" s="1772"/>
      <c r="Y211" s="1892"/>
      <c r="Z211" s="1894"/>
      <c r="AA211" s="1772"/>
      <c r="AB211" s="1911"/>
      <c r="AC211" s="1772"/>
      <c r="AD211" s="1913"/>
      <c r="AE211" s="1772"/>
      <c r="AF211" s="2138"/>
      <c r="AG211" s="2053"/>
      <c r="AH211" s="397"/>
      <c r="AI211" s="591"/>
      <c r="AJ211" s="591"/>
      <c r="AK211" s="591"/>
      <c r="AL211" s="591"/>
      <c r="AM211" s="591"/>
      <c r="AN211" s="591"/>
      <c r="AO211" s="614"/>
      <c r="AP211" s="397"/>
    </row>
    <row r="212" spans="1:42" ht="18" hidden="1" customHeight="1" x14ac:dyDescent="0.25">
      <c r="A212" s="1757"/>
      <c r="B212" s="633" t="s">
        <v>861</v>
      </c>
      <c r="C212" s="803"/>
      <c r="D212" s="803" t="s">
        <v>1118</v>
      </c>
      <c r="E212" s="1880"/>
      <c r="F212" s="616">
        <f>'exchange rates'!$O$50</f>
        <v>3.8868399999999999</v>
      </c>
      <c r="G212" s="549">
        <v>0</v>
      </c>
      <c r="H212" s="550">
        <f>389/F212</f>
        <v>100.08129997633038</v>
      </c>
      <c r="I212" s="551">
        <v>0</v>
      </c>
      <c r="J212" s="560">
        <f>35.01/F212</f>
        <v>9.0073169978697347</v>
      </c>
      <c r="K212" s="566">
        <f>Tabel6689212734[[#This Row],[Fix.ch. 2017]]+Tabel6689212734[[#This Row],[Var. ch. 2017]]+Tabel6689212734[[#This Row],[Oth. ch. DW 2017]]+Tabel6689212734[[#This Row],[VAT DW 2017]]</f>
        <v>109.08861697420012</v>
      </c>
      <c r="L212" s="567">
        <v>0</v>
      </c>
      <c r="M212" s="560">
        <v>0</v>
      </c>
      <c r="N212" s="568">
        <f>343/F212</f>
        <v>88.24649329532474</v>
      </c>
      <c r="O212" s="560">
        <f>65.17/F212</f>
        <v>16.766833726111702</v>
      </c>
      <c r="P212" s="569">
        <v>0</v>
      </c>
      <c r="Q212" s="560">
        <v>0</v>
      </c>
      <c r="R212" s="570">
        <f>Tabel6689212734[[#This Row],[VAT DW 2017]]+Tabel6689212734[[#This Row],[VAT Sew. 2017]]+Tabel6689212734[[#This Row],[VAT WW 2017]]+Tabel6689212734[[#This Row],[VAT Other ch. 2017]]</f>
        <v>25.774150723981435</v>
      </c>
      <c r="S212" s="571">
        <f>Tabel6689212734[[#This Row],[Total. ch. DW 2017]]+Tabel6689212734[[#This Row],[Sew. 2017]]+Tabel6689212734[[#This Row],[VAT Sew. 2017]]+Tabel6689212734[[#This Row],[WW 2017]]+Tabel6689212734[[#This Row],[VAT WW 2017]]+Tabel6689212734[[#This Row],[Other ch. 2017]]+Tabel6689212734[[#This Row],[VAT Other ch. 2017]]</f>
        <v>214.10194399563659</v>
      </c>
      <c r="T212" s="397"/>
      <c r="U212" s="1886"/>
      <c r="V212" s="2129"/>
      <c r="W212" s="1890"/>
      <c r="X212" s="1772"/>
      <c r="Y212" s="1892"/>
      <c r="Z212" s="1894"/>
      <c r="AA212" s="1772"/>
      <c r="AB212" s="1911"/>
      <c r="AC212" s="1772"/>
      <c r="AD212" s="1913"/>
      <c r="AE212" s="1772"/>
      <c r="AF212" s="2138"/>
      <c r="AG212" s="2053"/>
      <c r="AH212" s="397"/>
      <c r="AI212" s="591" t="s">
        <v>429</v>
      </c>
      <c r="AJ212" s="591" t="s">
        <v>429</v>
      </c>
      <c r="AK212" s="591"/>
      <c r="AL212" s="591"/>
      <c r="AM212" s="591"/>
      <c r="AN212" s="591" t="s">
        <v>429</v>
      </c>
      <c r="AO212" s="614"/>
      <c r="AP212" s="397"/>
    </row>
    <row r="213" spans="1:42" ht="18" hidden="1" customHeight="1" x14ac:dyDescent="0.25">
      <c r="A213" s="1757"/>
      <c r="B213" s="633" t="s">
        <v>862</v>
      </c>
      <c r="C213" s="803"/>
      <c r="D213" s="803" t="s">
        <v>1118</v>
      </c>
      <c r="E213" s="1880"/>
      <c r="F213" s="616">
        <f>'exchange rates'!$O$50</f>
        <v>3.8868399999999999</v>
      </c>
      <c r="G213" s="549">
        <v>0</v>
      </c>
      <c r="H213" s="550">
        <f>413/F213</f>
        <v>106.25598172294204</v>
      </c>
      <c r="I213" s="551">
        <v>0</v>
      </c>
      <c r="J213" s="560">
        <f>37.17/F213</f>
        <v>9.5630383550647835</v>
      </c>
      <c r="K213" s="566">
        <f>Tabel6689212734[[#This Row],[Fix.ch. 2017]]+Tabel6689212734[[#This Row],[Var. ch. 2017]]+Tabel6689212734[[#This Row],[Oth. ch. DW 2017]]+Tabel6689212734[[#This Row],[VAT DW 2017]]</f>
        <v>115.81902007800682</v>
      </c>
      <c r="L213" s="567">
        <v>0</v>
      </c>
      <c r="M213" s="560">
        <v>0</v>
      </c>
      <c r="N213" s="568">
        <f>260/F213</f>
        <v>66.892385588292811</v>
      </c>
      <c r="O213" s="560">
        <f>49.4/F213</f>
        <v>12.709553261775632</v>
      </c>
      <c r="P213" s="569">
        <v>0</v>
      </c>
      <c r="Q213" s="560">
        <v>0</v>
      </c>
      <c r="R213" s="570">
        <f>Tabel6689212734[[#This Row],[VAT DW 2017]]+Tabel6689212734[[#This Row],[VAT Sew. 2017]]+Tabel6689212734[[#This Row],[VAT WW 2017]]+Tabel6689212734[[#This Row],[VAT Other ch. 2017]]</f>
        <v>22.272591616840415</v>
      </c>
      <c r="S213" s="571">
        <f>Tabel6689212734[[#This Row],[Total. ch. DW 2017]]+Tabel6689212734[[#This Row],[Sew. 2017]]+Tabel6689212734[[#This Row],[VAT Sew. 2017]]+Tabel6689212734[[#This Row],[WW 2017]]+Tabel6689212734[[#This Row],[VAT WW 2017]]+Tabel6689212734[[#This Row],[Other ch. 2017]]+Tabel6689212734[[#This Row],[VAT Other ch. 2017]]</f>
        <v>195.42095892807527</v>
      </c>
      <c r="T213" s="397"/>
      <c r="U213" s="1886"/>
      <c r="V213" s="2129"/>
      <c r="W213" s="1890"/>
      <c r="X213" s="1772"/>
      <c r="Y213" s="1892"/>
      <c r="Z213" s="1894"/>
      <c r="AA213" s="1772"/>
      <c r="AB213" s="1911"/>
      <c r="AC213" s="1772"/>
      <c r="AD213" s="1913"/>
      <c r="AE213" s="1772"/>
      <c r="AF213" s="2138"/>
      <c r="AG213" s="2053"/>
      <c r="AH213" s="397"/>
      <c r="AI213" s="591" t="s">
        <v>429</v>
      </c>
      <c r="AJ213" s="591" t="s">
        <v>429</v>
      </c>
      <c r="AK213" s="591"/>
      <c r="AL213" s="591"/>
      <c r="AM213" s="591"/>
      <c r="AN213" s="591" t="s">
        <v>429</v>
      </c>
      <c r="AO213" s="614"/>
      <c r="AP213" s="397"/>
    </row>
    <row r="214" spans="1:42" ht="18" hidden="1" customHeight="1" x14ac:dyDescent="0.25">
      <c r="A214" s="1757"/>
      <c r="B214" s="633" t="s">
        <v>863</v>
      </c>
      <c r="C214" s="803"/>
      <c r="D214" s="803" t="s">
        <v>1118</v>
      </c>
      <c r="E214" s="1880"/>
      <c r="F214" s="616">
        <f>'exchange rates'!$O$50</f>
        <v>3.8868399999999999</v>
      </c>
      <c r="G214" s="549">
        <v>0</v>
      </c>
      <c r="H214" s="550">
        <f>356/F214</f>
        <v>91.591112574739384</v>
      </c>
      <c r="I214" s="551">
        <v>0</v>
      </c>
      <c r="J214" s="560">
        <f>32.04/F214</f>
        <v>8.2432001317265442</v>
      </c>
      <c r="K214" s="566">
        <f>Tabel6689212734[[#This Row],[Fix.ch. 2017]]+Tabel6689212734[[#This Row],[Var. ch. 2017]]+Tabel6689212734[[#This Row],[Oth. ch. DW 2017]]+Tabel6689212734[[#This Row],[VAT DW 2017]]</f>
        <v>99.834312706465923</v>
      </c>
      <c r="L214" s="567">
        <v>0</v>
      </c>
      <c r="M214" s="560">
        <v>0</v>
      </c>
      <c r="N214" s="568">
        <f>259/F214</f>
        <v>66.635107182183987</v>
      </c>
      <c r="O214" s="560">
        <f>49.21/F214</f>
        <v>12.660670364614958</v>
      </c>
      <c r="P214" s="569">
        <v>0</v>
      </c>
      <c r="Q214" s="560">
        <v>0</v>
      </c>
      <c r="R214" s="570">
        <f>Tabel6689212734[[#This Row],[VAT DW 2017]]+Tabel6689212734[[#This Row],[VAT Sew. 2017]]+Tabel6689212734[[#This Row],[VAT WW 2017]]+Tabel6689212734[[#This Row],[VAT Other ch. 2017]]</f>
        <v>20.903870496341504</v>
      </c>
      <c r="S214" s="571">
        <f>Tabel6689212734[[#This Row],[Total. ch. DW 2017]]+Tabel6689212734[[#This Row],[Sew. 2017]]+Tabel6689212734[[#This Row],[VAT Sew. 2017]]+Tabel6689212734[[#This Row],[WW 2017]]+Tabel6689212734[[#This Row],[VAT WW 2017]]+Tabel6689212734[[#This Row],[Other ch. 2017]]+Tabel6689212734[[#This Row],[VAT Other ch. 2017]]</f>
        <v>179.13009025326485</v>
      </c>
      <c r="T214" s="397"/>
      <c r="U214" s="1886"/>
      <c r="V214" s="2129"/>
      <c r="W214" s="1890"/>
      <c r="X214" s="1772"/>
      <c r="Y214" s="1892"/>
      <c r="Z214" s="1894"/>
      <c r="AA214" s="1772"/>
      <c r="AB214" s="1911"/>
      <c r="AC214" s="1772"/>
      <c r="AD214" s="1913"/>
      <c r="AE214" s="1772"/>
      <c r="AF214" s="2138"/>
      <c r="AG214" s="2053"/>
      <c r="AH214" s="397"/>
      <c r="AI214" s="591" t="s">
        <v>429</v>
      </c>
      <c r="AJ214" s="591" t="s">
        <v>429</v>
      </c>
      <c r="AK214" s="591"/>
      <c r="AL214" s="591"/>
      <c r="AM214" s="591"/>
      <c r="AN214" s="591" t="s">
        <v>429</v>
      </c>
      <c r="AO214" s="614"/>
      <c r="AP214" s="397"/>
    </row>
    <row r="215" spans="1:42" ht="18" hidden="1" customHeight="1" x14ac:dyDescent="0.25">
      <c r="A215" s="1757"/>
      <c r="B215" s="633" t="s">
        <v>864</v>
      </c>
      <c r="C215" s="803"/>
      <c r="D215" s="803" t="s">
        <v>1118</v>
      </c>
      <c r="E215" s="1880"/>
      <c r="F215" s="616">
        <f>'exchange rates'!$O$50</f>
        <v>3.8868399999999999</v>
      </c>
      <c r="G215" s="549">
        <v>0</v>
      </c>
      <c r="H215" s="550">
        <f>356/F215</f>
        <v>91.591112574739384</v>
      </c>
      <c r="I215" s="551">
        <v>0</v>
      </c>
      <c r="J215" s="560">
        <f>32.04/F215</f>
        <v>8.2432001317265442</v>
      </c>
      <c r="K215" s="566">
        <f>Tabel6689212734[[#This Row],[Fix.ch. 2017]]+Tabel6689212734[[#This Row],[Var. ch. 2017]]+Tabel6689212734[[#This Row],[Oth. ch. DW 2017]]+Tabel6689212734[[#This Row],[VAT DW 2017]]</f>
        <v>99.834312706465923</v>
      </c>
      <c r="L215" s="567">
        <v>0</v>
      </c>
      <c r="M215" s="560">
        <v>0</v>
      </c>
      <c r="N215" s="568">
        <f>304/F215</f>
        <v>78.212635457080822</v>
      </c>
      <c r="O215" s="560">
        <f>57.76/F215</f>
        <v>14.860400736845355</v>
      </c>
      <c r="P215" s="569">
        <v>0</v>
      </c>
      <c r="Q215" s="560">
        <v>0</v>
      </c>
      <c r="R215" s="570">
        <f>Tabel6689212734[[#This Row],[VAT DW 2017]]+Tabel6689212734[[#This Row],[VAT Sew. 2017]]+Tabel6689212734[[#This Row],[VAT WW 2017]]+Tabel6689212734[[#This Row],[VAT Other ch. 2017]]</f>
        <v>23.103600868571899</v>
      </c>
      <c r="S215" s="571">
        <f>Tabel6689212734[[#This Row],[Total. ch. DW 2017]]+Tabel6689212734[[#This Row],[Sew. 2017]]+Tabel6689212734[[#This Row],[VAT Sew. 2017]]+Tabel6689212734[[#This Row],[WW 2017]]+Tabel6689212734[[#This Row],[VAT WW 2017]]+Tabel6689212734[[#This Row],[Other ch. 2017]]+Tabel6689212734[[#This Row],[VAT Other ch. 2017]]</f>
        <v>192.90734890039209</v>
      </c>
      <c r="T215" s="397"/>
      <c r="U215" s="1886"/>
      <c r="V215" s="2129"/>
      <c r="W215" s="1890"/>
      <c r="X215" s="1772"/>
      <c r="Y215" s="1892"/>
      <c r="Z215" s="1894"/>
      <c r="AA215" s="1772"/>
      <c r="AB215" s="1911"/>
      <c r="AC215" s="1772"/>
      <c r="AD215" s="1913"/>
      <c r="AE215" s="1772"/>
      <c r="AF215" s="2138"/>
      <c r="AG215" s="2053"/>
      <c r="AH215" s="397"/>
      <c r="AI215" s="591" t="s">
        <v>429</v>
      </c>
      <c r="AJ215" s="591" t="s">
        <v>429</v>
      </c>
      <c r="AK215" s="591"/>
      <c r="AL215" s="591"/>
      <c r="AM215" s="591"/>
      <c r="AN215" s="591" t="s">
        <v>429</v>
      </c>
      <c r="AO215" s="614"/>
      <c r="AP215" s="397"/>
    </row>
    <row r="216" spans="1:42" ht="18" hidden="1" customHeight="1" x14ac:dyDescent="0.25">
      <c r="A216" s="1757"/>
      <c r="B216" s="633" t="s">
        <v>865</v>
      </c>
      <c r="C216" s="803"/>
      <c r="D216" s="803" t="s">
        <v>1118</v>
      </c>
      <c r="E216" s="1880"/>
      <c r="F216" s="616">
        <f>'exchange rates'!$O$50</f>
        <v>3.8868399999999999</v>
      </c>
      <c r="G216" s="549">
        <v>0</v>
      </c>
      <c r="H216" s="550">
        <f>347/F216</f>
        <v>89.275606919760008</v>
      </c>
      <c r="I216" s="551">
        <v>0</v>
      </c>
      <c r="J216" s="560">
        <f>31.23/F216</f>
        <v>8.0348046227784007</v>
      </c>
      <c r="K216" s="566">
        <f>Tabel6689212734[[#This Row],[Fix.ch. 2017]]+Tabel6689212734[[#This Row],[Var. ch. 2017]]+Tabel6689212734[[#This Row],[Oth. ch. DW 2017]]+Tabel6689212734[[#This Row],[VAT DW 2017]]</f>
        <v>97.310411542538404</v>
      </c>
      <c r="L216" s="567">
        <v>0</v>
      </c>
      <c r="M216" s="560">
        <v>0</v>
      </c>
      <c r="N216" s="568">
        <f>257/F216</f>
        <v>66.120550369966352</v>
      </c>
      <c r="O216" s="560">
        <f>48.83/F216</f>
        <v>12.562904570293606</v>
      </c>
      <c r="P216" s="569">
        <v>0</v>
      </c>
      <c r="Q216" s="560">
        <v>0</v>
      </c>
      <c r="R216" s="570">
        <f>Tabel6689212734[[#This Row],[VAT DW 2017]]+Tabel6689212734[[#This Row],[VAT Sew. 2017]]+Tabel6689212734[[#This Row],[VAT WW 2017]]+Tabel6689212734[[#This Row],[VAT Other ch. 2017]]</f>
        <v>20.597709193072006</v>
      </c>
      <c r="S216" s="571">
        <f>Tabel6689212734[[#This Row],[Total. ch. DW 2017]]+Tabel6689212734[[#This Row],[Sew. 2017]]+Tabel6689212734[[#This Row],[VAT Sew. 2017]]+Tabel6689212734[[#This Row],[WW 2017]]+Tabel6689212734[[#This Row],[VAT WW 2017]]+Tabel6689212734[[#This Row],[Other ch. 2017]]+Tabel6689212734[[#This Row],[VAT Other ch. 2017]]</f>
        <v>175.99386648279835</v>
      </c>
      <c r="T216" s="397"/>
      <c r="U216" s="1886"/>
      <c r="V216" s="2129"/>
      <c r="W216" s="1890"/>
      <c r="X216" s="1772"/>
      <c r="Y216" s="1892"/>
      <c r="Z216" s="1894"/>
      <c r="AA216" s="1772"/>
      <c r="AB216" s="1911"/>
      <c r="AC216" s="1772"/>
      <c r="AD216" s="1913"/>
      <c r="AE216" s="1772"/>
      <c r="AF216" s="2138"/>
      <c r="AG216" s="2053"/>
      <c r="AH216" s="397"/>
      <c r="AI216" s="591" t="s">
        <v>429</v>
      </c>
      <c r="AJ216" s="591" t="s">
        <v>429</v>
      </c>
      <c r="AK216" s="591"/>
      <c r="AL216" s="591"/>
      <c r="AM216" s="591"/>
      <c r="AN216" s="591" t="s">
        <v>429</v>
      </c>
      <c r="AO216" s="614"/>
      <c r="AP216" s="397"/>
    </row>
    <row r="217" spans="1:42" ht="18" hidden="1" customHeight="1" x14ac:dyDescent="0.25">
      <c r="A217" s="1757"/>
      <c r="B217" s="633" t="s">
        <v>866</v>
      </c>
      <c r="C217" s="803"/>
      <c r="D217" s="803" t="s">
        <v>1118</v>
      </c>
      <c r="E217" s="1880"/>
      <c r="F217" s="616">
        <f>'exchange rates'!$O$50</f>
        <v>3.8868399999999999</v>
      </c>
      <c r="G217" s="549">
        <v>0</v>
      </c>
      <c r="H217" s="550">
        <f>407/F217</f>
        <v>104.71231128628912</v>
      </c>
      <c r="I217" s="551">
        <v>0</v>
      </c>
      <c r="J217" s="560">
        <f>36.63/F217</f>
        <v>9.4241080157660218</v>
      </c>
      <c r="K217" s="566">
        <f>Tabel6689212734[[#This Row],[Fix.ch. 2017]]+Tabel6689212734[[#This Row],[Var. ch. 2017]]+Tabel6689212734[[#This Row],[Oth. ch. DW 2017]]+Tabel6689212734[[#This Row],[VAT DW 2017]]</f>
        <v>114.13641930205515</v>
      </c>
      <c r="L217" s="567">
        <v>0</v>
      </c>
      <c r="M217" s="560">
        <v>0</v>
      </c>
      <c r="N217" s="568">
        <f>226/F217</f>
        <v>58.144919780592978</v>
      </c>
      <c r="O217" s="560">
        <f>42.94/F217</f>
        <v>11.047534758312665</v>
      </c>
      <c r="P217" s="569">
        <v>0</v>
      </c>
      <c r="Q217" s="560">
        <v>0</v>
      </c>
      <c r="R217" s="570">
        <f>Tabel6689212734[[#This Row],[VAT DW 2017]]+Tabel6689212734[[#This Row],[VAT Sew. 2017]]+Tabel6689212734[[#This Row],[VAT WW 2017]]+Tabel6689212734[[#This Row],[VAT Other ch. 2017]]</f>
        <v>20.471642774078688</v>
      </c>
      <c r="S217" s="571">
        <f>Tabel6689212734[[#This Row],[Total. ch. DW 2017]]+Tabel6689212734[[#This Row],[Sew. 2017]]+Tabel6689212734[[#This Row],[VAT Sew. 2017]]+Tabel6689212734[[#This Row],[WW 2017]]+Tabel6689212734[[#This Row],[VAT WW 2017]]+Tabel6689212734[[#This Row],[Other ch. 2017]]+Tabel6689212734[[#This Row],[VAT Other ch. 2017]]</f>
        <v>183.3288738409608</v>
      </c>
      <c r="T217" s="397"/>
      <c r="U217" s="1886"/>
      <c r="V217" s="2129"/>
      <c r="W217" s="1890"/>
      <c r="X217" s="1772"/>
      <c r="Y217" s="1892"/>
      <c r="Z217" s="1894"/>
      <c r="AA217" s="1772"/>
      <c r="AB217" s="1911"/>
      <c r="AC217" s="1772"/>
      <c r="AD217" s="1913"/>
      <c r="AE217" s="1772"/>
      <c r="AF217" s="2138"/>
      <c r="AG217" s="2053"/>
      <c r="AH217" s="397"/>
      <c r="AI217" s="591" t="s">
        <v>429</v>
      </c>
      <c r="AJ217" s="591" t="s">
        <v>429</v>
      </c>
      <c r="AK217" s="591"/>
      <c r="AL217" s="591"/>
      <c r="AM217" s="591"/>
      <c r="AN217" s="591" t="s">
        <v>429</v>
      </c>
      <c r="AO217" s="614"/>
      <c r="AP217" s="397"/>
    </row>
    <row r="218" spans="1:42" ht="18" hidden="1" customHeight="1" x14ac:dyDescent="0.25">
      <c r="A218" s="1757"/>
      <c r="B218" s="633" t="s">
        <v>867</v>
      </c>
      <c r="C218" s="803"/>
      <c r="D218" s="803" t="s">
        <v>1118</v>
      </c>
      <c r="E218" s="1880"/>
      <c r="F218" s="616">
        <f>'exchange rates'!$O$50</f>
        <v>3.8868399999999999</v>
      </c>
      <c r="G218" s="549">
        <v>0</v>
      </c>
      <c r="H218" s="550">
        <f>316/F218</f>
        <v>81.299976330386642</v>
      </c>
      <c r="I218" s="551">
        <v>0</v>
      </c>
      <c r="J218" s="560">
        <f>28.44/F218</f>
        <v>7.3169978697347977</v>
      </c>
      <c r="K218" s="566">
        <f>Tabel6689212734[[#This Row],[Fix.ch. 2017]]+Tabel6689212734[[#This Row],[Var. ch. 2017]]+Tabel6689212734[[#This Row],[Oth. ch. DW 2017]]+Tabel6689212734[[#This Row],[VAT DW 2017]]</f>
        <v>88.616974200121433</v>
      </c>
      <c r="L218" s="567">
        <v>0</v>
      </c>
      <c r="M218" s="560">
        <v>0</v>
      </c>
      <c r="N218" s="568">
        <f>309/F218</f>
        <v>79.499027487624915</v>
      </c>
      <c r="O218" s="560">
        <f>58.71/F218</f>
        <v>15.104815222648734</v>
      </c>
      <c r="P218" s="569">
        <v>0</v>
      </c>
      <c r="Q218" s="560">
        <v>0</v>
      </c>
      <c r="R218" s="570">
        <f>Tabel6689212734[[#This Row],[VAT DW 2017]]+Tabel6689212734[[#This Row],[VAT Sew. 2017]]+Tabel6689212734[[#This Row],[VAT WW 2017]]+Tabel6689212734[[#This Row],[VAT Other ch. 2017]]</f>
        <v>22.42181309238353</v>
      </c>
      <c r="S218" s="571">
        <f>Tabel6689212734[[#This Row],[Total. ch. DW 2017]]+Tabel6689212734[[#This Row],[Sew. 2017]]+Tabel6689212734[[#This Row],[VAT Sew. 2017]]+Tabel6689212734[[#This Row],[WW 2017]]+Tabel6689212734[[#This Row],[VAT WW 2017]]+Tabel6689212734[[#This Row],[Other ch. 2017]]+Tabel6689212734[[#This Row],[VAT Other ch. 2017]]</f>
        <v>183.22081691039509</v>
      </c>
      <c r="T218" s="397"/>
      <c r="U218" s="1886"/>
      <c r="V218" s="2129"/>
      <c r="W218" s="1890"/>
      <c r="X218" s="1772"/>
      <c r="Y218" s="1892"/>
      <c r="Z218" s="1894"/>
      <c r="AA218" s="1772"/>
      <c r="AB218" s="1911"/>
      <c r="AC218" s="1772"/>
      <c r="AD218" s="1913"/>
      <c r="AE218" s="1772"/>
      <c r="AF218" s="2138"/>
      <c r="AG218" s="2053"/>
      <c r="AH218" s="397"/>
      <c r="AI218" s="591" t="s">
        <v>429</v>
      </c>
      <c r="AJ218" s="591" t="s">
        <v>429</v>
      </c>
      <c r="AK218" s="591"/>
      <c r="AL218" s="591"/>
      <c r="AM218" s="591"/>
      <c r="AN218" s="591" t="s">
        <v>429</v>
      </c>
      <c r="AO218" s="614"/>
      <c r="AP218" s="397"/>
    </row>
    <row r="219" spans="1:42" ht="18" hidden="1" customHeight="1" x14ac:dyDescent="0.25">
      <c r="A219" s="1757"/>
      <c r="B219" s="633" t="s">
        <v>868</v>
      </c>
      <c r="C219" s="803"/>
      <c r="D219" s="803" t="s">
        <v>1118</v>
      </c>
      <c r="E219" s="1880"/>
      <c r="F219" s="616">
        <f>'exchange rates'!$O$50</f>
        <v>3.8868399999999999</v>
      </c>
      <c r="G219" s="549">
        <v>0</v>
      </c>
      <c r="H219" s="550">
        <f>321/F219</f>
        <v>82.586368360930734</v>
      </c>
      <c r="I219" s="551">
        <v>0</v>
      </c>
      <c r="J219" s="560">
        <f>28.89/F219</f>
        <v>7.4327731524837661</v>
      </c>
      <c r="K219" s="566">
        <f>Tabel6689212734[[#This Row],[Fix.ch. 2017]]+Tabel6689212734[[#This Row],[Var. ch. 2017]]+Tabel6689212734[[#This Row],[Oth. ch. DW 2017]]+Tabel6689212734[[#This Row],[VAT DW 2017]]</f>
        <v>90.019141513414496</v>
      </c>
      <c r="L219" s="567">
        <v>0</v>
      </c>
      <c r="M219" s="560">
        <v>0</v>
      </c>
      <c r="N219" s="568">
        <f>213/F219</f>
        <v>54.800300501178334</v>
      </c>
      <c r="O219" s="560">
        <f>40.47/F219</f>
        <v>10.412057095223883</v>
      </c>
      <c r="P219" s="569">
        <v>0</v>
      </c>
      <c r="Q219" s="560">
        <v>0</v>
      </c>
      <c r="R219" s="570">
        <f>Tabel6689212734[[#This Row],[VAT DW 2017]]+Tabel6689212734[[#This Row],[VAT Sew. 2017]]+Tabel6689212734[[#This Row],[VAT WW 2017]]+Tabel6689212734[[#This Row],[VAT Other ch. 2017]]</f>
        <v>17.844830247707648</v>
      </c>
      <c r="S219" s="571">
        <f>Tabel6689212734[[#This Row],[Total. ch. DW 2017]]+Tabel6689212734[[#This Row],[Sew. 2017]]+Tabel6689212734[[#This Row],[VAT Sew. 2017]]+Tabel6689212734[[#This Row],[WW 2017]]+Tabel6689212734[[#This Row],[VAT WW 2017]]+Tabel6689212734[[#This Row],[Other ch. 2017]]+Tabel6689212734[[#This Row],[VAT Other ch. 2017]]</f>
        <v>155.2314991098167</v>
      </c>
      <c r="T219" s="397"/>
      <c r="U219" s="1886"/>
      <c r="V219" s="2129"/>
      <c r="W219" s="1890"/>
      <c r="X219" s="1772"/>
      <c r="Y219" s="1892"/>
      <c r="Z219" s="1894"/>
      <c r="AA219" s="1772"/>
      <c r="AB219" s="1911"/>
      <c r="AC219" s="1772"/>
      <c r="AD219" s="1913"/>
      <c r="AE219" s="1772"/>
      <c r="AF219" s="2138"/>
      <c r="AG219" s="2053"/>
      <c r="AH219" s="397"/>
      <c r="AI219" s="591" t="s">
        <v>429</v>
      </c>
      <c r="AJ219" s="591" t="s">
        <v>429</v>
      </c>
      <c r="AK219" s="591"/>
      <c r="AL219" s="591"/>
      <c r="AM219" s="591"/>
      <c r="AN219" s="591" t="s">
        <v>429</v>
      </c>
      <c r="AO219" s="614"/>
      <c r="AP219" s="397"/>
    </row>
    <row r="220" spans="1:42" ht="18" hidden="1" customHeight="1" x14ac:dyDescent="0.25">
      <c r="A220" s="1757"/>
      <c r="B220" s="633" t="s">
        <v>870</v>
      </c>
      <c r="C220" s="803"/>
      <c r="D220" s="803" t="s">
        <v>1118</v>
      </c>
      <c r="E220" s="1880"/>
      <c r="F220" s="616">
        <f>'exchange rates'!$O$50</f>
        <v>3.8868399999999999</v>
      </c>
      <c r="G220" s="549">
        <v>0</v>
      </c>
      <c r="H220" s="550">
        <f>422/F220</f>
        <v>108.5714873779214</v>
      </c>
      <c r="I220" s="551">
        <v>0</v>
      </c>
      <c r="J220" s="560">
        <f>37.98/F220</f>
        <v>9.7714338640129252</v>
      </c>
      <c r="K220" s="566">
        <f>Tabel6689212734[[#This Row],[Fix.ch. 2017]]+Tabel6689212734[[#This Row],[Var. ch. 2017]]+Tabel6689212734[[#This Row],[Oth. ch. DW 2017]]+Tabel6689212734[[#This Row],[VAT DW 2017]]</f>
        <v>118.34292124193432</v>
      </c>
      <c r="L220" s="567">
        <v>0</v>
      </c>
      <c r="M220" s="560">
        <v>0</v>
      </c>
      <c r="N220" s="568">
        <f>218/F220</f>
        <v>56.086692531722427</v>
      </c>
      <c r="O220" s="560">
        <f>41.42/F220</f>
        <v>10.656471581027262</v>
      </c>
      <c r="P220" s="569">
        <v>0</v>
      </c>
      <c r="Q220" s="560">
        <v>0</v>
      </c>
      <c r="R220" s="570">
        <f>Tabel6689212734[[#This Row],[VAT DW 2017]]+Tabel6689212734[[#This Row],[VAT Sew. 2017]]+Tabel6689212734[[#This Row],[VAT WW 2017]]+Tabel6689212734[[#This Row],[VAT Other ch. 2017]]</f>
        <v>20.427905445040189</v>
      </c>
      <c r="S220" s="571">
        <f>Tabel6689212734[[#This Row],[Total. ch. DW 2017]]+Tabel6689212734[[#This Row],[Sew. 2017]]+Tabel6689212734[[#This Row],[VAT Sew. 2017]]+Tabel6689212734[[#This Row],[WW 2017]]+Tabel6689212734[[#This Row],[VAT WW 2017]]+Tabel6689212734[[#This Row],[Other ch. 2017]]+Tabel6689212734[[#This Row],[VAT Other ch. 2017]]</f>
        <v>185.086085354684</v>
      </c>
      <c r="T220" s="397"/>
      <c r="U220" s="1886"/>
      <c r="V220" s="2129"/>
      <c r="W220" s="1890"/>
      <c r="X220" s="1772"/>
      <c r="Y220" s="1892"/>
      <c r="Z220" s="1894"/>
      <c r="AA220" s="1772"/>
      <c r="AB220" s="1911"/>
      <c r="AC220" s="1772"/>
      <c r="AD220" s="1913"/>
      <c r="AE220" s="1772"/>
      <c r="AF220" s="2138"/>
      <c r="AG220" s="2053"/>
      <c r="AH220" s="397"/>
      <c r="AI220" s="591" t="s">
        <v>429</v>
      </c>
      <c r="AJ220" s="591" t="s">
        <v>429</v>
      </c>
      <c r="AK220" s="591"/>
      <c r="AL220" s="591"/>
      <c r="AM220" s="591"/>
      <c r="AN220" s="591" t="s">
        <v>429</v>
      </c>
      <c r="AO220" s="614"/>
      <c r="AP220" s="397"/>
    </row>
    <row r="221" spans="1:42" ht="18" hidden="1" customHeight="1" x14ac:dyDescent="0.25">
      <c r="A221" s="1757"/>
      <c r="B221" s="633" t="s">
        <v>871</v>
      </c>
      <c r="C221" s="803"/>
      <c r="D221" s="803" t="s">
        <v>1118</v>
      </c>
      <c r="E221" s="1880"/>
      <c r="F221" s="616">
        <f>'exchange rates'!$O$50</f>
        <v>3.8868399999999999</v>
      </c>
      <c r="G221" s="549">
        <v>0</v>
      </c>
      <c r="H221" s="550">
        <f>369/F221</f>
        <v>94.935731854154014</v>
      </c>
      <c r="I221" s="551">
        <v>0</v>
      </c>
      <c r="J221" s="560">
        <f>33.21/F221</f>
        <v>8.5442158668738628</v>
      </c>
      <c r="K221" s="566">
        <f>Tabel6689212734[[#This Row],[Fix.ch. 2017]]+Tabel6689212734[[#This Row],[Var. ch. 2017]]+Tabel6689212734[[#This Row],[Oth. ch. DW 2017]]+Tabel6689212734[[#This Row],[VAT DW 2017]]</f>
        <v>103.47994772102788</v>
      </c>
      <c r="L221" s="567">
        <v>0</v>
      </c>
      <c r="M221" s="560">
        <v>0</v>
      </c>
      <c r="N221" s="568">
        <f>203/F221</f>
        <v>52.227516440090149</v>
      </c>
      <c r="O221" s="560">
        <f>38.57/F221</f>
        <v>9.9232281236171289</v>
      </c>
      <c r="P221" s="569">
        <v>0</v>
      </c>
      <c r="Q221" s="560">
        <v>0</v>
      </c>
      <c r="R221" s="570">
        <f>Tabel6689212734[[#This Row],[VAT DW 2017]]+Tabel6689212734[[#This Row],[VAT Sew. 2017]]+Tabel6689212734[[#This Row],[VAT WW 2017]]+Tabel6689212734[[#This Row],[VAT Other ch. 2017]]</f>
        <v>18.467443990490992</v>
      </c>
      <c r="S221" s="571">
        <f>Tabel6689212734[[#This Row],[Total. ch. DW 2017]]+Tabel6689212734[[#This Row],[Sew. 2017]]+Tabel6689212734[[#This Row],[VAT Sew. 2017]]+Tabel6689212734[[#This Row],[WW 2017]]+Tabel6689212734[[#This Row],[VAT WW 2017]]+Tabel6689212734[[#This Row],[Other ch. 2017]]+Tabel6689212734[[#This Row],[VAT Other ch. 2017]]</f>
        <v>165.63069228473515</v>
      </c>
      <c r="T221" s="397"/>
      <c r="U221" s="1886"/>
      <c r="V221" s="2129"/>
      <c r="W221" s="1890"/>
      <c r="X221" s="1772"/>
      <c r="Y221" s="1892"/>
      <c r="Z221" s="1894"/>
      <c r="AA221" s="1772"/>
      <c r="AB221" s="1911"/>
      <c r="AC221" s="1772"/>
      <c r="AD221" s="1913"/>
      <c r="AE221" s="1772"/>
      <c r="AF221" s="2138"/>
      <c r="AG221" s="2053"/>
      <c r="AH221" s="397"/>
      <c r="AI221" s="591" t="s">
        <v>429</v>
      </c>
      <c r="AJ221" s="591" t="s">
        <v>429</v>
      </c>
      <c r="AK221" s="591"/>
      <c r="AL221" s="591"/>
      <c r="AM221" s="591"/>
      <c r="AN221" s="591" t="s">
        <v>429</v>
      </c>
      <c r="AO221" s="614"/>
      <c r="AP221" s="397"/>
    </row>
    <row r="222" spans="1:42" ht="18" hidden="1" customHeight="1" x14ac:dyDescent="0.25">
      <c r="A222" s="1757"/>
      <c r="B222" s="633" t="s">
        <v>872</v>
      </c>
      <c r="C222" s="803"/>
      <c r="D222" s="803" t="s">
        <v>1118</v>
      </c>
      <c r="E222" s="1880"/>
      <c r="F222" s="616">
        <f>'exchange rates'!$O$50</f>
        <v>3.8868399999999999</v>
      </c>
      <c r="G222" s="549">
        <v>0</v>
      </c>
      <c r="H222" s="550">
        <f>403/F222</f>
        <v>103.68319766185385</v>
      </c>
      <c r="I222" s="551">
        <v>0</v>
      </c>
      <c r="J222" s="560">
        <f>36.27/F222</f>
        <v>9.3314877895668467</v>
      </c>
      <c r="K222" s="566">
        <f>Tabel6689212734[[#This Row],[Fix.ch. 2017]]+Tabel6689212734[[#This Row],[Var. ch. 2017]]+Tabel6689212734[[#This Row],[Oth. ch. DW 2017]]+Tabel6689212734[[#This Row],[VAT DW 2017]]</f>
        <v>113.0146854514207</v>
      </c>
      <c r="L222" s="567">
        <v>0</v>
      </c>
      <c r="M222" s="560">
        <v>0</v>
      </c>
      <c r="N222" s="568">
        <f>223/F222</f>
        <v>57.37308456226652</v>
      </c>
      <c r="O222" s="560">
        <f>42.37/F222</f>
        <v>10.900886066830639</v>
      </c>
      <c r="P222" s="569">
        <v>0</v>
      </c>
      <c r="Q222" s="560">
        <v>0</v>
      </c>
      <c r="R222" s="570">
        <f>Tabel6689212734[[#This Row],[VAT DW 2017]]+Tabel6689212734[[#This Row],[VAT Sew. 2017]]+Tabel6689212734[[#This Row],[VAT WW 2017]]+Tabel6689212734[[#This Row],[VAT Other ch. 2017]]</f>
        <v>20.232373856397487</v>
      </c>
      <c r="S222" s="571">
        <f>Tabel6689212734[[#This Row],[Total. ch. DW 2017]]+Tabel6689212734[[#This Row],[Sew. 2017]]+Tabel6689212734[[#This Row],[VAT Sew. 2017]]+Tabel6689212734[[#This Row],[WW 2017]]+Tabel6689212734[[#This Row],[VAT WW 2017]]+Tabel6689212734[[#This Row],[Other ch. 2017]]+Tabel6689212734[[#This Row],[VAT Other ch. 2017]]</f>
        <v>181.28865608051788</v>
      </c>
      <c r="T222" s="397"/>
      <c r="U222" s="1886"/>
      <c r="V222" s="2129"/>
      <c r="W222" s="1890"/>
      <c r="X222" s="1772"/>
      <c r="Y222" s="1892"/>
      <c r="Z222" s="1894"/>
      <c r="AA222" s="1772"/>
      <c r="AB222" s="1911"/>
      <c r="AC222" s="1772"/>
      <c r="AD222" s="1913"/>
      <c r="AE222" s="1772"/>
      <c r="AF222" s="2138"/>
      <c r="AG222" s="2053"/>
      <c r="AH222" s="397"/>
      <c r="AI222" s="591" t="s">
        <v>429</v>
      </c>
      <c r="AJ222" s="591" t="s">
        <v>429</v>
      </c>
      <c r="AK222" s="591"/>
      <c r="AL222" s="591"/>
      <c r="AM222" s="591"/>
      <c r="AN222" s="591" t="s">
        <v>429</v>
      </c>
      <c r="AO222" s="614"/>
      <c r="AP222" s="397"/>
    </row>
    <row r="223" spans="1:42" ht="18" hidden="1" customHeight="1" x14ac:dyDescent="0.25">
      <c r="A223" s="1757"/>
      <c r="B223" s="633" t="s">
        <v>874</v>
      </c>
      <c r="C223" s="803"/>
      <c r="D223" s="803" t="s">
        <v>1118</v>
      </c>
      <c r="E223" s="1880"/>
      <c r="F223" s="616">
        <f>'exchange rates'!$O$50</f>
        <v>3.8868399999999999</v>
      </c>
      <c r="G223" s="549">
        <v>0</v>
      </c>
      <c r="H223" s="550">
        <f>381/F223</f>
        <v>98.023072727459848</v>
      </c>
      <c r="I223" s="551">
        <v>0</v>
      </c>
      <c r="J223" s="560">
        <f>34.29/F223</f>
        <v>8.8220765454713863</v>
      </c>
      <c r="K223" s="566">
        <f>Tabel6689212734[[#This Row],[Fix.ch. 2017]]+Tabel6689212734[[#This Row],[Var. ch. 2017]]+Tabel6689212734[[#This Row],[Oth. ch. DW 2017]]+Tabel6689212734[[#This Row],[VAT DW 2017]]</f>
        <v>106.84514927293124</v>
      </c>
      <c r="L223" s="567">
        <v>0</v>
      </c>
      <c r="M223" s="560">
        <v>0</v>
      </c>
      <c r="N223" s="568">
        <f>359/F223</f>
        <v>92.362947793065842</v>
      </c>
      <c r="O223" s="560">
        <f>68.21/F223</f>
        <v>17.548960080682509</v>
      </c>
      <c r="P223" s="569">
        <v>0</v>
      </c>
      <c r="Q223" s="560">
        <v>0</v>
      </c>
      <c r="R223" s="570">
        <f>Tabel6689212734[[#This Row],[VAT DW 2017]]+Tabel6689212734[[#This Row],[VAT Sew. 2017]]+Tabel6689212734[[#This Row],[VAT WW 2017]]+Tabel6689212734[[#This Row],[VAT Other ch. 2017]]</f>
        <v>26.371036626153895</v>
      </c>
      <c r="S223" s="571">
        <f>Tabel6689212734[[#This Row],[Total. ch. DW 2017]]+Tabel6689212734[[#This Row],[Sew. 2017]]+Tabel6689212734[[#This Row],[VAT Sew. 2017]]+Tabel6689212734[[#This Row],[WW 2017]]+Tabel6689212734[[#This Row],[VAT WW 2017]]+Tabel6689212734[[#This Row],[Other ch. 2017]]+Tabel6689212734[[#This Row],[VAT Other ch. 2017]]</f>
        <v>216.75705714667961</v>
      </c>
      <c r="T223" s="397"/>
      <c r="U223" s="1886"/>
      <c r="V223" s="2129"/>
      <c r="W223" s="1890"/>
      <c r="X223" s="1772"/>
      <c r="Y223" s="1892"/>
      <c r="Z223" s="1894"/>
      <c r="AA223" s="1772"/>
      <c r="AB223" s="1911"/>
      <c r="AC223" s="1772"/>
      <c r="AD223" s="1913"/>
      <c r="AE223" s="1772"/>
      <c r="AF223" s="2138"/>
      <c r="AG223" s="2053"/>
      <c r="AH223" s="397"/>
      <c r="AI223" s="591" t="s">
        <v>429</v>
      </c>
      <c r="AJ223" s="591" t="s">
        <v>429</v>
      </c>
      <c r="AK223" s="591"/>
      <c r="AL223" s="591"/>
      <c r="AM223" s="591"/>
      <c r="AN223" s="591" t="s">
        <v>429</v>
      </c>
      <c r="AO223" s="614"/>
      <c r="AP223" s="397"/>
    </row>
    <row r="224" spans="1:42" ht="18.600000000000001" hidden="1" customHeight="1" thickBot="1" x14ac:dyDescent="0.3">
      <c r="A224" s="1757"/>
      <c r="B224" s="648" t="s">
        <v>598</v>
      </c>
      <c r="C224" s="803"/>
      <c r="D224" s="803" t="s">
        <v>1118</v>
      </c>
      <c r="E224" s="1880"/>
      <c r="F224" s="616">
        <f>'exchange rates'!$O$50</f>
        <v>3.8868399999999999</v>
      </c>
      <c r="G224" s="549">
        <v>0</v>
      </c>
      <c r="H224" s="550">
        <f>367/F224</f>
        <v>94.42117504193638</v>
      </c>
      <c r="I224" s="551">
        <v>0</v>
      </c>
      <c r="J224" s="560">
        <f>33.03/F224</f>
        <v>8.4979057537742744</v>
      </c>
      <c r="K224" s="566">
        <f>Tabel6689212734[[#This Row],[Fix.ch. 2017]]+Tabel6689212734[[#This Row],[Var. ch. 2017]]+Tabel6689212734[[#This Row],[Oth. ch. DW 2017]]+Tabel6689212734[[#This Row],[VAT DW 2017]]</f>
        <v>102.91908079571066</v>
      </c>
      <c r="L224" s="567">
        <v>0</v>
      </c>
      <c r="M224" s="560">
        <v>0</v>
      </c>
      <c r="N224" s="568">
        <f>379/F224</f>
        <v>97.508515915242199</v>
      </c>
      <c r="O224" s="560">
        <f>72.01/F224</f>
        <v>18.52661802389602</v>
      </c>
      <c r="P224" s="569">
        <v>0</v>
      </c>
      <c r="Q224" s="560">
        <v>0</v>
      </c>
      <c r="R224" s="570">
        <f>Tabel6689212734[[#This Row],[VAT DW 2017]]+Tabel6689212734[[#This Row],[VAT Sew. 2017]]+Tabel6689212734[[#This Row],[VAT WW 2017]]+Tabel6689212734[[#This Row],[VAT Other ch. 2017]]</f>
        <v>27.024523777670296</v>
      </c>
      <c r="S224" s="571">
        <f>Tabel6689212734[[#This Row],[Total. ch. DW 2017]]+Tabel6689212734[[#This Row],[Sew. 2017]]+Tabel6689212734[[#This Row],[VAT Sew. 2017]]+Tabel6689212734[[#This Row],[WW 2017]]+Tabel6689212734[[#This Row],[VAT WW 2017]]+Tabel6689212734[[#This Row],[Other ch. 2017]]+Tabel6689212734[[#This Row],[VAT Other ch. 2017]]</f>
        <v>218.95421473484888</v>
      </c>
      <c r="T224" s="397"/>
      <c r="U224" s="1886"/>
      <c r="V224" s="2130"/>
      <c r="W224" s="1890"/>
      <c r="X224" s="1783"/>
      <c r="Y224" s="1892"/>
      <c r="Z224" s="1894"/>
      <c r="AA224" s="1783"/>
      <c r="AB224" s="1911"/>
      <c r="AC224" s="1783"/>
      <c r="AD224" s="1913"/>
      <c r="AE224" s="1783"/>
      <c r="AF224" s="2138"/>
      <c r="AG224" s="2053"/>
      <c r="AH224" s="397"/>
      <c r="AI224" s="591" t="s">
        <v>429</v>
      </c>
      <c r="AJ224" s="591" t="s">
        <v>429</v>
      </c>
      <c r="AK224" s="591"/>
      <c r="AL224" s="591"/>
      <c r="AM224" s="591"/>
      <c r="AN224" s="591" t="s">
        <v>429</v>
      </c>
      <c r="AO224" s="614"/>
      <c r="AP224" s="397"/>
    </row>
    <row r="225" spans="1:42" ht="18.600000000000001" hidden="1" customHeight="1" x14ac:dyDescent="0.25">
      <c r="A225" s="2337" t="s">
        <v>693</v>
      </c>
      <c r="B225" s="653" t="s">
        <v>887</v>
      </c>
      <c r="C225" s="653" t="s">
        <v>429</v>
      </c>
      <c r="D225" s="653" t="s">
        <v>1120</v>
      </c>
      <c r="E225" s="2166">
        <v>27900</v>
      </c>
      <c r="F225" s="616">
        <f>'exchange rates'!$O$51</f>
        <v>57.611829999999998</v>
      </c>
      <c r="G225" s="549">
        <v>0</v>
      </c>
      <c r="H225" s="550">
        <f>3074/F225</f>
        <v>53.357096971229694</v>
      </c>
      <c r="I225" s="551">
        <v>0</v>
      </c>
      <c r="J225" s="560">
        <v>0</v>
      </c>
      <c r="K225" s="566">
        <f>Tabel6689212734[[#This Row],[Fix.ch. 2017]]+Tabel6689212734[[#This Row],[Var. ch. 2017]]+Tabel6689212734[[#This Row],[Oth. ch. DW 2017]]+Tabel6689212734[[#This Row],[VAT DW 2017]]</f>
        <v>53.357096971229694</v>
      </c>
      <c r="L225" s="567">
        <f>2204/F225</f>
        <v>38.256031790692987</v>
      </c>
      <c r="M225" s="560">
        <v>0</v>
      </c>
      <c r="N225" s="568">
        <v>0</v>
      </c>
      <c r="O225" s="560">
        <v>0</v>
      </c>
      <c r="P225" s="569">
        <v>0</v>
      </c>
      <c r="Q225" s="560">
        <v>0</v>
      </c>
      <c r="R225" s="570">
        <f>Tabel6689212734[[#This Row],[VAT DW 2017]]+Tabel6689212734[[#This Row],[VAT Sew. 2017]]+Tabel6689212734[[#This Row],[VAT WW 2017]]+Tabel6689212734[[#This Row],[VAT Other ch. 2017]]</f>
        <v>0</v>
      </c>
      <c r="S225" s="571">
        <f>Tabel6689212734[[#This Row],[Total. ch. DW 2017]]+Tabel6689212734[[#This Row],[Sew. 2017]]+Tabel6689212734[[#This Row],[VAT Sew. 2017]]+Tabel6689212734[[#This Row],[WW 2017]]+Tabel6689212734[[#This Row],[VAT WW 2017]]+Tabel6689212734[[#This Row],[Other ch. 2017]]+Tabel6689212734[[#This Row],[VAT Other ch. 2017]]</f>
        <v>91.613128761922681</v>
      </c>
      <c r="T225" s="397"/>
      <c r="U225" s="1762">
        <f>G226</f>
        <v>0</v>
      </c>
      <c r="V225" s="2271">
        <f>H226</f>
        <v>48.288693485348411</v>
      </c>
      <c r="W225" s="1768">
        <f>I226</f>
        <v>2.0134753574048943</v>
      </c>
      <c r="X225" s="1771">
        <f>J226</f>
        <v>0</v>
      </c>
      <c r="Y225" s="1774">
        <f>SUM(U225:X226)</f>
        <v>50.302168842753304</v>
      </c>
      <c r="Z225" s="1777">
        <f t="shared" ref="Z225:AF225" si="34">L226</f>
        <v>42.19619477458015</v>
      </c>
      <c r="AA225" s="1771">
        <f t="shared" si="34"/>
        <v>0</v>
      </c>
      <c r="AB225" s="1810">
        <f t="shared" si="34"/>
        <v>0</v>
      </c>
      <c r="AC225" s="1771">
        <f t="shared" si="34"/>
        <v>0</v>
      </c>
      <c r="AD225" s="1812">
        <f t="shared" si="34"/>
        <v>2.1870508192501439</v>
      </c>
      <c r="AE225" s="1771">
        <f t="shared" si="34"/>
        <v>0</v>
      </c>
      <c r="AF225" s="1814">
        <f t="shared" si="34"/>
        <v>0</v>
      </c>
      <c r="AG225" s="2260">
        <f>Y225+Z225+AA225+AB225+AC225+AD225+AE225</f>
        <v>94.685414436583599</v>
      </c>
      <c r="AH225" s="397"/>
      <c r="AI225" s="591"/>
      <c r="AJ225" s="591"/>
      <c r="AK225" s="591"/>
      <c r="AL225" s="591"/>
      <c r="AM225" s="591"/>
      <c r="AN225" s="591"/>
      <c r="AO225" s="614"/>
      <c r="AP225" s="397"/>
    </row>
    <row r="226" spans="1:42" ht="16.5" hidden="1" thickBot="1" x14ac:dyDescent="0.3">
      <c r="A226" s="1758"/>
      <c r="B226" s="652" t="s">
        <v>694</v>
      </c>
      <c r="C226" s="651"/>
      <c r="D226" s="823" t="s">
        <v>1120</v>
      </c>
      <c r="E226" s="1761"/>
      <c r="F226" s="616">
        <f>'exchange rates'!$O$51</f>
        <v>57.611829999999998</v>
      </c>
      <c r="G226" s="549">
        <v>0</v>
      </c>
      <c r="H226" s="550">
        <f>2782/F226</f>
        <v>48.288693485348411</v>
      </c>
      <c r="I226" s="551">
        <f>116/F226</f>
        <v>2.0134753574048943</v>
      </c>
      <c r="J226" s="560">
        <v>0</v>
      </c>
      <c r="K226" s="566">
        <f>Tabel6689212734[[#This Row],[Fix.ch. 2017]]+Tabel6689212734[[#This Row],[Var. ch. 2017]]+Tabel6689212734[[#This Row],[Oth. ch. DW 2017]]+Tabel6689212734[[#This Row],[VAT DW 2017]]</f>
        <v>50.302168842753304</v>
      </c>
      <c r="L226" s="567">
        <f>2431/F226</f>
        <v>42.19619477458015</v>
      </c>
      <c r="M226" s="560">
        <v>0</v>
      </c>
      <c r="N226" s="568">
        <f>0</f>
        <v>0</v>
      </c>
      <c r="O226" s="560">
        <v>0</v>
      </c>
      <c r="P226" s="569">
        <f>126/F226</f>
        <v>2.1870508192501439</v>
      </c>
      <c r="Q226" s="560">
        <v>0</v>
      </c>
      <c r="R226" s="570">
        <f>Tabel6689212734[[#This Row],[VAT DW 2017]]+Tabel6689212734[[#This Row],[VAT Sew. 2017]]+Tabel6689212734[[#This Row],[VAT WW 2017]]+Tabel6689212734[[#This Row],[VAT Other ch. 2017]]</f>
        <v>0</v>
      </c>
      <c r="S226" s="571">
        <f>Tabel6689212734[[#This Row],[Total. ch. DW 2017]]+Tabel6689212734[[#This Row],[Sew. 2017]]+Tabel6689212734[[#This Row],[VAT Sew. 2017]]+Tabel6689212734[[#This Row],[WW 2017]]+Tabel6689212734[[#This Row],[VAT WW 2017]]+Tabel6689212734[[#This Row],[Other ch. 2017]]+Tabel6689212734[[#This Row],[VAT Other ch. 2017]]</f>
        <v>94.685414436583599</v>
      </c>
      <c r="T226" s="397"/>
      <c r="U226" s="1764"/>
      <c r="V226" s="2132"/>
      <c r="W226" s="1770"/>
      <c r="X226" s="1773"/>
      <c r="Y226" s="1776"/>
      <c r="Z226" s="1779"/>
      <c r="AA226" s="1773"/>
      <c r="AB226" s="1811"/>
      <c r="AC226" s="1773"/>
      <c r="AD226" s="1813"/>
      <c r="AE226" s="1773"/>
      <c r="AF226" s="1815"/>
      <c r="AG226" s="1991"/>
      <c r="AH226" s="397"/>
      <c r="AI226" s="591" t="s">
        <v>429</v>
      </c>
      <c r="AJ226" s="396"/>
      <c r="AK226" s="398"/>
      <c r="AL226" s="398"/>
      <c r="AM226" s="398"/>
      <c r="AN226" s="396"/>
      <c r="AO226" s="398"/>
      <c r="AP226" s="397"/>
    </row>
    <row r="227" spans="1:42" ht="18.75" hidden="1" x14ac:dyDescent="0.25">
      <c r="A227" s="1878" t="s">
        <v>47</v>
      </c>
      <c r="B227" s="837" t="s">
        <v>1154</v>
      </c>
      <c r="C227" s="1046" t="s">
        <v>429</v>
      </c>
      <c r="D227" s="802" t="s">
        <v>1121</v>
      </c>
      <c r="E227" s="2166">
        <v>43600</v>
      </c>
      <c r="F227" s="617">
        <f>'exchange rates'!$O$52</f>
        <v>0.73992000000000002</v>
      </c>
      <c r="G227" s="549"/>
      <c r="H227" s="550"/>
      <c r="I227" s="551"/>
      <c r="J227" s="560"/>
      <c r="K227" s="566">
        <f>Tabel6689212734[[#This Row],[Fix.ch. 2017]]+Tabel6689212734[[#This Row],[Var. ch. 2017]]+Tabel6689212734[[#This Row],[Oth. ch. DW 2017]]+Tabel6689212734[[#This Row],[VAT DW 2017]]</f>
        <v>0</v>
      </c>
      <c r="L227" s="567"/>
      <c r="M227" s="560"/>
      <c r="N227" s="568"/>
      <c r="O227" s="560"/>
      <c r="P227" s="569"/>
      <c r="Q227" s="560"/>
      <c r="R227" s="570">
        <f>Tabel6689212734[[#This Row],[VAT DW 2017]]+Tabel6689212734[[#This Row],[VAT Sew. 2017]]+Tabel6689212734[[#This Row],[VAT WW 2017]]+Tabel6689212734[[#This Row],[VAT Other ch. 2017]]</f>
        <v>0</v>
      </c>
      <c r="S227" s="571">
        <f>Tabel6689212734[[#This Row],[Total. ch. DW 2017]]+Tabel6689212734[[#This Row],[Sew. 2017]]+Tabel6689212734[[#This Row],[VAT Sew. 2017]]+Tabel6689212734[[#This Row],[WW 2017]]+Tabel6689212734[[#This Row],[VAT WW 2017]]+Tabel6689212734[[#This Row],[Other ch. 2017]]+Tabel6689212734[[#This Row],[VAT Other ch. 2017]]</f>
        <v>0</v>
      </c>
      <c r="T227" s="397"/>
      <c r="U227" s="825"/>
      <c r="V227" s="826"/>
      <c r="W227" s="827"/>
      <c r="X227" s="828"/>
      <c r="Y227" s="829"/>
      <c r="Z227" s="830"/>
      <c r="AA227" s="828"/>
      <c r="AB227" s="831"/>
      <c r="AC227" s="828"/>
      <c r="AD227" s="832"/>
      <c r="AE227" s="828"/>
      <c r="AF227" s="836"/>
      <c r="AG227" s="834"/>
      <c r="AH227" s="397"/>
      <c r="AI227" s="591" t="s">
        <v>429</v>
      </c>
      <c r="AJ227" s="396"/>
      <c r="AK227" s="398"/>
      <c r="AL227" s="398"/>
      <c r="AM227" s="591" t="s">
        <v>429</v>
      </c>
      <c r="AN227" s="396"/>
      <c r="AO227" s="398"/>
      <c r="AP227" s="397"/>
    </row>
    <row r="228" spans="1:42" ht="15.75" hidden="1" x14ac:dyDescent="0.25">
      <c r="A228" s="1757"/>
      <c r="B228" s="276" t="s">
        <v>204</v>
      </c>
      <c r="C228" s="1048"/>
      <c r="D228" s="805" t="s">
        <v>1121</v>
      </c>
      <c r="E228" s="1760"/>
      <c r="F228" s="617">
        <f>'exchange rates'!$O$52</f>
        <v>0.73992000000000002</v>
      </c>
      <c r="G228" s="319"/>
      <c r="H228" s="320"/>
      <c r="I228" s="321"/>
      <c r="J228" s="559"/>
      <c r="K228" s="313">
        <f>Tabel6689212734[[#This Row],[Fix.ch. 2017]]+Tabel6689212734[[#This Row],[Var. ch. 2017]]+Tabel6689212734[[#This Row],[Oth. ch. DW 2017]]+Tabel6689212734[[#This Row],[VAT DW 2017]]</f>
        <v>0</v>
      </c>
      <c r="L228" s="322"/>
      <c r="M228" s="559"/>
      <c r="N228" s="323"/>
      <c r="O228" s="559"/>
      <c r="P228" s="324"/>
      <c r="Q228" s="559"/>
      <c r="R228" s="317">
        <f>Tabel6689212734[[#This Row],[VAT DW 2017]]+Tabel6689212734[[#This Row],[VAT Sew. 2017]]+Tabel6689212734[[#This Row],[VAT WW 2017]]+Tabel6689212734[[#This Row],[VAT Other ch. 2017]]</f>
        <v>0</v>
      </c>
      <c r="S228" s="318">
        <f>Tabel6689212734[[#This Row],[Total. ch. DW 2017]]+Tabel6689212734[[#This Row],[Sew. 2017]]+Tabel6689212734[[#This Row],[VAT Sew. 2017]]+Tabel6689212734[[#This Row],[WW 2017]]+Tabel6689212734[[#This Row],[VAT WW 2017]]+Tabel6689212734[[#This Row],[Other ch. 2017]]+Tabel6689212734[[#This Row],[VAT Other ch. 2017]]</f>
        <v>0</v>
      </c>
      <c r="T228" s="397"/>
      <c r="U228" s="349"/>
      <c r="V228" s="350"/>
      <c r="W228" s="351"/>
      <c r="X228" s="582"/>
      <c r="Y228" s="352"/>
      <c r="Z228" s="353"/>
      <c r="AA228" s="582"/>
      <c r="AB228" s="354"/>
      <c r="AC228" s="582"/>
      <c r="AD228" s="355"/>
      <c r="AE228" s="582"/>
      <c r="AF228" s="356"/>
      <c r="AG228" s="357"/>
      <c r="AH228" s="397"/>
      <c r="AI228" s="400"/>
      <c r="AJ228" s="400"/>
      <c r="AK228" s="398"/>
      <c r="AL228" s="398"/>
      <c r="AM228" s="398"/>
      <c r="AN228" s="398"/>
      <c r="AO228" s="398"/>
      <c r="AP228" s="397"/>
    </row>
    <row r="229" spans="1:42" ht="15.75" hidden="1" x14ac:dyDescent="0.25">
      <c r="A229" s="1757"/>
      <c r="B229" s="276" t="s">
        <v>205</v>
      </c>
      <c r="C229" s="1048"/>
      <c r="D229" s="805" t="s">
        <v>1121</v>
      </c>
      <c r="E229" s="1760"/>
      <c r="F229" s="617">
        <f>'exchange rates'!$O$52</f>
        <v>0.73992000000000002</v>
      </c>
      <c r="G229" s="319"/>
      <c r="H229" s="320"/>
      <c r="I229" s="321"/>
      <c r="J229" s="559"/>
      <c r="K229" s="313">
        <f>Tabel6689212734[[#This Row],[Fix.ch. 2017]]+Tabel6689212734[[#This Row],[Var. ch. 2017]]+Tabel6689212734[[#This Row],[Oth. ch. DW 2017]]+Tabel6689212734[[#This Row],[VAT DW 2017]]</f>
        <v>0</v>
      </c>
      <c r="L229" s="322"/>
      <c r="M229" s="559"/>
      <c r="N229" s="323"/>
      <c r="O229" s="559"/>
      <c r="P229" s="324"/>
      <c r="Q229" s="559"/>
      <c r="R229" s="317">
        <f>Tabel6689212734[[#This Row],[VAT DW 2017]]+Tabel6689212734[[#This Row],[VAT Sew. 2017]]+Tabel6689212734[[#This Row],[VAT WW 2017]]+Tabel6689212734[[#This Row],[VAT Other ch. 2017]]</f>
        <v>0</v>
      </c>
      <c r="S229" s="318">
        <f>Tabel6689212734[[#This Row],[Total. ch. DW 2017]]+Tabel6689212734[[#This Row],[Sew. 2017]]+Tabel6689212734[[#This Row],[VAT Sew. 2017]]+Tabel6689212734[[#This Row],[WW 2017]]+Tabel6689212734[[#This Row],[VAT WW 2017]]+Tabel6689212734[[#This Row],[Other ch. 2017]]+Tabel6689212734[[#This Row],[VAT Other ch. 2017]]</f>
        <v>0</v>
      </c>
      <c r="T229" s="397"/>
      <c r="U229" s="358"/>
      <c r="V229" s="359"/>
      <c r="W229" s="360"/>
      <c r="X229" s="586"/>
      <c r="Y229" s="361"/>
      <c r="Z229" s="362"/>
      <c r="AA229" s="586"/>
      <c r="AB229" s="363"/>
      <c r="AC229" s="586"/>
      <c r="AD229" s="364"/>
      <c r="AE229" s="586"/>
      <c r="AF229" s="365"/>
      <c r="AG229" s="366"/>
      <c r="AH229" s="397"/>
      <c r="AI229" s="400"/>
      <c r="AJ229" s="400"/>
      <c r="AK229" s="398"/>
      <c r="AL229" s="398"/>
      <c r="AM229" s="398"/>
      <c r="AN229" s="398"/>
      <c r="AO229" s="398"/>
      <c r="AP229" s="397"/>
    </row>
    <row r="230" spans="1:42" ht="15.75" hidden="1" x14ac:dyDescent="0.25">
      <c r="A230" s="1757"/>
      <c r="B230" s="276" t="s">
        <v>206</v>
      </c>
      <c r="C230" s="1048"/>
      <c r="D230" s="805" t="s">
        <v>1121</v>
      </c>
      <c r="E230" s="1760"/>
      <c r="F230" s="617">
        <f>'exchange rates'!$O$52</f>
        <v>0.73992000000000002</v>
      </c>
      <c r="G230" s="319"/>
      <c r="H230" s="320"/>
      <c r="I230" s="321"/>
      <c r="J230" s="559"/>
      <c r="K230" s="313">
        <f>Tabel6689212734[[#This Row],[Fix.ch. 2017]]+Tabel6689212734[[#This Row],[Var. ch. 2017]]+Tabel6689212734[[#This Row],[Oth. ch. DW 2017]]+Tabel6689212734[[#This Row],[VAT DW 2017]]</f>
        <v>0</v>
      </c>
      <c r="L230" s="322"/>
      <c r="M230" s="559"/>
      <c r="N230" s="323"/>
      <c r="O230" s="559"/>
      <c r="P230" s="324"/>
      <c r="Q230" s="559"/>
      <c r="R230" s="317">
        <f>Tabel6689212734[[#This Row],[VAT DW 2017]]+Tabel6689212734[[#This Row],[VAT Sew. 2017]]+Tabel6689212734[[#This Row],[VAT WW 2017]]+Tabel6689212734[[#This Row],[VAT Other ch. 2017]]</f>
        <v>0</v>
      </c>
      <c r="S230" s="318">
        <f>Tabel6689212734[[#This Row],[Total. ch. DW 2017]]+Tabel6689212734[[#This Row],[Sew. 2017]]+Tabel6689212734[[#This Row],[VAT Sew. 2017]]+Tabel6689212734[[#This Row],[WW 2017]]+Tabel6689212734[[#This Row],[VAT WW 2017]]+Tabel6689212734[[#This Row],[Other ch. 2017]]+Tabel6689212734[[#This Row],[VAT Other ch. 2017]]</f>
        <v>0</v>
      </c>
      <c r="T230" s="397"/>
      <c r="U230" s="358"/>
      <c r="V230" s="359"/>
      <c r="W230" s="360"/>
      <c r="X230" s="586"/>
      <c r="Y230" s="361"/>
      <c r="Z230" s="362"/>
      <c r="AA230" s="586"/>
      <c r="AB230" s="363"/>
      <c r="AC230" s="586"/>
      <c r="AD230" s="364"/>
      <c r="AE230" s="586"/>
      <c r="AF230" s="365"/>
      <c r="AG230" s="366"/>
      <c r="AH230" s="397"/>
      <c r="AI230" s="400"/>
      <c r="AJ230" s="400"/>
      <c r="AK230" s="398"/>
      <c r="AL230" s="398"/>
      <c r="AM230" s="398"/>
      <c r="AN230" s="398"/>
      <c r="AO230" s="398"/>
      <c r="AP230" s="397"/>
    </row>
    <row r="231" spans="1:42" ht="15.75" hidden="1" x14ac:dyDescent="0.25">
      <c r="A231" s="1757"/>
      <c r="B231" s="276" t="s">
        <v>207</v>
      </c>
      <c r="C231" s="1048"/>
      <c r="D231" s="805" t="s">
        <v>1121</v>
      </c>
      <c r="E231" s="1760"/>
      <c r="F231" s="617">
        <f>'exchange rates'!$O$52</f>
        <v>0.73992000000000002</v>
      </c>
      <c r="G231" s="319"/>
      <c r="H231" s="320"/>
      <c r="I231" s="321"/>
      <c r="J231" s="559"/>
      <c r="K231" s="313">
        <f>Tabel6689212734[[#This Row],[Fix.ch. 2017]]+Tabel6689212734[[#This Row],[Var. ch. 2017]]+Tabel6689212734[[#This Row],[Oth. ch. DW 2017]]+Tabel6689212734[[#This Row],[VAT DW 2017]]</f>
        <v>0</v>
      </c>
      <c r="L231" s="322"/>
      <c r="M231" s="559"/>
      <c r="N231" s="323"/>
      <c r="O231" s="559"/>
      <c r="P231" s="324"/>
      <c r="Q231" s="559"/>
      <c r="R231" s="317">
        <f>Tabel6689212734[[#This Row],[VAT DW 2017]]+Tabel6689212734[[#This Row],[VAT Sew. 2017]]+Tabel6689212734[[#This Row],[VAT WW 2017]]+Tabel6689212734[[#This Row],[VAT Other ch. 2017]]</f>
        <v>0</v>
      </c>
      <c r="S231" s="318">
        <f>Tabel6689212734[[#This Row],[Total. ch. DW 2017]]+Tabel6689212734[[#This Row],[Sew. 2017]]+Tabel6689212734[[#This Row],[VAT Sew. 2017]]+Tabel6689212734[[#This Row],[WW 2017]]+Tabel6689212734[[#This Row],[VAT WW 2017]]+Tabel6689212734[[#This Row],[Other ch. 2017]]+Tabel6689212734[[#This Row],[VAT Other ch. 2017]]</f>
        <v>0</v>
      </c>
      <c r="T231" s="397"/>
      <c r="U231" s="358"/>
      <c r="V231" s="359"/>
      <c r="W231" s="360"/>
      <c r="X231" s="586"/>
      <c r="Y231" s="361"/>
      <c r="Z231" s="362"/>
      <c r="AA231" s="586"/>
      <c r="AB231" s="363"/>
      <c r="AC231" s="586"/>
      <c r="AD231" s="364"/>
      <c r="AE231" s="586"/>
      <c r="AF231" s="365"/>
      <c r="AG231" s="366"/>
      <c r="AH231" s="397"/>
      <c r="AI231" s="400"/>
      <c r="AJ231" s="400"/>
      <c r="AK231" s="398"/>
      <c r="AL231" s="398"/>
      <c r="AM231" s="398"/>
      <c r="AN231" s="398"/>
      <c r="AO231" s="398"/>
      <c r="AP231" s="397"/>
    </row>
    <row r="232" spans="1:42" ht="15.75" hidden="1" x14ac:dyDescent="0.25">
      <c r="A232" s="1757"/>
      <c r="B232" s="276" t="s">
        <v>208</v>
      </c>
      <c r="C232" s="1048"/>
      <c r="D232" s="805" t="s">
        <v>1121</v>
      </c>
      <c r="E232" s="1760"/>
      <c r="F232" s="617">
        <f>'exchange rates'!$O$52</f>
        <v>0.73992000000000002</v>
      </c>
      <c r="G232" s="319"/>
      <c r="H232" s="320"/>
      <c r="I232" s="321"/>
      <c r="J232" s="559"/>
      <c r="K232" s="313">
        <f>Tabel6689212734[[#This Row],[Fix.ch. 2017]]+Tabel6689212734[[#This Row],[Var. ch. 2017]]+Tabel6689212734[[#This Row],[Oth. ch. DW 2017]]+Tabel6689212734[[#This Row],[VAT DW 2017]]</f>
        <v>0</v>
      </c>
      <c r="L232" s="322"/>
      <c r="M232" s="559"/>
      <c r="N232" s="323"/>
      <c r="O232" s="559"/>
      <c r="P232" s="324"/>
      <c r="Q232" s="559"/>
      <c r="R232" s="317">
        <f>Tabel6689212734[[#This Row],[VAT DW 2017]]+Tabel6689212734[[#This Row],[VAT Sew. 2017]]+Tabel6689212734[[#This Row],[VAT WW 2017]]+Tabel6689212734[[#This Row],[VAT Other ch. 2017]]</f>
        <v>0</v>
      </c>
      <c r="S232" s="318">
        <f>Tabel6689212734[[#This Row],[Total. ch. DW 2017]]+Tabel6689212734[[#This Row],[Sew. 2017]]+Tabel6689212734[[#This Row],[VAT Sew. 2017]]+Tabel6689212734[[#This Row],[WW 2017]]+Tabel6689212734[[#This Row],[VAT WW 2017]]+Tabel6689212734[[#This Row],[Other ch. 2017]]+Tabel6689212734[[#This Row],[VAT Other ch. 2017]]</f>
        <v>0</v>
      </c>
      <c r="T232" s="397"/>
      <c r="U232" s="358"/>
      <c r="V232" s="359"/>
      <c r="W232" s="360"/>
      <c r="X232" s="586"/>
      <c r="Y232" s="361"/>
      <c r="Z232" s="362"/>
      <c r="AA232" s="586"/>
      <c r="AB232" s="363"/>
      <c r="AC232" s="586"/>
      <c r="AD232" s="364"/>
      <c r="AE232" s="586"/>
      <c r="AF232" s="365"/>
      <c r="AG232" s="366"/>
      <c r="AH232" s="397"/>
      <c r="AI232" s="400"/>
      <c r="AJ232" s="400"/>
      <c r="AK232" s="398"/>
      <c r="AL232" s="398"/>
      <c r="AM232" s="398"/>
      <c r="AN232" s="398"/>
      <c r="AO232" s="398"/>
      <c r="AP232" s="397"/>
    </row>
    <row r="233" spans="1:42" ht="15.75" hidden="1" x14ac:dyDescent="0.25">
      <c r="A233" s="1757"/>
      <c r="B233" s="276" t="s">
        <v>209</v>
      </c>
      <c r="C233" s="1048"/>
      <c r="D233" s="805" t="s">
        <v>1121</v>
      </c>
      <c r="E233" s="1760"/>
      <c r="F233" s="617">
        <f>'exchange rates'!$O$52</f>
        <v>0.73992000000000002</v>
      </c>
      <c r="G233" s="319"/>
      <c r="H233" s="320"/>
      <c r="I233" s="321"/>
      <c r="J233" s="559"/>
      <c r="K233" s="313">
        <f>Tabel6689212734[[#This Row],[Fix.ch. 2017]]+Tabel6689212734[[#This Row],[Var. ch. 2017]]+Tabel6689212734[[#This Row],[Oth. ch. DW 2017]]+Tabel6689212734[[#This Row],[VAT DW 2017]]</f>
        <v>0</v>
      </c>
      <c r="L233" s="322"/>
      <c r="M233" s="559"/>
      <c r="N233" s="323"/>
      <c r="O233" s="559"/>
      <c r="P233" s="324"/>
      <c r="Q233" s="559"/>
      <c r="R233" s="317">
        <f>Tabel6689212734[[#This Row],[VAT DW 2017]]+Tabel6689212734[[#This Row],[VAT Sew. 2017]]+Tabel6689212734[[#This Row],[VAT WW 2017]]+Tabel6689212734[[#This Row],[VAT Other ch. 2017]]</f>
        <v>0</v>
      </c>
      <c r="S233" s="318">
        <f>Tabel6689212734[[#This Row],[Total. ch. DW 2017]]+Tabel6689212734[[#This Row],[Sew. 2017]]+Tabel6689212734[[#This Row],[VAT Sew. 2017]]+Tabel6689212734[[#This Row],[WW 2017]]+Tabel6689212734[[#This Row],[VAT WW 2017]]+Tabel6689212734[[#This Row],[Other ch. 2017]]+Tabel6689212734[[#This Row],[VAT Other ch. 2017]]</f>
        <v>0</v>
      </c>
      <c r="T233" s="397"/>
      <c r="U233" s="358"/>
      <c r="V233" s="359"/>
      <c r="W233" s="360"/>
      <c r="X233" s="586"/>
      <c r="Y233" s="361"/>
      <c r="Z233" s="362"/>
      <c r="AA233" s="586"/>
      <c r="AB233" s="363"/>
      <c r="AC233" s="586"/>
      <c r="AD233" s="364"/>
      <c r="AE233" s="586"/>
      <c r="AF233" s="365"/>
      <c r="AG233" s="366"/>
      <c r="AH233" s="397"/>
      <c r="AI233" s="400"/>
      <c r="AJ233" s="400"/>
      <c r="AK233" s="398"/>
      <c r="AL233" s="398"/>
      <c r="AM233" s="398"/>
      <c r="AN233" s="398"/>
      <c r="AO233" s="398"/>
      <c r="AP233" s="397"/>
    </row>
    <row r="234" spans="1:42" ht="15.75" hidden="1" x14ac:dyDescent="0.25">
      <c r="A234" s="1757"/>
      <c r="B234" s="276" t="s">
        <v>210</v>
      </c>
      <c r="C234" s="1048"/>
      <c r="D234" s="805" t="s">
        <v>1121</v>
      </c>
      <c r="E234" s="1760"/>
      <c r="F234" s="617">
        <f>'exchange rates'!$O$52</f>
        <v>0.73992000000000002</v>
      </c>
      <c r="G234" s="319"/>
      <c r="H234" s="320"/>
      <c r="I234" s="321"/>
      <c r="J234" s="559"/>
      <c r="K234" s="313">
        <f>Tabel6689212734[[#This Row],[Fix.ch. 2017]]+Tabel6689212734[[#This Row],[Var. ch. 2017]]+Tabel6689212734[[#This Row],[Oth. ch. DW 2017]]+Tabel6689212734[[#This Row],[VAT DW 2017]]</f>
        <v>0</v>
      </c>
      <c r="L234" s="322"/>
      <c r="M234" s="559"/>
      <c r="N234" s="323"/>
      <c r="O234" s="559"/>
      <c r="P234" s="324"/>
      <c r="Q234" s="559"/>
      <c r="R234" s="317">
        <f>Tabel6689212734[[#This Row],[VAT DW 2017]]+Tabel6689212734[[#This Row],[VAT Sew. 2017]]+Tabel6689212734[[#This Row],[VAT WW 2017]]+Tabel6689212734[[#This Row],[VAT Other ch. 2017]]</f>
        <v>0</v>
      </c>
      <c r="S234" s="318">
        <f>Tabel6689212734[[#This Row],[Total. ch. DW 2017]]+Tabel6689212734[[#This Row],[Sew. 2017]]+Tabel6689212734[[#This Row],[VAT Sew. 2017]]+Tabel6689212734[[#This Row],[WW 2017]]+Tabel6689212734[[#This Row],[VAT WW 2017]]+Tabel6689212734[[#This Row],[Other ch. 2017]]+Tabel6689212734[[#This Row],[VAT Other ch. 2017]]</f>
        <v>0</v>
      </c>
      <c r="T234" s="397"/>
      <c r="U234" s="358"/>
      <c r="V234" s="359"/>
      <c r="W234" s="360"/>
      <c r="X234" s="586"/>
      <c r="Y234" s="361"/>
      <c r="Z234" s="362"/>
      <c r="AA234" s="586"/>
      <c r="AB234" s="363"/>
      <c r="AC234" s="586"/>
      <c r="AD234" s="364"/>
      <c r="AE234" s="586"/>
      <c r="AF234" s="365"/>
      <c r="AG234" s="366"/>
      <c r="AH234" s="397"/>
      <c r="AI234" s="400"/>
      <c r="AJ234" s="400"/>
      <c r="AK234" s="398"/>
      <c r="AL234" s="398"/>
      <c r="AM234" s="398"/>
      <c r="AN234" s="398"/>
      <c r="AO234" s="398"/>
      <c r="AP234" s="397"/>
    </row>
    <row r="235" spans="1:42" ht="16.5" hidden="1" thickBot="1" x14ac:dyDescent="0.3">
      <c r="A235" s="1758"/>
      <c r="B235" s="835" t="s">
        <v>211</v>
      </c>
      <c r="C235" s="835"/>
      <c r="D235" s="801" t="s">
        <v>1121</v>
      </c>
      <c r="E235" s="1761"/>
      <c r="F235" s="617">
        <f>'exchange rates'!$O$52</f>
        <v>0.73992000000000002</v>
      </c>
      <c r="G235" s="319"/>
      <c r="H235" s="320"/>
      <c r="I235" s="321"/>
      <c r="J235" s="559"/>
      <c r="K235" s="313">
        <f>Tabel6689212734[[#This Row],[Fix.ch. 2017]]+Tabel6689212734[[#This Row],[Var. ch. 2017]]+Tabel6689212734[[#This Row],[Oth. ch. DW 2017]]+Tabel6689212734[[#This Row],[VAT DW 2017]]</f>
        <v>0</v>
      </c>
      <c r="L235" s="322"/>
      <c r="M235" s="559"/>
      <c r="N235" s="323"/>
      <c r="O235" s="559"/>
      <c r="P235" s="324"/>
      <c r="Q235" s="559"/>
      <c r="R235" s="317">
        <f>Tabel6689212734[[#This Row],[VAT DW 2017]]+Tabel6689212734[[#This Row],[VAT Sew. 2017]]+Tabel6689212734[[#This Row],[VAT WW 2017]]+Tabel6689212734[[#This Row],[VAT Other ch. 2017]]</f>
        <v>0</v>
      </c>
      <c r="S235" s="318">
        <f>Tabel6689212734[[#This Row],[Total. ch. DW 2017]]+Tabel6689212734[[#This Row],[Sew. 2017]]+Tabel6689212734[[#This Row],[VAT Sew. 2017]]+Tabel6689212734[[#This Row],[WW 2017]]+Tabel6689212734[[#This Row],[VAT WW 2017]]+Tabel6689212734[[#This Row],[Other ch. 2017]]+Tabel6689212734[[#This Row],[VAT Other ch. 2017]]</f>
        <v>0</v>
      </c>
      <c r="T235" s="397"/>
      <c r="U235" s="358"/>
      <c r="V235" s="359"/>
      <c r="W235" s="360"/>
      <c r="X235" s="586"/>
      <c r="Y235" s="361"/>
      <c r="Z235" s="362"/>
      <c r="AA235" s="586"/>
      <c r="AB235" s="363"/>
      <c r="AC235" s="586"/>
      <c r="AD235" s="364"/>
      <c r="AE235" s="586"/>
      <c r="AF235" s="365"/>
      <c r="AG235" s="366"/>
      <c r="AH235" s="397"/>
      <c r="AI235" s="400"/>
      <c r="AJ235" s="400"/>
      <c r="AK235" s="398"/>
      <c r="AL235" s="398"/>
      <c r="AM235" s="398"/>
      <c r="AN235" s="398"/>
      <c r="AO235" s="398"/>
      <c r="AP235" s="397"/>
    </row>
    <row r="236" spans="1:42" ht="15.75" hidden="1" x14ac:dyDescent="0.25">
      <c r="A236" s="2150" t="s">
        <v>41</v>
      </c>
      <c r="B236" s="261" t="s">
        <v>192</v>
      </c>
      <c r="C236" s="261" t="s">
        <v>429</v>
      </c>
      <c r="D236" s="261" t="s">
        <v>1123</v>
      </c>
      <c r="E236" s="2153"/>
      <c r="F236" s="306"/>
      <c r="G236" s="325"/>
      <c r="H236" s="326"/>
      <c r="I236" s="327"/>
      <c r="J236" s="561"/>
      <c r="K236" s="313">
        <f>Tabel6689212734[[#This Row],[Fix.ch. 2017]]+Tabel6689212734[[#This Row],[Var. ch. 2017]]+Tabel6689212734[[#This Row],[Oth. ch. DW 2017]]+Tabel6689212734[[#This Row],[VAT DW 2017]]</f>
        <v>0</v>
      </c>
      <c r="L236" s="328"/>
      <c r="M236" s="561"/>
      <c r="N236" s="329"/>
      <c r="O236" s="561"/>
      <c r="P236" s="330"/>
      <c r="Q236" s="561"/>
      <c r="R236" s="317">
        <f>Tabel6689212734[[#This Row],[VAT DW 2017]]+Tabel6689212734[[#This Row],[VAT Sew. 2017]]+Tabel6689212734[[#This Row],[VAT WW 2017]]+Tabel6689212734[[#This Row],[VAT Other ch. 2017]]</f>
        <v>0</v>
      </c>
      <c r="S236" s="318">
        <f>Tabel6689212734[[#This Row],[Total. ch. DW 2017]]+Tabel6689212734[[#This Row],[Sew. 2017]]+Tabel6689212734[[#This Row],[VAT Sew. 2017]]+Tabel6689212734[[#This Row],[WW 2017]]+Tabel6689212734[[#This Row],[VAT WW 2017]]+Tabel6689212734[[#This Row],[Other ch. 2017]]+Tabel6689212734[[#This Row],[VAT Other ch. 2017]]</f>
        <v>0</v>
      </c>
      <c r="T236" s="397"/>
      <c r="U236" s="358"/>
      <c r="V236" s="359"/>
      <c r="W236" s="360"/>
      <c r="X236" s="586"/>
      <c r="Y236" s="361"/>
      <c r="Z236" s="362"/>
      <c r="AA236" s="586"/>
      <c r="AB236" s="363"/>
      <c r="AC236" s="586"/>
      <c r="AD236" s="364"/>
      <c r="AE236" s="586"/>
      <c r="AF236" s="365"/>
      <c r="AG236" s="366"/>
      <c r="AH236" s="397"/>
      <c r="AI236" s="398"/>
      <c r="AJ236" s="398"/>
      <c r="AK236" s="398"/>
      <c r="AL236" s="398"/>
      <c r="AM236" s="398"/>
      <c r="AN236" s="398"/>
      <c r="AO236" s="398"/>
      <c r="AP236" s="397"/>
    </row>
    <row r="237" spans="1:42" ht="15.75" hidden="1" x14ac:dyDescent="0.25">
      <c r="A237" s="2151"/>
      <c r="B237" s="261" t="s">
        <v>193</v>
      </c>
      <c r="C237" s="261"/>
      <c r="D237" s="261" t="s">
        <v>1123</v>
      </c>
      <c r="E237" s="2154"/>
      <c r="F237" s="306"/>
      <c r="G237" s="325"/>
      <c r="H237" s="326"/>
      <c r="I237" s="327"/>
      <c r="J237" s="561"/>
      <c r="K237" s="313">
        <f>Tabel6689212734[[#This Row],[Fix.ch. 2017]]+Tabel6689212734[[#This Row],[Var. ch. 2017]]+Tabel6689212734[[#This Row],[Oth. ch. DW 2017]]+Tabel6689212734[[#This Row],[VAT DW 2017]]</f>
        <v>0</v>
      </c>
      <c r="L237" s="328"/>
      <c r="M237" s="561"/>
      <c r="N237" s="329"/>
      <c r="O237" s="561"/>
      <c r="P237" s="330"/>
      <c r="Q237" s="561"/>
      <c r="R237" s="317">
        <f>Tabel6689212734[[#This Row],[VAT DW 2017]]+Tabel6689212734[[#This Row],[VAT Sew. 2017]]+Tabel6689212734[[#This Row],[VAT WW 2017]]+Tabel6689212734[[#This Row],[VAT Other ch. 2017]]</f>
        <v>0</v>
      </c>
      <c r="S237" s="318">
        <f>Tabel6689212734[[#This Row],[Total. ch. DW 2017]]+Tabel6689212734[[#This Row],[Sew. 2017]]+Tabel6689212734[[#This Row],[VAT Sew. 2017]]+Tabel6689212734[[#This Row],[WW 2017]]+Tabel6689212734[[#This Row],[VAT WW 2017]]+Tabel6689212734[[#This Row],[Other ch. 2017]]+Tabel6689212734[[#This Row],[VAT Other ch. 2017]]</f>
        <v>0</v>
      </c>
      <c r="T237" s="397"/>
      <c r="U237" s="358"/>
      <c r="V237" s="359"/>
      <c r="W237" s="360"/>
      <c r="X237" s="586"/>
      <c r="Y237" s="361"/>
      <c r="Z237" s="362"/>
      <c r="AA237" s="586"/>
      <c r="AB237" s="363"/>
      <c r="AC237" s="586"/>
      <c r="AD237" s="364"/>
      <c r="AE237" s="586"/>
      <c r="AF237" s="365"/>
      <c r="AG237" s="366"/>
      <c r="AH237" s="397"/>
      <c r="AI237" s="398"/>
      <c r="AJ237" s="398"/>
      <c r="AK237" s="398"/>
      <c r="AL237" s="398"/>
      <c r="AM237" s="398"/>
      <c r="AN237" s="398"/>
      <c r="AO237" s="398"/>
      <c r="AP237" s="397"/>
    </row>
    <row r="238" spans="1:42" ht="16.5" hidden="1" thickBot="1" x14ac:dyDescent="0.3">
      <c r="A238" s="2152"/>
      <c r="B238" s="261" t="s">
        <v>194</v>
      </c>
      <c r="C238" s="261"/>
      <c r="D238" s="261" t="s">
        <v>1123</v>
      </c>
      <c r="E238" s="2155"/>
      <c r="F238" s="306"/>
      <c r="G238" s="325"/>
      <c r="H238" s="326"/>
      <c r="I238" s="327"/>
      <c r="J238" s="561"/>
      <c r="K238" s="313">
        <f>Tabel6689212734[[#This Row],[Fix.ch. 2017]]+Tabel6689212734[[#This Row],[Var. ch. 2017]]+Tabel6689212734[[#This Row],[Oth. ch. DW 2017]]+Tabel6689212734[[#This Row],[VAT DW 2017]]</f>
        <v>0</v>
      </c>
      <c r="L238" s="328"/>
      <c r="M238" s="561"/>
      <c r="N238" s="329"/>
      <c r="O238" s="561"/>
      <c r="P238" s="330"/>
      <c r="Q238" s="561"/>
      <c r="R238" s="317">
        <f>Tabel6689212734[[#This Row],[VAT DW 2017]]+Tabel6689212734[[#This Row],[VAT Sew. 2017]]+Tabel6689212734[[#This Row],[VAT WW 2017]]+Tabel6689212734[[#This Row],[VAT Other ch. 2017]]</f>
        <v>0</v>
      </c>
      <c r="S238" s="318">
        <f>Tabel6689212734[[#This Row],[Total. ch. DW 2017]]+Tabel6689212734[[#This Row],[Sew. 2017]]+Tabel6689212734[[#This Row],[VAT Sew. 2017]]+Tabel6689212734[[#This Row],[WW 2017]]+Tabel6689212734[[#This Row],[VAT WW 2017]]+Tabel6689212734[[#This Row],[Other ch. 2017]]+Tabel6689212734[[#This Row],[VAT Other ch. 2017]]</f>
        <v>0</v>
      </c>
      <c r="T238" s="397"/>
      <c r="U238" s="367"/>
      <c r="V238" s="368"/>
      <c r="W238" s="369"/>
      <c r="X238" s="587"/>
      <c r="Y238" s="370"/>
      <c r="Z238" s="371"/>
      <c r="AA238" s="587"/>
      <c r="AB238" s="372"/>
      <c r="AC238" s="587"/>
      <c r="AD238" s="373"/>
      <c r="AE238" s="587"/>
      <c r="AF238" s="374"/>
      <c r="AG238" s="375"/>
      <c r="AH238" s="397"/>
      <c r="AI238" s="398"/>
      <c r="AJ238" s="398"/>
      <c r="AK238" s="398"/>
      <c r="AL238" s="398"/>
      <c r="AM238" s="398"/>
      <c r="AN238" s="398"/>
      <c r="AO238" s="398"/>
      <c r="AP238" s="397"/>
    </row>
    <row r="239" spans="1:42" ht="19.5" hidden="1" thickBot="1" x14ac:dyDescent="0.35">
      <c r="A239" s="270" t="s">
        <v>42</v>
      </c>
      <c r="B239" s="260" t="s">
        <v>42</v>
      </c>
      <c r="C239" s="1049" t="s">
        <v>429</v>
      </c>
      <c r="D239" s="817" t="s">
        <v>1125</v>
      </c>
      <c r="E239" s="301">
        <v>59900</v>
      </c>
      <c r="F239" s="306">
        <v>1.2966299999999999</v>
      </c>
      <c r="G239" s="319">
        <v>0</v>
      </c>
      <c r="H239" s="320">
        <f>234/F239</f>
        <v>180.46782813909905</v>
      </c>
      <c r="I239" s="321">
        <f>70.2/F239</f>
        <v>54.140348441729721</v>
      </c>
      <c r="J239" s="559"/>
      <c r="K239" s="313">
        <f>Tabel6689212734[[#This Row],[Fix.ch. 2017]]+Tabel6689212734[[#This Row],[Var. ch. 2017]]+Tabel6689212734[[#This Row],[Oth. ch. DW 2017]]+Tabel6689212734[[#This Row],[VAT DW 2017]]</f>
        <v>234.60817658082877</v>
      </c>
      <c r="L239" s="322">
        <v>0</v>
      </c>
      <c r="M239" s="559"/>
      <c r="N239" s="323">
        <f>56.06/F239</f>
        <v>43.23515574990553</v>
      </c>
      <c r="O239" s="559"/>
      <c r="P239" s="324">
        <f>67.29/F239</f>
        <v>51.896069040512721</v>
      </c>
      <c r="Q239" s="559"/>
      <c r="R239" s="317">
        <f>Tabel6689212734[[#This Row],[VAT DW 2017]]+Tabel6689212734[[#This Row],[VAT Sew. 2017]]+Tabel6689212734[[#This Row],[VAT WW 2017]]+Tabel6689212734[[#This Row],[VAT Other ch. 2017]]</f>
        <v>0</v>
      </c>
      <c r="S239" s="318">
        <f>Tabel6689212734[[#This Row],[Total. ch. DW 2017]]+Tabel6689212734[[#This Row],[Sew. 2017]]+Tabel6689212734[[#This Row],[VAT Sew. 2017]]+Tabel6689212734[[#This Row],[WW 2017]]+Tabel6689212734[[#This Row],[VAT WW 2017]]+Tabel6689212734[[#This Row],[Other ch. 2017]]+Tabel6689212734[[#This Row],[VAT Other ch. 2017]]</f>
        <v>329.73940137124703</v>
      </c>
      <c r="T239" s="397"/>
      <c r="U239" s="331">
        <f>Tabel6689212734[[#This Row],[Fix.ch. 2017]]</f>
        <v>0</v>
      </c>
      <c r="V239" s="332">
        <f>Tabel6689212734[[#This Row],[Var. ch. 2017]]</f>
        <v>180.46782813909905</v>
      </c>
      <c r="W239" s="333">
        <f>Tabel6689212734[[#This Row],[Oth. ch. DW 2017]]</f>
        <v>54.140348441729721</v>
      </c>
      <c r="X239" s="574"/>
      <c r="Y239" s="334">
        <f>Tabel6689212734[[#This Row],[Total. ch. DW 2017]]</f>
        <v>234.60817658082877</v>
      </c>
      <c r="Z239" s="335">
        <f>Tabel6689212734[[#This Row],[Sew. 2017]]</f>
        <v>0</v>
      </c>
      <c r="AA239" s="574"/>
      <c r="AB239" s="336">
        <f>Tabel6689212734[[#This Row],[WW 2017]]</f>
        <v>43.23515574990553</v>
      </c>
      <c r="AC239" s="574"/>
      <c r="AD239" s="337">
        <f>Tabel6689212734[[#This Row],[Other ch. 2017]]</f>
        <v>51.896069040512721</v>
      </c>
      <c r="AE239" s="574"/>
      <c r="AF239" s="338">
        <f>Tabel6689212734[[#This Row],[Total VAT 2017]]</f>
        <v>0</v>
      </c>
      <c r="AG239" s="339">
        <f>Tabel6689212734[[#This Row],[total charge 2017]]</f>
        <v>329.73940137124703</v>
      </c>
      <c r="AH239" s="397"/>
      <c r="AI239" s="398"/>
      <c r="AJ239" s="398"/>
      <c r="AK239" s="398"/>
      <c r="AL239" s="396" t="s">
        <v>429</v>
      </c>
      <c r="AM239" s="398"/>
      <c r="AN239" s="398"/>
      <c r="AO239" s="398"/>
      <c r="AP239" s="397"/>
    </row>
    <row r="240" spans="1:42" ht="18.75" hidden="1" x14ac:dyDescent="0.25">
      <c r="A240" s="1833" t="s">
        <v>24</v>
      </c>
      <c r="B240" s="289" t="s">
        <v>140</v>
      </c>
      <c r="C240" s="1048" t="s">
        <v>429</v>
      </c>
      <c r="D240" s="805" t="s">
        <v>1127</v>
      </c>
      <c r="E240" s="2156">
        <v>23400</v>
      </c>
      <c r="F240" s="307">
        <v>0.77166999999999997</v>
      </c>
      <c r="G240" s="319">
        <f>0.9*200/F240</f>
        <v>233.26033148884886</v>
      </c>
      <c r="H240" s="320">
        <v>0</v>
      </c>
      <c r="I240" s="321">
        <v>0</v>
      </c>
      <c r="J240" s="559"/>
      <c r="K240" s="313">
        <f>Tabel6689212734[[#This Row],[Fix.ch. 2017]]+Tabel6689212734[[#This Row],[Var. ch. 2017]]+Tabel6689212734[[#This Row],[Oth. ch. DW 2017]]+Tabel6689212734[[#This Row],[VAT DW 2017]]</f>
        <v>233.26033148884886</v>
      </c>
      <c r="L240" s="322">
        <f>1.02*200/F240</f>
        <v>264.3617090206954</v>
      </c>
      <c r="M240" s="559"/>
      <c r="N240" s="323">
        <v>0</v>
      </c>
      <c r="O240" s="559"/>
      <c r="P240" s="324">
        <v>0</v>
      </c>
      <c r="Q240" s="559"/>
      <c r="R240" s="317">
        <f>Tabel6689212734[[#This Row],[VAT DW 2017]]+Tabel6689212734[[#This Row],[VAT Sew. 2017]]+Tabel6689212734[[#This Row],[VAT WW 2017]]+Tabel6689212734[[#This Row],[VAT Other ch. 2017]]</f>
        <v>0</v>
      </c>
      <c r="S240" s="318">
        <f>Tabel6689212734[[#This Row],[Total. ch. DW 2017]]+Tabel6689212734[[#This Row],[Sew. 2017]]+Tabel6689212734[[#This Row],[VAT Sew. 2017]]+Tabel6689212734[[#This Row],[WW 2017]]+Tabel6689212734[[#This Row],[VAT WW 2017]]+Tabel6689212734[[#This Row],[Other ch. 2017]]+Tabel6689212734[[#This Row],[VAT Other ch. 2017]]</f>
        <v>497.62204050954426</v>
      </c>
      <c r="T240" s="397"/>
      <c r="U240" s="1839">
        <f>SUM(G240:G242)/3</f>
        <v>264.3617090206954</v>
      </c>
      <c r="V240" s="1842">
        <v>0</v>
      </c>
      <c r="W240" s="1845">
        <v>0</v>
      </c>
      <c r="X240" s="575"/>
      <c r="Y240" s="1848">
        <f>SUM(K240:K242)/3</f>
        <v>264.3617090206954</v>
      </c>
      <c r="Z240" s="1851">
        <f>SUM(L240:L242)/3</f>
        <v>282.50417924760586</v>
      </c>
      <c r="AA240" s="575"/>
      <c r="AB240" s="1854">
        <v>0</v>
      </c>
      <c r="AC240" s="575"/>
      <c r="AD240" s="1857">
        <v>0</v>
      </c>
      <c r="AE240" s="575"/>
      <c r="AF240" s="1872">
        <f>SUM(R240:R242)/3</f>
        <v>0</v>
      </c>
      <c r="AG240" s="1875">
        <f>SUM(S240:S242)/3</f>
        <v>546.86588826830121</v>
      </c>
      <c r="AH240" s="397"/>
      <c r="AI240" s="398"/>
      <c r="AJ240" s="396" t="s">
        <v>429</v>
      </c>
      <c r="AK240" s="396" t="s">
        <v>429</v>
      </c>
      <c r="AL240" s="396"/>
      <c r="AM240" s="396" t="s">
        <v>429</v>
      </c>
      <c r="AN240" s="398"/>
      <c r="AO240" s="398"/>
      <c r="AP240" s="397"/>
    </row>
    <row r="241" spans="1:42" ht="18.75" hidden="1" x14ac:dyDescent="0.25">
      <c r="A241" s="1834"/>
      <c r="B241" s="269" t="s">
        <v>141</v>
      </c>
      <c r="C241" s="1048"/>
      <c r="D241" s="805" t="s">
        <v>1127</v>
      </c>
      <c r="E241" s="2157"/>
      <c r="F241" s="307">
        <v>0.77166999999999997</v>
      </c>
      <c r="G241" s="319">
        <f>0.96*200/F241</f>
        <v>248.81102025477213</v>
      </c>
      <c r="H241" s="320">
        <v>0</v>
      </c>
      <c r="I241" s="321">
        <v>0</v>
      </c>
      <c r="J241" s="559"/>
      <c r="K241" s="313">
        <f>Tabel6689212734[[#This Row],[Fix.ch. 2017]]+Tabel6689212734[[#This Row],[Var. ch. 2017]]+Tabel6689212734[[#This Row],[Oth. ch. DW 2017]]+Tabel6689212734[[#This Row],[VAT DW 2017]]</f>
        <v>248.81102025477213</v>
      </c>
      <c r="L241" s="322">
        <f>1.1*200/F241</f>
        <v>285.09596070859311</v>
      </c>
      <c r="M241" s="559"/>
      <c r="N241" s="323">
        <v>0</v>
      </c>
      <c r="O241" s="559"/>
      <c r="P241" s="324">
        <v>0</v>
      </c>
      <c r="Q241" s="559"/>
      <c r="R241" s="317">
        <f>Tabel6689212734[[#This Row],[VAT DW 2017]]+Tabel6689212734[[#This Row],[VAT Sew. 2017]]+Tabel6689212734[[#This Row],[VAT WW 2017]]+Tabel6689212734[[#This Row],[VAT Other ch. 2017]]</f>
        <v>0</v>
      </c>
      <c r="S241" s="318">
        <f>Tabel6689212734[[#This Row],[Total. ch. DW 2017]]+Tabel6689212734[[#This Row],[Sew. 2017]]+Tabel6689212734[[#This Row],[VAT Sew. 2017]]+Tabel6689212734[[#This Row],[WW 2017]]+Tabel6689212734[[#This Row],[VAT WW 2017]]+Tabel6689212734[[#This Row],[Other ch. 2017]]+Tabel6689212734[[#This Row],[VAT Other ch. 2017]]</f>
        <v>533.90698096336519</v>
      </c>
      <c r="T241" s="397"/>
      <c r="U241" s="2158"/>
      <c r="V241" s="2159"/>
      <c r="W241" s="2160"/>
      <c r="X241" s="576"/>
      <c r="Y241" s="2141"/>
      <c r="Z241" s="2142"/>
      <c r="AA241" s="576"/>
      <c r="AB241" s="2143"/>
      <c r="AC241" s="576"/>
      <c r="AD241" s="2144"/>
      <c r="AE241" s="576"/>
      <c r="AF241" s="2145"/>
      <c r="AG241" s="2146"/>
      <c r="AH241" s="397"/>
      <c r="AI241" s="398"/>
      <c r="AJ241" s="396" t="s">
        <v>429</v>
      </c>
      <c r="AK241" s="396" t="s">
        <v>429</v>
      </c>
      <c r="AL241" s="396"/>
      <c r="AM241" s="396" t="s">
        <v>429</v>
      </c>
      <c r="AN241" s="398"/>
      <c r="AO241" s="398"/>
      <c r="AP241" s="397"/>
    </row>
    <row r="242" spans="1:42" ht="19.5" hidden="1" thickBot="1" x14ac:dyDescent="0.3">
      <c r="A242" s="1835"/>
      <c r="B242" s="290" t="s">
        <v>142</v>
      </c>
      <c r="C242" s="1048"/>
      <c r="D242" s="805" t="s">
        <v>1127</v>
      </c>
      <c r="E242" s="1838"/>
      <c r="F242" s="307">
        <v>0.77166999999999997</v>
      </c>
      <c r="G242" s="319">
        <f>1.2*200/F242</f>
        <v>311.01377531846515</v>
      </c>
      <c r="H242" s="320">
        <v>0</v>
      </c>
      <c r="I242" s="321">
        <v>0</v>
      </c>
      <c r="J242" s="559"/>
      <c r="K242" s="313">
        <f>Tabel6689212734[[#This Row],[Fix.ch. 2017]]+Tabel6689212734[[#This Row],[Var. ch. 2017]]+Tabel6689212734[[#This Row],[Oth. ch. DW 2017]]+Tabel6689212734[[#This Row],[VAT DW 2017]]</f>
        <v>311.01377531846515</v>
      </c>
      <c r="L242" s="322">
        <f>1.15*200/F242</f>
        <v>298.05486801352907</v>
      </c>
      <c r="M242" s="559"/>
      <c r="N242" s="323">
        <v>0</v>
      </c>
      <c r="O242" s="559"/>
      <c r="P242" s="324">
        <v>0</v>
      </c>
      <c r="Q242" s="559"/>
      <c r="R242" s="317">
        <f>Tabel6689212734[[#This Row],[VAT DW 2017]]+Tabel6689212734[[#This Row],[VAT Sew. 2017]]+Tabel6689212734[[#This Row],[VAT WW 2017]]+Tabel6689212734[[#This Row],[VAT Other ch. 2017]]</f>
        <v>0</v>
      </c>
      <c r="S242" s="318">
        <f>Tabel6689212734[[#This Row],[Total. ch. DW 2017]]+Tabel6689212734[[#This Row],[Sew. 2017]]+Tabel6689212734[[#This Row],[VAT Sew. 2017]]+Tabel6689212734[[#This Row],[WW 2017]]+Tabel6689212734[[#This Row],[VAT WW 2017]]+Tabel6689212734[[#This Row],[Other ch. 2017]]+Tabel6689212734[[#This Row],[VAT Other ch. 2017]]</f>
        <v>609.06864333199428</v>
      </c>
      <c r="T242" s="397"/>
      <c r="U242" s="1841"/>
      <c r="V242" s="1844"/>
      <c r="W242" s="1847"/>
      <c r="X242" s="577"/>
      <c r="Y242" s="1850"/>
      <c r="Z242" s="1853"/>
      <c r="AA242" s="577"/>
      <c r="AB242" s="1856"/>
      <c r="AC242" s="577"/>
      <c r="AD242" s="1859"/>
      <c r="AE242" s="577"/>
      <c r="AF242" s="1874"/>
      <c r="AG242" s="1877"/>
      <c r="AH242" s="397"/>
      <c r="AI242" s="398"/>
      <c r="AJ242" s="396" t="s">
        <v>429</v>
      </c>
      <c r="AK242" s="396" t="s">
        <v>429</v>
      </c>
      <c r="AL242" s="396"/>
      <c r="AM242" s="396" t="s">
        <v>429</v>
      </c>
      <c r="AN242" s="398"/>
      <c r="AO242" s="398"/>
      <c r="AP242" s="397"/>
    </row>
    <row r="243" spans="1:42" ht="19.5" hidden="1" thickBot="1" x14ac:dyDescent="0.35">
      <c r="A243" s="267" t="s">
        <v>43</v>
      </c>
      <c r="B243" s="294" t="s">
        <v>644</v>
      </c>
      <c r="C243" s="261" t="s">
        <v>429</v>
      </c>
      <c r="D243" s="808" t="s">
        <v>1129</v>
      </c>
      <c r="E243" s="301">
        <v>11500</v>
      </c>
      <c r="F243" s="306">
        <f>'exchange rates'!K56</f>
        <v>10.498559999999999</v>
      </c>
      <c r="G243" s="319">
        <v>0</v>
      </c>
      <c r="H243" s="320">
        <f>1099.22/F243</f>
        <v>104.70197817605462</v>
      </c>
      <c r="I243" s="321">
        <v>0</v>
      </c>
      <c r="J243" s="559"/>
      <c r="K243" s="313">
        <f>Tabel6689212734[[#This Row],[Fix.ch. 2017]]+Tabel6689212734[[#This Row],[Var. ch. 2017]]+Tabel6689212734[[#This Row],[Oth. ch. DW 2017]]+Tabel6689212734[[#This Row],[VAT DW 2017]]</f>
        <v>104.70197817605462</v>
      </c>
      <c r="L243" s="322">
        <f>860.9/F243</f>
        <v>82.00172214094124</v>
      </c>
      <c r="M243" s="559"/>
      <c r="N243" s="323">
        <v>0</v>
      </c>
      <c r="O243" s="559"/>
      <c r="P243" s="324">
        <v>0</v>
      </c>
      <c r="Q243" s="559"/>
      <c r="R243" s="317">
        <f>Tabel6689212734[[#This Row],[VAT DW 2017]]+Tabel6689212734[[#This Row],[VAT Sew. 2017]]+Tabel6689212734[[#This Row],[VAT WW 2017]]+Tabel6689212734[[#This Row],[VAT Other ch. 2017]]</f>
        <v>0</v>
      </c>
      <c r="S243" s="318">
        <f>Tabel6689212734[[#This Row],[Total. ch. DW 2017]]+Tabel6689212734[[#This Row],[Sew. 2017]]+Tabel6689212734[[#This Row],[VAT Sew. 2017]]+Tabel6689212734[[#This Row],[WW 2017]]+Tabel6689212734[[#This Row],[VAT WW 2017]]+Tabel6689212734[[#This Row],[Other ch. 2017]]+Tabel6689212734[[#This Row],[VAT Other ch. 2017]]</f>
        <v>186.70370031699588</v>
      </c>
      <c r="T243" s="397"/>
      <c r="U243" s="340">
        <f>Tabel6689212734[[#This Row],[Fix.ch. 2017]]</f>
        <v>0</v>
      </c>
      <c r="V243" s="341">
        <f>Tabel6689212734[[#This Row],[Var. ch. 2017]]</f>
        <v>104.70197817605462</v>
      </c>
      <c r="W243" s="333">
        <f>Tabel6689212734[[#This Row],[Oth. ch. DW 2017]]</f>
        <v>0</v>
      </c>
      <c r="X243" s="574"/>
      <c r="Y243" s="334">
        <f>Tabel6689212734[[#This Row],[Total. ch. DW 2017]]</f>
        <v>104.70197817605462</v>
      </c>
      <c r="Z243" s="335">
        <f>Tabel6689212734[[#This Row],[Sew. 2017]]</f>
        <v>82.00172214094124</v>
      </c>
      <c r="AA243" s="574"/>
      <c r="AB243" s="336">
        <f>Tabel6689212734[[#This Row],[WW 2017]]</f>
        <v>0</v>
      </c>
      <c r="AC243" s="574"/>
      <c r="AD243" s="337">
        <f>Tabel6689212734[[#This Row],[Other ch. 2017]]</f>
        <v>0</v>
      </c>
      <c r="AE243" s="574"/>
      <c r="AF243" s="338">
        <f>Tabel6689212734[[#This Row],[Total VAT 2017]]</f>
        <v>0</v>
      </c>
      <c r="AG243" s="458">
        <f>SUM(Y243:AF243)</f>
        <v>186.70370031699588</v>
      </c>
      <c r="AH243" s="397"/>
      <c r="AI243" s="398"/>
      <c r="AJ243" s="398"/>
      <c r="AK243" s="398"/>
      <c r="AL243" s="396" t="s">
        <v>429</v>
      </c>
      <c r="AM243" s="396"/>
      <c r="AN243" s="396" t="s">
        <v>429</v>
      </c>
      <c r="AO243" s="398"/>
      <c r="AP243" s="397"/>
    </row>
    <row r="244" spans="1:42" ht="19.5" hidden="1" thickBot="1" x14ac:dyDescent="0.3">
      <c r="A244" s="267" t="s">
        <v>450</v>
      </c>
      <c r="B244" s="261" t="s">
        <v>177</v>
      </c>
      <c r="C244" s="261"/>
      <c r="D244" s="808" t="s">
        <v>1028</v>
      </c>
      <c r="E244" s="301">
        <v>40800</v>
      </c>
      <c r="F244" s="306">
        <v>0.97958999999999996</v>
      </c>
      <c r="G244" s="310">
        <f>142.4/F244</f>
        <v>145.36693922967774</v>
      </c>
      <c r="H244" s="311">
        <f>352/F244</f>
        <v>359.33400708459664</v>
      </c>
      <c r="I244" s="312">
        <f>36/F244</f>
        <v>36.750068906379198</v>
      </c>
      <c r="J244" s="558"/>
      <c r="K244" s="313">
        <f>Tabel6689212734[[#This Row],[Fix.ch. 2017]]+Tabel6689212734[[#This Row],[Var. ch. 2017]]+Tabel6689212734[[#This Row],[Oth. ch. DW 2017]]+Tabel6689212734[[#This Row],[VAT DW 2017]]</f>
        <v>541.45101522065352</v>
      </c>
      <c r="L244" s="314">
        <f>457.3/F244</f>
        <v>466.82795863575581</v>
      </c>
      <c r="M244" s="558"/>
      <c r="N244" s="315">
        <f>0</f>
        <v>0</v>
      </c>
      <c r="O244" s="558"/>
      <c r="P244" s="316">
        <v>0</v>
      </c>
      <c r="Q244" s="558"/>
      <c r="R244" s="317">
        <f>Tabel6689212734[[#This Row],[VAT DW 2017]]+Tabel6689212734[[#This Row],[VAT Sew. 2017]]+Tabel6689212734[[#This Row],[VAT WW 2017]]+Tabel6689212734[[#This Row],[VAT Other ch. 2017]]</f>
        <v>0</v>
      </c>
      <c r="S244" s="318">
        <f>Tabel6689212734[[#This Row],[Total. ch. DW 2017]]+Tabel6689212734[[#This Row],[Sew. 2017]]+Tabel6689212734[[#This Row],[VAT Sew. 2017]]+Tabel6689212734[[#This Row],[WW 2017]]+Tabel6689212734[[#This Row],[VAT WW 2017]]+Tabel6689212734[[#This Row],[Other ch. 2017]]+Tabel6689212734[[#This Row],[VAT Other ch. 2017]]</f>
        <v>1008.2789738564093</v>
      </c>
      <c r="T244" s="397"/>
      <c r="U244" s="340">
        <f>Tabel6689212734[[#This Row],[Fix.ch. 2017]]</f>
        <v>145.36693922967774</v>
      </c>
      <c r="V244" s="341">
        <v>359.33400708459664</v>
      </c>
      <c r="W244" s="342">
        <v>36.750068906379198</v>
      </c>
      <c r="X244" s="581"/>
      <c r="Y244" s="343">
        <v>541.45101522065352</v>
      </c>
      <c r="Z244" s="344">
        <v>466.82795863575581</v>
      </c>
      <c r="AA244" s="581"/>
      <c r="AB244" s="345">
        <v>0</v>
      </c>
      <c r="AC244" s="581"/>
      <c r="AD244" s="346">
        <v>0</v>
      </c>
      <c r="AE244" s="581"/>
      <c r="AF244" s="347">
        <v>0</v>
      </c>
      <c r="AG244" s="348">
        <v>1008.2789738564093</v>
      </c>
      <c r="AH244" s="397"/>
      <c r="AI244" s="398"/>
      <c r="AJ244" s="398"/>
      <c r="AK244" s="398"/>
      <c r="AL244" s="396" t="s">
        <v>429</v>
      </c>
      <c r="AM244" s="396" t="s">
        <v>429</v>
      </c>
      <c r="AN244" s="396" t="s">
        <v>429</v>
      </c>
      <c r="AO244" s="398" t="s">
        <v>452</v>
      </c>
      <c r="AP244" s="397"/>
    </row>
    <row r="245" spans="1:42" ht="18" hidden="1" customHeight="1" x14ac:dyDescent="0.25">
      <c r="A245" s="1878" t="s">
        <v>25</v>
      </c>
      <c r="B245" s="638" t="s">
        <v>143</v>
      </c>
      <c r="C245" s="693" t="s">
        <v>429</v>
      </c>
      <c r="D245" s="806" t="s">
        <v>1131</v>
      </c>
      <c r="E245" s="1934">
        <v>39400</v>
      </c>
      <c r="F245" s="617">
        <f>'exchange rates'!$O$57</f>
        <v>1066.97433</v>
      </c>
      <c r="G245" s="549">
        <v>0</v>
      </c>
      <c r="H245" s="550">
        <f>57210/F245</f>
        <v>53.618909463360751</v>
      </c>
      <c r="I245" s="551">
        <v>0</v>
      </c>
      <c r="J245" s="560">
        <v>0</v>
      </c>
      <c r="K245" s="566">
        <f>Tabel6689212734[[#This Row],[Fix.ch. 2017]]+Tabel6689212734[[#This Row],[Var. ch. 2017]]+Tabel6689212734[[#This Row],[Oth. ch. DW 2017]]+Tabel6689212734[[#This Row],[VAT DW 2017]]</f>
        <v>53.618909463360751</v>
      </c>
      <c r="L245" s="567">
        <v>0</v>
      </c>
      <c r="M245" s="560">
        <v>0</v>
      </c>
      <c r="N245" s="568">
        <v>0</v>
      </c>
      <c r="O245" s="560">
        <v>0</v>
      </c>
      <c r="P245" s="569">
        <v>0</v>
      </c>
      <c r="Q245" s="560">
        <v>0</v>
      </c>
      <c r="R245" s="570">
        <f>Tabel6689212734[[#This Row],[VAT DW 2017]]+Tabel6689212734[[#This Row],[VAT Sew. 2017]]+Tabel6689212734[[#This Row],[VAT WW 2017]]+Tabel6689212734[[#This Row],[VAT Other ch. 2017]]</f>
        <v>0</v>
      </c>
      <c r="S245" s="571">
        <f>Tabel6689212734[[#This Row],[Total. ch. DW 2017]]+Tabel6689212734[[#This Row],[Sew. 2017]]+Tabel6689212734[[#This Row],[VAT Sew. 2017]]+Tabel6689212734[[#This Row],[WW 2017]]+Tabel6689212734[[#This Row],[VAT WW 2017]]+Tabel6689212734[[#This Row],[Other ch. 2017]]+Tabel6689212734[[#This Row],[VAT Other ch. 2017]]</f>
        <v>53.618909463360751</v>
      </c>
      <c r="T245" s="397"/>
      <c r="U245" s="1935">
        <f>MEDIAN(G245:G252)</f>
        <v>0</v>
      </c>
      <c r="V245" s="1936">
        <f>MEDIAN(H245:H252)</f>
        <v>63.698814572230617</v>
      </c>
      <c r="W245" s="1937">
        <f>MEDIAN(I245:I252)</f>
        <v>0</v>
      </c>
      <c r="X245" s="1771">
        <f>MEDIAN(J245:J252)</f>
        <v>0</v>
      </c>
      <c r="Y245" s="1939">
        <f>SUM(U245:X252)</f>
        <v>63.698814572230617</v>
      </c>
      <c r="Z245" s="1950">
        <f t="shared" ref="Z245:AF245" si="35">MEDIAN(L245:L252)</f>
        <v>0</v>
      </c>
      <c r="AA245" s="1771">
        <f t="shared" si="35"/>
        <v>0</v>
      </c>
      <c r="AB245" s="1946">
        <f t="shared" si="35"/>
        <v>0</v>
      </c>
      <c r="AC245" s="1771">
        <f t="shared" si="35"/>
        <v>0</v>
      </c>
      <c r="AD245" s="1947">
        <f t="shared" si="35"/>
        <v>0</v>
      </c>
      <c r="AE245" s="1771">
        <f t="shared" si="35"/>
        <v>0</v>
      </c>
      <c r="AF245" s="1944">
        <f t="shared" si="35"/>
        <v>0</v>
      </c>
      <c r="AG245" s="1945">
        <f>Y245+Z245+AA245+AB245+AC245+AD245+AE245</f>
        <v>63.698814572230617</v>
      </c>
      <c r="AH245" s="397"/>
      <c r="AI245" s="398"/>
      <c r="AJ245" s="398"/>
      <c r="AK245" s="398"/>
      <c r="AL245" s="591" t="s">
        <v>429</v>
      </c>
      <c r="AM245" s="398"/>
      <c r="AN245" s="398"/>
      <c r="AO245" s="398"/>
      <c r="AP245" s="397"/>
    </row>
    <row r="246" spans="1:42" ht="15.75" hidden="1" x14ac:dyDescent="0.25">
      <c r="A246" s="1757"/>
      <c r="B246" s="639" t="s">
        <v>144</v>
      </c>
      <c r="C246" s="639"/>
      <c r="D246" s="724" t="s">
        <v>1131</v>
      </c>
      <c r="E246" s="1760"/>
      <c r="F246" s="617">
        <f>'exchange rates'!$O$57</f>
        <v>1066.97433</v>
      </c>
      <c r="G246" s="549">
        <v>0</v>
      </c>
      <c r="H246" s="550">
        <f>77030/F246</f>
        <v>72.194801537540272</v>
      </c>
      <c r="I246" s="551">
        <v>0</v>
      </c>
      <c r="J246" s="560">
        <v>0</v>
      </c>
      <c r="K246" s="566">
        <f>Tabel6689212734[[#This Row],[Fix.ch. 2017]]+Tabel6689212734[[#This Row],[Var. ch. 2017]]+Tabel6689212734[[#This Row],[Oth. ch. DW 2017]]+Tabel6689212734[[#This Row],[VAT DW 2017]]</f>
        <v>72.194801537540272</v>
      </c>
      <c r="L246" s="567">
        <v>0</v>
      </c>
      <c r="M246" s="560">
        <v>0</v>
      </c>
      <c r="N246" s="568">
        <v>0</v>
      </c>
      <c r="O246" s="560">
        <v>0</v>
      </c>
      <c r="P246" s="569">
        <v>0</v>
      </c>
      <c r="Q246" s="560">
        <v>0</v>
      </c>
      <c r="R246" s="570">
        <f>Tabel6689212734[[#This Row],[VAT DW 2017]]+Tabel6689212734[[#This Row],[VAT Sew. 2017]]+Tabel6689212734[[#This Row],[VAT WW 2017]]+Tabel6689212734[[#This Row],[VAT Other ch. 2017]]</f>
        <v>0</v>
      </c>
      <c r="S246" s="571">
        <f>Tabel6689212734[[#This Row],[Total. ch. DW 2017]]+Tabel6689212734[[#This Row],[Sew. 2017]]+Tabel6689212734[[#This Row],[VAT Sew. 2017]]+Tabel6689212734[[#This Row],[WW 2017]]+Tabel6689212734[[#This Row],[VAT WW 2017]]+Tabel6689212734[[#This Row],[Other ch. 2017]]+Tabel6689212734[[#This Row],[VAT Other ch. 2017]]</f>
        <v>72.194801537540272</v>
      </c>
      <c r="T246" s="397"/>
      <c r="U246" s="1763"/>
      <c r="V246" s="1766"/>
      <c r="W246" s="1769"/>
      <c r="X246" s="1772"/>
      <c r="Y246" s="1775"/>
      <c r="Z246" s="1778"/>
      <c r="AA246" s="1772"/>
      <c r="AB246" s="1781"/>
      <c r="AC246" s="1772"/>
      <c r="AD246" s="1785"/>
      <c r="AE246" s="1772"/>
      <c r="AF246" s="1788"/>
      <c r="AG246" s="1791"/>
      <c r="AH246" s="397"/>
      <c r="AI246" s="398"/>
      <c r="AJ246" s="398"/>
      <c r="AK246" s="398"/>
      <c r="AL246" s="591" t="s">
        <v>429</v>
      </c>
      <c r="AM246" s="398"/>
      <c r="AN246" s="398"/>
      <c r="AO246" s="398"/>
      <c r="AP246" s="397"/>
    </row>
    <row r="247" spans="1:42" ht="15.75" hidden="1" x14ac:dyDescent="0.25">
      <c r="A247" s="1757"/>
      <c r="B247" s="639" t="s">
        <v>145</v>
      </c>
      <c r="C247" s="639"/>
      <c r="D247" s="724" t="s">
        <v>1131</v>
      </c>
      <c r="E247" s="1760"/>
      <c r="F247" s="617">
        <f>'exchange rates'!$O$57</f>
        <v>1066.97433</v>
      </c>
      <c r="G247" s="549">
        <v>0</v>
      </c>
      <c r="H247" s="550">
        <f>68930/F247</f>
        <v>64.603241204500208</v>
      </c>
      <c r="I247" s="551">
        <v>0</v>
      </c>
      <c r="J247" s="560">
        <v>0</v>
      </c>
      <c r="K247" s="566">
        <f>Tabel6689212734[[#This Row],[Fix.ch. 2017]]+Tabel6689212734[[#This Row],[Var. ch. 2017]]+Tabel6689212734[[#This Row],[Oth. ch. DW 2017]]+Tabel6689212734[[#This Row],[VAT DW 2017]]</f>
        <v>64.603241204500208</v>
      </c>
      <c r="L247" s="567">
        <v>0</v>
      </c>
      <c r="M247" s="560">
        <v>0</v>
      </c>
      <c r="N247" s="568">
        <v>0</v>
      </c>
      <c r="O247" s="560">
        <v>0</v>
      </c>
      <c r="P247" s="569">
        <v>0</v>
      </c>
      <c r="Q247" s="560">
        <v>0</v>
      </c>
      <c r="R247" s="570">
        <f>Tabel6689212734[[#This Row],[VAT DW 2017]]+Tabel6689212734[[#This Row],[VAT Sew. 2017]]+Tabel6689212734[[#This Row],[VAT WW 2017]]+Tabel6689212734[[#This Row],[VAT Other ch. 2017]]</f>
        <v>0</v>
      </c>
      <c r="S247" s="571">
        <f>Tabel6689212734[[#This Row],[Total. ch. DW 2017]]+Tabel6689212734[[#This Row],[Sew. 2017]]+Tabel6689212734[[#This Row],[VAT Sew. 2017]]+Tabel6689212734[[#This Row],[WW 2017]]+Tabel6689212734[[#This Row],[VAT WW 2017]]+Tabel6689212734[[#This Row],[Other ch. 2017]]+Tabel6689212734[[#This Row],[VAT Other ch. 2017]]</f>
        <v>64.603241204500208</v>
      </c>
      <c r="T247" s="397"/>
      <c r="U247" s="1763"/>
      <c r="V247" s="1766"/>
      <c r="W247" s="1769"/>
      <c r="X247" s="1772"/>
      <c r="Y247" s="1775"/>
      <c r="Z247" s="1778"/>
      <c r="AA247" s="1772"/>
      <c r="AB247" s="1781"/>
      <c r="AC247" s="1772"/>
      <c r="AD247" s="1785"/>
      <c r="AE247" s="1772"/>
      <c r="AF247" s="1788"/>
      <c r="AG247" s="1791"/>
      <c r="AH247" s="397"/>
      <c r="AI247" s="398"/>
      <c r="AJ247" s="398"/>
      <c r="AK247" s="398"/>
      <c r="AL247" s="591" t="s">
        <v>429</v>
      </c>
      <c r="AM247" s="398"/>
      <c r="AN247" s="398"/>
      <c r="AO247" s="398"/>
      <c r="AP247" s="397"/>
    </row>
    <row r="248" spans="1:42" ht="15.75" hidden="1" x14ac:dyDescent="0.25">
      <c r="A248" s="1757"/>
      <c r="B248" s="639" t="s">
        <v>146</v>
      </c>
      <c r="C248" s="639"/>
      <c r="D248" s="724" t="s">
        <v>1131</v>
      </c>
      <c r="E248" s="1760"/>
      <c r="F248" s="617">
        <f>'exchange rates'!$O$57</f>
        <v>1066.97433</v>
      </c>
      <c r="G248" s="549">
        <v>0</v>
      </c>
      <c r="H248" s="550">
        <f>67150/F248</f>
        <v>62.934972390572881</v>
      </c>
      <c r="I248" s="551">
        <v>0</v>
      </c>
      <c r="J248" s="560">
        <v>0</v>
      </c>
      <c r="K248" s="566">
        <f>Tabel6689212734[[#This Row],[Fix.ch. 2017]]+Tabel6689212734[[#This Row],[Var. ch. 2017]]+Tabel6689212734[[#This Row],[Oth. ch. DW 2017]]+Tabel6689212734[[#This Row],[VAT DW 2017]]</f>
        <v>62.934972390572881</v>
      </c>
      <c r="L248" s="567">
        <v>0</v>
      </c>
      <c r="M248" s="560">
        <v>0</v>
      </c>
      <c r="N248" s="568">
        <v>0</v>
      </c>
      <c r="O248" s="560">
        <v>0</v>
      </c>
      <c r="P248" s="569">
        <v>0</v>
      </c>
      <c r="Q248" s="560">
        <v>0</v>
      </c>
      <c r="R248" s="570">
        <f>Tabel6689212734[[#This Row],[VAT DW 2017]]+Tabel6689212734[[#This Row],[VAT Sew. 2017]]+Tabel6689212734[[#This Row],[VAT WW 2017]]+Tabel6689212734[[#This Row],[VAT Other ch. 2017]]</f>
        <v>0</v>
      </c>
      <c r="S248" s="571">
        <f>Tabel6689212734[[#This Row],[Total. ch. DW 2017]]+Tabel6689212734[[#This Row],[Sew. 2017]]+Tabel6689212734[[#This Row],[VAT Sew. 2017]]+Tabel6689212734[[#This Row],[WW 2017]]+Tabel6689212734[[#This Row],[VAT WW 2017]]+Tabel6689212734[[#This Row],[Other ch. 2017]]+Tabel6689212734[[#This Row],[VAT Other ch. 2017]]</f>
        <v>62.934972390572881</v>
      </c>
      <c r="T248" s="397"/>
      <c r="U248" s="1763"/>
      <c r="V248" s="1766"/>
      <c r="W248" s="1769"/>
      <c r="X248" s="1772"/>
      <c r="Y248" s="1775"/>
      <c r="Z248" s="1778"/>
      <c r="AA248" s="1772"/>
      <c r="AB248" s="1781"/>
      <c r="AC248" s="1772"/>
      <c r="AD248" s="1785"/>
      <c r="AE248" s="1772"/>
      <c r="AF248" s="1788"/>
      <c r="AG248" s="1791"/>
      <c r="AH248" s="397"/>
      <c r="AI248" s="398"/>
      <c r="AJ248" s="398"/>
      <c r="AK248" s="398"/>
      <c r="AL248" s="591" t="s">
        <v>429</v>
      </c>
      <c r="AM248" s="398"/>
      <c r="AN248" s="398"/>
      <c r="AO248" s="398"/>
      <c r="AP248" s="397"/>
    </row>
    <row r="249" spans="1:42" ht="15.75" hidden="1" x14ac:dyDescent="0.25">
      <c r="A249" s="1757"/>
      <c r="B249" s="639" t="s">
        <v>147</v>
      </c>
      <c r="C249" s="639"/>
      <c r="D249" s="724" t="s">
        <v>1131</v>
      </c>
      <c r="E249" s="1760"/>
      <c r="F249" s="617">
        <f>'exchange rates'!$O$57</f>
        <v>1066.97433</v>
      </c>
      <c r="G249" s="549">
        <v>0</v>
      </c>
      <c r="H249" s="550">
        <f>62240/F249</f>
        <v>58.333174707211562</v>
      </c>
      <c r="I249" s="551">
        <v>0</v>
      </c>
      <c r="J249" s="560">
        <v>0</v>
      </c>
      <c r="K249" s="566">
        <f>Tabel6689212734[[#This Row],[Fix.ch. 2017]]+Tabel6689212734[[#This Row],[Var. ch. 2017]]+Tabel6689212734[[#This Row],[Oth. ch. DW 2017]]+Tabel6689212734[[#This Row],[VAT DW 2017]]</f>
        <v>58.333174707211562</v>
      </c>
      <c r="L249" s="567">
        <v>0</v>
      </c>
      <c r="M249" s="560">
        <v>0</v>
      </c>
      <c r="N249" s="568">
        <v>0</v>
      </c>
      <c r="O249" s="560">
        <v>0</v>
      </c>
      <c r="P249" s="569">
        <v>0</v>
      </c>
      <c r="Q249" s="560">
        <v>0</v>
      </c>
      <c r="R249" s="570">
        <f>Tabel6689212734[[#This Row],[VAT DW 2017]]+Tabel6689212734[[#This Row],[VAT Sew. 2017]]+Tabel6689212734[[#This Row],[VAT WW 2017]]+Tabel6689212734[[#This Row],[VAT Other ch. 2017]]</f>
        <v>0</v>
      </c>
      <c r="S249" s="571">
        <f>Tabel6689212734[[#This Row],[Total. ch. DW 2017]]+Tabel6689212734[[#This Row],[Sew. 2017]]+Tabel6689212734[[#This Row],[VAT Sew. 2017]]+Tabel6689212734[[#This Row],[WW 2017]]+Tabel6689212734[[#This Row],[VAT WW 2017]]+Tabel6689212734[[#This Row],[Other ch. 2017]]+Tabel6689212734[[#This Row],[VAT Other ch. 2017]]</f>
        <v>58.333174707211562</v>
      </c>
      <c r="T249" s="397"/>
      <c r="U249" s="1763"/>
      <c r="V249" s="1766"/>
      <c r="W249" s="1769"/>
      <c r="X249" s="1772"/>
      <c r="Y249" s="1775"/>
      <c r="Z249" s="1778"/>
      <c r="AA249" s="1772"/>
      <c r="AB249" s="1781"/>
      <c r="AC249" s="1772"/>
      <c r="AD249" s="1785"/>
      <c r="AE249" s="1772"/>
      <c r="AF249" s="1788"/>
      <c r="AG249" s="1791"/>
      <c r="AH249" s="397"/>
      <c r="AI249" s="398"/>
      <c r="AJ249" s="398"/>
      <c r="AK249" s="398"/>
      <c r="AL249" s="591" t="s">
        <v>429</v>
      </c>
      <c r="AM249" s="398"/>
      <c r="AN249" s="398"/>
      <c r="AO249" s="398"/>
      <c r="AP249" s="397"/>
    </row>
    <row r="250" spans="1:42" ht="15.75" hidden="1" x14ac:dyDescent="0.25">
      <c r="A250" s="1757"/>
      <c r="B250" s="639" t="s">
        <v>148</v>
      </c>
      <c r="C250" s="639"/>
      <c r="D250" s="724" t="s">
        <v>1131</v>
      </c>
      <c r="E250" s="1760"/>
      <c r="F250" s="617">
        <f>'exchange rates'!$O$57</f>
        <v>1066.97433</v>
      </c>
      <c r="G250" s="549">
        <v>0</v>
      </c>
      <c r="H250" s="550">
        <f>52990/F250</f>
        <v>49.663800252813957</v>
      </c>
      <c r="I250" s="551">
        <v>0</v>
      </c>
      <c r="J250" s="560">
        <v>0</v>
      </c>
      <c r="K250" s="566">
        <f>Tabel6689212734[[#This Row],[Fix.ch. 2017]]+Tabel6689212734[[#This Row],[Var. ch. 2017]]+Tabel6689212734[[#This Row],[Oth. ch. DW 2017]]+Tabel6689212734[[#This Row],[VAT DW 2017]]</f>
        <v>49.663800252813957</v>
      </c>
      <c r="L250" s="567">
        <v>0</v>
      </c>
      <c r="M250" s="560">
        <v>0</v>
      </c>
      <c r="N250" s="568">
        <v>0</v>
      </c>
      <c r="O250" s="560">
        <v>0</v>
      </c>
      <c r="P250" s="569">
        <v>0</v>
      </c>
      <c r="Q250" s="560">
        <v>0</v>
      </c>
      <c r="R250" s="570">
        <f>Tabel6689212734[[#This Row],[VAT DW 2017]]+Tabel6689212734[[#This Row],[VAT Sew. 2017]]+Tabel6689212734[[#This Row],[VAT WW 2017]]+Tabel6689212734[[#This Row],[VAT Other ch. 2017]]</f>
        <v>0</v>
      </c>
      <c r="S250" s="571">
        <f>Tabel6689212734[[#This Row],[Total. ch. DW 2017]]+Tabel6689212734[[#This Row],[Sew. 2017]]+Tabel6689212734[[#This Row],[VAT Sew. 2017]]+Tabel6689212734[[#This Row],[WW 2017]]+Tabel6689212734[[#This Row],[VAT WW 2017]]+Tabel6689212734[[#This Row],[Other ch. 2017]]+Tabel6689212734[[#This Row],[VAT Other ch. 2017]]</f>
        <v>49.663800252813957</v>
      </c>
      <c r="T250" s="397"/>
      <c r="U250" s="1763"/>
      <c r="V250" s="1766"/>
      <c r="W250" s="1769"/>
      <c r="X250" s="1772"/>
      <c r="Y250" s="1775"/>
      <c r="Z250" s="1778"/>
      <c r="AA250" s="1772"/>
      <c r="AB250" s="1781"/>
      <c r="AC250" s="1772"/>
      <c r="AD250" s="1785"/>
      <c r="AE250" s="1772"/>
      <c r="AF250" s="1788"/>
      <c r="AG250" s="1791"/>
      <c r="AH250" s="397"/>
      <c r="AI250" s="398"/>
      <c r="AJ250" s="398"/>
      <c r="AK250" s="398"/>
      <c r="AL250" s="591" t="s">
        <v>429</v>
      </c>
      <c r="AM250" s="398"/>
      <c r="AN250" s="398"/>
      <c r="AO250" s="398"/>
      <c r="AP250" s="397"/>
    </row>
    <row r="251" spans="1:42" ht="15.75" hidden="1" x14ac:dyDescent="0.25">
      <c r="A251" s="1757"/>
      <c r="B251" s="639" t="s">
        <v>149</v>
      </c>
      <c r="C251" s="639"/>
      <c r="D251" s="724" t="s">
        <v>1131</v>
      </c>
      <c r="E251" s="1760"/>
      <c r="F251" s="617">
        <f>'exchange rates'!$O$57</f>
        <v>1066.97433</v>
      </c>
      <c r="G251" s="549">
        <v>0</v>
      </c>
      <c r="H251" s="550">
        <f>86540/F251</f>
        <v>81.107855706331748</v>
      </c>
      <c r="I251" s="551">
        <v>0</v>
      </c>
      <c r="J251" s="560">
        <v>0</v>
      </c>
      <c r="K251" s="566">
        <f>Tabel6689212734[[#This Row],[Fix.ch. 2017]]+Tabel6689212734[[#This Row],[Var. ch. 2017]]+Tabel6689212734[[#This Row],[Oth. ch. DW 2017]]+Tabel6689212734[[#This Row],[VAT DW 2017]]</f>
        <v>81.107855706331748</v>
      </c>
      <c r="L251" s="567">
        <v>0</v>
      </c>
      <c r="M251" s="560">
        <v>0</v>
      </c>
      <c r="N251" s="568">
        <v>0</v>
      </c>
      <c r="O251" s="560">
        <v>0</v>
      </c>
      <c r="P251" s="569">
        <v>0</v>
      </c>
      <c r="Q251" s="560">
        <v>0</v>
      </c>
      <c r="R251" s="570">
        <f>Tabel6689212734[[#This Row],[VAT DW 2017]]+Tabel6689212734[[#This Row],[VAT Sew. 2017]]+Tabel6689212734[[#This Row],[VAT WW 2017]]+Tabel6689212734[[#This Row],[VAT Other ch. 2017]]</f>
        <v>0</v>
      </c>
      <c r="S251" s="571">
        <f>Tabel6689212734[[#This Row],[Total. ch. DW 2017]]+Tabel6689212734[[#This Row],[Sew. 2017]]+Tabel6689212734[[#This Row],[VAT Sew. 2017]]+Tabel6689212734[[#This Row],[WW 2017]]+Tabel6689212734[[#This Row],[VAT WW 2017]]+Tabel6689212734[[#This Row],[Other ch. 2017]]+Tabel6689212734[[#This Row],[VAT Other ch. 2017]]</f>
        <v>81.107855706331748</v>
      </c>
      <c r="T251" s="397"/>
      <c r="U251" s="1763"/>
      <c r="V251" s="1766"/>
      <c r="W251" s="1769"/>
      <c r="X251" s="1772"/>
      <c r="Y251" s="1775"/>
      <c r="Z251" s="1778"/>
      <c r="AA251" s="1772"/>
      <c r="AB251" s="1781"/>
      <c r="AC251" s="1772"/>
      <c r="AD251" s="1785"/>
      <c r="AE251" s="1772"/>
      <c r="AF251" s="1788"/>
      <c r="AG251" s="1791"/>
      <c r="AH251" s="397"/>
      <c r="AI251" s="398"/>
      <c r="AJ251" s="398"/>
      <c r="AK251" s="398"/>
      <c r="AL251" s="591" t="s">
        <v>429</v>
      </c>
      <c r="AM251" s="398"/>
      <c r="AN251" s="398"/>
      <c r="AO251" s="398"/>
      <c r="AP251" s="397"/>
    </row>
    <row r="252" spans="1:42" ht="16.5" hidden="1" thickBot="1" x14ac:dyDescent="0.3">
      <c r="A252" s="1758"/>
      <c r="B252" s="640" t="s">
        <v>150</v>
      </c>
      <c r="C252" s="652"/>
      <c r="D252" s="807" t="s">
        <v>1131</v>
      </c>
      <c r="E252" s="1799"/>
      <c r="F252" s="617">
        <f>'exchange rates'!$O$57</f>
        <v>1066.97433</v>
      </c>
      <c r="G252" s="549">
        <v>0</v>
      </c>
      <c r="H252" s="550">
        <f>68780/F252</f>
        <v>64.462656753888353</v>
      </c>
      <c r="I252" s="551">
        <v>0</v>
      </c>
      <c r="J252" s="560">
        <v>0</v>
      </c>
      <c r="K252" s="566">
        <f>Tabel6689212734[[#This Row],[Fix.ch. 2017]]+Tabel6689212734[[#This Row],[Var. ch. 2017]]+Tabel6689212734[[#This Row],[Oth. ch. DW 2017]]+Tabel6689212734[[#This Row],[VAT DW 2017]]</f>
        <v>64.462656753888353</v>
      </c>
      <c r="L252" s="567">
        <v>0</v>
      </c>
      <c r="M252" s="560">
        <v>0</v>
      </c>
      <c r="N252" s="568">
        <v>0</v>
      </c>
      <c r="O252" s="560">
        <v>0</v>
      </c>
      <c r="P252" s="569">
        <v>0</v>
      </c>
      <c r="Q252" s="560">
        <v>0</v>
      </c>
      <c r="R252" s="570">
        <f>Tabel6689212734[[#This Row],[VAT DW 2017]]+Tabel6689212734[[#This Row],[VAT Sew. 2017]]+Tabel6689212734[[#This Row],[VAT WW 2017]]+Tabel6689212734[[#This Row],[VAT Other ch. 2017]]</f>
        <v>0</v>
      </c>
      <c r="S252" s="571">
        <f>Tabel6689212734[[#This Row],[Total. ch. DW 2017]]+Tabel6689212734[[#This Row],[Sew. 2017]]+Tabel6689212734[[#This Row],[VAT Sew. 2017]]+Tabel6689212734[[#This Row],[WW 2017]]+Tabel6689212734[[#This Row],[VAT WW 2017]]+Tabel6689212734[[#This Row],[Other ch. 2017]]+Tabel6689212734[[#This Row],[VAT Other ch. 2017]]</f>
        <v>64.462656753888353</v>
      </c>
      <c r="T252" s="397"/>
      <c r="U252" s="1801"/>
      <c r="V252" s="1803"/>
      <c r="W252" s="1805"/>
      <c r="X252" s="1773"/>
      <c r="Y252" s="1807"/>
      <c r="Z252" s="1809"/>
      <c r="AA252" s="1773"/>
      <c r="AB252" s="1782"/>
      <c r="AC252" s="1773"/>
      <c r="AD252" s="1786"/>
      <c r="AE252" s="1773"/>
      <c r="AF252" s="1789"/>
      <c r="AG252" s="1792"/>
      <c r="AH252" s="397"/>
      <c r="AI252" s="398"/>
      <c r="AJ252" s="398"/>
      <c r="AK252" s="398"/>
      <c r="AL252" s="591" t="s">
        <v>429</v>
      </c>
      <c r="AM252" s="398"/>
      <c r="AN252" s="398"/>
      <c r="AO252" s="398"/>
      <c r="AP252" s="397"/>
    </row>
    <row r="253" spans="1:42" ht="18" hidden="1" customHeight="1" x14ac:dyDescent="0.25">
      <c r="A253" s="1878" t="s">
        <v>26</v>
      </c>
      <c r="B253" s="638" t="s">
        <v>151</v>
      </c>
      <c r="C253" s="693"/>
      <c r="D253" s="806" t="s">
        <v>1133</v>
      </c>
      <c r="E253" s="1934">
        <v>38200</v>
      </c>
      <c r="F253" s="617">
        <f>'exchange rates'!$O$58</f>
        <v>0.83301000000000003</v>
      </c>
      <c r="G253" s="549">
        <v>0</v>
      </c>
      <c r="H253" s="550">
        <f>160.46/F253</f>
        <v>192.62673917479984</v>
      </c>
      <c r="I253" s="551">
        <v>0</v>
      </c>
      <c r="J253" s="560">
        <f>16.05/F253</f>
        <v>19.267475780602876</v>
      </c>
      <c r="K253" s="566">
        <f>Tabel6689212734[[#This Row],[Fix.ch. 2017]]+Tabel6689212734[[#This Row],[Var. ch. 2017]]+Tabel6689212734[[#This Row],[Oth. ch. DW 2017]]+Tabel6689212734[[#This Row],[VAT DW 2017]]</f>
        <v>211.8942149554027</v>
      </c>
      <c r="L253" s="567">
        <f>15.29/F253</f>
        <v>18.355121787253452</v>
      </c>
      <c r="M253" s="560">
        <f>1.53/F253</f>
        <v>1.8367126445060684</v>
      </c>
      <c r="N253" s="568">
        <f>48.63/F253</f>
        <v>58.378650916555628</v>
      </c>
      <c r="O253" s="560">
        <f>4.86/F253</f>
        <v>5.8342636943133934</v>
      </c>
      <c r="P253" s="569">
        <v>0</v>
      </c>
      <c r="Q253" s="560">
        <v>0</v>
      </c>
      <c r="R253" s="570">
        <f>Tabel6689212734[[#This Row],[VAT DW 2017]]+Tabel6689212734[[#This Row],[VAT Sew. 2017]]+Tabel6689212734[[#This Row],[VAT WW 2017]]+Tabel6689212734[[#This Row],[VAT Other ch. 2017]]</f>
        <v>26.938452119422337</v>
      </c>
      <c r="S253" s="571">
        <f>Tabel6689212734[[#This Row],[Total. ch. DW 2017]]+Tabel6689212734[[#This Row],[Sew. 2017]]+Tabel6689212734[[#This Row],[VAT Sew. 2017]]+Tabel6689212734[[#This Row],[WW 2017]]+Tabel6689212734[[#This Row],[VAT WW 2017]]+Tabel6689212734[[#This Row],[Other ch. 2017]]+Tabel6689212734[[#This Row],[VAT Other ch. 2017]]</f>
        <v>296.29896399803124</v>
      </c>
      <c r="T253" s="397"/>
      <c r="U253" s="1935">
        <f>MEDIAN(G253:G257)</f>
        <v>0</v>
      </c>
      <c r="V253" s="1936">
        <f>MEDIAN(H253:H257)</f>
        <v>125.11254366694277</v>
      </c>
      <c r="W253" s="1937">
        <f>MEDIAN(I253:I257)</f>
        <v>0</v>
      </c>
      <c r="X253" s="1771">
        <f>MEDIAN(J253:J257)</f>
        <v>12.508853435132831</v>
      </c>
      <c r="Y253" s="1939">
        <f>SUM(U253:X257)</f>
        <v>137.6213971020756</v>
      </c>
      <c r="Z253" s="1950">
        <f t="shared" ref="Z253:AF253" si="36">MEDIAN(L253:L257)</f>
        <v>20.840085953349899</v>
      </c>
      <c r="AA253" s="1771">
        <f t="shared" si="36"/>
        <v>2.0888104584578815</v>
      </c>
      <c r="AB253" s="1946">
        <f t="shared" si="36"/>
        <v>91.811622909688964</v>
      </c>
      <c r="AC253" s="1771">
        <f t="shared" si="36"/>
        <v>9.1835632225303421</v>
      </c>
      <c r="AD253" s="1947">
        <f t="shared" si="36"/>
        <v>0</v>
      </c>
      <c r="AE253" s="1771">
        <f t="shared" si="36"/>
        <v>0</v>
      </c>
      <c r="AF253" s="1944">
        <f t="shared" si="36"/>
        <v>24.249408770602994</v>
      </c>
      <c r="AG253" s="1945">
        <f>Y253+Z253+AA253+AB253+AC253+AD253+AE253</f>
        <v>261.54547964610271</v>
      </c>
      <c r="AH253" s="397"/>
      <c r="AI253" s="398"/>
      <c r="AJ253" s="398"/>
      <c r="AK253" s="398"/>
      <c r="AL253" s="591" t="s">
        <v>429</v>
      </c>
      <c r="AM253" s="591" t="s">
        <v>429</v>
      </c>
      <c r="AN253" s="614"/>
      <c r="AO253" s="398"/>
      <c r="AP253" s="430" t="s">
        <v>937</v>
      </c>
    </row>
    <row r="254" spans="1:42" ht="15.75" hidden="1" x14ac:dyDescent="0.25">
      <c r="A254" s="1757"/>
      <c r="B254" s="639" t="s">
        <v>152</v>
      </c>
      <c r="C254" s="639"/>
      <c r="D254" s="724" t="s">
        <v>1133</v>
      </c>
      <c r="E254" s="1760"/>
      <c r="F254" s="617">
        <f>'exchange rates'!$O$58</f>
        <v>0.83301000000000003</v>
      </c>
      <c r="G254" s="549">
        <v>0</v>
      </c>
      <c r="H254" s="550">
        <f>87.7/F254</f>
        <v>105.28084896940013</v>
      </c>
      <c r="I254" s="551">
        <v>0</v>
      </c>
      <c r="J254" s="560">
        <f>8.77/F254</f>
        <v>10.528084896940012</v>
      </c>
      <c r="K254" s="566">
        <f>Tabel6689212734[[#This Row],[Fix.ch. 2017]]+Tabel6689212734[[#This Row],[Var. ch. 2017]]+Tabel6689212734[[#This Row],[Oth. ch. DW 2017]]+Tabel6689212734[[#This Row],[VAT DW 2017]]</f>
        <v>115.80893386634014</v>
      </c>
      <c r="L254" s="567">
        <v>0</v>
      </c>
      <c r="M254" s="560">
        <v>0</v>
      </c>
      <c r="N254" s="568">
        <f>80.93/F254</f>
        <v>97.153695633905954</v>
      </c>
      <c r="O254" s="560">
        <f>8.09/F254</f>
        <v>9.7117681660484259</v>
      </c>
      <c r="P254" s="569">
        <v>0</v>
      </c>
      <c r="Q254" s="560">
        <v>0</v>
      </c>
      <c r="R254" s="570">
        <f>Tabel6689212734[[#This Row],[VAT DW 2017]]+Tabel6689212734[[#This Row],[VAT Sew. 2017]]+Tabel6689212734[[#This Row],[VAT WW 2017]]+Tabel6689212734[[#This Row],[VAT Other ch. 2017]]</f>
        <v>20.239853062988438</v>
      </c>
      <c r="S254" s="571">
        <f>Tabel6689212734[[#This Row],[Total. ch. DW 2017]]+Tabel6689212734[[#This Row],[Sew. 2017]]+Tabel6689212734[[#This Row],[VAT Sew. 2017]]+Tabel6689212734[[#This Row],[WW 2017]]+Tabel6689212734[[#This Row],[VAT WW 2017]]+Tabel6689212734[[#This Row],[Other ch. 2017]]+Tabel6689212734[[#This Row],[VAT Other ch. 2017]]</f>
        <v>222.67439766629451</v>
      </c>
      <c r="T254" s="397"/>
      <c r="U254" s="1763"/>
      <c r="V254" s="1766"/>
      <c r="W254" s="1769"/>
      <c r="X254" s="1772"/>
      <c r="Y254" s="1775"/>
      <c r="Z254" s="1778"/>
      <c r="AA254" s="1772"/>
      <c r="AB254" s="1781"/>
      <c r="AC254" s="1772"/>
      <c r="AD254" s="1785"/>
      <c r="AE254" s="1772"/>
      <c r="AF254" s="1788"/>
      <c r="AG254" s="1791"/>
      <c r="AH254" s="397"/>
      <c r="AI254" s="398"/>
      <c r="AJ254" s="398"/>
      <c r="AK254" s="398"/>
      <c r="AL254" s="591" t="s">
        <v>429</v>
      </c>
      <c r="AM254" s="591" t="s">
        <v>429</v>
      </c>
      <c r="AN254" s="591" t="s">
        <v>429</v>
      </c>
      <c r="AO254" s="398"/>
      <c r="AP254" s="430" t="s">
        <v>937</v>
      </c>
    </row>
    <row r="255" spans="1:42" ht="15.75" hidden="1" x14ac:dyDescent="0.25">
      <c r="A255" s="1757"/>
      <c r="B255" s="639" t="s">
        <v>153</v>
      </c>
      <c r="C255" s="639" t="s">
        <v>429</v>
      </c>
      <c r="D255" s="724" t="s">
        <v>1133</v>
      </c>
      <c r="E255" s="1760"/>
      <c r="F255" s="617">
        <f>'exchange rates'!$O$58</f>
        <v>0.83301000000000003</v>
      </c>
      <c r="G255" s="549">
        <v>0</v>
      </c>
      <c r="H255" s="550">
        <f>104.22/F255</f>
        <v>125.11254366694277</v>
      </c>
      <c r="I255" s="551">
        <v>0</v>
      </c>
      <c r="J255" s="560">
        <f>10.42/F255</f>
        <v>12.508853435132831</v>
      </c>
      <c r="K255" s="566">
        <f>Tabel6689212734[[#This Row],[Fix.ch. 2017]]+Tabel6689212734[[#This Row],[Var. ch. 2017]]+Tabel6689212734[[#This Row],[Oth. ch. DW 2017]]+Tabel6689212734[[#This Row],[VAT DW 2017]]</f>
        <v>137.6213971020756</v>
      </c>
      <c r="L255" s="567">
        <f>17.36/F255</f>
        <v>20.840085953349899</v>
      </c>
      <c r="M255" s="560">
        <f>1.74/F255</f>
        <v>2.0888104584578815</v>
      </c>
      <c r="N255" s="568">
        <f>49.97/F255</f>
        <v>59.987275062724336</v>
      </c>
      <c r="O255" s="560">
        <f>5/F255</f>
        <v>6.0023289036146021</v>
      </c>
      <c r="P255" s="569">
        <v>0</v>
      </c>
      <c r="Q255" s="560">
        <v>0</v>
      </c>
      <c r="R255" s="570">
        <f>Tabel6689212734[[#This Row],[VAT DW 2017]]+Tabel6689212734[[#This Row],[VAT Sew. 2017]]+Tabel6689212734[[#This Row],[VAT WW 2017]]+Tabel6689212734[[#This Row],[VAT Other ch. 2017]]</f>
        <v>20.599992797205317</v>
      </c>
      <c r="S255" s="571">
        <f>Tabel6689212734[[#This Row],[Total. ch. DW 2017]]+Tabel6689212734[[#This Row],[Sew. 2017]]+Tabel6689212734[[#This Row],[VAT Sew. 2017]]+Tabel6689212734[[#This Row],[WW 2017]]+Tabel6689212734[[#This Row],[VAT WW 2017]]+Tabel6689212734[[#This Row],[Other ch. 2017]]+Tabel6689212734[[#This Row],[VAT Other ch. 2017]]</f>
        <v>226.53989748022232</v>
      </c>
      <c r="T255" s="397"/>
      <c r="U255" s="1763"/>
      <c r="V255" s="1766"/>
      <c r="W255" s="1769"/>
      <c r="X255" s="1772"/>
      <c r="Y255" s="1775"/>
      <c r="Z255" s="1778"/>
      <c r="AA255" s="1772"/>
      <c r="AB255" s="1781"/>
      <c r="AC255" s="1772"/>
      <c r="AD255" s="1785"/>
      <c r="AE255" s="1772"/>
      <c r="AF255" s="1788"/>
      <c r="AG255" s="1791"/>
      <c r="AH255" s="397"/>
      <c r="AI255" s="398"/>
      <c r="AJ255" s="398"/>
      <c r="AK255" s="398"/>
      <c r="AL255" s="591" t="s">
        <v>429</v>
      </c>
      <c r="AM255" s="591" t="s">
        <v>429</v>
      </c>
      <c r="AN255" s="614"/>
      <c r="AO255" s="398"/>
      <c r="AP255" s="430" t="s">
        <v>937</v>
      </c>
    </row>
    <row r="256" spans="1:42" ht="15.75" hidden="1" x14ac:dyDescent="0.25">
      <c r="A256" s="1757"/>
      <c r="B256" s="639" t="s">
        <v>214</v>
      </c>
      <c r="C256" s="639"/>
      <c r="D256" s="724" t="s">
        <v>1133</v>
      </c>
      <c r="E256" s="1760"/>
      <c r="F256" s="617">
        <f>'exchange rates'!$O$58</f>
        <v>0.83301000000000003</v>
      </c>
      <c r="G256" s="549">
        <v>0</v>
      </c>
      <c r="H256" s="550">
        <f>87.25/F256</f>
        <v>104.74063936807481</v>
      </c>
      <c r="I256" s="551">
        <v>0</v>
      </c>
      <c r="J256" s="560">
        <f>8.73/F256</f>
        <v>10.480066265711097</v>
      </c>
      <c r="K256" s="566">
        <f>Tabel6689212734[[#This Row],[Fix.ch. 2017]]+Tabel6689212734[[#This Row],[Var. ch. 2017]]+Tabel6689212734[[#This Row],[Oth. ch. DW 2017]]+Tabel6689212734[[#This Row],[VAT DW 2017]]</f>
        <v>115.22070563378591</v>
      </c>
      <c r="L256" s="567">
        <f>38.21/F256</f>
        <v>45.869797481422793</v>
      </c>
      <c r="M256" s="560">
        <f>3.82/F256</f>
        <v>4.585779282361556</v>
      </c>
      <c r="N256" s="568">
        <f>76.48/F256</f>
        <v>91.811622909688964</v>
      </c>
      <c r="O256" s="560">
        <f>7.65/F256</f>
        <v>9.1835632225303421</v>
      </c>
      <c r="P256" s="569">
        <v>0</v>
      </c>
      <c r="Q256" s="560">
        <v>0</v>
      </c>
      <c r="R256" s="570">
        <f>Tabel6689212734[[#This Row],[VAT DW 2017]]+Tabel6689212734[[#This Row],[VAT Sew. 2017]]+Tabel6689212734[[#This Row],[VAT WW 2017]]+Tabel6689212734[[#This Row],[VAT Other ch. 2017]]</f>
        <v>24.249408770602994</v>
      </c>
      <c r="S256" s="571">
        <f>Tabel6689212734[[#This Row],[Total. ch. DW 2017]]+Tabel6689212734[[#This Row],[Sew. 2017]]+Tabel6689212734[[#This Row],[VAT Sew. 2017]]+Tabel6689212734[[#This Row],[WW 2017]]+Tabel6689212734[[#This Row],[VAT WW 2017]]+Tabel6689212734[[#This Row],[Other ch. 2017]]+Tabel6689212734[[#This Row],[VAT Other ch. 2017]]</f>
        <v>266.67146852978954</v>
      </c>
      <c r="T256" s="397"/>
      <c r="U256" s="1763"/>
      <c r="V256" s="1766"/>
      <c r="W256" s="1769"/>
      <c r="X256" s="1772"/>
      <c r="Y256" s="1775"/>
      <c r="Z256" s="1778"/>
      <c r="AA256" s="1772"/>
      <c r="AB256" s="1781"/>
      <c r="AC256" s="1772"/>
      <c r="AD256" s="1785"/>
      <c r="AE256" s="1772"/>
      <c r="AF256" s="1788"/>
      <c r="AG256" s="1791"/>
      <c r="AH256" s="397"/>
      <c r="AI256" s="398"/>
      <c r="AJ256" s="398"/>
      <c r="AK256" s="398"/>
      <c r="AL256" s="591" t="s">
        <v>429</v>
      </c>
      <c r="AM256" s="591" t="s">
        <v>429</v>
      </c>
      <c r="AN256" s="614"/>
      <c r="AO256" s="398"/>
      <c r="AP256" s="430" t="s">
        <v>937</v>
      </c>
    </row>
    <row r="257" spans="1:42" ht="16.5" hidden="1" thickBot="1" x14ac:dyDescent="0.3">
      <c r="A257" s="1758"/>
      <c r="B257" s="640" t="s">
        <v>154</v>
      </c>
      <c r="C257" s="652"/>
      <c r="D257" s="807" t="s">
        <v>1133</v>
      </c>
      <c r="E257" s="1799"/>
      <c r="F257" s="617">
        <f>'exchange rates'!$O$58</f>
        <v>0.83301000000000003</v>
      </c>
      <c r="G257" s="549">
        <v>0</v>
      </c>
      <c r="H257" s="550">
        <f>127.74/F257</f>
        <v>153.34749882954586</v>
      </c>
      <c r="I257" s="551">
        <v>0</v>
      </c>
      <c r="J257" s="560">
        <f>12.77/F257</f>
        <v>15.329948019831694</v>
      </c>
      <c r="K257" s="566">
        <f>Tabel6689212734[[#This Row],[Fix.ch. 2017]]+Tabel6689212734[[#This Row],[Var. ch. 2017]]+Tabel6689212734[[#This Row],[Oth. ch. DW 2017]]+Tabel6689212734[[#This Row],[VAT DW 2017]]</f>
        <v>168.67744684937756</v>
      </c>
      <c r="L257" s="567">
        <f>30.29/F257</f>
        <v>36.362108498097257</v>
      </c>
      <c r="M257" s="560">
        <f>3.03/F257</f>
        <v>3.6374113155904486</v>
      </c>
      <c r="N257" s="568">
        <f>88.93/F257</f>
        <v>106.75742187968932</v>
      </c>
      <c r="O257" s="560">
        <f>8.89/F257</f>
        <v>10.672140790626763</v>
      </c>
      <c r="P257" s="569">
        <v>0</v>
      </c>
      <c r="Q257" s="560">
        <v>0</v>
      </c>
      <c r="R257" s="570">
        <f>Tabel6689212734[[#This Row],[VAT DW 2017]]+Tabel6689212734[[#This Row],[VAT Sew. 2017]]+Tabel6689212734[[#This Row],[VAT WW 2017]]+Tabel6689212734[[#This Row],[VAT Other ch. 2017]]</f>
        <v>29.639500126048905</v>
      </c>
      <c r="S257" s="571">
        <f>Tabel6689212734[[#This Row],[Total. ch. DW 2017]]+Tabel6689212734[[#This Row],[Sew. 2017]]+Tabel6689212734[[#This Row],[VAT Sew. 2017]]+Tabel6689212734[[#This Row],[WW 2017]]+Tabel6689212734[[#This Row],[VAT WW 2017]]+Tabel6689212734[[#This Row],[Other ch. 2017]]+Tabel6689212734[[#This Row],[VAT Other ch. 2017]]</f>
        <v>326.10652933338133</v>
      </c>
      <c r="T257" s="397"/>
      <c r="U257" s="1801"/>
      <c r="V257" s="1803"/>
      <c r="W257" s="1805"/>
      <c r="X257" s="1773"/>
      <c r="Y257" s="1807"/>
      <c r="Z257" s="1809"/>
      <c r="AA257" s="1773"/>
      <c r="AB257" s="1782"/>
      <c r="AC257" s="1773"/>
      <c r="AD257" s="1786"/>
      <c r="AE257" s="1773"/>
      <c r="AF257" s="1789"/>
      <c r="AG257" s="1792"/>
      <c r="AH257" s="397"/>
      <c r="AI257" s="398"/>
      <c r="AJ257" s="396"/>
      <c r="AK257" s="396"/>
      <c r="AL257" s="591" t="s">
        <v>429</v>
      </c>
      <c r="AM257" s="591" t="s">
        <v>429</v>
      </c>
      <c r="AN257" s="614"/>
      <c r="AO257" s="398"/>
      <c r="AP257" s="430" t="s">
        <v>937</v>
      </c>
    </row>
    <row r="258" spans="1:42" ht="15.75" hidden="1" customHeight="1" x14ac:dyDescent="0.25">
      <c r="A258" s="1878" t="s">
        <v>48</v>
      </c>
      <c r="B258" s="638" t="s">
        <v>155</v>
      </c>
      <c r="C258" s="693" t="s">
        <v>429</v>
      </c>
      <c r="D258" s="806" t="s">
        <v>1135</v>
      </c>
      <c r="E258" s="1934">
        <v>51300</v>
      </c>
      <c r="F258" s="617">
        <f>'exchange rates'!$O$59</f>
        <v>8.1602899999999998</v>
      </c>
      <c r="G258" s="549">
        <f>1683/F258</f>
        <v>206.24267029725661</v>
      </c>
      <c r="H258" s="550">
        <f>365/F258</f>
        <v>44.728802530302232</v>
      </c>
      <c r="I258" s="551">
        <f>0</f>
        <v>0</v>
      </c>
      <c r="J258" s="560">
        <f>512/F258</f>
        <v>62.74286820688971</v>
      </c>
      <c r="K258" s="566">
        <f>Tabel6689212734[[#This Row],[Fix.ch. 2017]]+Tabel6689212734[[#This Row],[Var. ch. 2017]]+Tabel6689212734[[#This Row],[Oth. ch. DW 2017]]+Tabel6689212734[[#This Row],[VAT DW 2017]]</f>
        <v>313.71434103444858</v>
      </c>
      <c r="L258" s="567">
        <f>325/F258</f>
        <v>39.827015951638977</v>
      </c>
      <c r="M258" s="560">
        <f>81.25/F258</f>
        <v>9.9567539879097442</v>
      </c>
      <c r="N258" s="568">
        <v>0</v>
      </c>
      <c r="O258" s="560">
        <v>0</v>
      </c>
      <c r="P258" s="569">
        <v>0</v>
      </c>
      <c r="Q258" s="560">
        <v>0</v>
      </c>
      <c r="R258" s="570">
        <f>Tabel6689212734[[#This Row],[VAT DW 2017]]+Tabel6689212734[[#This Row],[VAT Sew. 2017]]+Tabel6689212734[[#This Row],[VAT WW 2017]]+Tabel6689212734[[#This Row],[VAT Other ch. 2017]]</f>
        <v>72.69962219479946</v>
      </c>
      <c r="S258" s="571">
        <f>Tabel6689212734[[#This Row],[Total. ch. DW 2017]]+Tabel6689212734[[#This Row],[Sew. 2017]]+Tabel6689212734[[#This Row],[VAT Sew. 2017]]+Tabel6689212734[[#This Row],[WW 2017]]+Tabel6689212734[[#This Row],[VAT WW 2017]]+Tabel6689212734[[#This Row],[Other ch. 2017]]+Tabel6689212734[[#This Row],[VAT Other ch. 2017]]</f>
        <v>363.49811097399731</v>
      </c>
      <c r="T258" s="397"/>
      <c r="U258" s="1824">
        <f>MEDIAN(G258:G262)</f>
        <v>206.24267029725661</v>
      </c>
      <c r="V258" s="1825">
        <f t="shared" ref="V258:X258" si="37">MEDIAN(H258:H262)</f>
        <v>77.815861936279234</v>
      </c>
      <c r="W258" s="1826">
        <f t="shared" si="37"/>
        <v>0</v>
      </c>
      <c r="X258" s="1908">
        <f t="shared" si="37"/>
        <v>65.46948699127114</v>
      </c>
      <c r="Y258" s="1827">
        <f>SUM(U258:X262)</f>
        <v>349.528019224807</v>
      </c>
      <c r="Z258" s="1828">
        <f t="shared" ref="Z258:AF258" si="38">MEDIAN(L258:L262)</f>
        <v>90.805596369736861</v>
      </c>
      <c r="AA258" s="1908">
        <f t="shared" si="38"/>
        <v>22.701399092434215</v>
      </c>
      <c r="AB258" s="1829">
        <f t="shared" si="38"/>
        <v>0</v>
      </c>
      <c r="AC258" s="1908">
        <f t="shared" si="38"/>
        <v>0</v>
      </c>
      <c r="AD258" s="1830">
        <f t="shared" si="38"/>
        <v>0</v>
      </c>
      <c r="AE258" s="1908">
        <f t="shared" si="38"/>
        <v>0</v>
      </c>
      <c r="AF258" s="1816">
        <f t="shared" si="38"/>
        <v>94.604480968200889</v>
      </c>
      <c r="AG258" s="1817">
        <f>Y258+Z258+AA258+AB258+AC258+AD258+AE258</f>
        <v>463.03501468697806</v>
      </c>
      <c r="AH258" s="397"/>
      <c r="AI258" s="398"/>
      <c r="AJ258" s="591" t="s">
        <v>429</v>
      </c>
      <c r="AK258" s="591"/>
      <c r="AL258" s="396"/>
      <c r="AM258" s="591" t="s">
        <v>429</v>
      </c>
      <c r="AN258" s="396"/>
      <c r="AO258" s="398"/>
      <c r="AP258" s="397"/>
    </row>
    <row r="259" spans="1:42" ht="15.75" hidden="1" customHeight="1" x14ac:dyDescent="0.25">
      <c r="A259" s="1757"/>
      <c r="B259" s="639" t="s">
        <v>156</v>
      </c>
      <c r="C259" s="639"/>
      <c r="D259" s="724" t="s">
        <v>1135</v>
      </c>
      <c r="E259" s="1967"/>
      <c r="F259" s="617">
        <f>'exchange rates'!$O$59</f>
        <v>8.1602899999999998</v>
      </c>
      <c r="G259" s="549">
        <f>2443/F259</f>
        <v>299.37661529185851</v>
      </c>
      <c r="H259" s="550">
        <f>719/F259</f>
        <v>88.109613751472068</v>
      </c>
      <c r="I259" s="551">
        <v>0</v>
      </c>
      <c r="J259" s="560">
        <f>790.5/F259</f>
        <v>96.871557260832645</v>
      </c>
      <c r="K259" s="566">
        <f>Tabel6689212734[[#This Row],[Fix.ch. 2017]]+Tabel6689212734[[#This Row],[Var. ch. 2017]]+Tabel6689212734[[#This Row],[Oth. ch. DW 2017]]+Tabel6689212734[[#This Row],[VAT DW 2017]]</f>
        <v>484.35778630416326</v>
      </c>
      <c r="L259" s="567">
        <f>741/F259</f>
        <v>90.805596369736861</v>
      </c>
      <c r="M259" s="560">
        <f>185.25/F259</f>
        <v>22.701399092434215</v>
      </c>
      <c r="N259" s="568">
        <v>0</v>
      </c>
      <c r="O259" s="560">
        <v>0</v>
      </c>
      <c r="P259" s="569">
        <v>0</v>
      </c>
      <c r="Q259" s="560">
        <v>0</v>
      </c>
      <c r="R259" s="570">
        <f>Tabel6689212734[[#This Row],[VAT DW 2017]]+Tabel6689212734[[#This Row],[VAT Sew. 2017]]+Tabel6689212734[[#This Row],[VAT WW 2017]]+Tabel6689212734[[#This Row],[VAT Other ch. 2017]]</f>
        <v>119.57295635326686</v>
      </c>
      <c r="S259" s="571">
        <f>Tabel6689212734[[#This Row],[Total. ch. DW 2017]]+Tabel6689212734[[#This Row],[Sew. 2017]]+Tabel6689212734[[#This Row],[VAT Sew. 2017]]+Tabel6689212734[[#This Row],[WW 2017]]+Tabel6689212734[[#This Row],[VAT WW 2017]]+Tabel6689212734[[#This Row],[Other ch. 2017]]+Tabel6689212734[[#This Row],[VAT Other ch. 2017]]</f>
        <v>597.86478176633432</v>
      </c>
      <c r="T259" s="397"/>
      <c r="U259" s="1763"/>
      <c r="V259" s="1766"/>
      <c r="W259" s="1769"/>
      <c r="X259" s="1772"/>
      <c r="Y259" s="1775"/>
      <c r="Z259" s="1778"/>
      <c r="AA259" s="1772"/>
      <c r="AB259" s="1781"/>
      <c r="AC259" s="1772"/>
      <c r="AD259" s="1785"/>
      <c r="AE259" s="1772"/>
      <c r="AF259" s="1788"/>
      <c r="AG259" s="1791"/>
      <c r="AH259" s="397"/>
      <c r="AI259" s="398"/>
      <c r="AJ259" s="591" t="s">
        <v>429</v>
      </c>
      <c r="AK259" s="591"/>
      <c r="AL259" s="396"/>
      <c r="AM259" s="591" t="s">
        <v>429</v>
      </c>
      <c r="AN259" s="396"/>
      <c r="AO259" s="398"/>
      <c r="AP259" s="397"/>
    </row>
    <row r="260" spans="1:42" ht="15.75" hidden="1" customHeight="1" x14ac:dyDescent="0.25">
      <c r="A260" s="1757"/>
      <c r="B260" s="639" t="s">
        <v>157</v>
      </c>
      <c r="C260" s="639"/>
      <c r="D260" s="724" t="s">
        <v>1135</v>
      </c>
      <c r="E260" s="1967"/>
      <c r="F260" s="617">
        <f>'exchange rates'!$O$59</f>
        <v>8.1602899999999998</v>
      </c>
      <c r="G260" s="549">
        <f>1653/F260</f>
        <v>202.56633036325914</v>
      </c>
      <c r="H260" s="550">
        <f>484/F260</f>
        <v>59.311617601825425</v>
      </c>
      <c r="I260" s="551">
        <v>0</v>
      </c>
      <c r="J260" s="560">
        <f>534.25/F260</f>
        <v>65.46948699127114</v>
      </c>
      <c r="K260" s="566">
        <f>Tabel6689212734[[#This Row],[Fix.ch. 2017]]+Tabel6689212734[[#This Row],[Var. ch. 2017]]+Tabel6689212734[[#This Row],[Oth. ch. DW 2017]]+Tabel6689212734[[#This Row],[VAT DW 2017]]</f>
        <v>327.3474349563557</v>
      </c>
      <c r="L260" s="567">
        <f>514/F260</f>
        <v>62.987957535822872</v>
      </c>
      <c r="M260" s="560">
        <f>128.5/F260</f>
        <v>15.746989383955718</v>
      </c>
      <c r="N260" s="568">
        <v>0</v>
      </c>
      <c r="O260" s="560">
        <v>0</v>
      </c>
      <c r="P260" s="569">
        <v>0</v>
      </c>
      <c r="Q260" s="560">
        <v>0</v>
      </c>
      <c r="R260" s="570">
        <f>Tabel6689212734[[#This Row],[VAT DW 2017]]+Tabel6689212734[[#This Row],[VAT Sew. 2017]]+Tabel6689212734[[#This Row],[VAT WW 2017]]+Tabel6689212734[[#This Row],[VAT Other ch. 2017]]</f>
        <v>81.216476375226861</v>
      </c>
      <c r="S260" s="571">
        <f>Tabel6689212734[[#This Row],[Total. ch. DW 2017]]+Tabel6689212734[[#This Row],[Sew. 2017]]+Tabel6689212734[[#This Row],[VAT Sew. 2017]]+Tabel6689212734[[#This Row],[WW 2017]]+Tabel6689212734[[#This Row],[VAT WW 2017]]+Tabel6689212734[[#This Row],[Other ch. 2017]]+Tabel6689212734[[#This Row],[VAT Other ch. 2017]]</f>
        <v>406.08238187613432</v>
      </c>
      <c r="T260" s="397"/>
      <c r="U260" s="1763"/>
      <c r="V260" s="1766"/>
      <c r="W260" s="1769"/>
      <c r="X260" s="1772"/>
      <c r="Y260" s="1775"/>
      <c r="Z260" s="1778"/>
      <c r="AA260" s="1772"/>
      <c r="AB260" s="1781"/>
      <c r="AC260" s="1772"/>
      <c r="AD260" s="1785"/>
      <c r="AE260" s="1772"/>
      <c r="AF260" s="1788"/>
      <c r="AG260" s="1791"/>
      <c r="AH260" s="397"/>
      <c r="AI260" s="398"/>
      <c r="AJ260" s="591" t="s">
        <v>429</v>
      </c>
      <c r="AK260" s="591"/>
      <c r="AL260" s="396"/>
      <c r="AM260" s="591" t="s">
        <v>429</v>
      </c>
      <c r="AN260" s="396"/>
      <c r="AO260" s="398"/>
      <c r="AP260" s="397"/>
    </row>
    <row r="261" spans="1:42" ht="15.75" hidden="1" customHeight="1" x14ac:dyDescent="0.25">
      <c r="A261" s="1757"/>
      <c r="B261" s="639" t="s">
        <v>158</v>
      </c>
      <c r="C261" s="639"/>
      <c r="D261" s="724" t="s">
        <v>1135</v>
      </c>
      <c r="E261" s="1967"/>
      <c r="F261" s="617">
        <f>'exchange rates'!$O$59</f>
        <v>8.1602899999999998</v>
      </c>
      <c r="G261" s="549">
        <f>0</f>
        <v>0</v>
      </c>
      <c r="H261" s="550">
        <f>1235/F261</f>
        <v>151.3426606162281</v>
      </c>
      <c r="I261" s="551">
        <v>0</v>
      </c>
      <c r="J261" s="560">
        <f>308.75/F261</f>
        <v>37.835665154057025</v>
      </c>
      <c r="K261" s="566">
        <f>Tabel6689212734[[#This Row],[Fix.ch. 2017]]+Tabel6689212734[[#This Row],[Var. ch. 2017]]+Tabel6689212734[[#This Row],[Oth. ch. DW 2017]]+Tabel6689212734[[#This Row],[VAT DW 2017]]</f>
        <v>189.17832577028514</v>
      </c>
      <c r="L261" s="567">
        <f>1853/F261</f>
        <v>227.07526325657545</v>
      </c>
      <c r="M261" s="560">
        <f>463.25/F261</f>
        <v>56.768815814143863</v>
      </c>
      <c r="N261" s="568">
        <v>0</v>
      </c>
      <c r="O261" s="560">
        <v>0</v>
      </c>
      <c r="P261" s="569">
        <v>0</v>
      </c>
      <c r="Q261" s="560">
        <v>0</v>
      </c>
      <c r="R261" s="570">
        <f>Tabel6689212734[[#This Row],[VAT DW 2017]]+Tabel6689212734[[#This Row],[VAT Sew. 2017]]+Tabel6689212734[[#This Row],[VAT WW 2017]]+Tabel6689212734[[#This Row],[VAT Other ch. 2017]]</f>
        <v>94.604480968200889</v>
      </c>
      <c r="S261" s="571">
        <f>Tabel6689212734[[#This Row],[Total. ch. DW 2017]]+Tabel6689212734[[#This Row],[Sew. 2017]]+Tabel6689212734[[#This Row],[VAT Sew. 2017]]+Tabel6689212734[[#This Row],[WW 2017]]+Tabel6689212734[[#This Row],[VAT WW 2017]]+Tabel6689212734[[#This Row],[Other ch. 2017]]+Tabel6689212734[[#This Row],[VAT Other ch. 2017]]</f>
        <v>473.02240484100446</v>
      </c>
      <c r="T261" s="397"/>
      <c r="U261" s="1763"/>
      <c r="V261" s="1766"/>
      <c r="W261" s="1769"/>
      <c r="X261" s="1772"/>
      <c r="Y261" s="1775"/>
      <c r="Z261" s="1778"/>
      <c r="AA261" s="1772"/>
      <c r="AB261" s="1781"/>
      <c r="AC261" s="1772"/>
      <c r="AD261" s="1785"/>
      <c r="AE261" s="1772"/>
      <c r="AF261" s="1788"/>
      <c r="AG261" s="1791"/>
      <c r="AH261" s="397"/>
      <c r="AI261" s="398"/>
      <c r="AJ261" s="591" t="s">
        <v>429</v>
      </c>
      <c r="AK261" s="591"/>
      <c r="AL261" s="396"/>
      <c r="AM261" s="591"/>
      <c r="AN261" s="396"/>
      <c r="AO261" s="398"/>
      <c r="AP261" s="397"/>
    </row>
    <row r="262" spans="1:42" ht="16.5" hidden="1" customHeight="1" thickBot="1" x14ac:dyDescent="0.3">
      <c r="A262" s="1758"/>
      <c r="B262" s="640" t="s">
        <v>159</v>
      </c>
      <c r="C262" s="652"/>
      <c r="D262" s="807" t="s">
        <v>1135</v>
      </c>
      <c r="E262" s="1799"/>
      <c r="F262" s="617">
        <f>'exchange rates'!$O$59</f>
        <v>8.1602899999999998</v>
      </c>
      <c r="G262" s="549">
        <f>2330/F262</f>
        <v>285.5290682071348</v>
      </c>
      <c r="H262" s="550">
        <f>635/F262</f>
        <v>77.815861936279234</v>
      </c>
      <c r="I262" s="551">
        <v>0</v>
      </c>
      <c r="J262" s="560">
        <f>741.25/F262</f>
        <v>90.836232535853512</v>
      </c>
      <c r="K262" s="566">
        <f>Tabel6689212734[[#This Row],[Fix.ch. 2017]]+Tabel6689212734[[#This Row],[Var. ch. 2017]]+Tabel6689212734[[#This Row],[Oth. ch. DW 2017]]+Tabel6689212734[[#This Row],[VAT DW 2017]]</f>
        <v>454.18116267926757</v>
      </c>
      <c r="L262" s="567">
        <f>855/F262</f>
        <v>104.77568811892715</v>
      </c>
      <c r="M262" s="560">
        <f>213.75/F262</f>
        <v>26.193922029731787</v>
      </c>
      <c r="N262" s="568">
        <v>0</v>
      </c>
      <c r="O262" s="560">
        <v>0</v>
      </c>
      <c r="P262" s="569">
        <v>0</v>
      </c>
      <c r="Q262" s="560">
        <v>0</v>
      </c>
      <c r="R262" s="570">
        <f>Tabel6689212734[[#This Row],[VAT DW 2017]]+Tabel6689212734[[#This Row],[VAT Sew. 2017]]+Tabel6689212734[[#This Row],[VAT WW 2017]]+Tabel6689212734[[#This Row],[VAT Other ch. 2017]]</f>
        <v>117.03015456558529</v>
      </c>
      <c r="S262" s="571">
        <f>Tabel6689212734[[#This Row],[Total. ch. DW 2017]]+Tabel6689212734[[#This Row],[Sew. 2017]]+Tabel6689212734[[#This Row],[VAT Sew. 2017]]+Tabel6689212734[[#This Row],[WW 2017]]+Tabel6689212734[[#This Row],[VAT WW 2017]]+Tabel6689212734[[#This Row],[Other ch. 2017]]+Tabel6689212734[[#This Row],[VAT Other ch. 2017]]</f>
        <v>585.15077282792652</v>
      </c>
      <c r="T262" s="397"/>
      <c r="U262" s="2182"/>
      <c r="V262" s="2183"/>
      <c r="W262" s="2184"/>
      <c r="X262" s="1773"/>
      <c r="Y262" s="2168"/>
      <c r="Z262" s="2169"/>
      <c r="AA262" s="1773"/>
      <c r="AB262" s="2179"/>
      <c r="AC262" s="1773"/>
      <c r="AD262" s="2180"/>
      <c r="AE262" s="1773"/>
      <c r="AF262" s="2181"/>
      <c r="AG262" s="2174"/>
      <c r="AH262" s="397"/>
      <c r="AI262" s="398"/>
      <c r="AJ262" s="591" t="s">
        <v>429</v>
      </c>
      <c r="AK262" s="591"/>
      <c r="AL262" s="396"/>
      <c r="AM262" s="591" t="s">
        <v>429</v>
      </c>
      <c r="AN262" s="396"/>
      <c r="AO262" s="398"/>
      <c r="AP262" s="397"/>
    </row>
    <row r="263" spans="1:42" ht="18" hidden="1" customHeight="1" x14ac:dyDescent="0.25">
      <c r="A263" s="1818" t="s">
        <v>28</v>
      </c>
      <c r="B263" s="547" t="s">
        <v>160</v>
      </c>
      <c r="C263" s="1046"/>
      <c r="D263" s="802" t="s">
        <v>1137</v>
      </c>
      <c r="E263" s="1966">
        <v>61400</v>
      </c>
      <c r="F263" s="617">
        <f>'exchange rates'!$O$60</f>
        <v>0.97441999999999995</v>
      </c>
      <c r="G263" s="549">
        <f>112/F263</f>
        <v>114.94016953675008</v>
      </c>
      <c r="H263" s="550">
        <f>108/F263</f>
        <v>110.83516348186615</v>
      </c>
      <c r="I263" s="551">
        <v>0</v>
      </c>
      <c r="J263" s="560">
        <f>17.6/F263</f>
        <v>18.0620266414893</v>
      </c>
      <c r="K263" s="566">
        <f>Tabel6689212734[[#This Row],[Fix.ch. 2017]]+Tabel6689212734[[#This Row],[Var. ch. 2017]]+Tabel6689212734[[#This Row],[Oth. ch. DW 2017]]+Tabel6689212734[[#This Row],[VAT DW 2017]]</f>
        <v>243.83735966010551</v>
      </c>
      <c r="L263" s="567">
        <f>265/F263</f>
        <v>271.95665113606043</v>
      </c>
      <c r="M263" s="560">
        <f>6.63/F263</f>
        <v>6.804047535970116</v>
      </c>
      <c r="N263" s="568">
        <v>0</v>
      </c>
      <c r="O263" s="560">
        <v>0</v>
      </c>
      <c r="P263" s="569">
        <v>0</v>
      </c>
      <c r="Q263" s="560">
        <v>0</v>
      </c>
      <c r="R263" s="570">
        <f>Tabel6689212734[[#This Row],[VAT DW 2017]]+Tabel6689212734[[#This Row],[VAT Sew. 2017]]+Tabel6689212734[[#This Row],[VAT WW 2017]]+Tabel6689212734[[#This Row],[VAT Other ch. 2017]]</f>
        <v>24.866074177459417</v>
      </c>
      <c r="S263" s="571">
        <f>Tabel6689212734[[#This Row],[Total. ch. DW 2017]]+Tabel6689212734[[#This Row],[Sew. 2017]]+Tabel6689212734[[#This Row],[VAT Sew. 2017]]+Tabel6689212734[[#This Row],[WW 2017]]+Tabel6689212734[[#This Row],[VAT WW 2017]]+Tabel6689212734[[#This Row],[Other ch. 2017]]+Tabel6689212734[[#This Row],[VAT Other ch. 2017]]</f>
        <v>522.59805833213602</v>
      </c>
      <c r="T263" s="397"/>
      <c r="U263" s="1968">
        <f>MEDIAN(G263:G267)</f>
        <v>71.837605960468792</v>
      </c>
      <c r="V263" s="1971">
        <f>MEDIAN(H263:H267)</f>
        <v>197.04029063442869</v>
      </c>
      <c r="W263" s="2175">
        <f>MEDIAN(I263:I267)</f>
        <v>0</v>
      </c>
      <c r="X263" s="2178">
        <f>MEDIAN(J263:J267)</f>
        <v>19.12932821575912</v>
      </c>
      <c r="Y263" s="1939">
        <f>SUM(U263:X267)</f>
        <v>288.00722481065662</v>
      </c>
      <c r="Z263" s="1980">
        <f t="shared" ref="Z263:AF263" si="39">MEDIAN(L263:L267)</f>
        <v>262.54592475523901</v>
      </c>
      <c r="AA263" s="1938">
        <f t="shared" si="39"/>
        <v>6.56800968781429</v>
      </c>
      <c r="AB263" s="1954">
        <f t="shared" si="39"/>
        <v>0</v>
      </c>
      <c r="AC263" s="1938">
        <f t="shared" si="39"/>
        <v>0</v>
      </c>
      <c r="AD263" s="1957">
        <f t="shared" si="39"/>
        <v>0</v>
      </c>
      <c r="AE263" s="1938">
        <f t="shared" si="39"/>
        <v>0</v>
      </c>
      <c r="AF263" s="1960">
        <f t="shared" si="39"/>
        <v>25.286837298085018</v>
      </c>
      <c r="AG263" s="2171">
        <f>Y263+Z263+AA263+AB263+AC263+AD263+AE263</f>
        <v>557.12115925370995</v>
      </c>
      <c r="AH263" s="397"/>
      <c r="AI263" s="398"/>
      <c r="AJ263" s="591" t="s">
        <v>429</v>
      </c>
      <c r="AK263" s="614"/>
      <c r="AL263" s="614"/>
      <c r="AM263" s="591" t="s">
        <v>429</v>
      </c>
      <c r="AN263" s="398"/>
      <c r="AO263" s="398"/>
      <c r="AP263" s="397"/>
    </row>
    <row r="264" spans="1:42" ht="15.75" hidden="1" x14ac:dyDescent="0.25">
      <c r="A264" s="1819"/>
      <c r="B264" s="547" t="s">
        <v>603</v>
      </c>
      <c r="C264" s="1046"/>
      <c r="D264" s="802" t="s">
        <v>1137</v>
      </c>
      <c r="E264" s="1967"/>
      <c r="F264" s="617">
        <f>'exchange rates'!$O$60</f>
        <v>0.97441999999999995</v>
      </c>
      <c r="G264" s="549">
        <f>136/F264</f>
        <v>139.57020586605367</v>
      </c>
      <c r="H264" s="550">
        <f>192/F264</f>
        <v>197.04029063442869</v>
      </c>
      <c r="I264" s="551">
        <v>0</v>
      </c>
      <c r="J264" s="560">
        <f>26.24/F264</f>
        <v>26.928839720038585</v>
      </c>
      <c r="K264" s="566">
        <f>Tabel6689212734[[#This Row],[Fix.ch. 2017]]+Tabel6689212734[[#This Row],[Var. ch. 2017]]+Tabel6689212734[[#This Row],[Oth. ch. DW 2017]]+Tabel6689212734[[#This Row],[VAT DW 2017]]</f>
        <v>363.53933622052091</v>
      </c>
      <c r="L264" s="567">
        <f>291.62/F264</f>
        <v>299.27546643131302</v>
      </c>
      <c r="M264" s="560">
        <f>7.29/F264</f>
        <v>7.4813735350259645</v>
      </c>
      <c r="N264" s="568">
        <v>0</v>
      </c>
      <c r="O264" s="560">
        <v>0</v>
      </c>
      <c r="P264" s="569">
        <v>0</v>
      </c>
      <c r="Q264" s="560">
        <v>0</v>
      </c>
      <c r="R264" s="570">
        <f>Tabel6689212734[[#This Row],[VAT DW 2017]]+Tabel6689212734[[#This Row],[VAT Sew. 2017]]+Tabel6689212734[[#This Row],[VAT WW 2017]]+Tabel6689212734[[#This Row],[VAT Other ch. 2017]]</f>
        <v>34.410213255064548</v>
      </c>
      <c r="S264" s="571">
        <f>Tabel6689212734[[#This Row],[Total. ch. DW 2017]]+Tabel6689212734[[#This Row],[Sew. 2017]]+Tabel6689212734[[#This Row],[VAT Sew. 2017]]+Tabel6689212734[[#This Row],[WW 2017]]+Tabel6689212734[[#This Row],[VAT WW 2017]]+Tabel6689212734[[#This Row],[Other ch. 2017]]+Tabel6689212734[[#This Row],[VAT Other ch. 2017]]</f>
        <v>670.29617618685984</v>
      </c>
      <c r="T264" s="397"/>
      <c r="U264" s="1969"/>
      <c r="V264" s="1972"/>
      <c r="W264" s="2176"/>
      <c r="X264" s="2103"/>
      <c r="Y264" s="1775"/>
      <c r="Z264" s="1981"/>
      <c r="AA264" s="1772"/>
      <c r="AB264" s="2170"/>
      <c r="AC264" s="1772"/>
      <c r="AD264" s="1958"/>
      <c r="AE264" s="1772"/>
      <c r="AF264" s="1961"/>
      <c r="AG264" s="2172"/>
      <c r="AH264" s="397"/>
      <c r="AI264" s="398"/>
      <c r="AJ264" s="591" t="s">
        <v>429</v>
      </c>
      <c r="AK264" s="614"/>
      <c r="AL264" s="614"/>
      <c r="AM264" s="591" t="s">
        <v>429</v>
      </c>
      <c r="AN264" s="398"/>
      <c r="AO264" s="398"/>
      <c r="AP264" s="397"/>
    </row>
    <row r="265" spans="1:42" ht="15.75" hidden="1" x14ac:dyDescent="0.25">
      <c r="A265" s="1819"/>
      <c r="B265" s="547" t="s">
        <v>162</v>
      </c>
      <c r="C265" s="1046"/>
      <c r="D265" s="802" t="s">
        <v>1137</v>
      </c>
      <c r="E265" s="1967"/>
      <c r="F265" s="617">
        <f>'exchange rates'!$O$60</f>
        <v>0.97441999999999995</v>
      </c>
      <c r="G265" s="549">
        <f>70/F265</f>
        <v>71.837605960468792</v>
      </c>
      <c r="H265" s="550">
        <f>146/F265</f>
        <v>149.83272100326349</v>
      </c>
      <c r="I265" s="551">
        <v>0</v>
      </c>
      <c r="J265" s="560">
        <f>17.28/F265</f>
        <v>17.733626157098584</v>
      </c>
      <c r="K265" s="566">
        <f>Tabel6689212734[[#This Row],[Fix.ch. 2017]]+Tabel6689212734[[#This Row],[Var. ch. 2017]]+Tabel6689212734[[#This Row],[Oth. ch. DW 2017]]+Tabel6689212734[[#This Row],[VAT DW 2017]]</f>
        <v>239.40395312083086</v>
      </c>
      <c r="L265" s="567">
        <f>120/F265</f>
        <v>123.15018164651794</v>
      </c>
      <c r="M265" s="560">
        <f>3/F265</f>
        <v>3.0787545411629482</v>
      </c>
      <c r="N265" s="568">
        <v>0</v>
      </c>
      <c r="O265" s="560">
        <v>0</v>
      </c>
      <c r="P265" s="569">
        <v>0</v>
      </c>
      <c r="Q265" s="560">
        <v>0</v>
      </c>
      <c r="R265" s="570">
        <f>Tabel6689212734[[#This Row],[VAT DW 2017]]+Tabel6689212734[[#This Row],[VAT Sew. 2017]]+Tabel6689212734[[#This Row],[VAT WW 2017]]+Tabel6689212734[[#This Row],[VAT Other ch. 2017]]</f>
        <v>20.812380698261531</v>
      </c>
      <c r="S265" s="571">
        <f>Tabel6689212734[[#This Row],[Total. ch. DW 2017]]+Tabel6689212734[[#This Row],[Sew. 2017]]+Tabel6689212734[[#This Row],[VAT Sew. 2017]]+Tabel6689212734[[#This Row],[WW 2017]]+Tabel6689212734[[#This Row],[VAT WW 2017]]+Tabel6689212734[[#This Row],[Other ch. 2017]]+Tabel6689212734[[#This Row],[VAT Other ch. 2017]]</f>
        <v>365.63288930851172</v>
      </c>
      <c r="T265" s="397"/>
      <c r="U265" s="1969"/>
      <c r="V265" s="1972"/>
      <c r="W265" s="2176"/>
      <c r="X265" s="2103"/>
      <c r="Y265" s="1775"/>
      <c r="Z265" s="1981"/>
      <c r="AA265" s="1772"/>
      <c r="AB265" s="2170"/>
      <c r="AC265" s="1772"/>
      <c r="AD265" s="1958"/>
      <c r="AE265" s="1772"/>
      <c r="AF265" s="1961"/>
      <c r="AG265" s="2172"/>
      <c r="AH265" s="397"/>
      <c r="AI265" s="398"/>
      <c r="AJ265" s="591" t="s">
        <v>429</v>
      </c>
      <c r="AK265" s="614"/>
      <c r="AL265" s="614"/>
      <c r="AM265" s="591" t="s">
        <v>429</v>
      </c>
      <c r="AN265" s="398"/>
      <c r="AO265" s="398"/>
      <c r="AP265" s="397"/>
    </row>
    <row r="266" spans="1:42" ht="15.75" hidden="1" x14ac:dyDescent="0.25">
      <c r="A266" s="1819"/>
      <c r="B266" s="547" t="s">
        <v>161</v>
      </c>
      <c r="C266" s="1046"/>
      <c r="D266" s="802" t="s">
        <v>1137</v>
      </c>
      <c r="E266" s="1967"/>
      <c r="F266" s="617">
        <f>'exchange rates'!$O$60</f>
        <v>0.97441999999999995</v>
      </c>
      <c r="G266" s="549">
        <f>28/F266</f>
        <v>28.735042384187519</v>
      </c>
      <c r="H266" s="550">
        <f>205/F266</f>
        <v>210.38156031280147</v>
      </c>
      <c r="I266" s="551">
        <v>0</v>
      </c>
      <c r="J266" s="560">
        <f>18.64/F266</f>
        <v>19.12932821575912</v>
      </c>
      <c r="K266" s="566">
        <f>Tabel6689212734[[#This Row],[Fix.ch. 2017]]+Tabel6689212734[[#This Row],[Var. ch. 2017]]+Tabel6689212734[[#This Row],[Oth. ch. DW 2017]]+Tabel6689212734[[#This Row],[VAT DW 2017]]</f>
        <v>258.24593091274812</v>
      </c>
      <c r="L266" s="567">
        <f>240/F266</f>
        <v>246.30036329303587</v>
      </c>
      <c r="M266" s="560">
        <f>6/F266</f>
        <v>6.1575090823258964</v>
      </c>
      <c r="N266" s="568">
        <v>0</v>
      </c>
      <c r="O266" s="560">
        <v>0</v>
      </c>
      <c r="P266" s="569">
        <v>0</v>
      </c>
      <c r="Q266" s="560">
        <v>0</v>
      </c>
      <c r="R266" s="570">
        <f>Tabel6689212734[[#This Row],[VAT DW 2017]]+Tabel6689212734[[#This Row],[VAT Sew. 2017]]+Tabel6689212734[[#This Row],[VAT WW 2017]]+Tabel6689212734[[#This Row],[VAT Other ch. 2017]]</f>
        <v>25.286837298085018</v>
      </c>
      <c r="S266" s="571">
        <f>Tabel6689212734[[#This Row],[Total. ch. DW 2017]]+Tabel6689212734[[#This Row],[Sew. 2017]]+Tabel6689212734[[#This Row],[VAT Sew. 2017]]+Tabel6689212734[[#This Row],[WW 2017]]+Tabel6689212734[[#This Row],[VAT WW 2017]]+Tabel6689212734[[#This Row],[Other ch. 2017]]+Tabel6689212734[[#This Row],[VAT Other ch. 2017]]</f>
        <v>510.70380328810984</v>
      </c>
      <c r="T266" s="397"/>
      <c r="U266" s="1969"/>
      <c r="V266" s="1972"/>
      <c r="W266" s="2176"/>
      <c r="X266" s="2103"/>
      <c r="Y266" s="1775"/>
      <c r="Z266" s="1981"/>
      <c r="AA266" s="1772"/>
      <c r="AB266" s="2170"/>
      <c r="AC266" s="1772"/>
      <c r="AD266" s="1958"/>
      <c r="AE266" s="1772"/>
      <c r="AF266" s="1961"/>
      <c r="AG266" s="2172"/>
      <c r="AH266" s="397"/>
      <c r="AI266" s="398"/>
      <c r="AJ266" s="591" t="s">
        <v>429</v>
      </c>
      <c r="AK266" s="614"/>
      <c r="AL266" s="614"/>
      <c r="AM266" s="591" t="s">
        <v>429</v>
      </c>
      <c r="AN266" s="398"/>
      <c r="AO266" s="398"/>
      <c r="AP266" s="397"/>
    </row>
    <row r="267" spans="1:42" ht="16.5" hidden="1" thickBot="1" x14ac:dyDescent="0.3">
      <c r="A267" s="1820"/>
      <c r="B267" s="613" t="s">
        <v>163</v>
      </c>
      <c r="C267" s="1046" t="s">
        <v>429</v>
      </c>
      <c r="D267" s="802" t="s">
        <v>1137</v>
      </c>
      <c r="E267" s="1799"/>
      <c r="F267" s="617">
        <f>'exchange rates'!$O$60</f>
        <v>0.97441999999999995</v>
      </c>
      <c r="G267" s="549">
        <f>54/F267</f>
        <v>55.417581740933073</v>
      </c>
      <c r="H267" s="550">
        <f>232/F267</f>
        <v>238.09035118326801</v>
      </c>
      <c r="I267" s="551">
        <v>0</v>
      </c>
      <c r="J267" s="560">
        <f>22.88/F267</f>
        <v>23.480634633936084</v>
      </c>
      <c r="K267" s="566">
        <f>Tabel6689212734[[#This Row],[Fix.ch. 2017]]+Tabel6689212734[[#This Row],[Var. ch. 2017]]+Tabel6689212734[[#This Row],[Oth. ch. DW 2017]]+Tabel6689212734[[#This Row],[VAT DW 2017]]</f>
        <v>316.98856755813716</v>
      </c>
      <c r="L267" s="567">
        <f>255.83/F267</f>
        <v>262.54592475523901</v>
      </c>
      <c r="M267" s="560">
        <f>6.4/F267</f>
        <v>6.56800968781429</v>
      </c>
      <c r="N267" s="568">
        <v>0</v>
      </c>
      <c r="O267" s="560">
        <v>0</v>
      </c>
      <c r="P267" s="569">
        <v>0</v>
      </c>
      <c r="Q267" s="560">
        <v>0</v>
      </c>
      <c r="R267" s="570">
        <f>Tabel6689212734[[#This Row],[VAT DW 2017]]+Tabel6689212734[[#This Row],[VAT Sew. 2017]]+Tabel6689212734[[#This Row],[VAT WW 2017]]+Tabel6689212734[[#This Row],[VAT Other ch. 2017]]</f>
        <v>30.048644321750373</v>
      </c>
      <c r="S267" s="571">
        <f>Tabel6689212734[[#This Row],[Total. ch. DW 2017]]+Tabel6689212734[[#This Row],[Sew. 2017]]+Tabel6689212734[[#This Row],[VAT Sew. 2017]]+Tabel6689212734[[#This Row],[WW 2017]]+Tabel6689212734[[#This Row],[VAT WW 2017]]+Tabel6689212734[[#This Row],[Other ch. 2017]]+Tabel6689212734[[#This Row],[VAT Other ch. 2017]]</f>
        <v>586.10250200119049</v>
      </c>
      <c r="T267" s="397"/>
      <c r="U267" s="1801"/>
      <c r="V267" s="1803"/>
      <c r="W267" s="2177"/>
      <c r="X267" s="2104"/>
      <c r="Y267" s="1807"/>
      <c r="Z267" s="1809"/>
      <c r="AA267" s="1773"/>
      <c r="AB267" s="1865"/>
      <c r="AC267" s="1773"/>
      <c r="AD267" s="1786"/>
      <c r="AE267" s="1773"/>
      <c r="AF267" s="1789"/>
      <c r="AG267" s="2173"/>
      <c r="AH267" s="397"/>
      <c r="AI267" s="398"/>
      <c r="AJ267" s="591" t="s">
        <v>429</v>
      </c>
      <c r="AK267" s="614"/>
      <c r="AL267" s="614"/>
      <c r="AM267" s="591" t="s">
        <v>429</v>
      </c>
      <c r="AN267" s="398"/>
      <c r="AO267" s="398"/>
      <c r="AP267" s="397"/>
    </row>
    <row r="268" spans="1:42" ht="19.5" hidden="1" thickBot="1" x14ac:dyDescent="0.3">
      <c r="A268" s="962" t="s">
        <v>706</v>
      </c>
      <c r="B268" s="455" t="s">
        <v>708</v>
      </c>
      <c r="C268" s="1048"/>
      <c r="D268" s="811" t="s">
        <v>1139</v>
      </c>
      <c r="E268" s="589">
        <v>3000</v>
      </c>
      <c r="F268" s="307">
        <f>'exchange rates'!M61</f>
        <v>2171.8366799999999</v>
      </c>
      <c r="G268" s="319"/>
      <c r="H268" s="320"/>
      <c r="I268" s="321"/>
      <c r="J268" s="559"/>
      <c r="K268" s="313">
        <f>Tabel6689212734[[#This Row],[Fix.ch. 2017]]+Tabel6689212734[[#This Row],[Var. ch. 2017]]+Tabel6689212734[[#This Row],[Oth. ch. DW 2017]]+Tabel6689212734[[#This Row],[VAT DW 2017]]</f>
        <v>0</v>
      </c>
      <c r="L268" s="322"/>
      <c r="M268" s="559"/>
      <c r="N268" s="323"/>
      <c r="O268" s="559"/>
      <c r="P268" s="324"/>
      <c r="Q268" s="559"/>
      <c r="R268" s="317">
        <f>Tabel6689212734[[#This Row],[VAT DW 2017]]+Tabel6689212734[[#This Row],[VAT Sew. 2017]]+Tabel6689212734[[#This Row],[VAT WW 2017]]+Tabel6689212734[[#This Row],[VAT Other ch. 2017]]</f>
        <v>0</v>
      </c>
      <c r="S268" s="318">
        <f>Tabel6689212734[[#This Row],[Total. ch. DW 2017]]+Tabel6689212734[[#This Row],[Sew. 2017]]+Tabel6689212734[[#This Row],[VAT Sew. 2017]]+Tabel6689212734[[#This Row],[WW 2017]]+Tabel6689212734[[#This Row],[VAT WW 2017]]+Tabel6689212734[[#This Row],[Other ch. 2017]]+Tabel6689212734[[#This Row],[VAT Other ch. 2017]]</f>
        <v>0</v>
      </c>
      <c r="T268" s="397"/>
      <c r="U268" s="340"/>
      <c r="V268" s="341"/>
      <c r="W268" s="401"/>
      <c r="X268" s="580"/>
      <c r="Y268" s="343"/>
      <c r="Z268" s="344"/>
      <c r="AA268" s="581"/>
      <c r="AB268" s="514"/>
      <c r="AC268" s="592"/>
      <c r="AD268" s="346"/>
      <c r="AE268" s="581"/>
      <c r="AF268" s="347"/>
      <c r="AG268" s="515"/>
      <c r="AH268" s="397"/>
      <c r="AI268" s="398"/>
      <c r="AJ268" s="396"/>
      <c r="AK268" s="398"/>
      <c r="AL268" s="398"/>
      <c r="AM268" s="396"/>
      <c r="AN268" s="398"/>
      <c r="AO268" s="398"/>
      <c r="AP268" s="397"/>
    </row>
    <row r="269" spans="1:42" ht="19.5" hidden="1" thickBot="1" x14ac:dyDescent="0.3">
      <c r="A269" s="962" t="s">
        <v>737</v>
      </c>
      <c r="B269" s="292" t="s">
        <v>738</v>
      </c>
      <c r="C269" s="1047"/>
      <c r="D269" s="811" t="s">
        <v>1141</v>
      </c>
      <c r="E269" s="589">
        <v>16100</v>
      </c>
      <c r="F269" s="307">
        <f>'exchange rates'!M62</f>
        <v>36.151380000000003</v>
      </c>
      <c r="G269" s="319"/>
      <c r="H269" s="320"/>
      <c r="I269" s="321"/>
      <c r="J269" s="559"/>
      <c r="K269" s="313">
        <f>Tabel6689212734[[#This Row],[Fix.ch. 2017]]+Tabel6689212734[[#This Row],[Var. ch. 2017]]+Tabel6689212734[[#This Row],[Oth. ch. DW 2017]]+Tabel6689212734[[#This Row],[VAT DW 2017]]</f>
        <v>0</v>
      </c>
      <c r="L269" s="322"/>
      <c r="M269" s="559"/>
      <c r="N269" s="323">
        <f>(3.358*200)/F269</f>
        <v>18.577437431157538</v>
      </c>
      <c r="O269" s="559"/>
      <c r="P269" s="324"/>
      <c r="Q269" s="559"/>
      <c r="R269" s="317">
        <f>Tabel6689212734[[#This Row],[VAT DW 2017]]+Tabel6689212734[[#This Row],[VAT Sew. 2017]]+Tabel6689212734[[#This Row],[VAT WW 2017]]+Tabel6689212734[[#This Row],[VAT Other ch. 2017]]</f>
        <v>0</v>
      </c>
      <c r="S269" s="318">
        <f>Tabel6689212734[[#This Row],[Total. ch. DW 2017]]+Tabel6689212734[[#This Row],[Sew. 2017]]+Tabel6689212734[[#This Row],[VAT Sew. 2017]]+Tabel6689212734[[#This Row],[WW 2017]]+Tabel6689212734[[#This Row],[VAT WW 2017]]+Tabel6689212734[[#This Row],[Other ch. 2017]]+Tabel6689212734[[#This Row],[VAT Other ch. 2017]]</f>
        <v>18.577437431157538</v>
      </c>
      <c r="T269" s="397"/>
      <c r="U269" s="340"/>
      <c r="V269" s="341"/>
      <c r="W269" s="401"/>
      <c r="X269" s="580"/>
      <c r="Y269" s="343">
        <f>Tabel6689212734[[#This Row],[Total. ch. DW 2017]]</f>
        <v>0</v>
      </c>
      <c r="Z269" s="344"/>
      <c r="AA269" s="581"/>
      <c r="AB269" s="345">
        <f>Tabel6689212734[[#This Row],[WW 2017]]</f>
        <v>18.577437431157538</v>
      </c>
      <c r="AC269" s="581"/>
      <c r="AD269" s="346"/>
      <c r="AE269" s="581"/>
      <c r="AF269" s="347"/>
      <c r="AG269" s="516">
        <f>SUM(Y269:AF269)</f>
        <v>18.577437431157538</v>
      </c>
      <c r="AH269" s="397"/>
      <c r="AI269" s="398"/>
      <c r="AJ269" s="396"/>
      <c r="AK269" s="396" t="s">
        <v>429</v>
      </c>
      <c r="AL269" s="398"/>
      <c r="AM269" s="396" t="s">
        <v>429</v>
      </c>
      <c r="AN269" s="398"/>
      <c r="AO269" s="398"/>
      <c r="AP269" s="397"/>
    </row>
    <row r="270" spans="1:42" ht="16.5" hidden="1" thickBot="1" x14ac:dyDescent="0.3">
      <c r="A270" s="267" t="s">
        <v>29</v>
      </c>
      <c r="B270" s="455" t="s">
        <v>164</v>
      </c>
      <c r="C270" s="1048"/>
      <c r="D270" s="811" t="s">
        <v>1143</v>
      </c>
      <c r="E270" s="304"/>
      <c r="F270" s="307"/>
      <c r="G270" s="319"/>
      <c r="H270" s="320"/>
      <c r="I270" s="321"/>
      <c r="J270" s="559"/>
      <c r="K270" s="313">
        <f>Tabel6689212734[[#This Row],[Fix.ch. 2017]]+Tabel6689212734[[#This Row],[Var. ch. 2017]]+Tabel6689212734[[#This Row],[Oth. ch. DW 2017]]+Tabel6689212734[[#This Row],[VAT DW 2017]]</f>
        <v>0</v>
      </c>
      <c r="L270" s="322"/>
      <c r="M270" s="559"/>
      <c r="N270" s="323"/>
      <c r="O270" s="559"/>
      <c r="P270" s="324"/>
      <c r="Q270" s="559"/>
      <c r="R270" s="317">
        <f>Tabel6689212734[[#This Row],[VAT DW 2017]]+Tabel6689212734[[#This Row],[VAT Sew. 2017]]+Tabel6689212734[[#This Row],[VAT WW 2017]]+Tabel6689212734[[#This Row],[VAT Other ch. 2017]]</f>
        <v>0</v>
      </c>
      <c r="S270" s="318">
        <f>Tabel6689212734[[#This Row],[Total. ch. DW 2017]]+Tabel6689212734[[#This Row],[Sew. 2017]]+Tabel6689212734[[#This Row],[VAT Sew. 2017]]+Tabel6689212734[[#This Row],[WW 2017]]+Tabel6689212734[[#This Row],[VAT WW 2017]]+Tabel6689212734[[#This Row],[Other ch. 2017]]+Tabel6689212734[[#This Row],[VAT Other ch. 2017]]</f>
        <v>0</v>
      </c>
      <c r="T270" s="397"/>
      <c r="U270" s="376"/>
      <c r="V270" s="377"/>
      <c r="W270" s="378"/>
      <c r="X270" s="588"/>
      <c r="Y270" s="379"/>
      <c r="Z270" s="380"/>
      <c r="AA270" s="588"/>
      <c r="AB270" s="381"/>
      <c r="AC270" s="588"/>
      <c r="AD270" s="382"/>
      <c r="AE270" s="588"/>
      <c r="AF270" s="383"/>
      <c r="AG270" s="384"/>
      <c r="AH270" s="397"/>
      <c r="AI270" s="398"/>
      <c r="AJ270" s="398"/>
      <c r="AK270" s="398"/>
      <c r="AL270" s="398"/>
      <c r="AM270" s="398"/>
      <c r="AN270" s="398"/>
      <c r="AO270" s="398"/>
      <c r="AP270" s="397"/>
    </row>
    <row r="271" spans="1:42" ht="15.75" hidden="1" x14ac:dyDescent="0.25">
      <c r="A271" s="1878" t="s">
        <v>927</v>
      </c>
      <c r="B271" s="693" t="s">
        <v>928</v>
      </c>
      <c r="C271" s="693" t="s">
        <v>429</v>
      </c>
      <c r="D271" s="806" t="s">
        <v>1145</v>
      </c>
      <c r="E271" s="1759">
        <v>26500</v>
      </c>
      <c r="F271" s="617">
        <f>'exchange rates'!$O$64</f>
        <v>3.7947000000000002</v>
      </c>
      <c r="G271" s="549">
        <f>442/F271</f>
        <v>116.47824597464884</v>
      </c>
      <c r="H271" s="550">
        <v>0</v>
      </c>
      <c r="I271" s="551">
        <v>0</v>
      </c>
      <c r="J271" s="560">
        <f>35.36/F271</f>
        <v>9.3182596779719074</v>
      </c>
      <c r="K271" s="566">
        <f>Tabel6689212734[[#This Row],[Fix.ch. 2017]]+Tabel6689212734[[#This Row],[Var. ch. 2017]]+Tabel6689212734[[#This Row],[Oth. ch. DW 2017]]+Tabel6689212734[[#This Row],[VAT DW 2017]]</f>
        <v>125.79650565262075</v>
      </c>
      <c r="L271" s="567">
        <v>0</v>
      </c>
      <c r="M271" s="560">
        <v>0</v>
      </c>
      <c r="N271" s="568">
        <f>221/F271</f>
        <v>58.239122987324421</v>
      </c>
      <c r="O271" s="560">
        <f>17.68/F271</f>
        <v>4.6591298389859537</v>
      </c>
      <c r="P271" s="569">
        <f>24/F271</f>
        <v>6.3246106411574035</v>
      </c>
      <c r="Q271" s="560">
        <v>0</v>
      </c>
      <c r="R271" s="570">
        <f>Tabel6689212734[[#This Row],[VAT DW 2017]]+Tabel6689212734[[#This Row],[VAT Sew. 2017]]+Tabel6689212734[[#This Row],[VAT WW 2017]]+Tabel6689212734[[#This Row],[VAT Other ch. 2017]]</f>
        <v>13.97738951695786</v>
      </c>
      <c r="S271" s="571">
        <f>Tabel6689212734[[#This Row],[Total. ch. DW 2017]]+Tabel6689212734[[#This Row],[Sew. 2017]]+Tabel6689212734[[#This Row],[VAT Sew. 2017]]+Tabel6689212734[[#This Row],[WW 2017]]+Tabel6689212734[[#This Row],[VAT WW 2017]]+Tabel6689212734[[#This Row],[Other ch. 2017]]+Tabel6689212734[[#This Row],[VAT Other ch. 2017]]</f>
        <v>195.01936912008853</v>
      </c>
      <c r="T271" s="397"/>
      <c r="U271" s="1762">
        <f xml:space="preserve"> MEDIAN(G271:G273)</f>
        <v>116.47824597464884</v>
      </c>
      <c r="V271" s="1765">
        <f xml:space="preserve"> MEDIAN(H271:H273)</f>
        <v>0</v>
      </c>
      <c r="W271" s="1768">
        <f xml:space="preserve"> MEDIAN(I271:I273)</f>
        <v>0</v>
      </c>
      <c r="X271" s="1771">
        <f xml:space="preserve"> MEDIAN(J271:J273)</f>
        <v>9.3182596779719074</v>
      </c>
      <c r="Y271" s="1774">
        <f>SUM(U271:X273)</f>
        <v>125.79650565262075</v>
      </c>
      <c r="Z271" s="1777">
        <f t="shared" ref="Z271:AF271" si="40" xml:space="preserve"> MEDIAN(L271:L273)</f>
        <v>0</v>
      </c>
      <c r="AA271" s="1771">
        <f t="shared" si="40"/>
        <v>0</v>
      </c>
      <c r="AB271" s="1810">
        <f t="shared" si="40"/>
        <v>49.279257912351433</v>
      </c>
      <c r="AC271" s="1771">
        <f t="shared" si="40"/>
        <v>3.942340632988115</v>
      </c>
      <c r="AD271" s="1812">
        <f t="shared" si="40"/>
        <v>6.3246106411574035</v>
      </c>
      <c r="AE271" s="1771">
        <f t="shared" si="40"/>
        <v>0</v>
      </c>
      <c r="AF271" s="1814">
        <f t="shared" si="40"/>
        <v>12.670303317785331</v>
      </c>
      <c r="AG271" s="1793">
        <f>Y271+Z271+AA271+AB271+AC271+AD271+AE271</f>
        <v>185.34271483911769</v>
      </c>
      <c r="AH271" s="397"/>
      <c r="AI271" s="398"/>
      <c r="AJ271" s="398"/>
      <c r="AK271" s="398"/>
      <c r="AL271" s="398"/>
      <c r="AM271" s="398"/>
      <c r="AN271" s="398"/>
      <c r="AO271" s="398"/>
      <c r="AP271" s="397"/>
    </row>
    <row r="272" spans="1:42" ht="15.75" hidden="1" x14ac:dyDescent="0.25">
      <c r="A272" s="1757"/>
      <c r="B272" s="639" t="s">
        <v>929</v>
      </c>
      <c r="C272" s="639"/>
      <c r="D272" s="724" t="s">
        <v>1145</v>
      </c>
      <c r="E272" s="1760"/>
      <c r="F272" s="617">
        <f>'exchange rates'!$O$64</f>
        <v>3.7947000000000002</v>
      </c>
      <c r="G272" s="549">
        <f>445/F272</f>
        <v>117.26882230479352</v>
      </c>
      <c r="H272" s="550">
        <v>0</v>
      </c>
      <c r="I272" s="551">
        <f>(4.47*12)/F272</f>
        <v>14.135504782986796</v>
      </c>
      <c r="J272" s="560">
        <f>35.6/F272</f>
        <v>9.3815057843834815</v>
      </c>
      <c r="K272" s="566">
        <f>Tabel6689212734[[#This Row],[Fix.ch. 2017]]+Tabel6689212734[[#This Row],[Var. ch. 2017]]+Tabel6689212734[[#This Row],[Oth. ch. DW 2017]]+Tabel6689212734[[#This Row],[VAT DW 2017]]</f>
        <v>140.78583287216378</v>
      </c>
      <c r="L272" s="567">
        <v>0</v>
      </c>
      <c r="M272" s="560">
        <v>0</v>
      </c>
      <c r="N272" s="568">
        <f>156/F272</f>
        <v>41.109969167523126</v>
      </c>
      <c r="O272" s="560">
        <f>12.48/F272</f>
        <v>3.28879753340185</v>
      </c>
      <c r="P272" s="569">
        <f t="shared" ref="P272:P273" si="41">24/F272</f>
        <v>6.3246106411574035</v>
      </c>
      <c r="Q272" s="560">
        <v>0</v>
      </c>
      <c r="R272" s="570">
        <f>Tabel6689212734[[#This Row],[VAT DW 2017]]+Tabel6689212734[[#This Row],[VAT Sew. 2017]]+Tabel6689212734[[#This Row],[VAT WW 2017]]+Tabel6689212734[[#This Row],[VAT Other ch. 2017]]</f>
        <v>12.670303317785331</v>
      </c>
      <c r="S272" s="571">
        <f>Tabel6689212734[[#This Row],[Total. ch. DW 2017]]+Tabel6689212734[[#This Row],[Sew. 2017]]+Tabel6689212734[[#This Row],[VAT Sew. 2017]]+Tabel6689212734[[#This Row],[WW 2017]]+Tabel6689212734[[#This Row],[VAT WW 2017]]+Tabel6689212734[[#This Row],[Other ch. 2017]]+Tabel6689212734[[#This Row],[VAT Other ch. 2017]]</f>
        <v>191.50921021424617</v>
      </c>
      <c r="T272" s="397"/>
      <c r="U272" s="1763"/>
      <c r="V272" s="1766"/>
      <c r="W272" s="1769"/>
      <c r="X272" s="1772"/>
      <c r="Y272" s="1775"/>
      <c r="Z272" s="1778"/>
      <c r="AA272" s="1772"/>
      <c r="AB272" s="1781"/>
      <c r="AC272" s="1772"/>
      <c r="AD272" s="1785"/>
      <c r="AE272" s="1772"/>
      <c r="AF272" s="1788"/>
      <c r="AG272" s="1791"/>
      <c r="AH272" s="397"/>
      <c r="AI272" s="398"/>
      <c r="AJ272" s="398"/>
      <c r="AK272" s="398"/>
      <c r="AL272" s="591" t="s">
        <v>429</v>
      </c>
      <c r="AM272" s="591" t="s">
        <v>429</v>
      </c>
      <c r="AN272" s="398"/>
      <c r="AO272" s="398"/>
      <c r="AP272" s="397"/>
    </row>
    <row r="273" spans="1:42" ht="16.5" hidden="1" thickBot="1" x14ac:dyDescent="0.3">
      <c r="A273" s="1758"/>
      <c r="B273" s="652" t="s">
        <v>930</v>
      </c>
      <c r="C273" s="652"/>
      <c r="D273" s="807" t="s">
        <v>1145</v>
      </c>
      <c r="E273" s="1761"/>
      <c r="F273" s="617">
        <f>'exchange rates'!$O$64</f>
        <v>3.7947000000000002</v>
      </c>
      <c r="G273" s="549">
        <f>229/F273</f>
        <v>60.34732653437689</v>
      </c>
      <c r="H273" s="550">
        <v>0</v>
      </c>
      <c r="I273" s="551">
        <v>0</v>
      </c>
      <c r="J273" s="560">
        <f>18.32/F273</f>
        <v>4.8277861227501511</v>
      </c>
      <c r="K273" s="566">
        <f>Tabel6689212734[[#This Row],[Fix.ch. 2017]]+Tabel6689212734[[#This Row],[Var. ch. 2017]]+Tabel6689212734[[#This Row],[Oth. ch. DW 2017]]+Tabel6689212734[[#This Row],[VAT DW 2017]]</f>
        <v>65.175112657127045</v>
      </c>
      <c r="L273" s="567">
        <v>0</v>
      </c>
      <c r="M273" s="560">
        <v>0</v>
      </c>
      <c r="N273" s="568">
        <f>187/F273</f>
        <v>49.279257912351433</v>
      </c>
      <c r="O273" s="560">
        <f>14.96/F273</f>
        <v>3.942340632988115</v>
      </c>
      <c r="P273" s="569">
        <f t="shared" si="41"/>
        <v>6.3246106411574035</v>
      </c>
      <c r="Q273" s="560">
        <v>0</v>
      </c>
      <c r="R273" s="570">
        <f>Tabel6689212734[[#This Row],[VAT DW 2017]]+Tabel6689212734[[#This Row],[VAT Sew. 2017]]+Tabel6689212734[[#This Row],[VAT WW 2017]]+Tabel6689212734[[#This Row],[VAT Other ch. 2017]]</f>
        <v>8.7701267557382661</v>
      </c>
      <c r="S273" s="571">
        <f>Tabel6689212734[[#This Row],[Total. ch. DW 2017]]+Tabel6689212734[[#This Row],[Sew. 2017]]+Tabel6689212734[[#This Row],[VAT Sew. 2017]]+Tabel6689212734[[#This Row],[WW 2017]]+Tabel6689212734[[#This Row],[VAT WW 2017]]+Tabel6689212734[[#This Row],[Other ch. 2017]]+Tabel6689212734[[#This Row],[VAT Other ch. 2017]]</f>
        <v>124.721321843624</v>
      </c>
      <c r="T273" s="397"/>
      <c r="U273" s="1764"/>
      <c r="V273" s="1767"/>
      <c r="W273" s="1770"/>
      <c r="X273" s="1773"/>
      <c r="Y273" s="1776"/>
      <c r="Z273" s="1779"/>
      <c r="AA273" s="1773"/>
      <c r="AB273" s="1811"/>
      <c r="AC273" s="1773"/>
      <c r="AD273" s="1813"/>
      <c r="AE273" s="1773"/>
      <c r="AF273" s="1815"/>
      <c r="AG273" s="1794"/>
      <c r="AH273" s="397"/>
      <c r="AI273" s="398"/>
      <c r="AJ273" s="398"/>
      <c r="AK273" s="398"/>
      <c r="AL273" s="398"/>
      <c r="AM273" s="398"/>
      <c r="AN273" s="398"/>
      <c r="AO273" s="398"/>
      <c r="AP273" s="397"/>
    </row>
    <row r="274" spans="1:42" ht="18" hidden="1" customHeight="1" x14ac:dyDescent="0.25">
      <c r="A274" s="1878" t="s">
        <v>505</v>
      </c>
      <c r="B274" s="690" t="s">
        <v>746</v>
      </c>
      <c r="C274" s="693" t="s">
        <v>429</v>
      </c>
      <c r="D274" s="806" t="s">
        <v>1147</v>
      </c>
      <c r="E274" s="2185">
        <v>2400</v>
      </c>
      <c r="F274" s="617">
        <f>'exchange rates'!$O$65</f>
        <v>3628.4174400000002</v>
      </c>
      <c r="G274" s="549">
        <f>18000/F274</f>
        <v>4.9608404483911857</v>
      </c>
      <c r="H274" s="550">
        <f>319900/F274</f>
        <v>88.165158857796683</v>
      </c>
      <c r="I274" s="551">
        <v>0</v>
      </c>
      <c r="J274" s="560">
        <f>57582/F274</f>
        <v>15.869728594403403</v>
      </c>
      <c r="K274" s="566">
        <f>Tabel6689212734[[#This Row],[Fix.ch. 2017]]+Tabel6689212734[[#This Row],[Var. ch. 2017]]+Tabel6689212734[[#This Row],[Oth. ch. DW 2017]]+Tabel6689212734[[#This Row],[VAT DW 2017]]</f>
        <v>108.99572790059126</v>
      </c>
      <c r="L274" s="567">
        <f>239925/F274</f>
        <v>66.12386914334752</v>
      </c>
      <c r="M274" s="560">
        <f>43187/F274</f>
        <v>11.90243424692612</v>
      </c>
      <c r="N274" s="568">
        <v>0</v>
      </c>
      <c r="O274" s="560">
        <v>0</v>
      </c>
      <c r="P274" s="569">
        <v>0</v>
      </c>
      <c r="Q274" s="560">
        <v>0</v>
      </c>
      <c r="R274" s="570">
        <f>Tabel6689212734[[#This Row],[VAT DW 2017]]+Tabel6689212734[[#This Row],[VAT Sew. 2017]]+Tabel6689212734[[#This Row],[VAT WW 2017]]+Tabel6689212734[[#This Row],[VAT Other ch. 2017]]</f>
        <v>27.772162841329525</v>
      </c>
      <c r="S274" s="571">
        <f>Tabel6689212734[[#This Row],[Total. ch. DW 2017]]+Tabel6689212734[[#This Row],[Sew. 2017]]+Tabel6689212734[[#This Row],[VAT Sew. 2017]]+Tabel6689212734[[#This Row],[WW 2017]]+Tabel6689212734[[#This Row],[VAT WW 2017]]+Tabel6689212734[[#This Row],[Other ch. 2017]]+Tabel6689212734[[#This Row],[VAT Other ch. 2017]]</f>
        <v>187.0220312908649</v>
      </c>
      <c r="T274" s="397"/>
      <c r="U274" s="1984">
        <f>MEDIAN(G274:G277)</f>
        <v>4.9608404483911857</v>
      </c>
      <c r="V274" s="1985">
        <f>MEDIAN(H274:H277)</f>
        <v>88.165158857796683</v>
      </c>
      <c r="W274" s="1986">
        <f>MEDIAN(I274:I277)</f>
        <v>0</v>
      </c>
      <c r="X274" s="1908">
        <f>MEDIAN(J274:J277)</f>
        <v>15.869728594403403</v>
      </c>
      <c r="Y274" s="1987">
        <f>SUM(U274:X277)</f>
        <v>108.99572790059126</v>
      </c>
      <c r="Z274" s="2031">
        <f t="shared" ref="Z274:AF274" si="42">MEDIAN(L274:L277)</f>
        <v>66.12386914334752</v>
      </c>
      <c r="AA274" s="1908">
        <f t="shared" si="42"/>
        <v>11.90243424692612</v>
      </c>
      <c r="AB274" s="2032">
        <f t="shared" si="42"/>
        <v>0</v>
      </c>
      <c r="AC274" s="1908">
        <f t="shared" si="42"/>
        <v>0</v>
      </c>
      <c r="AD274" s="2028">
        <f t="shared" si="42"/>
        <v>0</v>
      </c>
      <c r="AE274" s="1908">
        <f t="shared" si="42"/>
        <v>0</v>
      </c>
      <c r="AF274" s="1988">
        <f t="shared" si="42"/>
        <v>27.772162841329525</v>
      </c>
      <c r="AG274" s="2190">
        <f>Y274+Z274+AA274+AB274+AC274+AD274+AE274</f>
        <v>187.0220312908649</v>
      </c>
      <c r="AH274" s="397"/>
      <c r="AI274" s="398"/>
      <c r="AJ274" s="591" t="s">
        <v>429</v>
      </c>
      <c r="AK274" s="614"/>
      <c r="AL274" s="614"/>
      <c r="AM274" s="591" t="s">
        <v>429</v>
      </c>
      <c r="AN274" s="396"/>
      <c r="AO274" s="398"/>
      <c r="AP274" s="397"/>
    </row>
    <row r="275" spans="1:42" ht="15.75" hidden="1" x14ac:dyDescent="0.25">
      <c r="A275" s="1757"/>
      <c r="B275" s="639" t="s">
        <v>747</v>
      </c>
      <c r="C275" s="639"/>
      <c r="D275" s="724" t="s">
        <v>1147</v>
      </c>
      <c r="E275" s="2186"/>
      <c r="F275" s="617">
        <f>'exchange rates'!$O$65</f>
        <v>3628.4174400000002</v>
      </c>
      <c r="G275" s="549">
        <f t="shared" ref="G275:G277" si="43">18000/F275</f>
        <v>4.9608404483911857</v>
      </c>
      <c r="H275" s="550">
        <f t="shared" ref="H275:H277" si="44">319900/F275</f>
        <v>88.165158857796683</v>
      </c>
      <c r="I275" s="551">
        <v>0</v>
      </c>
      <c r="J275" s="560">
        <f t="shared" ref="J275:J277" si="45">57582/F275</f>
        <v>15.869728594403403</v>
      </c>
      <c r="K275" s="566">
        <f>Tabel6689212734[[#This Row],[Fix.ch. 2017]]+Tabel6689212734[[#This Row],[Var. ch. 2017]]+Tabel6689212734[[#This Row],[Oth. ch. DW 2017]]+Tabel6689212734[[#This Row],[VAT DW 2017]]</f>
        <v>108.99572790059126</v>
      </c>
      <c r="L275" s="567">
        <f t="shared" ref="L275:L277" si="46">239925/F275</f>
        <v>66.12386914334752</v>
      </c>
      <c r="M275" s="560">
        <f t="shared" ref="M275:M277" si="47">43187/F275</f>
        <v>11.90243424692612</v>
      </c>
      <c r="N275" s="568">
        <v>0</v>
      </c>
      <c r="O275" s="560">
        <v>0</v>
      </c>
      <c r="P275" s="569">
        <v>0</v>
      </c>
      <c r="Q275" s="560">
        <v>0</v>
      </c>
      <c r="R275" s="570">
        <f>Tabel6689212734[[#This Row],[VAT DW 2017]]+Tabel6689212734[[#This Row],[VAT Sew. 2017]]+Tabel6689212734[[#This Row],[VAT WW 2017]]+Tabel6689212734[[#This Row],[VAT Other ch. 2017]]</f>
        <v>27.772162841329525</v>
      </c>
      <c r="S275" s="571">
        <f>Tabel6689212734[[#This Row],[Total. ch. DW 2017]]+Tabel6689212734[[#This Row],[Sew. 2017]]+Tabel6689212734[[#This Row],[VAT Sew. 2017]]+Tabel6689212734[[#This Row],[WW 2017]]+Tabel6689212734[[#This Row],[VAT WW 2017]]+Tabel6689212734[[#This Row],[Other ch. 2017]]+Tabel6689212734[[#This Row],[VAT Other ch. 2017]]</f>
        <v>187.0220312908649</v>
      </c>
      <c r="T275" s="397"/>
      <c r="U275" s="1763"/>
      <c r="V275" s="1766"/>
      <c r="W275" s="1769"/>
      <c r="X275" s="1772"/>
      <c r="Y275" s="1775"/>
      <c r="Z275" s="1778"/>
      <c r="AA275" s="1772"/>
      <c r="AB275" s="1781"/>
      <c r="AC275" s="1772"/>
      <c r="AD275" s="1785"/>
      <c r="AE275" s="1772"/>
      <c r="AF275" s="1788"/>
      <c r="AG275" s="1791"/>
      <c r="AH275" s="397"/>
      <c r="AI275" s="398"/>
      <c r="AJ275" s="591" t="s">
        <v>429</v>
      </c>
      <c r="AK275" s="614"/>
      <c r="AL275" s="614"/>
      <c r="AM275" s="591" t="s">
        <v>429</v>
      </c>
      <c r="AN275" s="396"/>
      <c r="AO275" s="398"/>
      <c r="AP275" s="397"/>
    </row>
    <row r="276" spans="1:42" ht="15.75" hidden="1" x14ac:dyDescent="0.25">
      <c r="A276" s="1757"/>
      <c r="B276" s="639" t="s">
        <v>748</v>
      </c>
      <c r="C276" s="639"/>
      <c r="D276" s="724" t="s">
        <v>1147</v>
      </c>
      <c r="E276" s="2186"/>
      <c r="F276" s="617">
        <f>'exchange rates'!$O$65</f>
        <v>3628.4174400000002</v>
      </c>
      <c r="G276" s="549">
        <f t="shared" si="43"/>
        <v>4.9608404483911857</v>
      </c>
      <c r="H276" s="550">
        <f t="shared" si="44"/>
        <v>88.165158857796683</v>
      </c>
      <c r="I276" s="551">
        <v>0</v>
      </c>
      <c r="J276" s="560">
        <f t="shared" si="45"/>
        <v>15.869728594403403</v>
      </c>
      <c r="K276" s="566">
        <f>Tabel6689212734[[#This Row],[Fix.ch. 2017]]+Tabel6689212734[[#This Row],[Var. ch. 2017]]+Tabel6689212734[[#This Row],[Oth. ch. DW 2017]]+Tabel6689212734[[#This Row],[VAT DW 2017]]</f>
        <v>108.99572790059126</v>
      </c>
      <c r="L276" s="567">
        <f t="shared" si="46"/>
        <v>66.12386914334752</v>
      </c>
      <c r="M276" s="560">
        <f t="shared" si="47"/>
        <v>11.90243424692612</v>
      </c>
      <c r="N276" s="568">
        <v>0</v>
      </c>
      <c r="O276" s="560">
        <v>0</v>
      </c>
      <c r="P276" s="569">
        <v>0</v>
      </c>
      <c r="Q276" s="560">
        <v>0</v>
      </c>
      <c r="R276" s="570">
        <f>Tabel6689212734[[#This Row],[VAT DW 2017]]+Tabel6689212734[[#This Row],[VAT Sew. 2017]]+Tabel6689212734[[#This Row],[VAT WW 2017]]+Tabel6689212734[[#This Row],[VAT Other ch. 2017]]</f>
        <v>27.772162841329525</v>
      </c>
      <c r="S276" s="571">
        <f>Tabel6689212734[[#This Row],[Total. ch. DW 2017]]+Tabel6689212734[[#This Row],[Sew. 2017]]+Tabel6689212734[[#This Row],[VAT Sew. 2017]]+Tabel6689212734[[#This Row],[WW 2017]]+Tabel6689212734[[#This Row],[VAT WW 2017]]+Tabel6689212734[[#This Row],[Other ch. 2017]]+Tabel6689212734[[#This Row],[VAT Other ch. 2017]]</f>
        <v>187.0220312908649</v>
      </c>
      <c r="T276" s="397"/>
      <c r="U276" s="1763"/>
      <c r="V276" s="1766"/>
      <c r="W276" s="1769"/>
      <c r="X276" s="1772"/>
      <c r="Y276" s="1775"/>
      <c r="Z276" s="1778"/>
      <c r="AA276" s="1772"/>
      <c r="AB276" s="1781"/>
      <c r="AC276" s="1772"/>
      <c r="AD276" s="1785"/>
      <c r="AE276" s="1772"/>
      <c r="AF276" s="1788"/>
      <c r="AG276" s="1791"/>
      <c r="AH276" s="397"/>
      <c r="AI276" s="398"/>
      <c r="AJ276" s="591" t="s">
        <v>429</v>
      </c>
      <c r="AK276" s="614"/>
      <c r="AL276" s="614"/>
      <c r="AM276" s="591" t="s">
        <v>429</v>
      </c>
      <c r="AN276" s="396"/>
      <c r="AO276" s="398"/>
      <c r="AP276" s="397"/>
    </row>
    <row r="277" spans="1:42" ht="16.5" hidden="1" thickBot="1" x14ac:dyDescent="0.3">
      <c r="A277" s="1758"/>
      <c r="B277" s="652" t="s">
        <v>749</v>
      </c>
      <c r="C277" s="652"/>
      <c r="D277" s="807" t="s">
        <v>1147</v>
      </c>
      <c r="E277" s="2187"/>
      <c r="F277" s="617">
        <f>'exchange rates'!$O$65</f>
        <v>3628.4174400000002</v>
      </c>
      <c r="G277" s="549">
        <f t="shared" si="43"/>
        <v>4.9608404483911857</v>
      </c>
      <c r="H277" s="550">
        <f t="shared" si="44"/>
        <v>88.165158857796683</v>
      </c>
      <c r="I277" s="551">
        <v>0</v>
      </c>
      <c r="J277" s="560">
        <f t="shared" si="45"/>
        <v>15.869728594403403</v>
      </c>
      <c r="K277" s="566">
        <f>Tabel6689212734[[#This Row],[Fix.ch. 2017]]+Tabel6689212734[[#This Row],[Var. ch. 2017]]+Tabel6689212734[[#This Row],[Oth. ch. DW 2017]]+Tabel6689212734[[#This Row],[VAT DW 2017]]</f>
        <v>108.99572790059126</v>
      </c>
      <c r="L277" s="567">
        <f t="shared" si="46"/>
        <v>66.12386914334752</v>
      </c>
      <c r="M277" s="560">
        <f t="shared" si="47"/>
        <v>11.90243424692612</v>
      </c>
      <c r="N277" s="568">
        <v>0</v>
      </c>
      <c r="O277" s="560">
        <v>0</v>
      </c>
      <c r="P277" s="569">
        <v>0</v>
      </c>
      <c r="Q277" s="560">
        <v>0</v>
      </c>
      <c r="R277" s="570">
        <f>Tabel6689212734[[#This Row],[VAT DW 2017]]+Tabel6689212734[[#This Row],[VAT Sew. 2017]]+Tabel6689212734[[#This Row],[VAT WW 2017]]+Tabel6689212734[[#This Row],[VAT Other ch. 2017]]</f>
        <v>27.772162841329525</v>
      </c>
      <c r="S277" s="571">
        <f>Tabel6689212734[[#This Row],[Total. ch. DW 2017]]+Tabel6689212734[[#This Row],[Sew. 2017]]+Tabel6689212734[[#This Row],[VAT Sew. 2017]]+Tabel6689212734[[#This Row],[WW 2017]]+Tabel6689212734[[#This Row],[VAT WW 2017]]+Tabel6689212734[[#This Row],[Other ch. 2017]]+Tabel6689212734[[#This Row],[VAT Other ch. 2017]]</f>
        <v>187.0220312908649</v>
      </c>
      <c r="T277" s="397"/>
      <c r="U277" s="1764"/>
      <c r="V277" s="1767"/>
      <c r="W277" s="1770"/>
      <c r="X277" s="1773"/>
      <c r="Y277" s="1776"/>
      <c r="Z277" s="1779"/>
      <c r="AA277" s="1773"/>
      <c r="AB277" s="1811"/>
      <c r="AC277" s="1773"/>
      <c r="AD277" s="1813"/>
      <c r="AE277" s="1773"/>
      <c r="AF277" s="1815"/>
      <c r="AG277" s="1794"/>
      <c r="AH277" s="397"/>
      <c r="AI277" s="398"/>
      <c r="AJ277" s="591" t="s">
        <v>429</v>
      </c>
      <c r="AK277" s="614"/>
      <c r="AL277" s="614"/>
      <c r="AM277" s="591" t="s">
        <v>429</v>
      </c>
      <c r="AN277" s="396"/>
      <c r="AO277" s="398"/>
      <c r="AP277" s="397"/>
    </row>
    <row r="278" spans="1:42" ht="15.75" hidden="1" customHeight="1" x14ac:dyDescent="0.25">
      <c r="A278" s="1818" t="s">
        <v>456</v>
      </c>
      <c r="B278" s="663" t="s">
        <v>165</v>
      </c>
      <c r="C278" s="1046"/>
      <c r="D278" s="802" t="s">
        <v>1149</v>
      </c>
      <c r="E278" s="2196">
        <v>43600</v>
      </c>
      <c r="F278" s="617">
        <f>'exchange rates'!$O$66</f>
        <v>0.73992000000000002</v>
      </c>
      <c r="G278" s="549">
        <f>26.08/F278</f>
        <v>35.247053735538977</v>
      </c>
      <c r="H278" s="550">
        <f>151.93/F278</f>
        <v>205.33300897394312</v>
      </c>
      <c r="I278" s="551">
        <v>0</v>
      </c>
      <c r="J278" s="560">
        <v>0</v>
      </c>
      <c r="K278" s="566">
        <f>Tabel6689212734[[#This Row],[Fix.ch. 2017]]+Tabel6689212734[[#This Row],[Var. ch. 2017]]+Tabel6689212734[[#This Row],[Oth. ch. DW 2017]]+Tabel6689212734[[#This Row],[VAT DW 2017]]</f>
        <v>240.58006270948209</v>
      </c>
      <c r="L278" s="567">
        <v>0</v>
      </c>
      <c r="M278" s="560">
        <v>0</v>
      </c>
      <c r="N278" s="568">
        <f>170.61/F278</f>
        <v>230.57898151151477</v>
      </c>
      <c r="O278" s="560">
        <v>0</v>
      </c>
      <c r="P278" s="569">
        <v>0</v>
      </c>
      <c r="Q278" s="560">
        <v>0</v>
      </c>
      <c r="R278" s="570">
        <f>Tabel6689212734[[#This Row],[VAT DW 2017]]+Tabel6689212734[[#This Row],[VAT Sew. 2017]]+Tabel6689212734[[#This Row],[VAT WW 2017]]+Tabel6689212734[[#This Row],[VAT Other ch. 2017]]</f>
        <v>0</v>
      </c>
      <c r="S278" s="571">
        <f>Tabel6689212734[[#This Row],[Total. ch. DW 2017]]+Tabel6689212734[[#This Row],[Sew. 2017]]+Tabel6689212734[[#This Row],[VAT Sew. 2017]]+Tabel6689212734[[#This Row],[WW 2017]]+Tabel6689212734[[#This Row],[VAT WW 2017]]+Tabel6689212734[[#This Row],[Other ch. 2017]]+Tabel6689212734[[#This Row],[VAT Other ch. 2017]]</f>
        <v>471.15904422099686</v>
      </c>
      <c r="T278" s="397"/>
      <c r="U278" s="2197">
        <f>MEDIAN(G278:G282)</f>
        <v>42.301870472483515</v>
      </c>
      <c r="V278" s="2198">
        <f>MEDIAN(H278:H282)</f>
        <v>182.18185749810792</v>
      </c>
      <c r="W278" s="2199">
        <f>MEDIAN(I278:I282)</f>
        <v>0</v>
      </c>
      <c r="X278" s="1908">
        <f>MEDIAN(J278:J282)</f>
        <v>0</v>
      </c>
      <c r="Y278" s="2200">
        <f>SUM(U278:X282)</f>
        <v>224.48372797059142</v>
      </c>
      <c r="Z278" s="2201">
        <f t="shared" ref="Z278:AF278" si="48">MEDIAN(L278:L282)</f>
        <v>0</v>
      </c>
      <c r="AA278" s="1908">
        <f t="shared" si="48"/>
        <v>0</v>
      </c>
      <c r="AB278" s="2193">
        <f t="shared" si="48"/>
        <v>291.50448697156446</v>
      </c>
      <c r="AC278" s="1908">
        <f t="shared" si="48"/>
        <v>0</v>
      </c>
      <c r="AD278" s="2194">
        <f t="shared" si="48"/>
        <v>0</v>
      </c>
      <c r="AE278" s="1908">
        <f t="shared" si="48"/>
        <v>0</v>
      </c>
      <c r="AF278" s="2195">
        <f t="shared" si="48"/>
        <v>0</v>
      </c>
      <c r="AG278" s="2202">
        <f>Y278+Z278+AA278+AB278+AC278+AD278+AE278</f>
        <v>515.98821494215588</v>
      </c>
      <c r="AH278" s="397"/>
      <c r="AI278" s="398"/>
      <c r="AJ278" s="398"/>
      <c r="AK278" s="398"/>
      <c r="AL278" s="398"/>
      <c r="AM278" s="398"/>
      <c r="AN278" s="398"/>
      <c r="AO278" s="398"/>
      <c r="AP278" s="2191"/>
    </row>
    <row r="279" spans="1:42" ht="15.75" hidden="1" customHeight="1" x14ac:dyDescent="0.25">
      <c r="A279" s="1819"/>
      <c r="B279" s="547" t="s">
        <v>166</v>
      </c>
      <c r="C279" s="1046" t="s">
        <v>429</v>
      </c>
      <c r="D279" s="802" t="s">
        <v>1149</v>
      </c>
      <c r="E279" s="1760"/>
      <c r="F279" s="617">
        <f>'exchange rates'!$O$66</f>
        <v>0.73992000000000002</v>
      </c>
      <c r="G279" s="549">
        <f>34.45/F279</f>
        <v>46.559087468915564</v>
      </c>
      <c r="H279" s="550">
        <f>128.09/F279</f>
        <v>173.11330954697806</v>
      </c>
      <c r="I279" s="551">
        <v>0</v>
      </c>
      <c r="J279" s="560">
        <v>0</v>
      </c>
      <c r="K279" s="566">
        <f>Tabel6689212734[[#This Row],[Fix.ch. 2017]]+Tabel6689212734[[#This Row],[Var. ch. 2017]]+Tabel6689212734[[#This Row],[Oth. ch. DW 2017]]+Tabel6689212734[[#This Row],[VAT DW 2017]]</f>
        <v>219.67239701589364</v>
      </c>
      <c r="L279" s="567">
        <v>0</v>
      </c>
      <c r="M279" s="560">
        <v>0</v>
      </c>
      <c r="N279" s="568">
        <f>246.31/F279</f>
        <v>332.88733917180235</v>
      </c>
      <c r="O279" s="560">
        <v>0</v>
      </c>
      <c r="P279" s="569">
        <v>0</v>
      </c>
      <c r="Q279" s="560">
        <v>0</v>
      </c>
      <c r="R279" s="570">
        <f>Tabel6689212734[[#This Row],[VAT DW 2017]]+Tabel6689212734[[#This Row],[VAT Sew. 2017]]+Tabel6689212734[[#This Row],[VAT WW 2017]]+Tabel6689212734[[#This Row],[VAT Other ch. 2017]]</f>
        <v>0</v>
      </c>
      <c r="S279" s="571">
        <f>Tabel6689212734[[#This Row],[Total. ch. DW 2017]]+Tabel6689212734[[#This Row],[Sew. 2017]]+Tabel6689212734[[#This Row],[VAT Sew. 2017]]+Tabel6689212734[[#This Row],[WW 2017]]+Tabel6689212734[[#This Row],[VAT WW 2017]]+Tabel6689212734[[#This Row],[Other ch. 2017]]+Tabel6689212734[[#This Row],[VAT Other ch. 2017]]</f>
        <v>552.55973618769599</v>
      </c>
      <c r="T279" s="397"/>
      <c r="U279" s="1763"/>
      <c r="V279" s="1766"/>
      <c r="W279" s="1769"/>
      <c r="X279" s="1772"/>
      <c r="Y279" s="1775"/>
      <c r="Z279" s="1778"/>
      <c r="AA279" s="1772"/>
      <c r="AB279" s="1781"/>
      <c r="AC279" s="1772"/>
      <c r="AD279" s="1785"/>
      <c r="AE279" s="1772"/>
      <c r="AF279" s="1788"/>
      <c r="AG279" s="1791"/>
      <c r="AH279" s="397"/>
      <c r="AI279" s="398"/>
      <c r="AJ279" s="398"/>
      <c r="AK279" s="398"/>
      <c r="AL279" s="398"/>
      <c r="AM279" s="398"/>
      <c r="AN279" s="398"/>
      <c r="AO279" s="398"/>
      <c r="AP279" s="2191"/>
    </row>
    <row r="280" spans="1:42" ht="15.75" hidden="1" customHeight="1" x14ac:dyDescent="0.25">
      <c r="A280" s="1819"/>
      <c r="B280" s="547" t="s">
        <v>167</v>
      </c>
      <c r="C280" s="1046" t="s">
        <v>429</v>
      </c>
      <c r="D280" s="802" t="s">
        <v>1149</v>
      </c>
      <c r="E280" s="1760"/>
      <c r="F280" s="617">
        <f>'exchange rates'!$O$66</f>
        <v>0.73992000000000002</v>
      </c>
      <c r="G280" s="549">
        <f>31.3/F280</f>
        <v>42.301870472483515</v>
      </c>
      <c r="H280" s="550">
        <f>128.37/F280</f>
        <v>173.49172883554979</v>
      </c>
      <c r="I280" s="551">
        <v>0</v>
      </c>
      <c r="J280" s="560">
        <v>0</v>
      </c>
      <c r="K280" s="566">
        <f>Tabel6689212734[[#This Row],[Fix.ch. 2017]]+Tabel6689212734[[#This Row],[Var. ch. 2017]]+Tabel6689212734[[#This Row],[Oth. ch. DW 2017]]+Tabel6689212734[[#This Row],[VAT DW 2017]]</f>
        <v>215.79359930803332</v>
      </c>
      <c r="L280" s="567">
        <v>0</v>
      </c>
      <c r="M280" s="560">
        <v>0</v>
      </c>
      <c r="N280" s="568">
        <f>125.46/F280</f>
        <v>169.55887122932208</v>
      </c>
      <c r="O280" s="560">
        <v>0</v>
      </c>
      <c r="P280" s="569">
        <v>0</v>
      </c>
      <c r="Q280" s="560">
        <v>0</v>
      </c>
      <c r="R280" s="570">
        <f>Tabel6689212734[[#This Row],[VAT DW 2017]]+Tabel6689212734[[#This Row],[VAT Sew. 2017]]+Tabel6689212734[[#This Row],[VAT WW 2017]]+Tabel6689212734[[#This Row],[VAT Other ch. 2017]]</f>
        <v>0</v>
      </c>
      <c r="S280" s="571">
        <f>Tabel6689212734[[#This Row],[Total. ch. DW 2017]]+Tabel6689212734[[#This Row],[Sew. 2017]]+Tabel6689212734[[#This Row],[VAT Sew. 2017]]+Tabel6689212734[[#This Row],[WW 2017]]+Tabel6689212734[[#This Row],[VAT WW 2017]]+Tabel6689212734[[#This Row],[Other ch. 2017]]+Tabel6689212734[[#This Row],[VAT Other ch. 2017]]</f>
        <v>385.35247053735543</v>
      </c>
      <c r="T280" s="397"/>
      <c r="U280" s="1763"/>
      <c r="V280" s="1766"/>
      <c r="W280" s="1769"/>
      <c r="X280" s="1772"/>
      <c r="Y280" s="1775"/>
      <c r="Z280" s="1778"/>
      <c r="AA280" s="1772"/>
      <c r="AB280" s="1781"/>
      <c r="AC280" s="1772"/>
      <c r="AD280" s="1785"/>
      <c r="AE280" s="1772"/>
      <c r="AF280" s="1788"/>
      <c r="AG280" s="1791"/>
      <c r="AH280" s="397"/>
      <c r="AI280" s="398"/>
      <c r="AJ280" s="398"/>
      <c r="AK280" s="398"/>
      <c r="AL280" s="398"/>
      <c r="AM280" s="398"/>
      <c r="AN280" s="398"/>
      <c r="AO280" s="398"/>
      <c r="AP280" s="2191"/>
    </row>
    <row r="281" spans="1:42" ht="15.75" hidden="1" customHeight="1" x14ac:dyDescent="0.25">
      <c r="A281" s="1819"/>
      <c r="B281" s="547" t="s">
        <v>168</v>
      </c>
      <c r="C281" s="1046"/>
      <c r="D281" s="802" t="s">
        <v>1149</v>
      </c>
      <c r="E281" s="1760"/>
      <c r="F281" s="617">
        <f>'exchange rates'!$O$66</f>
        <v>0.73992000000000002</v>
      </c>
      <c r="G281" s="549">
        <f>31.84/F281</f>
        <v>43.031679100443291</v>
      </c>
      <c r="H281" s="550">
        <f>176.2/F281</f>
        <v>238.13385230835763</v>
      </c>
      <c r="I281" s="551">
        <v>0</v>
      </c>
      <c r="J281" s="560">
        <v>0</v>
      </c>
      <c r="K281" s="566">
        <f>Tabel6689212734[[#This Row],[Fix.ch. 2017]]+Tabel6689212734[[#This Row],[Var. ch. 2017]]+Tabel6689212734[[#This Row],[Oth. ch. DW 2017]]+Tabel6689212734[[#This Row],[VAT DW 2017]]</f>
        <v>281.16553140880092</v>
      </c>
      <c r="L281" s="567">
        <v>0</v>
      </c>
      <c r="M281" s="560">
        <v>0</v>
      </c>
      <c r="N281" s="568">
        <f>215.69/F281</f>
        <v>291.50448697156446</v>
      </c>
      <c r="O281" s="560">
        <v>0</v>
      </c>
      <c r="P281" s="569">
        <v>0</v>
      </c>
      <c r="Q281" s="560">
        <v>0</v>
      </c>
      <c r="R281" s="570">
        <f>Tabel6689212734[[#This Row],[VAT DW 2017]]+Tabel6689212734[[#This Row],[VAT Sew. 2017]]+Tabel6689212734[[#This Row],[VAT WW 2017]]+Tabel6689212734[[#This Row],[VAT Other ch. 2017]]</f>
        <v>0</v>
      </c>
      <c r="S281" s="571">
        <f>Tabel6689212734[[#This Row],[Total. ch. DW 2017]]+Tabel6689212734[[#This Row],[Sew. 2017]]+Tabel6689212734[[#This Row],[VAT Sew. 2017]]+Tabel6689212734[[#This Row],[WW 2017]]+Tabel6689212734[[#This Row],[VAT WW 2017]]+Tabel6689212734[[#This Row],[Other ch. 2017]]+Tabel6689212734[[#This Row],[VAT Other ch. 2017]]</f>
        <v>572.67001838036538</v>
      </c>
      <c r="T281" s="397"/>
      <c r="U281" s="1763"/>
      <c r="V281" s="1766"/>
      <c r="W281" s="1769"/>
      <c r="X281" s="1772"/>
      <c r="Y281" s="1775"/>
      <c r="Z281" s="1778"/>
      <c r="AA281" s="1772"/>
      <c r="AB281" s="1781"/>
      <c r="AC281" s="1772"/>
      <c r="AD281" s="1785"/>
      <c r="AE281" s="1772"/>
      <c r="AF281" s="1788"/>
      <c r="AG281" s="1791"/>
      <c r="AH281" s="397"/>
      <c r="AI281" s="398"/>
      <c r="AJ281" s="398"/>
      <c r="AK281" s="398"/>
      <c r="AL281" s="398"/>
      <c r="AM281" s="398"/>
      <c r="AN281" s="398"/>
      <c r="AO281" s="398"/>
      <c r="AP281" s="2191"/>
    </row>
    <row r="282" spans="1:42" ht="16.5" hidden="1" customHeight="1" thickBot="1" x14ac:dyDescent="0.3">
      <c r="A282" s="1820"/>
      <c r="B282" s="547" t="s">
        <v>169</v>
      </c>
      <c r="C282" s="1046"/>
      <c r="D282" s="802" t="s">
        <v>1149</v>
      </c>
      <c r="E282" s="1799"/>
      <c r="F282" s="617">
        <f>'exchange rates'!$O$66</f>
        <v>0.73992000000000002</v>
      </c>
      <c r="G282" s="549">
        <f>24.07/F282</f>
        <v>32.530543842577572</v>
      </c>
      <c r="H282" s="550">
        <f>134.8/F282</f>
        <v>182.18185749810792</v>
      </c>
      <c r="I282" s="551">
        <v>0</v>
      </c>
      <c r="J282" s="560">
        <v>0</v>
      </c>
      <c r="K282" s="566">
        <f>Tabel6689212734[[#This Row],[Fix.ch. 2017]]+Tabel6689212734[[#This Row],[Var. ch. 2017]]+Tabel6689212734[[#This Row],[Oth. ch. DW 2017]]+Tabel6689212734[[#This Row],[VAT DW 2017]]</f>
        <v>214.71240134068549</v>
      </c>
      <c r="L282" s="567">
        <v>0</v>
      </c>
      <c r="M282" s="560">
        <v>0</v>
      </c>
      <c r="N282" s="568">
        <f>222.83/F282</f>
        <v>301.15417883014379</v>
      </c>
      <c r="O282" s="560">
        <v>0</v>
      </c>
      <c r="P282" s="569">
        <v>0</v>
      </c>
      <c r="Q282" s="560">
        <v>0</v>
      </c>
      <c r="R282" s="570">
        <f>Tabel6689212734[[#This Row],[VAT DW 2017]]+Tabel6689212734[[#This Row],[VAT Sew. 2017]]+Tabel6689212734[[#This Row],[VAT WW 2017]]+Tabel6689212734[[#This Row],[VAT Other ch. 2017]]</f>
        <v>0</v>
      </c>
      <c r="S282" s="571">
        <f>Tabel6689212734[[#This Row],[Total. ch. DW 2017]]+Tabel6689212734[[#This Row],[Sew. 2017]]+Tabel6689212734[[#This Row],[VAT Sew. 2017]]+Tabel6689212734[[#This Row],[WW 2017]]+Tabel6689212734[[#This Row],[VAT WW 2017]]+Tabel6689212734[[#This Row],[Other ch. 2017]]+Tabel6689212734[[#This Row],[VAT Other ch. 2017]]</f>
        <v>515.86658017082925</v>
      </c>
      <c r="T282" s="397"/>
      <c r="U282" s="1801"/>
      <c r="V282" s="1803"/>
      <c r="W282" s="1805"/>
      <c r="X282" s="1773"/>
      <c r="Y282" s="1807"/>
      <c r="Z282" s="1809"/>
      <c r="AA282" s="1773"/>
      <c r="AB282" s="1782"/>
      <c r="AC282" s="1773"/>
      <c r="AD282" s="1786"/>
      <c r="AE282" s="1773"/>
      <c r="AF282" s="1789"/>
      <c r="AG282" s="1792"/>
      <c r="AH282" s="397"/>
      <c r="AI282" s="398"/>
      <c r="AJ282" s="398"/>
      <c r="AK282" s="398"/>
      <c r="AL282" s="398"/>
      <c r="AM282" s="398"/>
      <c r="AN282" s="398"/>
      <c r="AO282" s="398"/>
      <c r="AP282" s="2191"/>
    </row>
    <row r="283" spans="1:42" ht="18" hidden="1" customHeight="1" x14ac:dyDescent="0.25">
      <c r="A283" s="2192" t="s">
        <v>31</v>
      </c>
      <c r="B283" s="638" t="s">
        <v>170</v>
      </c>
      <c r="C283" s="693"/>
      <c r="D283" s="806" t="s">
        <v>1151</v>
      </c>
      <c r="E283" s="1934">
        <v>59500</v>
      </c>
      <c r="F283" s="715">
        <v>1</v>
      </c>
      <c r="G283" s="549" t="s">
        <v>5</v>
      </c>
      <c r="H283" s="550">
        <v>178.85</v>
      </c>
      <c r="I283" s="551" t="s">
        <v>5</v>
      </c>
      <c r="J283" s="560" t="s">
        <v>5</v>
      </c>
      <c r="K283" s="566">
        <f>Tabel6689212734[[#This Row],[Var. ch. 2017]]</f>
        <v>178.85</v>
      </c>
      <c r="L283" s="567" t="s">
        <v>5</v>
      </c>
      <c r="M283" s="560" t="s">
        <v>5</v>
      </c>
      <c r="N283" s="568">
        <v>284.37</v>
      </c>
      <c r="O283" s="560" t="s">
        <v>5</v>
      </c>
      <c r="P283" s="569" t="s">
        <v>5</v>
      </c>
      <c r="Q283" s="560" t="s">
        <v>5</v>
      </c>
      <c r="R283" s="570" t="s">
        <v>5</v>
      </c>
      <c r="S283" s="571">
        <f>Tabel6689212734[[#This Row],[Total. ch. DW 2017]]+Tabel6689212734[[#This Row],[WW 2017]]</f>
        <v>463.22</v>
      </c>
      <c r="T283" s="397"/>
      <c r="U283" s="1935">
        <f>MEDIAN(G283:G289)</f>
        <v>84.960000000000008</v>
      </c>
      <c r="V283" s="1936">
        <f>MEDIAN(H283:H289)</f>
        <v>119.72</v>
      </c>
      <c r="W283" s="1937">
        <f>MEDIAN(I283:I289)</f>
        <v>23.66</v>
      </c>
      <c r="X283" s="1771" t="s">
        <v>5</v>
      </c>
      <c r="Y283" s="1939">
        <f>SUM(U283:W289)</f>
        <v>228.34</v>
      </c>
      <c r="Z283" s="1950" t="s">
        <v>5</v>
      </c>
      <c r="AA283" s="1771" t="s">
        <v>5</v>
      </c>
      <c r="AB283" s="1946">
        <f>MEDIAN(N283:N289)</f>
        <v>182.97</v>
      </c>
      <c r="AC283" s="1771" t="s">
        <v>5</v>
      </c>
      <c r="AD283" s="1947">
        <f>MEDIAN(P283:P289)</f>
        <v>16.670000000000002</v>
      </c>
      <c r="AE283" s="1771" t="s">
        <v>5</v>
      </c>
      <c r="AF283" s="1944" t="s">
        <v>5</v>
      </c>
      <c r="AG283" s="1945">
        <f>SUM(Y283:AF289)</f>
        <v>427.98</v>
      </c>
      <c r="AH283" s="397"/>
      <c r="AI283" s="396"/>
      <c r="AJ283" s="591" t="s">
        <v>429</v>
      </c>
      <c r="AK283" s="591"/>
      <c r="AL283" s="591"/>
      <c r="AM283" s="591"/>
      <c r="AN283" s="591" t="s">
        <v>429</v>
      </c>
      <c r="AO283" s="396"/>
      <c r="AP283" s="397"/>
    </row>
    <row r="284" spans="1:42" ht="15.75" hidden="1" x14ac:dyDescent="0.25">
      <c r="A284" s="2148"/>
      <c r="B284" s="639" t="s">
        <v>171</v>
      </c>
      <c r="C284" s="639" t="s">
        <v>429</v>
      </c>
      <c r="D284" s="724" t="s">
        <v>1151</v>
      </c>
      <c r="E284" s="1760"/>
      <c r="F284" s="715">
        <v>1</v>
      </c>
      <c r="G284" s="549">
        <v>121.92</v>
      </c>
      <c r="H284" s="550">
        <v>119.72</v>
      </c>
      <c r="I284" s="551">
        <v>23.66</v>
      </c>
      <c r="J284" s="560" t="s">
        <v>5</v>
      </c>
      <c r="K284" s="566">
        <f>Tabel6689212734[[#This Row],[Fix.ch. 2017]]+Tabel6689212734[[#This Row],[Var. ch. 2017]]+Tabel6689212734[[#This Row],[Oth. ch. DW 2017]]</f>
        <v>265.3</v>
      </c>
      <c r="L284" s="567" t="s">
        <v>5</v>
      </c>
      <c r="M284" s="560" t="s">
        <v>5</v>
      </c>
      <c r="N284" s="568">
        <v>294.17</v>
      </c>
      <c r="O284" s="560" t="s">
        <v>5</v>
      </c>
      <c r="P284" s="569">
        <v>334.2</v>
      </c>
      <c r="Q284" s="560" t="s">
        <v>5</v>
      </c>
      <c r="R284" s="570" t="s">
        <v>5</v>
      </c>
      <c r="S284" s="571">
        <f>Tabel6689212734[[#This Row],[Total. ch. DW 2017]]+Tabel6689212734[[#This Row],[WW 2017]]+Tabel6689212734[[#This Row],[Other ch. 2017]]</f>
        <v>893.67000000000007</v>
      </c>
      <c r="T284" s="397"/>
      <c r="U284" s="1969"/>
      <c r="V284" s="1972"/>
      <c r="W284" s="1975"/>
      <c r="X284" s="1772"/>
      <c r="Y284" s="1978"/>
      <c r="Z284" s="1981"/>
      <c r="AA284" s="1772"/>
      <c r="AB284" s="1955"/>
      <c r="AC284" s="1772"/>
      <c r="AD284" s="1958"/>
      <c r="AE284" s="1772"/>
      <c r="AF284" s="1961"/>
      <c r="AG284" s="1964"/>
      <c r="AH284" s="397"/>
      <c r="AI284" s="396"/>
      <c r="AJ284" s="396"/>
      <c r="AK284" s="396"/>
      <c r="AL284" s="591" t="s">
        <v>429</v>
      </c>
      <c r="AM284" s="591" t="s">
        <v>429</v>
      </c>
      <c r="AN284" s="591" t="s">
        <v>429</v>
      </c>
      <c r="AO284" s="396"/>
      <c r="AP284" s="397"/>
    </row>
    <row r="285" spans="1:42" ht="15.75" hidden="1" x14ac:dyDescent="0.25">
      <c r="A285" s="2148"/>
      <c r="B285" s="639" t="s">
        <v>172</v>
      </c>
      <c r="C285" s="639"/>
      <c r="D285" s="724" t="s">
        <v>1151</v>
      </c>
      <c r="E285" s="1760"/>
      <c r="F285" s="715">
        <v>1</v>
      </c>
      <c r="G285" s="549" t="s">
        <v>5</v>
      </c>
      <c r="H285" s="550">
        <v>204.17</v>
      </c>
      <c r="I285" s="551" t="s">
        <v>5</v>
      </c>
      <c r="J285" s="560" t="s">
        <v>5</v>
      </c>
      <c r="K285" s="566">
        <f>Tabel6689212734[[#This Row],[Var. ch. 2017]]</f>
        <v>204.17</v>
      </c>
      <c r="L285" s="567" t="s">
        <v>5</v>
      </c>
      <c r="M285" s="560" t="s">
        <v>5</v>
      </c>
      <c r="N285" s="568">
        <v>166.12</v>
      </c>
      <c r="O285" s="560" t="s">
        <v>5</v>
      </c>
      <c r="P285" s="569" t="s">
        <v>5</v>
      </c>
      <c r="Q285" s="560" t="s">
        <v>5</v>
      </c>
      <c r="R285" s="570" t="s">
        <v>5</v>
      </c>
      <c r="S285" s="571">
        <f>Tabel6689212734[[#This Row],[Total. ch. DW 2017]]+Tabel6689212734[[#This Row],[WW 2017]]</f>
        <v>370.28999999999996</v>
      </c>
      <c r="T285" s="397"/>
      <c r="U285" s="1969"/>
      <c r="V285" s="1972"/>
      <c r="W285" s="1975"/>
      <c r="X285" s="1772"/>
      <c r="Y285" s="1978"/>
      <c r="Z285" s="1981"/>
      <c r="AA285" s="1772"/>
      <c r="AB285" s="1955"/>
      <c r="AC285" s="1772"/>
      <c r="AD285" s="1958"/>
      <c r="AE285" s="1772"/>
      <c r="AF285" s="1961"/>
      <c r="AG285" s="1964"/>
      <c r="AH285" s="397"/>
      <c r="AI285" s="396"/>
      <c r="AJ285" s="396"/>
      <c r="AK285" s="396"/>
      <c r="AL285" s="591" t="s">
        <v>429</v>
      </c>
      <c r="AM285" s="591"/>
      <c r="AN285" s="591" t="s">
        <v>429</v>
      </c>
      <c r="AO285" s="396"/>
      <c r="AP285" s="397"/>
    </row>
    <row r="286" spans="1:42" ht="15.75" hidden="1" x14ac:dyDescent="0.25">
      <c r="A286" s="2148"/>
      <c r="B286" s="639" t="s">
        <v>173</v>
      </c>
      <c r="C286" s="639"/>
      <c r="D286" s="724" t="s">
        <v>1151</v>
      </c>
      <c r="E286" s="1760"/>
      <c r="F286" s="715">
        <v>1</v>
      </c>
      <c r="G286" s="549" t="s">
        <v>5</v>
      </c>
      <c r="H286" s="550">
        <v>102.55</v>
      </c>
      <c r="I286" s="551" t="s">
        <v>5</v>
      </c>
      <c r="J286" s="560" t="s">
        <v>5</v>
      </c>
      <c r="K286" s="566">
        <f>Tabel6689212734[[#This Row],[Var. ch. 2017]]</f>
        <v>102.55</v>
      </c>
      <c r="L286" s="567" t="s">
        <v>5</v>
      </c>
      <c r="M286" s="560" t="s">
        <v>5</v>
      </c>
      <c r="N286" s="568">
        <v>102.55</v>
      </c>
      <c r="O286" s="560" t="s">
        <v>5</v>
      </c>
      <c r="P286" s="569" t="s">
        <v>5</v>
      </c>
      <c r="Q286" s="560" t="s">
        <v>5</v>
      </c>
      <c r="R286" s="570" t="s">
        <v>5</v>
      </c>
      <c r="S286" s="571">
        <f>Tabel6689212734[[#This Row],[Total. ch. DW 2017]]+Tabel6689212734[[#This Row],[WW 2017]]</f>
        <v>205.1</v>
      </c>
      <c r="T286" s="397"/>
      <c r="U286" s="1969"/>
      <c r="V286" s="1972"/>
      <c r="W286" s="1975"/>
      <c r="X286" s="1772"/>
      <c r="Y286" s="1978"/>
      <c r="Z286" s="1981"/>
      <c r="AA286" s="1772"/>
      <c r="AB286" s="1955"/>
      <c r="AC286" s="1772"/>
      <c r="AD286" s="1958"/>
      <c r="AE286" s="1772"/>
      <c r="AF286" s="1961"/>
      <c r="AG286" s="1964"/>
      <c r="AH286" s="397"/>
      <c r="AI286" s="396"/>
      <c r="AJ286" s="591" t="s">
        <v>429</v>
      </c>
      <c r="AK286" s="591"/>
      <c r="AL286" s="591"/>
      <c r="AM286" s="591"/>
      <c r="AN286" s="591" t="s">
        <v>429</v>
      </c>
      <c r="AO286" s="396"/>
      <c r="AP286" s="397"/>
    </row>
    <row r="287" spans="1:42" ht="15.75" hidden="1" x14ac:dyDescent="0.25">
      <c r="A287" s="2148"/>
      <c r="B287" s="639" t="s">
        <v>174</v>
      </c>
      <c r="C287" s="639"/>
      <c r="D287" s="724" t="s">
        <v>1151</v>
      </c>
      <c r="E287" s="1760"/>
      <c r="F287" s="715">
        <v>1</v>
      </c>
      <c r="G287" s="549">
        <v>142.32</v>
      </c>
      <c r="H287" s="550">
        <v>67.36</v>
      </c>
      <c r="I287" s="551" t="s">
        <v>5</v>
      </c>
      <c r="J287" s="560" t="s">
        <v>5</v>
      </c>
      <c r="K287" s="566">
        <f>Tabel6689212734[[#This Row],[Fix.ch. 2017]]+Tabel6689212734[[#This Row],[Var. ch. 2017]]</f>
        <v>209.68</v>
      </c>
      <c r="L287" s="567" t="s">
        <v>5</v>
      </c>
      <c r="M287" s="560" t="s">
        <v>5</v>
      </c>
      <c r="N287" s="568">
        <v>252.36</v>
      </c>
      <c r="O287" s="560" t="s">
        <v>5</v>
      </c>
      <c r="P287" s="569">
        <v>16.670000000000002</v>
      </c>
      <c r="Q287" s="560" t="s">
        <v>5</v>
      </c>
      <c r="R287" s="570" t="s">
        <v>5</v>
      </c>
      <c r="S287" s="571">
        <f>Tabel6689212734[[#This Row],[Total. ch. DW 2017]]+Tabel6689212734[[#This Row],[WW 2017]]+Tabel6689212734[[#This Row],[Other ch. 2017]]</f>
        <v>478.71000000000004</v>
      </c>
      <c r="T287" s="397"/>
      <c r="U287" s="1969"/>
      <c r="V287" s="1972"/>
      <c r="W287" s="1975"/>
      <c r="X287" s="1772"/>
      <c r="Y287" s="1978"/>
      <c r="Z287" s="1981"/>
      <c r="AA287" s="1772"/>
      <c r="AB287" s="1955"/>
      <c r="AC287" s="1772"/>
      <c r="AD287" s="1958"/>
      <c r="AE287" s="1772"/>
      <c r="AF287" s="1961"/>
      <c r="AG287" s="1964"/>
      <c r="AH287" s="397"/>
      <c r="AI287" s="396"/>
      <c r="AJ287" s="396"/>
      <c r="AK287" s="396"/>
      <c r="AL287" s="591" t="s">
        <v>429</v>
      </c>
      <c r="AM287" s="591" t="s">
        <v>429</v>
      </c>
      <c r="AN287" s="591" t="s">
        <v>429</v>
      </c>
      <c r="AO287" s="396"/>
      <c r="AP287" s="397"/>
    </row>
    <row r="288" spans="1:42" ht="15.75" hidden="1" x14ac:dyDescent="0.25">
      <c r="A288" s="2148"/>
      <c r="B288" s="639" t="s">
        <v>175</v>
      </c>
      <c r="C288" s="639"/>
      <c r="D288" s="724" t="s">
        <v>1151</v>
      </c>
      <c r="E288" s="1760"/>
      <c r="F288" s="715">
        <v>1</v>
      </c>
      <c r="G288" s="549">
        <v>38.4</v>
      </c>
      <c r="H288" s="550">
        <v>13.07</v>
      </c>
      <c r="I288" s="551" t="s">
        <v>5</v>
      </c>
      <c r="J288" s="560" t="s">
        <v>5</v>
      </c>
      <c r="K288" s="566">
        <f>Tabel6689212734[[#This Row],[Fix.ch. 2017]]+Tabel6689212734[[#This Row],[Var. ch. 2017]]</f>
        <v>51.47</v>
      </c>
      <c r="L288" s="567" t="s">
        <v>5</v>
      </c>
      <c r="M288" s="560" t="s">
        <v>5</v>
      </c>
      <c r="N288" s="568">
        <v>87.73</v>
      </c>
      <c r="O288" s="560" t="s">
        <v>5</v>
      </c>
      <c r="P288" s="569" t="s">
        <v>5</v>
      </c>
      <c r="Q288" s="560" t="s">
        <v>5</v>
      </c>
      <c r="R288" s="570" t="s">
        <v>5</v>
      </c>
      <c r="S288" s="571">
        <f>Tabel6689212734[[#This Row],[Total. ch. DW 2017]]+Tabel6689212734[[#This Row],[WW 2017]]</f>
        <v>139.19999999999999</v>
      </c>
      <c r="T288" s="397"/>
      <c r="U288" s="1969"/>
      <c r="V288" s="1972"/>
      <c r="W288" s="1975"/>
      <c r="X288" s="1772"/>
      <c r="Y288" s="1978"/>
      <c r="Z288" s="1981"/>
      <c r="AA288" s="1772"/>
      <c r="AB288" s="1955"/>
      <c r="AC288" s="1772"/>
      <c r="AD288" s="1958"/>
      <c r="AE288" s="1772"/>
      <c r="AF288" s="1961"/>
      <c r="AG288" s="1964"/>
      <c r="AH288" s="397"/>
      <c r="AI288" s="396"/>
      <c r="AJ288" s="396"/>
      <c r="AK288" s="396"/>
      <c r="AL288" s="591" t="s">
        <v>429</v>
      </c>
      <c r="AM288" s="591" t="s">
        <v>429</v>
      </c>
      <c r="AN288" s="591" t="s">
        <v>429</v>
      </c>
      <c r="AO288" s="396"/>
      <c r="AP288" s="397"/>
    </row>
    <row r="289" spans="1:42" ht="16.5" hidden="1" thickBot="1" x14ac:dyDescent="0.3">
      <c r="A289" s="2148"/>
      <c r="B289" s="714" t="s">
        <v>212</v>
      </c>
      <c r="C289" s="1053"/>
      <c r="D289" s="807" t="s">
        <v>1151</v>
      </c>
      <c r="E289" s="1923"/>
      <c r="F289" s="715">
        <v>1</v>
      </c>
      <c r="G289" s="716">
        <v>48</v>
      </c>
      <c r="H289" s="717">
        <v>124.66</v>
      </c>
      <c r="I289" s="718" t="s">
        <v>5</v>
      </c>
      <c r="J289" s="560" t="s">
        <v>5</v>
      </c>
      <c r="K289" s="566">
        <f>Tabel6689212734[[#This Row],[Fix.ch. 2017]]+Tabel6689212734[[#This Row],[Var. ch. 2017]]</f>
        <v>172.66</v>
      </c>
      <c r="L289" s="567" t="s">
        <v>5</v>
      </c>
      <c r="M289" s="560" t="s">
        <v>5</v>
      </c>
      <c r="N289" s="720">
        <v>182.97</v>
      </c>
      <c r="O289" s="560" t="s">
        <v>5</v>
      </c>
      <c r="P289" s="721">
        <v>12.36</v>
      </c>
      <c r="Q289" s="719" t="s">
        <v>5</v>
      </c>
      <c r="R289" s="570" t="s">
        <v>5</v>
      </c>
      <c r="S289" s="571">
        <f>Tabel6689212734[[#This Row],[Total. ch. DW 2017]]+Tabel6689212734[[#This Row],[WW 2017]]+Tabel6689212734[[#This Row],[Other ch. 2017]]</f>
        <v>367.99</v>
      </c>
      <c r="T289" s="397"/>
      <c r="U289" s="1970"/>
      <c r="V289" s="1973"/>
      <c r="W289" s="1976"/>
      <c r="X289" s="1773"/>
      <c r="Y289" s="1979"/>
      <c r="Z289" s="1982"/>
      <c r="AA289" s="1773"/>
      <c r="AB289" s="1956"/>
      <c r="AC289" s="1773"/>
      <c r="AD289" s="1959"/>
      <c r="AE289" s="1773"/>
      <c r="AF289" s="1962"/>
      <c r="AG289" s="1965"/>
      <c r="AH289" s="397"/>
      <c r="AI289" s="396"/>
      <c r="AJ289" s="591" t="s">
        <v>429</v>
      </c>
      <c r="AK289" s="591"/>
      <c r="AL289" s="591"/>
      <c r="AM289" s="591" t="s">
        <v>429</v>
      </c>
      <c r="AN289" s="591" t="s">
        <v>429</v>
      </c>
      <c r="AO289" s="396"/>
      <c r="AP289" s="397"/>
    </row>
    <row r="290" spans="1:42" ht="19.5" hidden="1" thickBot="1" x14ac:dyDescent="0.3">
      <c r="A290" s="1833" t="s">
        <v>718</v>
      </c>
      <c r="B290" s="269" t="s">
        <v>761</v>
      </c>
      <c r="C290" s="1048" t="s">
        <v>429</v>
      </c>
      <c r="D290" s="805" t="s">
        <v>1153</v>
      </c>
      <c r="E290" s="2203">
        <v>4300</v>
      </c>
      <c r="F290" s="517">
        <f>'exchange rates'!$M$68</f>
        <v>11.06053</v>
      </c>
      <c r="G290" s="518">
        <f>10/F290</f>
        <v>0.90411580638540834</v>
      </c>
      <c r="H290" s="508">
        <f>908.98/F290</f>
        <v>82.182318568820847</v>
      </c>
      <c r="I290" s="509">
        <v>0</v>
      </c>
      <c r="J290" s="562"/>
      <c r="K290" s="565" t="e">
        <f>Tabel6689212734[[#This Row],[Fix.ch. 2017]]+Tabel6689212734[[#This Row],[Var. ch. 2017]]+Tabel6689212734[[#This Row],[Oth. ch. DW 2017]]+Tabel6689212734[[#This Row],[VAT DW 2017]]</f>
        <v>#VALUE!</v>
      </c>
      <c r="L290" s="510">
        <v>0</v>
      </c>
      <c r="M290" s="562"/>
      <c r="N290" s="511">
        <f>272.69/F290</f>
        <v>24.654333924323698</v>
      </c>
      <c r="O290" s="562"/>
      <c r="P290" s="512">
        <f>22.7/F290</f>
        <v>2.0523428804948769</v>
      </c>
      <c r="Q290" s="562"/>
      <c r="R290" s="513" t="e">
        <f>Tabel6689212734[[#This Row],[VAT DW 2017]]+Tabel6689212734[[#This Row],[VAT Sew. 2017]]+Tabel6689212734[[#This Row],[VAT WW 2017]]+Tabel6689212734[[#This Row],[VAT Other ch. 2017]]</f>
        <v>#VALUE!</v>
      </c>
      <c r="S290" s="590" t="e">
        <f>Tabel6689212734[[#This Row],[Total. ch. DW 2017]]+Tabel6689212734[[#This Row],[Sew. 2017]]+Tabel6689212734[[#This Row],[VAT Sew. 2017]]+Tabel6689212734[[#This Row],[WW 2017]]+Tabel6689212734[[#This Row],[VAT WW 2017]]+Tabel6689212734[[#This Row],[Other ch. 2017]]+Tabel6689212734[[#This Row],[VAT Other ch. 2017]]</f>
        <v>#VALUE!</v>
      </c>
      <c r="T290" s="397"/>
      <c r="U290" s="2057">
        <f>MEDIAN(G290:G293)</f>
        <v>0.45205790319270417</v>
      </c>
      <c r="V290" s="2059">
        <f>MEDIAN(H290:H293)</f>
        <v>75.057886014503822</v>
      </c>
      <c r="W290" s="2204">
        <f>MEDIAN(I290:I293)</f>
        <v>0</v>
      </c>
      <c r="X290" s="583"/>
      <c r="Y290" s="2115">
        <f>SUM(U290:W293)</f>
        <v>75.509943917696532</v>
      </c>
      <c r="Z290" s="2065">
        <f>MEDIAN(L290:L293)</f>
        <v>0</v>
      </c>
      <c r="AA290" s="575"/>
      <c r="AB290" s="2067">
        <f>MEDIAN(N290:N293)</f>
        <v>24.397112977407048</v>
      </c>
      <c r="AC290" s="575"/>
      <c r="AD290" s="2069">
        <f>MEDIAN(P290:P293)</f>
        <v>1.6011890931085579</v>
      </c>
      <c r="AE290" s="575"/>
      <c r="AF290" s="2071" t="e">
        <f>MEDIAN(R290:R293)</f>
        <v>#VALUE!</v>
      </c>
      <c r="AG290" s="2049" t="e">
        <f>SUM(Y290:AF293)</f>
        <v>#VALUE!</v>
      </c>
      <c r="AH290" s="397"/>
      <c r="AI290" s="396" t="s">
        <v>429</v>
      </c>
      <c r="AJ290" s="396"/>
      <c r="AK290" s="398"/>
      <c r="AL290" s="396" t="s">
        <v>429</v>
      </c>
      <c r="AM290" s="396" t="s">
        <v>429</v>
      </c>
      <c r="AN290" s="396" t="s">
        <v>429</v>
      </c>
      <c r="AO290" s="398"/>
      <c r="AP290" s="397"/>
    </row>
    <row r="291" spans="1:42" ht="19.5" hidden="1" thickBot="1" x14ac:dyDescent="0.3">
      <c r="A291" s="1834"/>
      <c r="B291" s="269" t="s">
        <v>762</v>
      </c>
      <c r="C291" s="1048"/>
      <c r="D291" s="805" t="s">
        <v>1153</v>
      </c>
      <c r="E291" s="2086"/>
      <c r="F291" s="519">
        <f>'exchange rates'!$M$68</f>
        <v>11.06053</v>
      </c>
      <c r="G291" s="518">
        <f>5/F291</f>
        <v>0.45205790319270417</v>
      </c>
      <c r="H291" s="508">
        <f>669/F291</f>
        <v>60.485347447183813</v>
      </c>
      <c r="I291" s="509">
        <v>0</v>
      </c>
      <c r="J291" s="562"/>
      <c r="K291" s="565" t="e">
        <f>Tabel6689212734[[#This Row],[Fix.ch. 2017]]+Tabel6689212734[[#This Row],[Var. ch. 2017]]+Tabel6689212734[[#This Row],[Oth. ch. DW 2017]]+Tabel6689212734[[#This Row],[VAT DW 2017]]</f>
        <v>#VALUE!</v>
      </c>
      <c r="L291" s="510">
        <v>0</v>
      </c>
      <c r="M291" s="562"/>
      <c r="N291" s="511">
        <f>267/F291</f>
        <v>24.139892030490401</v>
      </c>
      <c r="O291" s="562"/>
      <c r="P291" s="512">
        <f>16.72/F291</f>
        <v>1.5116816282764025</v>
      </c>
      <c r="Q291" s="562"/>
      <c r="R291" s="513" t="e">
        <f>Tabel6689212734[[#This Row],[VAT DW 2017]]+Tabel6689212734[[#This Row],[VAT Sew. 2017]]+Tabel6689212734[[#This Row],[VAT WW 2017]]+Tabel6689212734[[#This Row],[VAT Other ch. 2017]]</f>
        <v>#VALUE!</v>
      </c>
      <c r="S291" s="590" t="e">
        <f>Tabel6689212734[[#This Row],[Total. ch. DW 2017]]+Tabel6689212734[[#This Row],[Sew. 2017]]+Tabel6689212734[[#This Row],[VAT Sew. 2017]]+Tabel6689212734[[#This Row],[WW 2017]]+Tabel6689212734[[#This Row],[VAT WW 2017]]+Tabel6689212734[[#This Row],[Other ch. 2017]]+Tabel6689212734[[#This Row],[VAT Other ch. 2017]]</f>
        <v>#VALUE!</v>
      </c>
      <c r="T291" s="397"/>
      <c r="U291" s="2058"/>
      <c r="V291" s="2060"/>
      <c r="W291" s="2205"/>
      <c r="X291" s="584"/>
      <c r="Y291" s="1849"/>
      <c r="Z291" s="2066"/>
      <c r="AA291" s="576"/>
      <c r="AB291" s="2207"/>
      <c r="AC291" s="578"/>
      <c r="AD291" s="2070"/>
      <c r="AE291" s="576"/>
      <c r="AF291" s="2072"/>
      <c r="AG291" s="2050"/>
      <c r="AH291" s="397"/>
      <c r="AI291" s="396" t="s">
        <v>429</v>
      </c>
      <c r="AJ291" s="396"/>
      <c r="AK291" s="398"/>
      <c r="AL291" s="396" t="s">
        <v>429</v>
      </c>
      <c r="AM291" s="396" t="s">
        <v>429</v>
      </c>
      <c r="AN291" s="396" t="s">
        <v>429</v>
      </c>
      <c r="AO291" s="398"/>
      <c r="AP291" s="397"/>
    </row>
    <row r="292" spans="1:42" ht="19.5" hidden="1" thickBot="1" x14ac:dyDescent="0.3">
      <c r="A292" s="1834"/>
      <c r="B292" s="269" t="s">
        <v>763</v>
      </c>
      <c r="C292" s="1048"/>
      <c r="D292" s="805" t="s">
        <v>1153</v>
      </c>
      <c r="E292" s="2086"/>
      <c r="F292" s="519">
        <f>'exchange rates'!$M$68</f>
        <v>11.06053</v>
      </c>
      <c r="G292" s="518">
        <f>5/F292</f>
        <v>0.45205790319270417</v>
      </c>
      <c r="H292" s="508">
        <f>751.38/F292</f>
        <v>67.933453460186811</v>
      </c>
      <c r="I292" s="509">
        <v>0</v>
      </c>
      <c r="J292" s="562"/>
      <c r="K292" s="565" t="e">
        <f>Tabel6689212734[[#This Row],[Fix.ch. 2017]]+Tabel6689212734[[#This Row],[Var. ch. 2017]]+Tabel6689212734[[#This Row],[Oth. ch. DW 2017]]+Tabel6689212734[[#This Row],[VAT DW 2017]]</f>
        <v>#VALUE!</v>
      </c>
      <c r="L292" s="510">
        <v>0</v>
      </c>
      <c r="M292" s="562"/>
      <c r="N292" s="511">
        <f>150.2/F292</f>
        <v>13.579819411908831</v>
      </c>
      <c r="O292" s="562"/>
      <c r="P292" s="512">
        <f>18.7/F292</f>
        <v>1.6906965579407134</v>
      </c>
      <c r="Q292" s="562"/>
      <c r="R292" s="513" t="e">
        <f>Tabel6689212734[[#This Row],[VAT DW 2017]]+Tabel6689212734[[#This Row],[VAT Sew. 2017]]+Tabel6689212734[[#This Row],[VAT WW 2017]]+Tabel6689212734[[#This Row],[VAT Other ch. 2017]]</f>
        <v>#VALUE!</v>
      </c>
      <c r="S292" s="590" t="e">
        <f>Tabel6689212734[[#This Row],[Total. ch. DW 2017]]+Tabel6689212734[[#This Row],[Sew. 2017]]+Tabel6689212734[[#This Row],[VAT Sew. 2017]]+Tabel6689212734[[#This Row],[WW 2017]]+Tabel6689212734[[#This Row],[VAT WW 2017]]+Tabel6689212734[[#This Row],[Other ch. 2017]]+Tabel6689212734[[#This Row],[VAT Other ch. 2017]]</f>
        <v>#VALUE!</v>
      </c>
      <c r="T292" s="397"/>
      <c r="U292" s="2058"/>
      <c r="V292" s="2060"/>
      <c r="W292" s="2205"/>
      <c r="X292" s="584"/>
      <c r="Y292" s="1849"/>
      <c r="Z292" s="2066"/>
      <c r="AA292" s="576"/>
      <c r="AB292" s="2207"/>
      <c r="AC292" s="578"/>
      <c r="AD292" s="2070"/>
      <c r="AE292" s="576"/>
      <c r="AF292" s="2072"/>
      <c r="AG292" s="2050"/>
      <c r="AH292" s="397"/>
      <c r="AI292" s="396" t="s">
        <v>429</v>
      </c>
      <c r="AJ292" s="396"/>
      <c r="AK292" s="398"/>
      <c r="AL292" s="396" t="s">
        <v>429</v>
      </c>
      <c r="AM292" s="396" t="s">
        <v>429</v>
      </c>
      <c r="AN292" s="396" t="s">
        <v>429</v>
      </c>
      <c r="AO292" s="398"/>
      <c r="AP292" s="397"/>
    </row>
    <row r="293" spans="1:42" ht="19.5" hidden="1" thickBot="1" x14ac:dyDescent="0.3">
      <c r="A293" s="1835"/>
      <c r="B293" s="290" t="s">
        <v>764</v>
      </c>
      <c r="C293" s="1048"/>
      <c r="D293" s="801" t="s">
        <v>1153</v>
      </c>
      <c r="E293" s="1838"/>
      <c r="F293" s="520">
        <f>'exchange rates'!$M$68</f>
        <v>11.06053</v>
      </c>
      <c r="G293" s="521">
        <f>5/F293</f>
        <v>0.45205790319270417</v>
      </c>
      <c r="H293" s="522">
        <f>1319.38/F293</f>
        <v>119.28723126287801</v>
      </c>
      <c r="I293" s="523">
        <v>0</v>
      </c>
      <c r="J293" s="563"/>
      <c r="K293" s="565" t="e">
        <f>Tabel6689212734[[#This Row],[Fix.ch. 2017]]+Tabel6689212734[[#This Row],[Var. ch. 2017]]+Tabel6689212734[[#This Row],[Oth. ch. DW 2017]]+Tabel6689212734[[#This Row],[VAT DW 2017]]</f>
        <v>#VALUE!</v>
      </c>
      <c r="L293" s="524">
        <v>0</v>
      </c>
      <c r="M293" s="563"/>
      <c r="N293" s="511">
        <f>527.75/F293</f>
        <v>47.714711681989925</v>
      </c>
      <c r="O293" s="562"/>
      <c r="P293" s="512">
        <v>0</v>
      </c>
      <c r="Q293" s="563"/>
      <c r="R293" s="513" t="e">
        <f>Tabel6689212734[[#This Row],[VAT DW 2017]]+Tabel6689212734[[#This Row],[VAT Sew. 2017]]+Tabel6689212734[[#This Row],[VAT WW 2017]]+Tabel6689212734[[#This Row],[VAT Other ch. 2017]]</f>
        <v>#VALUE!</v>
      </c>
      <c r="S293" s="590" t="e">
        <f>Tabel6689212734[[#This Row],[Total. ch. DW 2017]]+Tabel6689212734[[#This Row],[Sew. 2017]]+Tabel6689212734[[#This Row],[VAT Sew. 2017]]+Tabel6689212734[[#This Row],[WW 2017]]+Tabel6689212734[[#This Row],[VAT WW 2017]]+Tabel6689212734[[#This Row],[Other ch. 2017]]+Tabel6689212734[[#This Row],[VAT Other ch. 2017]]</f>
        <v>#VALUE!</v>
      </c>
      <c r="T293" s="397"/>
      <c r="U293" s="1841"/>
      <c r="V293" s="1844"/>
      <c r="W293" s="2206"/>
      <c r="X293" s="585"/>
      <c r="Y293" s="1850"/>
      <c r="Z293" s="1853"/>
      <c r="AA293" s="577"/>
      <c r="AB293" s="2208"/>
      <c r="AC293" s="579"/>
      <c r="AD293" s="1859"/>
      <c r="AE293" s="577"/>
      <c r="AF293" s="1874"/>
      <c r="AG293" s="2051"/>
      <c r="AH293" s="397"/>
      <c r="AI293" s="398"/>
      <c r="AJ293" s="396"/>
      <c r="AK293" s="398"/>
      <c r="AL293" s="396" t="s">
        <v>429</v>
      </c>
      <c r="AM293" s="396" t="s">
        <v>429</v>
      </c>
      <c r="AN293" s="398"/>
      <c r="AO293" s="398"/>
      <c r="AP293" s="397"/>
    </row>
    <row r="294" spans="1:42" x14ac:dyDescent="0.25">
      <c r="A294" s="29"/>
    </row>
    <row r="296" spans="1:42" x14ac:dyDescent="0.25">
      <c r="A296" s="29"/>
    </row>
    <row r="297" spans="1:42" ht="48" hidden="1" thickBot="1" x14ac:dyDescent="0.3">
      <c r="A297" s="250" t="s">
        <v>58</v>
      </c>
      <c r="B297" s="799" t="s">
        <v>1190</v>
      </c>
      <c r="C297" s="799" t="s">
        <v>1022</v>
      </c>
      <c r="D297" s="1061" t="s">
        <v>1192</v>
      </c>
      <c r="E297" s="1062" t="s">
        <v>1193</v>
      </c>
      <c r="F297" s="1063" t="s">
        <v>1194</v>
      </c>
      <c r="G297" s="1064" t="s">
        <v>1195</v>
      </c>
      <c r="H297" s="1065" t="s">
        <v>1196</v>
      </c>
      <c r="I297" s="1066" t="s">
        <v>1198</v>
      </c>
      <c r="J297" s="1064" t="s">
        <v>1197</v>
      </c>
      <c r="K297" s="1067" t="s">
        <v>1199</v>
      </c>
      <c r="L297" s="1064" t="s">
        <v>1200</v>
      </c>
      <c r="M297" s="1081" t="s">
        <v>1205</v>
      </c>
      <c r="N297" s="1082" t="s">
        <v>1208</v>
      </c>
      <c r="O297" s="1070" t="s">
        <v>1206</v>
      </c>
      <c r="P297" s="1064" t="s">
        <v>1207</v>
      </c>
      <c r="Q297" s="1072" t="s">
        <v>1214</v>
      </c>
      <c r="R297" s="618" t="s">
        <v>1203</v>
      </c>
      <c r="S297" s="618" t="s">
        <v>1204</v>
      </c>
    </row>
    <row r="298" spans="1:42" ht="15.75" hidden="1" x14ac:dyDescent="0.25">
      <c r="A298" s="752" t="s">
        <v>217</v>
      </c>
      <c r="B298" s="747" t="s">
        <v>429</v>
      </c>
      <c r="C298" s="815" t="s">
        <v>1024</v>
      </c>
      <c r="D298" s="625" t="s">
        <v>5</v>
      </c>
      <c r="E298" s="593" t="s">
        <v>5</v>
      </c>
      <c r="F298" s="594" t="s">
        <v>5</v>
      </c>
      <c r="G298" s="595" t="s">
        <v>5</v>
      </c>
      <c r="H298" s="566" t="s">
        <v>5</v>
      </c>
      <c r="I298" s="596" t="s">
        <v>5</v>
      </c>
      <c r="J298" s="595" t="s">
        <v>5</v>
      </c>
      <c r="K298" s="626" t="s">
        <v>5</v>
      </c>
      <c r="L298" s="595" t="s">
        <v>5</v>
      </c>
      <c r="M298" s="1076" t="s">
        <v>5</v>
      </c>
      <c r="N298" s="1077" t="s">
        <v>5</v>
      </c>
      <c r="O298" s="597" t="s">
        <v>5</v>
      </c>
      <c r="P298" s="595" t="s">
        <v>5</v>
      </c>
      <c r="Q298" s="571">
        <v>39.878410497900838</v>
      </c>
      <c r="R298" s="1075">
        <f>Q298</f>
        <v>39.878410497900838</v>
      </c>
      <c r="S298" s="1075">
        <f>Q298-R298</f>
        <v>0</v>
      </c>
    </row>
    <row r="299" spans="1:42" ht="15.75" hidden="1" x14ac:dyDescent="0.25">
      <c r="A299" s="747" t="s">
        <v>942</v>
      </c>
      <c r="B299" s="747"/>
      <c r="C299" s="815" t="s">
        <v>1024</v>
      </c>
      <c r="D299" s="625" t="s">
        <v>5</v>
      </c>
      <c r="E299" s="593" t="s">
        <v>5</v>
      </c>
      <c r="F299" s="594" t="s">
        <v>5</v>
      </c>
      <c r="G299" s="595" t="s">
        <v>5</v>
      </c>
      <c r="H299" s="566" t="s">
        <v>5</v>
      </c>
      <c r="I299" s="596" t="s">
        <v>5</v>
      </c>
      <c r="J299" s="595" t="s">
        <v>5</v>
      </c>
      <c r="K299" s="626" t="s">
        <v>5</v>
      </c>
      <c r="L299" s="595" t="s">
        <v>5</v>
      </c>
      <c r="M299" s="1076" t="s">
        <v>5</v>
      </c>
      <c r="N299" s="1077" t="s">
        <v>5</v>
      </c>
      <c r="O299" s="597" t="s">
        <v>5</v>
      </c>
      <c r="P299" s="595" t="s">
        <v>5</v>
      </c>
      <c r="Q299" s="571">
        <v>53.017452953690501</v>
      </c>
      <c r="R299" s="1075">
        <f t="shared" ref="R299:R304" si="49">Q299</f>
        <v>53.017452953690501</v>
      </c>
      <c r="S299" s="1075">
        <f t="shared" ref="S299:S362" si="50">Q299-R299</f>
        <v>0</v>
      </c>
    </row>
    <row r="300" spans="1:42" ht="15.75" hidden="1" x14ac:dyDescent="0.25">
      <c r="A300" s="747" t="s">
        <v>943</v>
      </c>
      <c r="B300" s="747"/>
      <c r="C300" s="815" t="s">
        <v>1024</v>
      </c>
      <c r="D300" s="625" t="s">
        <v>5</v>
      </c>
      <c r="E300" s="593" t="s">
        <v>5</v>
      </c>
      <c r="F300" s="594" t="s">
        <v>5</v>
      </c>
      <c r="G300" s="595" t="s">
        <v>5</v>
      </c>
      <c r="H300" s="566" t="s">
        <v>5</v>
      </c>
      <c r="I300" s="596" t="s">
        <v>5</v>
      </c>
      <c r="J300" s="595" t="s">
        <v>5</v>
      </c>
      <c r="K300" s="626" t="s">
        <v>5</v>
      </c>
      <c r="L300" s="595" t="s">
        <v>5</v>
      </c>
      <c r="M300" s="1076" t="s">
        <v>5</v>
      </c>
      <c r="N300" s="1077" t="s">
        <v>5</v>
      </c>
      <c r="O300" s="597" t="s">
        <v>5</v>
      </c>
      <c r="P300" s="595" t="s">
        <v>5</v>
      </c>
      <c r="Q300" s="571">
        <v>52.186283117091179</v>
      </c>
      <c r="R300" s="1075">
        <f t="shared" si="49"/>
        <v>52.186283117091179</v>
      </c>
      <c r="S300" s="1075">
        <f t="shared" si="50"/>
        <v>0</v>
      </c>
    </row>
    <row r="301" spans="1:42" ht="15.75" hidden="1" x14ac:dyDescent="0.25">
      <c r="A301" s="747" t="s">
        <v>944</v>
      </c>
      <c r="B301" s="747"/>
      <c r="C301" s="815" t="s">
        <v>1024</v>
      </c>
      <c r="D301" s="625" t="s">
        <v>5</v>
      </c>
      <c r="E301" s="593" t="s">
        <v>5</v>
      </c>
      <c r="F301" s="594" t="s">
        <v>5</v>
      </c>
      <c r="G301" s="595" t="s">
        <v>5</v>
      </c>
      <c r="H301" s="566" t="s">
        <v>5</v>
      </c>
      <c r="I301" s="596" t="s">
        <v>5</v>
      </c>
      <c r="J301" s="595" t="s">
        <v>5</v>
      </c>
      <c r="K301" s="626" t="s">
        <v>5</v>
      </c>
      <c r="L301" s="595" t="s">
        <v>5</v>
      </c>
      <c r="M301" s="1076" t="s">
        <v>5</v>
      </c>
      <c r="N301" s="1077" t="s">
        <v>5</v>
      </c>
      <c r="O301" s="597" t="s">
        <v>5</v>
      </c>
      <c r="P301" s="595" t="s">
        <v>5</v>
      </c>
      <c r="Q301" s="571">
        <v>21.048058928113484</v>
      </c>
      <c r="R301" s="1075">
        <f t="shared" si="49"/>
        <v>21.048058928113484</v>
      </c>
      <c r="S301" s="1075">
        <f t="shared" si="50"/>
        <v>0</v>
      </c>
    </row>
    <row r="302" spans="1:42" ht="15.75" hidden="1" x14ac:dyDescent="0.25">
      <c r="A302" s="747" t="s">
        <v>945</v>
      </c>
      <c r="B302" s="747"/>
      <c r="C302" s="815" t="s">
        <v>1024</v>
      </c>
      <c r="D302" s="625" t="s">
        <v>5</v>
      </c>
      <c r="E302" s="593" t="s">
        <v>5</v>
      </c>
      <c r="F302" s="594" t="s">
        <v>5</v>
      </c>
      <c r="G302" s="595" t="s">
        <v>5</v>
      </c>
      <c r="H302" s="566" t="s">
        <v>5</v>
      </c>
      <c r="I302" s="596" t="s">
        <v>5</v>
      </c>
      <c r="J302" s="595" t="s">
        <v>5</v>
      </c>
      <c r="K302" s="626" t="s">
        <v>5</v>
      </c>
      <c r="L302" s="595" t="s">
        <v>5</v>
      </c>
      <c r="M302" s="1076" t="s">
        <v>5</v>
      </c>
      <c r="N302" s="1077" t="s">
        <v>5</v>
      </c>
      <c r="O302" s="597" t="s">
        <v>5</v>
      </c>
      <c r="P302" s="595" t="s">
        <v>5</v>
      </c>
      <c r="Q302" s="571">
        <v>31.054892154907261</v>
      </c>
      <c r="R302" s="1075">
        <f t="shared" si="49"/>
        <v>31.054892154907261</v>
      </c>
      <c r="S302" s="1075">
        <f t="shared" si="50"/>
        <v>0</v>
      </c>
    </row>
    <row r="303" spans="1:42" ht="15.75" hidden="1" x14ac:dyDescent="0.25">
      <c r="A303" s="747" t="s">
        <v>946</v>
      </c>
      <c r="B303" s="747"/>
      <c r="C303" s="815" t="s">
        <v>1024</v>
      </c>
      <c r="D303" s="625" t="s">
        <v>5</v>
      </c>
      <c r="E303" s="593" t="s">
        <v>5</v>
      </c>
      <c r="F303" s="594" t="s">
        <v>5</v>
      </c>
      <c r="G303" s="595" t="s">
        <v>5</v>
      </c>
      <c r="H303" s="566" t="s">
        <v>5</v>
      </c>
      <c r="I303" s="596" t="s">
        <v>5</v>
      </c>
      <c r="J303" s="595" t="s">
        <v>5</v>
      </c>
      <c r="K303" s="626" t="s">
        <v>5</v>
      </c>
      <c r="L303" s="595" t="s">
        <v>5</v>
      </c>
      <c r="M303" s="1076" t="s">
        <v>5</v>
      </c>
      <c r="N303" s="1077" t="s">
        <v>5</v>
      </c>
      <c r="O303" s="597" t="s">
        <v>5</v>
      </c>
      <c r="P303" s="595" t="s">
        <v>5</v>
      </c>
      <c r="Q303" s="571">
        <v>16.652428537404525</v>
      </c>
      <c r="R303" s="1075">
        <f t="shared" si="49"/>
        <v>16.652428537404525</v>
      </c>
      <c r="S303" s="1075">
        <f t="shared" si="50"/>
        <v>0</v>
      </c>
    </row>
    <row r="304" spans="1:42" ht="16.5" hidden="1" thickBot="1" x14ac:dyDescent="0.3">
      <c r="A304" s="658" t="s">
        <v>947</v>
      </c>
      <c r="B304" s="747"/>
      <c r="C304" s="815" t="s">
        <v>1024</v>
      </c>
      <c r="D304" s="625" t="s">
        <v>5</v>
      </c>
      <c r="E304" s="593" t="s">
        <v>5</v>
      </c>
      <c r="F304" s="594" t="s">
        <v>5</v>
      </c>
      <c r="G304" s="595" t="s">
        <v>5</v>
      </c>
      <c r="H304" s="566" t="s">
        <v>5</v>
      </c>
      <c r="I304" s="596" t="s">
        <v>5</v>
      </c>
      <c r="J304" s="595" t="s">
        <v>5</v>
      </c>
      <c r="K304" s="626" t="s">
        <v>5</v>
      </c>
      <c r="L304" s="595" t="s">
        <v>5</v>
      </c>
      <c r="M304" s="1076" t="s">
        <v>5</v>
      </c>
      <c r="N304" s="1077" t="s">
        <v>5</v>
      </c>
      <c r="O304" s="597" t="s">
        <v>5</v>
      </c>
      <c r="P304" s="595" t="s">
        <v>5</v>
      </c>
      <c r="Q304" s="571">
        <v>52.199723767747699</v>
      </c>
      <c r="R304" s="1075">
        <f t="shared" si="49"/>
        <v>52.199723767747699</v>
      </c>
      <c r="S304" s="1075">
        <f t="shared" si="50"/>
        <v>0</v>
      </c>
    </row>
    <row r="305" spans="1:19" ht="16.5" hidden="1" thickBot="1" x14ac:dyDescent="0.3">
      <c r="A305" s="646" t="s">
        <v>526</v>
      </c>
      <c r="B305" s="1054" t="s">
        <v>429</v>
      </c>
      <c r="C305" s="816" t="s">
        <v>1026</v>
      </c>
      <c r="D305" s="625">
        <v>26.392844595536175</v>
      </c>
      <c r="E305" s="593">
        <v>0</v>
      </c>
      <c r="F305" s="594">
        <v>0</v>
      </c>
      <c r="G305" s="595">
        <v>5.2785689191072356</v>
      </c>
      <c r="H305" s="566">
        <v>31.671413514643412</v>
      </c>
      <c r="I305" s="596">
        <v>4.6575608109769719</v>
      </c>
      <c r="J305" s="595">
        <v>0.93151216219539446</v>
      </c>
      <c r="K305" s="626">
        <v>0</v>
      </c>
      <c r="L305" s="595">
        <v>0</v>
      </c>
      <c r="M305" s="1057">
        <f t="shared" ref="M305:N368" si="51">I305+K305</f>
        <v>4.6575608109769719</v>
      </c>
      <c r="N305" s="1058">
        <f t="shared" si="51"/>
        <v>0.93151216219539446</v>
      </c>
      <c r="O305" s="597">
        <v>0</v>
      </c>
      <c r="P305" s="595">
        <v>0</v>
      </c>
      <c r="Q305" s="571">
        <v>37.260486487815783</v>
      </c>
      <c r="R305" s="1075">
        <f>H305+M305+N305+O305+P305</f>
        <v>37.260486487815783</v>
      </c>
      <c r="S305" s="1075">
        <f t="shared" si="50"/>
        <v>0</v>
      </c>
    </row>
    <row r="306" spans="1:19" ht="15.75" hidden="1" x14ac:dyDescent="0.25">
      <c r="A306" s="664" t="s">
        <v>176</v>
      </c>
      <c r="B306" s="653"/>
      <c r="C306" s="653" t="s">
        <v>1028</v>
      </c>
      <c r="D306" s="625">
        <v>149.97854997854998</v>
      </c>
      <c r="E306" s="593">
        <v>274.37307437307436</v>
      </c>
      <c r="F306" s="594">
        <v>0</v>
      </c>
      <c r="G306" s="595">
        <v>0</v>
      </c>
      <c r="H306" s="566">
        <v>424.35162435162431</v>
      </c>
      <c r="I306" s="596">
        <v>407.1604071604072</v>
      </c>
      <c r="J306" s="595">
        <v>0</v>
      </c>
      <c r="K306" s="626">
        <v>0</v>
      </c>
      <c r="L306" s="595">
        <v>0</v>
      </c>
      <c r="M306" s="1057">
        <f t="shared" si="51"/>
        <v>407.1604071604072</v>
      </c>
      <c r="N306" s="1058">
        <f t="shared" si="51"/>
        <v>0</v>
      </c>
      <c r="O306" s="597">
        <v>0</v>
      </c>
      <c r="P306" s="595">
        <v>0</v>
      </c>
      <c r="Q306" s="571">
        <v>831.51203151203151</v>
      </c>
      <c r="R306" s="1075">
        <f t="shared" ref="R306:R319" si="52">H306+M306+N306+O306+P306</f>
        <v>831.51203151203151</v>
      </c>
      <c r="S306" s="1075">
        <f t="shared" si="50"/>
        <v>0</v>
      </c>
    </row>
    <row r="307" spans="1:19" ht="15.75" hidden="1" x14ac:dyDescent="0.25">
      <c r="A307" s="631" t="s">
        <v>178</v>
      </c>
      <c r="B307" s="631"/>
      <c r="C307" s="631" t="s">
        <v>1028</v>
      </c>
      <c r="D307" s="625">
        <v>129.72192972192974</v>
      </c>
      <c r="E307" s="593">
        <v>168.08236808236811</v>
      </c>
      <c r="F307" s="594">
        <v>0</v>
      </c>
      <c r="G307" s="595">
        <v>0</v>
      </c>
      <c r="H307" s="566">
        <v>297.80429780429785</v>
      </c>
      <c r="I307" s="596">
        <v>485.28528528528528</v>
      </c>
      <c r="J307" s="595">
        <v>0</v>
      </c>
      <c r="K307" s="626">
        <v>0</v>
      </c>
      <c r="L307" s="595">
        <v>0</v>
      </c>
      <c r="M307" s="1057">
        <f t="shared" si="51"/>
        <v>485.28528528528528</v>
      </c>
      <c r="N307" s="1058">
        <f t="shared" si="51"/>
        <v>0</v>
      </c>
      <c r="O307" s="597">
        <v>0</v>
      </c>
      <c r="P307" s="595">
        <v>0</v>
      </c>
      <c r="Q307" s="571">
        <v>783.08958308958313</v>
      </c>
      <c r="R307" s="1075">
        <f t="shared" si="52"/>
        <v>783.08958308958313</v>
      </c>
      <c r="S307" s="1075">
        <f t="shared" si="50"/>
        <v>0</v>
      </c>
    </row>
    <row r="308" spans="1:19" ht="15.75" hidden="1" x14ac:dyDescent="0.25">
      <c r="A308" s="631" t="s">
        <v>179</v>
      </c>
      <c r="B308" s="631"/>
      <c r="C308" s="631" t="s">
        <v>1028</v>
      </c>
      <c r="D308" s="625">
        <v>184.32978432978433</v>
      </c>
      <c r="E308" s="593">
        <v>133.61413361413364</v>
      </c>
      <c r="F308" s="594">
        <v>0</v>
      </c>
      <c r="G308" s="595">
        <v>0</v>
      </c>
      <c r="H308" s="566">
        <v>317.943917943918</v>
      </c>
      <c r="I308" s="596">
        <v>591.24059124059124</v>
      </c>
      <c r="J308" s="595">
        <v>0</v>
      </c>
      <c r="K308" s="626">
        <v>0</v>
      </c>
      <c r="L308" s="595">
        <v>0</v>
      </c>
      <c r="M308" s="1057">
        <f t="shared" si="51"/>
        <v>591.24059124059124</v>
      </c>
      <c r="N308" s="1058">
        <f t="shared" si="51"/>
        <v>0</v>
      </c>
      <c r="O308" s="597">
        <v>0</v>
      </c>
      <c r="P308" s="595">
        <v>0</v>
      </c>
      <c r="Q308" s="571">
        <v>909.18450918450924</v>
      </c>
      <c r="R308" s="1075">
        <f t="shared" si="52"/>
        <v>909.18450918450924</v>
      </c>
      <c r="S308" s="1075">
        <f t="shared" si="50"/>
        <v>0</v>
      </c>
    </row>
    <row r="309" spans="1:19" ht="15.75" hidden="1" x14ac:dyDescent="0.25">
      <c r="A309" s="631" t="s">
        <v>180</v>
      </c>
      <c r="B309" s="631"/>
      <c r="C309" s="631" t="s">
        <v>1028</v>
      </c>
      <c r="D309" s="625">
        <v>70.200070200070201</v>
      </c>
      <c r="E309" s="593">
        <v>156.00015600015601</v>
      </c>
      <c r="F309" s="594">
        <v>0</v>
      </c>
      <c r="G309" s="595">
        <v>0</v>
      </c>
      <c r="H309" s="566">
        <v>226.20022620022621</v>
      </c>
      <c r="I309" s="596">
        <v>455.52045552045553</v>
      </c>
      <c r="J309" s="595">
        <v>0</v>
      </c>
      <c r="K309" s="626">
        <v>0</v>
      </c>
      <c r="L309" s="595">
        <v>0</v>
      </c>
      <c r="M309" s="1057">
        <f t="shared" si="51"/>
        <v>455.52045552045553</v>
      </c>
      <c r="N309" s="1058">
        <f t="shared" si="51"/>
        <v>0</v>
      </c>
      <c r="O309" s="597">
        <v>0</v>
      </c>
      <c r="P309" s="595">
        <v>0</v>
      </c>
      <c r="Q309" s="571">
        <v>681.7206817206818</v>
      </c>
      <c r="R309" s="1075">
        <f t="shared" si="52"/>
        <v>681.7206817206818</v>
      </c>
      <c r="S309" s="1075">
        <f t="shared" si="50"/>
        <v>0</v>
      </c>
    </row>
    <row r="310" spans="1:19" ht="16.5" hidden="1" thickBot="1" x14ac:dyDescent="0.3">
      <c r="A310" s="631" t="s">
        <v>544</v>
      </c>
      <c r="B310" s="631" t="s">
        <v>429</v>
      </c>
      <c r="C310" s="631" t="s">
        <v>1028</v>
      </c>
      <c r="D310" s="625">
        <v>79.154479154479162</v>
      </c>
      <c r="E310" s="593">
        <v>203.5802035802036</v>
      </c>
      <c r="F310" s="594">
        <v>0</v>
      </c>
      <c r="G310" s="595">
        <v>0</v>
      </c>
      <c r="H310" s="566">
        <v>282.73468273468279</v>
      </c>
      <c r="I310" s="596">
        <v>412.62041262041265</v>
      </c>
      <c r="J310" s="595">
        <v>0</v>
      </c>
      <c r="K310" s="626">
        <v>0</v>
      </c>
      <c r="L310" s="595">
        <v>0</v>
      </c>
      <c r="M310" s="1057">
        <f t="shared" si="51"/>
        <v>412.62041262041265</v>
      </c>
      <c r="N310" s="1058">
        <f t="shared" si="51"/>
        <v>0</v>
      </c>
      <c r="O310" s="597">
        <v>0</v>
      </c>
      <c r="P310" s="595">
        <v>0</v>
      </c>
      <c r="Q310" s="571">
        <v>695.3550953550955</v>
      </c>
      <c r="R310" s="1075">
        <f t="shared" si="52"/>
        <v>695.3550953550955</v>
      </c>
      <c r="S310" s="1075">
        <f t="shared" si="50"/>
        <v>0</v>
      </c>
    </row>
    <row r="311" spans="1:19" ht="15.75" hidden="1" x14ac:dyDescent="0.25">
      <c r="A311" s="724" t="s">
        <v>932</v>
      </c>
      <c r="B311" s="724"/>
      <c r="C311" s="806" t="s">
        <v>1030</v>
      </c>
      <c r="D311" s="625">
        <v>44.417233886748058</v>
      </c>
      <c r="E311" s="593">
        <v>178.86940132771514</v>
      </c>
      <c r="F311" s="594">
        <v>0</v>
      </c>
      <c r="G311" s="595">
        <v>22.244630916795717</v>
      </c>
      <c r="H311" s="566">
        <v>245.53126613125892</v>
      </c>
      <c r="I311" s="596">
        <v>0</v>
      </c>
      <c r="J311" s="595">
        <v>0</v>
      </c>
      <c r="K311" s="626">
        <v>231.68989567952366</v>
      </c>
      <c r="L311" s="595">
        <v>23.192998883566823</v>
      </c>
      <c r="M311" s="1057">
        <f t="shared" si="51"/>
        <v>231.68989567952366</v>
      </c>
      <c r="N311" s="1058">
        <f t="shared" si="51"/>
        <v>23.192998883566823</v>
      </c>
      <c r="O311" s="597">
        <v>0</v>
      </c>
      <c r="P311" s="595">
        <v>0</v>
      </c>
      <c r="Q311" s="571">
        <v>500.41416069434939</v>
      </c>
      <c r="R311" s="1075">
        <f t="shared" si="52"/>
        <v>500.41416069434939</v>
      </c>
      <c r="S311" s="1075">
        <f t="shared" si="50"/>
        <v>0</v>
      </c>
    </row>
    <row r="312" spans="1:19" ht="15.75" hidden="1" x14ac:dyDescent="0.25">
      <c r="A312" s="735" t="s">
        <v>67</v>
      </c>
      <c r="B312" s="802"/>
      <c r="C312" s="802" t="s">
        <v>1032</v>
      </c>
      <c r="D312" s="625">
        <v>24.009315614458409</v>
      </c>
      <c r="E312" s="593">
        <v>207.12836580593267</v>
      </c>
      <c r="F312" s="594">
        <v>0</v>
      </c>
      <c r="G312" s="595">
        <v>13.865379767349731</v>
      </c>
      <c r="H312" s="566">
        <v>245.00306118774083</v>
      </c>
      <c r="I312" s="596">
        <v>173.63537052376319</v>
      </c>
      <c r="J312" s="595">
        <v>10.420042976674949</v>
      </c>
      <c r="K312" s="626">
        <v>123.33585431147284</v>
      </c>
      <c r="L312" s="595">
        <v>7.3948692092531898</v>
      </c>
      <c r="M312" s="1057">
        <f t="shared" si="51"/>
        <v>296.97122483523606</v>
      </c>
      <c r="N312" s="1058">
        <f t="shared" si="51"/>
        <v>17.81491218592814</v>
      </c>
      <c r="O312" s="597">
        <v>0</v>
      </c>
      <c r="P312" s="595">
        <v>0</v>
      </c>
      <c r="Q312" s="571">
        <v>559.78919820890508</v>
      </c>
      <c r="R312" s="1075">
        <f t="shared" si="52"/>
        <v>559.78919820890508</v>
      </c>
      <c r="S312" s="1075">
        <f t="shared" si="50"/>
        <v>0</v>
      </c>
    </row>
    <row r="313" spans="1:19" ht="15.75" hidden="1" x14ac:dyDescent="0.25">
      <c r="A313" s="685" t="s">
        <v>71</v>
      </c>
      <c r="B313" s="802"/>
      <c r="C313" s="802" t="s">
        <v>1032</v>
      </c>
      <c r="D313" s="625">
        <v>31.212110298795931</v>
      </c>
      <c r="E313" s="593">
        <v>170.98234114836558</v>
      </c>
      <c r="F313" s="594">
        <v>0</v>
      </c>
      <c r="G313" s="595">
        <v>12.136709043108725</v>
      </c>
      <c r="H313" s="566">
        <v>214.33116049027024</v>
      </c>
      <c r="I313" s="596">
        <v>129.35018787289468</v>
      </c>
      <c r="J313" s="595">
        <v>7.767013601277295</v>
      </c>
      <c r="K313" s="626">
        <v>120.55077370019568</v>
      </c>
      <c r="L313" s="595">
        <v>7.2388086577592103</v>
      </c>
      <c r="M313" s="1057">
        <f t="shared" si="51"/>
        <v>249.90096157309034</v>
      </c>
      <c r="N313" s="1058">
        <f t="shared" si="51"/>
        <v>15.005822259036506</v>
      </c>
      <c r="O313" s="597">
        <v>0</v>
      </c>
      <c r="P313" s="595">
        <v>0</v>
      </c>
      <c r="Q313" s="571">
        <v>479.23794432239714</v>
      </c>
      <c r="R313" s="1075">
        <f t="shared" si="52"/>
        <v>479.23794432239708</v>
      </c>
      <c r="S313" s="1075">
        <f t="shared" si="50"/>
        <v>0</v>
      </c>
    </row>
    <row r="314" spans="1:19" ht="15.75" hidden="1" x14ac:dyDescent="0.25">
      <c r="A314" s="685" t="s">
        <v>68</v>
      </c>
      <c r="B314" s="802" t="s">
        <v>429</v>
      </c>
      <c r="C314" s="802" t="s">
        <v>1032</v>
      </c>
      <c r="D314" s="625">
        <v>28.81117873735009</v>
      </c>
      <c r="E314" s="593">
        <v>243.33441375253597</v>
      </c>
      <c r="F314" s="594">
        <v>0</v>
      </c>
      <c r="G314" s="595">
        <v>16.326334617831719</v>
      </c>
      <c r="H314" s="566">
        <v>288.47192710771776</v>
      </c>
      <c r="I314" s="596">
        <v>121.96732332144872</v>
      </c>
      <c r="J314" s="595">
        <v>7.3228412624098143</v>
      </c>
      <c r="K314" s="626">
        <v>65.845548072652193</v>
      </c>
      <c r="L314" s="595">
        <v>3.9495324185784084</v>
      </c>
      <c r="M314" s="1057">
        <f t="shared" si="51"/>
        <v>187.81287139410091</v>
      </c>
      <c r="N314" s="1058">
        <f t="shared" si="51"/>
        <v>11.272373680988222</v>
      </c>
      <c r="O314" s="597">
        <v>0</v>
      </c>
      <c r="P314" s="595">
        <v>0</v>
      </c>
      <c r="Q314" s="571">
        <v>487.55717218280694</v>
      </c>
      <c r="R314" s="1075">
        <f t="shared" si="52"/>
        <v>487.55717218280688</v>
      </c>
      <c r="S314" s="1075">
        <f t="shared" si="50"/>
        <v>0</v>
      </c>
    </row>
    <row r="315" spans="1:19" ht="15.75" hidden="1" x14ac:dyDescent="0.25">
      <c r="A315" s="685" t="s">
        <v>72</v>
      </c>
      <c r="B315" s="802"/>
      <c r="C315" s="802" t="s">
        <v>1032</v>
      </c>
      <c r="D315" s="625">
        <v>67.430162903206437</v>
      </c>
      <c r="E315" s="593">
        <v>286.5871958319828</v>
      </c>
      <c r="F315" s="594">
        <v>3.1092063720723639</v>
      </c>
      <c r="G315" s="595">
        <v>0</v>
      </c>
      <c r="H315" s="566">
        <v>357.12656510726163</v>
      </c>
      <c r="I315" s="596">
        <v>0</v>
      </c>
      <c r="J315" s="595">
        <v>0</v>
      </c>
      <c r="K315" s="626">
        <v>268.90433488193418</v>
      </c>
      <c r="L315" s="595">
        <v>16.134260092916051</v>
      </c>
      <c r="M315" s="1057">
        <f t="shared" si="51"/>
        <v>268.90433488193418</v>
      </c>
      <c r="N315" s="1058">
        <f t="shared" si="51"/>
        <v>16.134260092916051</v>
      </c>
      <c r="O315" s="597">
        <v>0</v>
      </c>
      <c r="P315" s="595">
        <v>0</v>
      </c>
      <c r="Q315" s="571">
        <v>642.16516008211192</v>
      </c>
      <c r="R315" s="1075">
        <f t="shared" si="52"/>
        <v>642.16516008211192</v>
      </c>
      <c r="S315" s="1075">
        <f t="shared" si="50"/>
        <v>0</v>
      </c>
    </row>
    <row r="316" spans="1:19" ht="15.75" hidden="1" x14ac:dyDescent="0.25">
      <c r="A316" s="685" t="s">
        <v>69</v>
      </c>
      <c r="B316" s="802"/>
      <c r="C316" s="802" t="s">
        <v>1032</v>
      </c>
      <c r="D316" s="625">
        <v>24.009315614458409</v>
      </c>
      <c r="E316" s="593">
        <v>207.12836580593267</v>
      </c>
      <c r="F316" s="594">
        <v>0</v>
      </c>
      <c r="G316" s="595">
        <v>13.865379767349731</v>
      </c>
      <c r="H316" s="566">
        <v>245.00306118774083</v>
      </c>
      <c r="I316" s="596">
        <v>173.63537052376319</v>
      </c>
      <c r="J316" s="595">
        <v>10.420042976674949</v>
      </c>
      <c r="K316" s="626">
        <v>123.33585431147284</v>
      </c>
      <c r="L316" s="595">
        <v>7.3948692092531898</v>
      </c>
      <c r="M316" s="1057">
        <f t="shared" si="51"/>
        <v>296.97122483523606</v>
      </c>
      <c r="N316" s="1058">
        <f t="shared" si="51"/>
        <v>17.81491218592814</v>
      </c>
      <c r="O316" s="597">
        <v>0</v>
      </c>
      <c r="P316" s="595">
        <v>0</v>
      </c>
      <c r="Q316" s="571">
        <v>559.78919820890508</v>
      </c>
      <c r="R316" s="1075">
        <f t="shared" si="52"/>
        <v>559.78919820890508</v>
      </c>
      <c r="S316" s="1075">
        <f t="shared" si="50"/>
        <v>0</v>
      </c>
    </row>
    <row r="317" spans="1:19" ht="15.75" hidden="1" x14ac:dyDescent="0.25">
      <c r="A317" s="685" t="s">
        <v>70</v>
      </c>
      <c r="B317" s="802"/>
      <c r="C317" s="802" t="s">
        <v>1032</v>
      </c>
      <c r="D317" s="625">
        <v>24.009315614458409</v>
      </c>
      <c r="E317" s="593">
        <v>207.12836580593267</v>
      </c>
      <c r="F317" s="594">
        <v>0</v>
      </c>
      <c r="G317" s="595">
        <v>13.865379767349731</v>
      </c>
      <c r="H317" s="566">
        <v>245.00306118774083</v>
      </c>
      <c r="I317" s="596">
        <v>173.63537052376319</v>
      </c>
      <c r="J317" s="595">
        <v>10.420042976674949</v>
      </c>
      <c r="K317" s="626">
        <v>123.33585431147284</v>
      </c>
      <c r="L317" s="595">
        <v>7.3948692092531898</v>
      </c>
      <c r="M317" s="1057">
        <f t="shared" si="51"/>
        <v>296.97122483523606</v>
      </c>
      <c r="N317" s="1058">
        <f t="shared" si="51"/>
        <v>17.81491218592814</v>
      </c>
      <c r="O317" s="597">
        <v>0</v>
      </c>
      <c r="P317" s="595">
        <v>0</v>
      </c>
      <c r="Q317" s="571">
        <v>559.78919820890508</v>
      </c>
      <c r="R317" s="1075">
        <f t="shared" si="52"/>
        <v>559.78919820890508</v>
      </c>
      <c r="S317" s="1075">
        <f t="shared" si="50"/>
        <v>0</v>
      </c>
    </row>
    <row r="318" spans="1:19" ht="15.75" hidden="1" x14ac:dyDescent="0.25">
      <c r="A318" s="735" t="s">
        <v>216</v>
      </c>
      <c r="B318" s="802"/>
      <c r="C318" s="802" t="s">
        <v>1032</v>
      </c>
      <c r="D318" s="625">
        <v>31.212110298795931</v>
      </c>
      <c r="E318" s="593">
        <v>249.60084512790959</v>
      </c>
      <c r="F318" s="594">
        <v>0</v>
      </c>
      <c r="G318" s="595">
        <v>16.842534903542575</v>
      </c>
      <c r="H318" s="566">
        <v>297.65549033024809</v>
      </c>
      <c r="I318" s="596">
        <v>168.7854887696426</v>
      </c>
      <c r="J318" s="595">
        <v>10.131931189301447</v>
      </c>
      <c r="K318" s="626">
        <v>120.55077370019568</v>
      </c>
      <c r="L318" s="595">
        <v>7.2388086577592103</v>
      </c>
      <c r="M318" s="1057">
        <f t="shared" si="51"/>
        <v>289.33626246983829</v>
      </c>
      <c r="N318" s="1058">
        <f t="shared" si="51"/>
        <v>17.370739847060658</v>
      </c>
      <c r="O318" s="597">
        <v>0</v>
      </c>
      <c r="P318" s="595">
        <v>0</v>
      </c>
      <c r="Q318" s="571">
        <v>604.36249264714706</v>
      </c>
      <c r="R318" s="1075">
        <f t="shared" si="52"/>
        <v>604.36249264714706</v>
      </c>
      <c r="S318" s="1075">
        <f t="shared" si="50"/>
        <v>0</v>
      </c>
    </row>
    <row r="319" spans="1:19" ht="16.5" hidden="1" thickBot="1" x14ac:dyDescent="0.3">
      <c r="A319" s="736" t="s">
        <v>629</v>
      </c>
      <c r="B319" s="802"/>
      <c r="C319" s="807" t="s">
        <v>1032</v>
      </c>
      <c r="D319" s="625">
        <v>62.904406909881033</v>
      </c>
      <c r="E319" s="593">
        <v>267.34372936699435</v>
      </c>
      <c r="F319" s="594">
        <v>3.1092063720723639</v>
      </c>
      <c r="G319" s="595">
        <v>0</v>
      </c>
      <c r="H319" s="566">
        <v>333.35734264894774</v>
      </c>
      <c r="I319" s="596">
        <v>0</v>
      </c>
      <c r="J319" s="595">
        <v>0</v>
      </c>
      <c r="K319" s="626">
        <v>268.90433488193418</v>
      </c>
      <c r="L319" s="595">
        <v>16.134260092916051</v>
      </c>
      <c r="M319" s="1057">
        <f t="shared" si="51"/>
        <v>268.90433488193418</v>
      </c>
      <c r="N319" s="1058">
        <f t="shared" si="51"/>
        <v>16.134260092916051</v>
      </c>
      <c r="O319" s="597">
        <v>0</v>
      </c>
      <c r="P319" s="595">
        <v>0</v>
      </c>
      <c r="Q319" s="571">
        <v>618.39593762379798</v>
      </c>
      <c r="R319" s="1075">
        <f t="shared" si="52"/>
        <v>618.39593762379798</v>
      </c>
      <c r="S319" s="1075">
        <f t="shared" si="50"/>
        <v>0</v>
      </c>
    </row>
    <row r="320" spans="1:19" ht="15.75" hidden="1" x14ac:dyDescent="0.25">
      <c r="A320" s="729" t="s">
        <v>935</v>
      </c>
      <c r="B320" s="803"/>
      <c r="C320" s="803" t="s">
        <v>1034</v>
      </c>
      <c r="D320" s="625" t="s">
        <v>5</v>
      </c>
      <c r="E320" s="593" t="s">
        <v>5</v>
      </c>
      <c r="F320" s="594" t="s">
        <v>5</v>
      </c>
      <c r="G320" s="595" t="s">
        <v>5</v>
      </c>
      <c r="H320" s="566" t="s">
        <v>5</v>
      </c>
      <c r="I320" s="596" t="s">
        <v>5</v>
      </c>
      <c r="J320" s="595" t="s">
        <v>5</v>
      </c>
      <c r="K320" s="626" t="s">
        <v>5</v>
      </c>
      <c r="L320" s="595" t="s">
        <v>5</v>
      </c>
      <c r="M320" s="1076" t="s">
        <v>5</v>
      </c>
      <c r="N320" s="1077" t="s">
        <v>5</v>
      </c>
      <c r="O320" s="597" t="s">
        <v>5</v>
      </c>
      <c r="P320" s="595" t="s">
        <v>5</v>
      </c>
      <c r="Q320" s="571">
        <v>89.379267029618958</v>
      </c>
      <c r="R320" s="1075">
        <f>Q320</f>
        <v>89.379267029618958</v>
      </c>
      <c r="S320" s="1075">
        <f t="shared" si="50"/>
        <v>0</v>
      </c>
    </row>
    <row r="321" spans="1:19" ht="15.75" hidden="1" x14ac:dyDescent="0.25">
      <c r="A321" s="632" t="s">
        <v>462</v>
      </c>
      <c r="B321" s="803"/>
      <c r="C321" s="803" t="s">
        <v>1034</v>
      </c>
      <c r="D321" s="625" t="s">
        <v>5</v>
      </c>
      <c r="E321" s="593" t="s">
        <v>5</v>
      </c>
      <c r="F321" s="594" t="s">
        <v>5</v>
      </c>
      <c r="G321" s="595" t="s">
        <v>5</v>
      </c>
      <c r="H321" s="566" t="s">
        <v>5</v>
      </c>
      <c r="I321" s="596" t="s">
        <v>5</v>
      </c>
      <c r="J321" s="595" t="s">
        <v>5</v>
      </c>
      <c r="K321" s="626" t="s">
        <v>5</v>
      </c>
      <c r="L321" s="595" t="s">
        <v>5</v>
      </c>
      <c r="M321" s="1076" t="s">
        <v>5</v>
      </c>
      <c r="N321" s="1077" t="s">
        <v>5</v>
      </c>
      <c r="O321" s="597" t="s">
        <v>5</v>
      </c>
      <c r="P321" s="595" t="s">
        <v>5</v>
      </c>
      <c r="Q321" s="571">
        <v>73.375546919585844</v>
      </c>
      <c r="R321" s="1075">
        <f>Q321</f>
        <v>73.375546919585844</v>
      </c>
      <c r="S321" s="1075">
        <f t="shared" si="50"/>
        <v>0</v>
      </c>
    </row>
    <row r="322" spans="1:19" ht="16.5" hidden="1" thickBot="1" x14ac:dyDescent="0.3">
      <c r="A322" s="730" t="s">
        <v>933</v>
      </c>
      <c r="B322" s="803" t="s">
        <v>429</v>
      </c>
      <c r="C322" s="810" t="s">
        <v>1034</v>
      </c>
      <c r="D322" s="625" t="s">
        <v>5</v>
      </c>
      <c r="E322" s="593" t="s">
        <v>5</v>
      </c>
      <c r="F322" s="594" t="s">
        <v>5</v>
      </c>
      <c r="G322" s="595" t="s">
        <v>5</v>
      </c>
      <c r="H322" s="566" t="s">
        <v>5</v>
      </c>
      <c r="I322" s="596" t="s">
        <v>5</v>
      </c>
      <c r="J322" s="595" t="s">
        <v>5</v>
      </c>
      <c r="K322" s="626" t="s">
        <v>5</v>
      </c>
      <c r="L322" s="595" t="s">
        <v>5</v>
      </c>
      <c r="M322" s="1076" t="s">
        <v>5</v>
      </c>
      <c r="N322" s="1077" t="s">
        <v>5</v>
      </c>
      <c r="O322" s="597" t="s">
        <v>5</v>
      </c>
      <c r="P322" s="595" t="s">
        <v>5</v>
      </c>
      <c r="Q322" s="571">
        <v>131.95520166197124</v>
      </c>
      <c r="R322" s="1075">
        <f>Q322</f>
        <v>131.95520166197124</v>
      </c>
      <c r="S322" s="1075">
        <f t="shared" si="50"/>
        <v>0</v>
      </c>
    </row>
    <row r="323" spans="1:19" ht="15.75" hidden="1" x14ac:dyDescent="0.25">
      <c r="A323" s="623" t="s">
        <v>73</v>
      </c>
      <c r="B323" s="802" t="s">
        <v>429</v>
      </c>
      <c r="C323" s="802" t="s">
        <v>1036</v>
      </c>
      <c r="D323" s="625">
        <v>71.806453988633706</v>
      </c>
      <c r="E323" s="593">
        <v>0</v>
      </c>
      <c r="F323" s="594">
        <v>0</v>
      </c>
      <c r="G323" s="595">
        <v>14.11579864733825</v>
      </c>
      <c r="H323" s="566">
        <v>85.922252635971958</v>
      </c>
      <c r="I323" s="596">
        <v>20.866832783021763</v>
      </c>
      <c r="J323" s="595">
        <v>4.2961126317985983</v>
      </c>
      <c r="K323" s="626">
        <v>17.798180903165619</v>
      </c>
      <c r="L323" s="595">
        <v>3.68238225582737</v>
      </c>
      <c r="M323" s="1057">
        <f t="shared" si="51"/>
        <v>38.665013686187379</v>
      </c>
      <c r="N323" s="1058">
        <f t="shared" si="51"/>
        <v>7.9784948876259687</v>
      </c>
      <c r="O323" s="597">
        <v>0</v>
      </c>
      <c r="P323" s="595">
        <v>0</v>
      </c>
      <c r="Q323" s="571">
        <v>132.56576120978531</v>
      </c>
      <c r="R323" s="1075">
        <f t="shared" ref="R323:R386" si="53">H323+M323+N323+O323+P323</f>
        <v>132.56576120978531</v>
      </c>
      <c r="S323" s="1075">
        <f t="shared" si="50"/>
        <v>0</v>
      </c>
    </row>
    <row r="324" spans="1:19" ht="15.75" hidden="1" x14ac:dyDescent="0.25">
      <c r="A324" s="685" t="s">
        <v>74</v>
      </c>
      <c r="B324" s="802"/>
      <c r="C324" s="802" t="s">
        <v>1036</v>
      </c>
      <c r="D324" s="625">
        <v>79.171218500288447</v>
      </c>
      <c r="E324" s="593">
        <v>0</v>
      </c>
      <c r="F324" s="594">
        <v>0</v>
      </c>
      <c r="G324" s="595">
        <v>15.956989775251936</v>
      </c>
      <c r="H324" s="566">
        <v>95.128208275540388</v>
      </c>
      <c r="I324" s="596">
        <v>17.798180903165619</v>
      </c>
      <c r="J324" s="595">
        <v>3.68238225582737</v>
      </c>
      <c r="K324" s="626">
        <v>34.368901054388786</v>
      </c>
      <c r="L324" s="595">
        <v>6.7510341356835113</v>
      </c>
      <c r="M324" s="1057">
        <f t="shared" si="51"/>
        <v>52.167081957554402</v>
      </c>
      <c r="N324" s="1058">
        <f t="shared" si="51"/>
        <v>10.433416391510882</v>
      </c>
      <c r="O324" s="597">
        <v>0</v>
      </c>
      <c r="P324" s="595">
        <v>0</v>
      </c>
      <c r="Q324" s="571">
        <v>157.72870662460568</v>
      </c>
      <c r="R324" s="1075">
        <f t="shared" si="53"/>
        <v>157.72870662460568</v>
      </c>
      <c r="S324" s="1075">
        <f t="shared" si="50"/>
        <v>0</v>
      </c>
    </row>
    <row r="325" spans="1:19" ht="15.75" hidden="1" x14ac:dyDescent="0.25">
      <c r="A325" s="685" t="s">
        <v>75</v>
      </c>
      <c r="B325" s="802"/>
      <c r="C325" s="802" t="s">
        <v>1036</v>
      </c>
      <c r="D325" s="625">
        <v>90.832095643741795</v>
      </c>
      <c r="E325" s="593">
        <v>0</v>
      </c>
      <c r="F325" s="594">
        <v>0</v>
      </c>
      <c r="G325" s="595">
        <v>18.411911279136849</v>
      </c>
      <c r="H325" s="566">
        <v>109.24400692287864</v>
      </c>
      <c r="I325" s="596">
        <v>7.36476451165474</v>
      </c>
      <c r="J325" s="595">
        <v>1.2274607519424565</v>
      </c>
      <c r="K325" s="626">
        <v>19.025641655108078</v>
      </c>
      <c r="L325" s="595">
        <v>3.68238225582737</v>
      </c>
      <c r="M325" s="1057">
        <f t="shared" si="51"/>
        <v>26.390406166762819</v>
      </c>
      <c r="N325" s="1058">
        <f t="shared" si="51"/>
        <v>4.9098430077698261</v>
      </c>
      <c r="O325" s="597">
        <v>0</v>
      </c>
      <c r="P325" s="595">
        <v>0</v>
      </c>
      <c r="Q325" s="571">
        <v>140.54425609741131</v>
      </c>
      <c r="R325" s="1075">
        <f t="shared" si="53"/>
        <v>140.54425609741131</v>
      </c>
      <c r="S325" s="1075">
        <f t="shared" si="50"/>
        <v>0</v>
      </c>
    </row>
    <row r="326" spans="1:19" ht="15.75" hidden="1" x14ac:dyDescent="0.25">
      <c r="A326" s="685" t="s">
        <v>76</v>
      </c>
      <c r="B326" s="802"/>
      <c r="C326" s="802" t="s">
        <v>1036</v>
      </c>
      <c r="D326" s="625">
        <v>128.88337895395793</v>
      </c>
      <c r="E326" s="593">
        <v>0</v>
      </c>
      <c r="F326" s="594">
        <v>0</v>
      </c>
      <c r="G326" s="595">
        <v>25.77667579079159</v>
      </c>
      <c r="H326" s="566">
        <v>154.66005474474952</v>
      </c>
      <c r="I326" s="596">
        <v>4.9098430077698261</v>
      </c>
      <c r="J326" s="595">
        <v>1.2274607519424565</v>
      </c>
      <c r="K326" s="626">
        <v>10.433416391510882</v>
      </c>
      <c r="L326" s="595">
        <v>1.841191127913685</v>
      </c>
      <c r="M326" s="1057">
        <f t="shared" si="51"/>
        <v>15.343259399280708</v>
      </c>
      <c r="N326" s="1058">
        <f t="shared" si="51"/>
        <v>3.0686518798561417</v>
      </c>
      <c r="O326" s="597">
        <v>0</v>
      </c>
      <c r="P326" s="595">
        <v>0</v>
      </c>
      <c r="Q326" s="571">
        <v>173.07196602388638</v>
      </c>
      <c r="R326" s="1075">
        <f t="shared" si="53"/>
        <v>173.07196602388635</v>
      </c>
      <c r="S326" s="1075">
        <f t="shared" si="50"/>
        <v>0</v>
      </c>
    </row>
    <row r="327" spans="1:19" ht="16.5" hidden="1" thickBot="1" x14ac:dyDescent="0.3">
      <c r="A327" s="624" t="s">
        <v>77</v>
      </c>
      <c r="B327" s="802"/>
      <c r="C327" s="802" t="s">
        <v>1036</v>
      </c>
      <c r="D327" s="625">
        <v>111.08519805079233</v>
      </c>
      <c r="E327" s="593">
        <v>0</v>
      </c>
      <c r="F327" s="594">
        <v>0</v>
      </c>
      <c r="G327" s="595">
        <v>22.094293534964219</v>
      </c>
      <c r="H327" s="566">
        <v>133.17949158575655</v>
      </c>
      <c r="I327" s="596">
        <v>6.1373037597122826</v>
      </c>
      <c r="J327" s="595">
        <v>1.2274607519424565</v>
      </c>
      <c r="K327" s="626">
        <v>22.094293534964219</v>
      </c>
      <c r="L327" s="595">
        <v>4.2961126317985983</v>
      </c>
      <c r="M327" s="1057">
        <f t="shared" si="51"/>
        <v>28.231597294676501</v>
      </c>
      <c r="N327" s="1058">
        <f t="shared" si="51"/>
        <v>5.5235733837410548</v>
      </c>
      <c r="O327" s="597">
        <v>0</v>
      </c>
      <c r="P327" s="595">
        <v>0</v>
      </c>
      <c r="Q327" s="571">
        <v>166.93466226417411</v>
      </c>
      <c r="R327" s="1075">
        <f t="shared" si="53"/>
        <v>166.93466226417411</v>
      </c>
      <c r="S327" s="1075">
        <f t="shared" si="50"/>
        <v>0</v>
      </c>
    </row>
    <row r="328" spans="1:19" ht="15.75" hidden="1" x14ac:dyDescent="0.25">
      <c r="A328" s="740" t="s">
        <v>548</v>
      </c>
      <c r="B328" s="806"/>
      <c r="C328" s="806" t="s">
        <v>1040</v>
      </c>
      <c r="D328" s="625">
        <v>148.76072487853753</v>
      </c>
      <c r="E328" s="593">
        <v>138.29626507844367</v>
      </c>
      <c r="F328" s="594">
        <v>0</v>
      </c>
      <c r="G328" s="595">
        <v>0</v>
      </c>
      <c r="H328" s="566">
        <v>287.05698995698117</v>
      </c>
      <c r="I328" s="596">
        <v>0</v>
      </c>
      <c r="J328" s="595">
        <v>0</v>
      </c>
      <c r="K328" s="626">
        <v>346.69486875690808</v>
      </c>
      <c r="L328" s="595">
        <v>0</v>
      </c>
      <c r="M328" s="1057">
        <f t="shared" si="51"/>
        <v>346.69486875690808</v>
      </c>
      <c r="N328" s="1058">
        <f t="shared" si="51"/>
        <v>0</v>
      </c>
      <c r="O328" s="597">
        <v>0</v>
      </c>
      <c r="P328" s="595">
        <v>0</v>
      </c>
      <c r="Q328" s="571">
        <v>633.75185871388931</v>
      </c>
      <c r="R328" s="1075">
        <f t="shared" si="53"/>
        <v>633.75185871388931</v>
      </c>
      <c r="S328" s="1075">
        <f t="shared" si="50"/>
        <v>0</v>
      </c>
    </row>
    <row r="329" spans="1:19" ht="15.75" hidden="1" x14ac:dyDescent="0.25">
      <c r="A329" s="724" t="s">
        <v>940</v>
      </c>
      <c r="B329" s="724" t="s">
        <v>429</v>
      </c>
      <c r="C329" s="724" t="s">
        <v>1040</v>
      </c>
      <c r="D329" s="625">
        <v>87.214433957013028</v>
      </c>
      <c r="E329" s="593">
        <v>149.74673780802965</v>
      </c>
      <c r="F329" s="594">
        <v>0</v>
      </c>
      <c r="G329" s="595">
        <v>0</v>
      </c>
      <c r="H329" s="566">
        <v>236.96117176504268</v>
      </c>
      <c r="I329" s="596">
        <v>0</v>
      </c>
      <c r="J329" s="595">
        <v>0</v>
      </c>
      <c r="K329" s="626">
        <v>252.06943439435747</v>
      </c>
      <c r="L329" s="595">
        <v>0</v>
      </c>
      <c r="M329" s="1057">
        <f t="shared" si="51"/>
        <v>252.06943439435747</v>
      </c>
      <c r="N329" s="1058">
        <f t="shared" si="51"/>
        <v>0</v>
      </c>
      <c r="O329" s="597">
        <v>0</v>
      </c>
      <c r="P329" s="595">
        <v>0</v>
      </c>
      <c r="Q329" s="571">
        <v>489.03060615940012</v>
      </c>
      <c r="R329" s="1075">
        <f t="shared" si="53"/>
        <v>489.03060615940012</v>
      </c>
      <c r="S329" s="1075">
        <f t="shared" si="50"/>
        <v>0</v>
      </c>
    </row>
    <row r="330" spans="1:19" ht="15.75" hidden="1" x14ac:dyDescent="0.25">
      <c r="A330" s="724" t="s">
        <v>549</v>
      </c>
      <c r="B330" s="724"/>
      <c r="C330" s="724" t="s">
        <v>1040</v>
      </c>
      <c r="D330" s="625">
        <v>142.60609578638508</v>
      </c>
      <c r="E330" s="593">
        <v>141.27020730126671</v>
      </c>
      <c r="F330" s="594">
        <v>0</v>
      </c>
      <c r="G330" s="595">
        <v>0</v>
      </c>
      <c r="H330" s="566">
        <v>283.87630308765176</v>
      </c>
      <c r="I330" s="596">
        <v>0</v>
      </c>
      <c r="J330" s="595">
        <v>0</v>
      </c>
      <c r="K330" s="626">
        <v>201.97361620241892</v>
      </c>
      <c r="L330" s="595">
        <v>0</v>
      </c>
      <c r="M330" s="1057">
        <f t="shared" si="51"/>
        <v>201.97361620241892</v>
      </c>
      <c r="N330" s="1058">
        <f t="shared" si="51"/>
        <v>0</v>
      </c>
      <c r="O330" s="597">
        <v>0</v>
      </c>
      <c r="P330" s="595">
        <v>0</v>
      </c>
      <c r="Q330" s="571">
        <v>485.84991929007072</v>
      </c>
      <c r="R330" s="1075">
        <f t="shared" si="53"/>
        <v>485.84991929007072</v>
      </c>
      <c r="S330" s="1075">
        <f t="shared" si="50"/>
        <v>0</v>
      </c>
    </row>
    <row r="331" spans="1:19" ht="15.75" hidden="1" x14ac:dyDescent="0.25">
      <c r="A331" s="724" t="s">
        <v>722</v>
      </c>
      <c r="B331" s="724"/>
      <c r="C331" s="724" t="s">
        <v>1040</v>
      </c>
      <c r="D331" s="625">
        <v>190.84121215976592</v>
      </c>
      <c r="E331" s="593">
        <v>284.67147480498414</v>
      </c>
      <c r="F331" s="594">
        <v>0</v>
      </c>
      <c r="G331" s="595">
        <v>0</v>
      </c>
      <c r="H331" s="566">
        <v>475.51268696475006</v>
      </c>
      <c r="I331" s="596">
        <v>0</v>
      </c>
      <c r="J331" s="595">
        <v>0</v>
      </c>
      <c r="K331" s="626">
        <v>196.40741418109241</v>
      </c>
      <c r="L331" s="595">
        <v>0</v>
      </c>
      <c r="M331" s="1057">
        <f t="shared" si="51"/>
        <v>196.40741418109241</v>
      </c>
      <c r="N331" s="1058">
        <f t="shared" si="51"/>
        <v>0</v>
      </c>
      <c r="O331" s="597">
        <v>0</v>
      </c>
      <c r="P331" s="595">
        <v>0</v>
      </c>
      <c r="Q331" s="571">
        <v>671.92010114584241</v>
      </c>
      <c r="R331" s="1075">
        <f t="shared" si="53"/>
        <v>671.92010114584241</v>
      </c>
      <c r="S331" s="1075">
        <f t="shared" si="50"/>
        <v>0</v>
      </c>
    </row>
    <row r="332" spans="1:19" ht="15.75" hidden="1" x14ac:dyDescent="0.25">
      <c r="A332" s="724" t="s">
        <v>723</v>
      </c>
      <c r="B332" s="724"/>
      <c r="C332" s="724" t="s">
        <v>1040</v>
      </c>
      <c r="D332" s="625">
        <v>489.8257778767325</v>
      </c>
      <c r="E332" s="593">
        <v>0</v>
      </c>
      <c r="F332" s="594">
        <v>0</v>
      </c>
      <c r="G332" s="595">
        <v>0</v>
      </c>
      <c r="H332" s="566">
        <v>489.8257778767325</v>
      </c>
      <c r="I332" s="596">
        <v>0</v>
      </c>
      <c r="J332" s="595">
        <v>0</v>
      </c>
      <c r="K332" s="626">
        <v>305.34593945562546</v>
      </c>
      <c r="L332" s="595">
        <v>0</v>
      </c>
      <c r="M332" s="1057">
        <f t="shared" si="51"/>
        <v>305.34593945562546</v>
      </c>
      <c r="N332" s="1058">
        <f t="shared" si="51"/>
        <v>0</v>
      </c>
      <c r="O332" s="597">
        <v>0</v>
      </c>
      <c r="P332" s="595">
        <v>0</v>
      </c>
      <c r="Q332" s="571">
        <v>795.17171733235796</v>
      </c>
      <c r="R332" s="1075">
        <f t="shared" si="53"/>
        <v>795.17171733235796</v>
      </c>
      <c r="S332" s="1075">
        <f t="shared" si="50"/>
        <v>0</v>
      </c>
    </row>
    <row r="333" spans="1:19" ht="16.5" hidden="1" thickBot="1" x14ac:dyDescent="0.3">
      <c r="A333" s="743" t="s">
        <v>552</v>
      </c>
      <c r="B333" s="807"/>
      <c r="C333" s="807" t="s">
        <v>1040</v>
      </c>
      <c r="D333" s="625">
        <v>167.65400488235434</v>
      </c>
      <c r="E333" s="593">
        <v>82.825086077338398</v>
      </c>
      <c r="F333" s="594">
        <v>0</v>
      </c>
      <c r="G333" s="595">
        <v>0</v>
      </c>
      <c r="H333" s="566">
        <v>250.47909095969274</v>
      </c>
      <c r="I333" s="596">
        <v>0</v>
      </c>
      <c r="J333" s="595">
        <v>0</v>
      </c>
      <c r="K333" s="626">
        <v>199.58810105042184</v>
      </c>
      <c r="L333" s="595">
        <v>0</v>
      </c>
      <c r="M333" s="1057">
        <f t="shared" si="51"/>
        <v>199.58810105042184</v>
      </c>
      <c r="N333" s="1058">
        <f t="shared" si="51"/>
        <v>0</v>
      </c>
      <c r="O333" s="597">
        <v>0</v>
      </c>
      <c r="P333" s="595">
        <v>0</v>
      </c>
      <c r="Q333" s="571">
        <v>450.06719201011458</v>
      </c>
      <c r="R333" s="1075">
        <f t="shared" si="53"/>
        <v>450.06719201011458</v>
      </c>
      <c r="S333" s="1075">
        <f t="shared" si="50"/>
        <v>0</v>
      </c>
    </row>
    <row r="334" spans="1:19" ht="15.75" hidden="1" x14ac:dyDescent="0.25">
      <c r="A334" s="623" t="s">
        <v>78</v>
      </c>
      <c r="B334" s="802" t="s">
        <v>429</v>
      </c>
      <c r="C334" s="802" t="s">
        <v>1044</v>
      </c>
      <c r="D334" s="686">
        <v>31.837533221773793</v>
      </c>
      <c r="E334" s="593">
        <v>0</v>
      </c>
      <c r="F334" s="594">
        <v>0</v>
      </c>
      <c r="G334" s="595">
        <v>0</v>
      </c>
      <c r="H334" s="566">
        <v>31.837533221773793</v>
      </c>
      <c r="I334" s="596">
        <v>0</v>
      </c>
      <c r="J334" s="595">
        <v>0</v>
      </c>
      <c r="K334" s="626">
        <v>20.917413131213703</v>
      </c>
      <c r="L334" s="595">
        <v>0</v>
      </c>
      <c r="M334" s="1057">
        <f t="shared" si="51"/>
        <v>20.917413131213703</v>
      </c>
      <c r="N334" s="1058">
        <f t="shared" si="51"/>
        <v>0</v>
      </c>
      <c r="O334" s="597">
        <v>24.147307805886406</v>
      </c>
      <c r="P334" s="595">
        <v>0</v>
      </c>
      <c r="Q334" s="571">
        <v>76.902254158873902</v>
      </c>
      <c r="R334" s="1075">
        <f t="shared" si="53"/>
        <v>76.902254158873902</v>
      </c>
      <c r="S334" s="1075">
        <f t="shared" si="50"/>
        <v>0</v>
      </c>
    </row>
    <row r="335" spans="1:19" ht="15.75" hidden="1" x14ac:dyDescent="0.25">
      <c r="A335" s="685" t="s">
        <v>79</v>
      </c>
      <c r="B335" s="802"/>
      <c r="C335" s="802" t="s">
        <v>1044</v>
      </c>
      <c r="D335" s="686">
        <v>29.530465597007581</v>
      </c>
      <c r="E335" s="593">
        <v>0</v>
      </c>
      <c r="F335" s="594">
        <v>0</v>
      </c>
      <c r="G335" s="595">
        <v>0</v>
      </c>
      <c r="H335" s="566">
        <v>29.530465597007581</v>
      </c>
      <c r="I335" s="596">
        <v>0</v>
      </c>
      <c r="J335" s="595">
        <v>0</v>
      </c>
      <c r="K335" s="626">
        <v>26.146766414017129</v>
      </c>
      <c r="L335" s="595">
        <v>0</v>
      </c>
      <c r="M335" s="1057">
        <f t="shared" si="51"/>
        <v>26.146766414017129</v>
      </c>
      <c r="N335" s="1058">
        <f t="shared" si="51"/>
        <v>0</v>
      </c>
      <c r="O335" s="597">
        <v>0</v>
      </c>
      <c r="P335" s="595">
        <v>0</v>
      </c>
      <c r="Q335" s="571">
        <v>55.677232011024714</v>
      </c>
      <c r="R335" s="1075">
        <f t="shared" si="53"/>
        <v>55.677232011024714</v>
      </c>
      <c r="S335" s="1075">
        <f t="shared" si="50"/>
        <v>0</v>
      </c>
    </row>
    <row r="336" spans="1:19" ht="15.75" hidden="1" x14ac:dyDescent="0.25">
      <c r="A336" s="685" t="s">
        <v>80</v>
      </c>
      <c r="B336" s="802"/>
      <c r="C336" s="802" t="s">
        <v>1044</v>
      </c>
      <c r="D336" s="686">
        <v>40.142976670932178</v>
      </c>
      <c r="E336" s="593">
        <v>0</v>
      </c>
      <c r="F336" s="594">
        <v>21.378826656166947</v>
      </c>
      <c r="G336" s="595">
        <v>0</v>
      </c>
      <c r="H336" s="566">
        <v>61.521803327099121</v>
      </c>
      <c r="I336" s="596">
        <v>0</v>
      </c>
      <c r="J336" s="595">
        <v>0</v>
      </c>
      <c r="K336" s="626">
        <v>13.842405748597303</v>
      </c>
      <c r="L336" s="595">
        <v>0</v>
      </c>
      <c r="M336" s="1057">
        <f t="shared" si="51"/>
        <v>13.842405748597303</v>
      </c>
      <c r="N336" s="1058">
        <f t="shared" si="51"/>
        <v>0</v>
      </c>
      <c r="O336" s="597">
        <v>0</v>
      </c>
      <c r="P336" s="595">
        <v>0</v>
      </c>
      <c r="Q336" s="571">
        <v>75.364209075696422</v>
      </c>
      <c r="R336" s="1075">
        <f t="shared" si="53"/>
        <v>75.364209075696422</v>
      </c>
      <c r="S336" s="1075">
        <f t="shared" si="50"/>
        <v>0</v>
      </c>
    </row>
    <row r="337" spans="1:19" ht="15.75" hidden="1" x14ac:dyDescent="0.25">
      <c r="A337" s="624" t="s">
        <v>81</v>
      </c>
      <c r="B337" s="802"/>
      <c r="C337" s="802" t="s">
        <v>1044</v>
      </c>
      <c r="D337" s="686">
        <v>41.065803720838666</v>
      </c>
      <c r="E337" s="593">
        <v>0</v>
      </c>
      <c r="F337" s="594">
        <v>0</v>
      </c>
      <c r="G337" s="595">
        <v>0</v>
      </c>
      <c r="H337" s="566">
        <v>41.065803720838666</v>
      </c>
      <c r="I337" s="596">
        <v>0</v>
      </c>
      <c r="J337" s="595">
        <v>0</v>
      </c>
      <c r="K337" s="626">
        <v>13.842405748597303</v>
      </c>
      <c r="L337" s="595">
        <v>0</v>
      </c>
      <c r="M337" s="1057">
        <f t="shared" si="51"/>
        <v>13.842405748597303</v>
      </c>
      <c r="N337" s="1058">
        <f t="shared" si="51"/>
        <v>0</v>
      </c>
      <c r="O337" s="597">
        <v>0</v>
      </c>
      <c r="P337" s="595">
        <v>0</v>
      </c>
      <c r="Q337" s="571">
        <v>54.908209469435967</v>
      </c>
      <c r="R337" s="1075">
        <f t="shared" si="53"/>
        <v>54.908209469435967</v>
      </c>
      <c r="S337" s="1075">
        <f t="shared" si="50"/>
        <v>0</v>
      </c>
    </row>
    <row r="338" spans="1:19" ht="16.5" hidden="1" thickBot="1" x14ac:dyDescent="0.3">
      <c r="A338" s="684" t="s">
        <v>468</v>
      </c>
      <c r="B338" s="802"/>
      <c r="C338" s="802" t="s">
        <v>1044</v>
      </c>
      <c r="D338" s="686">
        <v>30.453292646914065</v>
      </c>
      <c r="E338" s="593">
        <v>0</v>
      </c>
      <c r="F338" s="594">
        <v>0</v>
      </c>
      <c r="G338" s="595">
        <v>0</v>
      </c>
      <c r="H338" s="566">
        <v>30.453292646914065</v>
      </c>
      <c r="I338" s="596">
        <v>0</v>
      </c>
      <c r="J338" s="595">
        <v>0</v>
      </c>
      <c r="K338" s="626">
        <v>13.842405748597303</v>
      </c>
      <c r="L338" s="595">
        <v>0</v>
      </c>
      <c r="M338" s="1057">
        <f t="shared" si="51"/>
        <v>13.842405748597303</v>
      </c>
      <c r="N338" s="1058">
        <f t="shared" si="51"/>
        <v>0</v>
      </c>
      <c r="O338" s="597">
        <v>0</v>
      </c>
      <c r="P338" s="595">
        <v>0</v>
      </c>
      <c r="Q338" s="571">
        <v>44.295698395511366</v>
      </c>
      <c r="R338" s="1075">
        <f t="shared" si="53"/>
        <v>44.295698395511366</v>
      </c>
      <c r="S338" s="1075">
        <f t="shared" si="50"/>
        <v>0</v>
      </c>
    </row>
    <row r="339" spans="1:19" ht="16.5" hidden="1" thickBot="1" x14ac:dyDescent="0.3">
      <c r="A339" s="685" t="s">
        <v>84</v>
      </c>
      <c r="B339" s="802" t="s">
        <v>429</v>
      </c>
      <c r="C339" s="812" t="s">
        <v>1046</v>
      </c>
      <c r="D339" s="625">
        <v>0</v>
      </c>
      <c r="E339" s="593">
        <v>33.546712337709714</v>
      </c>
      <c r="F339" s="594">
        <v>0</v>
      </c>
      <c r="G339" s="595">
        <v>0</v>
      </c>
      <c r="H339" s="566">
        <v>33.546712337709714</v>
      </c>
      <c r="I339" s="596">
        <v>0</v>
      </c>
      <c r="J339" s="595">
        <v>0</v>
      </c>
      <c r="K339" s="626">
        <v>37.376526261489765</v>
      </c>
      <c r="L339" s="595">
        <v>0</v>
      </c>
      <c r="M339" s="1057">
        <f t="shared" si="51"/>
        <v>37.376526261489765</v>
      </c>
      <c r="N339" s="1058">
        <f t="shared" si="51"/>
        <v>0</v>
      </c>
      <c r="O339" s="597">
        <v>0</v>
      </c>
      <c r="P339" s="595">
        <v>0</v>
      </c>
      <c r="Q339" s="571">
        <v>70.923238599199479</v>
      </c>
      <c r="R339" s="1075">
        <f t="shared" si="53"/>
        <v>70.923238599199479</v>
      </c>
      <c r="S339" s="1075">
        <f t="shared" si="50"/>
        <v>0</v>
      </c>
    </row>
    <row r="340" spans="1:19" ht="15.75" hidden="1" x14ac:dyDescent="0.25">
      <c r="A340" s="623" t="s">
        <v>82</v>
      </c>
      <c r="B340" s="802" t="s">
        <v>429</v>
      </c>
      <c r="C340" s="802" t="s">
        <v>1048</v>
      </c>
      <c r="D340" s="625">
        <v>27.2</v>
      </c>
      <c r="E340" s="593">
        <v>23.6</v>
      </c>
      <c r="F340" s="594">
        <v>1.67</v>
      </c>
      <c r="G340" s="595">
        <v>0</v>
      </c>
      <c r="H340" s="566">
        <v>52.47</v>
      </c>
      <c r="I340" s="596">
        <v>0</v>
      </c>
      <c r="J340" s="595">
        <v>0</v>
      </c>
      <c r="K340" s="626">
        <v>16.7</v>
      </c>
      <c r="L340" s="595">
        <v>0</v>
      </c>
      <c r="M340" s="1057">
        <f t="shared" si="51"/>
        <v>16.7</v>
      </c>
      <c r="N340" s="1058">
        <f t="shared" si="51"/>
        <v>0</v>
      </c>
      <c r="O340" s="597">
        <v>0</v>
      </c>
      <c r="P340" s="595">
        <v>2.54</v>
      </c>
      <c r="Q340" s="571">
        <v>71.710000000000008</v>
      </c>
      <c r="R340" s="1075">
        <f t="shared" si="53"/>
        <v>71.710000000000008</v>
      </c>
      <c r="S340" s="1075">
        <f t="shared" si="50"/>
        <v>0</v>
      </c>
    </row>
    <row r="341" spans="1:19" ht="16.5" hidden="1" thickBot="1" x14ac:dyDescent="0.3">
      <c r="A341" s="624" t="s">
        <v>83</v>
      </c>
      <c r="B341" s="802"/>
      <c r="C341" s="802" t="s">
        <v>1048</v>
      </c>
      <c r="D341" s="625">
        <v>14.28</v>
      </c>
      <c r="E341" s="593">
        <v>36.57</v>
      </c>
      <c r="F341" s="594">
        <v>1.67</v>
      </c>
      <c r="G341" s="595">
        <v>0</v>
      </c>
      <c r="H341" s="566">
        <v>52.52</v>
      </c>
      <c r="I341" s="596">
        <v>0</v>
      </c>
      <c r="J341" s="595">
        <v>0</v>
      </c>
      <c r="K341" s="626">
        <v>16.7</v>
      </c>
      <c r="L341" s="595">
        <v>0</v>
      </c>
      <c r="M341" s="1057">
        <f t="shared" si="51"/>
        <v>16.7</v>
      </c>
      <c r="N341" s="1058">
        <f t="shared" si="51"/>
        <v>0</v>
      </c>
      <c r="O341" s="597">
        <v>0</v>
      </c>
      <c r="P341" s="595">
        <v>2.54</v>
      </c>
      <c r="Q341" s="571">
        <v>71.760000000000005</v>
      </c>
      <c r="R341" s="1075">
        <f t="shared" si="53"/>
        <v>71.760000000000005</v>
      </c>
      <c r="S341" s="1075">
        <f t="shared" si="50"/>
        <v>0</v>
      </c>
    </row>
    <row r="342" spans="1:19" ht="15.75" hidden="1" x14ac:dyDescent="0.25">
      <c r="A342" s="638" t="s">
        <v>85</v>
      </c>
      <c r="B342" s="693"/>
      <c r="C342" s="806" t="s">
        <v>1050</v>
      </c>
      <c r="D342" s="625">
        <v>79.230741527712752</v>
      </c>
      <c r="E342" s="593">
        <v>112.84378338795452</v>
      </c>
      <c r="F342" s="594">
        <v>0</v>
      </c>
      <c r="G342" s="595">
        <v>9.6037262457833634</v>
      </c>
      <c r="H342" s="566">
        <v>201.67825116145065</v>
      </c>
      <c r="I342" s="596">
        <v>60.023289036146025</v>
      </c>
      <c r="J342" s="595">
        <v>0</v>
      </c>
      <c r="K342" s="626">
        <v>107.56173395277366</v>
      </c>
      <c r="L342" s="595">
        <v>0</v>
      </c>
      <c r="M342" s="1057">
        <f t="shared" si="51"/>
        <v>167.58502298891969</v>
      </c>
      <c r="N342" s="1058">
        <f t="shared" si="51"/>
        <v>0</v>
      </c>
      <c r="O342" s="597">
        <v>30.731923986506764</v>
      </c>
      <c r="P342" s="595">
        <v>0</v>
      </c>
      <c r="Q342" s="571">
        <v>399.99519813687709</v>
      </c>
      <c r="R342" s="1075">
        <f t="shared" si="53"/>
        <v>399.99519813687709</v>
      </c>
      <c r="S342" s="1075">
        <f t="shared" si="50"/>
        <v>0</v>
      </c>
    </row>
    <row r="343" spans="1:19" ht="15.75" hidden="1" x14ac:dyDescent="0.25">
      <c r="A343" s="639" t="s">
        <v>878</v>
      </c>
      <c r="B343" s="639" t="s">
        <v>429</v>
      </c>
      <c r="C343" s="724" t="s">
        <v>1050</v>
      </c>
      <c r="D343" s="625">
        <v>50.419562790362662</v>
      </c>
      <c r="E343" s="593">
        <v>115.24471494940036</v>
      </c>
      <c r="F343" s="594">
        <v>0</v>
      </c>
      <c r="G343" s="595">
        <v>8.2832138869881522</v>
      </c>
      <c r="H343" s="566">
        <v>173.94749162675117</v>
      </c>
      <c r="I343" s="596">
        <v>66.025617939760622</v>
      </c>
      <c r="J343" s="595">
        <v>0</v>
      </c>
      <c r="K343" s="626">
        <v>131.4510029891598</v>
      </c>
      <c r="L343" s="595">
        <v>0</v>
      </c>
      <c r="M343" s="1057">
        <f t="shared" si="51"/>
        <v>197.47662092892043</v>
      </c>
      <c r="N343" s="1058">
        <f t="shared" si="51"/>
        <v>0</v>
      </c>
      <c r="O343" s="597">
        <v>0</v>
      </c>
      <c r="P343" s="595">
        <v>0</v>
      </c>
      <c r="Q343" s="571">
        <v>371.42411255567163</v>
      </c>
      <c r="R343" s="1075">
        <f t="shared" si="53"/>
        <v>371.42411255567163</v>
      </c>
      <c r="S343" s="1075">
        <f t="shared" si="50"/>
        <v>0</v>
      </c>
    </row>
    <row r="344" spans="1:19" ht="15.75" hidden="1" x14ac:dyDescent="0.25">
      <c r="A344" s="639" t="s">
        <v>879</v>
      </c>
      <c r="B344" s="639"/>
      <c r="C344" s="724" t="s">
        <v>1050</v>
      </c>
      <c r="D344" s="625">
        <v>79.230741527712752</v>
      </c>
      <c r="E344" s="593">
        <v>108.04192026506284</v>
      </c>
      <c r="F344" s="594">
        <v>0</v>
      </c>
      <c r="G344" s="595">
        <v>9.36363308963878</v>
      </c>
      <c r="H344" s="566">
        <v>196.63629488241435</v>
      </c>
      <c r="I344" s="596">
        <v>76.829809966266907</v>
      </c>
      <c r="J344" s="595">
        <v>0</v>
      </c>
      <c r="K344" s="626">
        <v>188.53315086253468</v>
      </c>
      <c r="L344" s="595">
        <v>0</v>
      </c>
      <c r="M344" s="1057">
        <f t="shared" si="51"/>
        <v>265.36296082880159</v>
      </c>
      <c r="N344" s="1058">
        <f t="shared" si="51"/>
        <v>0</v>
      </c>
      <c r="O344" s="597">
        <v>43.216768106025135</v>
      </c>
      <c r="P344" s="595">
        <v>0</v>
      </c>
      <c r="Q344" s="571">
        <v>505.21602381724108</v>
      </c>
      <c r="R344" s="1075">
        <f t="shared" si="53"/>
        <v>505.21602381724108</v>
      </c>
      <c r="S344" s="1075">
        <f t="shared" si="50"/>
        <v>0</v>
      </c>
    </row>
    <row r="345" spans="1:19" ht="16.5" hidden="1" thickBot="1" x14ac:dyDescent="0.3">
      <c r="A345" s="640" t="s">
        <v>86</v>
      </c>
      <c r="B345" s="652"/>
      <c r="C345" s="807" t="s">
        <v>1050</v>
      </c>
      <c r="D345" s="625">
        <v>57.622357474700181</v>
      </c>
      <c r="E345" s="593">
        <v>101.55940504915907</v>
      </c>
      <c r="F345" s="594">
        <v>0</v>
      </c>
      <c r="G345" s="595">
        <v>7.9590881261929622</v>
      </c>
      <c r="H345" s="566">
        <v>167.14085065005222</v>
      </c>
      <c r="I345" s="596">
        <v>51.283898152483161</v>
      </c>
      <c r="J345" s="595">
        <v>0</v>
      </c>
      <c r="K345" s="626">
        <v>189.07336046385998</v>
      </c>
      <c r="L345" s="595">
        <v>0</v>
      </c>
      <c r="M345" s="1057">
        <f t="shared" si="51"/>
        <v>240.35725861634313</v>
      </c>
      <c r="N345" s="1058">
        <f t="shared" si="51"/>
        <v>0</v>
      </c>
      <c r="O345" s="597">
        <v>42.016302325302213</v>
      </c>
      <c r="P345" s="595">
        <v>0</v>
      </c>
      <c r="Q345" s="571">
        <v>449.51441159169752</v>
      </c>
      <c r="R345" s="1075">
        <f t="shared" si="53"/>
        <v>449.51441159169752</v>
      </c>
      <c r="S345" s="1075">
        <f t="shared" si="50"/>
        <v>0</v>
      </c>
    </row>
    <row r="346" spans="1:19" ht="15.75" hidden="1" x14ac:dyDescent="0.25">
      <c r="A346" s="693" t="s">
        <v>911</v>
      </c>
      <c r="B346" s="693" t="s">
        <v>429</v>
      </c>
      <c r="C346" s="806" t="s">
        <v>1052</v>
      </c>
      <c r="D346" s="625">
        <v>0</v>
      </c>
      <c r="E346" s="593">
        <v>189.74895043496079</v>
      </c>
      <c r="F346" s="594">
        <v>0</v>
      </c>
      <c r="G346" s="595">
        <v>28.483493674408283</v>
      </c>
      <c r="H346" s="566">
        <v>218.23244410936908</v>
      </c>
      <c r="I346" s="596">
        <v>0</v>
      </c>
      <c r="J346" s="595">
        <v>0</v>
      </c>
      <c r="K346" s="626">
        <v>159.38535816818234</v>
      </c>
      <c r="L346" s="595">
        <v>23.877252123101332</v>
      </c>
      <c r="M346" s="1057">
        <f t="shared" si="51"/>
        <v>159.38535816818234</v>
      </c>
      <c r="N346" s="1058">
        <f t="shared" si="51"/>
        <v>23.877252123101332</v>
      </c>
      <c r="O346" s="597">
        <v>0</v>
      </c>
      <c r="P346" s="595">
        <v>0</v>
      </c>
      <c r="Q346" s="571">
        <v>401.49505440065275</v>
      </c>
      <c r="R346" s="1075">
        <f t="shared" si="53"/>
        <v>401.49505440065275</v>
      </c>
      <c r="S346" s="1075">
        <f t="shared" si="50"/>
        <v>0</v>
      </c>
    </row>
    <row r="347" spans="1:19" ht="15.75" hidden="1" x14ac:dyDescent="0.25">
      <c r="A347" s="639" t="s">
        <v>912</v>
      </c>
      <c r="B347" s="639"/>
      <c r="C347" s="724" t="s">
        <v>1052</v>
      </c>
      <c r="D347" s="625">
        <v>0</v>
      </c>
      <c r="E347" s="593">
        <v>151.53594654503681</v>
      </c>
      <c r="F347" s="594">
        <v>0</v>
      </c>
      <c r="G347" s="595">
        <v>22.749192967679225</v>
      </c>
      <c r="H347" s="566">
        <v>174.28513951271603</v>
      </c>
      <c r="I347" s="596">
        <v>0</v>
      </c>
      <c r="J347" s="595">
        <v>0</v>
      </c>
      <c r="K347" s="626">
        <v>158.02228668871393</v>
      </c>
      <c r="L347" s="595">
        <v>23.689242263864315</v>
      </c>
      <c r="M347" s="1057">
        <f t="shared" si="51"/>
        <v>158.02228668871393</v>
      </c>
      <c r="N347" s="1058">
        <f t="shared" si="51"/>
        <v>23.689242263864315</v>
      </c>
      <c r="O347" s="597">
        <v>0</v>
      </c>
      <c r="P347" s="595">
        <v>0</v>
      </c>
      <c r="Q347" s="571">
        <v>355.99666846529431</v>
      </c>
      <c r="R347" s="1075">
        <f t="shared" si="53"/>
        <v>355.99666846529431</v>
      </c>
      <c r="S347" s="1075">
        <f t="shared" si="50"/>
        <v>0</v>
      </c>
    </row>
    <row r="348" spans="1:19" ht="15.75" hidden="1" x14ac:dyDescent="0.25">
      <c r="A348" s="639" t="s">
        <v>913</v>
      </c>
      <c r="B348" s="639"/>
      <c r="C348" s="724" t="s">
        <v>1052</v>
      </c>
      <c r="D348" s="625">
        <v>0</v>
      </c>
      <c r="E348" s="593">
        <v>152.52299830603116</v>
      </c>
      <c r="F348" s="594">
        <v>0</v>
      </c>
      <c r="G348" s="595">
        <v>22.890200362106988</v>
      </c>
      <c r="H348" s="566">
        <v>175.41319866813814</v>
      </c>
      <c r="I348" s="596">
        <v>0</v>
      </c>
      <c r="J348" s="595">
        <v>0</v>
      </c>
      <c r="K348" s="626">
        <v>160.60742225322295</v>
      </c>
      <c r="L348" s="595">
        <v>24.112264447147606</v>
      </c>
      <c r="M348" s="1057">
        <f t="shared" si="51"/>
        <v>160.60742225322295</v>
      </c>
      <c r="N348" s="1058">
        <f t="shared" si="51"/>
        <v>24.112264447147606</v>
      </c>
      <c r="O348" s="597">
        <v>0</v>
      </c>
      <c r="P348" s="595">
        <v>0</v>
      </c>
      <c r="Q348" s="571">
        <v>360.13288536850871</v>
      </c>
      <c r="R348" s="1075">
        <f t="shared" si="53"/>
        <v>360.13288536850871</v>
      </c>
      <c r="S348" s="1075">
        <f t="shared" si="50"/>
        <v>0</v>
      </c>
    </row>
    <row r="349" spans="1:19" ht="15.75" hidden="1" x14ac:dyDescent="0.25">
      <c r="A349" s="639" t="s">
        <v>914</v>
      </c>
      <c r="B349" s="639"/>
      <c r="C349" s="724" t="s">
        <v>1052</v>
      </c>
      <c r="D349" s="625">
        <v>0</v>
      </c>
      <c r="E349" s="593">
        <v>211.79310643050121</v>
      </c>
      <c r="F349" s="594">
        <v>0</v>
      </c>
      <c r="G349" s="595">
        <v>31.773666211056106</v>
      </c>
      <c r="H349" s="566">
        <v>243.56677264155732</v>
      </c>
      <c r="I349" s="596">
        <v>0</v>
      </c>
      <c r="J349" s="595">
        <v>0</v>
      </c>
      <c r="K349" s="626">
        <v>140.2553549908157</v>
      </c>
      <c r="L349" s="595">
        <v>21.057104234546056</v>
      </c>
      <c r="M349" s="1057">
        <f t="shared" si="51"/>
        <v>140.2553549908157</v>
      </c>
      <c r="N349" s="1058">
        <f t="shared" si="51"/>
        <v>21.057104234546056</v>
      </c>
      <c r="O349" s="597">
        <v>0</v>
      </c>
      <c r="P349" s="595">
        <v>0</v>
      </c>
      <c r="Q349" s="571">
        <v>404.8792318669191</v>
      </c>
      <c r="R349" s="1075">
        <f t="shared" si="53"/>
        <v>404.8792318669191</v>
      </c>
      <c r="S349" s="1075">
        <f t="shared" si="50"/>
        <v>0</v>
      </c>
    </row>
    <row r="350" spans="1:19" ht="16.5" hidden="1" thickBot="1" x14ac:dyDescent="0.3">
      <c r="A350" s="652" t="s">
        <v>915</v>
      </c>
      <c r="B350" s="652"/>
      <c r="C350" s="807" t="s">
        <v>1052</v>
      </c>
      <c r="D350" s="625">
        <v>0</v>
      </c>
      <c r="E350" s="593">
        <v>204.27271206102046</v>
      </c>
      <c r="F350" s="594">
        <v>0</v>
      </c>
      <c r="G350" s="595">
        <v>30.645607055633995</v>
      </c>
      <c r="H350" s="566">
        <v>234.91831911665446</v>
      </c>
      <c r="I350" s="596">
        <v>0</v>
      </c>
      <c r="J350" s="595">
        <v>0</v>
      </c>
      <c r="K350" s="626">
        <v>197.50435712848781</v>
      </c>
      <c r="L350" s="595">
        <v>29.611552829830394</v>
      </c>
      <c r="M350" s="1057">
        <f t="shared" si="51"/>
        <v>197.50435712848781</v>
      </c>
      <c r="N350" s="1058">
        <f t="shared" si="51"/>
        <v>29.611552829830394</v>
      </c>
      <c r="O350" s="597">
        <v>0</v>
      </c>
      <c r="P350" s="595">
        <v>0</v>
      </c>
      <c r="Q350" s="571">
        <v>462.03422907497264</v>
      </c>
      <c r="R350" s="1075">
        <f t="shared" si="53"/>
        <v>462.03422907497264</v>
      </c>
      <c r="S350" s="1075">
        <f t="shared" si="50"/>
        <v>0</v>
      </c>
    </row>
    <row r="351" spans="1:19" ht="15.75" hidden="1" x14ac:dyDescent="0.25">
      <c r="A351" s="663" t="s">
        <v>87</v>
      </c>
      <c r="B351" s="1046"/>
      <c r="C351" s="802" t="s">
        <v>1054</v>
      </c>
      <c r="D351" s="625">
        <v>88.720674947692842</v>
      </c>
      <c r="E351" s="593">
        <v>132.01713804898336</v>
      </c>
      <c r="F351" s="594">
        <v>105.25908564833472</v>
      </c>
      <c r="G351" s="595">
        <v>81.49922466125274</v>
      </c>
      <c r="H351" s="566">
        <v>407.49612330626366</v>
      </c>
      <c r="I351" s="596">
        <v>0</v>
      </c>
      <c r="J351" s="595">
        <v>440.34405052436114</v>
      </c>
      <c r="K351" s="626">
        <v>9.1912298065360574</v>
      </c>
      <c r="L351" s="595">
        <v>112.3838200827243</v>
      </c>
      <c r="M351" s="1057">
        <f t="shared" si="51"/>
        <v>9.1912298065360574</v>
      </c>
      <c r="N351" s="1058">
        <f t="shared" si="51"/>
        <v>552.72787060708538</v>
      </c>
      <c r="O351" s="597">
        <v>0</v>
      </c>
      <c r="P351" s="595">
        <v>0</v>
      </c>
      <c r="Q351" s="571">
        <v>969.41522371988503</v>
      </c>
      <c r="R351" s="1075">
        <f t="shared" si="53"/>
        <v>969.41522371988503</v>
      </c>
      <c r="S351" s="1075">
        <f t="shared" si="50"/>
        <v>0</v>
      </c>
    </row>
    <row r="352" spans="1:19" ht="15.75" hidden="1" x14ac:dyDescent="0.25">
      <c r="A352" s="547" t="s">
        <v>213</v>
      </c>
      <c r="B352" s="1046"/>
      <c r="C352" s="802" t="s">
        <v>1054</v>
      </c>
      <c r="D352" s="625">
        <v>61.898145312343843</v>
      </c>
      <c r="E352" s="593">
        <v>129.82491206917118</v>
      </c>
      <c r="F352" s="594">
        <v>105.25908564833472</v>
      </c>
      <c r="G352" s="595">
        <v>74.245535757462434</v>
      </c>
      <c r="H352" s="566">
        <v>371.22767878731219</v>
      </c>
      <c r="I352" s="596">
        <v>0</v>
      </c>
      <c r="J352" s="595">
        <v>250.56175790732689</v>
      </c>
      <c r="K352" s="626">
        <v>11.215814976127303</v>
      </c>
      <c r="L352" s="595">
        <v>65.444393220863546</v>
      </c>
      <c r="M352" s="1057">
        <f t="shared" si="51"/>
        <v>11.215814976127303</v>
      </c>
      <c r="N352" s="1058">
        <f t="shared" si="51"/>
        <v>316.00615112819042</v>
      </c>
      <c r="O352" s="597">
        <v>0</v>
      </c>
      <c r="P352" s="595">
        <v>0</v>
      </c>
      <c r="Q352" s="571">
        <v>698.44964489162987</v>
      </c>
      <c r="R352" s="1075">
        <f t="shared" si="53"/>
        <v>698.44964489162999</v>
      </c>
      <c r="S352" s="1075">
        <f t="shared" si="50"/>
        <v>0</v>
      </c>
    </row>
    <row r="353" spans="1:19" ht="15.75" hidden="1" x14ac:dyDescent="0.25">
      <c r="A353" s="547" t="s">
        <v>88</v>
      </c>
      <c r="B353" s="1046" t="s">
        <v>429</v>
      </c>
      <c r="C353" s="802" t="s">
        <v>1054</v>
      </c>
      <c r="D353" s="625">
        <v>161.19308675089545</v>
      </c>
      <c r="E353" s="593">
        <v>77.727306431281775</v>
      </c>
      <c r="F353" s="594">
        <v>105.25908564833472</v>
      </c>
      <c r="G353" s="595">
        <v>86.044869707627981</v>
      </c>
      <c r="H353" s="566">
        <v>430.22434853813991</v>
      </c>
      <c r="I353" s="596">
        <v>0</v>
      </c>
      <c r="J353" s="595">
        <v>430.7611215170204</v>
      </c>
      <c r="K353" s="626">
        <v>12.326435343840974</v>
      </c>
      <c r="L353" s="595">
        <v>110.77188921521535</v>
      </c>
      <c r="M353" s="1057">
        <f t="shared" si="51"/>
        <v>12.326435343840974</v>
      </c>
      <c r="N353" s="1058">
        <f t="shared" si="51"/>
        <v>541.53301073223577</v>
      </c>
      <c r="O353" s="597">
        <v>0</v>
      </c>
      <c r="P353" s="595">
        <v>0</v>
      </c>
      <c r="Q353" s="571">
        <v>984.08379461421657</v>
      </c>
      <c r="R353" s="1075">
        <f t="shared" si="53"/>
        <v>984.08379461421669</v>
      </c>
      <c r="S353" s="1075">
        <f t="shared" si="50"/>
        <v>0</v>
      </c>
    </row>
    <row r="354" spans="1:19" ht="15.75" hidden="1" x14ac:dyDescent="0.25">
      <c r="A354" s="547" t="s">
        <v>89</v>
      </c>
      <c r="B354" s="1046"/>
      <c r="C354" s="802" t="s">
        <v>1054</v>
      </c>
      <c r="D354" s="625">
        <v>106.77430066379313</v>
      </c>
      <c r="E354" s="593">
        <v>73.729717879859564</v>
      </c>
      <c r="F354" s="594">
        <v>105.25908564833472</v>
      </c>
      <c r="G354" s="595">
        <v>71.440776047996849</v>
      </c>
      <c r="H354" s="566">
        <v>357.20388023998424</v>
      </c>
      <c r="I354" s="596">
        <v>0</v>
      </c>
      <c r="J354" s="595">
        <v>464.23608984257885</v>
      </c>
      <c r="K354" s="626">
        <v>8.1241315722451297</v>
      </c>
      <c r="L354" s="595">
        <v>118.41244152720779</v>
      </c>
      <c r="M354" s="1057">
        <f t="shared" si="51"/>
        <v>8.1241315722451297</v>
      </c>
      <c r="N354" s="1058">
        <f t="shared" si="51"/>
        <v>582.64853136978661</v>
      </c>
      <c r="O354" s="597">
        <v>0</v>
      </c>
      <c r="P354" s="595">
        <v>0</v>
      </c>
      <c r="Q354" s="571">
        <v>947.97654318201603</v>
      </c>
      <c r="R354" s="1075">
        <f t="shared" si="53"/>
        <v>947.97654318201603</v>
      </c>
      <c r="S354" s="1075">
        <f t="shared" si="50"/>
        <v>0</v>
      </c>
    </row>
    <row r="355" spans="1:19" ht="16.5" hidden="1" thickBot="1" x14ac:dyDescent="0.3">
      <c r="A355" s="613" t="s">
        <v>90</v>
      </c>
      <c r="B355" s="1046"/>
      <c r="C355" s="807" t="s">
        <v>1054</v>
      </c>
      <c r="D355" s="625">
        <v>77.372681640429803</v>
      </c>
      <c r="E355" s="593">
        <v>148.65226460167577</v>
      </c>
      <c r="F355" s="594">
        <v>105.25908564833472</v>
      </c>
      <c r="G355" s="595">
        <v>82.821007972610062</v>
      </c>
      <c r="H355" s="566">
        <v>414.10503986305031</v>
      </c>
      <c r="I355" s="596">
        <v>0</v>
      </c>
      <c r="J355" s="595">
        <v>592.64572661007719</v>
      </c>
      <c r="K355" s="626">
        <v>8.6689642054631566</v>
      </c>
      <c r="L355" s="595">
        <v>150.32867270388508</v>
      </c>
      <c r="M355" s="1057">
        <f t="shared" si="51"/>
        <v>8.6689642054631566</v>
      </c>
      <c r="N355" s="1058">
        <f t="shared" si="51"/>
        <v>742.97439931396229</v>
      </c>
      <c r="O355" s="597">
        <v>0</v>
      </c>
      <c r="P355" s="595">
        <v>0</v>
      </c>
      <c r="Q355" s="571">
        <v>1165.7484033824755</v>
      </c>
      <c r="R355" s="1075">
        <f t="shared" si="53"/>
        <v>1165.7484033824758</v>
      </c>
      <c r="S355" s="1075">
        <f t="shared" si="50"/>
        <v>0</v>
      </c>
    </row>
    <row r="356" spans="1:19" ht="15.75" hidden="1" x14ac:dyDescent="0.25">
      <c r="A356" s="546" t="s">
        <v>91</v>
      </c>
      <c r="B356" s="1046"/>
      <c r="C356" s="802" t="s">
        <v>1056</v>
      </c>
      <c r="D356" s="625">
        <v>47.44240765416982</v>
      </c>
      <c r="E356" s="593">
        <v>135.65263322169002</v>
      </c>
      <c r="F356" s="594">
        <v>0</v>
      </c>
      <c r="G356" s="595">
        <v>43.937047574458887</v>
      </c>
      <c r="H356" s="566">
        <v>227.03208845031872</v>
      </c>
      <c r="I356" s="596">
        <v>166.86474352048594</v>
      </c>
      <c r="J356" s="595">
        <v>40.047538444916626</v>
      </c>
      <c r="K356" s="626">
        <v>0</v>
      </c>
      <c r="L356" s="595">
        <v>0</v>
      </c>
      <c r="M356" s="1057">
        <f t="shared" si="51"/>
        <v>166.86474352048594</v>
      </c>
      <c r="N356" s="1058">
        <f t="shared" si="51"/>
        <v>40.047538444916626</v>
      </c>
      <c r="O356" s="597">
        <v>47.44240765416982</v>
      </c>
      <c r="P356" s="595">
        <v>11.380415601253286</v>
      </c>
      <c r="Q356" s="571">
        <v>492.76719367114441</v>
      </c>
      <c r="R356" s="1075">
        <f t="shared" si="53"/>
        <v>492.76719367114441</v>
      </c>
      <c r="S356" s="1075">
        <f t="shared" si="50"/>
        <v>0</v>
      </c>
    </row>
    <row r="357" spans="1:19" ht="15.75" hidden="1" x14ac:dyDescent="0.25">
      <c r="A357" s="547" t="s">
        <v>92</v>
      </c>
      <c r="B357" s="1046" t="s">
        <v>429</v>
      </c>
      <c r="C357" s="802" t="s">
        <v>1056</v>
      </c>
      <c r="D357" s="625">
        <v>47.44240765416982</v>
      </c>
      <c r="E357" s="593">
        <v>135.65263322169002</v>
      </c>
      <c r="F357" s="594">
        <v>0</v>
      </c>
      <c r="G357" s="595">
        <v>43.937047574458887</v>
      </c>
      <c r="H357" s="566">
        <v>227.03208845031872</v>
      </c>
      <c r="I357" s="596">
        <v>166.86474352048594</v>
      </c>
      <c r="J357" s="595">
        <v>40.047538444916626</v>
      </c>
      <c r="K357" s="626">
        <v>0</v>
      </c>
      <c r="L357" s="595">
        <v>0</v>
      </c>
      <c r="M357" s="1057">
        <f t="shared" si="51"/>
        <v>166.86474352048594</v>
      </c>
      <c r="N357" s="1058">
        <f t="shared" si="51"/>
        <v>40.047538444916626</v>
      </c>
      <c r="O357" s="597">
        <v>47.44240765416982</v>
      </c>
      <c r="P357" s="595">
        <v>11.380415601253286</v>
      </c>
      <c r="Q357" s="571">
        <v>492.76719367114441</v>
      </c>
      <c r="R357" s="1075">
        <f t="shared" si="53"/>
        <v>492.76719367114441</v>
      </c>
      <c r="S357" s="1075">
        <f t="shared" si="50"/>
        <v>0</v>
      </c>
    </row>
    <row r="358" spans="1:19" ht="15.75" hidden="1" x14ac:dyDescent="0.25">
      <c r="A358" s="547" t="s">
        <v>93</v>
      </c>
      <c r="B358" s="1046"/>
      <c r="C358" s="802" t="s">
        <v>1056</v>
      </c>
      <c r="D358" s="625">
        <v>50.347534843519284</v>
      </c>
      <c r="E358" s="593">
        <v>147.65729102891922</v>
      </c>
      <c r="F358" s="594">
        <v>0</v>
      </c>
      <c r="G358" s="595">
        <v>47.526440258820422</v>
      </c>
      <c r="H358" s="566">
        <v>245.53126613125895</v>
      </c>
      <c r="I358" s="596">
        <v>192.07452491566727</v>
      </c>
      <c r="J358" s="595">
        <v>46.097885979760143</v>
      </c>
      <c r="K358" s="626">
        <v>0</v>
      </c>
      <c r="L358" s="595">
        <v>0</v>
      </c>
      <c r="M358" s="1057">
        <f t="shared" si="51"/>
        <v>192.07452491566727</v>
      </c>
      <c r="N358" s="1058">
        <f t="shared" si="51"/>
        <v>46.097885979760143</v>
      </c>
      <c r="O358" s="597">
        <v>50.347534843519284</v>
      </c>
      <c r="P358" s="595">
        <v>12.08869041187981</v>
      </c>
      <c r="Q358" s="571">
        <v>546.13990228208547</v>
      </c>
      <c r="R358" s="1075">
        <f t="shared" si="53"/>
        <v>546.13990228208547</v>
      </c>
      <c r="S358" s="1075">
        <f t="shared" si="50"/>
        <v>0</v>
      </c>
    </row>
    <row r="359" spans="1:19" ht="15.75" hidden="1" x14ac:dyDescent="0.25">
      <c r="A359" s="547" t="s">
        <v>94</v>
      </c>
      <c r="B359" s="1046"/>
      <c r="C359" s="802" t="s">
        <v>1056</v>
      </c>
      <c r="D359" s="625">
        <v>96.817565215303546</v>
      </c>
      <c r="E359" s="593">
        <v>138.05356478313584</v>
      </c>
      <c r="F359" s="594">
        <v>0</v>
      </c>
      <c r="G359" s="595">
        <v>56.373873062748345</v>
      </c>
      <c r="H359" s="566">
        <v>291.24500306118773</v>
      </c>
      <c r="I359" s="596">
        <v>199.2773196000048</v>
      </c>
      <c r="J359" s="595">
        <v>47.826556704001156</v>
      </c>
      <c r="K359" s="626">
        <v>0</v>
      </c>
      <c r="L359" s="595">
        <v>0</v>
      </c>
      <c r="M359" s="1057">
        <f t="shared" si="51"/>
        <v>199.2773196000048</v>
      </c>
      <c r="N359" s="1058">
        <f t="shared" si="51"/>
        <v>47.826556704001156</v>
      </c>
      <c r="O359" s="597">
        <v>0</v>
      </c>
      <c r="P359" s="595">
        <v>0</v>
      </c>
      <c r="Q359" s="571">
        <v>538.34887936519374</v>
      </c>
      <c r="R359" s="1075">
        <f t="shared" si="53"/>
        <v>538.34887936519374</v>
      </c>
      <c r="S359" s="1075">
        <f t="shared" si="50"/>
        <v>0</v>
      </c>
    </row>
    <row r="360" spans="1:19" ht="15.75" hidden="1" x14ac:dyDescent="0.25">
      <c r="A360" s="547" t="s">
        <v>95</v>
      </c>
      <c r="B360" s="1046"/>
      <c r="C360" s="802" t="s">
        <v>1056</v>
      </c>
      <c r="D360" s="625">
        <v>129.72233226491878</v>
      </c>
      <c r="E360" s="593">
        <v>169.42173563342575</v>
      </c>
      <c r="F360" s="594">
        <v>0</v>
      </c>
      <c r="G360" s="595">
        <v>71.799858345037876</v>
      </c>
      <c r="H360" s="566">
        <v>370.94392624338241</v>
      </c>
      <c r="I360" s="596">
        <v>185.88012148713702</v>
      </c>
      <c r="J360" s="595">
        <v>44.609308411663719</v>
      </c>
      <c r="K360" s="626">
        <v>0</v>
      </c>
      <c r="L360" s="595">
        <v>0</v>
      </c>
      <c r="M360" s="1057">
        <f t="shared" si="51"/>
        <v>185.88012148713702</v>
      </c>
      <c r="N360" s="1058">
        <f t="shared" si="51"/>
        <v>44.609308411663719</v>
      </c>
      <c r="O360" s="597">
        <v>0</v>
      </c>
      <c r="P360" s="595">
        <v>0</v>
      </c>
      <c r="Q360" s="571">
        <v>601.43335614218313</v>
      </c>
      <c r="R360" s="1075">
        <f t="shared" si="53"/>
        <v>601.43335614218313</v>
      </c>
      <c r="S360" s="1075">
        <f t="shared" si="50"/>
        <v>0</v>
      </c>
    </row>
    <row r="361" spans="1:19" ht="16.5" hidden="1" thickBot="1" x14ac:dyDescent="0.3">
      <c r="A361" s="613" t="s">
        <v>195</v>
      </c>
      <c r="B361" s="1046"/>
      <c r="C361" s="807" t="s">
        <v>1056</v>
      </c>
      <c r="D361" s="625">
        <v>47.44240765416982</v>
      </c>
      <c r="E361" s="593">
        <v>135.65263322169002</v>
      </c>
      <c r="F361" s="594">
        <v>0</v>
      </c>
      <c r="G361" s="595">
        <v>43.937047574458887</v>
      </c>
      <c r="H361" s="566">
        <v>227.03208845031872</v>
      </c>
      <c r="I361" s="596">
        <v>166.86474352048594</v>
      </c>
      <c r="J361" s="595">
        <v>40.047538444916626</v>
      </c>
      <c r="K361" s="626">
        <v>0</v>
      </c>
      <c r="L361" s="595">
        <v>0</v>
      </c>
      <c r="M361" s="1057">
        <f t="shared" si="51"/>
        <v>166.86474352048594</v>
      </c>
      <c r="N361" s="1058">
        <f t="shared" si="51"/>
        <v>40.047538444916626</v>
      </c>
      <c r="O361" s="597">
        <v>47.44240765416982</v>
      </c>
      <c r="P361" s="595">
        <v>11.380415601253286</v>
      </c>
      <c r="Q361" s="571">
        <v>492.76719367114441</v>
      </c>
      <c r="R361" s="1075">
        <f t="shared" si="53"/>
        <v>492.76719367114441</v>
      </c>
      <c r="S361" s="1075">
        <f t="shared" si="50"/>
        <v>0</v>
      </c>
    </row>
    <row r="362" spans="1:19" ht="15.75" hidden="1" x14ac:dyDescent="0.25">
      <c r="A362" s="546" t="s">
        <v>97</v>
      </c>
      <c r="B362" s="1046"/>
      <c r="C362" s="802" t="s">
        <v>1058</v>
      </c>
      <c r="D362" s="625">
        <v>66.409766989591958</v>
      </c>
      <c r="E362" s="593">
        <v>129.6503043180754</v>
      </c>
      <c r="F362" s="594">
        <v>46.818165448193895</v>
      </c>
      <c r="G362" s="595">
        <v>13.313165508217187</v>
      </c>
      <c r="H362" s="566">
        <v>256.19140226407842</v>
      </c>
      <c r="I362" s="596">
        <v>132.05123587952127</v>
      </c>
      <c r="J362" s="595">
        <v>16.038222830458217</v>
      </c>
      <c r="K362" s="626">
        <v>0</v>
      </c>
      <c r="L362" s="595">
        <v>0</v>
      </c>
      <c r="M362" s="1057">
        <f t="shared" si="51"/>
        <v>132.05123587952127</v>
      </c>
      <c r="N362" s="1058">
        <f t="shared" si="51"/>
        <v>16.038222830458217</v>
      </c>
      <c r="O362" s="597">
        <v>28.81117873735009</v>
      </c>
      <c r="P362" s="595">
        <v>0</v>
      </c>
      <c r="Q362" s="571">
        <v>433.09203971140801</v>
      </c>
      <c r="R362" s="1075">
        <f t="shared" si="53"/>
        <v>433.09203971140801</v>
      </c>
      <c r="S362" s="1075">
        <f t="shared" si="50"/>
        <v>0</v>
      </c>
    </row>
    <row r="363" spans="1:19" ht="15.75" hidden="1" x14ac:dyDescent="0.25">
      <c r="A363" s="547" t="s">
        <v>98</v>
      </c>
      <c r="B363" s="1046"/>
      <c r="C363" s="802" t="s">
        <v>1058</v>
      </c>
      <c r="D363" s="625">
        <v>27.178545275566918</v>
      </c>
      <c r="E363" s="593">
        <v>141.65496212530462</v>
      </c>
      <c r="F363" s="594">
        <v>60.023289036146025</v>
      </c>
      <c r="G363" s="595">
        <v>12.604890697590665</v>
      </c>
      <c r="H363" s="566">
        <v>241.46168713460824</v>
      </c>
      <c r="I363" s="596">
        <v>192.07452491566727</v>
      </c>
      <c r="J363" s="595">
        <v>0</v>
      </c>
      <c r="K363" s="626">
        <v>148.85775680964213</v>
      </c>
      <c r="L363" s="595">
        <v>37.670616199085245</v>
      </c>
      <c r="M363" s="1057">
        <f t="shared" si="51"/>
        <v>340.93228172530939</v>
      </c>
      <c r="N363" s="1058">
        <f t="shared" si="51"/>
        <v>37.670616199085245</v>
      </c>
      <c r="O363" s="597">
        <v>36.013973421687616</v>
      </c>
      <c r="P363" s="595">
        <v>0</v>
      </c>
      <c r="Q363" s="571">
        <v>656.07855848069039</v>
      </c>
      <c r="R363" s="1075">
        <f t="shared" si="53"/>
        <v>656.0785584806905</v>
      </c>
      <c r="S363" s="1075">
        <f t="shared" ref="S363:S426" si="54">Q363-R363</f>
        <v>0</v>
      </c>
    </row>
    <row r="364" spans="1:19" ht="15.75" hidden="1" x14ac:dyDescent="0.25">
      <c r="A364" s="547" t="s">
        <v>99</v>
      </c>
      <c r="B364" s="1046"/>
      <c r="C364" s="802" t="s">
        <v>1058</v>
      </c>
      <c r="D364" s="625">
        <v>44.801382936579394</v>
      </c>
      <c r="E364" s="593">
        <v>136.8530990024129</v>
      </c>
      <c r="F364" s="594">
        <v>55.221425913254343</v>
      </c>
      <c r="G364" s="595">
        <v>13.013049063036458</v>
      </c>
      <c r="H364" s="566">
        <v>249.88895691528307</v>
      </c>
      <c r="I364" s="596">
        <v>175.26800398554639</v>
      </c>
      <c r="J364" s="595">
        <v>20.756053348699293</v>
      </c>
      <c r="K364" s="626">
        <v>0</v>
      </c>
      <c r="L364" s="595">
        <v>0</v>
      </c>
      <c r="M364" s="1057">
        <f t="shared" si="51"/>
        <v>175.26800398554639</v>
      </c>
      <c r="N364" s="1058">
        <f t="shared" si="51"/>
        <v>20.756053348699293</v>
      </c>
      <c r="O364" s="597">
        <v>31.932389767229687</v>
      </c>
      <c r="P364" s="595">
        <v>0</v>
      </c>
      <c r="Q364" s="571">
        <v>477.84540401675844</v>
      </c>
      <c r="R364" s="1075">
        <f t="shared" si="53"/>
        <v>477.84540401675844</v>
      </c>
      <c r="S364" s="1075">
        <f t="shared" si="54"/>
        <v>0</v>
      </c>
    </row>
    <row r="365" spans="1:19" ht="15.75" hidden="1" x14ac:dyDescent="0.25">
      <c r="A365" s="547" t="s">
        <v>100</v>
      </c>
      <c r="B365" s="1046"/>
      <c r="C365" s="802" t="s">
        <v>1058</v>
      </c>
      <c r="D365" s="625">
        <v>49.447185507977089</v>
      </c>
      <c r="E365" s="593">
        <v>123.6479754144608</v>
      </c>
      <c r="F365" s="594">
        <v>42.016302325302213</v>
      </c>
      <c r="G365" s="595">
        <v>11.800578624506308</v>
      </c>
      <c r="H365" s="566">
        <v>226.91204187224639</v>
      </c>
      <c r="I365" s="596">
        <v>117.64564651084621</v>
      </c>
      <c r="J365" s="595">
        <v>14.645682524819629</v>
      </c>
      <c r="K365" s="626">
        <v>0</v>
      </c>
      <c r="L365" s="595">
        <v>0</v>
      </c>
      <c r="M365" s="1057">
        <f t="shared" si="51"/>
        <v>117.64564651084621</v>
      </c>
      <c r="N365" s="1058">
        <f t="shared" si="51"/>
        <v>14.645682524819629</v>
      </c>
      <c r="O365" s="597">
        <v>28.968439754624793</v>
      </c>
      <c r="P365" s="595">
        <v>0</v>
      </c>
      <c r="Q365" s="571">
        <v>388.17181066253698</v>
      </c>
      <c r="R365" s="1075">
        <f t="shared" si="53"/>
        <v>388.17181066253698</v>
      </c>
      <c r="S365" s="1075">
        <f t="shared" si="54"/>
        <v>0</v>
      </c>
    </row>
    <row r="366" spans="1:19" ht="15.75" hidden="1" x14ac:dyDescent="0.25">
      <c r="A366" s="547" t="s">
        <v>101</v>
      </c>
      <c r="B366" s="1046" t="s">
        <v>429</v>
      </c>
      <c r="C366" s="802" t="s">
        <v>1058</v>
      </c>
      <c r="D366" s="625">
        <v>24.741599740699389</v>
      </c>
      <c r="E366" s="593">
        <v>122.44750963373788</v>
      </c>
      <c r="F366" s="594">
        <v>57.622357474700181</v>
      </c>
      <c r="G366" s="595">
        <v>11.308387654409911</v>
      </c>
      <c r="H366" s="566">
        <v>216.11985450354734</v>
      </c>
      <c r="I366" s="596">
        <v>37.214439202410531</v>
      </c>
      <c r="J366" s="595">
        <v>0</v>
      </c>
      <c r="K366" s="626">
        <v>124.84844119518372</v>
      </c>
      <c r="L366" s="595">
        <v>19.843699355349877</v>
      </c>
      <c r="M366" s="1057">
        <f t="shared" si="51"/>
        <v>162.06288039759426</v>
      </c>
      <c r="N366" s="1058">
        <f t="shared" si="51"/>
        <v>19.843699355349877</v>
      </c>
      <c r="O366" s="597">
        <v>36.013973421687616</v>
      </c>
      <c r="P366" s="595">
        <v>0</v>
      </c>
      <c r="Q366" s="571">
        <v>434.04040767817912</v>
      </c>
      <c r="R366" s="1075">
        <f t="shared" si="53"/>
        <v>434.04040767817912</v>
      </c>
      <c r="S366" s="1075">
        <f t="shared" si="54"/>
        <v>0</v>
      </c>
    </row>
    <row r="367" spans="1:19" ht="15.75" hidden="1" x14ac:dyDescent="0.25">
      <c r="A367" s="547" t="s">
        <v>630</v>
      </c>
      <c r="B367" s="1046"/>
      <c r="C367" s="802" t="s">
        <v>1058</v>
      </c>
      <c r="D367" s="625">
        <v>32.040431687494745</v>
      </c>
      <c r="E367" s="593">
        <v>120.04657807229205</v>
      </c>
      <c r="F367" s="594">
        <v>42.016302325302213</v>
      </c>
      <c r="G367" s="595">
        <v>10.672140790626763</v>
      </c>
      <c r="H367" s="566">
        <v>204.77545287571576</v>
      </c>
      <c r="I367" s="596">
        <v>60.023289036146025</v>
      </c>
      <c r="J367" s="595">
        <v>0</v>
      </c>
      <c r="K367" s="626">
        <v>56.421891693977258</v>
      </c>
      <c r="L367" s="595">
        <v>15.82213898992809</v>
      </c>
      <c r="M367" s="1057">
        <f t="shared" si="51"/>
        <v>116.44518073012328</v>
      </c>
      <c r="N367" s="1058">
        <f t="shared" si="51"/>
        <v>15.82213898992809</v>
      </c>
      <c r="O367" s="597">
        <v>42.016302325302213</v>
      </c>
      <c r="P367" s="595">
        <v>0</v>
      </c>
      <c r="Q367" s="571">
        <v>379.05907492106934</v>
      </c>
      <c r="R367" s="1075">
        <f t="shared" si="53"/>
        <v>379.05907492106934</v>
      </c>
      <c r="S367" s="1075">
        <f t="shared" si="54"/>
        <v>0</v>
      </c>
    </row>
    <row r="368" spans="1:19" ht="15.75" hidden="1" x14ac:dyDescent="0.25">
      <c r="A368" s="547" t="s">
        <v>631</v>
      </c>
      <c r="B368" s="1046"/>
      <c r="C368" s="802" t="s">
        <v>1058</v>
      </c>
      <c r="D368" s="625">
        <v>13.145100298915978</v>
      </c>
      <c r="E368" s="593">
        <v>111.64331760723161</v>
      </c>
      <c r="F368" s="594">
        <v>52.820494351808499</v>
      </c>
      <c r="G368" s="595">
        <v>9.7597867972773447</v>
      </c>
      <c r="H368" s="566">
        <v>187.36869905523344</v>
      </c>
      <c r="I368" s="596">
        <v>139.25403056385875</v>
      </c>
      <c r="J368" s="595">
        <v>17.526800398554638</v>
      </c>
      <c r="K368" s="626">
        <v>0</v>
      </c>
      <c r="L368" s="595">
        <v>0</v>
      </c>
      <c r="M368" s="1057">
        <f t="shared" si="51"/>
        <v>139.25403056385875</v>
      </c>
      <c r="N368" s="1058">
        <f t="shared" si="51"/>
        <v>17.526800398554638</v>
      </c>
      <c r="O368" s="597">
        <v>36.013973421687616</v>
      </c>
      <c r="P368" s="595">
        <v>0</v>
      </c>
      <c r="Q368" s="571">
        <v>380.16350343933448</v>
      </c>
      <c r="R368" s="1075">
        <f t="shared" si="53"/>
        <v>380.16350343933448</v>
      </c>
      <c r="S368" s="1075">
        <f t="shared" si="54"/>
        <v>0</v>
      </c>
    </row>
    <row r="369" spans="1:19" ht="15.75" hidden="1" x14ac:dyDescent="0.25">
      <c r="A369" s="547" t="s">
        <v>632</v>
      </c>
      <c r="B369" s="1046"/>
      <c r="C369" s="802" t="s">
        <v>1058</v>
      </c>
      <c r="D369" s="625">
        <v>49.147069062796362</v>
      </c>
      <c r="E369" s="593">
        <v>171.66660664337763</v>
      </c>
      <c r="F369" s="594">
        <v>49.219097009639739</v>
      </c>
      <c r="G369" s="595">
        <v>14.873771023156985</v>
      </c>
      <c r="H369" s="566">
        <v>284.9065437389707</v>
      </c>
      <c r="I369" s="596">
        <v>109.24238604578576</v>
      </c>
      <c r="J369" s="595">
        <v>13.481230717518397</v>
      </c>
      <c r="K369" s="626">
        <v>0</v>
      </c>
      <c r="L369" s="595">
        <v>0</v>
      </c>
      <c r="M369" s="1057">
        <f t="shared" ref="M369:N432" si="55">I369+K369</f>
        <v>109.24238604578576</v>
      </c>
      <c r="N369" s="1058">
        <f t="shared" si="55"/>
        <v>13.481230717518397</v>
      </c>
      <c r="O369" s="597">
        <v>25.173767421759642</v>
      </c>
      <c r="P369" s="595">
        <v>0</v>
      </c>
      <c r="Q369" s="571">
        <v>432.80392792403444</v>
      </c>
      <c r="R369" s="1075">
        <f t="shared" si="53"/>
        <v>432.80392792403444</v>
      </c>
      <c r="S369" s="1075">
        <f t="shared" si="54"/>
        <v>0</v>
      </c>
    </row>
    <row r="370" spans="1:19" ht="15.75" hidden="1" x14ac:dyDescent="0.25">
      <c r="A370" s="547" t="s">
        <v>633</v>
      </c>
      <c r="B370" s="1046"/>
      <c r="C370" s="802" t="s">
        <v>1058</v>
      </c>
      <c r="D370" s="625">
        <v>36.458145760555098</v>
      </c>
      <c r="E370" s="593">
        <v>181.27033288916098</v>
      </c>
      <c r="F370" s="594">
        <v>62.424220597591862</v>
      </c>
      <c r="G370" s="595">
        <v>15.401975966675069</v>
      </c>
      <c r="H370" s="566">
        <v>295.55467521398299</v>
      </c>
      <c r="I370" s="596">
        <v>241.29362192530698</v>
      </c>
      <c r="J370" s="595">
        <v>27.766773508121148</v>
      </c>
      <c r="K370" s="626">
        <v>0</v>
      </c>
      <c r="L370" s="595">
        <v>0</v>
      </c>
      <c r="M370" s="1057">
        <f t="shared" si="55"/>
        <v>241.29362192530698</v>
      </c>
      <c r="N370" s="1058">
        <f t="shared" si="55"/>
        <v>27.766773508121148</v>
      </c>
      <c r="O370" s="597">
        <v>36.013973421687616</v>
      </c>
      <c r="P370" s="595">
        <v>0</v>
      </c>
      <c r="Q370" s="571">
        <v>600.62904406909877</v>
      </c>
      <c r="R370" s="1075">
        <f t="shared" si="53"/>
        <v>600.62904406909877</v>
      </c>
      <c r="S370" s="1075">
        <f t="shared" si="54"/>
        <v>0</v>
      </c>
    </row>
    <row r="371" spans="1:19" ht="15.75" hidden="1" x14ac:dyDescent="0.25">
      <c r="A371" s="547" t="s">
        <v>634</v>
      </c>
      <c r="B371" s="1046"/>
      <c r="C371" s="802" t="s">
        <v>1058</v>
      </c>
      <c r="D371" s="625">
        <v>11.356406285638828</v>
      </c>
      <c r="E371" s="593">
        <v>169.26567508193179</v>
      </c>
      <c r="F371" s="594">
        <v>44.417233886748058</v>
      </c>
      <c r="G371" s="595">
        <v>12.364797541446082</v>
      </c>
      <c r="H371" s="566">
        <v>237.40411279576475</v>
      </c>
      <c r="I371" s="596">
        <v>154.86008571325675</v>
      </c>
      <c r="J371" s="595">
        <v>17.430763136096804</v>
      </c>
      <c r="K371" s="626">
        <v>0</v>
      </c>
      <c r="L371" s="595">
        <v>0</v>
      </c>
      <c r="M371" s="1057">
        <f t="shared" si="55"/>
        <v>154.86008571325675</v>
      </c>
      <c r="N371" s="1058">
        <f t="shared" si="55"/>
        <v>17.430763136096804</v>
      </c>
      <c r="O371" s="597">
        <v>19.207452491566727</v>
      </c>
      <c r="P371" s="595">
        <v>0</v>
      </c>
      <c r="Q371" s="571">
        <v>428.90241413668502</v>
      </c>
      <c r="R371" s="1075">
        <f t="shared" si="53"/>
        <v>428.90241413668502</v>
      </c>
      <c r="S371" s="1075">
        <f t="shared" si="54"/>
        <v>0</v>
      </c>
    </row>
    <row r="372" spans="1:19" ht="16.5" hidden="1" thickBot="1" x14ac:dyDescent="0.3">
      <c r="A372" s="547" t="s">
        <v>635</v>
      </c>
      <c r="B372" s="1046"/>
      <c r="C372" s="802" t="s">
        <v>1058</v>
      </c>
      <c r="D372" s="625">
        <v>14.837757049735297</v>
      </c>
      <c r="E372" s="593">
        <v>194.47545647711311</v>
      </c>
      <c r="F372" s="594">
        <v>45.61769966747098</v>
      </c>
      <c r="G372" s="595">
        <v>14.021440318843711</v>
      </c>
      <c r="H372" s="566">
        <v>268.95235351316313</v>
      </c>
      <c r="I372" s="596">
        <v>244.89501926747576</v>
      </c>
      <c r="J372" s="595">
        <v>26.986470750651254</v>
      </c>
      <c r="K372" s="626">
        <v>0</v>
      </c>
      <c r="L372" s="595">
        <v>0</v>
      </c>
      <c r="M372" s="1057">
        <f t="shared" si="55"/>
        <v>244.89501926747576</v>
      </c>
      <c r="N372" s="1058">
        <f t="shared" si="55"/>
        <v>26.986470750651254</v>
      </c>
      <c r="O372" s="597">
        <v>25.089734817109036</v>
      </c>
      <c r="P372" s="595">
        <v>0</v>
      </c>
      <c r="Q372" s="571">
        <v>565.92357834839925</v>
      </c>
      <c r="R372" s="1075">
        <f t="shared" si="53"/>
        <v>565.92357834839925</v>
      </c>
      <c r="S372" s="1075">
        <f t="shared" si="54"/>
        <v>0</v>
      </c>
    </row>
    <row r="373" spans="1:19" ht="16.5" hidden="1" thickBot="1" x14ac:dyDescent="0.3">
      <c r="A373" s="544" t="s">
        <v>939</v>
      </c>
      <c r="B373" s="1046" t="s">
        <v>429</v>
      </c>
      <c r="C373" s="812" t="s">
        <v>1062</v>
      </c>
      <c r="D373" s="549">
        <v>19.723652777277582</v>
      </c>
      <c r="E373" s="550">
        <v>203.35890325446272</v>
      </c>
      <c r="F373" s="551">
        <v>0</v>
      </c>
      <c r="G373" s="560">
        <v>15.606055149397966</v>
      </c>
      <c r="H373" s="566">
        <v>238.68861118113827</v>
      </c>
      <c r="I373" s="567">
        <v>0</v>
      </c>
      <c r="J373" s="560">
        <v>0</v>
      </c>
      <c r="K373" s="568">
        <v>265.30293753976542</v>
      </c>
      <c r="L373" s="560">
        <v>0</v>
      </c>
      <c r="M373" s="1057">
        <f t="shared" si="55"/>
        <v>265.30293753976542</v>
      </c>
      <c r="N373" s="1058">
        <f t="shared" si="55"/>
        <v>0</v>
      </c>
      <c r="O373" s="569">
        <v>0</v>
      </c>
      <c r="P373" s="560">
        <v>0</v>
      </c>
      <c r="Q373" s="571">
        <v>503.99154872090367</v>
      </c>
      <c r="R373" s="1075">
        <f t="shared" si="53"/>
        <v>503.99154872090367</v>
      </c>
      <c r="S373" s="1075">
        <f t="shared" si="54"/>
        <v>0</v>
      </c>
    </row>
    <row r="374" spans="1:19" ht="15.75" hidden="1" x14ac:dyDescent="0.25">
      <c r="A374" s="546" t="s">
        <v>102</v>
      </c>
      <c r="B374" s="1046" t="s">
        <v>429</v>
      </c>
      <c r="C374" s="802" t="s">
        <v>1066</v>
      </c>
      <c r="D374" s="549">
        <v>6.5670679389832856</v>
      </c>
      <c r="E374" s="550">
        <v>66.597794863571664</v>
      </c>
      <c r="F374" s="551">
        <v>0</v>
      </c>
      <c r="G374" s="560">
        <v>19.75451295668984</v>
      </c>
      <c r="H374" s="566">
        <v>92.919375759244787</v>
      </c>
      <c r="I374" s="567">
        <v>1.7653823812443303</v>
      </c>
      <c r="J374" s="560">
        <v>0.47665324293596917</v>
      </c>
      <c r="K374" s="568">
        <v>114.21290040234106</v>
      </c>
      <c r="L374" s="560">
        <v>30.837483108632089</v>
      </c>
      <c r="M374" s="1057">
        <f t="shared" si="55"/>
        <v>115.9782827835854</v>
      </c>
      <c r="N374" s="1058">
        <f t="shared" si="55"/>
        <v>31.31413635156806</v>
      </c>
      <c r="O374" s="569">
        <v>0</v>
      </c>
      <c r="P374" s="560">
        <v>0</v>
      </c>
      <c r="Q374" s="571">
        <v>240.21179489439825</v>
      </c>
      <c r="R374" s="1075">
        <f t="shared" si="53"/>
        <v>240.21179489439825</v>
      </c>
      <c r="S374" s="1075">
        <f t="shared" si="54"/>
        <v>0</v>
      </c>
    </row>
    <row r="375" spans="1:19" ht="15.75" hidden="1" x14ac:dyDescent="0.25">
      <c r="A375" s="547" t="s">
        <v>103</v>
      </c>
      <c r="B375" s="1046"/>
      <c r="C375" s="802" t="s">
        <v>1066</v>
      </c>
      <c r="D375" s="549">
        <v>4.7553297840520141</v>
      </c>
      <c r="E375" s="550">
        <v>94.604408132765101</v>
      </c>
      <c r="F375" s="551">
        <v>0</v>
      </c>
      <c r="G375" s="560">
        <v>26.827129237540621</v>
      </c>
      <c r="H375" s="566">
        <v>126.18686715435773</v>
      </c>
      <c r="I375" s="567">
        <v>1.6494929470269781</v>
      </c>
      <c r="J375" s="560">
        <v>0.44536309569728411</v>
      </c>
      <c r="K375" s="568">
        <v>75.212242807061514</v>
      </c>
      <c r="L375" s="560">
        <v>20.307305557906606</v>
      </c>
      <c r="M375" s="1057">
        <f t="shared" si="55"/>
        <v>76.8617357540885</v>
      </c>
      <c r="N375" s="1058">
        <f t="shared" si="55"/>
        <v>20.752668653603891</v>
      </c>
      <c r="O375" s="569">
        <v>4.7553297840520141</v>
      </c>
      <c r="P375" s="560">
        <v>1.2839390416940439</v>
      </c>
      <c r="Q375" s="571">
        <v>229.84054038779615</v>
      </c>
      <c r="R375" s="1075">
        <f t="shared" si="53"/>
        <v>229.84054038779621</v>
      </c>
      <c r="S375" s="1075">
        <f t="shared" si="54"/>
        <v>0</v>
      </c>
    </row>
    <row r="376" spans="1:19" ht="15.75" hidden="1" x14ac:dyDescent="0.25">
      <c r="A376" s="547" t="s">
        <v>104</v>
      </c>
      <c r="B376" s="1046"/>
      <c r="C376" s="802" t="s">
        <v>1066</v>
      </c>
      <c r="D376" s="549">
        <v>0</v>
      </c>
      <c r="E376" s="550">
        <v>96.234586174089173</v>
      </c>
      <c r="F376" s="551">
        <v>0</v>
      </c>
      <c r="G376" s="560">
        <v>25.983338267004079</v>
      </c>
      <c r="H376" s="566">
        <v>122.21792444109326</v>
      </c>
      <c r="I376" s="567">
        <v>0</v>
      </c>
      <c r="J376" s="560">
        <v>0</v>
      </c>
      <c r="K376" s="568">
        <v>74.018581634622777</v>
      </c>
      <c r="L376" s="560">
        <v>19.985017041348154</v>
      </c>
      <c r="M376" s="1057">
        <f t="shared" si="55"/>
        <v>74.018581634622777</v>
      </c>
      <c r="N376" s="1058">
        <f t="shared" si="55"/>
        <v>19.985017041348154</v>
      </c>
      <c r="O376" s="569">
        <v>0</v>
      </c>
      <c r="P376" s="560">
        <v>0</v>
      </c>
      <c r="Q376" s="571">
        <v>216.22152311706418</v>
      </c>
      <c r="R376" s="1075">
        <f t="shared" si="53"/>
        <v>216.22152311706418</v>
      </c>
      <c r="S376" s="1075">
        <f t="shared" si="54"/>
        <v>0</v>
      </c>
    </row>
    <row r="377" spans="1:19" ht="15.75" hidden="1" x14ac:dyDescent="0.25">
      <c r="A377" s="543" t="s">
        <v>105</v>
      </c>
      <c r="B377" s="1046"/>
      <c r="C377" s="802" t="s">
        <v>1066</v>
      </c>
      <c r="D377" s="549">
        <v>0</v>
      </c>
      <c r="E377" s="550">
        <v>131.34135877966571</v>
      </c>
      <c r="F377" s="551">
        <v>0</v>
      </c>
      <c r="G377" s="560">
        <v>35.462166870509741</v>
      </c>
      <c r="H377" s="566">
        <v>166.80352565017546</v>
      </c>
      <c r="I377" s="567">
        <v>1.5451924562313613</v>
      </c>
      <c r="J377" s="560">
        <v>0.41720196318246755</v>
      </c>
      <c r="K377" s="568">
        <v>95.801932286344396</v>
      </c>
      <c r="L377" s="560">
        <v>25.866521717312988</v>
      </c>
      <c r="M377" s="1057">
        <f t="shared" si="55"/>
        <v>97.347124742575758</v>
      </c>
      <c r="N377" s="1058">
        <f t="shared" si="55"/>
        <v>26.283723680495456</v>
      </c>
      <c r="O377" s="569">
        <v>0</v>
      </c>
      <c r="P377" s="560">
        <v>0</v>
      </c>
      <c r="Q377" s="571">
        <v>290.43437407324666</v>
      </c>
      <c r="R377" s="1075">
        <f t="shared" si="53"/>
        <v>290.43437407324666</v>
      </c>
      <c r="S377" s="1075">
        <f t="shared" si="54"/>
        <v>0</v>
      </c>
    </row>
    <row r="378" spans="1:19" ht="16.5" hidden="1" thickBot="1" x14ac:dyDescent="0.3">
      <c r="A378" s="548" t="s">
        <v>613</v>
      </c>
      <c r="B378" s="1046"/>
      <c r="C378" s="802" t="s">
        <v>1066</v>
      </c>
      <c r="D378" s="549">
        <v>0</v>
      </c>
      <c r="E378" s="550">
        <v>84.13572924179762</v>
      </c>
      <c r="F378" s="551">
        <v>0</v>
      </c>
      <c r="G378" s="560">
        <v>22.71432910660101</v>
      </c>
      <c r="H378" s="566">
        <v>106.85005834839863</v>
      </c>
      <c r="I378" s="567">
        <v>2.4336781185643939</v>
      </c>
      <c r="J378" s="560">
        <v>0.65709309201238641</v>
      </c>
      <c r="K378" s="568">
        <v>51.107240489852273</v>
      </c>
      <c r="L378" s="560">
        <v>13.798568634146056</v>
      </c>
      <c r="M378" s="1057">
        <f t="shared" si="55"/>
        <v>53.540918608416668</v>
      </c>
      <c r="N378" s="1058">
        <f t="shared" si="55"/>
        <v>14.455661726158443</v>
      </c>
      <c r="O378" s="569">
        <v>0</v>
      </c>
      <c r="P378" s="560">
        <v>0</v>
      </c>
      <c r="Q378" s="571">
        <v>174.84663868297375</v>
      </c>
      <c r="R378" s="1075">
        <f t="shared" si="53"/>
        <v>174.84663868297375</v>
      </c>
      <c r="S378" s="1075">
        <f t="shared" si="54"/>
        <v>0</v>
      </c>
    </row>
    <row r="379" spans="1:19" ht="15.75" hidden="1" x14ac:dyDescent="0.25">
      <c r="A379" s="546" t="s">
        <v>107</v>
      </c>
      <c r="B379" s="1046"/>
      <c r="C379" s="802" t="s">
        <v>1074</v>
      </c>
      <c r="D379" s="549">
        <v>30.419802883518805</v>
      </c>
      <c r="E379" s="550">
        <v>50.203478949832537</v>
      </c>
      <c r="F379" s="551">
        <v>0.48018631228916819</v>
      </c>
      <c r="G379" s="560">
        <v>8.1151486776869426</v>
      </c>
      <c r="H379" s="566">
        <v>89.218616823327451</v>
      </c>
      <c r="I379" s="567">
        <v>26.326214571253644</v>
      </c>
      <c r="J379" s="560">
        <v>2.6290200597831959</v>
      </c>
      <c r="K379" s="568">
        <v>70.935522982917377</v>
      </c>
      <c r="L379" s="560">
        <v>7.0947527640724601</v>
      </c>
      <c r="M379" s="1057">
        <f t="shared" si="55"/>
        <v>97.26173755417102</v>
      </c>
      <c r="N379" s="1058">
        <f t="shared" si="55"/>
        <v>9.723772823855656</v>
      </c>
      <c r="O379" s="569">
        <v>0.96037262457833639</v>
      </c>
      <c r="P379" s="560">
        <v>9.6037262457833644E-2</v>
      </c>
      <c r="Q379" s="571">
        <v>197.26053708839029</v>
      </c>
      <c r="R379" s="1075">
        <f t="shared" si="53"/>
        <v>197.26053708839029</v>
      </c>
      <c r="S379" s="1075">
        <f t="shared" si="54"/>
        <v>0</v>
      </c>
    </row>
    <row r="380" spans="1:19" ht="15.75" hidden="1" x14ac:dyDescent="0.25">
      <c r="A380" s="547" t="s">
        <v>108</v>
      </c>
      <c r="B380" s="1046"/>
      <c r="C380" s="802" t="s">
        <v>1074</v>
      </c>
      <c r="D380" s="549">
        <v>0.36013973421687612</v>
      </c>
      <c r="E380" s="550">
        <v>17.022604770651011</v>
      </c>
      <c r="F380" s="551">
        <v>0.48018631228916819</v>
      </c>
      <c r="G380" s="560">
        <v>1.7886940132771514</v>
      </c>
      <c r="H380" s="566">
        <v>19.651624830434205</v>
      </c>
      <c r="I380" s="567">
        <v>16.72248832547028</v>
      </c>
      <c r="J380" s="560">
        <v>1.6686474352048593</v>
      </c>
      <c r="K380" s="568">
        <v>42.88063768742272</v>
      </c>
      <c r="L380" s="560">
        <v>4.2856628371808254</v>
      </c>
      <c r="M380" s="1057">
        <f t="shared" si="55"/>
        <v>59.603126012893</v>
      </c>
      <c r="N380" s="1058">
        <f t="shared" si="55"/>
        <v>5.9543102723856851</v>
      </c>
      <c r="O380" s="569">
        <v>0.96037262457833639</v>
      </c>
      <c r="P380" s="560">
        <v>9.6037262457833644E-2</v>
      </c>
      <c r="Q380" s="571">
        <v>86.265471002749052</v>
      </c>
      <c r="R380" s="1075">
        <f t="shared" si="53"/>
        <v>86.265471002749052</v>
      </c>
      <c r="S380" s="1075">
        <f t="shared" si="54"/>
        <v>0</v>
      </c>
    </row>
    <row r="381" spans="1:19" ht="15.75" hidden="1" x14ac:dyDescent="0.25">
      <c r="A381" s="547" t="s">
        <v>109</v>
      </c>
      <c r="B381" s="1046"/>
      <c r="C381" s="802" t="s">
        <v>1074</v>
      </c>
      <c r="D381" s="549">
        <v>13.013049063036458</v>
      </c>
      <c r="E381" s="550">
        <v>73.900673461302986</v>
      </c>
      <c r="F381" s="551">
        <v>0.48018631228916819</v>
      </c>
      <c r="G381" s="560">
        <v>8.7393908836628604</v>
      </c>
      <c r="H381" s="566">
        <v>96.133299720291475</v>
      </c>
      <c r="I381" s="567">
        <v>13.949412372000335</v>
      </c>
      <c r="J381" s="560">
        <v>1.3925403056385877</v>
      </c>
      <c r="K381" s="568">
        <v>37.262457833639452</v>
      </c>
      <c r="L381" s="560">
        <v>3.7214439202410534</v>
      </c>
      <c r="M381" s="1057">
        <f t="shared" si="55"/>
        <v>51.211870205639784</v>
      </c>
      <c r="N381" s="1058">
        <f t="shared" si="55"/>
        <v>5.1139842258796406</v>
      </c>
      <c r="O381" s="569">
        <v>0.96037262457833639</v>
      </c>
      <c r="P381" s="560">
        <v>9.6037262457833644E-2</v>
      </c>
      <c r="Q381" s="571">
        <v>153.51556403884706</v>
      </c>
      <c r="R381" s="1075">
        <f t="shared" si="53"/>
        <v>153.51556403884706</v>
      </c>
      <c r="S381" s="1075">
        <f t="shared" si="54"/>
        <v>0</v>
      </c>
    </row>
    <row r="382" spans="1:19" ht="15.75" hidden="1" x14ac:dyDescent="0.25">
      <c r="A382" s="547" t="s">
        <v>110</v>
      </c>
      <c r="B382" s="1046" t="s">
        <v>429</v>
      </c>
      <c r="C382" s="802" t="s">
        <v>1074</v>
      </c>
      <c r="D382" s="549">
        <v>22.028547076265593</v>
      </c>
      <c r="E382" s="550">
        <v>30.97201714265135</v>
      </c>
      <c r="F382" s="551">
        <v>0.48018631228916819</v>
      </c>
      <c r="G382" s="560">
        <v>5.3420727242169965</v>
      </c>
      <c r="H382" s="566">
        <v>58.82282325542311</v>
      </c>
      <c r="I382" s="567">
        <v>30.599872750627242</v>
      </c>
      <c r="J382" s="560">
        <v>3.0611877408434469</v>
      </c>
      <c r="K382" s="568">
        <v>88.714421195423824</v>
      </c>
      <c r="L382" s="560">
        <v>8.8714421195423814</v>
      </c>
      <c r="M382" s="1057">
        <f t="shared" si="55"/>
        <v>119.31429394605107</v>
      </c>
      <c r="N382" s="1058">
        <f t="shared" si="55"/>
        <v>11.932629860385829</v>
      </c>
      <c r="O382" s="569">
        <v>0.96037262457833639</v>
      </c>
      <c r="P382" s="560">
        <v>9.6037262457833644E-2</v>
      </c>
      <c r="Q382" s="571">
        <v>191.12615694889618</v>
      </c>
      <c r="R382" s="1075">
        <f t="shared" si="53"/>
        <v>191.12615694889615</v>
      </c>
      <c r="S382" s="1075">
        <f t="shared" si="54"/>
        <v>0</v>
      </c>
    </row>
    <row r="383" spans="1:19" ht="16.5" hidden="1" thickBot="1" x14ac:dyDescent="0.3">
      <c r="A383" s="613" t="s">
        <v>111</v>
      </c>
      <c r="B383" s="1046"/>
      <c r="C383" s="807" t="s">
        <v>1074</v>
      </c>
      <c r="D383" s="549">
        <v>10.372024345446034</v>
      </c>
      <c r="E383" s="550">
        <v>54.249048630868771</v>
      </c>
      <c r="F383" s="551">
        <v>0.48018631228916819</v>
      </c>
      <c r="G383" s="560">
        <v>6.5065245315182292</v>
      </c>
      <c r="H383" s="566">
        <v>71.607783820122194</v>
      </c>
      <c r="I383" s="567">
        <v>32.964790338651397</v>
      </c>
      <c r="J383" s="560">
        <v>3.3012808969880312</v>
      </c>
      <c r="K383" s="568">
        <v>87.898104464532238</v>
      </c>
      <c r="L383" s="560">
        <v>8.7874095148917775</v>
      </c>
      <c r="M383" s="1057">
        <f t="shared" si="55"/>
        <v>120.86289480318364</v>
      </c>
      <c r="N383" s="1058">
        <f t="shared" si="55"/>
        <v>12.088690411879808</v>
      </c>
      <c r="O383" s="569">
        <v>0.96037262457833639</v>
      </c>
      <c r="P383" s="560">
        <v>9.6037262457833644E-2</v>
      </c>
      <c r="Q383" s="571">
        <v>205.61577892222181</v>
      </c>
      <c r="R383" s="1075">
        <f t="shared" si="53"/>
        <v>205.61577892222181</v>
      </c>
      <c r="S383" s="1075">
        <f t="shared" si="54"/>
        <v>0</v>
      </c>
    </row>
    <row r="384" spans="1:19" ht="15.75" hidden="1" x14ac:dyDescent="0.25">
      <c r="A384" s="546" t="s">
        <v>112</v>
      </c>
      <c r="B384" s="1046"/>
      <c r="C384" s="802" t="s">
        <v>1076</v>
      </c>
      <c r="D384" s="549">
        <v>66.571407420741423</v>
      </c>
      <c r="E384" s="550">
        <v>2.1302850374637252</v>
      </c>
      <c r="F384" s="551">
        <v>0</v>
      </c>
      <c r="G384" s="560">
        <v>5.4766077838129936</v>
      </c>
      <c r="H384" s="566">
        <v>74.178300242018139</v>
      </c>
      <c r="I384" s="567">
        <v>59.647981048984306</v>
      </c>
      <c r="J384" s="560">
        <v>4.7487603960128881</v>
      </c>
      <c r="K384" s="568">
        <v>0</v>
      </c>
      <c r="L384" s="560">
        <v>0</v>
      </c>
      <c r="M384" s="1057">
        <f t="shared" si="55"/>
        <v>59.647981048984306</v>
      </c>
      <c r="N384" s="1058">
        <f t="shared" si="55"/>
        <v>4.7487603960128881</v>
      </c>
      <c r="O384" s="569">
        <v>0</v>
      </c>
      <c r="P384" s="560">
        <v>0</v>
      </c>
      <c r="Q384" s="571">
        <v>138.57504168701533</v>
      </c>
      <c r="R384" s="1075">
        <f t="shared" si="53"/>
        <v>138.57504168701533</v>
      </c>
      <c r="S384" s="1075">
        <f t="shared" si="54"/>
        <v>0</v>
      </c>
    </row>
    <row r="385" spans="1:19" ht="15.75" hidden="1" x14ac:dyDescent="0.25">
      <c r="A385" s="547" t="s">
        <v>113</v>
      </c>
      <c r="B385" s="1046"/>
      <c r="C385" s="802" t="s">
        <v>1076</v>
      </c>
      <c r="D385" s="549">
        <v>90.537114092208327</v>
      </c>
      <c r="E385" s="550">
        <v>8.8761876560988551</v>
      </c>
      <c r="F385" s="551">
        <v>0</v>
      </c>
      <c r="G385" s="560">
        <v>7.926435576896278</v>
      </c>
      <c r="H385" s="566">
        <v>107.33973732520346</v>
      </c>
      <c r="I385" s="567">
        <v>58.582838530252445</v>
      </c>
      <c r="J385" s="560">
        <v>4.6777508947640971</v>
      </c>
      <c r="K385" s="568">
        <v>0</v>
      </c>
      <c r="L385" s="560">
        <v>0</v>
      </c>
      <c r="M385" s="1057">
        <f t="shared" si="55"/>
        <v>58.582838530252445</v>
      </c>
      <c r="N385" s="1058">
        <f t="shared" si="55"/>
        <v>4.6777508947640971</v>
      </c>
      <c r="O385" s="569">
        <v>0</v>
      </c>
      <c r="P385" s="560">
        <v>0</v>
      </c>
      <c r="Q385" s="571">
        <v>170.60032675022001</v>
      </c>
      <c r="R385" s="1075">
        <f t="shared" si="53"/>
        <v>170.60032675022001</v>
      </c>
      <c r="S385" s="1075">
        <f t="shared" si="54"/>
        <v>0</v>
      </c>
    </row>
    <row r="386" spans="1:19" ht="15.75" hidden="1" x14ac:dyDescent="0.25">
      <c r="A386" s="547" t="s">
        <v>114</v>
      </c>
      <c r="B386" s="1046"/>
      <c r="C386" s="802" t="s">
        <v>1076</v>
      </c>
      <c r="D386" s="549">
        <v>86.27654401728087</v>
      </c>
      <c r="E386" s="550">
        <v>4.4380938280494275</v>
      </c>
      <c r="F386" s="551">
        <v>0</v>
      </c>
      <c r="G386" s="560">
        <v>7.2340929397205675</v>
      </c>
      <c r="H386" s="566">
        <v>97.94873078505087</v>
      </c>
      <c r="I386" s="567">
        <v>75.270071323718298</v>
      </c>
      <c r="J386" s="560">
        <v>6.0091790431789249</v>
      </c>
      <c r="K386" s="568">
        <v>0</v>
      </c>
      <c r="L386" s="560">
        <v>0</v>
      </c>
      <c r="M386" s="1057">
        <f t="shared" si="55"/>
        <v>75.270071323718298</v>
      </c>
      <c r="N386" s="1058">
        <f t="shared" si="55"/>
        <v>6.0091790431789249</v>
      </c>
      <c r="O386" s="569">
        <v>0</v>
      </c>
      <c r="P386" s="560">
        <v>0</v>
      </c>
      <c r="Q386" s="571">
        <v>179.22798115194811</v>
      </c>
      <c r="R386" s="1075">
        <f t="shared" si="53"/>
        <v>179.22798115194811</v>
      </c>
      <c r="S386" s="1075">
        <f t="shared" si="54"/>
        <v>0</v>
      </c>
    </row>
    <row r="387" spans="1:19" ht="15.75" hidden="1" x14ac:dyDescent="0.25">
      <c r="A387" s="547" t="s">
        <v>115</v>
      </c>
      <c r="B387" s="1046"/>
      <c r="C387" s="802" t="s">
        <v>1076</v>
      </c>
      <c r="D387" s="549">
        <v>90.537114092208327</v>
      </c>
      <c r="E387" s="550">
        <v>14.485938254753332</v>
      </c>
      <c r="F387" s="551">
        <v>0</v>
      </c>
      <c r="G387" s="560">
        <v>8.3436163967329247</v>
      </c>
      <c r="H387" s="566">
        <v>113.36666874369459</v>
      </c>
      <c r="I387" s="567">
        <v>92.028313618432932</v>
      </c>
      <c r="J387" s="560">
        <v>7.3139786286254571</v>
      </c>
      <c r="K387" s="568">
        <v>0</v>
      </c>
      <c r="L387" s="560">
        <v>0</v>
      </c>
      <c r="M387" s="1057">
        <f t="shared" si="55"/>
        <v>92.028313618432932</v>
      </c>
      <c r="N387" s="1058">
        <f t="shared" si="55"/>
        <v>7.3139786286254571</v>
      </c>
      <c r="O387" s="569">
        <v>0</v>
      </c>
      <c r="P387" s="560">
        <v>0</v>
      </c>
      <c r="Q387" s="571">
        <v>212.70896099075296</v>
      </c>
      <c r="R387" s="1075">
        <f t="shared" ref="R387:R450" si="56">H387+M387+N387+O387+P387</f>
        <v>212.70896099075296</v>
      </c>
      <c r="S387" s="1075">
        <f t="shared" si="54"/>
        <v>0</v>
      </c>
    </row>
    <row r="388" spans="1:19" ht="15.75" hidden="1" x14ac:dyDescent="0.25">
      <c r="A388" s="547" t="s">
        <v>116</v>
      </c>
      <c r="B388" s="1046"/>
      <c r="C388" s="802" t="s">
        <v>1076</v>
      </c>
      <c r="D388" s="549">
        <v>140.59881247260589</v>
      </c>
      <c r="E388" s="550">
        <v>0</v>
      </c>
      <c r="F388" s="551">
        <v>0</v>
      </c>
      <c r="G388" s="560">
        <v>11.201748821996755</v>
      </c>
      <c r="H388" s="566">
        <v>151.80056129460263</v>
      </c>
      <c r="I388" s="567">
        <v>63.908551123911757</v>
      </c>
      <c r="J388" s="560">
        <v>5.0949317146007429</v>
      </c>
      <c r="K388" s="568">
        <v>0</v>
      </c>
      <c r="L388" s="560">
        <v>0</v>
      </c>
      <c r="M388" s="1057">
        <f t="shared" si="55"/>
        <v>63.908551123911757</v>
      </c>
      <c r="N388" s="1058">
        <f t="shared" si="55"/>
        <v>5.0949317146007429</v>
      </c>
      <c r="O388" s="569">
        <v>0</v>
      </c>
      <c r="P388" s="560">
        <v>0</v>
      </c>
      <c r="Q388" s="571">
        <v>220.80404413311513</v>
      </c>
      <c r="R388" s="1075">
        <f t="shared" si="56"/>
        <v>220.80404413311513</v>
      </c>
      <c r="S388" s="1075">
        <f t="shared" si="54"/>
        <v>0</v>
      </c>
    </row>
    <row r="389" spans="1:19" ht="15.75" hidden="1" x14ac:dyDescent="0.25">
      <c r="A389" s="547" t="s">
        <v>117</v>
      </c>
      <c r="B389" s="1046"/>
      <c r="C389" s="802" t="s">
        <v>1076</v>
      </c>
      <c r="D389" s="549">
        <v>133.14281484148285</v>
      </c>
      <c r="E389" s="550">
        <v>70.725463243795687</v>
      </c>
      <c r="F389" s="551">
        <v>0</v>
      </c>
      <c r="G389" s="560">
        <v>16.2789281612853</v>
      </c>
      <c r="H389" s="566">
        <v>220.14720624656383</v>
      </c>
      <c r="I389" s="567">
        <v>74.879519066849952</v>
      </c>
      <c r="J389" s="560">
        <v>5.9825504802106284</v>
      </c>
      <c r="K389" s="568">
        <v>0</v>
      </c>
      <c r="L389" s="560">
        <v>0</v>
      </c>
      <c r="M389" s="1057">
        <f t="shared" si="55"/>
        <v>74.879519066849952</v>
      </c>
      <c r="N389" s="1058">
        <f t="shared" si="55"/>
        <v>5.9825504802106284</v>
      </c>
      <c r="O389" s="569">
        <v>0</v>
      </c>
      <c r="P389" s="560">
        <v>0</v>
      </c>
      <c r="Q389" s="571">
        <v>301.0092757936244</v>
      </c>
      <c r="R389" s="1075">
        <f t="shared" si="56"/>
        <v>301.0092757936244</v>
      </c>
      <c r="S389" s="1075">
        <f t="shared" si="54"/>
        <v>0</v>
      </c>
    </row>
    <row r="390" spans="1:19" ht="15.75" hidden="1" x14ac:dyDescent="0.25">
      <c r="A390" s="547" t="s">
        <v>118</v>
      </c>
      <c r="B390" s="1046" t="s">
        <v>429</v>
      </c>
      <c r="C390" s="802" t="s">
        <v>1076</v>
      </c>
      <c r="D390" s="549">
        <v>124.62167469162793</v>
      </c>
      <c r="E390" s="550">
        <v>7.8110451373669925</v>
      </c>
      <c r="F390" s="551">
        <v>0</v>
      </c>
      <c r="G390" s="560">
        <v>10.482777621852748</v>
      </c>
      <c r="H390" s="566">
        <v>142.91549745084768</v>
      </c>
      <c r="I390" s="567">
        <v>63.553503617667808</v>
      </c>
      <c r="J390" s="560">
        <v>5.0327984010080513</v>
      </c>
      <c r="K390" s="568">
        <v>0</v>
      </c>
      <c r="L390" s="560">
        <v>0</v>
      </c>
      <c r="M390" s="1057">
        <f t="shared" si="55"/>
        <v>63.553503617667808</v>
      </c>
      <c r="N390" s="1058">
        <f t="shared" si="55"/>
        <v>5.0327984010080513</v>
      </c>
      <c r="O390" s="569">
        <v>0</v>
      </c>
      <c r="P390" s="560">
        <v>0</v>
      </c>
      <c r="Q390" s="571">
        <v>211.50179946952355</v>
      </c>
      <c r="R390" s="1075">
        <f t="shared" si="56"/>
        <v>211.50179946952355</v>
      </c>
      <c r="S390" s="1075">
        <f t="shared" si="54"/>
        <v>0</v>
      </c>
    </row>
    <row r="391" spans="1:19" ht="16.5" hidden="1" thickBot="1" x14ac:dyDescent="0.3">
      <c r="A391" s="613" t="s">
        <v>119</v>
      </c>
      <c r="B391" s="1046"/>
      <c r="C391" s="802" t="s">
        <v>1076</v>
      </c>
      <c r="D391" s="549">
        <v>84.146258979817148</v>
      </c>
      <c r="E391" s="550">
        <v>1.5267042768490031</v>
      </c>
      <c r="F391" s="551">
        <v>0</v>
      </c>
      <c r="G391" s="560">
        <v>6.8169121198839209</v>
      </c>
      <c r="H391" s="566">
        <v>92.489875376550074</v>
      </c>
      <c r="I391" s="567">
        <v>67.814073692595258</v>
      </c>
      <c r="J391" s="560">
        <v>5.3967220949081041</v>
      </c>
      <c r="K391" s="568">
        <v>0</v>
      </c>
      <c r="L391" s="560">
        <v>0</v>
      </c>
      <c r="M391" s="1057">
        <f t="shared" si="55"/>
        <v>67.814073692595258</v>
      </c>
      <c r="N391" s="1058">
        <f t="shared" si="55"/>
        <v>5.3967220949081041</v>
      </c>
      <c r="O391" s="569">
        <v>0</v>
      </c>
      <c r="P391" s="560">
        <v>0</v>
      </c>
      <c r="Q391" s="571">
        <v>165.70067116405346</v>
      </c>
      <c r="R391" s="1075">
        <f t="shared" si="56"/>
        <v>165.70067116405346</v>
      </c>
      <c r="S391" s="1075">
        <f t="shared" si="54"/>
        <v>0</v>
      </c>
    </row>
    <row r="392" spans="1:19" ht="16.5" hidden="1" thickBot="1" x14ac:dyDescent="0.3">
      <c r="A392" s="696" t="s">
        <v>587</v>
      </c>
      <c r="B392" s="760"/>
      <c r="C392" s="812" t="s">
        <v>1084</v>
      </c>
      <c r="D392" s="549">
        <v>0</v>
      </c>
      <c r="E392" s="550">
        <v>84.287296553798782</v>
      </c>
      <c r="F392" s="551">
        <v>0</v>
      </c>
      <c r="G392" s="560">
        <v>0</v>
      </c>
      <c r="H392" s="566">
        <v>84.287296553798782</v>
      </c>
      <c r="I392" s="567">
        <v>0</v>
      </c>
      <c r="J392" s="560">
        <v>0</v>
      </c>
      <c r="K392" s="568">
        <v>0</v>
      </c>
      <c r="L392" s="560">
        <v>0</v>
      </c>
      <c r="M392" s="1057">
        <f t="shared" si="55"/>
        <v>0</v>
      </c>
      <c r="N392" s="1058">
        <f t="shared" si="55"/>
        <v>0</v>
      </c>
      <c r="O392" s="569">
        <v>0</v>
      </c>
      <c r="P392" s="560">
        <v>0</v>
      </c>
      <c r="Q392" s="571">
        <v>84.287296553798782</v>
      </c>
      <c r="R392" s="1075">
        <f t="shared" si="56"/>
        <v>84.287296553798782</v>
      </c>
      <c r="S392" s="1075">
        <f t="shared" si="54"/>
        <v>0</v>
      </c>
    </row>
    <row r="393" spans="1:19" ht="16.5" hidden="1" thickBot="1" x14ac:dyDescent="0.3">
      <c r="A393" s="645" t="s">
        <v>775</v>
      </c>
      <c r="B393" s="751"/>
      <c r="C393" s="818" t="s">
        <v>1088</v>
      </c>
      <c r="D393" s="549">
        <v>70.827481062652311</v>
      </c>
      <c r="E393" s="550">
        <v>172.13478829785956</v>
      </c>
      <c r="F393" s="551">
        <v>0</v>
      </c>
      <c r="G393" s="560">
        <v>0</v>
      </c>
      <c r="H393" s="566">
        <v>242.96226936051187</v>
      </c>
      <c r="I393" s="567">
        <v>0</v>
      </c>
      <c r="J393" s="560">
        <v>0</v>
      </c>
      <c r="K393" s="568">
        <v>0</v>
      </c>
      <c r="L393" s="560">
        <v>0</v>
      </c>
      <c r="M393" s="1057">
        <f t="shared" si="55"/>
        <v>0</v>
      </c>
      <c r="N393" s="1058">
        <f t="shared" si="55"/>
        <v>0</v>
      </c>
      <c r="O393" s="569">
        <v>0</v>
      </c>
      <c r="P393" s="560">
        <v>0</v>
      </c>
      <c r="Q393" s="571">
        <v>242.96226936051187</v>
      </c>
      <c r="R393" s="1075">
        <f t="shared" si="56"/>
        <v>242.96226936051187</v>
      </c>
      <c r="S393" s="1075">
        <f t="shared" si="54"/>
        <v>0</v>
      </c>
    </row>
    <row r="394" spans="1:19" ht="15.75" hidden="1" x14ac:dyDescent="0.25">
      <c r="A394" s="659" t="s">
        <v>620</v>
      </c>
      <c r="B394" s="752"/>
      <c r="C394" s="816" t="s">
        <v>1092</v>
      </c>
      <c r="D394" s="549">
        <v>70.664551813892956</v>
      </c>
      <c r="E394" s="550">
        <v>0</v>
      </c>
      <c r="F394" s="551">
        <v>0</v>
      </c>
      <c r="G394" s="560">
        <v>0</v>
      </c>
      <c r="H394" s="566">
        <v>70.664551813892956</v>
      </c>
      <c r="I394" s="567">
        <v>0</v>
      </c>
      <c r="J394" s="560">
        <v>0</v>
      </c>
      <c r="K394" s="568">
        <v>23.385391247763135</v>
      </c>
      <c r="L394" s="560">
        <v>0</v>
      </c>
      <c r="M394" s="1057">
        <f t="shared" si="55"/>
        <v>23.385391247763135</v>
      </c>
      <c r="N394" s="1058">
        <f t="shared" si="55"/>
        <v>0</v>
      </c>
      <c r="O394" s="569">
        <v>0</v>
      </c>
      <c r="P394" s="560">
        <v>0</v>
      </c>
      <c r="Q394" s="571">
        <v>94.049943061656094</v>
      </c>
      <c r="R394" s="1075">
        <f t="shared" si="56"/>
        <v>94.049943061656094</v>
      </c>
      <c r="S394" s="1075">
        <f t="shared" si="54"/>
        <v>0</v>
      </c>
    </row>
    <row r="395" spans="1:19" ht="15.75" hidden="1" x14ac:dyDescent="0.25">
      <c r="A395" s="657" t="s">
        <v>889</v>
      </c>
      <c r="B395" s="747" t="s">
        <v>429</v>
      </c>
      <c r="C395" s="815" t="s">
        <v>1092</v>
      </c>
      <c r="D395" s="549">
        <v>105.74263868553766</v>
      </c>
      <c r="E395" s="550">
        <v>0</v>
      </c>
      <c r="F395" s="551">
        <v>0</v>
      </c>
      <c r="G395" s="560">
        <v>0</v>
      </c>
      <c r="H395" s="566">
        <v>105.74263868553766</v>
      </c>
      <c r="I395" s="567">
        <v>0</v>
      </c>
      <c r="J395" s="560">
        <v>0</v>
      </c>
      <c r="K395" s="568">
        <v>0</v>
      </c>
      <c r="L395" s="560">
        <v>0</v>
      </c>
      <c r="M395" s="1057">
        <f t="shared" si="55"/>
        <v>0</v>
      </c>
      <c r="N395" s="1058">
        <f t="shared" si="55"/>
        <v>0</v>
      </c>
      <c r="O395" s="569">
        <v>0</v>
      </c>
      <c r="P395" s="560">
        <v>0</v>
      </c>
      <c r="Q395" s="571">
        <v>105.74263868553766</v>
      </c>
      <c r="R395" s="1075">
        <f t="shared" si="56"/>
        <v>105.74263868553766</v>
      </c>
      <c r="S395" s="1075">
        <f t="shared" si="54"/>
        <v>0</v>
      </c>
    </row>
    <row r="396" spans="1:19" ht="15.75" hidden="1" x14ac:dyDescent="0.25">
      <c r="A396" s="657" t="s">
        <v>621</v>
      </c>
      <c r="B396" s="747"/>
      <c r="C396" s="815" t="s">
        <v>1092</v>
      </c>
      <c r="D396" s="549">
        <v>57.446721978200749</v>
      </c>
      <c r="E396" s="550">
        <v>0</v>
      </c>
      <c r="F396" s="551">
        <v>0</v>
      </c>
      <c r="G396" s="560">
        <v>0</v>
      </c>
      <c r="H396" s="566">
        <v>57.446721978200749</v>
      </c>
      <c r="I396" s="567">
        <v>0</v>
      </c>
      <c r="J396" s="560">
        <v>0</v>
      </c>
      <c r="K396" s="568">
        <v>4.0670245648283716</v>
      </c>
      <c r="L396" s="560">
        <v>0</v>
      </c>
      <c r="M396" s="1057">
        <f t="shared" si="55"/>
        <v>4.0670245648283716</v>
      </c>
      <c r="N396" s="1058">
        <f t="shared" si="55"/>
        <v>0</v>
      </c>
      <c r="O396" s="569">
        <v>0</v>
      </c>
      <c r="P396" s="560">
        <v>0</v>
      </c>
      <c r="Q396" s="571">
        <v>61.513746543029121</v>
      </c>
      <c r="R396" s="1075">
        <f t="shared" si="56"/>
        <v>61.513746543029121</v>
      </c>
      <c r="S396" s="1075">
        <f t="shared" si="54"/>
        <v>0</v>
      </c>
    </row>
    <row r="397" spans="1:19" ht="15.75" hidden="1" x14ac:dyDescent="0.25">
      <c r="A397" s="657" t="s">
        <v>622</v>
      </c>
      <c r="B397" s="747"/>
      <c r="C397" s="815" t="s">
        <v>1092</v>
      </c>
      <c r="D397" s="549">
        <v>116.92695623881568</v>
      </c>
      <c r="E397" s="550">
        <v>0</v>
      </c>
      <c r="F397" s="551">
        <v>0</v>
      </c>
      <c r="G397" s="560">
        <v>0</v>
      </c>
      <c r="H397" s="566">
        <v>116.92695623881568</v>
      </c>
      <c r="I397" s="567">
        <v>0</v>
      </c>
      <c r="J397" s="560">
        <v>0</v>
      </c>
      <c r="K397" s="568">
        <v>0</v>
      </c>
      <c r="L397" s="560">
        <v>0</v>
      </c>
      <c r="M397" s="1057">
        <f t="shared" si="55"/>
        <v>0</v>
      </c>
      <c r="N397" s="1058">
        <f t="shared" si="55"/>
        <v>0</v>
      </c>
      <c r="O397" s="569">
        <v>0</v>
      </c>
      <c r="P397" s="560">
        <v>0</v>
      </c>
      <c r="Q397" s="571">
        <v>116.92695623881568</v>
      </c>
      <c r="R397" s="1075">
        <f t="shared" si="56"/>
        <v>116.92695623881568</v>
      </c>
      <c r="S397" s="1075">
        <f t="shared" si="54"/>
        <v>0</v>
      </c>
    </row>
    <row r="398" spans="1:19" ht="15.75" hidden="1" x14ac:dyDescent="0.25">
      <c r="A398" s="657" t="s">
        <v>623</v>
      </c>
      <c r="B398" s="747"/>
      <c r="C398" s="815" t="s">
        <v>1092</v>
      </c>
      <c r="D398" s="549">
        <v>61.005368472425573</v>
      </c>
      <c r="E398" s="550">
        <v>0</v>
      </c>
      <c r="F398" s="551">
        <v>0</v>
      </c>
      <c r="G398" s="560">
        <v>0</v>
      </c>
      <c r="H398" s="566">
        <v>61.005368472425573</v>
      </c>
      <c r="I398" s="567">
        <v>0</v>
      </c>
      <c r="J398" s="560">
        <v>0</v>
      </c>
      <c r="K398" s="568">
        <v>13.217829835692207</v>
      </c>
      <c r="L398" s="560">
        <v>0</v>
      </c>
      <c r="M398" s="1057">
        <f t="shared" si="55"/>
        <v>13.217829835692207</v>
      </c>
      <c r="N398" s="1058">
        <f t="shared" si="55"/>
        <v>0</v>
      </c>
      <c r="O398" s="569">
        <v>0</v>
      </c>
      <c r="P398" s="560">
        <v>0</v>
      </c>
      <c r="Q398" s="571">
        <v>74.223198308117787</v>
      </c>
      <c r="R398" s="1075">
        <f t="shared" si="56"/>
        <v>74.223198308117787</v>
      </c>
      <c r="S398" s="1075">
        <f t="shared" si="54"/>
        <v>0</v>
      </c>
    </row>
    <row r="399" spans="1:19" ht="16.5" hidden="1" thickBot="1" x14ac:dyDescent="0.3">
      <c r="A399" s="657" t="s">
        <v>624</v>
      </c>
      <c r="B399" s="747"/>
      <c r="C399" s="819" t="s">
        <v>1092</v>
      </c>
      <c r="D399" s="549">
        <v>104.21750447372702</v>
      </c>
      <c r="E399" s="550">
        <v>0</v>
      </c>
      <c r="F399" s="551">
        <v>0</v>
      </c>
      <c r="G399" s="560">
        <v>0</v>
      </c>
      <c r="H399" s="566">
        <v>104.21750447372702</v>
      </c>
      <c r="I399" s="567">
        <v>0</v>
      </c>
      <c r="J399" s="560">
        <v>0</v>
      </c>
      <c r="K399" s="568">
        <v>17.28485440052058</v>
      </c>
      <c r="L399" s="560">
        <v>0</v>
      </c>
      <c r="M399" s="1057">
        <f t="shared" si="55"/>
        <v>17.28485440052058</v>
      </c>
      <c r="N399" s="1058">
        <f t="shared" si="55"/>
        <v>0</v>
      </c>
      <c r="O399" s="569">
        <v>0</v>
      </c>
      <c r="P399" s="560">
        <v>0</v>
      </c>
      <c r="Q399" s="571">
        <v>121.50235887424759</v>
      </c>
      <c r="R399" s="1075">
        <f t="shared" si="56"/>
        <v>121.50235887424759</v>
      </c>
      <c r="S399" s="1075">
        <f t="shared" si="54"/>
        <v>0</v>
      </c>
    </row>
    <row r="400" spans="1:19" ht="15.75" hidden="1" x14ac:dyDescent="0.25">
      <c r="A400" s="631" t="s">
        <v>182</v>
      </c>
      <c r="B400" s="631" t="s">
        <v>429</v>
      </c>
      <c r="C400" s="631" t="s">
        <v>1106</v>
      </c>
      <c r="D400" s="549">
        <v>50.599632657471098</v>
      </c>
      <c r="E400" s="550">
        <v>141.65496212530462</v>
      </c>
      <c r="F400" s="551">
        <v>0</v>
      </c>
      <c r="G400" s="560">
        <v>11.536476152747264</v>
      </c>
      <c r="H400" s="566">
        <v>203.79107093552298</v>
      </c>
      <c r="I400" s="567">
        <v>153.65961993253381</v>
      </c>
      <c r="J400" s="560">
        <v>0</v>
      </c>
      <c r="K400" s="568">
        <v>189.61357006518529</v>
      </c>
      <c r="L400" s="560">
        <v>0</v>
      </c>
      <c r="M400" s="1057">
        <f t="shared" si="55"/>
        <v>343.2731899977191</v>
      </c>
      <c r="N400" s="1058">
        <f t="shared" si="55"/>
        <v>0</v>
      </c>
      <c r="O400" s="569">
        <v>40.335650232290128</v>
      </c>
      <c r="P400" s="560">
        <v>2.4249408770602994</v>
      </c>
      <c r="Q400" s="571">
        <v>589.82485204259251</v>
      </c>
      <c r="R400" s="1075">
        <f t="shared" si="56"/>
        <v>589.82485204259251</v>
      </c>
      <c r="S400" s="1075">
        <f t="shared" si="54"/>
        <v>0</v>
      </c>
    </row>
    <row r="401" spans="1:19" ht="15.75" hidden="1" x14ac:dyDescent="0.25">
      <c r="A401" s="631" t="s">
        <v>183</v>
      </c>
      <c r="B401" s="631"/>
      <c r="C401" s="631" t="s">
        <v>1106</v>
      </c>
      <c r="D401" s="549">
        <v>70.827481062652311</v>
      </c>
      <c r="E401" s="550">
        <v>108.04192026506284</v>
      </c>
      <c r="F401" s="551">
        <v>9.4116517208676953</v>
      </c>
      <c r="G401" s="560">
        <v>11.296382996602681</v>
      </c>
      <c r="H401" s="566">
        <v>199.57743604518552</v>
      </c>
      <c r="I401" s="567">
        <v>228.08849833735488</v>
      </c>
      <c r="J401" s="560">
        <v>0</v>
      </c>
      <c r="K401" s="568">
        <v>191.94247367978772</v>
      </c>
      <c r="L401" s="560">
        <v>0</v>
      </c>
      <c r="M401" s="1057">
        <f t="shared" si="55"/>
        <v>420.03097201714263</v>
      </c>
      <c r="N401" s="1058">
        <f t="shared" si="55"/>
        <v>0</v>
      </c>
      <c r="O401" s="569">
        <v>40.335650232290128</v>
      </c>
      <c r="P401" s="560">
        <v>2.4249408770602994</v>
      </c>
      <c r="Q401" s="571">
        <v>662.36899917167864</v>
      </c>
      <c r="R401" s="1075">
        <f t="shared" si="56"/>
        <v>662.36899917167864</v>
      </c>
      <c r="S401" s="1075">
        <f t="shared" si="54"/>
        <v>0</v>
      </c>
    </row>
    <row r="402" spans="1:19" ht="15.75" hidden="1" x14ac:dyDescent="0.25">
      <c r="A402" s="631" t="s">
        <v>184</v>
      </c>
      <c r="B402" s="631"/>
      <c r="C402" s="631" t="s">
        <v>1106</v>
      </c>
      <c r="D402" s="549">
        <v>73.444496464628273</v>
      </c>
      <c r="E402" s="550">
        <v>122.44750963373788</v>
      </c>
      <c r="F402" s="551">
        <v>22.088570365301734</v>
      </c>
      <c r="G402" s="560">
        <v>13.073072352072604</v>
      </c>
      <c r="H402" s="566">
        <v>231.0536488157405</v>
      </c>
      <c r="I402" s="567">
        <v>164.4638119590401</v>
      </c>
      <c r="J402" s="560">
        <v>0</v>
      </c>
      <c r="K402" s="568">
        <v>336.7306514927792</v>
      </c>
      <c r="L402" s="560">
        <v>0</v>
      </c>
      <c r="M402" s="1057">
        <f t="shared" si="55"/>
        <v>501.19446345181927</v>
      </c>
      <c r="N402" s="1058">
        <f t="shared" si="55"/>
        <v>0</v>
      </c>
      <c r="O402" s="569">
        <v>40.335650232290128</v>
      </c>
      <c r="P402" s="560">
        <v>2.4249408770602994</v>
      </c>
      <c r="Q402" s="571">
        <v>775.00870337691026</v>
      </c>
      <c r="R402" s="1075">
        <f t="shared" si="56"/>
        <v>775.00870337691026</v>
      </c>
      <c r="S402" s="1075">
        <f t="shared" si="54"/>
        <v>0</v>
      </c>
    </row>
    <row r="403" spans="1:19" ht="15.75" hidden="1" x14ac:dyDescent="0.25">
      <c r="A403" s="631" t="s">
        <v>185</v>
      </c>
      <c r="B403" s="631"/>
      <c r="C403" s="631" t="s">
        <v>1106</v>
      </c>
      <c r="D403" s="549">
        <v>54.020960132531421</v>
      </c>
      <c r="E403" s="550">
        <v>75.629344185543985</v>
      </c>
      <c r="F403" s="551">
        <v>0</v>
      </c>
      <c r="G403" s="560">
        <v>7.7790182590845252</v>
      </c>
      <c r="H403" s="566">
        <v>137.42932257715992</v>
      </c>
      <c r="I403" s="567">
        <v>264.10247175904249</v>
      </c>
      <c r="J403" s="560">
        <v>0</v>
      </c>
      <c r="K403" s="568">
        <v>230.77754168617423</v>
      </c>
      <c r="L403" s="560">
        <v>0</v>
      </c>
      <c r="M403" s="1057">
        <f t="shared" si="55"/>
        <v>494.88001344521672</v>
      </c>
      <c r="N403" s="1058">
        <f t="shared" si="55"/>
        <v>0</v>
      </c>
      <c r="O403" s="569">
        <v>40.335650232290128</v>
      </c>
      <c r="P403" s="560">
        <v>2.4249408770602994</v>
      </c>
      <c r="Q403" s="571">
        <v>675.06992713172713</v>
      </c>
      <c r="R403" s="1075">
        <f t="shared" si="56"/>
        <v>675.06992713172713</v>
      </c>
      <c r="S403" s="1075">
        <f t="shared" si="54"/>
        <v>0</v>
      </c>
    </row>
    <row r="404" spans="1:19" ht="16.5" hidden="1" thickBot="1" x14ac:dyDescent="0.3">
      <c r="A404" s="631" t="s">
        <v>186</v>
      </c>
      <c r="B404" s="631"/>
      <c r="C404" s="631" t="s">
        <v>1106</v>
      </c>
      <c r="D404" s="549">
        <v>84.560809594122517</v>
      </c>
      <c r="E404" s="550">
        <v>55.401495780362779</v>
      </c>
      <c r="F404" s="551">
        <v>0</v>
      </c>
      <c r="G404" s="560">
        <v>8.403260465060443</v>
      </c>
      <c r="H404" s="566">
        <v>148.36556583954575</v>
      </c>
      <c r="I404" s="567">
        <v>172.86707242410054</v>
      </c>
      <c r="J404" s="560">
        <v>0</v>
      </c>
      <c r="K404" s="568">
        <v>174.59574314834154</v>
      </c>
      <c r="L404" s="560">
        <v>0</v>
      </c>
      <c r="M404" s="1057">
        <f t="shared" si="55"/>
        <v>347.46281557244208</v>
      </c>
      <c r="N404" s="1058">
        <f t="shared" si="55"/>
        <v>0</v>
      </c>
      <c r="O404" s="569">
        <v>40.335650232290128</v>
      </c>
      <c r="P404" s="560">
        <v>2.4249408770602994</v>
      </c>
      <c r="Q404" s="571">
        <v>538.58897252133829</v>
      </c>
      <c r="R404" s="1075">
        <f t="shared" si="56"/>
        <v>538.58897252133829</v>
      </c>
      <c r="S404" s="1075">
        <f t="shared" si="54"/>
        <v>0</v>
      </c>
    </row>
    <row r="405" spans="1:19" ht="15.75" hidden="1" x14ac:dyDescent="0.25">
      <c r="A405" s="546" t="s">
        <v>125</v>
      </c>
      <c r="B405" s="1046"/>
      <c r="C405" s="802" t="s">
        <v>1112</v>
      </c>
      <c r="D405" s="549">
        <v>149.78069133112257</v>
      </c>
      <c r="E405" s="550">
        <v>0</v>
      </c>
      <c r="F405" s="551">
        <v>0</v>
      </c>
      <c r="G405" s="560">
        <v>37.445172832780642</v>
      </c>
      <c r="H405" s="566">
        <v>187.22586416390322</v>
      </c>
      <c r="I405" s="567">
        <v>208.88861264568274</v>
      </c>
      <c r="J405" s="560">
        <v>52.222153161420685</v>
      </c>
      <c r="K405" s="568">
        <v>0</v>
      </c>
      <c r="L405" s="560">
        <v>0</v>
      </c>
      <c r="M405" s="1057">
        <f t="shared" si="55"/>
        <v>208.88861264568274</v>
      </c>
      <c r="N405" s="1058">
        <f t="shared" si="55"/>
        <v>52.222153161420685</v>
      </c>
      <c r="O405" s="569">
        <v>0</v>
      </c>
      <c r="P405" s="560">
        <v>0</v>
      </c>
      <c r="Q405" s="571">
        <v>448.33662997100669</v>
      </c>
      <c r="R405" s="1075">
        <f t="shared" si="56"/>
        <v>448.33662997100669</v>
      </c>
      <c r="S405" s="1075">
        <f t="shared" si="54"/>
        <v>0</v>
      </c>
    </row>
    <row r="406" spans="1:19" ht="15.75" hidden="1" x14ac:dyDescent="0.25">
      <c r="A406" s="547" t="s">
        <v>126</v>
      </c>
      <c r="B406" s="1046" t="s">
        <v>429</v>
      </c>
      <c r="C406" s="802" t="s">
        <v>1112</v>
      </c>
      <c r="D406" s="549">
        <v>37.536576834813467</v>
      </c>
      <c r="E406" s="550">
        <v>119.06894664809337</v>
      </c>
      <c r="F406" s="551">
        <v>0</v>
      </c>
      <c r="G406" s="560">
        <v>34.459308766375024</v>
      </c>
      <c r="H406" s="566">
        <v>191.06483224928186</v>
      </c>
      <c r="I406" s="567">
        <v>178.66435597349528</v>
      </c>
      <c r="J406" s="560">
        <v>49.3581610977255</v>
      </c>
      <c r="K406" s="568">
        <v>0</v>
      </c>
      <c r="L406" s="560">
        <v>0</v>
      </c>
      <c r="M406" s="1057">
        <f t="shared" si="55"/>
        <v>178.66435597349528</v>
      </c>
      <c r="N406" s="1058">
        <f t="shared" si="55"/>
        <v>49.3581610977255</v>
      </c>
      <c r="O406" s="569">
        <v>0</v>
      </c>
      <c r="P406" s="560">
        <v>0</v>
      </c>
      <c r="Q406" s="571">
        <v>419.0873493205026</v>
      </c>
      <c r="R406" s="1075">
        <f t="shared" si="56"/>
        <v>419.0873493205026</v>
      </c>
      <c r="S406" s="1075">
        <f t="shared" si="54"/>
        <v>0</v>
      </c>
    </row>
    <row r="407" spans="1:19" ht="16.5" hidden="1" thickBot="1" x14ac:dyDescent="0.3">
      <c r="A407" s="641" t="s">
        <v>127</v>
      </c>
      <c r="B407" s="1046"/>
      <c r="C407" s="807" t="s">
        <v>1112</v>
      </c>
      <c r="D407" s="549">
        <v>38.609050458665287</v>
      </c>
      <c r="E407" s="550">
        <v>106.51613036891874</v>
      </c>
      <c r="F407" s="551">
        <v>11.894707464538293</v>
      </c>
      <c r="G407" s="560">
        <v>39.254972073030579</v>
      </c>
      <c r="H407" s="566">
        <v>196.2748603651529</v>
      </c>
      <c r="I407" s="567">
        <v>162.65037481734433</v>
      </c>
      <c r="J407" s="560">
        <v>40.662593704336082</v>
      </c>
      <c r="K407" s="568">
        <v>0</v>
      </c>
      <c r="L407" s="560">
        <v>0</v>
      </c>
      <c r="M407" s="1057">
        <f t="shared" si="55"/>
        <v>162.65037481734433</v>
      </c>
      <c r="N407" s="1058">
        <f t="shared" si="55"/>
        <v>40.662593704336082</v>
      </c>
      <c r="O407" s="569">
        <v>0</v>
      </c>
      <c r="P407" s="560">
        <v>0</v>
      </c>
      <c r="Q407" s="571">
        <v>399.58782888683328</v>
      </c>
      <c r="R407" s="1075">
        <f t="shared" si="56"/>
        <v>399.58782888683328</v>
      </c>
      <c r="S407" s="1075">
        <f t="shared" si="54"/>
        <v>0</v>
      </c>
    </row>
    <row r="408" spans="1:19" ht="15.75" hidden="1" x14ac:dyDescent="0.25">
      <c r="A408" s="546" t="s">
        <v>128</v>
      </c>
      <c r="B408" s="1046"/>
      <c r="C408" s="802" t="s">
        <v>1114</v>
      </c>
      <c r="D408" s="549">
        <v>0</v>
      </c>
      <c r="E408" s="550">
        <v>137.1280724450194</v>
      </c>
      <c r="F408" s="551">
        <v>0</v>
      </c>
      <c r="G408" s="560">
        <v>10.970245795601551</v>
      </c>
      <c r="H408" s="566">
        <v>148.09831824062096</v>
      </c>
      <c r="I408" s="567">
        <v>0</v>
      </c>
      <c r="J408" s="560">
        <v>0</v>
      </c>
      <c r="K408" s="568">
        <v>140.29035503809112</v>
      </c>
      <c r="L408" s="560">
        <v>11.22322840304729</v>
      </c>
      <c r="M408" s="1057">
        <f t="shared" si="55"/>
        <v>140.29035503809112</v>
      </c>
      <c r="N408" s="1058">
        <f t="shared" si="55"/>
        <v>11.22322840304729</v>
      </c>
      <c r="O408" s="569">
        <v>0</v>
      </c>
      <c r="P408" s="560">
        <v>0</v>
      </c>
      <c r="Q408" s="571">
        <v>299.61190168175938</v>
      </c>
      <c r="R408" s="1075">
        <f t="shared" si="56"/>
        <v>299.61190168175938</v>
      </c>
      <c r="S408" s="1075">
        <f t="shared" si="54"/>
        <v>0</v>
      </c>
    </row>
    <row r="409" spans="1:19" ht="15.75" hidden="1" x14ac:dyDescent="0.25">
      <c r="A409" s="641" t="s">
        <v>891</v>
      </c>
      <c r="B409" s="1046" t="s">
        <v>429</v>
      </c>
      <c r="C409" s="802" t="s">
        <v>1114</v>
      </c>
      <c r="D409" s="549">
        <v>0</v>
      </c>
      <c r="E409" s="550">
        <v>120.74169900819319</v>
      </c>
      <c r="F409" s="551">
        <v>0</v>
      </c>
      <c r="G409" s="560">
        <v>9.6593359206554563</v>
      </c>
      <c r="H409" s="566">
        <v>130.40103492884865</v>
      </c>
      <c r="I409" s="567">
        <v>0</v>
      </c>
      <c r="J409" s="560">
        <v>0</v>
      </c>
      <c r="K409" s="568">
        <v>184.5623113410953</v>
      </c>
      <c r="L409" s="560">
        <v>14.764984907287625</v>
      </c>
      <c r="M409" s="1057">
        <f t="shared" si="55"/>
        <v>184.5623113410953</v>
      </c>
      <c r="N409" s="1058">
        <f t="shared" si="55"/>
        <v>14.764984907287625</v>
      </c>
      <c r="O409" s="569">
        <v>0</v>
      </c>
      <c r="P409" s="560">
        <v>0</v>
      </c>
      <c r="Q409" s="571">
        <v>329.72833117723155</v>
      </c>
      <c r="R409" s="1075">
        <f t="shared" si="56"/>
        <v>329.72833117723155</v>
      </c>
      <c r="S409" s="1075">
        <f t="shared" si="54"/>
        <v>0</v>
      </c>
    </row>
    <row r="410" spans="1:19" ht="15.75" hidden="1" x14ac:dyDescent="0.25">
      <c r="A410" s="547" t="s">
        <v>129</v>
      </c>
      <c r="B410" s="1046"/>
      <c r="C410" s="802" t="s">
        <v>1114</v>
      </c>
      <c r="D410" s="549">
        <v>0</v>
      </c>
      <c r="E410" s="550">
        <v>128.79114560873941</v>
      </c>
      <c r="F410" s="551">
        <v>0</v>
      </c>
      <c r="G410" s="560">
        <v>10.303291648699153</v>
      </c>
      <c r="H410" s="566">
        <v>139.09443725743856</v>
      </c>
      <c r="I410" s="567">
        <v>0</v>
      </c>
      <c r="J410" s="560">
        <v>0</v>
      </c>
      <c r="K410" s="568">
        <v>158.4016098893201</v>
      </c>
      <c r="L410" s="560">
        <v>12.672128791145608</v>
      </c>
      <c r="M410" s="1057">
        <f t="shared" si="55"/>
        <v>158.4016098893201</v>
      </c>
      <c r="N410" s="1058">
        <f t="shared" si="55"/>
        <v>12.672128791145608</v>
      </c>
      <c r="O410" s="569">
        <v>0</v>
      </c>
      <c r="P410" s="560">
        <v>0</v>
      </c>
      <c r="Q410" s="571">
        <v>310.16817593790427</v>
      </c>
      <c r="R410" s="1075">
        <f t="shared" si="56"/>
        <v>310.16817593790427</v>
      </c>
      <c r="S410" s="1075">
        <f t="shared" si="54"/>
        <v>0</v>
      </c>
    </row>
    <row r="411" spans="1:19" ht="15.75" hidden="1" x14ac:dyDescent="0.25">
      <c r="A411" s="547" t="s">
        <v>130</v>
      </c>
      <c r="B411" s="1046"/>
      <c r="C411" s="802" t="s">
        <v>1114</v>
      </c>
      <c r="D411" s="549">
        <v>0</v>
      </c>
      <c r="E411" s="550">
        <v>96.018398735086961</v>
      </c>
      <c r="F411" s="551">
        <v>0</v>
      </c>
      <c r="G411" s="560">
        <v>7.681471898806957</v>
      </c>
      <c r="H411" s="566">
        <v>103.69987063389392</v>
      </c>
      <c r="I411" s="567">
        <v>0</v>
      </c>
      <c r="J411" s="560">
        <v>0</v>
      </c>
      <c r="K411" s="568">
        <v>159.55153083225528</v>
      </c>
      <c r="L411" s="560">
        <v>12.764122466580423</v>
      </c>
      <c r="M411" s="1057">
        <f t="shared" si="55"/>
        <v>159.55153083225528</v>
      </c>
      <c r="N411" s="1058">
        <f t="shared" si="55"/>
        <v>12.764122466580423</v>
      </c>
      <c r="O411" s="569">
        <v>0</v>
      </c>
      <c r="P411" s="560">
        <v>0</v>
      </c>
      <c r="Q411" s="571">
        <v>276.01552393272965</v>
      </c>
      <c r="R411" s="1075">
        <f t="shared" si="56"/>
        <v>276.01552393272965</v>
      </c>
      <c r="S411" s="1075">
        <f t="shared" si="54"/>
        <v>0</v>
      </c>
    </row>
    <row r="412" spans="1:19" ht="15.75" hidden="1" x14ac:dyDescent="0.25">
      <c r="A412" s="547" t="s">
        <v>131</v>
      </c>
      <c r="B412" s="1046"/>
      <c r="C412" s="802" t="s">
        <v>1114</v>
      </c>
      <c r="D412" s="549">
        <v>0</v>
      </c>
      <c r="E412" s="550">
        <v>97.168319678022144</v>
      </c>
      <c r="F412" s="551">
        <v>0</v>
      </c>
      <c r="G412" s="560">
        <v>7.7734655742417704</v>
      </c>
      <c r="H412" s="566">
        <v>104.94178525226391</v>
      </c>
      <c r="I412" s="567">
        <v>0</v>
      </c>
      <c r="J412" s="560">
        <v>0</v>
      </c>
      <c r="K412" s="568">
        <v>95.443438263619385</v>
      </c>
      <c r="L412" s="560">
        <v>7.6354750610895499</v>
      </c>
      <c r="M412" s="1057">
        <f t="shared" si="55"/>
        <v>95.443438263619385</v>
      </c>
      <c r="N412" s="1058">
        <f t="shared" si="55"/>
        <v>7.6354750610895499</v>
      </c>
      <c r="O412" s="569">
        <v>0</v>
      </c>
      <c r="P412" s="560">
        <v>0</v>
      </c>
      <c r="Q412" s="571">
        <v>208.02069857697285</v>
      </c>
      <c r="R412" s="1075">
        <f t="shared" si="56"/>
        <v>208.02069857697285</v>
      </c>
      <c r="S412" s="1075">
        <f t="shared" si="54"/>
        <v>0</v>
      </c>
    </row>
    <row r="413" spans="1:19" ht="16.5" hidden="1" thickBot="1" x14ac:dyDescent="0.3">
      <c r="A413" s="543" t="s">
        <v>132</v>
      </c>
      <c r="B413" s="1046"/>
      <c r="C413" s="802" t="s">
        <v>1114</v>
      </c>
      <c r="D413" s="549">
        <v>0</v>
      </c>
      <c r="E413" s="550">
        <v>84.80666954146902</v>
      </c>
      <c r="F413" s="551">
        <v>0</v>
      </c>
      <c r="G413" s="560">
        <v>6.7845335633175221</v>
      </c>
      <c r="H413" s="566">
        <v>91.591203104786544</v>
      </c>
      <c r="I413" s="567">
        <v>0</v>
      </c>
      <c r="J413" s="560">
        <v>0</v>
      </c>
      <c r="K413" s="568">
        <v>129.65358631594077</v>
      </c>
      <c r="L413" s="560">
        <v>10.372286905275262</v>
      </c>
      <c r="M413" s="1057">
        <f t="shared" si="55"/>
        <v>129.65358631594077</v>
      </c>
      <c r="N413" s="1058">
        <f t="shared" si="55"/>
        <v>10.372286905275262</v>
      </c>
      <c r="O413" s="569">
        <v>0</v>
      </c>
      <c r="P413" s="560">
        <v>0</v>
      </c>
      <c r="Q413" s="571">
        <v>231.6170763260026</v>
      </c>
      <c r="R413" s="1075">
        <f t="shared" si="56"/>
        <v>231.6170763260026</v>
      </c>
      <c r="S413" s="1075">
        <f t="shared" si="54"/>
        <v>0</v>
      </c>
    </row>
    <row r="414" spans="1:19" ht="15.75" hidden="1" x14ac:dyDescent="0.25">
      <c r="A414" s="638" t="s">
        <v>133</v>
      </c>
      <c r="B414" s="693" t="s">
        <v>429</v>
      </c>
      <c r="C414" s="806" t="s">
        <v>1116</v>
      </c>
      <c r="D414" s="549">
        <v>68.426549501206466</v>
      </c>
      <c r="E414" s="550">
        <v>62.244150730483426</v>
      </c>
      <c r="F414" s="551">
        <v>2.7130526644337998</v>
      </c>
      <c r="G414" s="560">
        <v>8.0071067574218802</v>
      </c>
      <c r="H414" s="566">
        <v>141.39085965354559</v>
      </c>
      <c r="I414" s="567">
        <v>85.569200849929771</v>
      </c>
      <c r="J414" s="560">
        <v>0</v>
      </c>
      <c r="K414" s="568">
        <v>0</v>
      </c>
      <c r="L414" s="560">
        <v>0</v>
      </c>
      <c r="M414" s="1057">
        <f t="shared" si="55"/>
        <v>85.569200849929771</v>
      </c>
      <c r="N414" s="1058">
        <f t="shared" si="55"/>
        <v>0</v>
      </c>
      <c r="O414" s="569">
        <v>17.442767793904032</v>
      </c>
      <c r="P414" s="560">
        <v>0</v>
      </c>
      <c r="Q414" s="571">
        <v>244.40282829737939</v>
      </c>
      <c r="R414" s="1075">
        <f t="shared" si="56"/>
        <v>244.40282829737939</v>
      </c>
      <c r="S414" s="1075">
        <f t="shared" si="54"/>
        <v>0</v>
      </c>
    </row>
    <row r="415" spans="1:19" ht="15.75" hidden="1" x14ac:dyDescent="0.25">
      <c r="A415" s="639" t="s">
        <v>134</v>
      </c>
      <c r="B415" s="639"/>
      <c r="C415" s="724" t="s">
        <v>1116</v>
      </c>
      <c r="D415" s="549">
        <v>58.630748730507442</v>
      </c>
      <c r="E415" s="550">
        <v>90.431087261857598</v>
      </c>
      <c r="F415" s="551">
        <v>2.7250573222410295</v>
      </c>
      <c r="G415" s="560">
        <v>9.1115352756869665</v>
      </c>
      <c r="H415" s="566">
        <v>160.89842859029307</v>
      </c>
      <c r="I415" s="567">
        <v>131.95519861706342</v>
      </c>
      <c r="J415" s="560">
        <v>0</v>
      </c>
      <c r="K415" s="568">
        <v>0</v>
      </c>
      <c r="L415" s="560">
        <v>0</v>
      </c>
      <c r="M415" s="1057">
        <f t="shared" si="55"/>
        <v>131.95519861706342</v>
      </c>
      <c r="N415" s="1058">
        <f t="shared" si="55"/>
        <v>0</v>
      </c>
      <c r="O415" s="569">
        <v>0</v>
      </c>
      <c r="P415" s="560">
        <v>0</v>
      </c>
      <c r="Q415" s="571">
        <v>292.85362720735645</v>
      </c>
      <c r="R415" s="1075">
        <f t="shared" si="56"/>
        <v>292.85362720735645</v>
      </c>
      <c r="S415" s="1075">
        <f t="shared" si="54"/>
        <v>0</v>
      </c>
    </row>
    <row r="416" spans="1:19" ht="15.75" hidden="1" x14ac:dyDescent="0.25">
      <c r="A416" s="639" t="s">
        <v>135</v>
      </c>
      <c r="B416" s="639"/>
      <c r="C416" s="724" t="s">
        <v>1116</v>
      </c>
      <c r="D416" s="549">
        <v>49.963385793687948</v>
      </c>
      <c r="E416" s="550">
        <v>94.704745441231196</v>
      </c>
      <c r="F416" s="551">
        <v>2.4489501926747579</v>
      </c>
      <c r="G416" s="560">
        <v>8.8234234883134643</v>
      </c>
      <c r="H416" s="566">
        <v>155.94050491590738</v>
      </c>
      <c r="I416" s="567">
        <v>57.034129242145951</v>
      </c>
      <c r="J416" s="560">
        <v>3.4213274750603233</v>
      </c>
      <c r="K416" s="568">
        <v>0</v>
      </c>
      <c r="L416" s="560">
        <v>0</v>
      </c>
      <c r="M416" s="1057">
        <f t="shared" si="55"/>
        <v>57.034129242145951</v>
      </c>
      <c r="N416" s="1058">
        <f t="shared" si="55"/>
        <v>3.4213274750603233</v>
      </c>
      <c r="O416" s="569">
        <v>0</v>
      </c>
      <c r="P416" s="560">
        <v>0</v>
      </c>
      <c r="Q416" s="571">
        <v>216.39596163311364</v>
      </c>
      <c r="R416" s="1075">
        <f t="shared" si="56"/>
        <v>216.39596163311364</v>
      </c>
      <c r="S416" s="1075">
        <f t="shared" si="54"/>
        <v>0</v>
      </c>
    </row>
    <row r="417" spans="1:19" ht="15.75" hidden="1" x14ac:dyDescent="0.25">
      <c r="A417" s="639" t="s">
        <v>136</v>
      </c>
      <c r="B417" s="639"/>
      <c r="C417" s="724" t="s">
        <v>1116</v>
      </c>
      <c r="D417" s="549">
        <v>45.749750903350495</v>
      </c>
      <c r="E417" s="550">
        <v>105.42490486308687</v>
      </c>
      <c r="F417" s="551">
        <v>3.0011644518073011</v>
      </c>
      <c r="G417" s="560">
        <v>9.2555911693737158</v>
      </c>
      <c r="H417" s="566">
        <v>163.43141138761837</v>
      </c>
      <c r="I417" s="567">
        <v>123.50391952077405</v>
      </c>
      <c r="J417" s="560">
        <v>0</v>
      </c>
      <c r="K417" s="568">
        <v>0</v>
      </c>
      <c r="L417" s="560">
        <v>0</v>
      </c>
      <c r="M417" s="1057">
        <f t="shared" si="55"/>
        <v>123.50391952077405</v>
      </c>
      <c r="N417" s="1058">
        <f t="shared" si="55"/>
        <v>0</v>
      </c>
      <c r="O417" s="569">
        <v>0</v>
      </c>
      <c r="P417" s="560">
        <v>0</v>
      </c>
      <c r="Q417" s="571">
        <v>286.93533090839242</v>
      </c>
      <c r="R417" s="1075">
        <f t="shared" si="56"/>
        <v>286.93533090839242</v>
      </c>
      <c r="S417" s="1075">
        <f t="shared" si="54"/>
        <v>0</v>
      </c>
    </row>
    <row r="418" spans="1:19" ht="15.75" hidden="1" x14ac:dyDescent="0.25">
      <c r="A418" s="639" t="s">
        <v>137</v>
      </c>
      <c r="B418" s="639"/>
      <c r="C418" s="724" t="s">
        <v>1116</v>
      </c>
      <c r="D418" s="549">
        <v>67.190069747061855</v>
      </c>
      <c r="E418" s="550">
        <v>67.454172218820901</v>
      </c>
      <c r="F418" s="551">
        <v>2.0527964850361937</v>
      </c>
      <c r="G418" s="560">
        <v>8.1991812823375465</v>
      </c>
      <c r="H418" s="566">
        <v>144.89621973325652</v>
      </c>
      <c r="I418" s="567">
        <v>58.930865175688169</v>
      </c>
      <c r="J418" s="560">
        <v>0</v>
      </c>
      <c r="K418" s="568">
        <v>0</v>
      </c>
      <c r="L418" s="560">
        <v>0</v>
      </c>
      <c r="M418" s="1057">
        <f t="shared" si="55"/>
        <v>58.930865175688169</v>
      </c>
      <c r="N418" s="1058">
        <f t="shared" si="55"/>
        <v>0</v>
      </c>
      <c r="O418" s="569">
        <v>0</v>
      </c>
      <c r="P418" s="560">
        <v>0</v>
      </c>
      <c r="Q418" s="571">
        <v>203.8270849089447</v>
      </c>
      <c r="R418" s="1075">
        <f t="shared" si="56"/>
        <v>203.8270849089447</v>
      </c>
      <c r="S418" s="1075">
        <f t="shared" si="54"/>
        <v>0</v>
      </c>
    </row>
    <row r="419" spans="1:19" ht="15.75" hidden="1" x14ac:dyDescent="0.25">
      <c r="A419" s="639" t="s">
        <v>138</v>
      </c>
      <c r="B419" s="639"/>
      <c r="C419" s="724" t="s">
        <v>1116</v>
      </c>
      <c r="D419" s="549">
        <v>56.181798537832677</v>
      </c>
      <c r="E419" s="550">
        <v>81.631673089158596</v>
      </c>
      <c r="F419" s="551">
        <v>2.9171318471566967</v>
      </c>
      <c r="G419" s="560">
        <v>8.4392744384821317</v>
      </c>
      <c r="H419" s="566">
        <v>149.16987791263008</v>
      </c>
      <c r="I419" s="567">
        <v>101.27129326178557</v>
      </c>
      <c r="J419" s="560">
        <v>6.0743568504579768</v>
      </c>
      <c r="K419" s="568">
        <v>0</v>
      </c>
      <c r="L419" s="560">
        <v>0</v>
      </c>
      <c r="M419" s="1057">
        <f t="shared" si="55"/>
        <v>101.27129326178557</v>
      </c>
      <c r="N419" s="1058">
        <f t="shared" si="55"/>
        <v>6.0743568504579768</v>
      </c>
      <c r="O419" s="569">
        <v>0</v>
      </c>
      <c r="P419" s="560">
        <v>0</v>
      </c>
      <c r="Q419" s="571">
        <v>256.51552802487367</v>
      </c>
      <c r="R419" s="1075">
        <f t="shared" si="56"/>
        <v>256.51552802487367</v>
      </c>
      <c r="S419" s="1075">
        <f t="shared" si="54"/>
        <v>0</v>
      </c>
    </row>
    <row r="420" spans="1:19" ht="16.5" hidden="1" thickBot="1" x14ac:dyDescent="0.3">
      <c r="A420" s="640" t="s">
        <v>139</v>
      </c>
      <c r="B420" s="652"/>
      <c r="C420" s="807" t="s">
        <v>1116</v>
      </c>
      <c r="D420" s="549">
        <v>40.743808597735921</v>
      </c>
      <c r="E420" s="550">
        <v>66.733892750387156</v>
      </c>
      <c r="F420" s="551">
        <v>3.2172482923374268</v>
      </c>
      <c r="G420" s="560">
        <v>6.6385757673977501</v>
      </c>
      <c r="H420" s="566">
        <v>117.33352540785826</v>
      </c>
      <c r="I420" s="567">
        <v>137.65741107549729</v>
      </c>
      <c r="J420" s="560">
        <v>0</v>
      </c>
      <c r="K420" s="568">
        <v>0</v>
      </c>
      <c r="L420" s="560">
        <v>0</v>
      </c>
      <c r="M420" s="1057">
        <f t="shared" si="55"/>
        <v>137.65741107549729</v>
      </c>
      <c r="N420" s="1058">
        <f t="shared" si="55"/>
        <v>0</v>
      </c>
      <c r="O420" s="569">
        <v>0</v>
      </c>
      <c r="P420" s="560">
        <v>0</v>
      </c>
      <c r="Q420" s="571">
        <v>254.99093648335554</v>
      </c>
      <c r="R420" s="1075">
        <f t="shared" si="56"/>
        <v>254.99093648335554</v>
      </c>
      <c r="S420" s="1075">
        <f t="shared" si="54"/>
        <v>0</v>
      </c>
    </row>
    <row r="421" spans="1:19" ht="15.75" hidden="1" x14ac:dyDescent="0.25">
      <c r="A421" s="630" t="s">
        <v>869</v>
      </c>
      <c r="B421" s="754"/>
      <c r="C421" s="754" t="s">
        <v>1118</v>
      </c>
      <c r="D421" s="549">
        <v>0</v>
      </c>
      <c r="E421" s="550">
        <v>67.664220806619255</v>
      </c>
      <c r="F421" s="551">
        <v>0</v>
      </c>
      <c r="G421" s="560">
        <v>6.0897798725957344</v>
      </c>
      <c r="H421" s="566">
        <v>73.754000679214982</v>
      </c>
      <c r="I421" s="567">
        <v>0</v>
      </c>
      <c r="J421" s="560">
        <v>0</v>
      </c>
      <c r="K421" s="568">
        <v>71.780675304360358</v>
      </c>
      <c r="L421" s="560">
        <v>13.638328307828468</v>
      </c>
      <c r="M421" s="1057">
        <f t="shared" si="55"/>
        <v>71.780675304360358</v>
      </c>
      <c r="N421" s="1058">
        <f t="shared" si="55"/>
        <v>13.638328307828468</v>
      </c>
      <c r="O421" s="569">
        <v>0</v>
      </c>
      <c r="P421" s="560">
        <v>0</v>
      </c>
      <c r="Q421" s="571">
        <v>159.1730042914038</v>
      </c>
      <c r="R421" s="1075">
        <f t="shared" si="56"/>
        <v>159.1730042914038</v>
      </c>
      <c r="S421" s="1075">
        <f t="shared" si="54"/>
        <v>0</v>
      </c>
    </row>
    <row r="422" spans="1:19" ht="15.75" hidden="1" x14ac:dyDescent="0.25">
      <c r="A422" s="630" t="s">
        <v>189</v>
      </c>
      <c r="B422" s="754"/>
      <c r="C422" s="754" t="s">
        <v>1118</v>
      </c>
      <c r="D422" s="549">
        <v>0</v>
      </c>
      <c r="E422" s="550">
        <v>82.32908995482191</v>
      </c>
      <c r="F422" s="551">
        <v>0</v>
      </c>
      <c r="G422" s="560">
        <v>7.4096180959339728</v>
      </c>
      <c r="H422" s="566">
        <v>89.738708050755889</v>
      </c>
      <c r="I422" s="567">
        <v>0</v>
      </c>
      <c r="J422" s="560">
        <v>0</v>
      </c>
      <c r="K422" s="568">
        <v>46.310113099587326</v>
      </c>
      <c r="L422" s="560">
        <v>8.798921488921593</v>
      </c>
      <c r="M422" s="1057">
        <f t="shared" si="55"/>
        <v>46.310113099587326</v>
      </c>
      <c r="N422" s="1058">
        <f t="shared" si="55"/>
        <v>8.798921488921593</v>
      </c>
      <c r="O422" s="569">
        <v>0</v>
      </c>
      <c r="P422" s="560">
        <v>0</v>
      </c>
      <c r="Q422" s="571">
        <v>144.84774263926479</v>
      </c>
      <c r="R422" s="1075">
        <f t="shared" si="56"/>
        <v>144.84774263926479</v>
      </c>
      <c r="S422" s="1075">
        <f t="shared" si="54"/>
        <v>0</v>
      </c>
    </row>
    <row r="423" spans="1:19" ht="15.75" hidden="1" x14ac:dyDescent="0.25">
      <c r="A423" s="630" t="s">
        <v>190</v>
      </c>
      <c r="B423" s="754"/>
      <c r="C423" s="754" t="s">
        <v>1118</v>
      </c>
      <c r="D423" s="549">
        <v>0</v>
      </c>
      <c r="E423" s="550">
        <v>95.707567072480472</v>
      </c>
      <c r="F423" s="551">
        <v>0</v>
      </c>
      <c r="G423" s="560">
        <v>8.6136810365232428</v>
      </c>
      <c r="H423" s="566">
        <v>104.32124810900372</v>
      </c>
      <c r="I423" s="567">
        <v>0</v>
      </c>
      <c r="J423" s="560">
        <v>0</v>
      </c>
      <c r="K423" s="568">
        <v>66.120550369966352</v>
      </c>
      <c r="L423" s="560">
        <v>12.562904570293606</v>
      </c>
      <c r="M423" s="1057">
        <f t="shared" si="55"/>
        <v>66.120550369966352</v>
      </c>
      <c r="N423" s="1058">
        <f t="shared" si="55"/>
        <v>12.562904570293606</v>
      </c>
      <c r="O423" s="569">
        <v>0</v>
      </c>
      <c r="P423" s="560">
        <v>0</v>
      </c>
      <c r="Q423" s="571">
        <v>183.00470304926367</v>
      </c>
      <c r="R423" s="1075">
        <f t="shared" si="56"/>
        <v>183.00470304926367</v>
      </c>
      <c r="S423" s="1075">
        <f t="shared" si="54"/>
        <v>0</v>
      </c>
    </row>
    <row r="424" spans="1:19" ht="15.75" hidden="1" x14ac:dyDescent="0.25">
      <c r="A424" s="631" t="s">
        <v>191</v>
      </c>
      <c r="B424" s="754"/>
      <c r="C424" s="754" t="s">
        <v>1118</v>
      </c>
      <c r="D424" s="549">
        <v>0</v>
      </c>
      <c r="E424" s="550">
        <v>73.324345741013275</v>
      </c>
      <c r="F424" s="551">
        <v>0</v>
      </c>
      <c r="G424" s="560">
        <v>6.5991911166911938</v>
      </c>
      <c r="H424" s="566">
        <v>79.923536857704462</v>
      </c>
      <c r="I424" s="567">
        <v>0</v>
      </c>
      <c r="J424" s="560">
        <v>0</v>
      </c>
      <c r="K424" s="568">
        <v>73.067067334904451</v>
      </c>
      <c r="L424" s="560">
        <v>13.882742793631845</v>
      </c>
      <c r="M424" s="1057">
        <f t="shared" si="55"/>
        <v>73.067067334904451</v>
      </c>
      <c r="N424" s="1058">
        <f t="shared" si="55"/>
        <v>13.882742793631845</v>
      </c>
      <c r="O424" s="569">
        <v>0</v>
      </c>
      <c r="P424" s="560">
        <v>0</v>
      </c>
      <c r="Q424" s="571">
        <v>166.87334698624076</v>
      </c>
      <c r="R424" s="1075">
        <f t="shared" si="56"/>
        <v>166.87334698624076</v>
      </c>
      <c r="S424" s="1075">
        <f t="shared" si="54"/>
        <v>0</v>
      </c>
    </row>
    <row r="425" spans="1:19" ht="15.75" hidden="1" x14ac:dyDescent="0.25">
      <c r="A425" s="631" t="s">
        <v>218</v>
      </c>
      <c r="B425" s="754"/>
      <c r="C425" s="754" t="s">
        <v>1118</v>
      </c>
      <c r="D425" s="549">
        <v>0</v>
      </c>
      <c r="E425" s="550">
        <v>103.42591925574503</v>
      </c>
      <c r="F425" s="551">
        <v>0</v>
      </c>
      <c r="G425" s="560">
        <v>9.3083327330170533</v>
      </c>
      <c r="H425" s="566">
        <v>112.73425198876208</v>
      </c>
      <c r="I425" s="567">
        <v>0</v>
      </c>
      <c r="J425" s="560">
        <v>0</v>
      </c>
      <c r="K425" s="568">
        <v>62.261374278334074</v>
      </c>
      <c r="L425" s="560">
        <v>11.829661112883473</v>
      </c>
      <c r="M425" s="1057">
        <f t="shared" si="55"/>
        <v>62.261374278334074</v>
      </c>
      <c r="N425" s="1058">
        <f t="shared" si="55"/>
        <v>11.829661112883473</v>
      </c>
      <c r="O425" s="569">
        <v>0</v>
      </c>
      <c r="P425" s="560">
        <v>0</v>
      </c>
      <c r="Q425" s="571">
        <v>186.82528737997964</v>
      </c>
      <c r="R425" s="1075">
        <f t="shared" si="56"/>
        <v>186.82528737997964</v>
      </c>
      <c r="S425" s="1075">
        <f t="shared" si="54"/>
        <v>0</v>
      </c>
    </row>
    <row r="426" spans="1:19" ht="15.75" hidden="1" x14ac:dyDescent="0.25">
      <c r="A426" s="632" t="s">
        <v>219</v>
      </c>
      <c r="B426" s="925"/>
      <c r="C426" s="754" t="s">
        <v>1118</v>
      </c>
      <c r="D426" s="549">
        <v>0</v>
      </c>
      <c r="E426" s="550">
        <v>79.24174908151609</v>
      </c>
      <c r="F426" s="551">
        <v>0</v>
      </c>
      <c r="G426" s="560">
        <v>7.1317574173364484</v>
      </c>
      <c r="H426" s="566">
        <v>86.373506498852535</v>
      </c>
      <c r="I426" s="567">
        <v>0</v>
      </c>
      <c r="J426" s="560">
        <v>0</v>
      </c>
      <c r="K426" s="568">
        <v>54.800300501178334</v>
      </c>
      <c r="L426" s="560">
        <v>10.412057095223883</v>
      </c>
      <c r="M426" s="1057">
        <f t="shared" si="55"/>
        <v>54.800300501178334</v>
      </c>
      <c r="N426" s="1058">
        <f t="shared" si="55"/>
        <v>10.412057095223883</v>
      </c>
      <c r="O426" s="569">
        <v>0</v>
      </c>
      <c r="P426" s="560">
        <v>0</v>
      </c>
      <c r="Q426" s="571">
        <v>151.58586409525475</v>
      </c>
      <c r="R426" s="1075">
        <f t="shared" si="56"/>
        <v>151.58586409525475</v>
      </c>
      <c r="S426" s="1075">
        <f t="shared" si="54"/>
        <v>0</v>
      </c>
    </row>
    <row r="427" spans="1:19" ht="15.75" hidden="1" x14ac:dyDescent="0.25">
      <c r="A427" s="632" t="s">
        <v>513</v>
      </c>
      <c r="B427" s="925"/>
      <c r="C427" s="754" t="s">
        <v>1118</v>
      </c>
      <c r="D427" s="549">
        <v>0</v>
      </c>
      <c r="E427" s="550">
        <v>105.22686809850676</v>
      </c>
      <c r="F427" s="551">
        <v>0</v>
      </c>
      <c r="G427" s="560">
        <v>9.4704181288656084</v>
      </c>
      <c r="H427" s="566">
        <v>114.69728622737236</v>
      </c>
      <c r="I427" s="567">
        <v>0</v>
      </c>
      <c r="J427" s="560">
        <v>0</v>
      </c>
      <c r="K427" s="568">
        <v>93.392061417501111</v>
      </c>
      <c r="L427" s="560">
        <v>17.74449166932521</v>
      </c>
      <c r="M427" s="1057">
        <f t="shared" si="55"/>
        <v>93.392061417501111</v>
      </c>
      <c r="N427" s="1058">
        <f t="shared" si="55"/>
        <v>17.74449166932521</v>
      </c>
      <c r="O427" s="569">
        <v>0</v>
      </c>
      <c r="P427" s="560">
        <v>0</v>
      </c>
      <c r="Q427" s="571">
        <v>225.83383931419868</v>
      </c>
      <c r="R427" s="1075">
        <f t="shared" si="56"/>
        <v>225.83383931419868</v>
      </c>
      <c r="S427" s="1075">
        <f t="shared" ref="S427:S490" si="57">Q427-R427</f>
        <v>0</v>
      </c>
    </row>
    <row r="428" spans="1:19" ht="15.75" hidden="1" x14ac:dyDescent="0.25">
      <c r="A428" s="632" t="s">
        <v>514</v>
      </c>
      <c r="B428" s="925"/>
      <c r="C428" s="754" t="s">
        <v>1118</v>
      </c>
      <c r="D428" s="549">
        <v>0</v>
      </c>
      <c r="E428" s="550">
        <v>82.32908995482191</v>
      </c>
      <c r="F428" s="551">
        <v>0</v>
      </c>
      <c r="G428" s="560">
        <v>7.4096180959339728</v>
      </c>
      <c r="H428" s="566">
        <v>89.738708050755889</v>
      </c>
      <c r="I428" s="567">
        <v>0</v>
      </c>
      <c r="J428" s="560">
        <v>0</v>
      </c>
      <c r="K428" s="568">
        <v>82.586368360930734</v>
      </c>
      <c r="L428" s="560">
        <v>15.69140998857684</v>
      </c>
      <c r="M428" s="1057">
        <f t="shared" si="55"/>
        <v>82.586368360930734</v>
      </c>
      <c r="N428" s="1058">
        <f t="shared" si="55"/>
        <v>15.69140998857684</v>
      </c>
      <c r="O428" s="569">
        <v>0</v>
      </c>
      <c r="P428" s="560">
        <v>0</v>
      </c>
      <c r="Q428" s="571">
        <v>188.01648640026346</v>
      </c>
      <c r="R428" s="1075">
        <f t="shared" si="56"/>
        <v>188.01648640026346</v>
      </c>
      <c r="S428" s="1075">
        <f t="shared" si="57"/>
        <v>0</v>
      </c>
    </row>
    <row r="429" spans="1:19" ht="15.75" hidden="1" x14ac:dyDescent="0.25">
      <c r="A429" s="632" t="s">
        <v>515</v>
      </c>
      <c r="B429" s="925"/>
      <c r="C429" s="754" t="s">
        <v>1118</v>
      </c>
      <c r="D429" s="549">
        <v>0</v>
      </c>
      <c r="E429" s="550">
        <v>95.450288666371662</v>
      </c>
      <c r="F429" s="551">
        <v>0</v>
      </c>
      <c r="G429" s="560">
        <v>8.5905259799734495</v>
      </c>
      <c r="H429" s="566">
        <v>104.04081464634511</v>
      </c>
      <c r="I429" s="567">
        <v>0</v>
      </c>
      <c r="J429" s="560">
        <v>0</v>
      </c>
      <c r="K429" s="568">
        <v>71.008840086033899</v>
      </c>
      <c r="L429" s="560">
        <v>13.49167961634644</v>
      </c>
      <c r="M429" s="1057">
        <f t="shared" si="55"/>
        <v>71.008840086033899</v>
      </c>
      <c r="N429" s="1058">
        <f t="shared" si="55"/>
        <v>13.49167961634644</v>
      </c>
      <c r="O429" s="569">
        <v>0</v>
      </c>
      <c r="P429" s="560">
        <v>0</v>
      </c>
      <c r="Q429" s="571">
        <v>188.54133434872543</v>
      </c>
      <c r="R429" s="1075">
        <f t="shared" si="56"/>
        <v>188.54133434872543</v>
      </c>
      <c r="S429" s="1075">
        <f t="shared" si="57"/>
        <v>0</v>
      </c>
    </row>
    <row r="430" spans="1:19" ht="15.75" hidden="1" x14ac:dyDescent="0.25">
      <c r="A430" s="632" t="s">
        <v>516</v>
      </c>
      <c r="B430" s="925"/>
      <c r="C430" s="754" t="s">
        <v>1118</v>
      </c>
      <c r="D430" s="549">
        <v>0</v>
      </c>
      <c r="E430" s="550">
        <v>119.37718043449178</v>
      </c>
      <c r="F430" s="551">
        <v>0</v>
      </c>
      <c r="G430" s="560">
        <v>10.743946239104259</v>
      </c>
      <c r="H430" s="566">
        <v>130.12112667359602</v>
      </c>
      <c r="I430" s="567">
        <v>0</v>
      </c>
      <c r="J430" s="560">
        <v>0</v>
      </c>
      <c r="K430" s="568">
        <v>66.892385588292811</v>
      </c>
      <c r="L430" s="560">
        <v>12.709553261775632</v>
      </c>
      <c r="M430" s="1057">
        <f t="shared" si="55"/>
        <v>66.892385588292811</v>
      </c>
      <c r="N430" s="1058">
        <f t="shared" si="55"/>
        <v>12.709553261775632</v>
      </c>
      <c r="O430" s="569">
        <v>0</v>
      </c>
      <c r="P430" s="560">
        <v>0</v>
      </c>
      <c r="Q430" s="571">
        <v>209.72306552366445</v>
      </c>
      <c r="R430" s="1075">
        <f t="shared" si="56"/>
        <v>209.72306552366445</v>
      </c>
      <c r="S430" s="1075">
        <f t="shared" si="57"/>
        <v>0</v>
      </c>
    </row>
    <row r="431" spans="1:19" ht="15.75" hidden="1" x14ac:dyDescent="0.25">
      <c r="A431" s="632" t="s">
        <v>875</v>
      </c>
      <c r="B431" s="925"/>
      <c r="C431" s="754" t="s">
        <v>1118</v>
      </c>
      <c r="D431" s="549">
        <v>0</v>
      </c>
      <c r="E431" s="550">
        <v>90.047442138086467</v>
      </c>
      <c r="F431" s="551">
        <v>0</v>
      </c>
      <c r="G431" s="560">
        <v>8.1042697924277824</v>
      </c>
      <c r="H431" s="566">
        <v>98.151711930514253</v>
      </c>
      <c r="I431" s="567">
        <v>0</v>
      </c>
      <c r="J431" s="560">
        <v>0</v>
      </c>
      <c r="K431" s="568">
        <v>76.411686614319095</v>
      </c>
      <c r="L431" s="560">
        <v>14.518220456720627</v>
      </c>
      <c r="M431" s="1057">
        <f t="shared" si="55"/>
        <v>76.411686614319095</v>
      </c>
      <c r="N431" s="1058">
        <f t="shared" si="55"/>
        <v>14.518220456720627</v>
      </c>
      <c r="O431" s="569">
        <v>0</v>
      </c>
      <c r="P431" s="560">
        <v>0</v>
      </c>
      <c r="Q431" s="571">
        <v>189.08161900155397</v>
      </c>
      <c r="R431" s="1075">
        <f t="shared" si="56"/>
        <v>189.08161900155397</v>
      </c>
      <c r="S431" s="1075">
        <f t="shared" si="57"/>
        <v>0</v>
      </c>
    </row>
    <row r="432" spans="1:19" ht="15.75" hidden="1" x14ac:dyDescent="0.25">
      <c r="A432" s="632" t="s">
        <v>517</v>
      </c>
      <c r="B432" s="925"/>
      <c r="C432" s="754" t="s">
        <v>1118</v>
      </c>
      <c r="D432" s="549">
        <v>0</v>
      </c>
      <c r="E432" s="550">
        <v>88.503771701433564</v>
      </c>
      <c r="F432" s="551">
        <v>0</v>
      </c>
      <c r="G432" s="560">
        <v>7.9653394531290207</v>
      </c>
      <c r="H432" s="566">
        <v>96.469111154562583</v>
      </c>
      <c r="I432" s="567">
        <v>0</v>
      </c>
      <c r="J432" s="560">
        <v>0</v>
      </c>
      <c r="K432" s="568">
        <v>76.926243426536729</v>
      </c>
      <c r="L432" s="560">
        <v>14.61598625104198</v>
      </c>
      <c r="M432" s="1057">
        <f t="shared" si="55"/>
        <v>76.926243426536729</v>
      </c>
      <c r="N432" s="1058">
        <f t="shared" si="55"/>
        <v>14.61598625104198</v>
      </c>
      <c r="O432" s="569">
        <v>0</v>
      </c>
      <c r="P432" s="560">
        <v>0</v>
      </c>
      <c r="Q432" s="571">
        <v>188.01134083214129</v>
      </c>
      <c r="R432" s="1075">
        <f t="shared" si="56"/>
        <v>188.01134083214129</v>
      </c>
      <c r="S432" s="1075">
        <f t="shared" si="57"/>
        <v>0</v>
      </c>
    </row>
    <row r="433" spans="1:19" ht="15.75" hidden="1" x14ac:dyDescent="0.25">
      <c r="A433" s="632" t="s">
        <v>873</v>
      </c>
      <c r="B433" s="803"/>
      <c r="C433" s="803" t="s">
        <v>1118</v>
      </c>
      <c r="D433" s="549">
        <v>0</v>
      </c>
      <c r="E433" s="550">
        <v>98.280351133568658</v>
      </c>
      <c r="F433" s="551">
        <v>0</v>
      </c>
      <c r="G433" s="560">
        <v>8.8452316020211796</v>
      </c>
      <c r="H433" s="566">
        <v>107.12558273558983</v>
      </c>
      <c r="I433" s="567">
        <v>0</v>
      </c>
      <c r="J433" s="560">
        <v>0</v>
      </c>
      <c r="K433" s="568">
        <v>39.106317728540411</v>
      </c>
      <c r="L433" s="560">
        <v>7.4302003684226774</v>
      </c>
      <c r="M433" s="1057">
        <f t="shared" ref="M433:N488" si="58">I433+K433</f>
        <v>39.106317728540411</v>
      </c>
      <c r="N433" s="1058">
        <f t="shared" si="58"/>
        <v>7.4302003684226774</v>
      </c>
      <c r="O433" s="569">
        <v>0</v>
      </c>
      <c r="P433" s="560">
        <v>0</v>
      </c>
      <c r="Q433" s="571">
        <v>153.66210083255291</v>
      </c>
      <c r="R433" s="1075">
        <f t="shared" si="56"/>
        <v>153.66210083255291</v>
      </c>
      <c r="S433" s="1075">
        <f t="shared" si="57"/>
        <v>0</v>
      </c>
    </row>
    <row r="434" spans="1:19" ht="15.75" hidden="1" x14ac:dyDescent="0.25">
      <c r="A434" s="633" t="s">
        <v>520</v>
      </c>
      <c r="B434" s="803"/>
      <c r="C434" s="803" t="s">
        <v>1118</v>
      </c>
      <c r="D434" s="549">
        <v>0</v>
      </c>
      <c r="E434" s="550">
        <v>82.0718115487131</v>
      </c>
      <c r="F434" s="551">
        <v>0</v>
      </c>
      <c r="G434" s="560">
        <v>7.3864630393841786</v>
      </c>
      <c r="H434" s="566">
        <v>89.458274588097282</v>
      </c>
      <c r="I434" s="567">
        <v>0</v>
      </c>
      <c r="J434" s="560">
        <v>0</v>
      </c>
      <c r="K434" s="568">
        <v>78.98447067540728</v>
      </c>
      <c r="L434" s="560">
        <v>15.007049428327381</v>
      </c>
      <c r="M434" s="1057">
        <f t="shared" si="58"/>
        <v>78.98447067540728</v>
      </c>
      <c r="N434" s="1058">
        <f t="shared" si="58"/>
        <v>15.007049428327381</v>
      </c>
      <c r="O434" s="569">
        <v>0</v>
      </c>
      <c r="P434" s="560">
        <v>0</v>
      </c>
      <c r="Q434" s="571">
        <v>183.44979469183193</v>
      </c>
      <c r="R434" s="1075">
        <f t="shared" si="56"/>
        <v>183.44979469183193</v>
      </c>
      <c r="S434" s="1075">
        <f t="shared" si="57"/>
        <v>0</v>
      </c>
    </row>
    <row r="435" spans="1:19" ht="15.75" hidden="1" x14ac:dyDescent="0.25">
      <c r="A435" s="633" t="s">
        <v>597</v>
      </c>
      <c r="B435" s="803"/>
      <c r="C435" s="803" t="s">
        <v>1118</v>
      </c>
      <c r="D435" s="549">
        <v>0</v>
      </c>
      <c r="E435" s="550">
        <v>105.48414650461558</v>
      </c>
      <c r="F435" s="551">
        <v>0</v>
      </c>
      <c r="G435" s="560">
        <v>9.4935731854154017</v>
      </c>
      <c r="H435" s="566">
        <v>114.97771969003098</v>
      </c>
      <c r="I435" s="567">
        <v>0</v>
      </c>
      <c r="J435" s="560">
        <v>0</v>
      </c>
      <c r="K435" s="568">
        <v>74.353459365448543</v>
      </c>
      <c r="L435" s="560">
        <v>14.127157279435222</v>
      </c>
      <c r="M435" s="1057">
        <f t="shared" si="58"/>
        <v>74.353459365448543</v>
      </c>
      <c r="N435" s="1058">
        <f t="shared" si="58"/>
        <v>14.127157279435222</v>
      </c>
      <c r="O435" s="569">
        <v>0</v>
      </c>
      <c r="P435" s="560">
        <v>0</v>
      </c>
      <c r="Q435" s="571">
        <v>203.45833633491475</v>
      </c>
      <c r="R435" s="1075">
        <f t="shared" si="56"/>
        <v>203.45833633491475</v>
      </c>
      <c r="S435" s="1075">
        <f t="shared" si="57"/>
        <v>0</v>
      </c>
    </row>
    <row r="436" spans="1:19" ht="15.75" hidden="1" x14ac:dyDescent="0.25">
      <c r="A436" s="633" t="s">
        <v>860</v>
      </c>
      <c r="B436" s="803" t="s">
        <v>429</v>
      </c>
      <c r="C436" s="803" t="s">
        <v>1118</v>
      </c>
      <c r="D436" s="549">
        <v>0</v>
      </c>
      <c r="E436" s="550">
        <v>85.15915242201892</v>
      </c>
      <c r="F436" s="551">
        <v>0</v>
      </c>
      <c r="G436" s="560">
        <v>7.6643237179817021</v>
      </c>
      <c r="H436" s="566">
        <v>92.823476140000622</v>
      </c>
      <c r="I436" s="567">
        <v>0</v>
      </c>
      <c r="J436" s="560">
        <v>0</v>
      </c>
      <c r="K436" s="568">
        <v>44.766442662934416</v>
      </c>
      <c r="L436" s="560">
        <v>8.5056241059575388</v>
      </c>
      <c r="M436" s="1057">
        <f t="shared" si="58"/>
        <v>44.766442662934416</v>
      </c>
      <c r="N436" s="1058">
        <f t="shared" si="58"/>
        <v>8.5056241059575388</v>
      </c>
      <c r="O436" s="569">
        <v>0</v>
      </c>
      <c r="P436" s="560">
        <v>0</v>
      </c>
      <c r="Q436" s="571">
        <v>146.09554290889258</v>
      </c>
      <c r="R436" s="1075">
        <f t="shared" si="56"/>
        <v>146.09554290889258</v>
      </c>
      <c r="S436" s="1075">
        <f t="shared" si="57"/>
        <v>0</v>
      </c>
    </row>
    <row r="437" spans="1:19" ht="15.75" hidden="1" x14ac:dyDescent="0.25">
      <c r="A437" s="633" t="s">
        <v>769</v>
      </c>
      <c r="B437" s="803"/>
      <c r="C437" s="803" t="s">
        <v>1118</v>
      </c>
      <c r="D437" s="549">
        <v>0</v>
      </c>
      <c r="E437" s="550">
        <v>89.532885325868833</v>
      </c>
      <c r="F437" s="551">
        <v>0</v>
      </c>
      <c r="G437" s="560">
        <v>8.0579596793281958</v>
      </c>
      <c r="H437" s="566">
        <v>97.590845005197025</v>
      </c>
      <c r="I437" s="567">
        <v>0</v>
      </c>
      <c r="J437" s="560">
        <v>0</v>
      </c>
      <c r="K437" s="568">
        <v>71.008840086033899</v>
      </c>
      <c r="L437" s="560">
        <v>13.49167961634644</v>
      </c>
      <c r="M437" s="1057">
        <f t="shared" si="58"/>
        <v>71.008840086033899</v>
      </c>
      <c r="N437" s="1058">
        <f t="shared" si="58"/>
        <v>13.49167961634644</v>
      </c>
      <c r="O437" s="569">
        <v>0</v>
      </c>
      <c r="P437" s="560">
        <v>0</v>
      </c>
      <c r="Q437" s="571">
        <v>182.09136470757736</v>
      </c>
      <c r="R437" s="1075">
        <f t="shared" si="56"/>
        <v>182.09136470757736</v>
      </c>
      <c r="S437" s="1075">
        <f t="shared" si="57"/>
        <v>0</v>
      </c>
    </row>
    <row r="438" spans="1:19" ht="15.75" hidden="1" x14ac:dyDescent="0.25">
      <c r="A438" s="633" t="s">
        <v>771</v>
      </c>
      <c r="B438" s="803"/>
      <c r="C438" s="803" t="s">
        <v>1118</v>
      </c>
      <c r="D438" s="549">
        <v>0</v>
      </c>
      <c r="E438" s="550">
        <v>91.848390980848194</v>
      </c>
      <c r="F438" s="551">
        <v>0</v>
      </c>
      <c r="G438" s="560">
        <v>8.2663551882763393</v>
      </c>
      <c r="H438" s="566">
        <v>100.11474616912453</v>
      </c>
      <c r="I438" s="567">
        <v>0</v>
      </c>
      <c r="J438" s="560">
        <v>0</v>
      </c>
      <c r="K438" s="568">
        <v>62.775931090551708</v>
      </c>
      <c r="L438" s="560">
        <v>11.927426907204826</v>
      </c>
      <c r="M438" s="1057">
        <f t="shared" si="58"/>
        <v>62.775931090551708</v>
      </c>
      <c r="N438" s="1058">
        <f t="shared" si="58"/>
        <v>11.927426907204826</v>
      </c>
      <c r="O438" s="569">
        <v>0</v>
      </c>
      <c r="P438" s="560">
        <v>0</v>
      </c>
      <c r="Q438" s="571">
        <v>174.81810416688106</v>
      </c>
      <c r="R438" s="1075">
        <f t="shared" si="56"/>
        <v>174.81810416688106</v>
      </c>
      <c r="S438" s="1075">
        <f t="shared" si="57"/>
        <v>0</v>
      </c>
    </row>
    <row r="439" spans="1:19" ht="15.75" hidden="1" x14ac:dyDescent="0.25">
      <c r="A439" s="633" t="s">
        <v>861</v>
      </c>
      <c r="B439" s="803"/>
      <c r="C439" s="803" t="s">
        <v>1118</v>
      </c>
      <c r="D439" s="549">
        <v>0</v>
      </c>
      <c r="E439" s="550">
        <v>100.08129997633038</v>
      </c>
      <c r="F439" s="551">
        <v>0</v>
      </c>
      <c r="G439" s="560">
        <v>9.0073169978697347</v>
      </c>
      <c r="H439" s="566">
        <v>109.08861697420012</v>
      </c>
      <c r="I439" s="567">
        <v>0</v>
      </c>
      <c r="J439" s="560">
        <v>0</v>
      </c>
      <c r="K439" s="568">
        <v>88.24649329532474</v>
      </c>
      <c r="L439" s="560">
        <v>16.766833726111702</v>
      </c>
      <c r="M439" s="1057">
        <f t="shared" si="58"/>
        <v>88.24649329532474</v>
      </c>
      <c r="N439" s="1058">
        <f t="shared" si="58"/>
        <v>16.766833726111702</v>
      </c>
      <c r="O439" s="569">
        <v>0</v>
      </c>
      <c r="P439" s="560">
        <v>0</v>
      </c>
      <c r="Q439" s="571">
        <v>214.10194399563659</v>
      </c>
      <c r="R439" s="1075">
        <f t="shared" si="56"/>
        <v>214.10194399563659</v>
      </c>
      <c r="S439" s="1075">
        <f t="shared" si="57"/>
        <v>0</v>
      </c>
    </row>
    <row r="440" spans="1:19" ht="15.75" hidden="1" x14ac:dyDescent="0.25">
      <c r="A440" s="633" t="s">
        <v>862</v>
      </c>
      <c r="B440" s="803"/>
      <c r="C440" s="803" t="s">
        <v>1118</v>
      </c>
      <c r="D440" s="549">
        <v>0</v>
      </c>
      <c r="E440" s="550">
        <v>106.25598172294204</v>
      </c>
      <c r="F440" s="551">
        <v>0</v>
      </c>
      <c r="G440" s="560">
        <v>9.5630383550647835</v>
      </c>
      <c r="H440" s="566">
        <v>115.81902007800682</v>
      </c>
      <c r="I440" s="567">
        <v>0</v>
      </c>
      <c r="J440" s="560">
        <v>0</v>
      </c>
      <c r="K440" s="568">
        <v>66.892385588292811</v>
      </c>
      <c r="L440" s="560">
        <v>12.709553261775632</v>
      </c>
      <c r="M440" s="1057">
        <f t="shared" si="58"/>
        <v>66.892385588292811</v>
      </c>
      <c r="N440" s="1058">
        <f t="shared" si="58"/>
        <v>12.709553261775632</v>
      </c>
      <c r="O440" s="569">
        <v>0</v>
      </c>
      <c r="P440" s="560">
        <v>0</v>
      </c>
      <c r="Q440" s="571">
        <v>195.42095892807527</v>
      </c>
      <c r="R440" s="1075">
        <f t="shared" si="56"/>
        <v>195.42095892807527</v>
      </c>
      <c r="S440" s="1075">
        <f t="shared" si="57"/>
        <v>0</v>
      </c>
    </row>
    <row r="441" spans="1:19" ht="15.75" hidden="1" x14ac:dyDescent="0.25">
      <c r="A441" s="633" t="s">
        <v>863</v>
      </c>
      <c r="B441" s="803"/>
      <c r="C441" s="803" t="s">
        <v>1118</v>
      </c>
      <c r="D441" s="549">
        <v>0</v>
      </c>
      <c r="E441" s="550">
        <v>91.591112574739384</v>
      </c>
      <c r="F441" s="551">
        <v>0</v>
      </c>
      <c r="G441" s="560">
        <v>8.2432001317265442</v>
      </c>
      <c r="H441" s="566">
        <v>99.834312706465923</v>
      </c>
      <c r="I441" s="567">
        <v>0</v>
      </c>
      <c r="J441" s="560">
        <v>0</v>
      </c>
      <c r="K441" s="568">
        <v>66.635107182183987</v>
      </c>
      <c r="L441" s="560">
        <v>12.660670364614958</v>
      </c>
      <c r="M441" s="1057">
        <f t="shared" si="58"/>
        <v>66.635107182183987</v>
      </c>
      <c r="N441" s="1058">
        <f t="shared" si="58"/>
        <v>12.660670364614958</v>
      </c>
      <c r="O441" s="569">
        <v>0</v>
      </c>
      <c r="P441" s="560">
        <v>0</v>
      </c>
      <c r="Q441" s="571">
        <v>179.13009025326485</v>
      </c>
      <c r="R441" s="1075">
        <f t="shared" si="56"/>
        <v>179.13009025326485</v>
      </c>
      <c r="S441" s="1075">
        <f t="shared" si="57"/>
        <v>0</v>
      </c>
    </row>
    <row r="442" spans="1:19" ht="15.75" hidden="1" x14ac:dyDescent="0.25">
      <c r="A442" s="633" t="s">
        <v>864</v>
      </c>
      <c r="B442" s="803"/>
      <c r="C442" s="803" t="s">
        <v>1118</v>
      </c>
      <c r="D442" s="549">
        <v>0</v>
      </c>
      <c r="E442" s="550">
        <v>91.591112574739384</v>
      </c>
      <c r="F442" s="551">
        <v>0</v>
      </c>
      <c r="G442" s="560">
        <v>8.2432001317265442</v>
      </c>
      <c r="H442" s="566">
        <v>99.834312706465923</v>
      </c>
      <c r="I442" s="567">
        <v>0</v>
      </c>
      <c r="J442" s="560">
        <v>0</v>
      </c>
      <c r="K442" s="568">
        <v>78.212635457080822</v>
      </c>
      <c r="L442" s="560">
        <v>14.860400736845355</v>
      </c>
      <c r="M442" s="1057">
        <f t="shared" si="58"/>
        <v>78.212635457080822</v>
      </c>
      <c r="N442" s="1058">
        <f t="shared" si="58"/>
        <v>14.860400736845355</v>
      </c>
      <c r="O442" s="569">
        <v>0</v>
      </c>
      <c r="P442" s="560">
        <v>0</v>
      </c>
      <c r="Q442" s="571">
        <v>192.90734890039209</v>
      </c>
      <c r="R442" s="1075">
        <f t="shared" si="56"/>
        <v>192.90734890039209</v>
      </c>
      <c r="S442" s="1075">
        <f t="shared" si="57"/>
        <v>0</v>
      </c>
    </row>
    <row r="443" spans="1:19" ht="15.75" hidden="1" x14ac:dyDescent="0.25">
      <c r="A443" s="633" t="s">
        <v>865</v>
      </c>
      <c r="B443" s="803"/>
      <c r="C443" s="803" t="s">
        <v>1118</v>
      </c>
      <c r="D443" s="549">
        <v>0</v>
      </c>
      <c r="E443" s="550">
        <v>89.275606919760008</v>
      </c>
      <c r="F443" s="551">
        <v>0</v>
      </c>
      <c r="G443" s="560">
        <v>8.0348046227784007</v>
      </c>
      <c r="H443" s="566">
        <v>97.310411542538404</v>
      </c>
      <c r="I443" s="567">
        <v>0</v>
      </c>
      <c r="J443" s="560">
        <v>0</v>
      </c>
      <c r="K443" s="568">
        <v>66.120550369966352</v>
      </c>
      <c r="L443" s="560">
        <v>12.562904570293606</v>
      </c>
      <c r="M443" s="1057">
        <f t="shared" si="58"/>
        <v>66.120550369966352</v>
      </c>
      <c r="N443" s="1058">
        <f t="shared" si="58"/>
        <v>12.562904570293606</v>
      </c>
      <c r="O443" s="569">
        <v>0</v>
      </c>
      <c r="P443" s="560">
        <v>0</v>
      </c>
      <c r="Q443" s="571">
        <v>175.99386648279835</v>
      </c>
      <c r="R443" s="1075">
        <f t="shared" si="56"/>
        <v>175.99386648279835</v>
      </c>
      <c r="S443" s="1075">
        <f t="shared" si="57"/>
        <v>0</v>
      </c>
    </row>
    <row r="444" spans="1:19" ht="15.75" hidden="1" x14ac:dyDescent="0.25">
      <c r="A444" s="633" t="s">
        <v>866</v>
      </c>
      <c r="B444" s="803"/>
      <c r="C444" s="803" t="s">
        <v>1118</v>
      </c>
      <c r="D444" s="549">
        <v>0</v>
      </c>
      <c r="E444" s="550">
        <v>104.71231128628912</v>
      </c>
      <c r="F444" s="551">
        <v>0</v>
      </c>
      <c r="G444" s="560">
        <v>9.4241080157660218</v>
      </c>
      <c r="H444" s="566">
        <v>114.13641930205515</v>
      </c>
      <c r="I444" s="567">
        <v>0</v>
      </c>
      <c r="J444" s="560">
        <v>0</v>
      </c>
      <c r="K444" s="568">
        <v>58.144919780592978</v>
      </c>
      <c r="L444" s="560">
        <v>11.047534758312665</v>
      </c>
      <c r="M444" s="1057">
        <f t="shared" si="58"/>
        <v>58.144919780592978</v>
      </c>
      <c r="N444" s="1058">
        <f t="shared" si="58"/>
        <v>11.047534758312665</v>
      </c>
      <c r="O444" s="569">
        <v>0</v>
      </c>
      <c r="P444" s="560">
        <v>0</v>
      </c>
      <c r="Q444" s="571">
        <v>183.3288738409608</v>
      </c>
      <c r="R444" s="1075">
        <f t="shared" si="56"/>
        <v>183.3288738409608</v>
      </c>
      <c r="S444" s="1075">
        <f t="shared" si="57"/>
        <v>0</v>
      </c>
    </row>
    <row r="445" spans="1:19" ht="15.75" hidden="1" x14ac:dyDescent="0.25">
      <c r="A445" s="633" t="s">
        <v>867</v>
      </c>
      <c r="B445" s="803"/>
      <c r="C445" s="803" t="s">
        <v>1118</v>
      </c>
      <c r="D445" s="549">
        <v>0</v>
      </c>
      <c r="E445" s="550">
        <v>81.299976330386642</v>
      </c>
      <c r="F445" s="551">
        <v>0</v>
      </c>
      <c r="G445" s="560">
        <v>7.3169978697347977</v>
      </c>
      <c r="H445" s="566">
        <v>88.616974200121433</v>
      </c>
      <c r="I445" s="567">
        <v>0</v>
      </c>
      <c r="J445" s="560">
        <v>0</v>
      </c>
      <c r="K445" s="568">
        <v>79.499027487624915</v>
      </c>
      <c r="L445" s="560">
        <v>15.104815222648734</v>
      </c>
      <c r="M445" s="1057">
        <f t="shared" si="58"/>
        <v>79.499027487624915</v>
      </c>
      <c r="N445" s="1058">
        <f t="shared" si="58"/>
        <v>15.104815222648734</v>
      </c>
      <c r="O445" s="569">
        <v>0</v>
      </c>
      <c r="P445" s="560">
        <v>0</v>
      </c>
      <c r="Q445" s="571">
        <v>183.22081691039509</v>
      </c>
      <c r="R445" s="1075">
        <f t="shared" si="56"/>
        <v>183.22081691039509</v>
      </c>
      <c r="S445" s="1075">
        <f t="shared" si="57"/>
        <v>0</v>
      </c>
    </row>
    <row r="446" spans="1:19" ht="15.75" hidden="1" x14ac:dyDescent="0.25">
      <c r="A446" s="633" t="s">
        <v>868</v>
      </c>
      <c r="B446" s="803"/>
      <c r="C446" s="803" t="s">
        <v>1118</v>
      </c>
      <c r="D446" s="549">
        <v>0</v>
      </c>
      <c r="E446" s="550">
        <v>82.586368360930734</v>
      </c>
      <c r="F446" s="551">
        <v>0</v>
      </c>
      <c r="G446" s="560">
        <v>7.4327731524837661</v>
      </c>
      <c r="H446" s="566">
        <v>90.019141513414496</v>
      </c>
      <c r="I446" s="567">
        <v>0</v>
      </c>
      <c r="J446" s="560">
        <v>0</v>
      </c>
      <c r="K446" s="568">
        <v>54.800300501178334</v>
      </c>
      <c r="L446" s="560">
        <v>10.412057095223883</v>
      </c>
      <c r="M446" s="1057">
        <f t="shared" si="58"/>
        <v>54.800300501178334</v>
      </c>
      <c r="N446" s="1058">
        <f t="shared" si="58"/>
        <v>10.412057095223883</v>
      </c>
      <c r="O446" s="569">
        <v>0</v>
      </c>
      <c r="P446" s="560">
        <v>0</v>
      </c>
      <c r="Q446" s="571">
        <v>155.2314991098167</v>
      </c>
      <c r="R446" s="1075">
        <f t="shared" si="56"/>
        <v>155.2314991098167</v>
      </c>
      <c r="S446" s="1075">
        <f t="shared" si="57"/>
        <v>0</v>
      </c>
    </row>
    <row r="447" spans="1:19" ht="15.75" hidden="1" x14ac:dyDescent="0.25">
      <c r="A447" s="633" t="s">
        <v>870</v>
      </c>
      <c r="B447" s="803"/>
      <c r="C447" s="803" t="s">
        <v>1118</v>
      </c>
      <c r="D447" s="549">
        <v>0</v>
      </c>
      <c r="E447" s="550">
        <v>108.5714873779214</v>
      </c>
      <c r="F447" s="551">
        <v>0</v>
      </c>
      <c r="G447" s="560">
        <v>9.7714338640129252</v>
      </c>
      <c r="H447" s="566">
        <v>118.34292124193432</v>
      </c>
      <c r="I447" s="567">
        <v>0</v>
      </c>
      <c r="J447" s="560">
        <v>0</v>
      </c>
      <c r="K447" s="568">
        <v>56.086692531722427</v>
      </c>
      <c r="L447" s="560">
        <v>10.656471581027262</v>
      </c>
      <c r="M447" s="1057">
        <f t="shared" si="58"/>
        <v>56.086692531722427</v>
      </c>
      <c r="N447" s="1058">
        <f t="shared" si="58"/>
        <v>10.656471581027262</v>
      </c>
      <c r="O447" s="569">
        <v>0</v>
      </c>
      <c r="P447" s="560">
        <v>0</v>
      </c>
      <c r="Q447" s="571">
        <v>185.086085354684</v>
      </c>
      <c r="R447" s="1075">
        <f t="shared" si="56"/>
        <v>185.086085354684</v>
      </c>
      <c r="S447" s="1075">
        <f t="shared" si="57"/>
        <v>0</v>
      </c>
    </row>
    <row r="448" spans="1:19" ht="15.75" hidden="1" x14ac:dyDescent="0.25">
      <c r="A448" s="633" t="s">
        <v>871</v>
      </c>
      <c r="B448" s="803"/>
      <c r="C448" s="803" t="s">
        <v>1118</v>
      </c>
      <c r="D448" s="549">
        <v>0</v>
      </c>
      <c r="E448" s="550">
        <v>94.935731854154014</v>
      </c>
      <c r="F448" s="551">
        <v>0</v>
      </c>
      <c r="G448" s="560">
        <v>8.5442158668738628</v>
      </c>
      <c r="H448" s="566">
        <v>103.47994772102788</v>
      </c>
      <c r="I448" s="567">
        <v>0</v>
      </c>
      <c r="J448" s="560">
        <v>0</v>
      </c>
      <c r="K448" s="568">
        <v>52.227516440090149</v>
      </c>
      <c r="L448" s="560">
        <v>9.9232281236171289</v>
      </c>
      <c r="M448" s="1057">
        <f t="shared" si="58"/>
        <v>52.227516440090149</v>
      </c>
      <c r="N448" s="1058">
        <f t="shared" si="58"/>
        <v>9.9232281236171289</v>
      </c>
      <c r="O448" s="569">
        <v>0</v>
      </c>
      <c r="P448" s="560">
        <v>0</v>
      </c>
      <c r="Q448" s="571">
        <v>165.63069228473515</v>
      </c>
      <c r="R448" s="1075">
        <f t="shared" si="56"/>
        <v>165.63069228473515</v>
      </c>
      <c r="S448" s="1075">
        <f t="shared" si="57"/>
        <v>0</v>
      </c>
    </row>
    <row r="449" spans="1:19" ht="15.75" hidden="1" x14ac:dyDescent="0.25">
      <c r="A449" s="633" t="s">
        <v>872</v>
      </c>
      <c r="B449" s="803"/>
      <c r="C449" s="803" t="s">
        <v>1118</v>
      </c>
      <c r="D449" s="549">
        <v>0</v>
      </c>
      <c r="E449" s="550">
        <v>103.68319766185385</v>
      </c>
      <c r="F449" s="551">
        <v>0</v>
      </c>
      <c r="G449" s="560">
        <v>9.3314877895668467</v>
      </c>
      <c r="H449" s="566">
        <v>113.0146854514207</v>
      </c>
      <c r="I449" s="567">
        <v>0</v>
      </c>
      <c r="J449" s="560">
        <v>0</v>
      </c>
      <c r="K449" s="568">
        <v>57.37308456226652</v>
      </c>
      <c r="L449" s="560">
        <v>10.900886066830639</v>
      </c>
      <c r="M449" s="1057">
        <f t="shared" si="58"/>
        <v>57.37308456226652</v>
      </c>
      <c r="N449" s="1058">
        <f t="shared" si="58"/>
        <v>10.900886066830639</v>
      </c>
      <c r="O449" s="569">
        <v>0</v>
      </c>
      <c r="P449" s="560">
        <v>0</v>
      </c>
      <c r="Q449" s="571">
        <v>181.28865608051788</v>
      </c>
      <c r="R449" s="1075">
        <f t="shared" si="56"/>
        <v>181.28865608051788</v>
      </c>
      <c r="S449" s="1075">
        <f t="shared" si="57"/>
        <v>0</v>
      </c>
    </row>
    <row r="450" spans="1:19" ht="15.75" hidden="1" x14ac:dyDescent="0.25">
      <c r="A450" s="633" t="s">
        <v>874</v>
      </c>
      <c r="B450" s="803"/>
      <c r="C450" s="803" t="s">
        <v>1118</v>
      </c>
      <c r="D450" s="549">
        <v>0</v>
      </c>
      <c r="E450" s="550">
        <v>98.023072727459848</v>
      </c>
      <c r="F450" s="551">
        <v>0</v>
      </c>
      <c r="G450" s="560">
        <v>8.8220765454713863</v>
      </c>
      <c r="H450" s="566">
        <v>106.84514927293124</v>
      </c>
      <c r="I450" s="567">
        <v>0</v>
      </c>
      <c r="J450" s="560">
        <v>0</v>
      </c>
      <c r="K450" s="568">
        <v>92.362947793065842</v>
      </c>
      <c r="L450" s="560">
        <v>17.548960080682509</v>
      </c>
      <c r="M450" s="1057">
        <f t="shared" si="58"/>
        <v>92.362947793065842</v>
      </c>
      <c r="N450" s="1058">
        <f t="shared" si="58"/>
        <v>17.548960080682509</v>
      </c>
      <c r="O450" s="569">
        <v>0</v>
      </c>
      <c r="P450" s="560">
        <v>0</v>
      </c>
      <c r="Q450" s="571">
        <v>216.75705714667961</v>
      </c>
      <c r="R450" s="1075">
        <f t="shared" si="56"/>
        <v>216.75705714667961</v>
      </c>
      <c r="S450" s="1075">
        <f t="shared" si="57"/>
        <v>0</v>
      </c>
    </row>
    <row r="451" spans="1:19" ht="16.5" hidden="1" thickBot="1" x14ac:dyDescent="0.3">
      <c r="A451" s="648" t="s">
        <v>598</v>
      </c>
      <c r="B451" s="803"/>
      <c r="C451" s="803" t="s">
        <v>1118</v>
      </c>
      <c r="D451" s="549">
        <v>0</v>
      </c>
      <c r="E451" s="550">
        <v>94.42117504193638</v>
      </c>
      <c r="F451" s="551">
        <v>0</v>
      </c>
      <c r="G451" s="560">
        <v>8.4979057537742744</v>
      </c>
      <c r="H451" s="566">
        <v>102.91908079571066</v>
      </c>
      <c r="I451" s="567">
        <v>0</v>
      </c>
      <c r="J451" s="560">
        <v>0</v>
      </c>
      <c r="K451" s="568">
        <v>97.508515915242199</v>
      </c>
      <c r="L451" s="560">
        <v>18.52661802389602</v>
      </c>
      <c r="M451" s="1057">
        <f t="shared" si="58"/>
        <v>97.508515915242199</v>
      </c>
      <c r="N451" s="1058">
        <f t="shared" si="58"/>
        <v>18.52661802389602</v>
      </c>
      <c r="O451" s="569">
        <v>0</v>
      </c>
      <c r="P451" s="560">
        <v>0</v>
      </c>
      <c r="Q451" s="571">
        <v>218.95421473484888</v>
      </c>
      <c r="R451" s="1075">
        <f t="shared" ref="R451:R488" si="59">H451+M451+N451+O451+P451</f>
        <v>218.95421473484888</v>
      </c>
      <c r="S451" s="1075">
        <f t="shared" si="57"/>
        <v>0</v>
      </c>
    </row>
    <row r="452" spans="1:19" ht="15.75" hidden="1" x14ac:dyDescent="0.25">
      <c r="A452" s="653" t="s">
        <v>887</v>
      </c>
      <c r="B452" s="653" t="s">
        <v>429</v>
      </c>
      <c r="C452" s="653" t="s">
        <v>1120</v>
      </c>
      <c r="D452" s="549">
        <v>0</v>
      </c>
      <c r="E452" s="550">
        <v>53.357096971229694</v>
      </c>
      <c r="F452" s="551">
        <v>0</v>
      </c>
      <c r="G452" s="560">
        <v>0</v>
      </c>
      <c r="H452" s="566">
        <v>53.357096971229694</v>
      </c>
      <c r="I452" s="567">
        <v>38.256031790692987</v>
      </c>
      <c r="J452" s="560">
        <v>0</v>
      </c>
      <c r="K452" s="568">
        <v>0</v>
      </c>
      <c r="L452" s="560">
        <v>0</v>
      </c>
      <c r="M452" s="1057">
        <f t="shared" si="58"/>
        <v>38.256031790692987</v>
      </c>
      <c r="N452" s="1058">
        <f t="shared" si="58"/>
        <v>0</v>
      </c>
      <c r="O452" s="569">
        <v>0</v>
      </c>
      <c r="P452" s="560">
        <v>0</v>
      </c>
      <c r="Q452" s="571">
        <v>91.613128761922681</v>
      </c>
      <c r="R452" s="1075">
        <f t="shared" si="59"/>
        <v>91.613128761922681</v>
      </c>
      <c r="S452" s="1075">
        <f t="shared" si="57"/>
        <v>0</v>
      </c>
    </row>
    <row r="453" spans="1:19" ht="16.5" hidden="1" thickBot="1" x14ac:dyDescent="0.3">
      <c r="A453" s="652" t="s">
        <v>694</v>
      </c>
      <c r="B453" s="651"/>
      <c r="C453" s="823" t="s">
        <v>1120</v>
      </c>
      <c r="D453" s="549">
        <v>0</v>
      </c>
      <c r="E453" s="550">
        <v>48.288693485348411</v>
      </c>
      <c r="F453" s="551">
        <v>2.0134753574048943</v>
      </c>
      <c r="G453" s="560">
        <v>0</v>
      </c>
      <c r="H453" s="566">
        <v>50.302168842753304</v>
      </c>
      <c r="I453" s="567">
        <v>42.19619477458015</v>
      </c>
      <c r="J453" s="560">
        <v>0</v>
      </c>
      <c r="K453" s="568">
        <v>0</v>
      </c>
      <c r="L453" s="560">
        <v>0</v>
      </c>
      <c r="M453" s="1057">
        <f t="shared" si="58"/>
        <v>42.19619477458015</v>
      </c>
      <c r="N453" s="1058">
        <f t="shared" si="58"/>
        <v>0</v>
      </c>
      <c r="O453" s="569">
        <v>2.1870508192501439</v>
      </c>
      <c r="P453" s="560">
        <v>0</v>
      </c>
      <c r="Q453" s="571">
        <v>94.685414436583599</v>
      </c>
      <c r="R453" s="1075">
        <f t="shared" si="59"/>
        <v>94.685414436583599</v>
      </c>
      <c r="S453" s="1075">
        <f t="shared" si="57"/>
        <v>0</v>
      </c>
    </row>
    <row r="454" spans="1:19" ht="15.75" hidden="1" x14ac:dyDescent="0.25">
      <c r="A454" s="638" t="s">
        <v>143</v>
      </c>
      <c r="B454" s="693" t="s">
        <v>429</v>
      </c>
      <c r="C454" s="806" t="s">
        <v>1131</v>
      </c>
      <c r="D454" s="549">
        <v>0</v>
      </c>
      <c r="E454" s="550">
        <v>53.618909463360751</v>
      </c>
      <c r="F454" s="551">
        <v>0</v>
      </c>
      <c r="G454" s="560">
        <v>0</v>
      </c>
      <c r="H454" s="566">
        <v>53.618909463360751</v>
      </c>
      <c r="I454" s="567">
        <v>0</v>
      </c>
      <c r="J454" s="560">
        <v>0</v>
      </c>
      <c r="K454" s="568">
        <v>0</v>
      </c>
      <c r="L454" s="560">
        <v>0</v>
      </c>
      <c r="M454" s="1057">
        <f t="shared" si="58"/>
        <v>0</v>
      </c>
      <c r="N454" s="1058">
        <f t="shared" si="58"/>
        <v>0</v>
      </c>
      <c r="O454" s="569">
        <v>0</v>
      </c>
      <c r="P454" s="560">
        <v>0</v>
      </c>
      <c r="Q454" s="571">
        <v>53.618909463360751</v>
      </c>
      <c r="R454" s="1075">
        <f t="shared" si="59"/>
        <v>53.618909463360751</v>
      </c>
      <c r="S454" s="1075">
        <f t="shared" si="57"/>
        <v>0</v>
      </c>
    </row>
    <row r="455" spans="1:19" ht="15.75" hidden="1" x14ac:dyDescent="0.25">
      <c r="A455" s="639" t="s">
        <v>144</v>
      </c>
      <c r="B455" s="639"/>
      <c r="C455" s="724" t="s">
        <v>1131</v>
      </c>
      <c r="D455" s="549">
        <v>0</v>
      </c>
      <c r="E455" s="550">
        <v>72.194801537540272</v>
      </c>
      <c r="F455" s="551">
        <v>0</v>
      </c>
      <c r="G455" s="560">
        <v>0</v>
      </c>
      <c r="H455" s="566">
        <v>72.194801537540272</v>
      </c>
      <c r="I455" s="567">
        <v>0</v>
      </c>
      <c r="J455" s="560">
        <v>0</v>
      </c>
      <c r="K455" s="568">
        <v>0</v>
      </c>
      <c r="L455" s="560">
        <v>0</v>
      </c>
      <c r="M455" s="1057">
        <f t="shared" si="58"/>
        <v>0</v>
      </c>
      <c r="N455" s="1058">
        <f t="shared" si="58"/>
        <v>0</v>
      </c>
      <c r="O455" s="569">
        <v>0</v>
      </c>
      <c r="P455" s="560">
        <v>0</v>
      </c>
      <c r="Q455" s="571">
        <v>72.194801537540272</v>
      </c>
      <c r="R455" s="1075">
        <f t="shared" si="59"/>
        <v>72.194801537540272</v>
      </c>
      <c r="S455" s="1075">
        <f t="shared" si="57"/>
        <v>0</v>
      </c>
    </row>
    <row r="456" spans="1:19" ht="15.75" hidden="1" x14ac:dyDescent="0.25">
      <c r="A456" s="639" t="s">
        <v>145</v>
      </c>
      <c r="B456" s="639"/>
      <c r="C456" s="724" t="s">
        <v>1131</v>
      </c>
      <c r="D456" s="549">
        <v>0</v>
      </c>
      <c r="E456" s="550">
        <v>64.603241204500208</v>
      </c>
      <c r="F456" s="551">
        <v>0</v>
      </c>
      <c r="G456" s="560">
        <v>0</v>
      </c>
      <c r="H456" s="566">
        <v>64.603241204500208</v>
      </c>
      <c r="I456" s="567">
        <v>0</v>
      </c>
      <c r="J456" s="560">
        <v>0</v>
      </c>
      <c r="K456" s="568">
        <v>0</v>
      </c>
      <c r="L456" s="560">
        <v>0</v>
      </c>
      <c r="M456" s="1057">
        <f t="shared" si="58"/>
        <v>0</v>
      </c>
      <c r="N456" s="1058">
        <f t="shared" si="58"/>
        <v>0</v>
      </c>
      <c r="O456" s="569">
        <v>0</v>
      </c>
      <c r="P456" s="560">
        <v>0</v>
      </c>
      <c r="Q456" s="571">
        <v>64.603241204500208</v>
      </c>
      <c r="R456" s="1075">
        <f t="shared" si="59"/>
        <v>64.603241204500208</v>
      </c>
      <c r="S456" s="1075">
        <f t="shared" si="57"/>
        <v>0</v>
      </c>
    </row>
    <row r="457" spans="1:19" ht="15.75" hidden="1" x14ac:dyDescent="0.25">
      <c r="A457" s="639" t="s">
        <v>146</v>
      </c>
      <c r="B457" s="639"/>
      <c r="C457" s="724" t="s">
        <v>1131</v>
      </c>
      <c r="D457" s="549">
        <v>0</v>
      </c>
      <c r="E457" s="550">
        <v>62.934972390572881</v>
      </c>
      <c r="F457" s="551">
        <v>0</v>
      </c>
      <c r="G457" s="560">
        <v>0</v>
      </c>
      <c r="H457" s="566">
        <v>62.934972390572881</v>
      </c>
      <c r="I457" s="567">
        <v>0</v>
      </c>
      <c r="J457" s="560">
        <v>0</v>
      </c>
      <c r="K457" s="568">
        <v>0</v>
      </c>
      <c r="L457" s="560">
        <v>0</v>
      </c>
      <c r="M457" s="1057">
        <f t="shared" si="58"/>
        <v>0</v>
      </c>
      <c r="N457" s="1058">
        <f t="shared" si="58"/>
        <v>0</v>
      </c>
      <c r="O457" s="569">
        <v>0</v>
      </c>
      <c r="P457" s="560">
        <v>0</v>
      </c>
      <c r="Q457" s="571">
        <v>62.934972390572881</v>
      </c>
      <c r="R457" s="1075">
        <f t="shared" si="59"/>
        <v>62.934972390572881</v>
      </c>
      <c r="S457" s="1075">
        <f t="shared" si="57"/>
        <v>0</v>
      </c>
    </row>
    <row r="458" spans="1:19" ht="15.75" hidden="1" x14ac:dyDescent="0.25">
      <c r="A458" s="639" t="s">
        <v>147</v>
      </c>
      <c r="B458" s="639"/>
      <c r="C458" s="724" t="s">
        <v>1131</v>
      </c>
      <c r="D458" s="549">
        <v>0</v>
      </c>
      <c r="E458" s="550">
        <v>58.333174707211562</v>
      </c>
      <c r="F458" s="551">
        <v>0</v>
      </c>
      <c r="G458" s="560">
        <v>0</v>
      </c>
      <c r="H458" s="566">
        <v>58.333174707211562</v>
      </c>
      <c r="I458" s="567">
        <v>0</v>
      </c>
      <c r="J458" s="560">
        <v>0</v>
      </c>
      <c r="K458" s="568">
        <v>0</v>
      </c>
      <c r="L458" s="560">
        <v>0</v>
      </c>
      <c r="M458" s="1057">
        <f t="shared" si="58"/>
        <v>0</v>
      </c>
      <c r="N458" s="1058">
        <f t="shared" si="58"/>
        <v>0</v>
      </c>
      <c r="O458" s="569">
        <v>0</v>
      </c>
      <c r="P458" s="560">
        <v>0</v>
      </c>
      <c r="Q458" s="571">
        <v>58.333174707211562</v>
      </c>
      <c r="R458" s="1075">
        <f t="shared" si="59"/>
        <v>58.333174707211562</v>
      </c>
      <c r="S458" s="1075">
        <f t="shared" si="57"/>
        <v>0</v>
      </c>
    </row>
    <row r="459" spans="1:19" ht="15.75" hidden="1" x14ac:dyDescent="0.25">
      <c r="A459" s="639" t="s">
        <v>148</v>
      </c>
      <c r="B459" s="639"/>
      <c r="C459" s="724" t="s">
        <v>1131</v>
      </c>
      <c r="D459" s="549">
        <v>0</v>
      </c>
      <c r="E459" s="550">
        <v>49.663800252813957</v>
      </c>
      <c r="F459" s="551">
        <v>0</v>
      </c>
      <c r="G459" s="560">
        <v>0</v>
      </c>
      <c r="H459" s="566">
        <v>49.663800252813957</v>
      </c>
      <c r="I459" s="567">
        <v>0</v>
      </c>
      <c r="J459" s="560">
        <v>0</v>
      </c>
      <c r="K459" s="568">
        <v>0</v>
      </c>
      <c r="L459" s="560">
        <v>0</v>
      </c>
      <c r="M459" s="1057">
        <f t="shared" si="58"/>
        <v>0</v>
      </c>
      <c r="N459" s="1058">
        <f t="shared" si="58"/>
        <v>0</v>
      </c>
      <c r="O459" s="569">
        <v>0</v>
      </c>
      <c r="P459" s="560">
        <v>0</v>
      </c>
      <c r="Q459" s="571">
        <v>49.663800252813957</v>
      </c>
      <c r="R459" s="1075">
        <f t="shared" si="59"/>
        <v>49.663800252813957</v>
      </c>
      <c r="S459" s="1075">
        <f t="shared" si="57"/>
        <v>0</v>
      </c>
    </row>
    <row r="460" spans="1:19" ht="15.75" hidden="1" x14ac:dyDescent="0.25">
      <c r="A460" s="639" t="s">
        <v>149</v>
      </c>
      <c r="B460" s="639"/>
      <c r="C460" s="724" t="s">
        <v>1131</v>
      </c>
      <c r="D460" s="549">
        <v>0</v>
      </c>
      <c r="E460" s="550">
        <v>81.107855706331748</v>
      </c>
      <c r="F460" s="551">
        <v>0</v>
      </c>
      <c r="G460" s="560">
        <v>0</v>
      </c>
      <c r="H460" s="566">
        <v>81.107855706331748</v>
      </c>
      <c r="I460" s="567">
        <v>0</v>
      </c>
      <c r="J460" s="560">
        <v>0</v>
      </c>
      <c r="K460" s="568">
        <v>0</v>
      </c>
      <c r="L460" s="560">
        <v>0</v>
      </c>
      <c r="M460" s="1057">
        <f t="shared" si="58"/>
        <v>0</v>
      </c>
      <c r="N460" s="1058">
        <f t="shared" si="58"/>
        <v>0</v>
      </c>
      <c r="O460" s="569">
        <v>0</v>
      </c>
      <c r="P460" s="560">
        <v>0</v>
      </c>
      <c r="Q460" s="571">
        <v>81.107855706331748</v>
      </c>
      <c r="R460" s="1075">
        <f t="shared" si="59"/>
        <v>81.107855706331748</v>
      </c>
      <c r="S460" s="1075">
        <f t="shared" si="57"/>
        <v>0</v>
      </c>
    </row>
    <row r="461" spans="1:19" ht="16.5" hidden="1" thickBot="1" x14ac:dyDescent="0.3">
      <c r="A461" s="640" t="s">
        <v>150</v>
      </c>
      <c r="B461" s="652"/>
      <c r="C461" s="807" t="s">
        <v>1131</v>
      </c>
      <c r="D461" s="549">
        <v>0</v>
      </c>
      <c r="E461" s="550">
        <v>64.462656753888353</v>
      </c>
      <c r="F461" s="551">
        <v>0</v>
      </c>
      <c r="G461" s="560">
        <v>0</v>
      </c>
      <c r="H461" s="566">
        <v>64.462656753888353</v>
      </c>
      <c r="I461" s="567">
        <v>0</v>
      </c>
      <c r="J461" s="560">
        <v>0</v>
      </c>
      <c r="K461" s="568">
        <v>0</v>
      </c>
      <c r="L461" s="560">
        <v>0</v>
      </c>
      <c r="M461" s="1057">
        <f t="shared" si="58"/>
        <v>0</v>
      </c>
      <c r="N461" s="1058">
        <f t="shared" si="58"/>
        <v>0</v>
      </c>
      <c r="O461" s="569">
        <v>0</v>
      </c>
      <c r="P461" s="560">
        <v>0</v>
      </c>
      <c r="Q461" s="571">
        <v>64.462656753888353</v>
      </c>
      <c r="R461" s="1075">
        <f t="shared" si="59"/>
        <v>64.462656753888353</v>
      </c>
      <c r="S461" s="1075">
        <f t="shared" si="57"/>
        <v>0</v>
      </c>
    </row>
    <row r="462" spans="1:19" ht="15.75" hidden="1" x14ac:dyDescent="0.25">
      <c r="A462" s="638" t="s">
        <v>151</v>
      </c>
      <c r="B462" s="693"/>
      <c r="C462" s="806" t="s">
        <v>1133</v>
      </c>
      <c r="D462" s="549">
        <v>0</v>
      </c>
      <c r="E462" s="550">
        <v>192.62673917479984</v>
      </c>
      <c r="F462" s="551">
        <v>0</v>
      </c>
      <c r="G462" s="560">
        <v>19.267475780602876</v>
      </c>
      <c r="H462" s="566">
        <v>211.8942149554027</v>
      </c>
      <c r="I462" s="567">
        <v>18.355121787253452</v>
      </c>
      <c r="J462" s="560">
        <v>1.8367126445060684</v>
      </c>
      <c r="K462" s="568">
        <v>58.378650916555628</v>
      </c>
      <c r="L462" s="560">
        <v>5.8342636943133934</v>
      </c>
      <c r="M462" s="1057">
        <f t="shared" si="58"/>
        <v>76.73377270380908</v>
      </c>
      <c r="N462" s="1058">
        <f t="shared" si="58"/>
        <v>7.6709763388194618</v>
      </c>
      <c r="O462" s="569">
        <v>0</v>
      </c>
      <c r="P462" s="560">
        <v>0</v>
      </c>
      <c r="Q462" s="571">
        <v>296.29896399803124</v>
      </c>
      <c r="R462" s="1075">
        <f t="shared" si="59"/>
        <v>296.29896399803124</v>
      </c>
      <c r="S462" s="1075">
        <f t="shared" si="57"/>
        <v>0</v>
      </c>
    </row>
    <row r="463" spans="1:19" ht="15.75" hidden="1" x14ac:dyDescent="0.25">
      <c r="A463" s="639" t="s">
        <v>152</v>
      </c>
      <c r="B463" s="639"/>
      <c r="C463" s="724" t="s">
        <v>1133</v>
      </c>
      <c r="D463" s="549">
        <v>0</v>
      </c>
      <c r="E463" s="550">
        <v>105.28084896940013</v>
      </c>
      <c r="F463" s="551">
        <v>0</v>
      </c>
      <c r="G463" s="560">
        <v>10.528084896940012</v>
      </c>
      <c r="H463" s="566">
        <v>115.80893386634014</v>
      </c>
      <c r="I463" s="567">
        <v>0</v>
      </c>
      <c r="J463" s="560">
        <v>0</v>
      </c>
      <c r="K463" s="568">
        <v>97.153695633905954</v>
      </c>
      <c r="L463" s="560">
        <v>9.7117681660484259</v>
      </c>
      <c r="M463" s="1057">
        <f t="shared" si="58"/>
        <v>97.153695633905954</v>
      </c>
      <c r="N463" s="1058">
        <f t="shared" si="58"/>
        <v>9.7117681660484259</v>
      </c>
      <c r="O463" s="569">
        <v>0</v>
      </c>
      <c r="P463" s="560">
        <v>0</v>
      </c>
      <c r="Q463" s="571">
        <v>222.67439766629451</v>
      </c>
      <c r="R463" s="1075">
        <f t="shared" si="59"/>
        <v>222.67439766629451</v>
      </c>
      <c r="S463" s="1075">
        <f t="shared" si="57"/>
        <v>0</v>
      </c>
    </row>
    <row r="464" spans="1:19" ht="15.75" hidden="1" x14ac:dyDescent="0.25">
      <c r="A464" s="639" t="s">
        <v>153</v>
      </c>
      <c r="B464" s="639" t="s">
        <v>429</v>
      </c>
      <c r="C464" s="724" t="s">
        <v>1133</v>
      </c>
      <c r="D464" s="549">
        <v>0</v>
      </c>
      <c r="E464" s="550">
        <v>125.11254366694277</v>
      </c>
      <c r="F464" s="551">
        <v>0</v>
      </c>
      <c r="G464" s="560">
        <v>12.508853435132831</v>
      </c>
      <c r="H464" s="566">
        <v>137.6213971020756</v>
      </c>
      <c r="I464" s="567">
        <v>20.840085953349899</v>
      </c>
      <c r="J464" s="560">
        <v>2.0888104584578815</v>
      </c>
      <c r="K464" s="568">
        <v>59.987275062724336</v>
      </c>
      <c r="L464" s="560">
        <v>6.0023289036146021</v>
      </c>
      <c r="M464" s="1057">
        <f t="shared" si="58"/>
        <v>80.827361016074235</v>
      </c>
      <c r="N464" s="1058">
        <f t="shared" si="58"/>
        <v>8.0911393620724841</v>
      </c>
      <c r="O464" s="569">
        <v>0</v>
      </c>
      <c r="P464" s="560">
        <v>0</v>
      </c>
      <c r="Q464" s="571">
        <v>226.53989748022232</v>
      </c>
      <c r="R464" s="1075">
        <f t="shared" si="59"/>
        <v>226.53989748022232</v>
      </c>
      <c r="S464" s="1075">
        <f t="shared" si="57"/>
        <v>0</v>
      </c>
    </row>
    <row r="465" spans="1:19" ht="15.75" hidden="1" x14ac:dyDescent="0.25">
      <c r="A465" s="639" t="s">
        <v>214</v>
      </c>
      <c r="B465" s="639"/>
      <c r="C465" s="724" t="s">
        <v>1133</v>
      </c>
      <c r="D465" s="549">
        <v>0</v>
      </c>
      <c r="E465" s="550">
        <v>104.74063936807481</v>
      </c>
      <c r="F465" s="551">
        <v>0</v>
      </c>
      <c r="G465" s="560">
        <v>10.480066265711097</v>
      </c>
      <c r="H465" s="566">
        <v>115.22070563378591</v>
      </c>
      <c r="I465" s="567">
        <v>45.869797481422793</v>
      </c>
      <c r="J465" s="560">
        <v>4.585779282361556</v>
      </c>
      <c r="K465" s="568">
        <v>91.811622909688964</v>
      </c>
      <c r="L465" s="560">
        <v>9.1835632225303421</v>
      </c>
      <c r="M465" s="1057">
        <f t="shared" si="58"/>
        <v>137.68142039111177</v>
      </c>
      <c r="N465" s="1058">
        <f t="shared" si="58"/>
        <v>13.769342504891899</v>
      </c>
      <c r="O465" s="569">
        <v>0</v>
      </c>
      <c r="P465" s="560">
        <v>0</v>
      </c>
      <c r="Q465" s="571">
        <v>266.67146852978954</v>
      </c>
      <c r="R465" s="1075">
        <f t="shared" si="59"/>
        <v>266.67146852978959</v>
      </c>
      <c r="S465" s="1075">
        <f t="shared" si="57"/>
        <v>0</v>
      </c>
    </row>
    <row r="466" spans="1:19" ht="16.5" hidden="1" thickBot="1" x14ac:dyDescent="0.3">
      <c r="A466" s="640" t="s">
        <v>154</v>
      </c>
      <c r="B466" s="652"/>
      <c r="C466" s="807" t="s">
        <v>1133</v>
      </c>
      <c r="D466" s="549">
        <v>0</v>
      </c>
      <c r="E466" s="550">
        <v>153.34749882954586</v>
      </c>
      <c r="F466" s="551">
        <v>0</v>
      </c>
      <c r="G466" s="560">
        <v>15.329948019831694</v>
      </c>
      <c r="H466" s="566">
        <v>168.67744684937756</v>
      </c>
      <c r="I466" s="567">
        <v>36.362108498097257</v>
      </c>
      <c r="J466" s="560">
        <v>3.6374113155904486</v>
      </c>
      <c r="K466" s="568">
        <v>106.75742187968932</v>
      </c>
      <c r="L466" s="560">
        <v>10.672140790626763</v>
      </c>
      <c r="M466" s="1057">
        <f t="shared" si="58"/>
        <v>143.11953037778659</v>
      </c>
      <c r="N466" s="1058">
        <f t="shared" si="58"/>
        <v>14.309552106217211</v>
      </c>
      <c r="O466" s="569">
        <v>0</v>
      </c>
      <c r="P466" s="560">
        <v>0</v>
      </c>
      <c r="Q466" s="571">
        <v>326.10652933338133</v>
      </c>
      <c r="R466" s="1075">
        <f t="shared" si="59"/>
        <v>326.10652933338133</v>
      </c>
      <c r="S466" s="1075">
        <f t="shared" si="57"/>
        <v>0</v>
      </c>
    </row>
    <row r="467" spans="1:19" ht="15.75" hidden="1" x14ac:dyDescent="0.25">
      <c r="A467" s="638" t="s">
        <v>155</v>
      </c>
      <c r="B467" s="693" t="s">
        <v>429</v>
      </c>
      <c r="C467" s="806" t="s">
        <v>1135</v>
      </c>
      <c r="D467" s="549">
        <v>206.24267029725661</v>
      </c>
      <c r="E467" s="550">
        <v>44.728802530302232</v>
      </c>
      <c r="F467" s="551">
        <v>0</v>
      </c>
      <c r="G467" s="560">
        <v>62.74286820688971</v>
      </c>
      <c r="H467" s="566">
        <v>313.71434103444858</v>
      </c>
      <c r="I467" s="567">
        <v>39.827015951638977</v>
      </c>
      <c r="J467" s="560">
        <v>9.9567539879097442</v>
      </c>
      <c r="K467" s="568">
        <v>0</v>
      </c>
      <c r="L467" s="560">
        <v>0</v>
      </c>
      <c r="M467" s="1057">
        <f t="shared" si="58"/>
        <v>39.827015951638977</v>
      </c>
      <c r="N467" s="1058">
        <f t="shared" si="58"/>
        <v>9.9567539879097442</v>
      </c>
      <c r="O467" s="569">
        <v>0</v>
      </c>
      <c r="P467" s="560">
        <v>0</v>
      </c>
      <c r="Q467" s="571">
        <v>363.49811097399731</v>
      </c>
      <c r="R467" s="1075">
        <f t="shared" si="59"/>
        <v>363.49811097399731</v>
      </c>
      <c r="S467" s="1075">
        <f t="shared" si="57"/>
        <v>0</v>
      </c>
    </row>
    <row r="468" spans="1:19" ht="15.75" hidden="1" x14ac:dyDescent="0.25">
      <c r="A468" s="639" t="s">
        <v>156</v>
      </c>
      <c r="B468" s="639"/>
      <c r="C468" s="724" t="s">
        <v>1135</v>
      </c>
      <c r="D468" s="549">
        <v>299.37661529185851</v>
      </c>
      <c r="E468" s="550">
        <v>88.109613751472068</v>
      </c>
      <c r="F468" s="551">
        <v>0</v>
      </c>
      <c r="G468" s="560">
        <v>96.871557260832645</v>
      </c>
      <c r="H468" s="566">
        <v>484.35778630416326</v>
      </c>
      <c r="I468" s="567">
        <v>90.805596369736861</v>
      </c>
      <c r="J468" s="560">
        <v>22.701399092434215</v>
      </c>
      <c r="K468" s="568">
        <v>0</v>
      </c>
      <c r="L468" s="560">
        <v>0</v>
      </c>
      <c r="M468" s="1057">
        <f t="shared" si="58"/>
        <v>90.805596369736861</v>
      </c>
      <c r="N468" s="1058">
        <f t="shared" si="58"/>
        <v>22.701399092434215</v>
      </c>
      <c r="O468" s="569">
        <v>0</v>
      </c>
      <c r="P468" s="560">
        <v>0</v>
      </c>
      <c r="Q468" s="571">
        <v>597.86478176633432</v>
      </c>
      <c r="R468" s="1075">
        <f t="shared" si="59"/>
        <v>597.86478176633432</v>
      </c>
      <c r="S468" s="1075">
        <f t="shared" si="57"/>
        <v>0</v>
      </c>
    </row>
    <row r="469" spans="1:19" ht="15.75" hidden="1" x14ac:dyDescent="0.25">
      <c r="A469" s="639" t="s">
        <v>157</v>
      </c>
      <c r="B469" s="639"/>
      <c r="C469" s="724" t="s">
        <v>1135</v>
      </c>
      <c r="D469" s="549">
        <v>202.56633036325914</v>
      </c>
      <c r="E469" s="550">
        <v>59.311617601825425</v>
      </c>
      <c r="F469" s="551">
        <v>0</v>
      </c>
      <c r="G469" s="560">
        <v>65.46948699127114</v>
      </c>
      <c r="H469" s="566">
        <v>327.3474349563557</v>
      </c>
      <c r="I469" s="567">
        <v>62.987957535822872</v>
      </c>
      <c r="J469" s="560">
        <v>15.746989383955718</v>
      </c>
      <c r="K469" s="568">
        <v>0</v>
      </c>
      <c r="L469" s="560">
        <v>0</v>
      </c>
      <c r="M469" s="1057">
        <f t="shared" si="58"/>
        <v>62.987957535822872</v>
      </c>
      <c r="N469" s="1058">
        <f t="shared" si="58"/>
        <v>15.746989383955718</v>
      </c>
      <c r="O469" s="569">
        <v>0</v>
      </c>
      <c r="P469" s="560">
        <v>0</v>
      </c>
      <c r="Q469" s="571">
        <v>406.08238187613432</v>
      </c>
      <c r="R469" s="1075">
        <f t="shared" si="59"/>
        <v>406.08238187613432</v>
      </c>
      <c r="S469" s="1075">
        <f t="shared" si="57"/>
        <v>0</v>
      </c>
    </row>
    <row r="470" spans="1:19" ht="15.75" hidden="1" x14ac:dyDescent="0.25">
      <c r="A470" s="639" t="s">
        <v>158</v>
      </c>
      <c r="B470" s="639"/>
      <c r="C470" s="724" t="s">
        <v>1135</v>
      </c>
      <c r="D470" s="549">
        <v>0</v>
      </c>
      <c r="E470" s="550">
        <v>151.3426606162281</v>
      </c>
      <c r="F470" s="551">
        <v>0</v>
      </c>
      <c r="G470" s="560">
        <v>37.835665154057025</v>
      </c>
      <c r="H470" s="566">
        <v>189.17832577028514</v>
      </c>
      <c r="I470" s="567">
        <v>227.07526325657545</v>
      </c>
      <c r="J470" s="560">
        <v>56.768815814143863</v>
      </c>
      <c r="K470" s="568">
        <v>0</v>
      </c>
      <c r="L470" s="560">
        <v>0</v>
      </c>
      <c r="M470" s="1057">
        <f t="shared" si="58"/>
        <v>227.07526325657545</v>
      </c>
      <c r="N470" s="1058">
        <f t="shared" si="58"/>
        <v>56.768815814143863</v>
      </c>
      <c r="O470" s="569">
        <v>0</v>
      </c>
      <c r="P470" s="560">
        <v>0</v>
      </c>
      <c r="Q470" s="571">
        <v>473.02240484100446</v>
      </c>
      <c r="R470" s="1075">
        <f t="shared" si="59"/>
        <v>473.02240484100446</v>
      </c>
      <c r="S470" s="1075">
        <f t="shared" si="57"/>
        <v>0</v>
      </c>
    </row>
    <row r="471" spans="1:19" ht="16.5" hidden="1" thickBot="1" x14ac:dyDescent="0.3">
      <c r="A471" s="640" t="s">
        <v>159</v>
      </c>
      <c r="B471" s="652"/>
      <c r="C471" s="807" t="s">
        <v>1135</v>
      </c>
      <c r="D471" s="549">
        <v>285.5290682071348</v>
      </c>
      <c r="E471" s="550">
        <v>77.815861936279234</v>
      </c>
      <c r="F471" s="551">
        <v>0</v>
      </c>
      <c r="G471" s="560">
        <v>90.836232535853512</v>
      </c>
      <c r="H471" s="566">
        <v>454.18116267926757</v>
      </c>
      <c r="I471" s="567">
        <v>104.77568811892715</v>
      </c>
      <c r="J471" s="560">
        <v>26.193922029731787</v>
      </c>
      <c r="K471" s="568">
        <v>0</v>
      </c>
      <c r="L471" s="560">
        <v>0</v>
      </c>
      <c r="M471" s="1057">
        <f t="shared" si="58"/>
        <v>104.77568811892715</v>
      </c>
      <c r="N471" s="1058">
        <f t="shared" si="58"/>
        <v>26.193922029731787</v>
      </c>
      <c r="O471" s="569">
        <v>0</v>
      </c>
      <c r="P471" s="560">
        <v>0</v>
      </c>
      <c r="Q471" s="571">
        <v>585.15077282792652</v>
      </c>
      <c r="R471" s="1075">
        <f t="shared" si="59"/>
        <v>585.15077282792652</v>
      </c>
      <c r="S471" s="1075">
        <f t="shared" si="57"/>
        <v>0</v>
      </c>
    </row>
    <row r="472" spans="1:19" ht="15.75" hidden="1" x14ac:dyDescent="0.25">
      <c r="A472" s="547" t="s">
        <v>160</v>
      </c>
      <c r="B472" s="1046"/>
      <c r="C472" s="802" t="s">
        <v>1137</v>
      </c>
      <c r="D472" s="549">
        <v>114.94016953675008</v>
      </c>
      <c r="E472" s="550">
        <v>110.83516348186615</v>
      </c>
      <c r="F472" s="551">
        <v>0</v>
      </c>
      <c r="G472" s="560">
        <v>18.0620266414893</v>
      </c>
      <c r="H472" s="566">
        <v>243.83735966010551</v>
      </c>
      <c r="I472" s="567">
        <v>271.95665113606043</v>
      </c>
      <c r="J472" s="560">
        <v>6.804047535970116</v>
      </c>
      <c r="K472" s="568">
        <v>0</v>
      </c>
      <c r="L472" s="560">
        <v>0</v>
      </c>
      <c r="M472" s="1057">
        <f t="shared" si="58"/>
        <v>271.95665113606043</v>
      </c>
      <c r="N472" s="1058">
        <f t="shared" si="58"/>
        <v>6.804047535970116</v>
      </c>
      <c r="O472" s="569">
        <v>0</v>
      </c>
      <c r="P472" s="560">
        <v>0</v>
      </c>
      <c r="Q472" s="571">
        <v>522.59805833213602</v>
      </c>
      <c r="R472" s="1075">
        <f t="shared" si="59"/>
        <v>522.59805833213602</v>
      </c>
      <c r="S472" s="1075">
        <f t="shared" si="57"/>
        <v>0</v>
      </c>
    </row>
    <row r="473" spans="1:19" ht="15.75" hidden="1" x14ac:dyDescent="0.25">
      <c r="A473" s="547" t="s">
        <v>603</v>
      </c>
      <c r="B473" s="1046"/>
      <c r="C473" s="802" t="s">
        <v>1137</v>
      </c>
      <c r="D473" s="549">
        <v>139.57020586605367</v>
      </c>
      <c r="E473" s="550">
        <v>197.04029063442869</v>
      </c>
      <c r="F473" s="551">
        <v>0</v>
      </c>
      <c r="G473" s="560">
        <v>26.928839720038585</v>
      </c>
      <c r="H473" s="566">
        <v>363.53933622052091</v>
      </c>
      <c r="I473" s="567">
        <v>299.27546643131302</v>
      </c>
      <c r="J473" s="560">
        <v>7.4813735350259645</v>
      </c>
      <c r="K473" s="568">
        <v>0</v>
      </c>
      <c r="L473" s="560">
        <v>0</v>
      </c>
      <c r="M473" s="1057">
        <f t="shared" si="58"/>
        <v>299.27546643131302</v>
      </c>
      <c r="N473" s="1058">
        <f t="shared" si="58"/>
        <v>7.4813735350259645</v>
      </c>
      <c r="O473" s="569">
        <v>0</v>
      </c>
      <c r="P473" s="560">
        <v>0</v>
      </c>
      <c r="Q473" s="571">
        <v>670.29617618685984</v>
      </c>
      <c r="R473" s="1075">
        <f t="shared" si="59"/>
        <v>670.29617618685984</v>
      </c>
      <c r="S473" s="1075">
        <f t="shared" si="57"/>
        <v>0</v>
      </c>
    </row>
    <row r="474" spans="1:19" ht="15.75" hidden="1" x14ac:dyDescent="0.25">
      <c r="A474" s="547" t="s">
        <v>162</v>
      </c>
      <c r="B474" s="1046"/>
      <c r="C474" s="802" t="s">
        <v>1137</v>
      </c>
      <c r="D474" s="549">
        <v>71.837605960468792</v>
      </c>
      <c r="E474" s="550">
        <v>149.83272100326349</v>
      </c>
      <c r="F474" s="551">
        <v>0</v>
      </c>
      <c r="G474" s="560">
        <v>17.733626157098584</v>
      </c>
      <c r="H474" s="566">
        <v>239.40395312083086</v>
      </c>
      <c r="I474" s="567">
        <v>123.15018164651794</v>
      </c>
      <c r="J474" s="560">
        <v>3.0787545411629482</v>
      </c>
      <c r="K474" s="568">
        <v>0</v>
      </c>
      <c r="L474" s="560">
        <v>0</v>
      </c>
      <c r="M474" s="1057">
        <f t="shared" si="58"/>
        <v>123.15018164651794</v>
      </c>
      <c r="N474" s="1058">
        <f t="shared" si="58"/>
        <v>3.0787545411629482</v>
      </c>
      <c r="O474" s="569">
        <v>0</v>
      </c>
      <c r="P474" s="560">
        <v>0</v>
      </c>
      <c r="Q474" s="571">
        <v>365.63288930851172</v>
      </c>
      <c r="R474" s="1075">
        <f t="shared" si="59"/>
        <v>365.63288930851172</v>
      </c>
      <c r="S474" s="1075">
        <f t="shared" si="57"/>
        <v>0</v>
      </c>
    </row>
    <row r="475" spans="1:19" ht="15.75" hidden="1" x14ac:dyDescent="0.25">
      <c r="A475" s="547" t="s">
        <v>161</v>
      </c>
      <c r="B475" s="1046"/>
      <c r="C475" s="802" t="s">
        <v>1137</v>
      </c>
      <c r="D475" s="549">
        <v>28.735042384187519</v>
      </c>
      <c r="E475" s="550">
        <v>210.38156031280147</v>
      </c>
      <c r="F475" s="551">
        <v>0</v>
      </c>
      <c r="G475" s="560">
        <v>19.12932821575912</v>
      </c>
      <c r="H475" s="566">
        <v>258.24593091274812</v>
      </c>
      <c r="I475" s="567">
        <v>246.30036329303587</v>
      </c>
      <c r="J475" s="560">
        <v>6.1575090823258964</v>
      </c>
      <c r="K475" s="568">
        <v>0</v>
      </c>
      <c r="L475" s="560">
        <v>0</v>
      </c>
      <c r="M475" s="1057">
        <f t="shared" si="58"/>
        <v>246.30036329303587</v>
      </c>
      <c r="N475" s="1058">
        <f t="shared" si="58"/>
        <v>6.1575090823258964</v>
      </c>
      <c r="O475" s="569">
        <v>0</v>
      </c>
      <c r="P475" s="560">
        <v>0</v>
      </c>
      <c r="Q475" s="571">
        <v>510.70380328810984</v>
      </c>
      <c r="R475" s="1075">
        <f t="shared" si="59"/>
        <v>510.70380328810984</v>
      </c>
      <c r="S475" s="1075">
        <f t="shared" si="57"/>
        <v>0</v>
      </c>
    </row>
    <row r="476" spans="1:19" ht="16.5" hidden="1" thickBot="1" x14ac:dyDescent="0.3">
      <c r="A476" s="613" t="s">
        <v>163</v>
      </c>
      <c r="B476" s="1046" t="s">
        <v>429</v>
      </c>
      <c r="C476" s="802" t="s">
        <v>1137</v>
      </c>
      <c r="D476" s="549">
        <v>55.417581740933073</v>
      </c>
      <c r="E476" s="550">
        <v>238.09035118326801</v>
      </c>
      <c r="F476" s="551">
        <v>0</v>
      </c>
      <c r="G476" s="560">
        <v>23.480634633936084</v>
      </c>
      <c r="H476" s="566">
        <v>316.98856755813716</v>
      </c>
      <c r="I476" s="567">
        <v>262.54592475523901</v>
      </c>
      <c r="J476" s="560">
        <v>6.56800968781429</v>
      </c>
      <c r="K476" s="568">
        <v>0</v>
      </c>
      <c r="L476" s="560">
        <v>0</v>
      </c>
      <c r="M476" s="1057">
        <f t="shared" si="58"/>
        <v>262.54592475523901</v>
      </c>
      <c r="N476" s="1058">
        <f t="shared" si="58"/>
        <v>6.56800968781429</v>
      </c>
      <c r="O476" s="569">
        <v>0</v>
      </c>
      <c r="P476" s="560">
        <v>0</v>
      </c>
      <c r="Q476" s="571">
        <v>586.10250200119049</v>
      </c>
      <c r="R476" s="1075">
        <f t="shared" si="59"/>
        <v>586.10250200119049</v>
      </c>
      <c r="S476" s="1075">
        <f t="shared" si="57"/>
        <v>0</v>
      </c>
    </row>
    <row r="477" spans="1:19" ht="15.75" hidden="1" x14ac:dyDescent="0.25">
      <c r="A477" s="693" t="s">
        <v>928</v>
      </c>
      <c r="B477" s="693" t="s">
        <v>429</v>
      </c>
      <c r="C477" s="806" t="s">
        <v>1145</v>
      </c>
      <c r="D477" s="549">
        <v>116.47824597464884</v>
      </c>
      <c r="E477" s="550">
        <v>0</v>
      </c>
      <c r="F477" s="551">
        <v>0</v>
      </c>
      <c r="G477" s="560">
        <v>9.3182596779719074</v>
      </c>
      <c r="H477" s="566">
        <v>125.79650565262075</v>
      </c>
      <c r="I477" s="567">
        <v>0</v>
      </c>
      <c r="J477" s="560">
        <v>0</v>
      </c>
      <c r="K477" s="568">
        <v>58.239122987324421</v>
      </c>
      <c r="L477" s="560">
        <v>4.6591298389859537</v>
      </c>
      <c r="M477" s="1057">
        <f t="shared" si="58"/>
        <v>58.239122987324421</v>
      </c>
      <c r="N477" s="1058">
        <f t="shared" si="58"/>
        <v>4.6591298389859537</v>
      </c>
      <c r="O477" s="569">
        <v>6.3246106411574035</v>
      </c>
      <c r="P477" s="560">
        <v>0</v>
      </c>
      <c r="Q477" s="571">
        <v>195.01936912008853</v>
      </c>
      <c r="R477" s="1075">
        <f t="shared" si="59"/>
        <v>195.01936912008853</v>
      </c>
      <c r="S477" s="1075">
        <f t="shared" si="57"/>
        <v>0</v>
      </c>
    </row>
    <row r="478" spans="1:19" ht="15.75" hidden="1" x14ac:dyDescent="0.25">
      <c r="A478" s="639" t="s">
        <v>929</v>
      </c>
      <c r="B478" s="639"/>
      <c r="C478" s="724" t="s">
        <v>1145</v>
      </c>
      <c r="D478" s="549">
        <v>117.26882230479352</v>
      </c>
      <c r="E478" s="550">
        <v>0</v>
      </c>
      <c r="F478" s="551">
        <v>14.135504782986796</v>
      </c>
      <c r="G478" s="560">
        <v>9.3815057843834815</v>
      </c>
      <c r="H478" s="566">
        <v>140.78583287216378</v>
      </c>
      <c r="I478" s="567">
        <v>0</v>
      </c>
      <c r="J478" s="560">
        <v>0</v>
      </c>
      <c r="K478" s="568">
        <v>41.109969167523126</v>
      </c>
      <c r="L478" s="560">
        <v>3.28879753340185</v>
      </c>
      <c r="M478" s="1057">
        <f t="shared" si="58"/>
        <v>41.109969167523126</v>
      </c>
      <c r="N478" s="1058">
        <f t="shared" si="58"/>
        <v>3.28879753340185</v>
      </c>
      <c r="O478" s="569">
        <v>6.3246106411574035</v>
      </c>
      <c r="P478" s="560">
        <v>0</v>
      </c>
      <c r="Q478" s="571">
        <v>191.50921021424617</v>
      </c>
      <c r="R478" s="1075">
        <f t="shared" si="59"/>
        <v>191.50921021424617</v>
      </c>
      <c r="S478" s="1075">
        <f t="shared" si="57"/>
        <v>0</v>
      </c>
    </row>
    <row r="479" spans="1:19" ht="16.5" hidden="1" thickBot="1" x14ac:dyDescent="0.3">
      <c r="A479" s="652" t="s">
        <v>930</v>
      </c>
      <c r="B479" s="652"/>
      <c r="C479" s="807" t="s">
        <v>1145</v>
      </c>
      <c r="D479" s="549">
        <v>60.34732653437689</v>
      </c>
      <c r="E479" s="550">
        <v>0</v>
      </c>
      <c r="F479" s="551">
        <v>0</v>
      </c>
      <c r="G479" s="560">
        <v>4.8277861227501511</v>
      </c>
      <c r="H479" s="566">
        <v>65.175112657127045</v>
      </c>
      <c r="I479" s="567">
        <v>0</v>
      </c>
      <c r="J479" s="560">
        <v>0</v>
      </c>
      <c r="K479" s="568">
        <v>49.279257912351433</v>
      </c>
      <c r="L479" s="560">
        <v>3.942340632988115</v>
      </c>
      <c r="M479" s="1057">
        <f t="shared" si="58"/>
        <v>49.279257912351433</v>
      </c>
      <c r="N479" s="1058">
        <f t="shared" si="58"/>
        <v>3.942340632988115</v>
      </c>
      <c r="O479" s="569">
        <v>6.3246106411574035</v>
      </c>
      <c r="P479" s="560">
        <v>0</v>
      </c>
      <c r="Q479" s="571">
        <v>124.721321843624</v>
      </c>
      <c r="R479" s="1075">
        <f t="shared" si="59"/>
        <v>124.721321843624</v>
      </c>
      <c r="S479" s="1075">
        <f t="shared" si="57"/>
        <v>0</v>
      </c>
    </row>
    <row r="480" spans="1:19" ht="15.75" hidden="1" x14ac:dyDescent="0.25">
      <c r="A480" s="690" t="s">
        <v>746</v>
      </c>
      <c r="B480" s="693" t="s">
        <v>429</v>
      </c>
      <c r="C480" s="806" t="s">
        <v>1147</v>
      </c>
      <c r="D480" s="549">
        <v>4.9608404483911857</v>
      </c>
      <c r="E480" s="550">
        <v>88.165158857796683</v>
      </c>
      <c r="F480" s="551">
        <v>0</v>
      </c>
      <c r="G480" s="560">
        <v>15.869728594403403</v>
      </c>
      <c r="H480" s="566">
        <v>108.99572790059126</v>
      </c>
      <c r="I480" s="567">
        <v>66.12386914334752</v>
      </c>
      <c r="J480" s="560">
        <v>11.90243424692612</v>
      </c>
      <c r="K480" s="568">
        <v>0</v>
      </c>
      <c r="L480" s="560">
        <v>0</v>
      </c>
      <c r="M480" s="1057">
        <f t="shared" si="58"/>
        <v>66.12386914334752</v>
      </c>
      <c r="N480" s="1058">
        <f t="shared" si="58"/>
        <v>11.90243424692612</v>
      </c>
      <c r="O480" s="569">
        <v>0</v>
      </c>
      <c r="P480" s="560">
        <v>0</v>
      </c>
      <c r="Q480" s="571">
        <v>187.0220312908649</v>
      </c>
      <c r="R480" s="1075">
        <f t="shared" si="59"/>
        <v>187.0220312908649</v>
      </c>
      <c r="S480" s="1075">
        <f t="shared" si="57"/>
        <v>0</v>
      </c>
    </row>
    <row r="481" spans="1:19" ht="15.75" hidden="1" x14ac:dyDescent="0.25">
      <c r="A481" s="639" t="s">
        <v>747</v>
      </c>
      <c r="B481" s="639"/>
      <c r="C481" s="724" t="s">
        <v>1147</v>
      </c>
      <c r="D481" s="549">
        <v>4.9608404483911857</v>
      </c>
      <c r="E481" s="550">
        <v>88.165158857796683</v>
      </c>
      <c r="F481" s="551">
        <v>0</v>
      </c>
      <c r="G481" s="560">
        <v>15.869728594403403</v>
      </c>
      <c r="H481" s="566">
        <v>108.99572790059126</v>
      </c>
      <c r="I481" s="567">
        <v>66.12386914334752</v>
      </c>
      <c r="J481" s="560">
        <v>11.90243424692612</v>
      </c>
      <c r="K481" s="568">
        <v>0</v>
      </c>
      <c r="L481" s="560">
        <v>0</v>
      </c>
      <c r="M481" s="1057">
        <f t="shared" si="58"/>
        <v>66.12386914334752</v>
      </c>
      <c r="N481" s="1058">
        <f t="shared" si="58"/>
        <v>11.90243424692612</v>
      </c>
      <c r="O481" s="569">
        <v>0</v>
      </c>
      <c r="P481" s="560">
        <v>0</v>
      </c>
      <c r="Q481" s="571">
        <v>187.0220312908649</v>
      </c>
      <c r="R481" s="1075">
        <f t="shared" si="59"/>
        <v>187.0220312908649</v>
      </c>
      <c r="S481" s="1075">
        <f t="shared" si="57"/>
        <v>0</v>
      </c>
    </row>
    <row r="482" spans="1:19" ht="15.75" hidden="1" x14ac:dyDescent="0.25">
      <c r="A482" s="639" t="s">
        <v>748</v>
      </c>
      <c r="B482" s="639"/>
      <c r="C482" s="724" t="s">
        <v>1147</v>
      </c>
      <c r="D482" s="549">
        <v>4.9608404483911857</v>
      </c>
      <c r="E482" s="550">
        <v>88.165158857796683</v>
      </c>
      <c r="F482" s="551">
        <v>0</v>
      </c>
      <c r="G482" s="560">
        <v>15.869728594403403</v>
      </c>
      <c r="H482" s="566">
        <v>108.99572790059126</v>
      </c>
      <c r="I482" s="567">
        <v>66.12386914334752</v>
      </c>
      <c r="J482" s="560">
        <v>11.90243424692612</v>
      </c>
      <c r="K482" s="568">
        <v>0</v>
      </c>
      <c r="L482" s="560">
        <v>0</v>
      </c>
      <c r="M482" s="1057">
        <f t="shared" si="58"/>
        <v>66.12386914334752</v>
      </c>
      <c r="N482" s="1058">
        <f t="shared" si="58"/>
        <v>11.90243424692612</v>
      </c>
      <c r="O482" s="569">
        <v>0</v>
      </c>
      <c r="P482" s="560">
        <v>0</v>
      </c>
      <c r="Q482" s="571">
        <v>187.0220312908649</v>
      </c>
      <c r="R482" s="1075">
        <f t="shared" si="59"/>
        <v>187.0220312908649</v>
      </c>
      <c r="S482" s="1075">
        <f t="shared" si="57"/>
        <v>0</v>
      </c>
    </row>
    <row r="483" spans="1:19" ht="16.5" hidden="1" thickBot="1" x14ac:dyDescent="0.3">
      <c r="A483" s="652" t="s">
        <v>749</v>
      </c>
      <c r="B483" s="652"/>
      <c r="C483" s="807" t="s">
        <v>1147</v>
      </c>
      <c r="D483" s="549">
        <v>4.9608404483911857</v>
      </c>
      <c r="E483" s="550">
        <v>88.165158857796683</v>
      </c>
      <c r="F483" s="551">
        <v>0</v>
      </c>
      <c r="G483" s="560">
        <v>15.869728594403403</v>
      </c>
      <c r="H483" s="566">
        <v>108.99572790059126</v>
      </c>
      <c r="I483" s="567">
        <v>66.12386914334752</v>
      </c>
      <c r="J483" s="560">
        <v>11.90243424692612</v>
      </c>
      <c r="K483" s="568">
        <v>0</v>
      </c>
      <c r="L483" s="560">
        <v>0</v>
      </c>
      <c r="M483" s="1057">
        <f t="shared" si="58"/>
        <v>66.12386914334752</v>
      </c>
      <c r="N483" s="1058">
        <f t="shared" si="58"/>
        <v>11.90243424692612</v>
      </c>
      <c r="O483" s="569">
        <v>0</v>
      </c>
      <c r="P483" s="560">
        <v>0</v>
      </c>
      <c r="Q483" s="571">
        <v>187.0220312908649</v>
      </c>
      <c r="R483" s="1075">
        <f t="shared" si="59"/>
        <v>187.0220312908649</v>
      </c>
      <c r="S483" s="1075">
        <f t="shared" si="57"/>
        <v>0</v>
      </c>
    </row>
    <row r="484" spans="1:19" ht="15.75" hidden="1" x14ac:dyDescent="0.25">
      <c r="A484" s="663" t="s">
        <v>165</v>
      </c>
      <c r="B484" s="1046"/>
      <c r="C484" s="802" t="s">
        <v>1149</v>
      </c>
      <c r="D484" s="549">
        <v>35.247053735538977</v>
      </c>
      <c r="E484" s="550">
        <v>205.33300897394312</v>
      </c>
      <c r="F484" s="551">
        <v>0</v>
      </c>
      <c r="G484" s="560">
        <v>0</v>
      </c>
      <c r="H484" s="566">
        <v>240.58006270948209</v>
      </c>
      <c r="I484" s="567">
        <v>0</v>
      </c>
      <c r="J484" s="560">
        <v>0</v>
      </c>
      <c r="K484" s="568">
        <v>230.57898151151477</v>
      </c>
      <c r="L484" s="560">
        <v>0</v>
      </c>
      <c r="M484" s="1057">
        <f t="shared" si="58"/>
        <v>230.57898151151477</v>
      </c>
      <c r="N484" s="1058">
        <f t="shared" si="58"/>
        <v>0</v>
      </c>
      <c r="O484" s="569">
        <v>0</v>
      </c>
      <c r="P484" s="560">
        <v>0</v>
      </c>
      <c r="Q484" s="571">
        <v>471.15904422099686</v>
      </c>
      <c r="R484" s="1075">
        <f t="shared" si="59"/>
        <v>471.15904422099686</v>
      </c>
      <c r="S484" s="1075">
        <f t="shared" si="57"/>
        <v>0</v>
      </c>
    </row>
    <row r="485" spans="1:19" ht="15.75" hidden="1" x14ac:dyDescent="0.25">
      <c r="A485" s="547" t="s">
        <v>166</v>
      </c>
      <c r="B485" s="1046" t="s">
        <v>429</v>
      </c>
      <c r="C485" s="802" t="s">
        <v>1149</v>
      </c>
      <c r="D485" s="549">
        <v>46.559087468915564</v>
      </c>
      <c r="E485" s="550">
        <v>173.11330954697806</v>
      </c>
      <c r="F485" s="551">
        <v>0</v>
      </c>
      <c r="G485" s="560">
        <v>0</v>
      </c>
      <c r="H485" s="566">
        <v>219.67239701589364</v>
      </c>
      <c r="I485" s="567">
        <v>0</v>
      </c>
      <c r="J485" s="560">
        <v>0</v>
      </c>
      <c r="K485" s="568">
        <v>332.88733917180235</v>
      </c>
      <c r="L485" s="560">
        <v>0</v>
      </c>
      <c r="M485" s="1057">
        <f t="shared" si="58"/>
        <v>332.88733917180235</v>
      </c>
      <c r="N485" s="1058">
        <f t="shared" si="58"/>
        <v>0</v>
      </c>
      <c r="O485" s="569">
        <v>0</v>
      </c>
      <c r="P485" s="560">
        <v>0</v>
      </c>
      <c r="Q485" s="571">
        <v>552.55973618769599</v>
      </c>
      <c r="R485" s="1075">
        <f t="shared" si="59"/>
        <v>552.55973618769599</v>
      </c>
      <c r="S485" s="1075">
        <f t="shared" si="57"/>
        <v>0</v>
      </c>
    </row>
    <row r="486" spans="1:19" ht="15.75" hidden="1" x14ac:dyDescent="0.25">
      <c r="A486" s="547" t="s">
        <v>167</v>
      </c>
      <c r="B486" s="1046" t="s">
        <v>429</v>
      </c>
      <c r="C486" s="802" t="s">
        <v>1149</v>
      </c>
      <c r="D486" s="549">
        <v>42.301870472483515</v>
      </c>
      <c r="E486" s="550">
        <v>173.49172883554979</v>
      </c>
      <c r="F486" s="551">
        <v>0</v>
      </c>
      <c r="G486" s="560">
        <v>0</v>
      </c>
      <c r="H486" s="566">
        <v>215.79359930803332</v>
      </c>
      <c r="I486" s="567">
        <v>0</v>
      </c>
      <c r="J486" s="560">
        <v>0</v>
      </c>
      <c r="K486" s="568">
        <v>169.55887122932208</v>
      </c>
      <c r="L486" s="560">
        <v>0</v>
      </c>
      <c r="M486" s="1057">
        <f t="shared" si="58"/>
        <v>169.55887122932208</v>
      </c>
      <c r="N486" s="1058">
        <f t="shared" si="58"/>
        <v>0</v>
      </c>
      <c r="O486" s="569">
        <v>0</v>
      </c>
      <c r="P486" s="560">
        <v>0</v>
      </c>
      <c r="Q486" s="571">
        <v>385.35247053735543</v>
      </c>
      <c r="R486" s="1075">
        <f t="shared" si="59"/>
        <v>385.35247053735543</v>
      </c>
      <c r="S486" s="1075">
        <f t="shared" si="57"/>
        <v>0</v>
      </c>
    </row>
    <row r="487" spans="1:19" ht="15.75" hidden="1" x14ac:dyDescent="0.25">
      <c r="A487" s="547" t="s">
        <v>168</v>
      </c>
      <c r="B487" s="1046"/>
      <c r="C487" s="802" t="s">
        <v>1149</v>
      </c>
      <c r="D487" s="549">
        <v>43.031679100443291</v>
      </c>
      <c r="E487" s="550">
        <v>238.13385230835763</v>
      </c>
      <c r="F487" s="551">
        <v>0</v>
      </c>
      <c r="G487" s="560">
        <v>0</v>
      </c>
      <c r="H487" s="566">
        <v>281.16553140880092</v>
      </c>
      <c r="I487" s="567">
        <v>0</v>
      </c>
      <c r="J487" s="560">
        <v>0</v>
      </c>
      <c r="K487" s="568">
        <v>291.50448697156446</v>
      </c>
      <c r="L487" s="560">
        <v>0</v>
      </c>
      <c r="M487" s="1057">
        <f t="shared" si="58"/>
        <v>291.50448697156446</v>
      </c>
      <c r="N487" s="1058">
        <f t="shared" si="58"/>
        <v>0</v>
      </c>
      <c r="O487" s="569">
        <v>0</v>
      </c>
      <c r="P487" s="560">
        <v>0</v>
      </c>
      <c r="Q487" s="571">
        <v>572.67001838036538</v>
      </c>
      <c r="R487" s="1075">
        <f t="shared" si="59"/>
        <v>572.67001838036538</v>
      </c>
      <c r="S487" s="1075">
        <f t="shared" si="57"/>
        <v>0</v>
      </c>
    </row>
    <row r="488" spans="1:19" ht="16.5" hidden="1" thickBot="1" x14ac:dyDescent="0.3">
      <c r="A488" s="547" t="s">
        <v>169</v>
      </c>
      <c r="B488" s="1046"/>
      <c r="C488" s="802" t="s">
        <v>1149</v>
      </c>
      <c r="D488" s="549">
        <v>32.530543842577572</v>
      </c>
      <c r="E488" s="550">
        <v>182.18185749810792</v>
      </c>
      <c r="F488" s="551">
        <v>0</v>
      </c>
      <c r="G488" s="560">
        <v>0</v>
      </c>
      <c r="H488" s="566">
        <v>214.71240134068549</v>
      </c>
      <c r="I488" s="567">
        <v>0</v>
      </c>
      <c r="J488" s="560">
        <v>0</v>
      </c>
      <c r="K488" s="568">
        <v>301.15417883014379</v>
      </c>
      <c r="L488" s="560">
        <v>0</v>
      </c>
      <c r="M488" s="1057">
        <f t="shared" si="58"/>
        <v>301.15417883014379</v>
      </c>
      <c r="N488" s="1058">
        <f t="shared" si="58"/>
        <v>0</v>
      </c>
      <c r="O488" s="569">
        <v>0</v>
      </c>
      <c r="P488" s="560">
        <v>0</v>
      </c>
      <c r="Q488" s="571">
        <v>515.86658017082925</v>
      </c>
      <c r="R488" s="1075">
        <f t="shared" si="59"/>
        <v>515.86658017082925</v>
      </c>
      <c r="S488" s="1075">
        <f t="shared" si="57"/>
        <v>0</v>
      </c>
    </row>
    <row r="489" spans="1:19" ht="15.75" hidden="1" x14ac:dyDescent="0.25">
      <c r="A489" s="638" t="s">
        <v>170</v>
      </c>
      <c r="B489" s="693"/>
      <c r="C489" s="806" t="s">
        <v>1151</v>
      </c>
      <c r="D489" s="549" t="s">
        <v>5</v>
      </c>
      <c r="E489" s="550">
        <v>178.85</v>
      </c>
      <c r="F489" s="551" t="s">
        <v>5</v>
      </c>
      <c r="G489" s="560" t="s">
        <v>5</v>
      </c>
      <c r="H489" s="566">
        <v>178.85</v>
      </c>
      <c r="I489" s="567" t="s">
        <v>5</v>
      </c>
      <c r="J489" s="560" t="s">
        <v>5</v>
      </c>
      <c r="K489" s="568">
        <v>284.37</v>
      </c>
      <c r="L489" s="560" t="s">
        <v>5</v>
      </c>
      <c r="M489" s="1057">
        <f t="shared" ref="M489:M495" si="60">K489</f>
        <v>284.37</v>
      </c>
      <c r="N489" s="1077" t="s">
        <v>5</v>
      </c>
      <c r="O489" s="569" t="s">
        <v>5</v>
      </c>
      <c r="P489" s="560" t="s">
        <v>5</v>
      </c>
      <c r="Q489" s="571">
        <v>463.22</v>
      </c>
      <c r="R489" s="1075">
        <f>H489+K489</f>
        <v>463.22</v>
      </c>
      <c r="S489" s="1075">
        <f t="shared" si="57"/>
        <v>0</v>
      </c>
    </row>
    <row r="490" spans="1:19" ht="15.75" hidden="1" x14ac:dyDescent="0.25">
      <c r="A490" s="639" t="s">
        <v>171</v>
      </c>
      <c r="B490" s="639" t="s">
        <v>429</v>
      </c>
      <c r="C490" s="724" t="s">
        <v>1151</v>
      </c>
      <c r="D490" s="549">
        <v>121.92</v>
      </c>
      <c r="E490" s="550">
        <v>119.72</v>
      </c>
      <c r="F490" s="551">
        <v>23.66</v>
      </c>
      <c r="G490" s="560" t="s">
        <v>5</v>
      </c>
      <c r="H490" s="566">
        <v>265.3</v>
      </c>
      <c r="I490" s="567" t="s">
        <v>5</v>
      </c>
      <c r="J490" s="560" t="s">
        <v>5</v>
      </c>
      <c r="K490" s="568">
        <v>294.17</v>
      </c>
      <c r="L490" s="560" t="s">
        <v>5</v>
      </c>
      <c r="M490" s="1057">
        <f t="shared" si="60"/>
        <v>294.17</v>
      </c>
      <c r="N490" s="1077" t="s">
        <v>5</v>
      </c>
      <c r="O490" s="569">
        <v>334.2</v>
      </c>
      <c r="P490" s="560" t="s">
        <v>5</v>
      </c>
      <c r="Q490" s="571">
        <v>893.67000000000007</v>
      </c>
      <c r="R490" s="1075">
        <f>H490+K490+O490</f>
        <v>893.67000000000007</v>
      </c>
      <c r="S490" s="1075">
        <f t="shared" si="57"/>
        <v>0</v>
      </c>
    </row>
    <row r="491" spans="1:19" ht="15.75" hidden="1" x14ac:dyDescent="0.25">
      <c r="A491" s="639" t="s">
        <v>172</v>
      </c>
      <c r="B491" s="639"/>
      <c r="C491" s="724" t="s">
        <v>1151</v>
      </c>
      <c r="D491" s="549" t="s">
        <v>5</v>
      </c>
      <c r="E491" s="550">
        <v>204.17</v>
      </c>
      <c r="F491" s="551" t="s">
        <v>5</v>
      </c>
      <c r="G491" s="560" t="s">
        <v>5</v>
      </c>
      <c r="H491" s="566">
        <v>204.17</v>
      </c>
      <c r="I491" s="567" t="s">
        <v>5</v>
      </c>
      <c r="J491" s="560" t="s">
        <v>5</v>
      </c>
      <c r="K491" s="568">
        <v>166.12</v>
      </c>
      <c r="L491" s="560" t="s">
        <v>5</v>
      </c>
      <c r="M491" s="1057">
        <f t="shared" si="60"/>
        <v>166.12</v>
      </c>
      <c r="N491" s="1077" t="s">
        <v>5</v>
      </c>
      <c r="O491" s="569" t="s">
        <v>5</v>
      </c>
      <c r="P491" s="560" t="s">
        <v>5</v>
      </c>
      <c r="Q491" s="571">
        <v>370.28999999999996</v>
      </c>
      <c r="R491" s="1075">
        <f>H491+K491</f>
        <v>370.28999999999996</v>
      </c>
      <c r="S491" s="1075">
        <f t="shared" ref="S491:S495" si="61">Q491-R491</f>
        <v>0</v>
      </c>
    </row>
    <row r="492" spans="1:19" ht="15.75" hidden="1" x14ac:dyDescent="0.25">
      <c r="A492" s="639" t="s">
        <v>173</v>
      </c>
      <c r="B492" s="639"/>
      <c r="C492" s="724" t="s">
        <v>1151</v>
      </c>
      <c r="D492" s="549" t="s">
        <v>5</v>
      </c>
      <c r="E492" s="550">
        <v>102.55</v>
      </c>
      <c r="F492" s="551" t="s">
        <v>5</v>
      </c>
      <c r="G492" s="560" t="s">
        <v>5</v>
      </c>
      <c r="H492" s="566">
        <v>102.55</v>
      </c>
      <c r="I492" s="567" t="s">
        <v>5</v>
      </c>
      <c r="J492" s="560" t="s">
        <v>5</v>
      </c>
      <c r="K492" s="568">
        <v>102.55</v>
      </c>
      <c r="L492" s="560" t="s">
        <v>5</v>
      </c>
      <c r="M492" s="1057">
        <f t="shared" si="60"/>
        <v>102.55</v>
      </c>
      <c r="N492" s="1077" t="s">
        <v>5</v>
      </c>
      <c r="O492" s="569" t="s">
        <v>5</v>
      </c>
      <c r="P492" s="560" t="s">
        <v>5</v>
      </c>
      <c r="Q492" s="571">
        <v>205.1</v>
      </c>
      <c r="R492" s="1075">
        <f>H492+K492</f>
        <v>205.1</v>
      </c>
      <c r="S492" s="1075">
        <f t="shared" si="61"/>
        <v>0</v>
      </c>
    </row>
    <row r="493" spans="1:19" ht="15.75" hidden="1" x14ac:dyDescent="0.25">
      <c r="A493" s="639" t="s">
        <v>174</v>
      </c>
      <c r="B493" s="639"/>
      <c r="C493" s="724" t="s">
        <v>1151</v>
      </c>
      <c r="D493" s="549">
        <v>142.32</v>
      </c>
      <c r="E493" s="550">
        <v>67.36</v>
      </c>
      <c r="F493" s="551" t="s">
        <v>5</v>
      </c>
      <c r="G493" s="560" t="s">
        <v>5</v>
      </c>
      <c r="H493" s="566">
        <v>209.68</v>
      </c>
      <c r="I493" s="567" t="s">
        <v>5</v>
      </c>
      <c r="J493" s="560" t="s">
        <v>5</v>
      </c>
      <c r="K493" s="568">
        <v>252.36</v>
      </c>
      <c r="L493" s="560" t="s">
        <v>5</v>
      </c>
      <c r="M493" s="1057">
        <f t="shared" si="60"/>
        <v>252.36</v>
      </c>
      <c r="N493" s="1077" t="s">
        <v>5</v>
      </c>
      <c r="O493" s="569">
        <v>16.670000000000002</v>
      </c>
      <c r="P493" s="560" t="s">
        <v>5</v>
      </c>
      <c r="Q493" s="571">
        <v>478.71000000000004</v>
      </c>
      <c r="R493" s="1075">
        <f>H493+K493+O493</f>
        <v>478.71000000000004</v>
      </c>
      <c r="S493" s="1075">
        <f t="shared" si="61"/>
        <v>0</v>
      </c>
    </row>
    <row r="494" spans="1:19" ht="15.75" hidden="1" x14ac:dyDescent="0.25">
      <c r="A494" s="639" t="s">
        <v>175</v>
      </c>
      <c r="B494" s="639"/>
      <c r="C494" s="724" t="s">
        <v>1151</v>
      </c>
      <c r="D494" s="549">
        <v>38.4</v>
      </c>
      <c r="E494" s="550">
        <v>13.07</v>
      </c>
      <c r="F494" s="551" t="s">
        <v>5</v>
      </c>
      <c r="G494" s="560" t="s">
        <v>5</v>
      </c>
      <c r="H494" s="566">
        <v>51.47</v>
      </c>
      <c r="I494" s="567" t="s">
        <v>5</v>
      </c>
      <c r="J494" s="560" t="s">
        <v>5</v>
      </c>
      <c r="K494" s="568">
        <v>87.73</v>
      </c>
      <c r="L494" s="560" t="s">
        <v>5</v>
      </c>
      <c r="M494" s="1057">
        <f t="shared" si="60"/>
        <v>87.73</v>
      </c>
      <c r="N494" s="1077" t="s">
        <v>5</v>
      </c>
      <c r="O494" s="569" t="s">
        <v>5</v>
      </c>
      <c r="P494" s="560" t="s">
        <v>5</v>
      </c>
      <c r="Q494" s="571">
        <v>139.19999999999999</v>
      </c>
      <c r="R494" s="1075">
        <f>H494+K494</f>
        <v>139.19999999999999</v>
      </c>
      <c r="S494" s="1075">
        <f t="shared" si="61"/>
        <v>0</v>
      </c>
    </row>
    <row r="495" spans="1:19" ht="16.5" hidden="1" thickBot="1" x14ac:dyDescent="0.3">
      <c r="A495" s="714" t="s">
        <v>212</v>
      </c>
      <c r="B495" s="1053"/>
      <c r="C495" s="807" t="s">
        <v>1151</v>
      </c>
      <c r="D495" s="716">
        <v>48</v>
      </c>
      <c r="E495" s="717">
        <v>124.66</v>
      </c>
      <c r="F495" s="718" t="s">
        <v>5</v>
      </c>
      <c r="G495" s="560" t="s">
        <v>5</v>
      </c>
      <c r="H495" s="566">
        <v>172.66</v>
      </c>
      <c r="I495" s="567" t="s">
        <v>5</v>
      </c>
      <c r="J495" s="560" t="s">
        <v>5</v>
      </c>
      <c r="K495" s="720">
        <v>182.97</v>
      </c>
      <c r="L495" s="560" t="s">
        <v>5</v>
      </c>
      <c r="M495" s="1057">
        <f t="shared" si="60"/>
        <v>182.97</v>
      </c>
      <c r="N495" s="1077" t="s">
        <v>5</v>
      </c>
      <c r="O495" s="721">
        <v>12.36</v>
      </c>
      <c r="P495" s="719" t="s">
        <v>5</v>
      </c>
      <c r="Q495" s="571">
        <v>367.99</v>
      </c>
      <c r="R495" s="1075">
        <f>H495+K495+O495</f>
        <v>367.99</v>
      </c>
      <c r="S495" s="1075">
        <f t="shared" si="61"/>
        <v>0</v>
      </c>
    </row>
    <row r="498" spans="1:14" ht="63.75" thickBot="1" x14ac:dyDescent="0.3">
      <c r="A498" s="250" t="s">
        <v>58</v>
      </c>
      <c r="B498" s="799" t="s">
        <v>1190</v>
      </c>
      <c r="C498" s="799" t="s">
        <v>1022</v>
      </c>
      <c r="D498" s="1061" t="s">
        <v>1294</v>
      </c>
      <c r="E498" s="1062" t="s">
        <v>1295</v>
      </c>
      <c r="F498" s="1063" t="s">
        <v>1194</v>
      </c>
      <c r="G498" s="1064" t="s">
        <v>1195</v>
      </c>
      <c r="H498" s="1065" t="s">
        <v>1196</v>
      </c>
      <c r="I498" s="1081" t="s">
        <v>1205</v>
      </c>
      <c r="J498" s="1082" t="s">
        <v>1208</v>
      </c>
      <c r="K498" s="1070" t="s">
        <v>1206</v>
      </c>
      <c r="L498" s="1064" t="s">
        <v>1207</v>
      </c>
      <c r="M498" s="1072" t="s">
        <v>1214</v>
      </c>
      <c r="N498" s="1102" t="s">
        <v>1203</v>
      </c>
    </row>
    <row r="499" spans="1:14" ht="15.75" x14ac:dyDescent="0.25">
      <c r="A499" s="1098" t="s">
        <v>526</v>
      </c>
      <c r="B499" s="1099" t="s">
        <v>429</v>
      </c>
      <c r="C499" s="1100" t="s">
        <v>1026</v>
      </c>
      <c r="D499" s="625">
        <v>26.392844595536175</v>
      </c>
      <c r="E499" s="593">
        <v>0</v>
      </c>
      <c r="F499" s="594">
        <v>0</v>
      </c>
      <c r="G499" s="595">
        <v>5.2785689191072356</v>
      </c>
      <c r="H499" s="566">
        <v>31.671413514643412</v>
      </c>
      <c r="I499" s="1057">
        <v>4.6575608109769719</v>
      </c>
      <c r="J499" s="1058">
        <v>0.93151216219539446</v>
      </c>
      <c r="K499" s="597">
        <v>0</v>
      </c>
      <c r="L499" s="595">
        <v>0</v>
      </c>
      <c r="M499" s="571"/>
      <c r="N499" s="223">
        <f>H499+I499+J499+K499+L499</f>
        <v>37.260486487815783</v>
      </c>
    </row>
    <row r="500" spans="1:14" ht="15.75" x14ac:dyDescent="0.25">
      <c r="A500" s="781" t="s">
        <v>217</v>
      </c>
      <c r="B500" s="1091" t="s">
        <v>429</v>
      </c>
      <c r="C500" s="1083" t="s">
        <v>1024</v>
      </c>
      <c r="D500" s="625" t="s">
        <v>5</v>
      </c>
      <c r="E500" s="593" t="s">
        <v>5</v>
      </c>
      <c r="F500" s="594" t="s">
        <v>5</v>
      </c>
      <c r="G500" s="595" t="s">
        <v>5</v>
      </c>
      <c r="H500" s="566" t="s">
        <v>5</v>
      </c>
      <c r="I500" s="1076" t="s">
        <v>5</v>
      </c>
      <c r="J500" s="1077" t="s">
        <v>5</v>
      </c>
      <c r="K500" s="597" t="s">
        <v>5</v>
      </c>
      <c r="L500" s="595" t="s">
        <v>5</v>
      </c>
      <c r="M500" s="571">
        <v>39.878410497900838</v>
      </c>
      <c r="N500" s="223">
        <f>M500</f>
        <v>39.878410497900838</v>
      </c>
    </row>
    <row r="501" spans="1:14" ht="15.75" x14ac:dyDescent="0.25">
      <c r="A501" s="1087" t="s">
        <v>143</v>
      </c>
      <c r="B501" s="762" t="s">
        <v>429</v>
      </c>
      <c r="C501" s="805" t="s">
        <v>1131</v>
      </c>
      <c r="D501" s="625">
        <v>0</v>
      </c>
      <c r="E501" s="550">
        <v>53.618909463360751</v>
      </c>
      <c r="F501" s="551">
        <v>0</v>
      </c>
      <c r="G501" s="560">
        <v>0</v>
      </c>
      <c r="H501" s="566">
        <v>53.618909463360751</v>
      </c>
      <c r="I501" s="1057">
        <v>0</v>
      </c>
      <c r="J501" s="1058">
        <v>0</v>
      </c>
      <c r="K501" s="569">
        <v>0</v>
      </c>
      <c r="L501" s="560">
        <v>0</v>
      </c>
      <c r="M501" s="571"/>
      <c r="N501" s="223">
        <f t="shared" ref="N501:N506" si="62">H501+I501+J501+K501+L501</f>
        <v>53.618909463360751</v>
      </c>
    </row>
    <row r="502" spans="1:14" ht="15.75" x14ac:dyDescent="0.25">
      <c r="A502" s="1090" t="s">
        <v>84</v>
      </c>
      <c r="B502" s="1089" t="s">
        <v>429</v>
      </c>
      <c r="C502" s="805" t="s">
        <v>1046</v>
      </c>
      <c r="D502" s="625">
        <v>0</v>
      </c>
      <c r="E502" s="593">
        <v>33.546712337709714</v>
      </c>
      <c r="F502" s="594">
        <v>0</v>
      </c>
      <c r="G502" s="595">
        <v>0</v>
      </c>
      <c r="H502" s="566">
        <v>33.546712337709714</v>
      </c>
      <c r="I502" s="1057">
        <v>37.376526261489765</v>
      </c>
      <c r="J502" s="1058">
        <v>0</v>
      </c>
      <c r="K502" s="597">
        <v>0</v>
      </c>
      <c r="L502" s="595">
        <v>0</v>
      </c>
      <c r="M502" s="571"/>
      <c r="N502" s="223">
        <f t="shared" si="62"/>
        <v>70.923238599199479</v>
      </c>
    </row>
    <row r="503" spans="1:14" ht="15.75" x14ac:dyDescent="0.25">
      <c r="A503" s="1090" t="s">
        <v>82</v>
      </c>
      <c r="B503" s="1089" t="s">
        <v>429</v>
      </c>
      <c r="C503" s="805" t="s">
        <v>1048</v>
      </c>
      <c r="D503" s="625">
        <v>27.510121600805885</v>
      </c>
      <c r="E503" s="593">
        <v>23.869076094816872</v>
      </c>
      <c r="F503" s="594">
        <v>1.6890405541671261</v>
      </c>
      <c r="G503" s="595">
        <v>0</v>
      </c>
      <c r="H503" s="566">
        <v>53.068238249789886</v>
      </c>
      <c r="I503" s="1057">
        <v>16.89040554167126</v>
      </c>
      <c r="J503" s="1058">
        <v>0</v>
      </c>
      <c r="K503" s="597">
        <v>0</v>
      </c>
      <c r="L503" s="595">
        <v>2.5689598847811381</v>
      </c>
      <c r="M503" s="571"/>
      <c r="N503" s="223">
        <f t="shared" si="62"/>
        <v>72.527603676242279</v>
      </c>
    </row>
    <row r="504" spans="1:14" ht="15.75" x14ac:dyDescent="0.25">
      <c r="A504" s="1090" t="s">
        <v>78</v>
      </c>
      <c r="B504" s="1089" t="s">
        <v>429</v>
      </c>
      <c r="C504" s="805" t="s">
        <v>1044</v>
      </c>
      <c r="D504" s="625">
        <v>31.837533221773793</v>
      </c>
      <c r="E504" s="593">
        <v>0</v>
      </c>
      <c r="F504" s="594">
        <v>0</v>
      </c>
      <c r="G504" s="595">
        <v>0</v>
      </c>
      <c r="H504" s="566">
        <v>31.837533221773793</v>
      </c>
      <c r="I504" s="1057">
        <v>20.917413131213703</v>
      </c>
      <c r="J504" s="1058">
        <v>0</v>
      </c>
      <c r="K504" s="597">
        <v>24.147307805886406</v>
      </c>
      <c r="L504" s="595">
        <v>0</v>
      </c>
      <c r="M504" s="571"/>
      <c r="N504" s="223">
        <f t="shared" si="62"/>
        <v>76.902254158873902</v>
      </c>
    </row>
    <row r="505" spans="1:14" ht="15.75" x14ac:dyDescent="0.25">
      <c r="A505" s="502" t="s">
        <v>887</v>
      </c>
      <c r="B505" s="263" t="s">
        <v>429</v>
      </c>
      <c r="C505" s="804" t="s">
        <v>1120</v>
      </c>
      <c r="D505" s="625">
        <v>0</v>
      </c>
      <c r="E505" s="550">
        <v>53.357096971229694</v>
      </c>
      <c r="F505" s="551">
        <v>0</v>
      </c>
      <c r="G505" s="560">
        <v>0</v>
      </c>
      <c r="H505" s="566">
        <v>53.357096971229694</v>
      </c>
      <c r="I505" s="1057">
        <v>38.256031790692987</v>
      </c>
      <c r="J505" s="1058">
        <v>0</v>
      </c>
      <c r="K505" s="569">
        <v>0</v>
      </c>
      <c r="L505" s="560">
        <v>0</v>
      </c>
      <c r="M505" s="571"/>
      <c r="N505" s="223">
        <f t="shared" si="62"/>
        <v>91.613128761922681</v>
      </c>
    </row>
    <row r="506" spans="1:14" ht="15.75" x14ac:dyDescent="0.25">
      <c r="A506" s="781" t="s">
        <v>889</v>
      </c>
      <c r="B506" s="1091" t="s">
        <v>429</v>
      </c>
      <c r="C506" s="1083" t="s">
        <v>1092</v>
      </c>
      <c r="D506" s="686">
        <v>105.74263868553766</v>
      </c>
      <c r="E506" s="550">
        <v>0</v>
      </c>
      <c r="F506" s="551">
        <v>0</v>
      </c>
      <c r="G506" s="560">
        <v>0</v>
      </c>
      <c r="H506" s="566">
        <v>105.74263868553766</v>
      </c>
      <c r="I506" s="1057">
        <v>0</v>
      </c>
      <c r="J506" s="1058">
        <v>0</v>
      </c>
      <c r="K506" s="569">
        <v>0</v>
      </c>
      <c r="L506" s="560">
        <v>0</v>
      </c>
      <c r="M506" s="571"/>
      <c r="N506" s="223">
        <f t="shared" si="62"/>
        <v>105.74263868553766</v>
      </c>
    </row>
    <row r="507" spans="1:14" ht="15.75" x14ac:dyDescent="0.25">
      <c r="A507" s="502" t="s">
        <v>933</v>
      </c>
      <c r="B507" s="263" t="s">
        <v>429</v>
      </c>
      <c r="C507" s="804" t="s">
        <v>1034</v>
      </c>
      <c r="D507" s="625" t="s">
        <v>5</v>
      </c>
      <c r="E507" s="593" t="s">
        <v>5</v>
      </c>
      <c r="F507" s="594" t="s">
        <v>5</v>
      </c>
      <c r="G507" s="595" t="s">
        <v>5</v>
      </c>
      <c r="H507" s="566" t="s">
        <v>5</v>
      </c>
      <c r="I507" s="1076" t="s">
        <v>5</v>
      </c>
      <c r="J507" s="1077" t="s">
        <v>5</v>
      </c>
      <c r="K507" s="597" t="s">
        <v>5</v>
      </c>
      <c r="L507" s="595" t="s">
        <v>5</v>
      </c>
      <c r="M507" s="571">
        <v>131.95520166197124</v>
      </c>
      <c r="N507" s="223">
        <f>M507</f>
        <v>131.95520166197124</v>
      </c>
    </row>
    <row r="508" spans="1:14" ht="15.75" x14ac:dyDescent="0.25">
      <c r="A508" s="1090" t="s">
        <v>73</v>
      </c>
      <c r="B508" s="1089" t="s">
        <v>429</v>
      </c>
      <c r="C508" s="805" t="s">
        <v>1036</v>
      </c>
      <c r="D508" s="625">
        <v>71.806453988633706</v>
      </c>
      <c r="E508" s="593">
        <v>0</v>
      </c>
      <c r="F508" s="594">
        <v>0</v>
      </c>
      <c r="G508" s="595">
        <v>14.11579864733825</v>
      </c>
      <c r="H508" s="566">
        <v>85.922252635971958</v>
      </c>
      <c r="I508" s="1057">
        <v>38.665013686187379</v>
      </c>
      <c r="J508" s="1058">
        <v>7.9784948876259687</v>
      </c>
      <c r="K508" s="597">
        <v>0</v>
      </c>
      <c r="L508" s="595">
        <v>0</v>
      </c>
      <c r="M508" s="571"/>
      <c r="N508" s="223">
        <f t="shared" ref="N508:N532" si="63">H508+I508+J508+K508+L508</f>
        <v>132.56576120978531</v>
      </c>
    </row>
    <row r="509" spans="1:14" ht="15.75" x14ac:dyDescent="0.25">
      <c r="A509" s="502" t="s">
        <v>860</v>
      </c>
      <c r="B509" s="263" t="s">
        <v>429</v>
      </c>
      <c r="C509" s="804" t="s">
        <v>1118</v>
      </c>
      <c r="D509" s="625">
        <v>0</v>
      </c>
      <c r="E509" s="550">
        <v>85.15915242201892</v>
      </c>
      <c r="F509" s="551">
        <v>0</v>
      </c>
      <c r="G509" s="560">
        <v>7.6643237179817021</v>
      </c>
      <c r="H509" s="566">
        <v>92.823476140000622</v>
      </c>
      <c r="I509" s="1057">
        <v>44.766442662934416</v>
      </c>
      <c r="J509" s="1058">
        <v>8.5056241059575388</v>
      </c>
      <c r="K509" s="569">
        <v>0</v>
      </c>
      <c r="L509" s="560">
        <v>0</v>
      </c>
      <c r="M509" s="571"/>
      <c r="N509" s="223">
        <f t="shared" si="63"/>
        <v>146.09554290889258</v>
      </c>
    </row>
    <row r="510" spans="1:14" ht="15.75" x14ac:dyDescent="0.25">
      <c r="A510" s="1087" t="s">
        <v>746</v>
      </c>
      <c r="B510" s="762" t="s">
        <v>429</v>
      </c>
      <c r="C510" s="805" t="s">
        <v>1147</v>
      </c>
      <c r="D510" s="625">
        <v>4.9608404483911857</v>
      </c>
      <c r="E510" s="550">
        <v>88.165158857796683</v>
      </c>
      <c r="F510" s="551">
        <v>0</v>
      </c>
      <c r="G510" s="560">
        <v>15.869728594403403</v>
      </c>
      <c r="H510" s="566">
        <v>108.99572790059126</v>
      </c>
      <c r="I510" s="1057">
        <v>66.12386914334752</v>
      </c>
      <c r="J510" s="1058">
        <v>11.90243424692612</v>
      </c>
      <c r="K510" s="569">
        <v>0</v>
      </c>
      <c r="L510" s="560">
        <v>0</v>
      </c>
      <c r="M510" s="571"/>
      <c r="N510" s="223">
        <f t="shared" si="63"/>
        <v>187.0220312908649</v>
      </c>
    </row>
    <row r="511" spans="1:14" ht="15.75" x14ac:dyDescent="0.25">
      <c r="A511" s="1087" t="s">
        <v>110</v>
      </c>
      <c r="B511" s="762" t="s">
        <v>429</v>
      </c>
      <c r="C511" s="805" t="s">
        <v>1074</v>
      </c>
      <c r="D511" s="625">
        <v>22.028547076265593</v>
      </c>
      <c r="E511" s="550">
        <v>30.97201714265135</v>
      </c>
      <c r="F511" s="551">
        <v>0.48018631228916819</v>
      </c>
      <c r="G511" s="560">
        <v>5.3420727242169965</v>
      </c>
      <c r="H511" s="566">
        <v>58.82282325542311</v>
      </c>
      <c r="I511" s="1057">
        <v>119.31429394605107</v>
      </c>
      <c r="J511" s="1058">
        <v>11.932629860385829</v>
      </c>
      <c r="K511" s="569">
        <v>0.96037262457833639</v>
      </c>
      <c r="L511" s="560">
        <v>9.6037262457833644E-2</v>
      </c>
      <c r="M511" s="571"/>
      <c r="N511" s="223">
        <f t="shared" si="63"/>
        <v>191.12615694889615</v>
      </c>
    </row>
    <row r="512" spans="1:14" ht="15.75" x14ac:dyDescent="0.25">
      <c r="A512" s="1087" t="s">
        <v>928</v>
      </c>
      <c r="B512" s="762" t="s">
        <v>429</v>
      </c>
      <c r="C512" s="805" t="s">
        <v>1145</v>
      </c>
      <c r="D512" s="625">
        <v>116.47824597464884</v>
      </c>
      <c r="E512" s="550">
        <v>0</v>
      </c>
      <c r="F512" s="551">
        <v>0</v>
      </c>
      <c r="G512" s="560">
        <v>9.3182596779719074</v>
      </c>
      <c r="H512" s="566">
        <v>125.79650565262075</v>
      </c>
      <c r="I512" s="1057">
        <v>58.239122987324421</v>
      </c>
      <c r="J512" s="1058">
        <v>4.6591298389859537</v>
      </c>
      <c r="K512" s="569">
        <v>6.3246106411574035</v>
      </c>
      <c r="L512" s="560">
        <v>0</v>
      </c>
      <c r="M512" s="571"/>
      <c r="N512" s="223">
        <f t="shared" si="63"/>
        <v>195.01936912008853</v>
      </c>
    </row>
    <row r="513" spans="1:14" ht="15.75" x14ac:dyDescent="0.25">
      <c r="A513" s="1087" t="s">
        <v>118</v>
      </c>
      <c r="B513" s="762" t="s">
        <v>429</v>
      </c>
      <c r="C513" s="805" t="s">
        <v>1076</v>
      </c>
      <c r="D513" s="625">
        <v>124.62167469162793</v>
      </c>
      <c r="E513" s="550">
        <v>7.8110451373669925</v>
      </c>
      <c r="F513" s="551">
        <v>0</v>
      </c>
      <c r="G513" s="560">
        <v>10.482777621852748</v>
      </c>
      <c r="H513" s="566">
        <v>142.91549745084768</v>
      </c>
      <c r="I513" s="1057">
        <v>63.553503617667808</v>
      </c>
      <c r="J513" s="1058">
        <v>5.0327984010080513</v>
      </c>
      <c r="K513" s="569">
        <v>0</v>
      </c>
      <c r="L513" s="560">
        <v>0</v>
      </c>
      <c r="M513" s="571"/>
      <c r="N513" s="223">
        <f t="shared" si="63"/>
        <v>211.50179946952355</v>
      </c>
    </row>
    <row r="514" spans="1:14" ht="15.75" x14ac:dyDescent="0.25">
      <c r="A514" s="1087" t="s">
        <v>153</v>
      </c>
      <c r="B514" s="762" t="s">
        <v>429</v>
      </c>
      <c r="C514" s="805" t="s">
        <v>1133</v>
      </c>
      <c r="D514" s="549">
        <v>0</v>
      </c>
      <c r="E514" s="550">
        <v>125.11254366694277</v>
      </c>
      <c r="F514" s="551">
        <v>0</v>
      </c>
      <c r="G514" s="560">
        <v>12.508853435132831</v>
      </c>
      <c r="H514" s="566">
        <v>137.6213971020756</v>
      </c>
      <c r="I514" s="1057">
        <v>80.827361016074235</v>
      </c>
      <c r="J514" s="1058">
        <v>8.0911393620724841</v>
      </c>
      <c r="K514" s="569">
        <v>0</v>
      </c>
      <c r="L514" s="560">
        <v>0</v>
      </c>
      <c r="M514" s="571"/>
      <c r="N514" s="223">
        <f t="shared" si="63"/>
        <v>226.53989748022232</v>
      </c>
    </row>
    <row r="515" spans="1:14" ht="15.75" x14ac:dyDescent="0.25">
      <c r="A515" s="1087" t="s">
        <v>102</v>
      </c>
      <c r="B515" s="762" t="s">
        <v>429</v>
      </c>
      <c r="C515" s="805" t="s">
        <v>1066</v>
      </c>
      <c r="D515" s="549">
        <v>6.5670679389832856</v>
      </c>
      <c r="E515" s="550">
        <v>66.597794863571664</v>
      </c>
      <c r="F515" s="551">
        <v>0</v>
      </c>
      <c r="G515" s="560">
        <v>19.75451295668984</v>
      </c>
      <c r="H515" s="566">
        <v>92.919375759244787</v>
      </c>
      <c r="I515" s="1057">
        <v>115.9782827835854</v>
      </c>
      <c r="J515" s="1058">
        <v>31.31413635156806</v>
      </c>
      <c r="K515" s="569">
        <v>0</v>
      </c>
      <c r="L515" s="560">
        <v>0</v>
      </c>
      <c r="M515" s="571"/>
      <c r="N515" s="223">
        <f t="shared" si="63"/>
        <v>240.21179489439825</v>
      </c>
    </row>
    <row r="516" spans="1:14" ht="15.75" x14ac:dyDescent="0.25">
      <c r="A516" s="1087" t="s">
        <v>133</v>
      </c>
      <c r="B516" s="762" t="s">
        <v>429</v>
      </c>
      <c r="C516" s="805" t="s">
        <v>1116</v>
      </c>
      <c r="D516" s="549">
        <v>68.426549501206466</v>
      </c>
      <c r="E516" s="550">
        <v>62.244150730483426</v>
      </c>
      <c r="F516" s="551">
        <v>2.7130526644337998</v>
      </c>
      <c r="G516" s="560">
        <v>8.0071067574218802</v>
      </c>
      <c r="H516" s="566">
        <v>141.39085965354559</v>
      </c>
      <c r="I516" s="1057">
        <v>85.569200849929771</v>
      </c>
      <c r="J516" s="1058">
        <v>0</v>
      </c>
      <c r="K516" s="569">
        <v>17.442767793904032</v>
      </c>
      <c r="L516" s="560">
        <v>0</v>
      </c>
      <c r="M516" s="571"/>
      <c r="N516" s="223">
        <f t="shared" si="63"/>
        <v>244.40282829737939</v>
      </c>
    </row>
    <row r="517" spans="1:14" ht="15.75" x14ac:dyDescent="0.25">
      <c r="A517" s="1087" t="s">
        <v>891</v>
      </c>
      <c r="B517" s="762" t="s">
        <v>429</v>
      </c>
      <c r="C517" s="805" t="s">
        <v>1114</v>
      </c>
      <c r="D517" s="549">
        <v>0</v>
      </c>
      <c r="E517" s="550">
        <v>120.74169900819319</v>
      </c>
      <c r="F517" s="551">
        <v>0</v>
      </c>
      <c r="G517" s="560">
        <v>9.6593359206554563</v>
      </c>
      <c r="H517" s="566">
        <v>130.40103492884865</v>
      </c>
      <c r="I517" s="1057">
        <v>184.5623113410953</v>
      </c>
      <c r="J517" s="1058">
        <v>14.764984907287625</v>
      </c>
      <c r="K517" s="569">
        <v>0</v>
      </c>
      <c r="L517" s="560">
        <v>0</v>
      </c>
      <c r="M517" s="571"/>
      <c r="N517" s="223">
        <f t="shared" si="63"/>
        <v>329.72833117723155</v>
      </c>
    </row>
    <row r="518" spans="1:14" ht="15.75" x14ac:dyDescent="0.25">
      <c r="A518" s="1087" t="s">
        <v>155</v>
      </c>
      <c r="B518" s="762" t="s">
        <v>429</v>
      </c>
      <c r="C518" s="805" t="s">
        <v>1135</v>
      </c>
      <c r="D518" s="549">
        <v>206.24267029725661</v>
      </c>
      <c r="E518" s="550">
        <v>44.728802530302232</v>
      </c>
      <c r="F518" s="551">
        <v>0</v>
      </c>
      <c r="G518" s="560">
        <v>62.74286820688971</v>
      </c>
      <c r="H518" s="566">
        <v>313.71434103444858</v>
      </c>
      <c r="I518" s="1057">
        <v>39.827015951638977</v>
      </c>
      <c r="J518" s="1058">
        <v>9.9567539879097442</v>
      </c>
      <c r="K518" s="569">
        <v>0</v>
      </c>
      <c r="L518" s="560">
        <v>0</v>
      </c>
      <c r="M518" s="571"/>
      <c r="N518" s="223">
        <f t="shared" si="63"/>
        <v>363.49811097399731</v>
      </c>
    </row>
    <row r="519" spans="1:14" ht="15.75" x14ac:dyDescent="0.25">
      <c r="A519" s="1087" t="s">
        <v>878</v>
      </c>
      <c r="B519" s="762" t="s">
        <v>429</v>
      </c>
      <c r="C519" s="805" t="s">
        <v>1050</v>
      </c>
      <c r="D519" s="549">
        <v>50.419562790362662</v>
      </c>
      <c r="E519" s="593">
        <v>115.24471494940036</v>
      </c>
      <c r="F519" s="594">
        <v>0</v>
      </c>
      <c r="G519" s="595">
        <v>8.2832138869881522</v>
      </c>
      <c r="H519" s="566">
        <v>173.94749162675117</v>
      </c>
      <c r="I519" s="1057">
        <v>197.47662092892043</v>
      </c>
      <c r="J519" s="1058">
        <v>0</v>
      </c>
      <c r="K519" s="597">
        <v>0</v>
      </c>
      <c r="L519" s="595">
        <v>0</v>
      </c>
      <c r="M519" s="571"/>
      <c r="N519" s="223">
        <f t="shared" si="63"/>
        <v>371.42411255567163</v>
      </c>
    </row>
    <row r="520" spans="1:14" ht="15.75" x14ac:dyDescent="0.25">
      <c r="A520" s="1087" t="s">
        <v>167</v>
      </c>
      <c r="B520" s="762" t="s">
        <v>429</v>
      </c>
      <c r="C520" s="805" t="s">
        <v>1149</v>
      </c>
      <c r="D520" s="549">
        <v>42.301870472483515</v>
      </c>
      <c r="E520" s="550">
        <v>173.49172883554979</v>
      </c>
      <c r="F520" s="551">
        <v>0</v>
      </c>
      <c r="G520" s="560">
        <v>0</v>
      </c>
      <c r="H520" s="566">
        <v>215.79359930803332</v>
      </c>
      <c r="I520" s="1057">
        <v>169.55887122932208</v>
      </c>
      <c r="J520" s="1058">
        <v>0</v>
      </c>
      <c r="K520" s="569">
        <v>0</v>
      </c>
      <c r="L520" s="560">
        <v>0</v>
      </c>
      <c r="M520" s="571"/>
      <c r="N520" s="223">
        <f t="shared" si="63"/>
        <v>385.35247053735543</v>
      </c>
    </row>
    <row r="521" spans="1:14" ht="15.75" x14ac:dyDescent="0.25">
      <c r="A521" s="1087" t="s">
        <v>911</v>
      </c>
      <c r="B521" s="762" t="s">
        <v>429</v>
      </c>
      <c r="C521" s="805" t="s">
        <v>1052</v>
      </c>
      <c r="D521" s="549">
        <v>0</v>
      </c>
      <c r="E521" s="593">
        <v>189.74895043496079</v>
      </c>
      <c r="F521" s="594">
        <v>0</v>
      </c>
      <c r="G521" s="595">
        <v>28.483493674408283</v>
      </c>
      <c r="H521" s="566">
        <v>218.23244410936908</v>
      </c>
      <c r="I521" s="1057">
        <v>159.38535816818234</v>
      </c>
      <c r="J521" s="1058">
        <v>23.877252123101332</v>
      </c>
      <c r="K521" s="597">
        <v>0</v>
      </c>
      <c r="L521" s="595">
        <v>0</v>
      </c>
      <c r="M521" s="571"/>
      <c r="N521" s="223">
        <f t="shared" si="63"/>
        <v>401.49505440065275</v>
      </c>
    </row>
    <row r="522" spans="1:14" ht="15.75" x14ac:dyDescent="0.25">
      <c r="A522" s="1087" t="s">
        <v>126</v>
      </c>
      <c r="B522" s="762" t="s">
        <v>429</v>
      </c>
      <c r="C522" s="805" t="s">
        <v>1112</v>
      </c>
      <c r="D522" s="549">
        <v>37.536576834813467</v>
      </c>
      <c r="E522" s="550">
        <v>119.06894664809337</v>
      </c>
      <c r="F522" s="551">
        <v>0</v>
      </c>
      <c r="G522" s="560">
        <v>34.459308766375024</v>
      </c>
      <c r="H522" s="566">
        <v>191.06483224928186</v>
      </c>
      <c r="I522" s="1057">
        <v>178.66435597349528</v>
      </c>
      <c r="J522" s="1058">
        <v>49.3581610977255</v>
      </c>
      <c r="K522" s="569">
        <v>0</v>
      </c>
      <c r="L522" s="560">
        <v>0</v>
      </c>
      <c r="M522" s="571"/>
      <c r="N522" s="223">
        <f t="shared" si="63"/>
        <v>419.0873493205026</v>
      </c>
    </row>
    <row r="523" spans="1:14" ht="15.75" x14ac:dyDescent="0.25">
      <c r="A523" s="1087" t="s">
        <v>101</v>
      </c>
      <c r="B523" s="762" t="s">
        <v>429</v>
      </c>
      <c r="C523" s="805" t="s">
        <v>1058</v>
      </c>
      <c r="D523" s="549">
        <v>24.741599740699389</v>
      </c>
      <c r="E523" s="593">
        <v>122.44750963373788</v>
      </c>
      <c r="F523" s="594">
        <v>57.622357474700181</v>
      </c>
      <c r="G523" s="595">
        <v>11.308387654409911</v>
      </c>
      <c r="H523" s="566">
        <v>216.11985450354734</v>
      </c>
      <c r="I523" s="1057">
        <v>162.06288039759426</v>
      </c>
      <c r="J523" s="1058">
        <v>19.843699355349877</v>
      </c>
      <c r="K523" s="597">
        <v>36.013973421687616</v>
      </c>
      <c r="L523" s="595">
        <v>0</v>
      </c>
      <c r="M523" s="571"/>
      <c r="N523" s="223">
        <f t="shared" si="63"/>
        <v>434.04040767817912</v>
      </c>
    </row>
    <row r="524" spans="1:14" ht="15.75" x14ac:dyDescent="0.25">
      <c r="A524" s="1090" t="s">
        <v>68</v>
      </c>
      <c r="B524" s="1089" t="s">
        <v>429</v>
      </c>
      <c r="C524" s="805" t="s">
        <v>1032</v>
      </c>
      <c r="D524" s="549">
        <v>28.81117873735009</v>
      </c>
      <c r="E524" s="593">
        <v>243.33441375253597</v>
      </c>
      <c r="F524" s="594">
        <v>0</v>
      </c>
      <c r="G524" s="595">
        <v>16.326334617831719</v>
      </c>
      <c r="H524" s="566">
        <v>288.47192710771776</v>
      </c>
      <c r="I524" s="1057">
        <v>187.81287139410091</v>
      </c>
      <c r="J524" s="1058">
        <v>11.272373680988222</v>
      </c>
      <c r="K524" s="597">
        <v>0</v>
      </c>
      <c r="L524" s="595">
        <v>0</v>
      </c>
      <c r="M524" s="571"/>
      <c r="N524" s="223">
        <f t="shared" si="63"/>
        <v>487.55717218280688</v>
      </c>
    </row>
    <row r="525" spans="1:14" ht="15.75" x14ac:dyDescent="0.25">
      <c r="A525" s="1090" t="s">
        <v>940</v>
      </c>
      <c r="B525" s="1089" t="s">
        <v>429</v>
      </c>
      <c r="C525" s="805" t="s">
        <v>1040</v>
      </c>
      <c r="D525" s="549">
        <v>87.214433957013028</v>
      </c>
      <c r="E525" s="593">
        <v>149.74673780802965</v>
      </c>
      <c r="F525" s="594">
        <v>0</v>
      </c>
      <c r="G525" s="595">
        <v>0</v>
      </c>
      <c r="H525" s="566">
        <v>236.96117176504268</v>
      </c>
      <c r="I525" s="1057">
        <v>252.06943439435747</v>
      </c>
      <c r="J525" s="1058">
        <v>0</v>
      </c>
      <c r="K525" s="597">
        <v>0</v>
      </c>
      <c r="L525" s="595">
        <v>0</v>
      </c>
      <c r="M525" s="571"/>
      <c r="N525" s="223">
        <f t="shared" si="63"/>
        <v>489.03060615940012</v>
      </c>
    </row>
    <row r="526" spans="1:14" ht="15.75" x14ac:dyDescent="0.25">
      <c r="A526" s="1087" t="s">
        <v>92</v>
      </c>
      <c r="B526" s="762" t="s">
        <v>429</v>
      </c>
      <c r="C526" s="805" t="s">
        <v>1056</v>
      </c>
      <c r="D526" s="549">
        <v>47.44240765416982</v>
      </c>
      <c r="E526" s="593">
        <v>135.65263322169002</v>
      </c>
      <c r="F526" s="594">
        <v>0</v>
      </c>
      <c r="G526" s="595">
        <v>43.937047574458887</v>
      </c>
      <c r="H526" s="566">
        <v>227.03208845031872</v>
      </c>
      <c r="I526" s="1057">
        <v>166.86474352048594</v>
      </c>
      <c r="J526" s="1058">
        <v>40.047538444916626</v>
      </c>
      <c r="K526" s="597">
        <v>47.44240765416982</v>
      </c>
      <c r="L526" s="595">
        <v>11.380415601253286</v>
      </c>
      <c r="M526" s="571"/>
      <c r="N526" s="223">
        <f t="shared" si="63"/>
        <v>492.76719367114441</v>
      </c>
    </row>
    <row r="527" spans="1:14" ht="15.75" x14ac:dyDescent="0.25">
      <c r="A527" s="1087" t="s">
        <v>939</v>
      </c>
      <c r="B527" s="762" t="s">
        <v>429</v>
      </c>
      <c r="C527" s="805" t="s">
        <v>1062</v>
      </c>
      <c r="D527" s="549">
        <v>19.723652777277582</v>
      </c>
      <c r="E527" s="550">
        <v>203.35890325446272</v>
      </c>
      <c r="F527" s="551">
        <v>0</v>
      </c>
      <c r="G527" s="560">
        <v>15.606055149397966</v>
      </c>
      <c r="H527" s="566">
        <v>238.68861118113827</v>
      </c>
      <c r="I527" s="1057">
        <v>265.30293753976542</v>
      </c>
      <c r="J527" s="1058">
        <v>0</v>
      </c>
      <c r="K527" s="569">
        <v>0</v>
      </c>
      <c r="L527" s="560">
        <v>0</v>
      </c>
      <c r="M527" s="571"/>
      <c r="N527" s="223">
        <f t="shared" si="63"/>
        <v>503.99154872090367</v>
      </c>
    </row>
    <row r="528" spans="1:14" ht="15.75" x14ac:dyDescent="0.25">
      <c r="A528" s="1087" t="s">
        <v>166</v>
      </c>
      <c r="B528" s="762" t="s">
        <v>429</v>
      </c>
      <c r="C528" s="805" t="s">
        <v>1149</v>
      </c>
      <c r="D528" s="549">
        <v>46.559087468915564</v>
      </c>
      <c r="E528" s="550">
        <v>173.11330954697806</v>
      </c>
      <c r="F528" s="551">
        <v>0</v>
      </c>
      <c r="G528" s="560">
        <v>0</v>
      </c>
      <c r="H528" s="566">
        <v>219.67239701589364</v>
      </c>
      <c r="I528" s="1057">
        <v>332.88733917180235</v>
      </c>
      <c r="J528" s="1058">
        <v>0</v>
      </c>
      <c r="K528" s="569">
        <v>0</v>
      </c>
      <c r="L528" s="560">
        <v>0</v>
      </c>
      <c r="M528" s="571"/>
      <c r="N528" s="223">
        <f t="shared" si="63"/>
        <v>552.55973618769599</v>
      </c>
    </row>
    <row r="529" spans="1:14" ht="15.75" x14ac:dyDescent="0.25">
      <c r="A529" s="1087" t="s">
        <v>163</v>
      </c>
      <c r="B529" s="762" t="s">
        <v>429</v>
      </c>
      <c r="C529" s="805" t="s">
        <v>1137</v>
      </c>
      <c r="D529" s="549">
        <v>55.417581740933073</v>
      </c>
      <c r="E529" s="550">
        <v>238.09035118326801</v>
      </c>
      <c r="F529" s="551">
        <v>0</v>
      </c>
      <c r="G529" s="560">
        <v>23.480634633936084</v>
      </c>
      <c r="H529" s="566">
        <v>316.98856755813716</v>
      </c>
      <c r="I529" s="1057">
        <v>262.54592475523901</v>
      </c>
      <c r="J529" s="1058">
        <v>6.56800968781429</v>
      </c>
      <c r="K529" s="569">
        <v>0</v>
      </c>
      <c r="L529" s="560">
        <v>0</v>
      </c>
      <c r="M529" s="571"/>
      <c r="N529" s="223">
        <f t="shared" si="63"/>
        <v>586.10250200119049</v>
      </c>
    </row>
    <row r="530" spans="1:14" ht="15.75" x14ac:dyDescent="0.25">
      <c r="A530" s="502" t="s">
        <v>182</v>
      </c>
      <c r="B530" s="263" t="s">
        <v>429</v>
      </c>
      <c r="C530" s="804" t="s">
        <v>1106</v>
      </c>
      <c r="D530" s="549">
        <v>50.599632657471098</v>
      </c>
      <c r="E530" s="550">
        <v>141.65496212530462</v>
      </c>
      <c r="F530" s="551">
        <v>0</v>
      </c>
      <c r="G530" s="560">
        <v>11.536476152747264</v>
      </c>
      <c r="H530" s="566">
        <v>203.79107093552298</v>
      </c>
      <c r="I530" s="1057">
        <v>343.2731899977191</v>
      </c>
      <c r="J530" s="1058">
        <v>0</v>
      </c>
      <c r="K530" s="569">
        <v>40.335650232290128</v>
      </c>
      <c r="L530" s="560">
        <v>2.4249408770602994</v>
      </c>
      <c r="M530" s="571"/>
      <c r="N530" s="223">
        <f t="shared" si="63"/>
        <v>589.82485204259251</v>
      </c>
    </row>
    <row r="531" spans="1:14" ht="15.75" x14ac:dyDescent="0.25">
      <c r="A531" s="502" t="s">
        <v>544</v>
      </c>
      <c r="B531" s="263" t="s">
        <v>429</v>
      </c>
      <c r="C531" s="804" t="s">
        <v>1028</v>
      </c>
      <c r="D531" s="549">
        <v>79.154479154479162</v>
      </c>
      <c r="E531" s="593">
        <v>203.5802035802036</v>
      </c>
      <c r="F531" s="594">
        <v>0</v>
      </c>
      <c r="G531" s="595">
        <v>0</v>
      </c>
      <c r="H531" s="566">
        <v>282.73468273468279</v>
      </c>
      <c r="I531" s="1057">
        <v>412.62041262041265</v>
      </c>
      <c r="J531" s="1058">
        <v>0</v>
      </c>
      <c r="K531" s="597">
        <v>0</v>
      </c>
      <c r="L531" s="595">
        <v>0</v>
      </c>
      <c r="M531" s="571"/>
      <c r="N531" s="223">
        <f t="shared" si="63"/>
        <v>695.3550953550955</v>
      </c>
    </row>
    <row r="532" spans="1:14" ht="15.75" x14ac:dyDescent="0.25">
      <c r="A532" s="1087" t="s">
        <v>88</v>
      </c>
      <c r="B532" s="762" t="s">
        <v>429</v>
      </c>
      <c r="C532" s="805" t="s">
        <v>1054</v>
      </c>
      <c r="D532" s="549">
        <v>61.898145312343843</v>
      </c>
      <c r="E532" s="593">
        <v>134.33831849819626</v>
      </c>
      <c r="F532" s="594">
        <v>100.74567921930965</v>
      </c>
      <c r="G532" s="595">
        <v>74.245535757462434</v>
      </c>
      <c r="H532" s="566">
        <v>371.22767878731219</v>
      </c>
      <c r="I532" s="1057">
        <v>250.56175790732689</v>
      </c>
      <c r="J532" s="1058">
        <v>62.639633511397967</v>
      </c>
      <c r="K532" s="597">
        <v>11.215814976127303</v>
      </c>
      <c r="L532" s="595">
        <v>2.8047597094655803</v>
      </c>
      <c r="M532" s="571"/>
      <c r="N532" s="223">
        <f t="shared" si="63"/>
        <v>698.44964489162987</v>
      </c>
    </row>
    <row r="533" spans="1:14" ht="16.5" thickBot="1" x14ac:dyDescent="0.3">
      <c r="A533" s="798" t="s">
        <v>171</v>
      </c>
      <c r="B533" s="1101" t="s">
        <v>429</v>
      </c>
      <c r="C533" s="1092" t="s">
        <v>1151</v>
      </c>
      <c r="D533" s="549">
        <v>121.92</v>
      </c>
      <c r="E533" s="550">
        <v>119.72</v>
      </c>
      <c r="F533" s="551">
        <v>23.66</v>
      </c>
      <c r="G533" s="560" t="s">
        <v>5</v>
      </c>
      <c r="H533" s="566">
        <v>265.3</v>
      </c>
      <c r="I533" s="1057">
        <v>294.17</v>
      </c>
      <c r="J533" s="1077" t="s">
        <v>5</v>
      </c>
      <c r="K533" s="569">
        <v>334.2</v>
      </c>
      <c r="L533" s="560" t="s">
        <v>5</v>
      </c>
      <c r="M533" s="571"/>
      <c r="N533" s="223">
        <f>H533+I533+K533</f>
        <v>893.67000000000007</v>
      </c>
    </row>
  </sheetData>
  <sortState ref="A499:N533">
    <sortCondition ref="N499:N533"/>
  </sortState>
  <mergeCells count="586">
    <mergeCell ref="U4:AG4"/>
    <mergeCell ref="AI4:AO4"/>
    <mergeCell ref="A7:A13"/>
    <mergeCell ref="E7:E13"/>
    <mergeCell ref="U7:U13"/>
    <mergeCell ref="V7:V13"/>
    <mergeCell ref="W7:W13"/>
    <mergeCell ref="X7:X13"/>
    <mergeCell ref="Y7:Y13"/>
    <mergeCell ref="Z7:Z13"/>
    <mergeCell ref="AB15:AB23"/>
    <mergeCell ref="AC15:AC23"/>
    <mergeCell ref="AD15:AD23"/>
    <mergeCell ref="AE15:AE23"/>
    <mergeCell ref="AF15:AF23"/>
    <mergeCell ref="AG15:AG23"/>
    <mergeCell ref="AG7:AG13"/>
    <mergeCell ref="A15:A23"/>
    <mergeCell ref="E15:E23"/>
    <mergeCell ref="U15:U23"/>
    <mergeCell ref="V15:V23"/>
    <mergeCell ref="W15:W23"/>
    <mergeCell ref="X15:X23"/>
    <mergeCell ref="Y15:Y23"/>
    <mergeCell ref="Z15:Z23"/>
    <mergeCell ref="AA15:AA23"/>
    <mergeCell ref="AA7:AA13"/>
    <mergeCell ref="AB7:AB13"/>
    <mergeCell ref="AC7:AC13"/>
    <mergeCell ref="AD7:AD13"/>
    <mergeCell ref="AE7:AE13"/>
    <mergeCell ref="AF7:AF13"/>
    <mergeCell ref="AE24:AE28"/>
    <mergeCell ref="AF24:AF28"/>
    <mergeCell ref="AG24:AG28"/>
    <mergeCell ref="A29:A36"/>
    <mergeCell ref="E29:E36"/>
    <mergeCell ref="U29:U36"/>
    <mergeCell ref="V29:V36"/>
    <mergeCell ref="W29:W36"/>
    <mergeCell ref="X29:X36"/>
    <mergeCell ref="Y29:Y36"/>
    <mergeCell ref="Y24:Y28"/>
    <mergeCell ref="Z24:Z28"/>
    <mergeCell ref="AA24:AA28"/>
    <mergeCell ref="AB24:AB28"/>
    <mergeCell ref="AC24:AC28"/>
    <mergeCell ref="AD24:AD28"/>
    <mergeCell ref="A24:A28"/>
    <mergeCell ref="E24:E28"/>
    <mergeCell ref="U24:U28"/>
    <mergeCell ref="V24:V28"/>
    <mergeCell ref="W24:W28"/>
    <mergeCell ref="X24:X28"/>
    <mergeCell ref="AF29:AF36"/>
    <mergeCell ref="AG29:AG36"/>
    <mergeCell ref="AC29:AC36"/>
    <mergeCell ref="AD29:AD36"/>
    <mergeCell ref="AE29:AE36"/>
    <mergeCell ref="AG37:AG39"/>
    <mergeCell ref="A40:A44"/>
    <mergeCell ref="E40:E44"/>
    <mergeCell ref="U40:U44"/>
    <mergeCell ref="V40:V44"/>
    <mergeCell ref="W40:W44"/>
    <mergeCell ref="Y40:Y44"/>
    <mergeCell ref="Z40:Z44"/>
    <mergeCell ref="AB40:AB44"/>
    <mergeCell ref="AD40:AD44"/>
    <mergeCell ref="AA37:AA39"/>
    <mergeCell ref="AB37:AB39"/>
    <mergeCell ref="AC37:AC39"/>
    <mergeCell ref="AD37:AD39"/>
    <mergeCell ref="AE37:AE39"/>
    <mergeCell ref="AF37:AF39"/>
    <mergeCell ref="AF40:AF44"/>
    <mergeCell ref="AG40:AG44"/>
    <mergeCell ref="A37:A39"/>
    <mergeCell ref="E37:E39"/>
    <mergeCell ref="U37:U39"/>
    <mergeCell ref="E45:E49"/>
    <mergeCell ref="U45:U49"/>
    <mergeCell ref="V45:V49"/>
    <mergeCell ref="W45:W49"/>
    <mergeCell ref="X45:X49"/>
    <mergeCell ref="Y45:Y49"/>
    <mergeCell ref="Z45:Z49"/>
    <mergeCell ref="AB51:AB56"/>
    <mergeCell ref="AA29:AA36"/>
    <mergeCell ref="AB29:AB36"/>
    <mergeCell ref="V37:V39"/>
    <mergeCell ref="W37:W39"/>
    <mergeCell ref="X37:X39"/>
    <mergeCell ref="Y37:Y39"/>
    <mergeCell ref="Z37:Z39"/>
    <mergeCell ref="Z29:Z36"/>
    <mergeCell ref="AB63:AB67"/>
    <mergeCell ref="AC63:AC67"/>
    <mergeCell ref="AC51:AC56"/>
    <mergeCell ref="AD51:AD56"/>
    <mergeCell ref="AE51:AE56"/>
    <mergeCell ref="AF51:AF56"/>
    <mergeCell ref="AG51:AG56"/>
    <mergeCell ref="AG45:AG49"/>
    <mergeCell ref="A51:A56"/>
    <mergeCell ref="E51:E56"/>
    <mergeCell ref="U51:U56"/>
    <mergeCell ref="V51:V56"/>
    <mergeCell ref="W51:W56"/>
    <mergeCell ref="X51:X56"/>
    <mergeCell ref="Y51:Y56"/>
    <mergeCell ref="Z51:Z56"/>
    <mergeCell ref="AA51:AA56"/>
    <mergeCell ref="AA45:AA49"/>
    <mergeCell ref="AB45:AB49"/>
    <mergeCell ref="AC45:AC49"/>
    <mergeCell ref="AD45:AD49"/>
    <mergeCell ref="AE45:AE49"/>
    <mergeCell ref="AF45:AF49"/>
    <mergeCell ref="A45:A49"/>
    <mergeCell ref="X63:X67"/>
    <mergeCell ref="Y63:Y67"/>
    <mergeCell ref="Z63:Z67"/>
    <mergeCell ref="Z57:Z62"/>
    <mergeCell ref="AB57:AB62"/>
    <mergeCell ref="AD57:AD62"/>
    <mergeCell ref="AF57:AF62"/>
    <mergeCell ref="AG57:AG62"/>
    <mergeCell ref="A63:A67"/>
    <mergeCell ref="E63:E67"/>
    <mergeCell ref="U63:U67"/>
    <mergeCell ref="V63:V67"/>
    <mergeCell ref="W63:W67"/>
    <mergeCell ref="A57:A62"/>
    <mergeCell ref="E57:E62"/>
    <mergeCell ref="U57:U62"/>
    <mergeCell ref="V57:V62"/>
    <mergeCell ref="W57:W62"/>
    <mergeCell ref="Y57:Y62"/>
    <mergeCell ref="AD63:AD67"/>
    <mergeCell ref="AE63:AE67"/>
    <mergeCell ref="AF63:AF67"/>
    <mergeCell ref="AG63:AG67"/>
    <mergeCell ref="AA63:AA67"/>
    <mergeCell ref="AG69:AG70"/>
    <mergeCell ref="A71:A74"/>
    <mergeCell ref="E71:E74"/>
    <mergeCell ref="U71:U74"/>
    <mergeCell ref="V71:V74"/>
    <mergeCell ref="W71:W74"/>
    <mergeCell ref="X71:X74"/>
    <mergeCell ref="Y71:Y74"/>
    <mergeCell ref="Y69:Y70"/>
    <mergeCell ref="Z69:Z70"/>
    <mergeCell ref="AA69:AA70"/>
    <mergeCell ref="AB69:AB70"/>
    <mergeCell ref="AC69:AC70"/>
    <mergeCell ref="AD69:AD70"/>
    <mergeCell ref="AF71:AF74"/>
    <mergeCell ref="AG71:AG74"/>
    <mergeCell ref="AA71:AA74"/>
    <mergeCell ref="AB71:AB74"/>
    <mergeCell ref="AC71:AC74"/>
    <mergeCell ref="AD71:AD74"/>
    <mergeCell ref="AE71:AE74"/>
    <mergeCell ref="A69:A70"/>
    <mergeCell ref="E69:E70"/>
    <mergeCell ref="U69:U70"/>
    <mergeCell ref="U75:U79"/>
    <mergeCell ref="V75:V79"/>
    <mergeCell ref="W75:W79"/>
    <mergeCell ref="X75:X79"/>
    <mergeCell ref="Y75:Y79"/>
    <mergeCell ref="Z75:Z79"/>
    <mergeCell ref="Z71:Z74"/>
    <mergeCell ref="AE69:AE70"/>
    <mergeCell ref="AF69:AF70"/>
    <mergeCell ref="V69:V70"/>
    <mergeCell ref="W69:W70"/>
    <mergeCell ref="X69:X70"/>
    <mergeCell ref="AB80:AB84"/>
    <mergeCell ref="AC80:AC84"/>
    <mergeCell ref="AD80:AD84"/>
    <mergeCell ref="AE80:AE84"/>
    <mergeCell ref="AF80:AF84"/>
    <mergeCell ref="AG80:AG84"/>
    <mergeCell ref="AG75:AG79"/>
    <mergeCell ref="A80:A84"/>
    <mergeCell ref="E80:E84"/>
    <mergeCell ref="U80:U84"/>
    <mergeCell ref="V80:V84"/>
    <mergeCell ref="W80:W84"/>
    <mergeCell ref="X80:X84"/>
    <mergeCell ref="Y80:Y84"/>
    <mergeCell ref="Z80:Z84"/>
    <mergeCell ref="AA80:AA84"/>
    <mergeCell ref="AA75:AA79"/>
    <mergeCell ref="AB75:AB79"/>
    <mergeCell ref="AC75:AC79"/>
    <mergeCell ref="AD75:AD79"/>
    <mergeCell ref="AE75:AE79"/>
    <mergeCell ref="AF75:AF79"/>
    <mergeCell ref="A75:A79"/>
    <mergeCell ref="E75:E79"/>
    <mergeCell ref="AE85:AE90"/>
    <mergeCell ref="AF85:AF90"/>
    <mergeCell ref="AG85:AG90"/>
    <mergeCell ref="A91:A101"/>
    <mergeCell ref="E91:E101"/>
    <mergeCell ref="U91:U101"/>
    <mergeCell ref="V91:V101"/>
    <mergeCell ref="W91:W101"/>
    <mergeCell ref="X91:X101"/>
    <mergeCell ref="Y91:Y101"/>
    <mergeCell ref="Y85:Y90"/>
    <mergeCell ref="Z85:Z90"/>
    <mergeCell ref="AA85:AA90"/>
    <mergeCell ref="AB85:AB90"/>
    <mergeCell ref="AC85:AC90"/>
    <mergeCell ref="AD85:AD90"/>
    <mergeCell ref="A85:A90"/>
    <mergeCell ref="E85:E90"/>
    <mergeCell ref="U85:U90"/>
    <mergeCell ref="V85:V90"/>
    <mergeCell ref="W85:W90"/>
    <mergeCell ref="X85:X90"/>
    <mergeCell ref="AF91:AF101"/>
    <mergeCell ref="AG91:AG101"/>
    <mergeCell ref="AF104:AF108"/>
    <mergeCell ref="AG104:AG108"/>
    <mergeCell ref="A109:A113"/>
    <mergeCell ref="E109:E113"/>
    <mergeCell ref="U109:U113"/>
    <mergeCell ref="V109:V113"/>
    <mergeCell ref="W109:W113"/>
    <mergeCell ref="X109:X113"/>
    <mergeCell ref="Y109:Y113"/>
    <mergeCell ref="AF109:AF113"/>
    <mergeCell ref="AG109:AG113"/>
    <mergeCell ref="AC109:AC113"/>
    <mergeCell ref="AD109:AD113"/>
    <mergeCell ref="AE109:AE113"/>
    <mergeCell ref="A104:A108"/>
    <mergeCell ref="E104:E108"/>
    <mergeCell ref="U104:U108"/>
    <mergeCell ref="V104:V108"/>
    <mergeCell ref="W104:W108"/>
    <mergeCell ref="Y104:Y108"/>
    <mergeCell ref="Z104:Z108"/>
    <mergeCell ref="AB104:AB108"/>
    <mergeCell ref="Z115:Z119"/>
    <mergeCell ref="AB115:AB119"/>
    <mergeCell ref="Z109:Z113"/>
    <mergeCell ref="AA109:AA113"/>
    <mergeCell ref="AB109:AB113"/>
    <mergeCell ref="AC91:AC101"/>
    <mergeCell ref="AD91:AD101"/>
    <mergeCell ref="AE91:AE101"/>
    <mergeCell ref="AD104:AD108"/>
    <mergeCell ref="Z91:Z101"/>
    <mergeCell ref="AA91:AA101"/>
    <mergeCell ref="AB91:AB101"/>
    <mergeCell ref="Z121:Z125"/>
    <mergeCell ref="AD115:AD119"/>
    <mergeCell ref="AF115:AF119"/>
    <mergeCell ref="AG115:AG119"/>
    <mergeCell ref="A121:A125"/>
    <mergeCell ref="E121:E125"/>
    <mergeCell ref="U121:U125"/>
    <mergeCell ref="V121:V125"/>
    <mergeCell ref="W121:W125"/>
    <mergeCell ref="X121:X125"/>
    <mergeCell ref="Y121:Y125"/>
    <mergeCell ref="AF121:AF125"/>
    <mergeCell ref="AG121:AG125"/>
    <mergeCell ref="AA121:AA125"/>
    <mergeCell ref="AB121:AB125"/>
    <mergeCell ref="AC121:AC125"/>
    <mergeCell ref="AD121:AD125"/>
    <mergeCell ref="AE121:AE125"/>
    <mergeCell ref="A115:A119"/>
    <mergeCell ref="E115:E119"/>
    <mergeCell ref="U115:U119"/>
    <mergeCell ref="V115:V119"/>
    <mergeCell ref="W115:W119"/>
    <mergeCell ref="Y115:Y119"/>
    <mergeCell ref="AG135:AG139"/>
    <mergeCell ref="A126:A133"/>
    <mergeCell ref="E126:E133"/>
    <mergeCell ref="U126:U133"/>
    <mergeCell ref="V126:V133"/>
    <mergeCell ref="W126:W133"/>
    <mergeCell ref="X126:X133"/>
    <mergeCell ref="Y126:Y133"/>
    <mergeCell ref="Z126:Z133"/>
    <mergeCell ref="AG145:AG150"/>
    <mergeCell ref="AA145:AA150"/>
    <mergeCell ref="AB145:AB150"/>
    <mergeCell ref="AC145:AC150"/>
    <mergeCell ref="AD145:AD150"/>
    <mergeCell ref="AE145:AE150"/>
    <mergeCell ref="AF145:AF150"/>
    <mergeCell ref="AG126:AG133"/>
    <mergeCell ref="A135:A139"/>
    <mergeCell ref="E135:E139"/>
    <mergeCell ref="U135:U139"/>
    <mergeCell ref="V135:V139"/>
    <mergeCell ref="W135:W139"/>
    <mergeCell ref="Y135:Y139"/>
    <mergeCell ref="Z135:Z139"/>
    <mergeCell ref="AB135:AB139"/>
    <mergeCell ref="AD135:AD139"/>
    <mergeCell ref="AA126:AA133"/>
    <mergeCell ref="AB126:AB133"/>
    <mergeCell ref="AC126:AC133"/>
    <mergeCell ref="AD126:AD133"/>
    <mergeCell ref="AE126:AE133"/>
    <mergeCell ref="AF126:AF133"/>
    <mergeCell ref="AF135:AF139"/>
    <mergeCell ref="AB151:AB155"/>
    <mergeCell ref="AD151:AD155"/>
    <mergeCell ref="A145:A150"/>
    <mergeCell ref="E145:E150"/>
    <mergeCell ref="U145:U150"/>
    <mergeCell ref="V145:V150"/>
    <mergeCell ref="W145:W150"/>
    <mergeCell ref="X145:X150"/>
    <mergeCell ref="Y145:Y150"/>
    <mergeCell ref="Z145:Z150"/>
    <mergeCell ref="AF151:AF155"/>
    <mergeCell ref="AG151:AG155"/>
    <mergeCell ref="A157:A161"/>
    <mergeCell ref="E157:E161"/>
    <mergeCell ref="U157:U161"/>
    <mergeCell ref="V157:V161"/>
    <mergeCell ref="W157:W161"/>
    <mergeCell ref="X157:X161"/>
    <mergeCell ref="Y157:Y161"/>
    <mergeCell ref="Z157:Z161"/>
    <mergeCell ref="AG157:AG161"/>
    <mergeCell ref="AA157:AA161"/>
    <mergeCell ref="AB157:AB161"/>
    <mergeCell ref="AC157:AC161"/>
    <mergeCell ref="AD157:AD161"/>
    <mergeCell ref="AE157:AE161"/>
    <mergeCell ref="AF157:AF161"/>
    <mergeCell ref="A151:A155"/>
    <mergeCell ref="E151:E155"/>
    <mergeCell ref="U151:U155"/>
    <mergeCell ref="V151:V155"/>
    <mergeCell ref="W151:W155"/>
    <mergeCell ref="Y151:Y155"/>
    <mergeCell ref="Z151:Z155"/>
    <mergeCell ref="AF162:AF166"/>
    <mergeCell ref="AG162:AG166"/>
    <mergeCell ref="A168:A170"/>
    <mergeCell ref="E168:E170"/>
    <mergeCell ref="U168:U170"/>
    <mergeCell ref="V168:V170"/>
    <mergeCell ref="W168:W170"/>
    <mergeCell ref="X168:X170"/>
    <mergeCell ref="Y168:Y170"/>
    <mergeCell ref="Z168:Z170"/>
    <mergeCell ref="A162:A166"/>
    <mergeCell ref="E162:E166"/>
    <mergeCell ref="U162:U166"/>
    <mergeCell ref="V162:V166"/>
    <mergeCell ref="W162:W166"/>
    <mergeCell ref="Y162:Y166"/>
    <mergeCell ref="Z162:Z166"/>
    <mergeCell ref="AB162:AB166"/>
    <mergeCell ref="AD162:AD166"/>
    <mergeCell ref="AB171:AB176"/>
    <mergeCell ref="AC171:AC176"/>
    <mergeCell ref="AD171:AD176"/>
    <mergeCell ref="AE171:AE176"/>
    <mergeCell ref="AF171:AF176"/>
    <mergeCell ref="AG171:AG176"/>
    <mergeCell ref="AG168:AG170"/>
    <mergeCell ref="A171:A176"/>
    <mergeCell ref="E171:E176"/>
    <mergeCell ref="U171:U176"/>
    <mergeCell ref="V171:V176"/>
    <mergeCell ref="W171:W176"/>
    <mergeCell ref="X171:X176"/>
    <mergeCell ref="Y171:Y176"/>
    <mergeCell ref="Z171:Z176"/>
    <mergeCell ref="AA171:AA176"/>
    <mergeCell ref="AA168:AA170"/>
    <mergeCell ref="AB168:AB170"/>
    <mergeCell ref="AC168:AC170"/>
    <mergeCell ref="AD168:AD170"/>
    <mergeCell ref="AE168:AE170"/>
    <mergeCell ref="AF168:AF170"/>
    <mergeCell ref="A184:A224"/>
    <mergeCell ref="E184:E224"/>
    <mergeCell ref="U184:U224"/>
    <mergeCell ref="V184:V224"/>
    <mergeCell ref="W184:W224"/>
    <mergeCell ref="X184:X224"/>
    <mergeCell ref="Y184:Y224"/>
    <mergeCell ref="Y177:Y183"/>
    <mergeCell ref="Z177:Z183"/>
    <mergeCell ref="A177:A183"/>
    <mergeCell ref="E177:E183"/>
    <mergeCell ref="U177:U183"/>
    <mergeCell ref="V177:V183"/>
    <mergeCell ref="W177:W183"/>
    <mergeCell ref="X177:X183"/>
    <mergeCell ref="V225:V226"/>
    <mergeCell ref="W225:W226"/>
    <mergeCell ref="X225:X226"/>
    <mergeCell ref="Y225:Y226"/>
    <mergeCell ref="Z225:Z226"/>
    <mergeCell ref="Z184:Z224"/>
    <mergeCell ref="AE177:AE183"/>
    <mergeCell ref="AF177:AF183"/>
    <mergeCell ref="AG177:AG183"/>
    <mergeCell ref="AA177:AA183"/>
    <mergeCell ref="AB177:AB183"/>
    <mergeCell ref="AC177:AC183"/>
    <mergeCell ref="AD177:AD183"/>
    <mergeCell ref="AF184:AF224"/>
    <mergeCell ref="AG184:AG224"/>
    <mergeCell ref="AA184:AA224"/>
    <mergeCell ref="AB184:AB224"/>
    <mergeCell ref="AC184:AC224"/>
    <mergeCell ref="AD184:AD224"/>
    <mergeCell ref="AE184:AE224"/>
    <mergeCell ref="AG225:AG226"/>
    <mergeCell ref="AA225:AA226"/>
    <mergeCell ref="AB225:AB226"/>
    <mergeCell ref="AC225:AC226"/>
    <mergeCell ref="Y240:Y242"/>
    <mergeCell ref="Z240:Z242"/>
    <mergeCell ref="AB240:AB242"/>
    <mergeCell ref="AD240:AD242"/>
    <mergeCell ref="X245:X252"/>
    <mergeCell ref="AF253:AF257"/>
    <mergeCell ref="AG253:AG257"/>
    <mergeCell ref="AF240:AF242"/>
    <mergeCell ref="AG240:AG242"/>
    <mergeCell ref="AG245:AG252"/>
    <mergeCell ref="AE253:AE257"/>
    <mergeCell ref="A227:A235"/>
    <mergeCell ref="E227:E235"/>
    <mergeCell ref="A236:A238"/>
    <mergeCell ref="E236:E238"/>
    <mergeCell ref="A240:A242"/>
    <mergeCell ref="E240:E242"/>
    <mergeCell ref="U240:U242"/>
    <mergeCell ref="V240:V242"/>
    <mergeCell ref="W240:W242"/>
    <mergeCell ref="AD225:AD226"/>
    <mergeCell ref="AE225:AE226"/>
    <mergeCell ref="AF225:AF226"/>
    <mergeCell ref="A225:A226"/>
    <mergeCell ref="E225:E226"/>
    <mergeCell ref="U225:U226"/>
    <mergeCell ref="Y258:Y262"/>
    <mergeCell ref="Z258:Z262"/>
    <mergeCell ref="Z253:Z257"/>
    <mergeCell ref="AE245:AE252"/>
    <mergeCell ref="AF245:AF252"/>
    <mergeCell ref="A253:A257"/>
    <mergeCell ref="E253:E257"/>
    <mergeCell ref="U253:U257"/>
    <mergeCell ref="V253:V257"/>
    <mergeCell ref="W253:W257"/>
    <mergeCell ref="X253:X257"/>
    <mergeCell ref="Y253:Y257"/>
    <mergeCell ref="Y245:Y252"/>
    <mergeCell ref="Z245:Z252"/>
    <mergeCell ref="AA245:AA252"/>
    <mergeCell ref="AB245:AB252"/>
    <mergeCell ref="AC245:AC252"/>
    <mergeCell ref="AD245:AD252"/>
    <mergeCell ref="A245:A252"/>
    <mergeCell ref="E245:E252"/>
    <mergeCell ref="U245:U252"/>
    <mergeCell ref="V245:V252"/>
    <mergeCell ref="W245:W252"/>
    <mergeCell ref="AA253:AA257"/>
    <mergeCell ref="AB253:AB257"/>
    <mergeCell ref="AC253:AC257"/>
    <mergeCell ref="AD253:AD257"/>
    <mergeCell ref="AB263:AB267"/>
    <mergeCell ref="AC263:AC267"/>
    <mergeCell ref="AD263:AD267"/>
    <mergeCell ref="AE263:AE267"/>
    <mergeCell ref="AF263:AF267"/>
    <mergeCell ref="AG263:AG267"/>
    <mergeCell ref="AG258:AG262"/>
    <mergeCell ref="A263:A267"/>
    <mergeCell ref="E263:E267"/>
    <mergeCell ref="U263:U267"/>
    <mergeCell ref="V263:V267"/>
    <mergeCell ref="W263:W267"/>
    <mergeCell ref="X263:X267"/>
    <mergeCell ref="Y263:Y267"/>
    <mergeCell ref="Z263:Z267"/>
    <mergeCell ref="AA263:AA267"/>
    <mergeCell ref="AA258:AA262"/>
    <mergeCell ref="AB258:AB262"/>
    <mergeCell ref="AC258:AC262"/>
    <mergeCell ref="AD258:AD262"/>
    <mergeCell ref="AE258:AE262"/>
    <mergeCell ref="AF258:AF262"/>
    <mergeCell ref="A258:A262"/>
    <mergeCell ref="E258:E262"/>
    <mergeCell ref="U258:U262"/>
    <mergeCell ref="V258:V262"/>
    <mergeCell ref="W258:W262"/>
    <mergeCell ref="X258:X262"/>
    <mergeCell ref="A274:A277"/>
    <mergeCell ref="E274:E277"/>
    <mergeCell ref="U274:U277"/>
    <mergeCell ref="V274:V277"/>
    <mergeCell ref="W274:W277"/>
    <mergeCell ref="X274:X277"/>
    <mergeCell ref="Y274:Y277"/>
    <mergeCell ref="Y271:Y273"/>
    <mergeCell ref="Z271:Z273"/>
    <mergeCell ref="A271:A273"/>
    <mergeCell ref="E271:E273"/>
    <mergeCell ref="U271:U273"/>
    <mergeCell ref="V271:V273"/>
    <mergeCell ref="W271:W273"/>
    <mergeCell ref="X271:X273"/>
    <mergeCell ref="Z274:Z277"/>
    <mergeCell ref="AE271:AE273"/>
    <mergeCell ref="AF271:AF273"/>
    <mergeCell ref="AG271:AG273"/>
    <mergeCell ref="AA271:AA273"/>
    <mergeCell ref="AB271:AB273"/>
    <mergeCell ref="AC271:AC273"/>
    <mergeCell ref="AD271:AD273"/>
    <mergeCell ref="AF274:AF277"/>
    <mergeCell ref="AG274:AG277"/>
    <mergeCell ref="AA274:AA277"/>
    <mergeCell ref="AB274:AB277"/>
    <mergeCell ref="AC274:AC277"/>
    <mergeCell ref="AD274:AD277"/>
    <mergeCell ref="AE274:AE277"/>
    <mergeCell ref="AP278:AP282"/>
    <mergeCell ref="A283:A289"/>
    <mergeCell ref="E283:E289"/>
    <mergeCell ref="U283:U289"/>
    <mergeCell ref="V283:V289"/>
    <mergeCell ref="W283:W289"/>
    <mergeCell ref="X283:X289"/>
    <mergeCell ref="Y283:Y289"/>
    <mergeCell ref="Z283:Z289"/>
    <mergeCell ref="AA278:AA282"/>
    <mergeCell ref="AB278:AB282"/>
    <mergeCell ref="AC278:AC282"/>
    <mergeCell ref="AD278:AD282"/>
    <mergeCell ref="AE278:AE282"/>
    <mergeCell ref="AF278:AF282"/>
    <mergeCell ref="A278:A282"/>
    <mergeCell ref="E278:E282"/>
    <mergeCell ref="U278:U282"/>
    <mergeCell ref="V278:V282"/>
    <mergeCell ref="W278:W282"/>
    <mergeCell ref="X278:X282"/>
    <mergeCell ref="Y278:Y282"/>
    <mergeCell ref="Z278:Z282"/>
    <mergeCell ref="AG278:AG282"/>
    <mergeCell ref="AF290:AF293"/>
    <mergeCell ref="AG290:AG293"/>
    <mergeCell ref="AG283:AG289"/>
    <mergeCell ref="A290:A293"/>
    <mergeCell ref="E290:E293"/>
    <mergeCell ref="U290:U293"/>
    <mergeCell ref="V290:V293"/>
    <mergeCell ref="W290:W293"/>
    <mergeCell ref="Y290:Y293"/>
    <mergeCell ref="Z290:Z293"/>
    <mergeCell ref="AB290:AB293"/>
    <mergeCell ref="AD290:AD293"/>
    <mergeCell ref="AA283:AA289"/>
    <mergeCell ref="AB283:AB289"/>
    <mergeCell ref="AC283:AC289"/>
    <mergeCell ref="AD283:AD289"/>
    <mergeCell ref="AE283:AE289"/>
    <mergeCell ref="AF283:AF289"/>
  </mergeCells>
  <pageMargins left="0.7" right="0.7" top="0.75" bottom="0.75" header="0.3" footer="0.3"/>
  <pageSetup paperSize="9" orientation="portrait" r:id="rId1"/>
  <drawing r:id="rId2"/>
  <legacyDrawing r:id="rId3"/>
  <tableParts count="1">
    <tablePart r:id="rId4"/>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Z460"/>
  <sheetViews>
    <sheetView workbookViewId="0">
      <selection activeCell="C448" sqref="C448"/>
    </sheetView>
  </sheetViews>
  <sheetFormatPr defaultRowHeight="15" x14ac:dyDescent="0.25"/>
  <cols>
    <col min="1" max="1" width="24.42578125" bestFit="1" customWidth="1"/>
    <col min="2" max="2" width="11.28515625" bestFit="1" customWidth="1"/>
    <col min="3" max="3" width="29" customWidth="1"/>
    <col min="4" max="4" width="15.42578125" customWidth="1"/>
    <col min="5" max="5" width="16.140625" customWidth="1"/>
    <col min="6" max="6" width="16.28515625" customWidth="1"/>
    <col min="7" max="7" width="19.140625" bestFit="1" customWidth="1"/>
    <col min="8" max="9" width="19.28515625" customWidth="1"/>
    <col min="10" max="10" width="13.140625" customWidth="1"/>
    <col min="11" max="11" width="17.5703125" customWidth="1"/>
    <col min="12" max="13" width="15.7109375" customWidth="1"/>
    <col min="14" max="14" width="13.7109375" customWidth="1"/>
    <col min="15" max="15" width="15.85546875" customWidth="1"/>
    <col min="16" max="16" width="19.140625" customWidth="1"/>
    <col min="17" max="17" width="4" customWidth="1"/>
    <col min="18" max="18" width="12" customWidth="1"/>
    <col min="19" max="19" width="11.140625" customWidth="1"/>
    <col min="21" max="21" width="12.140625" customWidth="1"/>
    <col min="22" max="22" width="11.7109375" customWidth="1"/>
    <col min="25" max="25" width="12.42578125" customWidth="1"/>
    <col min="26" max="26" width="19.85546875" customWidth="1"/>
  </cols>
  <sheetData>
    <row r="1" spans="1:26" ht="18.75" x14ac:dyDescent="0.3">
      <c r="A1" s="1481" t="s">
        <v>1367</v>
      </c>
      <c r="B1" s="1615"/>
      <c r="C1" s="1482"/>
      <c r="D1" s="24"/>
    </row>
    <row r="2" spans="1:26" ht="16.5" thickBot="1" x14ac:dyDescent="0.3">
      <c r="A2" s="530" t="s">
        <v>1215</v>
      </c>
      <c r="B2" s="854"/>
      <c r="C2" s="531"/>
      <c r="D2" s="25"/>
    </row>
    <row r="3" spans="1:26" x14ac:dyDescent="0.25">
      <c r="P3" s="223"/>
    </row>
    <row r="4" spans="1:26" ht="20.45" customHeight="1" x14ac:dyDescent="0.35">
      <c r="R4" s="1754"/>
      <c r="S4" s="1754"/>
      <c r="T4" s="1754"/>
      <c r="U4" s="1754"/>
      <c r="V4" s="1754"/>
      <c r="W4" s="1754"/>
      <c r="X4" s="1754"/>
      <c r="Y4" s="1754"/>
      <c r="Z4" s="1754"/>
    </row>
    <row r="5" spans="1:26" ht="50.45" hidden="1" customHeight="1" x14ac:dyDescent="0.3">
      <c r="D5" s="89" t="s">
        <v>215</v>
      </c>
      <c r="E5" s="90" t="s">
        <v>1369</v>
      </c>
      <c r="F5" s="849" t="s">
        <v>196</v>
      </c>
      <c r="G5" s="846" t="s">
        <v>197</v>
      </c>
      <c r="H5" s="1483" t="s">
        <v>198</v>
      </c>
      <c r="I5" s="1484" t="s">
        <v>200</v>
      </c>
      <c r="J5" s="1485" t="s">
        <v>1316</v>
      </c>
      <c r="K5" s="1486" t="s">
        <v>201</v>
      </c>
      <c r="L5" s="1486"/>
      <c r="M5" s="1486"/>
      <c r="N5" s="1487" t="s">
        <v>199</v>
      </c>
      <c r="O5" s="1488" t="s">
        <v>1318</v>
      </c>
      <c r="P5" s="1489" t="s">
        <v>203</v>
      </c>
      <c r="R5" s="110" t="s">
        <v>240</v>
      </c>
      <c r="S5" s="109" t="s">
        <v>241</v>
      </c>
      <c r="T5" s="108" t="s">
        <v>242</v>
      </c>
      <c r="U5" s="107" t="s">
        <v>243</v>
      </c>
      <c r="V5" s="106" t="s">
        <v>244</v>
      </c>
      <c r="W5" s="105" t="s">
        <v>245</v>
      </c>
      <c r="X5" s="104" t="s">
        <v>246</v>
      </c>
      <c r="Y5" s="103" t="s">
        <v>1319</v>
      </c>
      <c r="Z5" s="102" t="s">
        <v>642</v>
      </c>
    </row>
    <row r="6" spans="1:26" ht="16.5" hidden="1" thickBot="1" x14ac:dyDescent="0.3">
      <c r="A6" s="42" t="s">
        <v>3</v>
      </c>
      <c r="B6" s="45"/>
      <c r="C6" s="45" t="s">
        <v>58</v>
      </c>
      <c r="D6" s="91" t="s">
        <v>1320</v>
      </c>
      <c r="E6" s="92" t="s">
        <v>1321</v>
      </c>
      <c r="F6" s="7" t="s">
        <v>1322</v>
      </c>
      <c r="G6" s="3" t="s">
        <v>1323</v>
      </c>
      <c r="H6" s="33" t="s">
        <v>1324</v>
      </c>
      <c r="I6" s="68" t="s">
        <v>1325</v>
      </c>
      <c r="J6" s="34" t="s">
        <v>1326</v>
      </c>
      <c r="K6" s="69" t="s">
        <v>1327</v>
      </c>
      <c r="L6" s="69" t="s">
        <v>1328</v>
      </c>
      <c r="M6" s="69" t="s">
        <v>816</v>
      </c>
      <c r="N6" s="66" t="s">
        <v>1329</v>
      </c>
      <c r="O6" s="67" t="s">
        <v>1331</v>
      </c>
      <c r="P6" s="1490" t="s">
        <v>1332</v>
      </c>
      <c r="R6" s="93" t="s">
        <v>1370</v>
      </c>
      <c r="S6" s="94" t="s">
        <v>1371</v>
      </c>
      <c r="T6" s="95" t="s">
        <v>1372</v>
      </c>
      <c r="U6" s="96" t="s">
        <v>1373</v>
      </c>
      <c r="V6" s="97" t="s">
        <v>1374</v>
      </c>
      <c r="W6" s="98" t="s">
        <v>1375</v>
      </c>
      <c r="X6" s="99" t="s">
        <v>1376</v>
      </c>
      <c r="Y6" s="100" t="s">
        <v>1377</v>
      </c>
      <c r="Z6" s="101" t="s">
        <v>1378</v>
      </c>
    </row>
    <row r="7" spans="1:26" ht="19.5" hidden="1" thickBot="1" x14ac:dyDescent="0.35">
      <c r="A7" s="270" t="s">
        <v>33</v>
      </c>
      <c r="B7" s="1616"/>
      <c r="C7" s="1049" t="s">
        <v>217</v>
      </c>
      <c r="D7" s="1226">
        <v>17400</v>
      </c>
      <c r="E7" s="305">
        <v>4.3089700000000004</v>
      </c>
      <c r="F7" s="310">
        <f>159.6/E7</f>
        <v>37.039013963893922</v>
      </c>
      <c r="G7" s="311">
        <v>0</v>
      </c>
      <c r="H7" s="312">
        <v>0</v>
      </c>
      <c r="I7" s="313" t="e">
        <f>[1]!Tabel6689[[#This Row],[Fix.ch. 2015]]+[1]!Tabel6689[[#This Row],[Var. ch. 2015]]+[1]!Tabel6689[[#This Row],[Oth. ch. DW 2015]]</f>
        <v>#REF!</v>
      </c>
      <c r="J7" s="314">
        <v>0</v>
      </c>
      <c r="K7" s="315">
        <v>0</v>
      </c>
      <c r="L7" s="315"/>
      <c r="M7" s="315"/>
      <c r="N7" s="316">
        <v>0</v>
      </c>
      <c r="O7" s="317">
        <f>35.56/E7</f>
        <v>8.252552234060575</v>
      </c>
      <c r="P7" s="1491" t="e">
        <f>[1]!Tabel6689[[#This Row],[Total. ch. DW 2015]]+[1]!Tabel6689[[#This Row],[Sew. 2015]]+[1]!Tabel6689[[#This Row],[WW 2015]]+[1]!Tabel6689[[#This Row],[Other ch. 2015]]+[1]!Tabel6689[[#This Row],[VAT 2015]]</f>
        <v>#REF!</v>
      </c>
      <c r="Q7" s="397"/>
      <c r="R7" s="1228" t="e">
        <f>[1]!Tabel6689[[#This Row],[Fix.ch. 2015]]</f>
        <v>#REF!</v>
      </c>
      <c r="S7" s="1229">
        <v>0</v>
      </c>
      <c r="T7" s="1230">
        <v>0</v>
      </c>
      <c r="U7" s="1231" t="e">
        <f>[1]!Tabel6689[[#This Row],[Total. ch. DW 2015]]</f>
        <v>#REF!</v>
      </c>
      <c r="V7" s="1232">
        <v>0</v>
      </c>
      <c r="W7" s="1233">
        <v>0</v>
      </c>
      <c r="X7" s="1234">
        <v>0</v>
      </c>
      <c r="Y7" s="1235" t="e">
        <f>[1]!Tabel6689[[#This Row],[VAT 2015]]</f>
        <v>#REF!</v>
      </c>
      <c r="Z7" s="1236" t="e">
        <f>[1]!Tabel6689[[#This Row],[total charge 2015]]</f>
        <v>#REF!</v>
      </c>
    </row>
    <row r="8" spans="1:26" ht="15.75" hidden="1" x14ac:dyDescent="0.25">
      <c r="A8" s="2004" t="s">
        <v>524</v>
      </c>
      <c r="B8" s="1617"/>
      <c r="C8" s="1492" t="s">
        <v>526</v>
      </c>
      <c r="D8" s="2372">
        <v>5400</v>
      </c>
      <c r="E8" s="305">
        <v>385.82</v>
      </c>
      <c r="F8" s="1493">
        <f>0</f>
        <v>0</v>
      </c>
      <c r="G8" s="311">
        <f>12873/E8</f>
        <v>33.365299880773421</v>
      </c>
      <c r="H8" s="312">
        <v>0</v>
      </c>
      <c r="I8" s="313">
        <f>Tabel66891019283234[[#This Row],[Fix.ch. 2015]]+Tabel66891019283234[[#This Row],[Var. ch. 2015]]+Tabel66891019283234[[#This Row],[Oth. ch. DW 2015]]</f>
        <v>33.365299880773421</v>
      </c>
      <c r="J8" s="314">
        <f>1750/E8</f>
        <v>4.5357938935254785</v>
      </c>
      <c r="K8" s="315">
        <f>970/E8</f>
        <v>2.5141257581255507</v>
      </c>
      <c r="L8" s="315"/>
      <c r="M8" s="315"/>
      <c r="N8" s="316">
        <v>0</v>
      </c>
      <c r="O8" s="317">
        <f>3119/E8</f>
        <v>8.0840806593748376</v>
      </c>
      <c r="P8" s="1491">
        <f>Tabel66891019283234[[#This Row],[Total. ch. DW 2015]]+Tabel66891019283234[[#This Row],[Sew. 2015]]+Tabel66891019283234[[#This Row],[WW 2015]]+Tabel66891019283234[[#This Row],[Other ch. 2015]]+Tabel66891019283234[[#This Row],[VAT 2015]]</f>
        <v>48.499300191799293</v>
      </c>
      <c r="Q8" s="397"/>
      <c r="R8" s="2362">
        <f t="shared" ref="R8:W8" si="0">SUM(F8:F11)/4</f>
        <v>0</v>
      </c>
      <c r="S8" s="2363">
        <f t="shared" si="0"/>
        <v>28.473122181328083</v>
      </c>
      <c r="T8" s="2364">
        <f t="shared" si="0"/>
        <v>0</v>
      </c>
      <c r="U8" s="2365">
        <f t="shared" si="0"/>
        <v>28.473122181328083</v>
      </c>
      <c r="V8" s="2354">
        <f t="shared" si="0"/>
        <v>4.9848374889845006</v>
      </c>
      <c r="W8" s="2355">
        <f t="shared" si="0"/>
        <v>0.62853143953138768</v>
      </c>
      <c r="X8" s="2356">
        <f t="shared" ref="X8:Z8" si="1">SUM(N8:N11)/4</f>
        <v>0</v>
      </c>
      <c r="Y8" s="2357">
        <f t="shared" si="1"/>
        <v>6.8179461925250111</v>
      </c>
      <c r="Z8" s="2358">
        <f t="shared" si="1"/>
        <v>40.904437302368983</v>
      </c>
    </row>
    <row r="9" spans="1:26" ht="15.75" hidden="1" x14ac:dyDescent="0.25">
      <c r="A9" s="2005"/>
      <c r="B9" s="1617"/>
      <c r="C9" s="764" t="s">
        <v>1342</v>
      </c>
      <c r="D9" s="1837"/>
      <c r="E9" s="305">
        <v>385.82</v>
      </c>
      <c r="F9" s="1493">
        <f>0</f>
        <v>0</v>
      </c>
      <c r="G9" s="311">
        <f>10160/E9</f>
        <v>26.333523404696493</v>
      </c>
      <c r="H9" s="312">
        <v>0</v>
      </c>
      <c r="I9" s="313">
        <f>Tabel66891019283234[[#This Row],[Fix.ch. 2015]]+Tabel66891019283234[[#This Row],[Var. ch. 2015]]+Tabel66891019283234[[#This Row],[Oth. ch. DW 2015]]</f>
        <v>26.333523404696493</v>
      </c>
      <c r="J9" s="314">
        <f>1799/E9</f>
        <v>4.6627961225441918</v>
      </c>
      <c r="K9" s="315">
        <v>0</v>
      </c>
      <c r="L9" s="315"/>
      <c r="M9" s="315"/>
      <c r="N9" s="316">
        <v>0</v>
      </c>
      <c r="O9" s="317">
        <f>2392/E9</f>
        <v>6.1997822818931105</v>
      </c>
      <c r="P9" s="1491">
        <f>Tabel66891019283234[[#This Row],[Total. ch. DW 2015]]+Tabel66891019283234[[#This Row],[Sew. 2015]]+Tabel66891019283234[[#This Row],[WW 2015]]+Tabel66891019283234[[#This Row],[Other ch. 2015]]+Tabel66891019283234[[#This Row],[VAT 2015]]</f>
        <v>37.196101809133793</v>
      </c>
      <c r="Q9" s="397"/>
      <c r="R9" s="1840"/>
      <c r="S9" s="1843"/>
      <c r="T9" s="1846"/>
      <c r="U9" s="1849"/>
      <c r="V9" s="1852"/>
      <c r="W9" s="1855"/>
      <c r="X9" s="1858"/>
      <c r="Y9" s="1873"/>
      <c r="Z9" s="1876"/>
    </row>
    <row r="10" spans="1:26" ht="15.75" hidden="1" x14ac:dyDescent="0.25">
      <c r="A10" s="2005"/>
      <c r="B10" s="1617"/>
      <c r="C10" s="764" t="s">
        <v>1343</v>
      </c>
      <c r="D10" s="1837"/>
      <c r="E10" s="305">
        <v>385.82</v>
      </c>
      <c r="F10" s="1493">
        <f>0</f>
        <v>0</v>
      </c>
      <c r="G10" s="311">
        <f>10182/E10</f>
        <v>26.390544813643668</v>
      </c>
      <c r="H10" s="312">
        <v>0</v>
      </c>
      <c r="I10" s="313">
        <f>Tabel66891019283234[[#This Row],[Fix.ch. 2015]]+Tabel66891019283234[[#This Row],[Var. ch. 2015]]+Tabel66891019283234[[#This Row],[Oth. ch. DW 2015]]</f>
        <v>26.390544813643668</v>
      </c>
      <c r="J10" s="314">
        <f>2386/E10</f>
        <v>6.1842309885438809</v>
      </c>
      <c r="K10" s="315">
        <v>0</v>
      </c>
      <c r="L10" s="315"/>
      <c r="M10" s="315"/>
      <c r="N10" s="316">
        <v>0</v>
      </c>
      <c r="O10" s="317">
        <f>2514/E10</f>
        <v>6.5159919133274586</v>
      </c>
      <c r="P10" s="1491">
        <f>Tabel66891019283234[[#This Row],[Total. ch. DW 2015]]+Tabel66891019283234[[#This Row],[Sew. 2015]]+Tabel66891019283234[[#This Row],[WW 2015]]+Tabel66891019283234[[#This Row],[Other ch. 2015]]+Tabel66891019283234[[#This Row],[VAT 2015]]</f>
        <v>39.090767715515007</v>
      </c>
      <c r="Q10" s="397"/>
      <c r="R10" s="1840"/>
      <c r="S10" s="1843"/>
      <c r="T10" s="1846"/>
      <c r="U10" s="1849"/>
      <c r="V10" s="1852"/>
      <c r="W10" s="1855"/>
      <c r="X10" s="1858"/>
      <c r="Y10" s="1873"/>
      <c r="Z10" s="1876"/>
    </row>
    <row r="11" spans="1:26" ht="16.5" hidden="1" thickBot="1" x14ac:dyDescent="0.3">
      <c r="A11" s="2006"/>
      <c r="B11" s="1617"/>
      <c r="C11" s="1052" t="s">
        <v>1344</v>
      </c>
      <c r="D11" s="2221"/>
      <c r="E11" s="305">
        <v>385.82</v>
      </c>
      <c r="F11" s="1493">
        <f>0</f>
        <v>0</v>
      </c>
      <c r="G11" s="311">
        <f>10727/E11</f>
        <v>27.803120626198744</v>
      </c>
      <c r="H11" s="312">
        <v>0</v>
      </c>
      <c r="I11" s="313">
        <f>Tabel66891019283234[[#This Row],[Fix.ch. 2015]]+Tabel66891019283234[[#This Row],[Var. ch. 2015]]+Tabel66891019283234[[#This Row],[Oth. ch. DW 2015]]</f>
        <v>27.803120626198744</v>
      </c>
      <c r="J11" s="314">
        <f>1758/E11</f>
        <v>4.5565289513244522</v>
      </c>
      <c r="K11" s="315">
        <v>0</v>
      </c>
      <c r="L11" s="315"/>
      <c r="M11" s="315"/>
      <c r="N11" s="316">
        <v>0</v>
      </c>
      <c r="O11" s="317">
        <f>2497/E11</f>
        <v>6.4719299155046395</v>
      </c>
      <c r="P11" s="1491">
        <f>Tabel66891019283234[[#This Row],[Total. ch. DW 2015]]+Tabel66891019283234[[#This Row],[Sew. 2015]]+Tabel66891019283234[[#This Row],[WW 2015]]+Tabel66891019283234[[#This Row],[Other ch. 2015]]+Tabel66891019283234[[#This Row],[VAT 2015]]</f>
        <v>38.831579493027839</v>
      </c>
      <c r="Q11" s="397"/>
      <c r="R11" s="2223"/>
      <c r="S11" s="2225"/>
      <c r="T11" s="2227"/>
      <c r="U11" s="2234"/>
      <c r="V11" s="2236"/>
      <c r="W11" s="2238"/>
      <c r="X11" s="2240"/>
      <c r="Y11" s="2242"/>
      <c r="Z11" s="2244"/>
    </row>
    <row r="12" spans="1:26" ht="15.75" hidden="1" customHeight="1" x14ac:dyDescent="0.25">
      <c r="A12" s="1795" t="s">
        <v>34</v>
      </c>
      <c r="B12" s="1618"/>
      <c r="C12" s="1494" t="s">
        <v>176</v>
      </c>
      <c r="D12" s="2343">
        <v>65400</v>
      </c>
      <c r="E12" s="616">
        <f>'[1]exchange rates'!$M$5</f>
        <v>1.36829</v>
      </c>
      <c r="F12" s="1493"/>
      <c r="G12" s="311"/>
      <c r="H12" s="312"/>
      <c r="I12" s="313"/>
      <c r="J12" s="314"/>
      <c r="K12" s="315"/>
      <c r="L12" s="315"/>
      <c r="M12" s="315"/>
      <c r="N12" s="316"/>
      <c r="O12" s="317"/>
      <c r="P12" s="1491"/>
      <c r="Q12" s="397"/>
      <c r="R12" s="2362"/>
      <c r="S12" s="2363"/>
      <c r="T12" s="2364"/>
      <c r="U12" s="2365"/>
      <c r="V12" s="2354"/>
      <c r="W12" s="2355"/>
      <c r="X12" s="2356"/>
      <c r="Y12" s="2357"/>
      <c r="Z12" s="2358"/>
    </row>
    <row r="13" spans="1:26" ht="15.75" hidden="1" customHeight="1" x14ac:dyDescent="0.25">
      <c r="A13" s="2301"/>
      <c r="B13" s="1618"/>
      <c r="C13" s="261" t="s">
        <v>177</v>
      </c>
      <c r="D13" s="1760"/>
      <c r="E13" s="616">
        <f>'[1]exchange rates'!$M$5</f>
        <v>1.36829</v>
      </c>
      <c r="F13" s="1493"/>
      <c r="G13" s="311"/>
      <c r="H13" s="312"/>
      <c r="I13" s="313"/>
      <c r="J13" s="314"/>
      <c r="K13" s="315"/>
      <c r="L13" s="315"/>
      <c r="M13" s="315"/>
      <c r="N13" s="316"/>
      <c r="O13" s="317"/>
      <c r="P13" s="1491"/>
      <c r="Q13" s="397"/>
      <c r="R13" s="1840"/>
      <c r="S13" s="1843"/>
      <c r="T13" s="1846"/>
      <c r="U13" s="1849"/>
      <c r="V13" s="1852"/>
      <c r="W13" s="1855"/>
      <c r="X13" s="1858"/>
      <c r="Y13" s="1873"/>
      <c r="Z13" s="1876"/>
    </row>
    <row r="14" spans="1:26" ht="15.75" hidden="1" customHeight="1" x14ac:dyDescent="0.25">
      <c r="A14" s="2301"/>
      <c r="B14" s="1618"/>
      <c r="C14" s="261" t="s">
        <v>178</v>
      </c>
      <c r="D14" s="1760"/>
      <c r="E14" s="616">
        <f>'[1]exchange rates'!$M$5</f>
        <v>1.36829</v>
      </c>
      <c r="F14" s="1493"/>
      <c r="G14" s="311"/>
      <c r="H14" s="312"/>
      <c r="I14" s="313"/>
      <c r="J14" s="314"/>
      <c r="K14" s="315"/>
      <c r="L14" s="315"/>
      <c r="M14" s="315"/>
      <c r="N14" s="316"/>
      <c r="O14" s="317"/>
      <c r="P14" s="1491"/>
      <c r="Q14" s="397"/>
      <c r="R14" s="1840"/>
      <c r="S14" s="1843"/>
      <c r="T14" s="1846"/>
      <c r="U14" s="1849"/>
      <c r="V14" s="1852"/>
      <c r="W14" s="1855"/>
      <c r="X14" s="1858"/>
      <c r="Y14" s="1873"/>
      <c r="Z14" s="1876"/>
    </row>
    <row r="15" spans="1:26" ht="15.75" hidden="1" customHeight="1" x14ac:dyDescent="0.25">
      <c r="A15" s="2301"/>
      <c r="B15" s="1618"/>
      <c r="C15" s="261" t="s">
        <v>179</v>
      </c>
      <c r="D15" s="1760"/>
      <c r="E15" s="616">
        <f>'[1]exchange rates'!$M$5</f>
        <v>1.36829</v>
      </c>
      <c r="F15" s="1493"/>
      <c r="G15" s="311"/>
      <c r="H15" s="312"/>
      <c r="I15" s="313"/>
      <c r="J15" s="314"/>
      <c r="K15" s="315"/>
      <c r="L15" s="315"/>
      <c r="M15" s="315"/>
      <c r="N15" s="316"/>
      <c r="O15" s="317"/>
      <c r="P15" s="1491"/>
      <c r="Q15" s="397"/>
      <c r="R15" s="1840"/>
      <c r="S15" s="1843"/>
      <c r="T15" s="1846"/>
      <c r="U15" s="1849"/>
      <c r="V15" s="1852"/>
      <c r="W15" s="1855"/>
      <c r="X15" s="1858"/>
      <c r="Y15" s="1873"/>
      <c r="Z15" s="1876"/>
    </row>
    <row r="16" spans="1:26" ht="15.75" hidden="1" customHeight="1" x14ac:dyDescent="0.25">
      <c r="A16" s="2301"/>
      <c r="B16" s="1618"/>
      <c r="C16" s="261" t="s">
        <v>180</v>
      </c>
      <c r="D16" s="1760"/>
      <c r="E16" s="616">
        <f>'[1]exchange rates'!$M$5</f>
        <v>1.36829</v>
      </c>
      <c r="F16" s="1493"/>
      <c r="G16" s="311"/>
      <c r="H16" s="312"/>
      <c r="I16" s="313"/>
      <c r="J16" s="314"/>
      <c r="K16" s="315"/>
      <c r="L16" s="315"/>
      <c r="M16" s="315"/>
      <c r="N16" s="316"/>
      <c r="O16" s="317"/>
      <c r="P16" s="1491"/>
      <c r="Q16" s="397"/>
      <c r="R16" s="1840"/>
      <c r="S16" s="1843"/>
      <c r="T16" s="1846"/>
      <c r="U16" s="1849"/>
      <c r="V16" s="1852"/>
      <c r="W16" s="1855"/>
      <c r="X16" s="1858"/>
      <c r="Y16" s="1873"/>
      <c r="Z16" s="1876"/>
    </row>
    <row r="17" spans="1:26" ht="15.75" hidden="1" customHeight="1" x14ac:dyDescent="0.25">
      <c r="A17" s="2301"/>
      <c r="B17" s="1618"/>
      <c r="C17" s="261" t="s">
        <v>544</v>
      </c>
      <c r="D17" s="1760"/>
      <c r="E17" s="616">
        <f>'[1]exchange rates'!$M$5</f>
        <v>1.36829</v>
      </c>
      <c r="F17" s="1493"/>
      <c r="G17" s="311"/>
      <c r="H17" s="312"/>
      <c r="I17" s="313"/>
      <c r="J17" s="314"/>
      <c r="K17" s="315"/>
      <c r="L17" s="315"/>
      <c r="M17" s="315"/>
      <c r="N17" s="316"/>
      <c r="O17" s="317"/>
      <c r="P17" s="1491"/>
      <c r="Q17" s="397"/>
      <c r="R17" s="1840"/>
      <c r="S17" s="1843"/>
      <c r="T17" s="1846"/>
      <c r="U17" s="1849"/>
      <c r="V17" s="1852"/>
      <c r="W17" s="1855"/>
      <c r="X17" s="1858"/>
      <c r="Y17" s="1873"/>
      <c r="Z17" s="1876"/>
    </row>
    <row r="18" spans="1:26" ht="15.75" hidden="1" customHeight="1" x14ac:dyDescent="0.25">
      <c r="A18" s="2301"/>
      <c r="B18" s="1618"/>
      <c r="C18" s="261" t="s">
        <v>545</v>
      </c>
      <c r="D18" s="1760"/>
      <c r="E18" s="616">
        <f>'[1]exchange rates'!$M$5</f>
        <v>1.36829</v>
      </c>
      <c r="F18" s="1493"/>
      <c r="G18" s="311"/>
      <c r="H18" s="312"/>
      <c r="I18" s="313"/>
      <c r="J18" s="314"/>
      <c r="K18" s="315"/>
      <c r="L18" s="315"/>
      <c r="M18" s="315"/>
      <c r="N18" s="316"/>
      <c r="O18" s="317"/>
      <c r="P18" s="1491"/>
      <c r="Q18" s="397"/>
      <c r="R18" s="1840"/>
      <c r="S18" s="1843"/>
      <c r="T18" s="1846"/>
      <c r="U18" s="1849"/>
      <c r="V18" s="1852"/>
      <c r="W18" s="1855"/>
      <c r="X18" s="1858"/>
      <c r="Y18" s="1873"/>
      <c r="Z18" s="1876"/>
    </row>
    <row r="19" spans="1:26" ht="15.75" hidden="1" customHeight="1" x14ac:dyDescent="0.25">
      <c r="A19" s="2301"/>
      <c r="B19" s="1618"/>
      <c r="C19" s="261" t="s">
        <v>779</v>
      </c>
      <c r="D19" s="1760"/>
      <c r="E19" s="616">
        <f>'[1]exchange rates'!$M$5</f>
        <v>1.36829</v>
      </c>
      <c r="F19" s="1493"/>
      <c r="G19" s="311"/>
      <c r="H19" s="312"/>
      <c r="I19" s="313"/>
      <c r="J19" s="314"/>
      <c r="K19" s="315"/>
      <c r="L19" s="315"/>
      <c r="M19" s="315"/>
      <c r="N19" s="316"/>
      <c r="O19" s="317"/>
      <c r="P19" s="1495"/>
      <c r="Q19" s="397"/>
      <c r="R19" s="1840"/>
      <c r="S19" s="1843"/>
      <c r="T19" s="1846"/>
      <c r="U19" s="1849"/>
      <c r="V19" s="1852"/>
      <c r="W19" s="1855"/>
      <c r="X19" s="1858"/>
      <c r="Y19" s="1873"/>
      <c r="Z19" s="1876"/>
    </row>
    <row r="20" spans="1:26" ht="16.5" hidden="1" customHeight="1" x14ac:dyDescent="0.25">
      <c r="A20" s="2302"/>
      <c r="B20" s="1618"/>
      <c r="C20" s="800" t="s">
        <v>546</v>
      </c>
      <c r="D20" s="1761"/>
      <c r="E20" s="616">
        <f>'[1]exchange rates'!$M$5</f>
        <v>1.36829</v>
      </c>
      <c r="F20" s="1493"/>
      <c r="G20" s="311"/>
      <c r="H20" s="312"/>
      <c r="I20" s="313"/>
      <c r="J20" s="314"/>
      <c r="K20" s="315"/>
      <c r="L20" s="315"/>
      <c r="M20" s="315"/>
      <c r="N20" s="316"/>
      <c r="O20" s="317"/>
      <c r="P20" s="1491"/>
      <c r="Q20" s="397"/>
      <c r="R20" s="2223"/>
      <c r="S20" s="2225"/>
      <c r="T20" s="2227"/>
      <c r="U20" s="2234"/>
      <c r="V20" s="2236"/>
      <c r="W20" s="2238"/>
      <c r="X20" s="2240"/>
      <c r="Y20" s="2242"/>
      <c r="Z20" s="2244"/>
    </row>
    <row r="21" spans="1:26" ht="15.75" hidden="1" x14ac:dyDescent="0.25">
      <c r="A21" s="2004" t="s">
        <v>4</v>
      </c>
      <c r="B21" s="1617"/>
      <c r="C21" s="452" t="s">
        <v>59</v>
      </c>
      <c r="D21" s="1837">
        <v>42600</v>
      </c>
      <c r="E21" s="306">
        <f>'[1]exchange rates'!K6</f>
        <v>0.72762000000000004</v>
      </c>
      <c r="F21" s="1493">
        <f>61.2/E21</f>
        <v>84.109837552568649</v>
      </c>
      <c r="G21" s="311">
        <f>162.8/E21</f>
        <v>223.74316263983948</v>
      </c>
      <c r="H21" s="312">
        <f>0</f>
        <v>0</v>
      </c>
      <c r="I21" s="313">
        <f>Tabel66891019283234[[#This Row],[Fix.ch. 2015]]+Tabel66891019283234[[#This Row],[Var. ch. 2015]]+Tabel66891019283234[[#This Row],[Oth. ch. DW 2015]]</f>
        <v>307.8530001924081</v>
      </c>
      <c r="J21" s="314">
        <v>0</v>
      </c>
      <c r="K21" s="315">
        <f>178/E21</f>
        <v>244.63318765289571</v>
      </c>
      <c r="L21" s="315"/>
      <c r="M21" s="315"/>
      <c r="N21" s="316">
        <v>0</v>
      </c>
      <c r="O21" s="317">
        <f>40.2/E21</f>
        <v>55.248618784530386</v>
      </c>
      <c r="P21" s="1491">
        <f>Tabel66891019283234[[#This Row],[Total. ch. DW 2015]]+Tabel66891019283234[[#This Row],[Sew. 2015]]+Tabel66891019283234[[#This Row],[WW 2015]]+Tabel66891019283234[[#This Row],[Other ch. 2015]]+Tabel66891019283234[[#This Row],[VAT 2015]]</f>
        <v>607.73480662983422</v>
      </c>
      <c r="Q21" s="397"/>
      <c r="R21" s="2362">
        <f t="shared" ref="R21:W21" si="2">SUM(F21:F25)/5</f>
        <v>51.243781094527364</v>
      </c>
      <c r="S21" s="2363">
        <f t="shared" si="2"/>
        <v>186.66336824166461</v>
      </c>
      <c r="T21" s="2364">
        <f t="shared" si="2"/>
        <v>0</v>
      </c>
      <c r="U21" s="2365">
        <f t="shared" si="2"/>
        <v>237.90714933619196</v>
      </c>
      <c r="V21" s="2354">
        <f t="shared" si="2"/>
        <v>0</v>
      </c>
      <c r="W21" s="2355">
        <f t="shared" si="2"/>
        <v>261.68604491355376</v>
      </c>
      <c r="X21" s="2356">
        <f t="shared" ref="X21:Z21" si="3">SUM(N21:N25)/5</f>
        <v>0</v>
      </c>
      <c r="Y21" s="2357">
        <f t="shared" si="3"/>
        <v>49.95739534372337</v>
      </c>
      <c r="Z21" s="2358">
        <f t="shared" si="3"/>
        <v>549.55058959346911</v>
      </c>
    </row>
    <row r="22" spans="1:26" ht="15.75" hidden="1" x14ac:dyDescent="0.25">
      <c r="A22" s="2005"/>
      <c r="B22" s="1617"/>
      <c r="C22" s="452" t="s">
        <v>60</v>
      </c>
      <c r="D22" s="1837"/>
      <c r="E22" s="306">
        <f>'[1]exchange rates'!K6</f>
        <v>0.72762000000000004</v>
      </c>
      <c r="F22" s="1493">
        <f>17.52/E22</f>
        <v>24.078502515049063</v>
      </c>
      <c r="G22" s="311">
        <f>131/E22</f>
        <v>180.03903136252438</v>
      </c>
      <c r="H22" s="312">
        <v>0</v>
      </c>
      <c r="I22" s="313">
        <f>Tabel66891019283234[[#This Row],[Fix.ch. 2015]]+Tabel66891019283234[[#This Row],[Var. ch. 2015]]+Tabel66891019283234[[#This Row],[Oth. ch. DW 2015]]</f>
        <v>204.11753387757344</v>
      </c>
      <c r="J22" s="314">
        <v>0</v>
      </c>
      <c r="K22" s="315">
        <f>191.3/E22</f>
        <v>262.91195953931998</v>
      </c>
      <c r="L22" s="315"/>
      <c r="M22" s="315"/>
      <c r="N22" s="316">
        <v>0</v>
      </c>
      <c r="O22" s="317">
        <f>33.98/E22</f>
        <v>46.700200654187618</v>
      </c>
      <c r="P22" s="1491">
        <f>Tabel66891019283234[[#This Row],[Total. ch. DW 2015]]+Tabel66891019283234[[#This Row],[Sew. 2015]]+Tabel66891019283234[[#This Row],[WW 2015]]+Tabel66891019283234[[#This Row],[Other ch. 2015]]+Tabel66891019283234[[#This Row],[VAT 2015]]</f>
        <v>513.72969407108098</v>
      </c>
      <c r="Q22" s="397"/>
      <c r="R22" s="1840"/>
      <c r="S22" s="1843"/>
      <c r="T22" s="1846"/>
      <c r="U22" s="1849"/>
      <c r="V22" s="1852"/>
      <c r="W22" s="1855"/>
      <c r="X22" s="1858"/>
      <c r="Y22" s="1873"/>
      <c r="Z22" s="1876"/>
    </row>
    <row r="23" spans="1:26" ht="15.75" hidden="1" x14ac:dyDescent="0.25">
      <c r="A23" s="2005"/>
      <c r="B23" s="1617"/>
      <c r="C23" s="452" t="s">
        <v>61</v>
      </c>
      <c r="D23" s="1837"/>
      <c r="E23" s="306">
        <f>'[1]exchange rates'!K6</f>
        <v>0.72762000000000004</v>
      </c>
      <c r="F23" s="1493">
        <f>62.59/E23</f>
        <v>86.020175366262606</v>
      </c>
      <c r="G23" s="311">
        <f>82.79/E23</f>
        <v>113.7819191336137</v>
      </c>
      <c r="H23" s="312">
        <v>0</v>
      </c>
      <c r="I23" s="313">
        <f>Tabel66891019283234[[#This Row],[Fix.ch. 2015]]+Tabel66891019283234[[#This Row],[Var. ch. 2015]]+Tabel66891019283234[[#This Row],[Oth. ch. DW 2015]]</f>
        <v>199.80209449987632</v>
      </c>
      <c r="J23" s="314">
        <v>0</v>
      </c>
      <c r="K23" s="315">
        <f>157.44/E23</f>
        <v>216.3766801352354</v>
      </c>
      <c r="L23" s="315"/>
      <c r="M23" s="315"/>
      <c r="N23" s="316">
        <v>0</v>
      </c>
      <c r="O23" s="317">
        <f>30.28/E23</f>
        <v>41.615128776009456</v>
      </c>
      <c r="P23" s="1491">
        <f>Tabel66891019283234[[#This Row],[Total. ch. DW 2015]]+Tabel66891019283234[[#This Row],[Sew. 2015]]+Tabel66891019283234[[#This Row],[WW 2015]]+Tabel66891019283234[[#This Row],[Other ch. 2015]]+Tabel66891019283234[[#This Row],[VAT 2015]]</f>
        <v>457.79390341112116</v>
      </c>
      <c r="Q23" s="397"/>
      <c r="R23" s="1840"/>
      <c r="S23" s="1843"/>
      <c r="T23" s="1846"/>
      <c r="U23" s="1849"/>
      <c r="V23" s="1852"/>
      <c r="W23" s="1855"/>
      <c r="X23" s="1858"/>
      <c r="Y23" s="1873"/>
      <c r="Z23" s="1876"/>
    </row>
    <row r="24" spans="1:26" ht="15.75" hidden="1" x14ac:dyDescent="0.25">
      <c r="A24" s="2005"/>
      <c r="B24" s="1617"/>
      <c r="C24" s="452" t="s">
        <v>62</v>
      </c>
      <c r="D24" s="1837"/>
      <c r="E24" s="306">
        <f>'[1]exchange rates'!K6</f>
        <v>0.72762000000000004</v>
      </c>
      <c r="F24" s="1493">
        <f>23.4/E24</f>
        <v>32.159643770099777</v>
      </c>
      <c r="G24" s="311">
        <f>146.81/E24</f>
        <v>201.76740606360462</v>
      </c>
      <c r="H24" s="312">
        <v>0</v>
      </c>
      <c r="I24" s="313">
        <f>Tabel66891019283234[[#This Row],[Fix.ch. 2015]]+Tabel66891019283234[[#This Row],[Var. ch. 2015]]+Tabel66891019283234[[#This Row],[Oth. ch. DW 2015]]</f>
        <v>233.92704983370442</v>
      </c>
      <c r="J24" s="314">
        <v>0</v>
      </c>
      <c r="K24" s="315">
        <f>248/E24</f>
        <v>340.83725021302325</v>
      </c>
      <c r="L24" s="315"/>
      <c r="M24" s="315"/>
      <c r="N24" s="316">
        <v>0</v>
      </c>
      <c r="O24" s="317">
        <f>41.82/E24</f>
        <v>57.475055660921903</v>
      </c>
      <c r="P24" s="1491">
        <f>Tabel66891019283234[[#This Row],[Total. ch. DW 2015]]+Tabel66891019283234[[#This Row],[Sew. 2015]]+Tabel66891019283234[[#This Row],[WW 2015]]+Tabel66891019283234[[#This Row],[Other ch. 2015]]+Tabel66891019283234[[#This Row],[VAT 2015]]</f>
        <v>632.23935570764957</v>
      </c>
      <c r="Q24" s="397"/>
      <c r="R24" s="1840"/>
      <c r="S24" s="1843"/>
      <c r="T24" s="1846"/>
      <c r="U24" s="1849"/>
      <c r="V24" s="1852"/>
      <c r="W24" s="1855"/>
      <c r="X24" s="1858"/>
      <c r="Y24" s="1873"/>
      <c r="Z24" s="1876"/>
    </row>
    <row r="25" spans="1:26" ht="16.5" hidden="1" thickBot="1" x14ac:dyDescent="0.3">
      <c r="A25" s="2005"/>
      <c r="B25" s="1617"/>
      <c r="C25" s="801" t="s">
        <v>63</v>
      </c>
      <c r="D25" s="2221"/>
      <c r="E25" s="306">
        <f>'[1]exchange rates'!K6</f>
        <v>0.72762000000000004</v>
      </c>
      <c r="F25" s="1493">
        <f>21.72/E25</f>
        <v>29.850746268656714</v>
      </c>
      <c r="G25" s="311">
        <f>155.7/E25</f>
        <v>213.98532200874081</v>
      </c>
      <c r="H25" s="312">
        <v>0</v>
      </c>
      <c r="I25" s="313">
        <f>Tabel66891019283234[[#This Row],[Fix.ch. 2015]]+Tabel66891019283234[[#This Row],[Var. ch. 2015]]+Tabel66891019283234[[#This Row],[Oth. ch. DW 2015]]</f>
        <v>243.83606827739752</v>
      </c>
      <c r="J25" s="314">
        <v>0</v>
      </c>
      <c r="K25" s="315">
        <f>177.3/E25</f>
        <v>243.67114702729447</v>
      </c>
      <c r="L25" s="315"/>
      <c r="M25" s="315"/>
      <c r="N25" s="316">
        <v>0</v>
      </c>
      <c r="O25" s="317">
        <f>35.47/E25</f>
        <v>48.747972842967478</v>
      </c>
      <c r="P25" s="1491">
        <f>Tabel66891019283234[[#This Row],[Total. ch. DW 2015]]+Tabel66891019283234[[#This Row],[Sew. 2015]]+Tabel66891019283234[[#This Row],[WW 2015]]+Tabel66891019283234[[#This Row],[Other ch. 2015]]+Tabel66891019283234[[#This Row],[VAT 2015]]</f>
        <v>536.2551881476594</v>
      </c>
      <c r="Q25" s="397"/>
      <c r="R25" s="2223"/>
      <c r="S25" s="2225"/>
      <c r="T25" s="2227"/>
      <c r="U25" s="2234"/>
      <c r="V25" s="2236"/>
      <c r="W25" s="2238"/>
      <c r="X25" s="2240"/>
      <c r="Y25" s="2242"/>
      <c r="Z25" s="2244"/>
    </row>
    <row r="26" spans="1:26" ht="15.75" hidden="1" customHeight="1" x14ac:dyDescent="0.25">
      <c r="A26" s="2294" t="s">
        <v>6</v>
      </c>
      <c r="B26" s="1656"/>
      <c r="C26" s="735" t="s">
        <v>67</v>
      </c>
      <c r="D26" s="2418">
        <v>44100</v>
      </c>
      <c r="E26" s="616">
        <f>'[1]exchange rates'!$M$7</f>
        <v>0.92093999999999998</v>
      </c>
      <c r="F26" s="686">
        <f>53.19/E26</f>
        <v>57.75620561600104</v>
      </c>
      <c r="G26" s="593">
        <f>127.5/E26</f>
        <v>138.4455013355919</v>
      </c>
      <c r="H26" s="594">
        <v>0</v>
      </c>
      <c r="I26" s="566">
        <f>Tabel66891019283234[[#This Row],[Fix.ch. 2015]]+Tabel66891019283234[[#This Row],[Var. ch. 2015]]+Tabel66891019283234[[#This Row],[Oth. ch. DW 2015]]</f>
        <v>196.20170695159294</v>
      </c>
      <c r="J26" s="596">
        <f>169.23/E26</f>
        <v>183.75789953742915</v>
      </c>
      <c r="K26" s="626">
        <f>120.88/E26</f>
        <v>131.2571937368341</v>
      </c>
      <c r="L26" s="626"/>
      <c r="M26" s="626"/>
      <c r="N26" s="597">
        <v>0</v>
      </c>
      <c r="O26" s="570">
        <f>28.25/E26</f>
        <v>30.675179707689971</v>
      </c>
      <c r="P26" s="1496">
        <f>Tabel66891019283234[[#This Row],[Total. ch. DW 2015]]+Tabel66891019283234[[#This Row],[Sew. 2015]]+Tabel66891019283234[[#This Row],[WW 2015]]+Tabel66891019283234[[#This Row],[Other ch. 2015]]+Tabel66891019283234[[#This Row],[VAT 2015]]</f>
        <v>541.89197993354617</v>
      </c>
      <c r="Q26" s="397"/>
      <c r="R26" s="2344">
        <f t="shared" ref="R26:W26" si="4">SUM(F26:F33)/7</f>
        <v>71.516990404214326</v>
      </c>
      <c r="S26" s="2345">
        <f t="shared" si="4"/>
        <v>168.25355459794187</v>
      </c>
      <c r="T26" s="2350">
        <f t="shared" si="4"/>
        <v>0</v>
      </c>
      <c r="U26" s="2361">
        <f t="shared" si="4"/>
        <v>239.77054500215618</v>
      </c>
      <c r="V26" s="2351">
        <f t="shared" si="4"/>
        <v>108.24654312829439</v>
      </c>
      <c r="W26" s="2352">
        <f t="shared" si="4"/>
        <v>138.98222002984528</v>
      </c>
      <c r="X26" s="2341">
        <f t="shared" ref="X26:Z26" si="5">SUM(N26:N33)/7</f>
        <v>0.38780252474955718</v>
      </c>
      <c r="Y26" s="2342">
        <f t="shared" si="5"/>
        <v>29.243412786314604</v>
      </c>
      <c r="Z26" s="2353">
        <f t="shared" si="5"/>
        <v>516.63052347136011</v>
      </c>
    </row>
    <row r="27" spans="1:26" ht="15.75" hidden="1" customHeight="1" x14ac:dyDescent="0.25">
      <c r="A27" s="2294"/>
      <c r="B27" s="1656"/>
      <c r="C27" s="735" t="s">
        <v>71</v>
      </c>
      <c r="D27" s="1822"/>
      <c r="E27" s="616">
        <f>'[1]exchange rates'!$M$7</f>
        <v>0.92093999999999998</v>
      </c>
      <c r="F27" s="686">
        <f>67.84/E27</f>
        <v>73.663865181227877</v>
      </c>
      <c r="G27" s="593">
        <f>89.93/E27</f>
        <v>97.650226942037492</v>
      </c>
      <c r="H27" s="594">
        <v>0</v>
      </c>
      <c r="I27" s="566">
        <f>Tabel66891019283234[[#This Row],[Fix.ch. 2015]]+Tabel66891019283234[[#This Row],[Var. ch. 2015]]+Tabel66891019283234[[#This Row],[Oth. ch. DW 2015]]</f>
        <v>171.31409212326537</v>
      </c>
      <c r="J27" s="596">
        <f>96/E27</f>
        <v>104.24131865268096</v>
      </c>
      <c r="K27" s="626">
        <f>133.32/E27</f>
        <v>144.76513127891067</v>
      </c>
      <c r="L27" s="626"/>
      <c r="M27" s="626"/>
      <c r="N27" s="597">
        <v>0</v>
      </c>
      <c r="O27" s="570">
        <f>23.23/E27</f>
        <v>25.224227419810195</v>
      </c>
      <c r="P27" s="1496">
        <f>Tabel66891019283234[[#This Row],[Total. ch. DW 2015]]+Tabel66891019283234[[#This Row],[Sew. 2015]]+Tabel66891019283234[[#This Row],[WW 2015]]+Tabel66891019283234[[#This Row],[Other ch. 2015]]+Tabel66891019283234[[#This Row],[VAT 2015]]</f>
        <v>445.54476947466719</v>
      </c>
      <c r="Q27" s="397"/>
      <c r="R27" s="1763"/>
      <c r="S27" s="1766"/>
      <c r="T27" s="1769"/>
      <c r="U27" s="2419"/>
      <c r="V27" s="1778"/>
      <c r="W27" s="1781"/>
      <c r="X27" s="1785"/>
      <c r="Y27" s="1788"/>
      <c r="Z27" s="1990"/>
    </row>
    <row r="28" spans="1:26" ht="15.75" hidden="1" customHeight="1" x14ac:dyDescent="0.25">
      <c r="A28" s="2294"/>
      <c r="B28" s="1656"/>
      <c r="C28" s="735" t="s">
        <v>68</v>
      </c>
      <c r="D28" s="1822"/>
      <c r="E28" s="616">
        <f>'[1]exchange rates'!$M$7</f>
        <v>0.92093999999999998</v>
      </c>
      <c r="F28" s="686">
        <f>23.8/E28</f>
        <v>25.84316024931049</v>
      </c>
      <c r="G28" s="593">
        <f>187.29/E28</f>
        <v>203.36829760896475</v>
      </c>
      <c r="H28" s="594">
        <v>0</v>
      </c>
      <c r="I28" s="566">
        <f>Tabel66891019283234[[#This Row],[Fix.ch. 2015]]+Tabel66891019283234[[#This Row],[Var. ch. 2015]]+Tabel66891019283234[[#This Row],[Oth. ch. DW 2015]]</f>
        <v>229.21145785827525</v>
      </c>
      <c r="J28" s="596">
        <f>94.13/E28</f>
        <v>102.21078463309227</v>
      </c>
      <c r="K28" s="626">
        <f>51/E28</f>
        <v>55.378200534236761</v>
      </c>
      <c r="L28" s="626"/>
      <c r="M28" s="626"/>
      <c r="N28" s="597">
        <v>0</v>
      </c>
      <c r="O28" s="570">
        <f>21.37/E28</f>
        <v>23.204551870914504</v>
      </c>
      <c r="P28" s="1496">
        <f>Tabel66891019283234[[#This Row],[Total. ch. DW 2015]]+Tabel66891019283234[[#This Row],[Sew. 2015]]+Tabel66891019283234[[#This Row],[WW 2015]]+Tabel66891019283234[[#This Row],[Other ch. 2015]]+Tabel66891019283234[[#This Row],[VAT 2015]]</f>
        <v>410.00499489651878</v>
      </c>
      <c r="Q28" s="397"/>
      <c r="R28" s="1763"/>
      <c r="S28" s="1766"/>
      <c r="T28" s="1769"/>
      <c r="U28" s="2419"/>
      <c r="V28" s="1778"/>
      <c r="W28" s="1781"/>
      <c r="X28" s="1785"/>
      <c r="Y28" s="1788"/>
      <c r="Z28" s="1990"/>
    </row>
    <row r="29" spans="1:26" ht="15.75" hidden="1" customHeight="1" x14ac:dyDescent="0.25">
      <c r="A29" s="2294"/>
      <c r="B29" s="1656"/>
      <c r="C29" s="735" t="s">
        <v>72</v>
      </c>
      <c r="D29" s="1822"/>
      <c r="E29" s="616">
        <f>'[1]exchange rates'!$M$7</f>
        <v>0.92093999999999998</v>
      </c>
      <c r="F29" s="686">
        <f>105.08/E29</f>
        <v>114.1008100419137</v>
      </c>
      <c r="G29" s="593">
        <f>224.11/E29</f>
        <v>243.34918670054512</v>
      </c>
      <c r="H29" s="594">
        <v>0</v>
      </c>
      <c r="I29" s="566">
        <f>Tabel66891019283234[[#This Row],[Fix.ch. 2015]]+Tabel66891019283234[[#This Row],[Var. ch. 2015]]+Tabel66891019283234[[#This Row],[Oth. ch. DW 2015]]</f>
        <v>357.44999674245884</v>
      </c>
      <c r="J29" s="596">
        <v>0</v>
      </c>
      <c r="K29" s="626">
        <f>174.5/E29</f>
        <v>189.48031359263362</v>
      </c>
      <c r="L29" s="626"/>
      <c r="M29" s="626"/>
      <c r="N29" s="597">
        <f>1.25/E29</f>
        <v>1.35730883662345</v>
      </c>
      <c r="O29" s="570">
        <f>30.3/E29</f>
        <v>32.901166199752431</v>
      </c>
      <c r="P29" s="1496">
        <f>Tabel66891019283234[[#This Row],[Total. ch. DW 2015]]+Tabel66891019283234[[#This Row],[Sew. 2015]]+Tabel66891019283234[[#This Row],[WW 2015]]+Tabel66891019283234[[#This Row],[Other ch. 2015]]+Tabel66891019283234[[#This Row],[VAT 2015]]</f>
        <v>581.18878537146838</v>
      </c>
      <c r="Q29" s="397"/>
      <c r="R29" s="1763"/>
      <c r="S29" s="1766"/>
      <c r="T29" s="1769"/>
      <c r="U29" s="2419"/>
      <c r="V29" s="1778"/>
      <c r="W29" s="1781"/>
      <c r="X29" s="1785"/>
      <c r="Y29" s="1788"/>
      <c r="Z29" s="1990"/>
    </row>
    <row r="30" spans="1:26" ht="15.75" hidden="1" customHeight="1" x14ac:dyDescent="0.25">
      <c r="A30" s="2294"/>
      <c r="B30" s="1656"/>
      <c r="C30" s="735" t="s">
        <v>69</v>
      </c>
      <c r="D30" s="1822"/>
      <c r="E30" s="616">
        <f>'[1]exchange rates'!$M$7</f>
        <v>0.92093999999999998</v>
      </c>
      <c r="F30" s="686">
        <f>53.19/E30</f>
        <v>57.75620561600104</v>
      </c>
      <c r="G30" s="593">
        <f>134.38/E30</f>
        <v>145.91612917236736</v>
      </c>
      <c r="H30" s="594">
        <v>0</v>
      </c>
      <c r="I30" s="566">
        <f>Tabel66891019283234[[#This Row],[Fix.ch. 2015]]+Tabel66891019283234[[#This Row],[Var. ch. 2015]]+Tabel66891019283234[[#This Row],[Oth. ch. DW 2015]]</f>
        <v>203.6723347883684</v>
      </c>
      <c r="J30" s="596">
        <f>169.23/E30</f>
        <v>183.75789953742915</v>
      </c>
      <c r="K30" s="626">
        <f>120.88/E30</f>
        <v>131.2571937368341</v>
      </c>
      <c r="L30" s="626"/>
      <c r="M30" s="626"/>
      <c r="N30" s="597">
        <v>0</v>
      </c>
      <c r="O30" s="570">
        <f>28.66/E30</f>
        <v>31.120377006102462</v>
      </c>
      <c r="P30" s="1496">
        <f>Tabel66891019283234[[#This Row],[Total. ch. DW 2015]]+Tabel66891019283234[[#This Row],[Sew. 2015]]+Tabel66891019283234[[#This Row],[WW 2015]]+Tabel66891019283234[[#This Row],[Other ch. 2015]]+Tabel66891019283234[[#This Row],[VAT 2015]]</f>
        <v>549.80780506873407</v>
      </c>
      <c r="Q30" s="397"/>
      <c r="R30" s="1763"/>
      <c r="S30" s="1766"/>
      <c r="T30" s="1769"/>
      <c r="U30" s="2419"/>
      <c r="V30" s="1778"/>
      <c r="W30" s="1781"/>
      <c r="X30" s="1785"/>
      <c r="Y30" s="1788"/>
      <c r="Z30" s="1990"/>
    </row>
    <row r="31" spans="1:26" ht="15.75" hidden="1" customHeight="1" x14ac:dyDescent="0.25">
      <c r="A31" s="2294"/>
      <c r="B31" s="1656"/>
      <c r="C31" s="735" t="s">
        <v>70</v>
      </c>
      <c r="D31" s="1822"/>
      <c r="E31" s="616">
        <f>'[1]exchange rates'!$M$7</f>
        <v>0.92093999999999998</v>
      </c>
      <c r="F31" s="686">
        <f>53.19/E31</f>
        <v>57.75620561600104</v>
      </c>
      <c r="G31" s="593">
        <f>98.75/E31</f>
        <v>107.22739809325255</v>
      </c>
      <c r="H31" s="594">
        <v>0</v>
      </c>
      <c r="I31" s="566">
        <f>Tabel66891019283234[[#This Row],[Fix.ch. 2015]]+Tabel66891019283234[[#This Row],[Var. ch. 2015]]+Tabel66891019283234[[#This Row],[Oth. ch. DW 2015]]</f>
        <v>164.9836037092536</v>
      </c>
      <c r="J31" s="596">
        <f>169.23/E31</f>
        <v>183.75789953742915</v>
      </c>
      <c r="K31" s="626">
        <f>120.88/E31</f>
        <v>131.2571937368341</v>
      </c>
      <c r="L31" s="626"/>
      <c r="M31" s="626"/>
      <c r="N31" s="597">
        <v>0</v>
      </c>
      <c r="O31" s="570">
        <f>26.52/E31</f>
        <v>28.796664277803114</v>
      </c>
      <c r="P31" s="1496">
        <f>Tabel66891019283234[[#This Row],[Total. ch. DW 2015]]+Tabel66891019283234[[#This Row],[Sew. 2015]]+Tabel66891019283234[[#This Row],[WW 2015]]+Tabel66891019283234[[#This Row],[Other ch. 2015]]+Tabel66891019283234[[#This Row],[VAT 2015]]</f>
        <v>508.79536126132001</v>
      </c>
      <c r="Q31" s="397"/>
      <c r="R31" s="1763"/>
      <c r="S31" s="1766"/>
      <c r="T31" s="1769"/>
      <c r="U31" s="2419"/>
      <c r="V31" s="1778"/>
      <c r="W31" s="1781"/>
      <c r="X31" s="1785"/>
      <c r="Y31" s="1788"/>
      <c r="Z31" s="1990"/>
    </row>
    <row r="32" spans="1:26" ht="16.5" hidden="1" customHeight="1" x14ac:dyDescent="0.25">
      <c r="A32" s="2294"/>
      <c r="B32" s="1656"/>
      <c r="C32" s="735" t="s">
        <v>216</v>
      </c>
      <c r="D32" s="1822"/>
      <c r="E32" s="616">
        <f>'[1]exchange rates'!$M$7</f>
        <v>0.92093999999999998</v>
      </c>
      <c r="F32" s="686"/>
      <c r="G32" s="593"/>
      <c r="H32" s="594"/>
      <c r="I32" s="566"/>
      <c r="J32" s="596"/>
      <c r="K32" s="626"/>
      <c r="L32" s="626"/>
      <c r="M32" s="626"/>
      <c r="N32" s="597"/>
      <c r="O32" s="570"/>
      <c r="P32" s="1496"/>
      <c r="Q32" s="397"/>
      <c r="R32" s="1763"/>
      <c r="S32" s="1766"/>
      <c r="T32" s="1769"/>
      <c r="U32" s="2419"/>
      <c r="V32" s="1778"/>
      <c r="W32" s="1781"/>
      <c r="X32" s="1785"/>
      <c r="Y32" s="1788"/>
      <c r="Z32" s="1990"/>
    </row>
    <row r="33" spans="1:26" ht="17.25" hidden="1" customHeight="1" x14ac:dyDescent="0.25">
      <c r="A33" s="2295"/>
      <c r="B33" s="1656"/>
      <c r="C33" s="736" t="s">
        <v>629</v>
      </c>
      <c r="D33" s="1823"/>
      <c r="E33" s="616">
        <f>'[1]exchange rates'!$M$7</f>
        <v>0.92093999999999998</v>
      </c>
      <c r="F33" s="686">
        <f>104.75/E33</f>
        <v>113.74248050904511</v>
      </c>
      <c r="G33" s="593">
        <f>222.7/E33</f>
        <v>241.81814233283384</v>
      </c>
      <c r="H33" s="594">
        <v>0</v>
      </c>
      <c r="I33" s="566">
        <f>Tabel66891019283234[[#This Row],[Fix.ch. 2015]]+Tabel66891019283234[[#This Row],[Var. ch. 2015]]+Tabel66891019283234[[#This Row],[Oth. ch. DW 2015]]</f>
        <v>355.56062284187897</v>
      </c>
      <c r="J33" s="596">
        <v>0</v>
      </c>
      <c r="K33" s="626">
        <f>174.5/E33</f>
        <v>189.48031359263362</v>
      </c>
      <c r="L33" s="626"/>
      <c r="M33" s="626"/>
      <c r="N33" s="597">
        <f>1.25/E33</f>
        <v>1.35730883662345</v>
      </c>
      <c r="O33" s="570">
        <f>30.19/E33</f>
        <v>32.781723022129569</v>
      </c>
      <c r="P33" s="1496">
        <f>Tabel66891019283234[[#This Row],[Total. ch. DW 2015]]+Tabel66891019283234[[#This Row],[Sew. 2015]]+Tabel66891019283234[[#This Row],[WW 2015]]+Tabel66891019283234[[#This Row],[Other ch. 2015]]+Tabel66891019283234[[#This Row],[VAT 2015]]</f>
        <v>579.17996829326557</v>
      </c>
      <c r="Q33" s="397"/>
      <c r="R33" s="1764"/>
      <c r="S33" s="1767"/>
      <c r="T33" s="1770"/>
      <c r="U33" s="2371"/>
      <c r="V33" s="1779"/>
      <c r="W33" s="1811"/>
      <c r="X33" s="1813"/>
      <c r="Y33" s="1815"/>
      <c r="Z33" s="1991"/>
    </row>
    <row r="34" spans="1:26" ht="15.75" hidden="1" x14ac:dyDescent="0.25">
      <c r="A34" s="1818" t="s">
        <v>1345</v>
      </c>
      <c r="B34" s="1656"/>
      <c r="C34" s="1497" t="s">
        <v>459</v>
      </c>
      <c r="D34" s="2401">
        <v>15800</v>
      </c>
      <c r="E34" s="616">
        <f>'[1]exchange rates'!$M$8</f>
        <v>3.9608599999999998</v>
      </c>
      <c r="F34" s="686" t="s">
        <v>5</v>
      </c>
      <c r="G34" s="593" t="s">
        <v>5</v>
      </c>
      <c r="H34" s="594" t="s">
        <v>5</v>
      </c>
      <c r="I34" s="566" t="s">
        <v>5</v>
      </c>
      <c r="J34" s="596" t="s">
        <v>5</v>
      </c>
      <c r="K34" s="626" t="s">
        <v>5</v>
      </c>
      <c r="L34" s="626"/>
      <c r="M34" s="626"/>
      <c r="N34" s="597" t="s">
        <v>5</v>
      </c>
      <c r="O34" s="570" t="s">
        <v>5</v>
      </c>
      <c r="P34" s="1496">
        <f>268/E34</f>
        <v>67.662073388102584</v>
      </c>
      <c r="Q34" s="397"/>
      <c r="R34" s="2415" t="s">
        <v>5</v>
      </c>
      <c r="S34" s="2416" t="s">
        <v>5</v>
      </c>
      <c r="T34" s="2417" t="s">
        <v>5</v>
      </c>
      <c r="U34" s="2420" t="s">
        <v>5</v>
      </c>
      <c r="V34" s="2421" t="s">
        <v>5</v>
      </c>
      <c r="W34" s="2422" t="s">
        <v>5</v>
      </c>
      <c r="X34" s="2423" t="s">
        <v>5</v>
      </c>
      <c r="Y34" s="2424" t="s">
        <v>5</v>
      </c>
      <c r="Z34" s="2396">
        <f>Tabel66891019283234[[#This Row],[total charge 2015]]</f>
        <v>67.662073388102584</v>
      </c>
    </row>
    <row r="35" spans="1:26" ht="15.75" hidden="1" x14ac:dyDescent="0.25">
      <c r="A35" s="2294"/>
      <c r="B35" s="1656"/>
      <c r="C35" s="633" t="s">
        <v>462</v>
      </c>
      <c r="D35" s="1880"/>
      <c r="E35" s="616">
        <f>'[1]exchange rates'!$M$8</f>
        <v>3.9608599999999998</v>
      </c>
      <c r="F35" s="686" t="s">
        <v>5</v>
      </c>
      <c r="G35" s="593" t="s">
        <v>5</v>
      </c>
      <c r="H35" s="594" t="s">
        <v>5</v>
      </c>
      <c r="I35" s="566" t="s">
        <v>5</v>
      </c>
      <c r="J35" s="596" t="s">
        <v>5</v>
      </c>
      <c r="K35" s="626" t="s">
        <v>5</v>
      </c>
      <c r="L35" s="626"/>
      <c r="M35" s="626"/>
      <c r="N35" s="597" t="s">
        <v>5</v>
      </c>
      <c r="O35" s="570" t="s">
        <v>5</v>
      </c>
      <c r="P35" s="1496">
        <f>218/E35</f>
        <v>55.038552233605834</v>
      </c>
      <c r="Q35" s="397"/>
      <c r="R35" s="1882"/>
      <c r="S35" s="1896"/>
      <c r="T35" s="1899"/>
      <c r="U35" s="1902"/>
      <c r="V35" s="1905"/>
      <c r="W35" s="1864"/>
      <c r="X35" s="1867"/>
      <c r="Y35" s="1870"/>
      <c r="Z35" s="1832"/>
    </row>
    <row r="36" spans="1:26" ht="16.5" hidden="1" thickBot="1" x14ac:dyDescent="0.3">
      <c r="A36" s="2295"/>
      <c r="B36" s="1656"/>
      <c r="C36" s="634" t="s">
        <v>1346</v>
      </c>
      <c r="D36" s="1761"/>
      <c r="E36" s="616">
        <f>'[1]exchange rates'!$M$8</f>
        <v>3.9608599999999998</v>
      </c>
      <c r="F36" s="686" t="s">
        <v>5</v>
      </c>
      <c r="G36" s="593" t="s">
        <v>5</v>
      </c>
      <c r="H36" s="594" t="s">
        <v>5</v>
      </c>
      <c r="I36" s="566" t="s">
        <v>5</v>
      </c>
      <c r="J36" s="596" t="s">
        <v>5</v>
      </c>
      <c r="K36" s="626" t="s">
        <v>5</v>
      </c>
      <c r="L36" s="626"/>
      <c r="M36" s="626"/>
      <c r="N36" s="597" t="s">
        <v>5</v>
      </c>
      <c r="O36" s="570" t="s">
        <v>5</v>
      </c>
      <c r="P36" s="1496">
        <f>421/E36</f>
        <v>106.29004812086265</v>
      </c>
      <c r="Q36" s="397"/>
      <c r="R36" s="2189"/>
      <c r="S36" s="2230"/>
      <c r="T36" s="2232"/>
      <c r="U36" s="2255"/>
      <c r="V36" s="2246"/>
      <c r="W36" s="2248"/>
      <c r="X36" s="2250"/>
      <c r="Y36" s="2252"/>
      <c r="Z36" s="1794"/>
    </row>
    <row r="37" spans="1:26" ht="18.75" hidden="1" customHeight="1" x14ac:dyDescent="0.25">
      <c r="A37" s="1833" t="s">
        <v>487</v>
      </c>
      <c r="B37" s="1617"/>
      <c r="C37" s="503" t="s">
        <v>481</v>
      </c>
      <c r="D37" s="2405">
        <v>11600</v>
      </c>
      <c r="E37" s="306">
        <v>1.86534</v>
      </c>
      <c r="F37" s="1493">
        <f>61.68/E37</f>
        <v>33.066357875775999</v>
      </c>
      <c r="G37" s="311">
        <v>0</v>
      </c>
      <c r="H37" s="312">
        <v>0</v>
      </c>
      <c r="I37" s="313">
        <f>Tabel66891019283234[[#This Row],[Fix.ch. 2015]]+Tabel66891019283234[[#This Row],[Var. ch. 2015]]+Tabel66891019283234[[#This Row],[Oth. ch. DW 2015]]</f>
        <v>33.066357875775999</v>
      </c>
      <c r="J37" s="314">
        <f>61.68/E37</f>
        <v>33.066357875775999</v>
      </c>
      <c r="K37" s="315">
        <v>0</v>
      </c>
      <c r="L37" s="315"/>
      <c r="M37" s="315"/>
      <c r="N37" s="316">
        <v>0</v>
      </c>
      <c r="O37" s="317">
        <v>0</v>
      </c>
      <c r="P37" s="1491">
        <f>Tabel66891019283234[[#This Row],[Total. ch. DW 2015]]+Tabel66891019283234[[#This Row],[Sew. 2015]]+Tabel66891019283234[[#This Row],[WW 2015]]+Tabel66891019283234[[#This Row],[Other ch. 2015]]+Tabel66891019283234[[#This Row],[VAT 2015]]</f>
        <v>66.132715751551999</v>
      </c>
      <c r="Q37" s="397"/>
      <c r="R37" s="2406">
        <f t="shared" ref="R37:W37" si="6">SUM(F37:F41)/5</f>
        <v>89.883881758821445</v>
      </c>
      <c r="S37" s="2407">
        <f t="shared" si="6"/>
        <v>0</v>
      </c>
      <c r="T37" s="2408">
        <f t="shared" si="6"/>
        <v>0</v>
      </c>
      <c r="U37" s="2414">
        <f t="shared" si="6"/>
        <v>89.883881758821445</v>
      </c>
      <c r="V37" s="2409">
        <f t="shared" si="6"/>
        <v>89.883881758821445</v>
      </c>
      <c r="W37" s="2410">
        <f t="shared" si="6"/>
        <v>0</v>
      </c>
      <c r="X37" s="2411">
        <f t="shared" ref="X37:Z37" si="7">SUM(N37:N41)/5</f>
        <v>0</v>
      </c>
      <c r="Y37" s="2412">
        <f t="shared" si="7"/>
        <v>0</v>
      </c>
      <c r="Z37" s="2413">
        <f t="shared" si="7"/>
        <v>179.76776351764289</v>
      </c>
    </row>
    <row r="38" spans="1:26" ht="18.75" hidden="1" customHeight="1" x14ac:dyDescent="0.25">
      <c r="A38" s="2297"/>
      <c r="B38" s="1617"/>
      <c r="C38" s="503" t="s">
        <v>482</v>
      </c>
      <c r="D38" s="1837"/>
      <c r="E38" s="306">
        <v>1.86534</v>
      </c>
      <c r="F38" s="1493">
        <f>47.04/E38</f>
        <v>25.217922737945898</v>
      </c>
      <c r="G38" s="311">
        <v>0</v>
      </c>
      <c r="H38" s="312">
        <v>0</v>
      </c>
      <c r="I38" s="313">
        <f>Tabel66891019283234[[#This Row],[Fix.ch. 2015]]+Tabel66891019283234[[#This Row],[Var. ch. 2015]]+Tabel66891019283234[[#This Row],[Oth. ch. DW 2015]]</f>
        <v>25.217922737945898</v>
      </c>
      <c r="J38" s="314">
        <f>47.04/E38</f>
        <v>25.217922737945898</v>
      </c>
      <c r="K38" s="315">
        <v>0</v>
      </c>
      <c r="L38" s="315"/>
      <c r="M38" s="315"/>
      <c r="N38" s="316">
        <v>0</v>
      </c>
      <c r="O38" s="317">
        <v>0</v>
      </c>
      <c r="P38" s="1491">
        <f>Tabel66891019283234[[#This Row],[Total. ch. DW 2015]]+Tabel66891019283234[[#This Row],[Sew. 2015]]+Tabel66891019283234[[#This Row],[WW 2015]]+Tabel66891019283234[[#This Row],[Other ch. 2015]]+Tabel66891019283234[[#This Row],[VAT 2015]]</f>
        <v>50.435845475891796</v>
      </c>
      <c r="Q38" s="397"/>
      <c r="R38" s="1840"/>
      <c r="S38" s="1843"/>
      <c r="T38" s="1846"/>
      <c r="U38" s="1849"/>
      <c r="V38" s="1852"/>
      <c r="W38" s="1855"/>
      <c r="X38" s="1858"/>
      <c r="Y38" s="1873"/>
      <c r="Z38" s="1876"/>
    </row>
    <row r="39" spans="1:26" ht="18.75" hidden="1" customHeight="1" x14ac:dyDescent="0.25">
      <c r="A39" s="2297"/>
      <c r="B39" s="1617"/>
      <c r="C39" s="503" t="s">
        <v>483</v>
      </c>
      <c r="D39" s="1837"/>
      <c r="E39" s="306">
        <v>1.86534</v>
      </c>
      <c r="F39" s="1493">
        <f>181.92/E39</f>
        <v>97.52645630287239</v>
      </c>
      <c r="G39" s="311">
        <v>0</v>
      </c>
      <c r="H39" s="312">
        <v>0</v>
      </c>
      <c r="I39" s="313">
        <f>Tabel66891019283234[[#This Row],[Fix.ch. 2015]]+Tabel66891019283234[[#This Row],[Var. ch. 2015]]+Tabel66891019283234[[#This Row],[Oth. ch. DW 2015]]</f>
        <v>97.52645630287239</v>
      </c>
      <c r="J39" s="314">
        <f>181.92/E39</f>
        <v>97.52645630287239</v>
      </c>
      <c r="K39" s="315">
        <v>0</v>
      </c>
      <c r="L39" s="315"/>
      <c r="M39" s="315"/>
      <c r="N39" s="316">
        <v>0</v>
      </c>
      <c r="O39" s="317">
        <v>0</v>
      </c>
      <c r="P39" s="1491">
        <f>Tabel66891019283234[[#This Row],[Total. ch. DW 2015]]+Tabel66891019283234[[#This Row],[Sew. 2015]]+Tabel66891019283234[[#This Row],[WW 2015]]+Tabel66891019283234[[#This Row],[Other ch. 2015]]+Tabel66891019283234[[#This Row],[VAT 2015]]</f>
        <v>195.05291260574478</v>
      </c>
      <c r="Q39" s="397"/>
      <c r="R39" s="1840"/>
      <c r="S39" s="1843"/>
      <c r="T39" s="1846"/>
      <c r="U39" s="1849"/>
      <c r="V39" s="1852"/>
      <c r="W39" s="1855"/>
      <c r="X39" s="1858"/>
      <c r="Y39" s="1873"/>
      <c r="Z39" s="1876"/>
    </row>
    <row r="40" spans="1:26" ht="18.75" hidden="1" customHeight="1" x14ac:dyDescent="0.25">
      <c r="A40" s="2297"/>
      <c r="B40" s="1617"/>
      <c r="C40" s="503" t="s">
        <v>484</v>
      </c>
      <c r="D40" s="1837"/>
      <c r="E40" s="306">
        <v>1.86534</v>
      </c>
      <c r="F40" s="1493">
        <f>182.52/E40</f>
        <v>97.84811348065233</v>
      </c>
      <c r="G40" s="311">
        <v>0</v>
      </c>
      <c r="H40" s="312">
        <v>0</v>
      </c>
      <c r="I40" s="313">
        <f>Tabel66891019283234[[#This Row],[Fix.ch. 2015]]+Tabel66891019283234[[#This Row],[Var. ch. 2015]]+Tabel66891019283234[[#This Row],[Oth. ch. DW 2015]]</f>
        <v>97.84811348065233</v>
      </c>
      <c r="J40" s="314">
        <f>182.52/E40</f>
        <v>97.84811348065233</v>
      </c>
      <c r="K40" s="315">
        <v>0</v>
      </c>
      <c r="L40" s="315"/>
      <c r="M40" s="315"/>
      <c r="N40" s="316">
        <v>0</v>
      </c>
      <c r="O40" s="317">
        <v>0</v>
      </c>
      <c r="P40" s="1491">
        <f>Tabel66891019283234[[#This Row],[Total. ch. DW 2015]]+Tabel66891019283234[[#This Row],[Sew. 2015]]+Tabel66891019283234[[#This Row],[WW 2015]]+Tabel66891019283234[[#This Row],[Other ch. 2015]]+Tabel66891019283234[[#This Row],[VAT 2015]]</f>
        <v>195.69622696130466</v>
      </c>
      <c r="Q40" s="397"/>
      <c r="R40" s="1840"/>
      <c r="S40" s="1843"/>
      <c r="T40" s="1846"/>
      <c r="U40" s="1849"/>
      <c r="V40" s="1852"/>
      <c r="W40" s="1855"/>
      <c r="X40" s="1858"/>
      <c r="Y40" s="1873"/>
      <c r="Z40" s="1876"/>
    </row>
    <row r="41" spans="1:26" ht="19.5" hidden="1" customHeight="1" x14ac:dyDescent="0.25">
      <c r="A41" s="2298"/>
      <c r="B41" s="1617"/>
      <c r="C41" s="503" t="s">
        <v>485</v>
      </c>
      <c r="D41" s="2221"/>
      <c r="E41" s="306">
        <v>1.86534</v>
      </c>
      <c r="F41" s="1493">
        <f>365.16/E41</f>
        <v>195.76055839686063</v>
      </c>
      <c r="G41" s="311">
        <v>0</v>
      </c>
      <c r="H41" s="312">
        <v>0</v>
      </c>
      <c r="I41" s="313">
        <f>Tabel66891019283234[[#This Row],[Fix.ch. 2015]]+Tabel66891019283234[[#This Row],[Var. ch. 2015]]+Tabel66891019283234[[#This Row],[Oth. ch. DW 2015]]</f>
        <v>195.76055839686063</v>
      </c>
      <c r="J41" s="314">
        <f>365.16/E41</f>
        <v>195.76055839686063</v>
      </c>
      <c r="K41" s="315">
        <v>0</v>
      </c>
      <c r="L41" s="315"/>
      <c r="M41" s="315"/>
      <c r="N41" s="316">
        <v>0</v>
      </c>
      <c r="O41" s="317">
        <v>0</v>
      </c>
      <c r="P41" s="1491">
        <f>Tabel66891019283234[[#This Row],[Total. ch. DW 2015]]+Tabel66891019283234[[#This Row],[Sew. 2015]]+Tabel66891019283234[[#This Row],[WW 2015]]+Tabel66891019283234[[#This Row],[Other ch. 2015]]+Tabel66891019283234[[#This Row],[VAT 2015]]</f>
        <v>391.52111679372126</v>
      </c>
      <c r="Q41" s="397"/>
      <c r="R41" s="2223"/>
      <c r="S41" s="2225"/>
      <c r="T41" s="2227"/>
      <c r="U41" s="2234"/>
      <c r="V41" s="2236"/>
      <c r="W41" s="2238"/>
      <c r="X41" s="2240"/>
      <c r="Y41" s="2242"/>
      <c r="Z41" s="2244"/>
    </row>
    <row r="42" spans="1:26" ht="15.75" hidden="1" x14ac:dyDescent="0.25">
      <c r="A42" s="1833" t="s">
        <v>7</v>
      </c>
      <c r="B42" s="1617"/>
      <c r="C42" s="1498" t="s">
        <v>73</v>
      </c>
      <c r="D42" s="2372">
        <v>14400</v>
      </c>
      <c r="E42" s="305">
        <f>'[1]exchange rates'!K9</f>
        <v>1.423</v>
      </c>
      <c r="F42" s="1493">
        <v>0</v>
      </c>
      <c r="G42" s="311">
        <f>116/E42</f>
        <v>81.51791988756149</v>
      </c>
      <c r="H42" s="312">
        <v>0</v>
      </c>
      <c r="I42" s="313">
        <f>Tabel66891019283234[[#This Row],[Fix.ch. 2015]]+Tabel66891019283234[[#This Row],[Var. ch. 2015]]+Tabel66891019283234[[#This Row],[Oth. ch. DW 2015]]</f>
        <v>81.51791988756149</v>
      </c>
      <c r="J42" s="314">
        <f>23/E42</f>
        <v>16.163035839775123</v>
      </c>
      <c r="K42" s="315">
        <f>34/E42</f>
        <v>23.893183415319747</v>
      </c>
      <c r="L42" s="315"/>
      <c r="M42" s="315"/>
      <c r="N42" s="316">
        <v>0</v>
      </c>
      <c r="O42" s="317">
        <f>34.6/E42</f>
        <v>24.314827828531271</v>
      </c>
      <c r="P42" s="1491">
        <f>Tabel66891019283234[[#This Row],[Total. ch. DW 2015]]+Tabel66891019283234[[#This Row],[Sew. 2015]]+Tabel66891019283234[[#This Row],[WW 2015]]+Tabel66891019283234[[#This Row],[Other ch. 2015]]+Tabel66891019283234[[#This Row],[VAT 2015]]</f>
        <v>145.88896697118761</v>
      </c>
      <c r="Q42" s="397"/>
      <c r="R42" s="2362">
        <f t="shared" ref="R42:W42" si="8">SUM(F42:F46)/5</f>
        <v>0</v>
      </c>
      <c r="S42" s="2363">
        <f t="shared" si="8"/>
        <v>120.59030217849613</v>
      </c>
      <c r="T42" s="2364">
        <f t="shared" si="8"/>
        <v>0</v>
      </c>
      <c r="U42" s="2365">
        <f t="shared" si="8"/>
        <v>120.59030217849613</v>
      </c>
      <c r="V42" s="2354">
        <f t="shared" si="8"/>
        <v>11.806043569922698</v>
      </c>
      <c r="W42" s="2355">
        <f t="shared" si="8"/>
        <v>23.893183415319744</v>
      </c>
      <c r="X42" s="2356">
        <f t="shared" ref="X42:Z42" si="9">SUM(N42:N46)/5</f>
        <v>0</v>
      </c>
      <c r="Y42" s="2357">
        <f t="shared" si="9"/>
        <v>31.539002108222064</v>
      </c>
      <c r="Z42" s="2358">
        <f t="shared" si="9"/>
        <v>187.82853127196063</v>
      </c>
    </row>
    <row r="43" spans="1:26" ht="15.75" hidden="1" x14ac:dyDescent="0.25">
      <c r="A43" s="2297"/>
      <c r="B43" s="1617"/>
      <c r="C43" s="1242" t="s">
        <v>74</v>
      </c>
      <c r="D43" s="2157"/>
      <c r="E43" s="305">
        <f>'[1]exchange rates'!K9</f>
        <v>1.423</v>
      </c>
      <c r="F43" s="1493">
        <v>0</v>
      </c>
      <c r="G43" s="311">
        <f>127/E43</f>
        <v>89.248067463106111</v>
      </c>
      <c r="H43" s="312">
        <v>0</v>
      </c>
      <c r="I43" s="313">
        <f>Tabel66891019283234[[#This Row],[Fix.ch. 2015]]+Tabel66891019283234[[#This Row],[Var. ch. 2015]]+Tabel66891019283234[[#This Row],[Oth. ch. DW 2015]]</f>
        <v>89.248067463106111</v>
      </c>
      <c r="J43" s="314">
        <f>24/E43</f>
        <v>16.865776528460998</v>
      </c>
      <c r="K43" s="315">
        <f>61/E43</f>
        <v>42.867182009838366</v>
      </c>
      <c r="L43" s="315"/>
      <c r="M43" s="315"/>
      <c r="N43" s="316">
        <v>0</v>
      </c>
      <c r="O43" s="317">
        <f>42.4/E43</f>
        <v>29.796205200281094</v>
      </c>
      <c r="P43" s="1491">
        <f>Tabel66891019283234[[#This Row],[Total. ch. DW 2015]]+Tabel66891019283234[[#This Row],[Sew. 2015]]+Tabel66891019283234[[#This Row],[WW 2015]]+Tabel66891019283234[[#This Row],[Other ch. 2015]]+Tabel66891019283234[[#This Row],[VAT 2015]]</f>
        <v>178.77723120168656</v>
      </c>
      <c r="Q43" s="397"/>
      <c r="R43" s="2158"/>
      <c r="S43" s="2159"/>
      <c r="T43" s="2160"/>
      <c r="U43" s="2141"/>
      <c r="V43" s="2142"/>
      <c r="W43" s="2143"/>
      <c r="X43" s="2144"/>
      <c r="Y43" s="2145"/>
      <c r="Z43" s="2146"/>
    </row>
    <row r="44" spans="1:26" ht="15.75" hidden="1" x14ac:dyDescent="0.25">
      <c r="A44" s="2297"/>
      <c r="B44" s="1617"/>
      <c r="C44" s="1242" t="s">
        <v>75</v>
      </c>
      <c r="D44" s="2157"/>
      <c r="E44" s="305">
        <f>'[1]exchange rates'!K9</f>
        <v>1.423</v>
      </c>
      <c r="F44" s="1493">
        <v>0</v>
      </c>
      <c r="G44" s="311">
        <f>167/E44</f>
        <v>117.35769501054111</v>
      </c>
      <c r="H44" s="312">
        <v>0</v>
      </c>
      <c r="I44" s="313">
        <f>Tabel66891019283234[[#This Row],[Fix.ch. 2015]]+Tabel66891019283234[[#This Row],[Var. ch. 2015]]+Tabel66891019283234[[#This Row],[Oth. ch. DW 2015]]</f>
        <v>117.35769501054111</v>
      </c>
      <c r="J44" s="314">
        <f>12/E44</f>
        <v>8.432888264230499</v>
      </c>
      <c r="K44" s="315">
        <f>19/E44</f>
        <v>13.352073085031623</v>
      </c>
      <c r="L44" s="315"/>
      <c r="M44" s="315"/>
      <c r="N44" s="316">
        <v>0</v>
      </c>
      <c r="O44" s="317">
        <f>39.6/E44</f>
        <v>27.828531271960646</v>
      </c>
      <c r="P44" s="1491">
        <f>Tabel66891019283234[[#This Row],[Total. ch. DW 2015]]+Tabel66891019283234[[#This Row],[Sew. 2015]]+Tabel66891019283234[[#This Row],[WW 2015]]+Tabel66891019283234[[#This Row],[Other ch. 2015]]+Tabel66891019283234[[#This Row],[VAT 2015]]</f>
        <v>166.97118763176388</v>
      </c>
      <c r="Q44" s="397"/>
      <c r="R44" s="2158"/>
      <c r="S44" s="2159"/>
      <c r="T44" s="2160"/>
      <c r="U44" s="2141"/>
      <c r="V44" s="2142"/>
      <c r="W44" s="2143"/>
      <c r="X44" s="2144"/>
      <c r="Y44" s="2145"/>
      <c r="Z44" s="2146"/>
    </row>
    <row r="45" spans="1:26" ht="15.75" hidden="1" x14ac:dyDescent="0.25">
      <c r="A45" s="2297"/>
      <c r="B45" s="1617"/>
      <c r="C45" s="1242" t="s">
        <v>76</v>
      </c>
      <c r="D45" s="2157"/>
      <c r="E45" s="305">
        <f>'[1]exchange rates'!K9</f>
        <v>1.423</v>
      </c>
      <c r="F45" s="1493">
        <v>0</v>
      </c>
      <c r="G45" s="311">
        <f>238/E45</f>
        <v>167.25228390723822</v>
      </c>
      <c r="H45" s="312">
        <v>0</v>
      </c>
      <c r="I45" s="313">
        <f>Tabel66891019283234[[#This Row],[Fix.ch. 2015]]+Tabel66891019283234[[#This Row],[Var. ch. 2015]]+Tabel66891019283234[[#This Row],[Oth. ch. DW 2015]]</f>
        <v>167.25228390723822</v>
      </c>
      <c r="J45" s="314">
        <f>13/E45</f>
        <v>9.1356289529163739</v>
      </c>
      <c r="K45" s="315">
        <f>18/E45</f>
        <v>12.649332396345748</v>
      </c>
      <c r="L45" s="315"/>
      <c r="M45" s="315"/>
      <c r="N45" s="316">
        <v>0</v>
      </c>
      <c r="O45" s="317">
        <f>53.8/E45</f>
        <v>37.807449051300068</v>
      </c>
      <c r="P45" s="1491">
        <f>Tabel66891019283234[[#This Row],[Total. ch. DW 2015]]+Tabel66891019283234[[#This Row],[Sew. 2015]]+Tabel66891019283234[[#This Row],[WW 2015]]+Tabel66891019283234[[#This Row],[Other ch. 2015]]+Tabel66891019283234[[#This Row],[VAT 2015]]</f>
        <v>226.84469430780041</v>
      </c>
      <c r="Q45" s="397"/>
      <c r="R45" s="2158"/>
      <c r="S45" s="2159"/>
      <c r="T45" s="2160"/>
      <c r="U45" s="2141"/>
      <c r="V45" s="2142"/>
      <c r="W45" s="2143"/>
      <c r="X45" s="2144"/>
      <c r="Y45" s="2145"/>
      <c r="Z45" s="2146"/>
    </row>
    <row r="46" spans="1:26" ht="16.5" hidden="1" thickBot="1" x14ac:dyDescent="0.3">
      <c r="A46" s="2298"/>
      <c r="B46" s="1617"/>
      <c r="C46" s="1499" t="s">
        <v>77</v>
      </c>
      <c r="D46" s="2221"/>
      <c r="E46" s="305">
        <f>'[1]exchange rates'!K9</f>
        <v>1.423</v>
      </c>
      <c r="F46" s="1493">
        <v>0</v>
      </c>
      <c r="G46" s="311">
        <f>210/E46</f>
        <v>147.57554462403374</v>
      </c>
      <c r="H46" s="312">
        <v>0</v>
      </c>
      <c r="I46" s="313">
        <f>Tabel66891019283234[[#This Row],[Fix.ch. 2015]]+Tabel66891019283234[[#This Row],[Var. ch. 2015]]+Tabel66891019283234[[#This Row],[Oth. ch. DW 2015]]</f>
        <v>147.57554462403374</v>
      </c>
      <c r="J46" s="314">
        <f>12/E46</f>
        <v>8.432888264230499</v>
      </c>
      <c r="K46" s="315">
        <f>38/E46</f>
        <v>26.704146170063247</v>
      </c>
      <c r="L46" s="315"/>
      <c r="M46" s="315"/>
      <c r="N46" s="316">
        <v>0</v>
      </c>
      <c r="O46" s="317">
        <f>54/E46</f>
        <v>37.947997189037245</v>
      </c>
      <c r="P46" s="1491">
        <f>Tabel66891019283234[[#This Row],[Total. ch. DW 2015]]+Tabel66891019283234[[#This Row],[Sew. 2015]]+Tabel66891019283234[[#This Row],[WW 2015]]+Tabel66891019283234[[#This Row],[Other ch. 2015]]+Tabel66891019283234[[#This Row],[VAT 2015]]</f>
        <v>220.6605762473647</v>
      </c>
      <c r="Q46" s="397"/>
      <c r="R46" s="2223"/>
      <c r="S46" s="2225"/>
      <c r="T46" s="2227"/>
      <c r="U46" s="2234"/>
      <c r="V46" s="2236"/>
      <c r="W46" s="2238"/>
      <c r="X46" s="2240"/>
      <c r="Y46" s="2242"/>
      <c r="Z46" s="2244"/>
    </row>
    <row r="47" spans="1:26" ht="19.5" hidden="1" thickBot="1" x14ac:dyDescent="0.3">
      <c r="A47" s="1205" t="s">
        <v>501</v>
      </c>
      <c r="B47" s="1617"/>
      <c r="C47" s="811" t="s">
        <v>504</v>
      </c>
      <c r="D47" s="1243">
        <v>1500</v>
      </c>
      <c r="E47" s="305">
        <v>506.17869999999999</v>
      </c>
      <c r="F47" s="1493">
        <f>12000/E47</f>
        <v>23.707042591875162</v>
      </c>
      <c r="G47" s="311">
        <f>19768/E47</f>
        <v>39.053401496349018</v>
      </c>
      <c r="H47" s="312">
        <v>0</v>
      </c>
      <c r="I47" s="313">
        <f>Tabel66891019283234[[#This Row],[Fix.ch. 2015]]+Tabel66891019283234[[#This Row],[Var. ch. 2015]]+Tabel66891019283234[[#This Row],[Oth. ch. DW 2015]]</f>
        <v>62.760444088224176</v>
      </c>
      <c r="J47" s="314">
        <f>6000/E47</f>
        <v>11.853521295937581</v>
      </c>
      <c r="K47" s="315">
        <v>0</v>
      </c>
      <c r="L47" s="315"/>
      <c r="M47" s="315"/>
      <c r="N47" s="316">
        <v>0</v>
      </c>
      <c r="O47" s="317">
        <f>6798/E47</f>
        <v>13.43003962829728</v>
      </c>
      <c r="P47" s="1491">
        <f>Tabel66891019283234[[#This Row],[Total. ch. DW 2015]]+Tabel66891019283234[[#This Row],[Sew. 2015]]+Tabel66891019283234[[#This Row],[WW 2015]]+Tabel66891019283234[[#This Row],[Other ch. 2015]]+Tabel66891019283234[[#This Row],[VAT 2015]]</f>
        <v>88.044005012459039</v>
      </c>
      <c r="Q47" s="397"/>
      <c r="R47" s="1214">
        <f>Tabel66891019283234[[#This Row],[Fix.ch. 2015]]</f>
        <v>23.707042591875162</v>
      </c>
      <c r="S47" s="1215">
        <f>Tabel66891019283234[[#This Row],[Var. ch. 2015]]</f>
        <v>39.053401496349018</v>
      </c>
      <c r="T47" s="1216">
        <v>0</v>
      </c>
      <c r="U47" s="1207">
        <f>Tabel66891019283234[[#This Row],[Total. ch. DW 2015]]</f>
        <v>62.760444088224176</v>
      </c>
      <c r="V47" s="1208">
        <f>Tabel66891019283234[[#This Row],[Sew. 2015]]</f>
        <v>11.853521295937581</v>
      </c>
      <c r="W47" s="1209">
        <v>0</v>
      </c>
      <c r="X47" s="1210">
        <v>0</v>
      </c>
      <c r="Y47" s="1211">
        <f>Tabel66891019283234[[#This Row],[VAT 2015]]</f>
        <v>13.43003962829728</v>
      </c>
      <c r="Z47" s="1212">
        <f>Tabel66891019283234[[#This Row],[total charge 2015]]</f>
        <v>88.044005012459039</v>
      </c>
    </row>
    <row r="48" spans="1:26" ht="18.75" hidden="1" customHeight="1" x14ac:dyDescent="0.25">
      <c r="A48" s="1878" t="s">
        <v>343</v>
      </c>
      <c r="B48" s="1656"/>
      <c r="C48" s="1599" t="s">
        <v>548</v>
      </c>
      <c r="D48" s="2401">
        <v>45900</v>
      </c>
      <c r="E48" s="647">
        <f>'[1]exchange rates'!$M$11</f>
        <v>1.39011</v>
      </c>
      <c r="F48" s="686">
        <f>189.6/E48</f>
        <v>136.39208407967715</v>
      </c>
      <c r="G48" s="593">
        <f>176.98/E48</f>
        <v>127.31366582500665</v>
      </c>
      <c r="H48" s="594">
        <v>0</v>
      </c>
      <c r="I48" s="566">
        <f>Tabel66891019283234[[#This Row],[Fix.ch. 2015]]+Tabel66891019283234[[#This Row],[Var. ch. 2015]]+Tabel66891019283234[[#This Row],[Oth. ch. DW 2015]]</f>
        <v>263.70574990468378</v>
      </c>
      <c r="J48" s="596">
        <f>0</f>
        <v>0</v>
      </c>
      <c r="K48" s="626">
        <f>357.5/E48</f>
        <v>257.1738927135263</v>
      </c>
      <c r="L48" s="626"/>
      <c r="M48" s="626"/>
      <c r="N48" s="597">
        <v>0</v>
      </c>
      <c r="O48" s="570">
        <v>0</v>
      </c>
      <c r="P48" s="1496">
        <f>Tabel66891019283234[[#This Row],[Total. ch. DW 2015]]+Tabel66891019283234[[#This Row],[Sew. 2015]]+Tabel66891019283234[[#This Row],[WW 2015]]+Tabel66891019283234[[#This Row],[Other ch. 2015]]+Tabel66891019283234[[#This Row],[VAT 2015]]</f>
        <v>520.87964261821003</v>
      </c>
      <c r="Q48" s="397"/>
      <c r="R48" s="2402">
        <f t="shared" ref="R48:W48" si="10">SUM(F48:F52)/5</f>
        <v>170.30594701138756</v>
      </c>
      <c r="S48" s="2403">
        <f t="shared" si="10"/>
        <v>80.76770903022063</v>
      </c>
      <c r="T48" s="2404">
        <f t="shared" si="10"/>
        <v>0</v>
      </c>
      <c r="U48" s="2397">
        <f t="shared" si="10"/>
        <v>251.07365604160822</v>
      </c>
      <c r="V48" s="2392">
        <f t="shared" si="10"/>
        <v>0</v>
      </c>
      <c r="W48" s="2393">
        <f t="shared" si="10"/>
        <v>191.46110739437887</v>
      </c>
      <c r="X48" s="2394">
        <f t="shared" ref="X48:Z48" si="11">SUM(N48:N52)/5</f>
        <v>0</v>
      </c>
      <c r="Y48" s="2395">
        <f t="shared" si="11"/>
        <v>0</v>
      </c>
      <c r="Z48" s="2396">
        <f t="shared" si="11"/>
        <v>442.53476343598703</v>
      </c>
    </row>
    <row r="49" spans="1:26" ht="18.75" hidden="1" customHeight="1" x14ac:dyDescent="0.25">
      <c r="A49" s="1757"/>
      <c r="B49" s="1656"/>
      <c r="C49" s="733" t="s">
        <v>549</v>
      </c>
      <c r="D49" s="1880"/>
      <c r="E49" s="647">
        <f>'[1]exchange rates'!$M$11</f>
        <v>1.39011</v>
      </c>
      <c r="F49" s="686">
        <f>130.2/E49</f>
        <v>93.661652674968167</v>
      </c>
      <c r="G49" s="593">
        <f>145/E49</f>
        <v>104.30829214954213</v>
      </c>
      <c r="H49" s="594">
        <v>0</v>
      </c>
      <c r="I49" s="566">
        <f>Tabel66891019283234[[#This Row],[Fix.ch. 2015]]+Tabel66891019283234[[#This Row],[Var. ch. 2015]]+Tabel66891019283234[[#This Row],[Oth. ch. DW 2015]]</f>
        <v>197.96994482451029</v>
      </c>
      <c r="J49" s="596">
        <v>0</v>
      </c>
      <c r="K49" s="626">
        <f>228/E49</f>
        <v>164.01579731100418</v>
      </c>
      <c r="L49" s="626"/>
      <c r="M49" s="626"/>
      <c r="N49" s="597">
        <v>0</v>
      </c>
      <c r="O49" s="570">
        <v>0</v>
      </c>
      <c r="P49" s="1496">
        <f>Tabel66891019283234[[#This Row],[Total. ch. DW 2015]]+Tabel66891019283234[[#This Row],[Sew. 2015]]+Tabel66891019283234[[#This Row],[WW 2015]]+Tabel66891019283234[[#This Row],[Other ch. 2015]]+Tabel66891019283234[[#This Row],[VAT 2015]]</f>
        <v>361.98574213551444</v>
      </c>
      <c r="Q49" s="397"/>
      <c r="R49" s="1886"/>
      <c r="S49" s="1888"/>
      <c r="T49" s="1890"/>
      <c r="U49" s="1892"/>
      <c r="V49" s="1894"/>
      <c r="W49" s="1911"/>
      <c r="X49" s="1913"/>
      <c r="Y49" s="1915"/>
      <c r="Z49" s="1832"/>
    </row>
    <row r="50" spans="1:26" ht="18.75" hidden="1" customHeight="1" x14ac:dyDescent="0.25">
      <c r="A50" s="1757"/>
      <c r="B50" s="1656"/>
      <c r="C50" s="733" t="s">
        <v>722</v>
      </c>
      <c r="D50" s="1880"/>
      <c r="E50" s="647">
        <f>'[1]exchange rates'!$M$11</f>
        <v>1.39011</v>
      </c>
      <c r="F50" s="686">
        <f>105.6/E50</f>
        <v>75.965211386149292</v>
      </c>
      <c r="G50" s="593">
        <f>145/E50</f>
        <v>104.30829214954213</v>
      </c>
      <c r="H50" s="594">
        <v>0</v>
      </c>
      <c r="I50" s="566">
        <f>Tabel66891019283234[[#This Row],[Fix.ch. 2015]]+Tabel66891019283234[[#This Row],[Var. ch. 2015]]+Tabel66891019283234[[#This Row],[Oth. ch. DW 2015]]</f>
        <v>180.27350353569142</v>
      </c>
      <c r="J50" s="596">
        <v>0</v>
      </c>
      <c r="K50" s="626">
        <f>195.6/E50</f>
        <v>140.70828927207199</v>
      </c>
      <c r="L50" s="626"/>
      <c r="M50" s="626"/>
      <c r="N50" s="597">
        <v>0</v>
      </c>
      <c r="O50" s="570">
        <v>0</v>
      </c>
      <c r="P50" s="1496">
        <f>Tabel66891019283234[[#This Row],[Total. ch. DW 2015]]+Tabel66891019283234[[#This Row],[Sew. 2015]]+Tabel66891019283234[[#This Row],[WW 2015]]+Tabel66891019283234[[#This Row],[Other ch. 2015]]+Tabel66891019283234[[#This Row],[VAT 2015]]</f>
        <v>320.98179280776344</v>
      </c>
      <c r="Q50" s="397"/>
      <c r="R50" s="1886"/>
      <c r="S50" s="1888"/>
      <c r="T50" s="1890"/>
      <c r="U50" s="1892"/>
      <c r="V50" s="1894"/>
      <c r="W50" s="1911"/>
      <c r="X50" s="1913"/>
      <c r="Y50" s="1915"/>
      <c r="Z50" s="1832"/>
    </row>
    <row r="51" spans="1:26" ht="18.75" hidden="1" customHeight="1" x14ac:dyDescent="0.25">
      <c r="A51" s="1757"/>
      <c r="B51" s="1656"/>
      <c r="C51" s="733" t="s">
        <v>723</v>
      </c>
      <c r="D51" s="1880"/>
      <c r="E51" s="647">
        <f>'[1]exchange rates'!$M$11</f>
        <v>1.39011</v>
      </c>
      <c r="F51" s="686">
        <f>568/E51</f>
        <v>408.60075821337881</v>
      </c>
      <c r="G51" s="593">
        <f>0</f>
        <v>0</v>
      </c>
      <c r="H51" s="594">
        <v>0</v>
      </c>
      <c r="I51" s="566">
        <f>Tabel66891019283234[[#This Row],[Fix.ch. 2015]]+Tabel66891019283234[[#This Row],[Var. ch. 2015]]+Tabel66891019283234[[#This Row],[Oth. ch. DW 2015]]</f>
        <v>408.60075821337881</v>
      </c>
      <c r="J51" s="596">
        <v>0</v>
      </c>
      <c r="K51" s="626">
        <f>314/E51</f>
        <v>225.88140506866364</v>
      </c>
      <c r="L51" s="626"/>
      <c r="M51" s="626"/>
      <c r="N51" s="597">
        <v>0</v>
      </c>
      <c r="O51" s="570">
        <v>0</v>
      </c>
      <c r="P51" s="1496">
        <f>Tabel66891019283234[[#This Row],[Total. ch. DW 2015]]+Tabel66891019283234[[#This Row],[Sew. 2015]]+Tabel66891019283234[[#This Row],[WW 2015]]+Tabel66891019283234[[#This Row],[Other ch. 2015]]+Tabel66891019283234[[#This Row],[VAT 2015]]</f>
        <v>634.48216328204239</v>
      </c>
      <c r="Q51" s="397"/>
      <c r="R51" s="1886"/>
      <c r="S51" s="1888"/>
      <c r="T51" s="1890"/>
      <c r="U51" s="1892"/>
      <c r="V51" s="1894"/>
      <c r="W51" s="1911"/>
      <c r="X51" s="1913"/>
      <c r="Y51" s="1915"/>
      <c r="Z51" s="1832"/>
    </row>
    <row r="52" spans="1:26" ht="19.5" hidden="1" customHeight="1" x14ac:dyDescent="0.25">
      <c r="A52" s="1758"/>
      <c r="B52" s="1656"/>
      <c r="C52" s="807" t="s">
        <v>552</v>
      </c>
      <c r="D52" s="1761"/>
      <c r="E52" s="647">
        <f>'[1]exchange rates'!$M$11</f>
        <v>1.39011</v>
      </c>
      <c r="F52" s="686">
        <f>190.32/E52</f>
        <v>136.91002870276452</v>
      </c>
      <c r="G52" s="593">
        <f>94.4/E52</f>
        <v>67.908295027012258</v>
      </c>
      <c r="H52" s="594">
        <v>0</v>
      </c>
      <c r="I52" s="566">
        <f>Tabel66891019283234[[#This Row],[Fix.ch. 2015]]+Tabel66891019283234[[#This Row],[Var. ch. 2015]]+Tabel66891019283234[[#This Row],[Oth. ch. DW 2015]]</f>
        <v>204.81832372977678</v>
      </c>
      <c r="J52" s="596">
        <v>0</v>
      </c>
      <c r="K52" s="626">
        <f>235.66/E52</f>
        <v>169.52615260662824</v>
      </c>
      <c r="L52" s="626"/>
      <c r="M52" s="626"/>
      <c r="N52" s="597">
        <v>0</v>
      </c>
      <c r="O52" s="570">
        <v>0</v>
      </c>
      <c r="P52" s="1496">
        <f>Tabel66891019283234[[#This Row],[Total. ch. DW 2015]]+Tabel66891019283234[[#This Row],[Sew. 2015]]+Tabel66891019283234[[#This Row],[WW 2015]]+Tabel66891019283234[[#This Row],[Other ch. 2015]]+Tabel66891019283234[[#This Row],[VAT 2015]]</f>
        <v>374.34447633640502</v>
      </c>
      <c r="Q52" s="397"/>
      <c r="R52" s="1764"/>
      <c r="S52" s="1767"/>
      <c r="T52" s="1770"/>
      <c r="U52" s="1776"/>
      <c r="V52" s="1779"/>
      <c r="W52" s="1811"/>
      <c r="X52" s="1813"/>
      <c r="Y52" s="1815"/>
      <c r="Z52" s="1794"/>
    </row>
    <row r="53" spans="1:26" ht="18.75" hidden="1" customHeight="1" x14ac:dyDescent="0.25">
      <c r="A53" s="1818" t="s">
        <v>489</v>
      </c>
      <c r="B53" s="1656"/>
      <c r="C53" s="735" t="s">
        <v>728</v>
      </c>
      <c r="D53" s="1760">
        <v>23800</v>
      </c>
      <c r="E53" s="616">
        <f>'[1]exchange rates'!$M$12</f>
        <v>711.02919999999995</v>
      </c>
      <c r="F53" s="686">
        <f>10990/E53</f>
        <v>15.456467891895299</v>
      </c>
      <c r="G53" s="593">
        <f>142168/E53</f>
        <v>199.94678136987906</v>
      </c>
      <c r="H53" s="594">
        <v>0</v>
      </c>
      <c r="I53" s="566">
        <f>Tabel66891019283234[[#This Row],[Fix.ch. 2015]]+Tabel66891019283234[[#This Row],[Var. ch. 2015]]+Tabel66891019283234[[#This Row],[Oth. ch. DW 2015]]</f>
        <v>215.40324926177436</v>
      </c>
      <c r="J53" s="596">
        <f>32380/E53</f>
        <v>45.539620595047296</v>
      </c>
      <c r="K53" s="626">
        <v>0</v>
      </c>
      <c r="L53" s="626"/>
      <c r="M53" s="626"/>
      <c r="N53" s="597">
        <v>0</v>
      </c>
      <c r="O53" s="570">
        <v>0</v>
      </c>
      <c r="P53" s="1496">
        <f>Tabel66891019283234[[#This Row],[Total. ch. DW 2015]]+Tabel66891019283234[[#This Row],[Sew. 2015]]+Tabel66891019283234[[#This Row],[WW 2015]]+Tabel66891019283234[[#This Row],[Other ch. 2015]]+Tabel66891019283234[[#This Row],[VAT 2015]]</f>
        <v>260.94286985682163</v>
      </c>
      <c r="Q53" s="397"/>
      <c r="R53" s="2402">
        <f t="shared" ref="R53:W53" si="12">SUM(F53:F58)/6</f>
        <v>15.079549475605225</v>
      </c>
      <c r="S53" s="2403">
        <f t="shared" si="12"/>
        <v>92.492216447182003</v>
      </c>
      <c r="T53" s="2404">
        <f t="shared" si="12"/>
        <v>0</v>
      </c>
      <c r="U53" s="2397">
        <f t="shared" si="12"/>
        <v>107.57176592278724</v>
      </c>
      <c r="V53" s="2392">
        <f t="shared" si="12"/>
        <v>70.104247007952225</v>
      </c>
      <c r="W53" s="2393">
        <f t="shared" si="12"/>
        <v>0</v>
      </c>
      <c r="X53" s="2394">
        <f t="shared" ref="X53:Z53" si="13">SUM(N53:N58)/6</f>
        <v>0</v>
      </c>
      <c r="Y53" s="2395">
        <f t="shared" si="13"/>
        <v>0</v>
      </c>
      <c r="Z53" s="2396">
        <f t="shared" si="13"/>
        <v>177.67601293073946</v>
      </c>
    </row>
    <row r="54" spans="1:26" ht="18.75" hidden="1" customHeight="1" x14ac:dyDescent="0.25">
      <c r="A54" s="2294"/>
      <c r="B54" s="1656"/>
      <c r="C54" s="735" t="s">
        <v>492</v>
      </c>
      <c r="D54" s="1760"/>
      <c r="E54" s="616">
        <f>'[1]exchange rates'!$M$12</f>
        <v>711.02919999999995</v>
      </c>
      <c r="F54" s="686">
        <f>12717/E54</f>
        <v>17.885341417764561</v>
      </c>
      <c r="G54" s="593">
        <f>67564/E54</f>
        <v>95.022820441129568</v>
      </c>
      <c r="H54" s="594">
        <v>0</v>
      </c>
      <c r="I54" s="566">
        <f>Tabel66891019283234[[#This Row],[Fix.ch. 2015]]+Tabel66891019283234[[#This Row],[Var. ch. 2015]]+Tabel66891019283234[[#This Row],[Oth. ch. DW 2015]]</f>
        <v>112.90816185889413</v>
      </c>
      <c r="J54" s="596">
        <f>49730/E54</f>
        <v>69.940868813826498</v>
      </c>
      <c r="K54" s="626">
        <v>0</v>
      </c>
      <c r="L54" s="626"/>
      <c r="M54" s="626"/>
      <c r="N54" s="597">
        <v>0</v>
      </c>
      <c r="O54" s="570">
        <v>0</v>
      </c>
      <c r="P54" s="1496">
        <f>Tabel66891019283234[[#This Row],[Total. ch. DW 2015]]+Tabel66891019283234[[#This Row],[Sew. 2015]]+Tabel66891019283234[[#This Row],[WW 2015]]+Tabel66891019283234[[#This Row],[Other ch. 2015]]+Tabel66891019283234[[#This Row],[VAT 2015]]</f>
        <v>182.84903067272063</v>
      </c>
      <c r="Q54" s="397"/>
      <c r="R54" s="1763"/>
      <c r="S54" s="1766"/>
      <c r="T54" s="1769"/>
      <c r="U54" s="1775"/>
      <c r="V54" s="1778"/>
      <c r="W54" s="1781"/>
      <c r="X54" s="1785"/>
      <c r="Y54" s="1788"/>
      <c r="Z54" s="1791"/>
    </row>
    <row r="55" spans="1:26" ht="18.75" hidden="1" customHeight="1" x14ac:dyDescent="0.25">
      <c r="A55" s="2294"/>
      <c r="B55" s="1656"/>
      <c r="C55" s="735" t="s">
        <v>729</v>
      </c>
      <c r="D55" s="1760"/>
      <c r="E55" s="616">
        <f>'[1]exchange rates'!$M$12</f>
        <v>711.02919999999995</v>
      </c>
      <c r="F55" s="686">
        <f>12717/E55</f>
        <v>17.885341417764561</v>
      </c>
      <c r="G55" s="593">
        <f>67564/E55</f>
        <v>95.022820441129568</v>
      </c>
      <c r="H55" s="594">
        <v>0</v>
      </c>
      <c r="I55" s="566">
        <f>Tabel66891019283234[[#This Row],[Fix.ch. 2015]]+Tabel66891019283234[[#This Row],[Var. ch. 2015]]+Tabel66891019283234[[#This Row],[Oth. ch. DW 2015]]</f>
        <v>112.90816185889413</v>
      </c>
      <c r="J55" s="596">
        <f>49730/E55</f>
        <v>69.940868813826498</v>
      </c>
      <c r="K55" s="626">
        <v>0</v>
      </c>
      <c r="L55" s="626"/>
      <c r="M55" s="626"/>
      <c r="N55" s="597">
        <v>0</v>
      </c>
      <c r="O55" s="570">
        <v>0</v>
      </c>
      <c r="P55" s="1496">
        <f>Tabel66891019283234[[#This Row],[Total. ch. DW 2015]]+Tabel66891019283234[[#This Row],[Sew. 2015]]+Tabel66891019283234[[#This Row],[WW 2015]]+Tabel66891019283234[[#This Row],[Other ch. 2015]]+Tabel66891019283234[[#This Row],[VAT 2015]]</f>
        <v>182.84903067272063</v>
      </c>
      <c r="Q55" s="397"/>
      <c r="R55" s="1763"/>
      <c r="S55" s="1766"/>
      <c r="T55" s="1769"/>
      <c r="U55" s="1775"/>
      <c r="V55" s="1778"/>
      <c r="W55" s="1781"/>
      <c r="X55" s="1785"/>
      <c r="Y55" s="1788"/>
      <c r="Z55" s="1791"/>
    </row>
    <row r="56" spans="1:26" ht="18.75" hidden="1" customHeight="1" x14ac:dyDescent="0.25">
      <c r="A56" s="2294"/>
      <c r="B56" s="1656"/>
      <c r="C56" s="735" t="s">
        <v>493</v>
      </c>
      <c r="D56" s="1760"/>
      <c r="E56" s="616">
        <f>'[1]exchange rates'!$M$12</f>
        <v>711.02919999999995</v>
      </c>
      <c r="F56" s="686">
        <f>7685/E56</f>
        <v>10.80827622831805</v>
      </c>
      <c r="G56" s="593">
        <f>40952/E56</f>
        <v>57.595384268325411</v>
      </c>
      <c r="H56" s="594">
        <v>0</v>
      </c>
      <c r="I56" s="566">
        <f>Tabel66891019283234[[#This Row],[Fix.ch. 2015]]+Tabel66891019283234[[#This Row],[Var. ch. 2015]]+Tabel66891019283234[[#This Row],[Oth. ch. DW 2015]]</f>
        <v>68.403660496643454</v>
      </c>
      <c r="J56" s="596">
        <f>52018/E56</f>
        <v>73.158739472302969</v>
      </c>
      <c r="K56" s="626">
        <v>0</v>
      </c>
      <c r="L56" s="626"/>
      <c r="M56" s="626"/>
      <c r="N56" s="597">
        <v>0</v>
      </c>
      <c r="O56" s="570">
        <v>0</v>
      </c>
      <c r="P56" s="1496">
        <f>Tabel66891019283234[[#This Row],[Total. ch. DW 2015]]+Tabel66891019283234[[#This Row],[Sew. 2015]]+Tabel66891019283234[[#This Row],[WW 2015]]+Tabel66891019283234[[#This Row],[Other ch. 2015]]+Tabel66891019283234[[#This Row],[VAT 2015]]</f>
        <v>141.56239996894641</v>
      </c>
      <c r="Q56" s="397"/>
      <c r="R56" s="1763"/>
      <c r="S56" s="1766"/>
      <c r="T56" s="1769"/>
      <c r="U56" s="1775"/>
      <c r="V56" s="1778"/>
      <c r="W56" s="1781"/>
      <c r="X56" s="1785"/>
      <c r="Y56" s="1788"/>
      <c r="Z56" s="1791"/>
    </row>
    <row r="57" spans="1:26" ht="18.75" hidden="1" customHeight="1" x14ac:dyDescent="0.25">
      <c r="A57" s="2294"/>
      <c r="B57" s="1656"/>
      <c r="C57" s="735" t="s">
        <v>730</v>
      </c>
      <c r="D57" s="1760"/>
      <c r="E57" s="616">
        <f>'[1]exchange rates'!$M$12</f>
        <v>711.02919999999995</v>
      </c>
      <c r="F57" s="686">
        <f>12923/E57</f>
        <v>18.17506228998753</v>
      </c>
      <c r="G57" s="593">
        <f>42737/E57</f>
        <v>60.105829690257451</v>
      </c>
      <c r="H57" s="594">
        <v>0</v>
      </c>
      <c r="I57" s="566">
        <f>Tabel66891019283234[[#This Row],[Fix.ch. 2015]]+Tabel66891019283234[[#This Row],[Var. ch. 2015]]+Tabel66891019283234[[#This Row],[Oth. ch. DW 2015]]</f>
        <v>78.280891980244974</v>
      </c>
      <c r="J57" s="596">
        <f>69971/E57</f>
        <v>98.408054127734843</v>
      </c>
      <c r="K57" s="626">
        <v>0</v>
      </c>
      <c r="L57" s="626"/>
      <c r="M57" s="626"/>
      <c r="N57" s="597">
        <v>0</v>
      </c>
      <c r="O57" s="570">
        <v>0</v>
      </c>
      <c r="P57" s="1496">
        <f>Tabel66891019283234[[#This Row],[Total. ch. DW 2015]]+Tabel66891019283234[[#This Row],[Sew. 2015]]+Tabel66891019283234[[#This Row],[WW 2015]]+Tabel66891019283234[[#This Row],[Other ch. 2015]]+Tabel66891019283234[[#This Row],[VAT 2015]]</f>
        <v>176.6889461079798</v>
      </c>
      <c r="Q57" s="397"/>
      <c r="R57" s="1763"/>
      <c r="S57" s="1766"/>
      <c r="T57" s="1769"/>
      <c r="U57" s="1775"/>
      <c r="V57" s="1778"/>
      <c r="W57" s="1781"/>
      <c r="X57" s="1785"/>
      <c r="Y57" s="1788"/>
      <c r="Z57" s="1791"/>
    </row>
    <row r="58" spans="1:26" ht="19.5" hidden="1" customHeight="1" x14ac:dyDescent="0.25">
      <c r="A58" s="2295"/>
      <c r="B58" s="1656"/>
      <c r="C58" s="735" t="s">
        <v>731</v>
      </c>
      <c r="D58" s="1761"/>
      <c r="E58" s="616">
        <f>'[1]exchange rates'!$M$12</f>
        <v>711.02919999999995</v>
      </c>
      <c r="F58" s="686">
        <f>7300/E58</f>
        <v>10.266807607901336</v>
      </c>
      <c r="G58" s="593">
        <f>33603/E58</f>
        <v>47.259662472371041</v>
      </c>
      <c r="H58" s="594">
        <v>0</v>
      </c>
      <c r="I58" s="566">
        <f>Tabel66891019283234[[#This Row],[Fix.ch. 2015]]+Tabel66891019283234[[#This Row],[Var. ch. 2015]]+Tabel66891019283234[[#This Row],[Oth. ch. DW 2015]]</f>
        <v>57.526470080272375</v>
      </c>
      <c r="J58" s="596">
        <f>45248/E58</f>
        <v>63.637330224975294</v>
      </c>
      <c r="K58" s="626">
        <v>0</v>
      </c>
      <c r="L58" s="626"/>
      <c r="M58" s="626"/>
      <c r="N58" s="597">
        <v>0</v>
      </c>
      <c r="O58" s="570">
        <v>0</v>
      </c>
      <c r="P58" s="1496">
        <f>Tabel66891019283234[[#This Row],[Total. ch. DW 2015]]+Tabel66891019283234[[#This Row],[Sew. 2015]]+Tabel66891019283234[[#This Row],[WW 2015]]+Tabel66891019283234[[#This Row],[Other ch. 2015]]+Tabel66891019283234[[#This Row],[VAT 2015]]</f>
        <v>121.16380030524766</v>
      </c>
      <c r="Q58" s="397"/>
      <c r="R58" s="1764"/>
      <c r="S58" s="1767"/>
      <c r="T58" s="1770"/>
      <c r="U58" s="1776"/>
      <c r="V58" s="1779"/>
      <c r="W58" s="1811"/>
      <c r="X58" s="1813"/>
      <c r="Y58" s="1815"/>
      <c r="Z58" s="1794"/>
    </row>
    <row r="59" spans="1:26" ht="18.75" hidden="1" customHeight="1" x14ac:dyDescent="0.25">
      <c r="A59" s="2398" t="s">
        <v>8</v>
      </c>
      <c r="B59" s="1650"/>
      <c r="C59" s="1497" t="s">
        <v>78</v>
      </c>
      <c r="D59" s="2401">
        <v>14300</v>
      </c>
      <c r="E59" s="647">
        <f>'[1]exchange rates'!$M$13</f>
        <v>6.5138100000000003</v>
      </c>
      <c r="F59" s="686">
        <f>(2.07*100)/E59</f>
        <v>31.77863646621562</v>
      </c>
      <c r="G59" s="593">
        <v>0</v>
      </c>
      <c r="H59" s="594">
        <f>(1.57*100)/E59</f>
        <v>24.10263731978673</v>
      </c>
      <c r="I59" s="566">
        <f>Tabel66891019283234[[#This Row],[Fix.ch. 2015]]+Tabel66891019283234[[#This Row],[Var. ch. 2015]]+Tabel66891019283234[[#This Row],[Oth. ch. DW 2015]]</f>
        <v>55.881273786002353</v>
      </c>
      <c r="J59" s="596">
        <v>0</v>
      </c>
      <c r="K59" s="626">
        <f>(1.36*100)/E59</f>
        <v>20.878717678286595</v>
      </c>
      <c r="L59" s="626"/>
      <c r="M59" s="626"/>
      <c r="N59" s="597">
        <v>0</v>
      </c>
      <c r="O59" s="570">
        <v>0</v>
      </c>
      <c r="P59" s="1496">
        <f>Tabel66891019283234[[#This Row],[Total. ch. DW 2015]]+Tabel66891019283234[[#This Row],[Sew. 2015]]+Tabel66891019283234[[#This Row],[WW 2015]]+Tabel66891019283234[[#This Row],[Other ch. 2015]]+Tabel66891019283234[[#This Row],[VAT 2015]]</f>
        <v>76.759991464288944</v>
      </c>
      <c r="Q59" s="397"/>
      <c r="R59" s="2402">
        <f t="shared" ref="R59:W59" si="14">SUM(F59:F63)/5</f>
        <v>33.405948285258553</v>
      </c>
      <c r="S59" s="2403">
        <f t="shared" si="14"/>
        <v>0</v>
      </c>
      <c r="T59" s="2404">
        <f t="shared" si="14"/>
        <v>9.0883829893718122</v>
      </c>
      <c r="U59" s="2397">
        <f t="shared" si="14"/>
        <v>42.494331274630369</v>
      </c>
      <c r="V59" s="2392">
        <f t="shared" si="14"/>
        <v>0</v>
      </c>
      <c r="W59" s="2393">
        <f t="shared" si="14"/>
        <v>17.685502033372174</v>
      </c>
      <c r="X59" s="2394">
        <f t="shared" ref="X59:Z59" si="15">SUM(N59:N63)/5</f>
        <v>0</v>
      </c>
      <c r="Y59" s="2395">
        <f t="shared" si="15"/>
        <v>0</v>
      </c>
      <c r="Z59" s="2396">
        <f t="shared" si="15"/>
        <v>60.179833308002529</v>
      </c>
    </row>
    <row r="60" spans="1:26" ht="15.75" hidden="1" x14ac:dyDescent="0.25">
      <c r="A60" s="2399"/>
      <c r="B60" s="1650"/>
      <c r="C60" s="633" t="s">
        <v>79</v>
      </c>
      <c r="D60" s="1880"/>
      <c r="E60" s="647">
        <f>'[1]exchange rates'!$M$13</f>
        <v>6.5138100000000003</v>
      </c>
      <c r="F60" s="686">
        <f>(1.92*100)/E60</f>
        <v>29.475836722286957</v>
      </c>
      <c r="G60" s="593">
        <v>0</v>
      </c>
      <c r="H60" s="594">
        <v>0</v>
      </c>
      <c r="I60" s="566">
        <f>Tabel66891019283234[[#This Row],[Fix.ch. 2015]]+Tabel66891019283234[[#This Row],[Var. ch. 2015]]+Tabel66891019283234[[#This Row],[Oth. ch. DW 2015]]</f>
        <v>29.475836722286957</v>
      </c>
      <c r="J60" s="596">
        <v>0</v>
      </c>
      <c r="K60" s="626">
        <f>(1.7*100)/E60</f>
        <v>26.098397097858243</v>
      </c>
      <c r="L60" s="626"/>
      <c r="M60" s="626"/>
      <c r="N60" s="597">
        <v>0</v>
      </c>
      <c r="O60" s="570">
        <v>0</v>
      </c>
      <c r="P60" s="1496">
        <f>Tabel66891019283234[[#This Row],[Total. ch. DW 2015]]+Tabel66891019283234[[#This Row],[Sew. 2015]]+Tabel66891019283234[[#This Row],[WW 2015]]+Tabel66891019283234[[#This Row],[Other ch. 2015]]+Tabel66891019283234[[#This Row],[VAT 2015]]</f>
        <v>55.574233820145196</v>
      </c>
      <c r="Q60" s="397"/>
      <c r="R60" s="1886"/>
      <c r="S60" s="1888"/>
      <c r="T60" s="1890"/>
      <c r="U60" s="1892"/>
      <c r="V60" s="1894"/>
      <c r="W60" s="1911"/>
      <c r="X60" s="1913"/>
      <c r="Y60" s="1915"/>
      <c r="Z60" s="1832"/>
    </row>
    <row r="61" spans="1:26" ht="15.75" hidden="1" x14ac:dyDescent="0.25">
      <c r="A61" s="2399"/>
      <c r="B61" s="1650"/>
      <c r="C61" s="633" t="s">
        <v>80</v>
      </c>
      <c r="D61" s="1880"/>
      <c r="E61" s="647">
        <f>'[1]exchange rates'!$M$13</f>
        <v>6.5138100000000003</v>
      </c>
      <c r="F61" s="686">
        <f>(2.61*100)/E61</f>
        <v>40.068715544358831</v>
      </c>
      <c r="G61" s="593">
        <v>0</v>
      </c>
      <c r="H61" s="594">
        <f>(1.39*100)/E61</f>
        <v>21.339277627072327</v>
      </c>
      <c r="I61" s="566">
        <f>Tabel66891019283234[[#This Row],[Fix.ch. 2015]]+Tabel66891019283234[[#This Row],[Var. ch. 2015]]+Tabel66891019283234[[#This Row],[Oth. ch. DW 2015]]</f>
        <v>61.407993171431158</v>
      </c>
      <c r="J61" s="596">
        <v>0</v>
      </c>
      <c r="K61" s="626">
        <f>(0.9*100)/E61</f>
        <v>13.81679846357201</v>
      </c>
      <c r="L61" s="626"/>
      <c r="M61" s="626"/>
      <c r="N61" s="597">
        <v>0</v>
      </c>
      <c r="O61" s="570">
        <v>0</v>
      </c>
      <c r="P61" s="1496">
        <f>Tabel66891019283234[[#This Row],[Total. ch. DW 2015]]+Tabel66891019283234[[#This Row],[Sew. 2015]]+Tabel66891019283234[[#This Row],[WW 2015]]+Tabel66891019283234[[#This Row],[Other ch. 2015]]+Tabel66891019283234[[#This Row],[VAT 2015]]</f>
        <v>75.224791635003172</v>
      </c>
      <c r="Q61" s="397"/>
      <c r="R61" s="1886"/>
      <c r="S61" s="1888"/>
      <c r="T61" s="1890"/>
      <c r="U61" s="1892"/>
      <c r="V61" s="1894"/>
      <c r="W61" s="1911"/>
      <c r="X61" s="1913"/>
      <c r="Y61" s="1915"/>
      <c r="Z61" s="1832"/>
    </row>
    <row r="62" spans="1:26" ht="15.75" hidden="1" x14ac:dyDescent="0.25">
      <c r="A62" s="2399"/>
      <c r="B62" s="1650"/>
      <c r="C62" s="633" t="s">
        <v>81</v>
      </c>
      <c r="D62" s="1880"/>
      <c r="E62" s="647">
        <f>'[1]exchange rates'!$M$13</f>
        <v>6.5138100000000003</v>
      </c>
      <c r="F62" s="686">
        <f>(2.3*100)/E62</f>
        <v>35.309596073572912</v>
      </c>
      <c r="G62" s="593">
        <v>0</v>
      </c>
      <c r="H62" s="594">
        <v>0</v>
      </c>
      <c r="I62" s="566">
        <f>Tabel66891019283234[[#This Row],[Fix.ch. 2015]]+Tabel66891019283234[[#This Row],[Var. ch. 2015]]+Tabel66891019283234[[#This Row],[Oth. ch. DW 2015]]</f>
        <v>35.309596073572912</v>
      </c>
      <c r="J62" s="596">
        <v>0</v>
      </c>
      <c r="K62" s="626">
        <f>(0.9*100)/E62</f>
        <v>13.81679846357201</v>
      </c>
      <c r="L62" s="626"/>
      <c r="M62" s="626"/>
      <c r="N62" s="597">
        <v>0</v>
      </c>
      <c r="O62" s="570">
        <v>0</v>
      </c>
      <c r="P62" s="1496">
        <f>Tabel66891019283234[[#This Row],[Total. ch. DW 2015]]+Tabel66891019283234[[#This Row],[Sew. 2015]]+Tabel66891019283234[[#This Row],[WW 2015]]+Tabel66891019283234[[#This Row],[Other ch. 2015]]+Tabel66891019283234[[#This Row],[VAT 2015]]</f>
        <v>49.126394537144918</v>
      </c>
      <c r="Q62" s="397"/>
      <c r="R62" s="1886"/>
      <c r="S62" s="1888"/>
      <c r="T62" s="1890"/>
      <c r="U62" s="1892"/>
      <c r="V62" s="1894"/>
      <c r="W62" s="1911"/>
      <c r="X62" s="1913"/>
      <c r="Y62" s="1915"/>
      <c r="Z62" s="1832"/>
    </row>
    <row r="63" spans="1:26" ht="16.5" hidden="1" thickBot="1" x14ac:dyDescent="0.3">
      <c r="A63" s="2400"/>
      <c r="B63" s="1650"/>
      <c r="C63" s="634" t="s">
        <v>468</v>
      </c>
      <c r="D63" s="1923"/>
      <c r="E63" s="647">
        <f>'[1]exchange rates'!$M$13</f>
        <v>6.5138100000000003</v>
      </c>
      <c r="F63" s="686">
        <f>(1.98*100)/E63</f>
        <v>30.396956619858422</v>
      </c>
      <c r="G63" s="593">
        <v>0</v>
      </c>
      <c r="H63" s="594">
        <v>0</v>
      </c>
      <c r="I63" s="566">
        <f>Tabel66891019283234[[#This Row],[Fix.ch. 2015]]+Tabel66891019283234[[#This Row],[Var. ch. 2015]]+Tabel66891019283234[[#This Row],[Oth. ch. DW 2015]]</f>
        <v>30.396956619858422</v>
      </c>
      <c r="J63" s="596">
        <v>0</v>
      </c>
      <c r="K63" s="626">
        <f>(0.9*100)/E63</f>
        <v>13.81679846357201</v>
      </c>
      <c r="L63" s="626"/>
      <c r="M63" s="626"/>
      <c r="N63" s="597">
        <v>0</v>
      </c>
      <c r="O63" s="570">
        <v>0</v>
      </c>
      <c r="P63" s="1496">
        <f>Tabel66891019283234[[#This Row],[Total. ch. DW 2015]]+Tabel66891019283234[[#This Row],[Sew. 2015]]+Tabel66891019283234[[#This Row],[WW 2015]]+Tabel66891019283234[[#This Row],[Other ch. 2015]]+Tabel66891019283234[[#This Row],[VAT 2015]]</f>
        <v>44.213755083430428</v>
      </c>
      <c r="Q63" s="397"/>
      <c r="R63" s="1970"/>
      <c r="S63" s="1973"/>
      <c r="T63" s="1976"/>
      <c r="U63" s="1979"/>
      <c r="V63" s="1982"/>
      <c r="W63" s="1956"/>
      <c r="X63" s="1959"/>
      <c r="Y63" s="1962"/>
      <c r="Z63" s="1965"/>
    </row>
    <row r="64" spans="1:26" ht="19.5" hidden="1" thickBot="1" x14ac:dyDescent="0.35">
      <c r="A64" s="694" t="s">
        <v>585</v>
      </c>
      <c r="B64" s="1620"/>
      <c r="C64" s="735" t="s">
        <v>84</v>
      </c>
      <c r="D64" s="1501">
        <v>57000</v>
      </c>
      <c r="E64" s="616">
        <f>'[1]exchange rates'!M14</f>
        <v>7.77562</v>
      </c>
      <c r="F64" s="686">
        <v>0</v>
      </c>
      <c r="G64" s="593">
        <f>262.08/E64</f>
        <v>33.705350827329525</v>
      </c>
      <c r="H64" s="594">
        <v>0</v>
      </c>
      <c r="I64" s="566">
        <f>Tabel66891019283234[[#This Row],[Fix.ch. 2015]]+Tabel66891019283234[[#This Row],[Var. ch. 2015]]+Tabel66891019283234[[#This Row],[Oth. ch. DW 2015]]</f>
        <v>33.705350827329525</v>
      </c>
      <c r="J64" s="596">
        <v>0</v>
      </c>
      <c r="K64" s="626">
        <f>217/E64</f>
        <v>27.907742405107246</v>
      </c>
      <c r="L64" s="626"/>
      <c r="M64" s="626"/>
      <c r="N64" s="597">
        <v>0</v>
      </c>
      <c r="O64" s="570">
        <v>0</v>
      </c>
      <c r="P64" s="1496">
        <f>Tabel66891019283234[[#This Row],[Total. ch. DW 2015]]+Tabel66891019283234[[#This Row],[Sew. 2015]]+Tabel66891019283234[[#This Row],[WW 2015]]+Tabel66891019283234[[#This Row],[Other ch. 2015]]+Tabel66891019283234[[#This Row],[VAT 2015]]</f>
        <v>61.613093232436768</v>
      </c>
      <c r="Q64" s="397"/>
      <c r="R64" s="1502">
        <v>0</v>
      </c>
      <c r="S64" s="1503">
        <f>Tabel66891019283234[[#This Row],[Var. ch. 2015]]</f>
        <v>33.705350827329525</v>
      </c>
      <c r="T64" s="1504">
        <v>0</v>
      </c>
      <c r="U64" s="1505">
        <f>SUM(R64:T64)</f>
        <v>33.705350827329525</v>
      </c>
      <c r="V64" s="1506">
        <v>0</v>
      </c>
      <c r="W64" s="1507">
        <f>Tabel66891019283234[[#This Row],[WW 2015]]</f>
        <v>27.907742405107246</v>
      </c>
      <c r="X64" s="1508">
        <v>0</v>
      </c>
      <c r="Y64" s="1509">
        <v>0</v>
      </c>
      <c r="Z64" s="1510">
        <f>SUM(U64:Y64)</f>
        <v>61.613093232436768</v>
      </c>
    </row>
    <row r="65" spans="1:26" ht="15.75" hidden="1" x14ac:dyDescent="0.25">
      <c r="A65" s="1818" t="s">
        <v>9</v>
      </c>
      <c r="B65" s="1656"/>
      <c r="C65" s="1511" t="s">
        <v>82</v>
      </c>
      <c r="D65" s="2343">
        <v>47500</v>
      </c>
      <c r="E65" s="616">
        <f>'[1]exchange rates'!M15</f>
        <v>33.06664</v>
      </c>
      <c r="F65" s="686">
        <f>780/E65</f>
        <v>23.588728700587662</v>
      </c>
      <c r="G65" s="593">
        <f>478/E65</f>
        <v>14.455656819078079</v>
      </c>
      <c r="H65" s="594">
        <v>0</v>
      </c>
      <c r="I65" s="566">
        <f>Tabel66891019283234[[#This Row],[Fix.ch. 2015]]+Tabel66891019283234[[#This Row],[Var. ch. 2015]]+Tabel66891019283234[[#This Row],[Oth. ch. DW 2015]]</f>
        <v>38.044385519665738</v>
      </c>
      <c r="J65" s="596">
        <f>500/E65</f>
        <v>15.120979936274143</v>
      </c>
      <c r="K65" s="626">
        <v>0</v>
      </c>
      <c r="L65" s="626"/>
      <c r="M65" s="626"/>
      <c r="N65" s="597">
        <f>20/E65</f>
        <v>0.6048391974509657</v>
      </c>
      <c r="O65" s="570">
        <f>63/E65</f>
        <v>1.905243471970542</v>
      </c>
      <c r="P65" s="1496">
        <f>Tabel66891019283234[[#This Row],[Total. ch. DW 2015]]+Tabel66891019283234[[#This Row],[Sew. 2015]]+Tabel66891019283234[[#This Row],[WW 2015]]+Tabel66891019283234[[#This Row],[Other ch. 2015]]+Tabel66891019283234[[#This Row],[VAT 2015]]</f>
        <v>55.675448125361385</v>
      </c>
      <c r="Q65" s="397"/>
      <c r="R65" s="2344">
        <f>MEDIAN(F65:F66)</f>
        <v>18.931466880215226</v>
      </c>
      <c r="S65" s="2345">
        <f>MEDIAN(G65:G66)</f>
        <v>17.812514364930941</v>
      </c>
      <c r="T65" s="2350">
        <f>MEDIAN(H65:H66)</f>
        <v>0.52923429776959496</v>
      </c>
      <c r="U65" s="2340">
        <f>SUM(R65:T66)</f>
        <v>37.273215542915764</v>
      </c>
      <c r="V65" s="2351">
        <f>MEDIAN(J65:J66)</f>
        <v>15.120979936274143</v>
      </c>
      <c r="W65" s="2352">
        <f>MEDIAN(K65:K66)</f>
        <v>0</v>
      </c>
      <c r="X65" s="2341">
        <f>MEDIAN(N65:N66)</f>
        <v>6.3508115732351396</v>
      </c>
      <c r="Y65" s="2342">
        <f>MEDIAN(O65:O66)</f>
        <v>1.7842756324803488</v>
      </c>
      <c r="Z65" s="2339">
        <f>SUM(U65:Y66)</f>
        <v>60.529282684905397</v>
      </c>
    </row>
    <row r="66" spans="1:26" ht="16.5" hidden="1" thickBot="1" x14ac:dyDescent="0.3">
      <c r="A66" s="2295"/>
      <c r="B66" s="1656"/>
      <c r="C66" s="735" t="s">
        <v>83</v>
      </c>
      <c r="D66" s="1923"/>
      <c r="E66" s="616">
        <f>'[1]exchange rates'!M15</f>
        <v>33.06664</v>
      </c>
      <c r="F66" s="686">
        <f>472/E66</f>
        <v>14.274205059842791</v>
      </c>
      <c r="G66" s="593">
        <f>700/E66</f>
        <v>21.169371910783799</v>
      </c>
      <c r="H66" s="594">
        <f>35/E66</f>
        <v>1.0584685955391899</v>
      </c>
      <c r="I66" s="566">
        <f>Tabel66891019283234[[#This Row],[Fix.ch. 2015]]+Tabel66891019283234[[#This Row],[Var. ch. 2015]]+Tabel66891019283234[[#This Row],[Oth. ch. DW 2015]]</f>
        <v>36.502045566165776</v>
      </c>
      <c r="J66" s="596">
        <f>500/E66</f>
        <v>15.120979936274143</v>
      </c>
      <c r="K66" s="626">
        <v>0</v>
      </c>
      <c r="L66" s="626"/>
      <c r="M66" s="626"/>
      <c r="N66" s="597">
        <f>400/E66</f>
        <v>12.096783949019313</v>
      </c>
      <c r="O66" s="570">
        <f>55/E66</f>
        <v>1.6633077929901556</v>
      </c>
      <c r="P66" s="1496">
        <f>Tabel66891019283234[[#This Row],[Total. ch. DW 2015]]+Tabel66891019283234[[#This Row],[Sew. 2015]]+Tabel66891019283234[[#This Row],[WW 2015]]+Tabel66891019283234[[#This Row],[Other ch. 2015]]+Tabel66891019283234[[#This Row],[VAT 2015]]</f>
        <v>65.38311724444938</v>
      </c>
      <c r="Q66" s="397"/>
      <c r="R66" s="1970"/>
      <c r="S66" s="1973"/>
      <c r="T66" s="1976"/>
      <c r="U66" s="1979"/>
      <c r="V66" s="1982"/>
      <c r="W66" s="1956"/>
      <c r="X66" s="1959"/>
      <c r="Y66" s="1962"/>
      <c r="Z66" s="1965"/>
    </row>
    <row r="67" spans="1:26" ht="15.75" hidden="1" x14ac:dyDescent="0.25">
      <c r="A67" s="1878" t="s">
        <v>10</v>
      </c>
      <c r="B67" s="1656"/>
      <c r="C67" s="1512" t="s">
        <v>85</v>
      </c>
      <c r="D67" s="2343">
        <v>31000</v>
      </c>
      <c r="E67" s="617">
        <f>'[1]exchange rates'!$M$16</f>
        <v>0.92093999999999998</v>
      </c>
      <c r="F67" s="686">
        <f>66/E67</f>
        <v>71.665906573718161</v>
      </c>
      <c r="G67" s="593">
        <f>94/E67</f>
        <v>102.06962451408344</v>
      </c>
      <c r="H67" s="594">
        <v>0</v>
      </c>
      <c r="I67" s="566">
        <f>Tabel66891019283234[[#This Row],[Fix.ch. 2015]]+Tabel66891019283234[[#This Row],[Var. ch. 2015]]+Tabel66891019283234[[#This Row],[Oth. ch. DW 2015]]</f>
        <v>173.7355310878016</v>
      </c>
      <c r="J67" s="596">
        <f>50/E67</f>
        <v>54.292353464937996</v>
      </c>
      <c r="K67" s="626">
        <f>160/E67</f>
        <v>173.7355310878016</v>
      </c>
      <c r="L67" s="626"/>
      <c r="M67" s="626"/>
      <c r="N67" s="597">
        <f>40/E67</f>
        <v>43.433882771950401</v>
      </c>
      <c r="O67" s="570">
        <f>8/E67</f>
        <v>8.6867765543900806</v>
      </c>
      <c r="P67" s="1496">
        <f>Tabel66891019283234[[#This Row],[Total. ch. DW 2015]]+Tabel66891019283234[[#This Row],[Sew. 2015]]+Tabel66891019283234[[#This Row],[WW 2015]]+Tabel66891019283234[[#This Row],[Other ch. 2015]]+Tabel66891019283234[[#This Row],[VAT 2015]]</f>
        <v>453.88407496688166</v>
      </c>
      <c r="Q67" s="397"/>
      <c r="R67" s="2344">
        <f t="shared" ref="R67:W67" si="16">SUM(F67:F70)/4</f>
        <v>60.264512346081176</v>
      </c>
      <c r="S67" s="2345">
        <f t="shared" si="16"/>
        <v>98.974960366581968</v>
      </c>
      <c r="T67" s="2350">
        <f t="shared" si="16"/>
        <v>0</v>
      </c>
      <c r="U67" s="2340">
        <f t="shared" si="16"/>
        <v>159.23947271266314</v>
      </c>
      <c r="V67" s="2351">
        <f t="shared" si="16"/>
        <v>56.464047603535519</v>
      </c>
      <c r="W67" s="2352">
        <f t="shared" si="16"/>
        <v>183.0113796772863</v>
      </c>
      <c r="X67" s="2341">
        <f t="shared" ref="X67:Z67" si="17">SUM(N67:N70)/4</f>
        <v>29.589332638391209</v>
      </c>
      <c r="Y67" s="2342">
        <f t="shared" si="17"/>
        <v>7.9619736356331581</v>
      </c>
      <c r="Z67" s="2339">
        <f t="shared" si="17"/>
        <v>436.26620626750935</v>
      </c>
    </row>
    <row r="68" spans="1:26" ht="15.75" hidden="1" x14ac:dyDescent="0.25">
      <c r="A68" s="1757"/>
      <c r="B68" s="1656"/>
      <c r="C68" s="639" t="s">
        <v>1347</v>
      </c>
      <c r="D68" s="1760"/>
      <c r="E68" s="617">
        <f>'[1]exchange rates'!$M$16</f>
        <v>0.92093999999999998</v>
      </c>
      <c r="F68" s="686">
        <f>42/E68</f>
        <v>45.605576910547917</v>
      </c>
      <c r="G68" s="593">
        <f>96/E68</f>
        <v>104.24131865268096</v>
      </c>
      <c r="H68" s="594">
        <v>0</v>
      </c>
      <c r="I68" s="566">
        <f>Tabel66891019283234[[#This Row],[Fix.ch. 2015]]+Tabel66891019283234[[#This Row],[Var. ch. 2015]]+Tabel66891019283234[[#This Row],[Oth. ch. DW 2015]]</f>
        <v>149.84689556322888</v>
      </c>
      <c r="J68" s="596">
        <f>55/E68</f>
        <v>59.721588811431801</v>
      </c>
      <c r="K68" s="626">
        <f>225.12/E68</f>
        <v>244.44589224053686</v>
      </c>
      <c r="L68" s="626"/>
      <c r="M68" s="626"/>
      <c r="N68" s="597">
        <v>0</v>
      </c>
      <c r="O68" s="570">
        <f>6.9/E68</f>
        <v>7.4923447781614438</v>
      </c>
      <c r="P68" s="1496">
        <f>Tabel66891019283234[[#This Row],[Total. ch. DW 2015]]+Tabel66891019283234[[#This Row],[Sew. 2015]]+Tabel66891019283234[[#This Row],[WW 2015]]+Tabel66891019283234[[#This Row],[Other ch. 2015]]+Tabel66891019283234[[#This Row],[VAT 2015]]</f>
        <v>461.50672139335899</v>
      </c>
      <c r="Q68" s="397"/>
      <c r="R68" s="1763"/>
      <c r="S68" s="1766"/>
      <c r="T68" s="1769"/>
      <c r="U68" s="1775"/>
      <c r="V68" s="1778"/>
      <c r="W68" s="1781"/>
      <c r="X68" s="1785"/>
      <c r="Y68" s="1788"/>
      <c r="Z68" s="1791"/>
    </row>
    <row r="69" spans="1:26" ht="15.75" hidden="1" x14ac:dyDescent="0.25">
      <c r="A69" s="1757"/>
      <c r="B69" s="1656"/>
      <c r="C69" s="639" t="s">
        <v>1348</v>
      </c>
      <c r="D69" s="1760"/>
      <c r="E69" s="617">
        <f>'[1]exchange rates'!$M$16</f>
        <v>0.92093999999999998</v>
      </c>
      <c r="F69" s="686">
        <f>66/E69</f>
        <v>71.665906573718161</v>
      </c>
      <c r="G69" s="593">
        <f>90/E69</f>
        <v>97.726236236888397</v>
      </c>
      <c r="H69" s="594">
        <v>0</v>
      </c>
      <c r="I69" s="566">
        <f>Tabel66891019283234[[#This Row],[Fix.ch. 2015]]+Tabel66891019283234[[#This Row],[Var. ch. 2015]]+Tabel66891019283234[[#This Row],[Oth. ch. DW 2015]]</f>
        <v>169.39214281060657</v>
      </c>
      <c r="J69" s="596">
        <f>60/E69</f>
        <v>65.150824157925598</v>
      </c>
      <c r="K69" s="626">
        <f>157.05/E69</f>
        <v>170.53228223337027</v>
      </c>
      <c r="L69" s="626"/>
      <c r="M69" s="626"/>
      <c r="N69" s="597">
        <f>36/E69</f>
        <v>39.090494494755362</v>
      </c>
      <c r="O69" s="570">
        <f>7.8/E69</f>
        <v>8.4696071405303268</v>
      </c>
      <c r="P69" s="1496">
        <f>Tabel66891019283234[[#This Row],[Total. ch. DW 2015]]+Tabel66891019283234[[#This Row],[Sew. 2015]]+Tabel66891019283234[[#This Row],[WW 2015]]+Tabel66891019283234[[#This Row],[Other ch. 2015]]+Tabel66891019283234[[#This Row],[VAT 2015]]</f>
        <v>452.63535083718818</v>
      </c>
      <c r="Q69" s="397"/>
      <c r="R69" s="1763"/>
      <c r="S69" s="1766"/>
      <c r="T69" s="1769"/>
      <c r="U69" s="1775"/>
      <c r="V69" s="1778"/>
      <c r="W69" s="1781"/>
      <c r="X69" s="1785"/>
      <c r="Y69" s="1788"/>
      <c r="Z69" s="1791"/>
    </row>
    <row r="70" spans="1:26" ht="16.5" hidden="1" thickBot="1" x14ac:dyDescent="0.3">
      <c r="A70" s="1758"/>
      <c r="B70" s="1656"/>
      <c r="C70" s="1168" t="s">
        <v>86</v>
      </c>
      <c r="D70" s="1923"/>
      <c r="E70" s="617">
        <f>'[1]exchange rates'!$M$16</f>
        <v>0.92093999999999998</v>
      </c>
      <c r="F70" s="686">
        <f>48/E70</f>
        <v>52.12065932634048</v>
      </c>
      <c r="G70" s="593">
        <f>84.6/E70</f>
        <v>91.862662062675085</v>
      </c>
      <c r="H70" s="594">
        <v>0</v>
      </c>
      <c r="I70" s="566">
        <f>Tabel66891019283234[[#This Row],[Fix.ch. 2015]]+Tabel66891019283234[[#This Row],[Var. ch. 2015]]+Tabel66891019283234[[#This Row],[Oth. ch. DW 2015]]</f>
        <v>143.98332138901557</v>
      </c>
      <c r="J70" s="596">
        <f>43/E70</f>
        <v>46.691423979846682</v>
      </c>
      <c r="K70" s="626">
        <f>132/E70</f>
        <v>143.33181314743632</v>
      </c>
      <c r="L70" s="626"/>
      <c r="M70" s="626"/>
      <c r="N70" s="597">
        <f>33/E70</f>
        <v>35.83295328685908</v>
      </c>
      <c r="O70" s="570">
        <f>6.63/E70</f>
        <v>7.1991660694507784</v>
      </c>
      <c r="P70" s="1496">
        <f>Tabel66891019283234[[#This Row],[Total. ch. DW 2015]]+Tabel66891019283234[[#This Row],[Sew. 2015]]+Tabel66891019283234[[#This Row],[WW 2015]]+Tabel66891019283234[[#This Row],[Other ch. 2015]]+Tabel66891019283234[[#This Row],[VAT 2015]]</f>
        <v>377.03867787260845</v>
      </c>
      <c r="Q70" s="397"/>
      <c r="R70" s="1970"/>
      <c r="S70" s="1973"/>
      <c r="T70" s="1976"/>
      <c r="U70" s="1979"/>
      <c r="V70" s="1982"/>
      <c r="W70" s="1956"/>
      <c r="X70" s="1959"/>
      <c r="Y70" s="1962"/>
      <c r="Z70" s="1965"/>
    </row>
    <row r="71" spans="1:26" ht="15.75" hidden="1" x14ac:dyDescent="0.25">
      <c r="A71" s="1818" t="s">
        <v>11</v>
      </c>
      <c r="B71" s="1656"/>
      <c r="C71" s="543" t="s">
        <v>87</v>
      </c>
      <c r="D71" s="2343">
        <v>45800</v>
      </c>
      <c r="E71" s="661">
        <f>'[1]exchange rates'!$M$17</f>
        <v>6.8727499999999999</v>
      </c>
      <c r="F71" s="686">
        <f>975.04/E71</f>
        <v>141.87043032265103</v>
      </c>
      <c r="G71" s="593">
        <f>439.8/E71</f>
        <v>63.991851878796702</v>
      </c>
      <c r="H71" s="594">
        <f>653/E71</f>
        <v>95.012913317085591</v>
      </c>
      <c r="I71" s="566">
        <f>Tabel66891019283234[[#This Row],[Fix.ch. 2015]]+Tabel66891019283234[[#This Row],[Var. ch. 2015]]+Tabel66891019283234[[#This Row],[Oth. ch. DW 2015]]</f>
        <v>300.8751955185333</v>
      </c>
      <c r="J71" s="596">
        <v>0</v>
      </c>
      <c r="K71" s="626">
        <f>2558/E71</f>
        <v>372.19453639372887</v>
      </c>
      <c r="L71" s="626"/>
      <c r="M71" s="626"/>
      <c r="N71" s="597">
        <f>58/E71</f>
        <v>8.4391255319922891</v>
      </c>
      <c r="O71" s="570">
        <f>1170.96/E71</f>
        <v>170.37721436106364</v>
      </c>
      <c r="P71" s="1496">
        <f>Tabel66891019283234[[#This Row],[Total. ch. DW 2015]]+Tabel66891019283234[[#This Row],[Sew. 2015]]+Tabel66891019283234[[#This Row],[WW 2015]]+Tabel66891019283234[[#This Row],[Other ch. 2015]]+Tabel66891019283234[[#This Row],[VAT 2015]]</f>
        <v>851.88607180531812</v>
      </c>
      <c r="Q71" s="397"/>
      <c r="R71" s="2344">
        <f t="shared" ref="R71:W71" si="18">SUM(F71:F75)/5</f>
        <v>88.78658470044742</v>
      </c>
      <c r="S71" s="2345">
        <f t="shared" si="18"/>
        <v>108.78323815066749</v>
      </c>
      <c r="T71" s="2350">
        <f t="shared" si="18"/>
        <v>95.012913317085591</v>
      </c>
      <c r="U71" s="2340">
        <f t="shared" si="18"/>
        <v>292.58273616820054</v>
      </c>
      <c r="V71" s="2351">
        <f t="shared" si="18"/>
        <v>0</v>
      </c>
      <c r="W71" s="2352">
        <f t="shared" si="18"/>
        <v>383.74275217343859</v>
      </c>
      <c r="X71" s="2341">
        <f t="shared" ref="X71:Z71" si="19">SUM(N71:N75)/5</f>
        <v>7.59521297879306</v>
      </c>
      <c r="Y71" s="2342">
        <f t="shared" si="19"/>
        <v>170.98017533010804</v>
      </c>
      <c r="Z71" s="2339">
        <f t="shared" si="19"/>
        <v>854.90087665054011</v>
      </c>
    </row>
    <row r="72" spans="1:26" ht="15.75" hidden="1" x14ac:dyDescent="0.25">
      <c r="A72" s="2294"/>
      <c r="B72" s="1656"/>
      <c r="C72" s="543" t="s">
        <v>213</v>
      </c>
      <c r="D72" s="1880"/>
      <c r="E72" s="661">
        <f>'[1]exchange rates'!$M$17</f>
        <v>6.8727499999999999</v>
      </c>
      <c r="F72" s="686">
        <f>550/E72</f>
        <v>80.026190389582041</v>
      </c>
      <c r="G72" s="593">
        <f>1071/E72</f>
        <v>155.83281801316795</v>
      </c>
      <c r="H72" s="594">
        <f t="shared" ref="H72:H75" si="20">653/E72</f>
        <v>95.012913317085591</v>
      </c>
      <c r="I72" s="566">
        <f>Tabel66891019283234[[#This Row],[Fix.ch. 2015]]+Tabel66891019283234[[#This Row],[Var. ch. 2015]]+Tabel66891019283234[[#This Row],[Oth. ch. DW 2015]]</f>
        <v>330.8719217198356</v>
      </c>
      <c r="J72" s="596">
        <v>0</v>
      </c>
      <c r="K72" s="626">
        <f>2937.2/E72</f>
        <v>427.36895711323706</v>
      </c>
      <c r="L72" s="626"/>
      <c r="M72" s="626"/>
      <c r="N72" s="597">
        <f>50/E72</f>
        <v>7.2751082172347319</v>
      </c>
      <c r="O72" s="570">
        <f>1315.3/E72</f>
        <v>191.37899676257683</v>
      </c>
      <c r="P72" s="1496">
        <f>Tabel66891019283234[[#This Row],[Total. ch. DW 2015]]+Tabel66891019283234[[#This Row],[Sew. 2015]]+Tabel66891019283234[[#This Row],[WW 2015]]+Tabel66891019283234[[#This Row],[Other ch. 2015]]+Tabel66891019283234[[#This Row],[VAT 2015]]</f>
        <v>956.89498381288422</v>
      </c>
      <c r="Q72" s="397"/>
      <c r="R72" s="1886"/>
      <c r="S72" s="1888"/>
      <c r="T72" s="1890"/>
      <c r="U72" s="1892"/>
      <c r="V72" s="1894"/>
      <c r="W72" s="1911"/>
      <c r="X72" s="1913"/>
      <c r="Y72" s="1915"/>
      <c r="Z72" s="1832"/>
    </row>
    <row r="73" spans="1:26" ht="15.75" hidden="1" x14ac:dyDescent="0.25">
      <c r="A73" s="2294"/>
      <c r="B73" s="1656"/>
      <c r="C73" s="543" t="s">
        <v>88</v>
      </c>
      <c r="D73" s="1880"/>
      <c r="E73" s="661">
        <f>'[1]exchange rates'!$M$17</f>
        <v>6.8727499999999999</v>
      </c>
      <c r="F73" s="686">
        <f>384/E73</f>
        <v>55.872831108362739</v>
      </c>
      <c r="G73" s="593">
        <f>867/E73</f>
        <v>126.15037648685025</v>
      </c>
      <c r="H73" s="594">
        <f t="shared" si="20"/>
        <v>95.012913317085591</v>
      </c>
      <c r="I73" s="566">
        <f>Tabel66891019283234[[#This Row],[Fix.ch. 2015]]+Tabel66891019283234[[#This Row],[Var. ch. 2015]]+Tabel66891019283234[[#This Row],[Oth. ch. DW 2015]]</f>
        <v>277.0361209122986</v>
      </c>
      <c r="J73" s="596">
        <v>0</v>
      </c>
      <c r="K73" s="626">
        <f>1423.2/E73</f>
        <v>207.0786802953694</v>
      </c>
      <c r="L73" s="626"/>
      <c r="M73" s="626"/>
      <c r="N73" s="597">
        <f>56/E73</f>
        <v>8.1481212033028996</v>
      </c>
      <c r="O73" s="570">
        <f>845.8/E73</f>
        <v>123.0657306027427</v>
      </c>
      <c r="P73" s="1496">
        <f>Tabel66891019283234[[#This Row],[Total. ch. DW 2015]]+Tabel66891019283234[[#This Row],[Sew. 2015]]+Tabel66891019283234[[#This Row],[WW 2015]]+Tabel66891019283234[[#This Row],[Other ch. 2015]]+Tabel66891019283234[[#This Row],[VAT 2015]]</f>
        <v>615.32865301371362</v>
      </c>
      <c r="Q73" s="397"/>
      <c r="R73" s="1886"/>
      <c r="S73" s="1888"/>
      <c r="T73" s="1890"/>
      <c r="U73" s="1892"/>
      <c r="V73" s="1894"/>
      <c r="W73" s="1911"/>
      <c r="X73" s="1913"/>
      <c r="Y73" s="1915"/>
      <c r="Z73" s="1832"/>
    </row>
    <row r="74" spans="1:26" ht="15.75" hidden="1" x14ac:dyDescent="0.25">
      <c r="A74" s="2294"/>
      <c r="B74" s="1656"/>
      <c r="C74" s="543" t="s">
        <v>89</v>
      </c>
      <c r="D74" s="1880"/>
      <c r="E74" s="661">
        <f>'[1]exchange rates'!$M$17</f>
        <v>6.8727499999999999</v>
      </c>
      <c r="F74" s="686">
        <f>662/E74</f>
        <v>96.32243279618784</v>
      </c>
      <c r="G74" s="593">
        <f>485.4/E74</f>
        <v>70.626750572914773</v>
      </c>
      <c r="H74" s="594">
        <f t="shared" si="20"/>
        <v>95.012913317085591</v>
      </c>
      <c r="I74" s="566">
        <f>Tabel66891019283234[[#This Row],[Fix.ch. 2015]]+Tabel66891019283234[[#This Row],[Var. ch. 2015]]+Tabel66891019283234[[#This Row],[Oth. ch. DW 2015]]</f>
        <v>261.9620966861882</v>
      </c>
      <c r="J74" s="596">
        <v>0</v>
      </c>
      <c r="K74" s="626">
        <f>2879.04/E74</f>
        <v>418.90655123494963</v>
      </c>
      <c r="L74" s="626"/>
      <c r="M74" s="626"/>
      <c r="N74" s="597">
        <f>46/E74</f>
        <v>6.6930995598559528</v>
      </c>
      <c r="O74" s="570">
        <f>1181.36/E74</f>
        <v>171.89043687024844</v>
      </c>
      <c r="P74" s="1496">
        <f>Tabel66891019283234[[#This Row],[Total. ch. DW 2015]]+Tabel66891019283234[[#This Row],[Sew. 2015]]+Tabel66891019283234[[#This Row],[WW 2015]]+Tabel66891019283234[[#This Row],[Other ch. 2015]]+Tabel66891019283234[[#This Row],[VAT 2015]]</f>
        <v>859.45218435124218</v>
      </c>
      <c r="Q74" s="397"/>
      <c r="R74" s="1886"/>
      <c r="S74" s="1888"/>
      <c r="T74" s="1890"/>
      <c r="U74" s="1892"/>
      <c r="V74" s="1894"/>
      <c r="W74" s="1911"/>
      <c r="X74" s="1913"/>
      <c r="Y74" s="1915"/>
      <c r="Z74" s="1832"/>
    </row>
    <row r="75" spans="1:26" ht="16.5" hidden="1" thickBot="1" x14ac:dyDescent="0.3">
      <c r="A75" s="2295"/>
      <c r="B75" s="1656"/>
      <c r="C75" s="544" t="s">
        <v>90</v>
      </c>
      <c r="D75" s="1923"/>
      <c r="E75" s="661">
        <f>'[1]exchange rates'!$M$17</f>
        <v>6.8727499999999999</v>
      </c>
      <c r="F75" s="686">
        <f>480/E75</f>
        <v>69.841038885453429</v>
      </c>
      <c r="G75" s="593">
        <f>875/E75</f>
        <v>127.31439380160781</v>
      </c>
      <c r="H75" s="594">
        <f t="shared" si="20"/>
        <v>95.012913317085591</v>
      </c>
      <c r="I75" s="566">
        <f>Tabel66891019283234[[#This Row],[Fix.ch. 2015]]+Tabel66891019283234[[#This Row],[Var. ch. 2015]]+Tabel66891019283234[[#This Row],[Oth. ch. DW 2015]]</f>
        <v>292.16834600414683</v>
      </c>
      <c r="J75" s="596">
        <v>0</v>
      </c>
      <c r="K75" s="626">
        <f>3389.4/E75</f>
        <v>493.16503582990799</v>
      </c>
      <c r="L75" s="626"/>
      <c r="M75" s="626"/>
      <c r="N75" s="597">
        <f>51/E75</f>
        <v>7.4206103815794258</v>
      </c>
      <c r="O75" s="570">
        <f>1362.1/E75</f>
        <v>198.18849805390855</v>
      </c>
      <c r="P75" s="1496">
        <f>Tabel66891019283234[[#This Row],[Total. ch. DW 2015]]+Tabel66891019283234[[#This Row],[Sew. 2015]]+Tabel66891019283234[[#This Row],[WW 2015]]+Tabel66891019283234[[#This Row],[Other ch. 2015]]+Tabel66891019283234[[#This Row],[VAT 2015]]</f>
        <v>990.94249026954276</v>
      </c>
      <c r="Q75" s="397"/>
      <c r="R75" s="1970"/>
      <c r="S75" s="1973"/>
      <c r="T75" s="1976"/>
      <c r="U75" s="1979"/>
      <c r="V75" s="1982"/>
      <c r="W75" s="1956"/>
      <c r="X75" s="1959"/>
      <c r="Y75" s="1962"/>
      <c r="Z75" s="1965"/>
    </row>
    <row r="76" spans="1:26" ht="15.75" hidden="1" x14ac:dyDescent="0.25">
      <c r="A76" s="1818" t="s">
        <v>12</v>
      </c>
      <c r="B76" s="1656"/>
      <c r="C76" s="1513" t="s">
        <v>91</v>
      </c>
      <c r="D76" s="2343">
        <v>41200</v>
      </c>
      <c r="E76" s="616">
        <f>'[1]exchange rates'!$M$18</f>
        <v>0.92093999999999998</v>
      </c>
      <c r="F76" s="686">
        <f>38.59/E76</f>
        <v>41.902838404239155</v>
      </c>
      <c r="G76" s="593">
        <f>108/E76</f>
        <v>117.27148348426608</v>
      </c>
      <c r="H76" s="594">
        <v>0</v>
      </c>
      <c r="I76" s="566">
        <f>Tabel66891019283234[[#This Row],[Fix.ch. 2015]]+Tabel66891019283234[[#This Row],[Var. ch. 2015]]+Tabel66891019283234[[#This Row],[Oth. ch. DW 2015]]</f>
        <v>159.17432188850523</v>
      </c>
      <c r="J76" s="596">
        <v>0</v>
      </c>
      <c r="K76" s="626">
        <f>134/E76</f>
        <v>145.50350728603385</v>
      </c>
      <c r="L76" s="626"/>
      <c r="M76" s="626"/>
      <c r="N76" s="597">
        <f>57.89/E76</f>
        <v>62.859686841705219</v>
      </c>
      <c r="O76" s="570">
        <f>81.24/E76</f>
        <v>88.214215909831253</v>
      </c>
      <c r="P76" s="1496">
        <f>Tabel66891019283234[[#This Row],[Total. ch. DW 2015]]+Tabel66891019283234[[#This Row],[Sew. 2015]]+Tabel66891019283234[[#This Row],[WW 2015]]+Tabel66891019283234[[#This Row],[Other ch. 2015]]+Tabel66891019283234[[#This Row],[VAT 2015]]</f>
        <v>455.75173192607554</v>
      </c>
      <c r="Q76" s="397"/>
      <c r="R76" s="2344">
        <f t="shared" ref="R76:W76" si="21">SUM(F76:F81)/6</f>
        <v>62.007296892305696</v>
      </c>
      <c r="S76" s="2345">
        <f t="shared" si="21"/>
        <v>123.60559138850886</v>
      </c>
      <c r="T76" s="2350">
        <f t="shared" si="21"/>
        <v>0</v>
      </c>
      <c r="U76" s="2340">
        <f t="shared" si="21"/>
        <v>185.61288828081456</v>
      </c>
      <c r="V76" s="2351">
        <f t="shared" si="21"/>
        <v>0</v>
      </c>
      <c r="W76" s="2352">
        <f t="shared" si="21"/>
        <v>160.70536625621648</v>
      </c>
      <c r="X76" s="2341">
        <f t="shared" ref="X76:Z76" si="22">SUM(N76:N81)/6</f>
        <v>63.798944556648649</v>
      </c>
      <c r="Y76" s="2342">
        <f t="shared" si="22"/>
        <v>98.430227086817084</v>
      </c>
      <c r="Z76" s="2339">
        <f t="shared" si="22"/>
        <v>508.54742618049676</v>
      </c>
    </row>
    <row r="77" spans="1:26" ht="15.75" hidden="1" x14ac:dyDescent="0.25">
      <c r="A77" s="2294"/>
      <c r="B77" s="1656"/>
      <c r="C77" s="543" t="s">
        <v>92</v>
      </c>
      <c r="D77" s="1880"/>
      <c r="E77" s="616">
        <f>'[1]exchange rates'!$M$18</f>
        <v>0.92093999999999998</v>
      </c>
      <c r="F77" s="686">
        <f>38.59/E77</f>
        <v>41.902838404239155</v>
      </c>
      <c r="G77" s="593">
        <f>108/E77</f>
        <v>117.27148348426608</v>
      </c>
      <c r="H77" s="594">
        <v>0</v>
      </c>
      <c r="I77" s="566">
        <f>Tabel66891019283234[[#This Row],[Fix.ch. 2015]]+Tabel66891019283234[[#This Row],[Var. ch. 2015]]+Tabel66891019283234[[#This Row],[Oth. ch. DW 2015]]</f>
        <v>159.17432188850523</v>
      </c>
      <c r="J77" s="596">
        <v>0</v>
      </c>
      <c r="K77" s="626">
        <f>134/E77</f>
        <v>145.50350728603385</v>
      </c>
      <c r="L77" s="626"/>
      <c r="M77" s="626"/>
      <c r="N77" s="597">
        <f>57.89/E77</f>
        <v>62.859686841705219</v>
      </c>
      <c r="O77" s="570">
        <f>81.24/E77</f>
        <v>88.214215909831253</v>
      </c>
      <c r="P77" s="1496">
        <f>Tabel66891019283234[[#This Row],[Total. ch. DW 2015]]+Tabel66891019283234[[#This Row],[Sew. 2015]]+Tabel66891019283234[[#This Row],[WW 2015]]+Tabel66891019283234[[#This Row],[Other ch. 2015]]+Tabel66891019283234[[#This Row],[VAT 2015]]</f>
        <v>455.75173192607554</v>
      </c>
      <c r="Q77" s="397"/>
      <c r="R77" s="1886"/>
      <c r="S77" s="1888"/>
      <c r="T77" s="1890"/>
      <c r="U77" s="1892"/>
      <c r="V77" s="1894"/>
      <c r="W77" s="1911"/>
      <c r="X77" s="1913"/>
      <c r="Y77" s="1915"/>
      <c r="Z77" s="1832"/>
    </row>
    <row r="78" spans="1:26" ht="15.75" hidden="1" x14ac:dyDescent="0.25">
      <c r="A78" s="2294"/>
      <c r="B78" s="1656"/>
      <c r="C78" s="543" t="s">
        <v>93</v>
      </c>
      <c r="D78" s="1880"/>
      <c r="E78" s="616">
        <f>'[1]exchange rates'!$M$18</f>
        <v>0.92093999999999998</v>
      </c>
      <c r="F78" s="686">
        <f>41.94/E78</f>
        <v>45.540426086389992</v>
      </c>
      <c r="G78" s="593">
        <f>123/E78</f>
        <v>133.55918952374748</v>
      </c>
      <c r="H78" s="594">
        <v>0</v>
      </c>
      <c r="I78" s="566">
        <f>Tabel66891019283234[[#This Row],[Fix.ch. 2015]]+Tabel66891019283234[[#This Row],[Var. ch. 2015]]+Tabel66891019283234[[#This Row],[Oth. ch. DW 2015]]</f>
        <v>179.09961561013748</v>
      </c>
      <c r="J78" s="596">
        <v>0</v>
      </c>
      <c r="K78" s="626">
        <f>168/E78</f>
        <v>182.42230764219167</v>
      </c>
      <c r="L78" s="626"/>
      <c r="M78" s="626"/>
      <c r="N78" s="597">
        <f>41.94/E78</f>
        <v>45.540426086389992</v>
      </c>
      <c r="O78" s="570">
        <f>89.97/E78</f>
        <v>97.693660824809442</v>
      </c>
      <c r="P78" s="1496">
        <f>Tabel66891019283234[[#This Row],[Total. ch. DW 2015]]+Tabel66891019283234[[#This Row],[Sew. 2015]]+Tabel66891019283234[[#This Row],[WW 2015]]+Tabel66891019283234[[#This Row],[Other ch. 2015]]+Tabel66891019283234[[#This Row],[VAT 2015]]</f>
        <v>504.75601016352857</v>
      </c>
      <c r="Q78" s="397"/>
      <c r="R78" s="1886"/>
      <c r="S78" s="1888"/>
      <c r="T78" s="1890"/>
      <c r="U78" s="1892"/>
      <c r="V78" s="1894"/>
      <c r="W78" s="1911"/>
      <c r="X78" s="1913"/>
      <c r="Y78" s="1915"/>
      <c r="Z78" s="1832"/>
    </row>
    <row r="79" spans="1:26" ht="15.75" hidden="1" x14ac:dyDescent="0.25">
      <c r="A79" s="2294"/>
      <c r="B79" s="1656"/>
      <c r="C79" s="543" t="s">
        <v>94</v>
      </c>
      <c r="D79" s="1880"/>
      <c r="E79" s="616">
        <f>'[1]exchange rates'!$M$18</f>
        <v>0.92093999999999998</v>
      </c>
      <c r="F79" s="686">
        <f>76.92/E79</f>
        <v>83.523356570460621</v>
      </c>
      <c r="G79" s="593">
        <f>109/E79</f>
        <v>118.35733055356484</v>
      </c>
      <c r="H79" s="594">
        <v>0</v>
      </c>
      <c r="I79" s="566">
        <f>Tabel66891019283234[[#This Row],[Fix.ch. 2015]]+Tabel66891019283234[[#This Row],[Var. ch. 2015]]+Tabel66891019283234[[#This Row],[Oth. ch. DW 2015]]</f>
        <v>201.88068712402546</v>
      </c>
      <c r="J79" s="596">
        <v>0</v>
      </c>
      <c r="K79" s="626">
        <f>160/E79</f>
        <v>173.7355310878016</v>
      </c>
      <c r="L79" s="626"/>
      <c r="M79" s="626"/>
      <c r="N79" s="597">
        <f>76.92/E79</f>
        <v>83.523356570460621</v>
      </c>
      <c r="O79" s="570">
        <f>101.48/E79</f>
        <v>110.19176059243817</v>
      </c>
      <c r="P79" s="1496">
        <f>Tabel66891019283234[[#This Row],[Total. ch. DW 2015]]+Tabel66891019283234[[#This Row],[Sew. 2015]]+Tabel66891019283234[[#This Row],[WW 2015]]+Tabel66891019283234[[#This Row],[Other ch. 2015]]+Tabel66891019283234[[#This Row],[VAT 2015]]</f>
        <v>569.33133537472588</v>
      </c>
      <c r="Q79" s="397"/>
      <c r="R79" s="1886"/>
      <c r="S79" s="1888"/>
      <c r="T79" s="1890"/>
      <c r="U79" s="1892"/>
      <c r="V79" s="1894"/>
      <c r="W79" s="1911"/>
      <c r="X79" s="1913"/>
      <c r="Y79" s="1915"/>
      <c r="Z79" s="1832"/>
    </row>
    <row r="80" spans="1:26" ht="15.75" hidden="1" x14ac:dyDescent="0.25">
      <c r="A80" s="2294"/>
      <c r="B80" s="1656"/>
      <c r="C80" s="543" t="s">
        <v>95</v>
      </c>
      <c r="D80" s="1880"/>
      <c r="E80" s="616">
        <f>'[1]exchange rates'!$M$18</f>
        <v>0.92093999999999998</v>
      </c>
      <c r="F80" s="686">
        <f>108/E80</f>
        <v>117.27148348426608</v>
      </c>
      <c r="G80" s="593">
        <f>127/E80</f>
        <v>137.90257780094251</v>
      </c>
      <c r="H80" s="594">
        <v>0</v>
      </c>
      <c r="I80" s="566">
        <f>Tabel66891019283234[[#This Row],[Fix.ch. 2015]]+Tabel66891019283234[[#This Row],[Var. ch. 2015]]+Tabel66891019283234[[#This Row],[Oth. ch. DW 2015]]</f>
        <v>255.17406128520861</v>
      </c>
      <c r="J80" s="596">
        <v>0</v>
      </c>
      <c r="K80" s="626">
        <f>158/E80</f>
        <v>171.56383694920407</v>
      </c>
      <c r="L80" s="626"/>
      <c r="M80" s="626"/>
      <c r="N80" s="597">
        <f>60/E80</f>
        <v>65.150824157925598</v>
      </c>
      <c r="O80" s="570">
        <f>108.72/E80</f>
        <v>118.05329337416119</v>
      </c>
      <c r="P80" s="1496">
        <f>Tabel66891019283234[[#This Row],[Total. ch. DW 2015]]+Tabel66891019283234[[#This Row],[Sew. 2015]]+Tabel66891019283234[[#This Row],[WW 2015]]+Tabel66891019283234[[#This Row],[Other ch. 2015]]+Tabel66891019283234[[#This Row],[VAT 2015]]</f>
        <v>609.94201576649948</v>
      </c>
      <c r="Q80" s="397"/>
      <c r="R80" s="1886"/>
      <c r="S80" s="1888"/>
      <c r="T80" s="1890"/>
      <c r="U80" s="1892"/>
      <c r="V80" s="1894"/>
      <c r="W80" s="1911"/>
      <c r="X80" s="1913"/>
      <c r="Y80" s="1915"/>
      <c r="Z80" s="1832"/>
    </row>
    <row r="81" spans="1:26" ht="16.5" hidden="1" thickBot="1" x14ac:dyDescent="0.3">
      <c r="A81" s="2295"/>
      <c r="B81" s="1656"/>
      <c r="C81" s="544" t="s">
        <v>195</v>
      </c>
      <c r="D81" s="1923"/>
      <c r="E81" s="616">
        <f>'[1]exchange rates'!$M$18</f>
        <v>0.92093999999999998</v>
      </c>
      <c r="F81" s="686">
        <f>38.59/E81</f>
        <v>41.902838404239155</v>
      </c>
      <c r="G81" s="593">
        <f>108/E81</f>
        <v>117.27148348426608</v>
      </c>
      <c r="H81" s="594">
        <v>0</v>
      </c>
      <c r="I81" s="566">
        <f>Tabel66891019283234[[#This Row],[Fix.ch. 2015]]+Tabel66891019283234[[#This Row],[Var. ch. 2015]]+Tabel66891019283234[[#This Row],[Oth. ch. DW 2015]]</f>
        <v>159.17432188850523</v>
      </c>
      <c r="J81" s="596">
        <v>0</v>
      </c>
      <c r="K81" s="626">
        <f>134/E81</f>
        <v>145.50350728603385</v>
      </c>
      <c r="L81" s="626"/>
      <c r="M81" s="626"/>
      <c r="N81" s="597">
        <f>57.89/E81</f>
        <v>62.859686841705219</v>
      </c>
      <c r="O81" s="570">
        <f>81.24/E81</f>
        <v>88.214215909831253</v>
      </c>
      <c r="P81" s="1496">
        <f>Tabel66891019283234[[#This Row],[Total. ch. DW 2015]]+Tabel66891019283234[[#This Row],[Sew. 2015]]+Tabel66891019283234[[#This Row],[WW 2015]]+Tabel66891019283234[[#This Row],[Other ch. 2015]]+Tabel66891019283234[[#This Row],[VAT 2015]]</f>
        <v>455.75173192607554</v>
      </c>
      <c r="Q81" s="397"/>
      <c r="R81" s="1970"/>
      <c r="S81" s="1973"/>
      <c r="T81" s="1976"/>
      <c r="U81" s="1979"/>
      <c r="V81" s="1982"/>
      <c r="W81" s="1956"/>
      <c r="X81" s="1959"/>
      <c r="Y81" s="1962"/>
      <c r="Z81" s="1965"/>
    </row>
    <row r="82" spans="1:26" ht="15.75" hidden="1" customHeight="1" x14ac:dyDescent="0.25">
      <c r="A82" s="1878" t="s">
        <v>13</v>
      </c>
      <c r="B82" s="1656"/>
      <c r="C82" s="1513" t="s">
        <v>97</v>
      </c>
      <c r="D82" s="2343">
        <v>41400</v>
      </c>
      <c r="E82" s="616">
        <f>'[1]exchange rates'!$M$19</f>
        <v>0.92093999999999998</v>
      </c>
      <c r="F82" s="686">
        <f>54.91/E82</f>
        <v>59.623862575194906</v>
      </c>
      <c r="G82" s="593">
        <f>(1.07*100)/E82</f>
        <v>116.18563641496732</v>
      </c>
      <c r="H82" s="594">
        <f>(0.4*100)/E82</f>
        <v>43.433882771950401</v>
      </c>
      <c r="I82" s="566">
        <f>Tabel66891019283234[[#This Row],[Fix.ch. 2015]]+Tabel66891019283234[[#This Row],[Var. ch. 2015]]+Tabel66891019283234[[#This Row],[Oth. ch. DW 2015]]</f>
        <v>219.24338176211265</v>
      </c>
      <c r="J82" s="596">
        <f>(1.1*100)/E82</f>
        <v>119.44317762286362</v>
      </c>
      <c r="K82" s="626">
        <f>(0*100)/E82</f>
        <v>0</v>
      </c>
      <c r="L82" s="626"/>
      <c r="M82" s="626"/>
      <c r="N82" s="597">
        <f>(0.235*100)/E82</f>
        <v>25.517406128520861</v>
      </c>
      <c r="O82" s="570">
        <f>(11.07+13.31)/E82</f>
        <v>26.472951549503772</v>
      </c>
      <c r="P82" s="1496">
        <f>Tabel66891019283234[[#This Row],[Total. ch. DW 2015]]+Tabel66891019283234[[#This Row],[Sew. 2015]]+Tabel66891019283234[[#This Row],[WW 2015]]+Tabel66891019283234[[#This Row],[Other ch. 2015]]+Tabel66891019283234[[#This Row],[VAT 2015]]</f>
        <v>390.67691706300087</v>
      </c>
      <c r="Q82" s="397"/>
      <c r="R82" s="2344">
        <f t="shared" ref="R82:W82" si="23">SUM(F82:F92)/11</f>
        <v>27.913179616873666</v>
      </c>
      <c r="S82" s="2345">
        <f t="shared" si="23"/>
        <v>133.26304941393872</v>
      </c>
      <c r="T82" s="2350">
        <f t="shared" si="23"/>
        <v>46.493997239974171</v>
      </c>
      <c r="U82" s="2340">
        <f t="shared" si="23"/>
        <v>207.67022627078657</v>
      </c>
      <c r="V82" s="2351">
        <f t="shared" si="23"/>
        <v>133.75661626361997</v>
      </c>
      <c r="W82" s="2352">
        <f t="shared" si="23"/>
        <v>14.116011900883878</v>
      </c>
      <c r="X82" s="2341">
        <f t="shared" ref="X82:Z82" si="24">SUM(N82:N92)/11</f>
        <v>30.735394863351086</v>
      </c>
      <c r="Y82" s="2342">
        <f t="shared" si="24"/>
        <v>29.2527200469086</v>
      </c>
      <c r="Z82" s="2339">
        <f t="shared" si="24"/>
        <v>415.53096934555009</v>
      </c>
    </row>
    <row r="83" spans="1:26" ht="15.75" hidden="1" customHeight="1" x14ac:dyDescent="0.25">
      <c r="A83" s="1757"/>
      <c r="B83" s="1656"/>
      <c r="C83" s="543" t="s">
        <v>98</v>
      </c>
      <c r="D83" s="1880"/>
      <c r="E83" s="616">
        <f>'[1]exchange rates'!$M$19</f>
        <v>0.92093999999999998</v>
      </c>
      <c r="F83" s="686">
        <f>0/E83</f>
        <v>0</v>
      </c>
      <c r="G83" s="593">
        <f>(1.48*100)/E83</f>
        <v>160.70536625621648</v>
      </c>
      <c r="H83" s="594">
        <f>(0.48*100)/E83</f>
        <v>52.12065932634048</v>
      </c>
      <c r="I83" s="566">
        <f>Tabel66891019283234[[#This Row],[Fix.ch. 2015]]+Tabel66891019283234[[#This Row],[Var. ch. 2015]]+Tabel66891019283234[[#This Row],[Oth. ch. DW 2015]]</f>
        <v>212.82602558255695</v>
      </c>
      <c r="J83" s="596">
        <f>(1.78*100)/E83</f>
        <v>193.28077833517926</v>
      </c>
      <c r="K83" s="626">
        <f>(0*100)/E83</f>
        <v>0</v>
      </c>
      <c r="L83" s="626"/>
      <c r="M83" s="626"/>
      <c r="N83" s="597">
        <f>(0.48*100)/E83</f>
        <v>52.12065932634048</v>
      </c>
      <c r="O83" s="570">
        <f>(10.73+22.59)/E83</f>
        <v>36.180424349034681</v>
      </c>
      <c r="P83" s="1496">
        <f>Tabel66891019283234[[#This Row],[Total. ch. DW 2015]]+Tabel66891019283234[[#This Row],[Sew. 2015]]+Tabel66891019283234[[#This Row],[WW 2015]]+Tabel66891019283234[[#This Row],[Other ch. 2015]]+Tabel66891019283234[[#This Row],[VAT 2015]]</f>
        <v>494.40788759311141</v>
      </c>
      <c r="Q83" s="397"/>
      <c r="R83" s="1886"/>
      <c r="S83" s="1888"/>
      <c r="T83" s="1890"/>
      <c r="U83" s="1892"/>
      <c r="V83" s="1894"/>
      <c r="W83" s="1911"/>
      <c r="X83" s="1913"/>
      <c r="Y83" s="1915"/>
      <c r="Z83" s="1832"/>
    </row>
    <row r="84" spans="1:26" ht="15.75" hidden="1" customHeight="1" x14ac:dyDescent="0.25">
      <c r="A84" s="1757"/>
      <c r="B84" s="1656"/>
      <c r="C84" s="543" t="s">
        <v>99</v>
      </c>
      <c r="D84" s="1880"/>
      <c r="E84" s="616">
        <f>'[1]exchange rates'!$M$19</f>
        <v>0.92093999999999998</v>
      </c>
      <c r="F84" s="686">
        <f>18.41/E84</f>
        <v>19.990444545790172</v>
      </c>
      <c r="G84" s="593">
        <f>(1.12*100)/E84</f>
        <v>121.61487176146113</v>
      </c>
      <c r="H84" s="594">
        <f>(0.45*100)/E84</f>
        <v>48.863118118444199</v>
      </c>
      <c r="I84" s="566">
        <f>Tabel66891019283234[[#This Row],[Fix.ch. 2015]]+Tabel66891019283234[[#This Row],[Var. ch. 2015]]+Tabel66891019283234[[#This Row],[Oth. ch. DW 2015]]</f>
        <v>190.46843442569551</v>
      </c>
      <c r="J84" s="596">
        <f>(1.46*100)/E84</f>
        <v>158.53367211761895</v>
      </c>
      <c r="K84" s="626">
        <f>(0*100)/E84</f>
        <v>0</v>
      </c>
      <c r="L84" s="626"/>
      <c r="M84" s="626"/>
      <c r="N84" s="597">
        <f>(0.2616*100)/E84</f>
        <v>28.40575933285556</v>
      </c>
      <c r="O84" s="570">
        <f>(9.66+17.24)/E84</f>
        <v>29.209286164136643</v>
      </c>
      <c r="P84" s="1496">
        <f>Tabel66891019283234[[#This Row],[Total. ch. DW 2015]]+Tabel66891019283234[[#This Row],[Sew. 2015]]+Tabel66891019283234[[#This Row],[WW 2015]]+Tabel66891019283234[[#This Row],[Other ch. 2015]]+Tabel66891019283234[[#This Row],[VAT 2015]]</f>
        <v>406.61715204030662</v>
      </c>
      <c r="Q84" s="397"/>
      <c r="R84" s="1886"/>
      <c r="S84" s="1888"/>
      <c r="T84" s="1890"/>
      <c r="U84" s="1892"/>
      <c r="V84" s="1894"/>
      <c r="W84" s="1911"/>
      <c r="X84" s="1913"/>
      <c r="Y84" s="1915"/>
      <c r="Z84" s="1832"/>
    </row>
    <row r="85" spans="1:26" ht="15.75" hidden="1" customHeight="1" x14ac:dyDescent="0.25">
      <c r="A85" s="1757"/>
      <c r="B85" s="1656"/>
      <c r="C85" s="543" t="s">
        <v>100</v>
      </c>
      <c r="D85" s="1880"/>
      <c r="E85" s="616">
        <f>'[1]exchange rates'!$M$19</f>
        <v>0.92093999999999998</v>
      </c>
      <c r="F85" s="686">
        <f>60.96/E85</f>
        <v>66.193237344452413</v>
      </c>
      <c r="G85" s="593">
        <f>(1.18*100)/E85</f>
        <v>128.12995417725367</v>
      </c>
      <c r="H85" s="594">
        <f>(0.35*100)/E85</f>
        <v>38.004647425456596</v>
      </c>
      <c r="I85" s="566">
        <f>Tabel66891019283234[[#This Row],[Fix.ch. 2015]]+Tabel66891019283234[[#This Row],[Var. ch. 2015]]+Tabel66891019283234[[#This Row],[Oth. ch. DW 2015]]</f>
        <v>232.32783894716266</v>
      </c>
      <c r="J85" s="596">
        <f>(0.96*100)/E85</f>
        <v>104.24131865268096</v>
      </c>
      <c r="K85" s="626">
        <v>0</v>
      </c>
      <c r="L85" s="626"/>
      <c r="M85" s="626"/>
      <c r="N85" s="597">
        <f>(0.1764*100)/E85</f>
        <v>19.154342302430127</v>
      </c>
      <c r="O85" s="570">
        <f>(11.77+11.39)/E85</f>
        <v>25.148218124959282</v>
      </c>
      <c r="P85" s="1496">
        <f>Tabel66891019283234[[#This Row],[Total. ch. DW 2015]]+Tabel66891019283234[[#This Row],[Sew. 2015]]+Tabel66891019283234[[#This Row],[WW 2015]]+Tabel66891019283234[[#This Row],[Other ch. 2015]]+Tabel66891019283234[[#This Row],[VAT 2015]]</f>
        <v>380.87171802723299</v>
      </c>
      <c r="Q85" s="397"/>
      <c r="R85" s="1886"/>
      <c r="S85" s="1888"/>
      <c r="T85" s="1890"/>
      <c r="U85" s="1892"/>
      <c r="V85" s="1894"/>
      <c r="W85" s="1911"/>
      <c r="X85" s="1913"/>
      <c r="Y85" s="1915"/>
      <c r="Z85" s="1832"/>
    </row>
    <row r="86" spans="1:26" ht="16.5" hidden="1" customHeight="1" x14ac:dyDescent="0.25">
      <c r="A86" s="1757"/>
      <c r="B86" s="1656"/>
      <c r="C86" s="543" t="s">
        <v>101</v>
      </c>
      <c r="D86" s="1880"/>
      <c r="E86" s="616">
        <f>'[1]exchange rates'!$M$19</f>
        <v>0.92093999999999998</v>
      </c>
      <c r="F86" s="686">
        <f>21.02/E86</f>
        <v>22.824505396659934</v>
      </c>
      <c r="G86" s="593">
        <f>(0.99*100)/E86</f>
        <v>107.49885986057724</v>
      </c>
      <c r="H86" s="594">
        <f>(0.49*100)/E86</f>
        <v>53.206506395639238</v>
      </c>
      <c r="I86" s="566">
        <f>Tabel66891019283234[[#This Row],[Fix.ch. 2015]]+Tabel66891019283234[[#This Row],[Var. ch. 2015]]+Tabel66891019283234[[#This Row],[Oth. ch. DW 2015]]</f>
        <v>183.52987165287641</v>
      </c>
      <c r="J86" s="596">
        <f>(0.29*100)/E86</f>
        <v>31.489565009664037</v>
      </c>
      <c r="K86" s="626">
        <f>(0.97*100)/E86</f>
        <v>105.32716572197972</v>
      </c>
      <c r="L86" s="626"/>
      <c r="M86" s="626"/>
      <c r="N86" s="597">
        <f>(0.3*100)/E86</f>
        <v>32.575412078962799</v>
      </c>
      <c r="O86" s="570">
        <f>(9.28+15.54)/E86</f>
        <v>26.950724259995223</v>
      </c>
      <c r="P86" s="1496">
        <f>Tabel66891019283234[[#This Row],[Total. ch. DW 2015]]+Tabel66891019283234[[#This Row],[Sew. 2015]]+Tabel66891019283234[[#This Row],[WW 2015]]+Tabel66891019283234[[#This Row],[Other ch. 2015]]+Tabel66891019283234[[#This Row],[VAT 2015]]</f>
        <v>379.87273872347822</v>
      </c>
      <c r="Q86" s="397"/>
      <c r="R86" s="1886"/>
      <c r="S86" s="1888"/>
      <c r="T86" s="1890"/>
      <c r="U86" s="1892"/>
      <c r="V86" s="1894"/>
      <c r="W86" s="1911"/>
      <c r="X86" s="1913"/>
      <c r="Y86" s="1915"/>
      <c r="Z86" s="1832"/>
    </row>
    <row r="87" spans="1:26" ht="15.75" hidden="1" x14ac:dyDescent="0.25">
      <c r="A87" s="1757"/>
      <c r="B87" s="1656"/>
      <c r="C87" s="543" t="s">
        <v>630</v>
      </c>
      <c r="D87" s="1880"/>
      <c r="E87" s="616">
        <f>'[1]exchange rates'!$M$19</f>
        <v>0.92093999999999998</v>
      </c>
      <c r="F87" s="686">
        <f>28.36/E87</f>
        <v>30.794622885312833</v>
      </c>
      <c r="G87" s="593">
        <f>(1*100)/E87</f>
        <v>108.58470692987599</v>
      </c>
      <c r="H87" s="594">
        <f>(0.4*100)/E87</f>
        <v>43.433882771950401</v>
      </c>
      <c r="I87" s="566">
        <f>Tabel66891019283234[[#This Row],[Fix.ch. 2015]]+Tabel66891019283234[[#This Row],[Var. ch. 2015]]+Tabel66891019283234[[#This Row],[Oth. ch. DW 2015]]</f>
        <v>182.81321258713925</v>
      </c>
      <c r="J87" s="596">
        <f>(0.5*100)/E87</f>
        <v>54.292353464937996</v>
      </c>
      <c r="K87" s="626">
        <f>(0.46*100)/E87</f>
        <v>49.948965187742957</v>
      </c>
      <c r="L87" s="626"/>
      <c r="M87" s="626"/>
      <c r="N87" s="597">
        <f>(0.4*100)/E87</f>
        <v>43.433882771950401</v>
      </c>
      <c r="O87" s="570">
        <f>(9.23+13.59)/E87</f>
        <v>24.779030121397703</v>
      </c>
      <c r="P87" s="1496">
        <f>Tabel66891019283234[[#This Row],[Total. ch. DW 2015]]+Tabel66891019283234[[#This Row],[Sew. 2015]]+Tabel66891019283234[[#This Row],[WW 2015]]+Tabel66891019283234[[#This Row],[Other ch. 2015]]+Tabel66891019283234[[#This Row],[VAT 2015]]</f>
        <v>355.26744413316828</v>
      </c>
      <c r="Q87" s="397"/>
      <c r="R87" s="1886"/>
      <c r="S87" s="1888"/>
      <c r="T87" s="1890"/>
      <c r="U87" s="1892"/>
      <c r="V87" s="1894"/>
      <c r="W87" s="1911"/>
      <c r="X87" s="1913"/>
      <c r="Y87" s="1915"/>
      <c r="Z87" s="1832"/>
    </row>
    <row r="88" spans="1:26" ht="15.75" hidden="1" x14ac:dyDescent="0.25">
      <c r="A88" s="1757"/>
      <c r="B88" s="1656"/>
      <c r="C88" s="543" t="s">
        <v>631</v>
      </c>
      <c r="D88" s="1880"/>
      <c r="E88" s="616">
        <f>'[1]exchange rates'!$M$19</f>
        <v>0.92093999999999998</v>
      </c>
      <c r="F88" s="686">
        <f>10.95/E88</f>
        <v>11.890025408821421</v>
      </c>
      <c r="G88" s="593">
        <f>(0.93*100)/E88</f>
        <v>100.98377744478468</v>
      </c>
      <c r="H88" s="594">
        <f>(0.44*100)/E88</f>
        <v>47.77727104914544</v>
      </c>
      <c r="I88" s="566">
        <f>Tabel66891019283234[[#This Row],[Fix.ch. 2015]]+Tabel66891019283234[[#This Row],[Var. ch. 2015]]+Tabel66891019283234[[#This Row],[Oth. ch. DW 2015]]</f>
        <v>160.65107390275153</v>
      </c>
      <c r="J88" s="596">
        <f>(1.16*100)/E88</f>
        <v>125.95826003865615</v>
      </c>
      <c r="K88" s="626">
        <f>(0*100)/E88</f>
        <v>0</v>
      </c>
      <c r="L88" s="626"/>
      <c r="M88" s="626"/>
      <c r="N88" s="597">
        <f>(0.3*100)/E88</f>
        <v>32.575412078962799</v>
      </c>
      <c r="O88" s="570">
        <f>(8.13+14.6)/E88</f>
        <v>24.681303885160816</v>
      </c>
      <c r="P88" s="1496">
        <f>Tabel66891019283234[[#This Row],[Total. ch. DW 2015]]+Tabel66891019283234[[#This Row],[Sew. 2015]]+Tabel66891019283234[[#This Row],[WW 2015]]+Tabel66891019283234[[#This Row],[Other ch. 2015]]+Tabel66891019283234[[#This Row],[VAT 2015]]</f>
        <v>343.86604990553133</v>
      </c>
      <c r="Q88" s="397"/>
      <c r="R88" s="1886"/>
      <c r="S88" s="1888"/>
      <c r="T88" s="1890"/>
      <c r="U88" s="1892"/>
      <c r="V88" s="1894"/>
      <c r="W88" s="1911"/>
      <c r="X88" s="1913"/>
      <c r="Y88" s="1915"/>
      <c r="Z88" s="1832"/>
    </row>
    <row r="89" spans="1:26" ht="15.75" hidden="1" x14ac:dyDescent="0.25">
      <c r="A89" s="1757"/>
      <c r="B89" s="1656"/>
      <c r="C89" s="543" t="s">
        <v>632</v>
      </c>
      <c r="D89" s="1880"/>
      <c r="E89" s="616">
        <f>'[1]exchange rates'!$M$19</f>
        <v>0.92093999999999998</v>
      </c>
      <c r="F89" s="686">
        <f>42.15/E89</f>
        <v>45.76845397094273</v>
      </c>
      <c r="G89" s="593">
        <f>(1.48*100)/E89</f>
        <v>160.70536625621648</v>
      </c>
      <c r="H89" s="594">
        <f>(0.46*100)/E89</f>
        <v>49.948965187742957</v>
      </c>
      <c r="I89" s="566">
        <f>Tabel66891019283234[[#This Row],[Fix.ch. 2015]]+Tabel66891019283234[[#This Row],[Var. ch. 2015]]+Tabel66891019283234[[#This Row],[Oth. ch. DW 2015]]</f>
        <v>256.42278541490214</v>
      </c>
      <c r="J89" s="596">
        <f>(1*100)/E89</f>
        <v>108.58470692987599</v>
      </c>
      <c r="K89" s="626">
        <v>0</v>
      </c>
      <c r="L89" s="626"/>
      <c r="M89" s="626"/>
      <c r="N89" s="597">
        <f>(0.2966*100)/E89</f>
        <v>32.206224075401217</v>
      </c>
      <c r="O89" s="570">
        <f>(12.96+12.92)/E89</f>
        <v>28.101722153451909</v>
      </c>
      <c r="P89" s="1496">
        <f>Tabel66891019283234[[#This Row],[Total. ch. DW 2015]]+Tabel66891019283234[[#This Row],[Sew. 2015]]+Tabel66891019283234[[#This Row],[WW 2015]]+Tabel66891019283234[[#This Row],[Other ch. 2015]]+Tabel66891019283234[[#This Row],[VAT 2015]]</f>
        <v>425.3154385736313</v>
      </c>
      <c r="Q89" s="397"/>
      <c r="R89" s="1886"/>
      <c r="S89" s="1888"/>
      <c r="T89" s="1890"/>
      <c r="U89" s="1892"/>
      <c r="V89" s="1894"/>
      <c r="W89" s="1911"/>
      <c r="X89" s="1913"/>
      <c r="Y89" s="1915"/>
      <c r="Z89" s="1832"/>
    </row>
    <row r="90" spans="1:26" ht="15.75" hidden="1" x14ac:dyDescent="0.25">
      <c r="A90" s="1757"/>
      <c r="B90" s="1656"/>
      <c r="C90" s="543" t="s">
        <v>633</v>
      </c>
      <c r="D90" s="1880"/>
      <c r="E90" s="616">
        <f>'[1]exchange rates'!$M$19</f>
        <v>0.92093999999999998</v>
      </c>
      <c r="F90" s="686">
        <f>30.37/E90</f>
        <v>32.977175494603344</v>
      </c>
      <c r="G90" s="593">
        <f>(1.51*100)/E90</f>
        <v>163.96290746411276</v>
      </c>
      <c r="H90" s="594">
        <f>(0.52*100)/E90</f>
        <v>56.464047603535519</v>
      </c>
      <c r="I90" s="566">
        <f>Tabel66891019283234[[#This Row],[Fix.ch. 2015]]+Tabel66891019283234[[#This Row],[Var. ch. 2015]]+Tabel66891019283234[[#This Row],[Oth. ch. DW 2015]]</f>
        <v>253.40413056225162</v>
      </c>
      <c r="J90" s="596">
        <f>(2.01*100)/E90</f>
        <v>218.25526092905073</v>
      </c>
      <c r="K90" s="626">
        <f>(0*100)/E90</f>
        <v>0</v>
      </c>
      <c r="L90" s="626"/>
      <c r="M90" s="626"/>
      <c r="N90" s="597">
        <f>(0.3*100)/E90</f>
        <v>32.575412078962799</v>
      </c>
      <c r="O90" s="570">
        <f>(12.83+23.13)/E90</f>
        <v>39.047060611983412</v>
      </c>
      <c r="P90" s="1496">
        <f>Tabel66891019283234[[#This Row],[Total. ch. DW 2015]]+Tabel66891019283234[[#This Row],[Sew. 2015]]+Tabel66891019283234[[#This Row],[WW 2015]]+Tabel66891019283234[[#This Row],[Other ch. 2015]]+Tabel66891019283234[[#This Row],[VAT 2015]]</f>
        <v>543.28186418224857</v>
      </c>
      <c r="Q90" s="397"/>
      <c r="R90" s="1886"/>
      <c r="S90" s="1888"/>
      <c r="T90" s="1890"/>
      <c r="U90" s="1892"/>
      <c r="V90" s="1894"/>
      <c r="W90" s="1911"/>
      <c r="X90" s="1913"/>
      <c r="Y90" s="1915"/>
      <c r="Z90" s="1832"/>
    </row>
    <row r="91" spans="1:26" ht="15.75" hidden="1" x14ac:dyDescent="0.25">
      <c r="A91" s="1757"/>
      <c r="B91" s="1656"/>
      <c r="C91" s="543" t="s">
        <v>634</v>
      </c>
      <c r="D91" s="1880"/>
      <c r="E91" s="616">
        <f>'[1]exchange rates'!$M$19</f>
        <v>0.92093999999999998</v>
      </c>
      <c r="F91" s="686">
        <f>9.5/E91</f>
        <v>10.315547158338219</v>
      </c>
      <c r="G91" s="593">
        <f>(1.42*100)/E91</f>
        <v>154.19028384042392</v>
      </c>
      <c r="H91" s="594">
        <f>(0.34*100)/E91</f>
        <v>36.918800356157838</v>
      </c>
      <c r="I91" s="566">
        <f>Tabel66891019283234[[#This Row],[Fix.ch. 2015]]+Tabel66891019283234[[#This Row],[Var. ch. 2015]]+Tabel66891019283234[[#This Row],[Oth. ch. DW 2015]]</f>
        <v>201.42463135491997</v>
      </c>
      <c r="J91" s="596">
        <f>(1.25*100)/E91</f>
        <v>135.73088366234501</v>
      </c>
      <c r="K91" s="626">
        <f>(0*100)/E91</f>
        <v>0</v>
      </c>
      <c r="L91" s="626"/>
      <c r="M91" s="626"/>
      <c r="N91" s="597">
        <f>(0.155*100)/E91</f>
        <v>16.830629574130779</v>
      </c>
      <c r="O91" s="570">
        <f>(10.2+14.04)/E91</f>
        <v>26.32093295980194</v>
      </c>
      <c r="P91" s="1496">
        <f>Tabel66891019283234[[#This Row],[Total. ch. DW 2015]]+Tabel66891019283234[[#This Row],[Sew. 2015]]+Tabel66891019283234[[#This Row],[WW 2015]]+Tabel66891019283234[[#This Row],[Other ch. 2015]]+Tabel66891019283234[[#This Row],[VAT 2015]]</f>
        <v>380.30707755119772</v>
      </c>
      <c r="Q91" s="397"/>
      <c r="R91" s="1886"/>
      <c r="S91" s="1888"/>
      <c r="T91" s="1890"/>
      <c r="U91" s="1892"/>
      <c r="V91" s="1894"/>
      <c r="W91" s="1911"/>
      <c r="X91" s="1913"/>
      <c r="Y91" s="1915"/>
      <c r="Z91" s="1832"/>
    </row>
    <row r="92" spans="1:26" ht="16.5" hidden="1" thickBot="1" x14ac:dyDescent="0.3">
      <c r="A92" s="1758"/>
      <c r="B92" s="1656"/>
      <c r="C92" s="543" t="s">
        <v>635</v>
      </c>
      <c r="D92" s="1923"/>
      <c r="E92" s="616">
        <f>'[1]exchange rates'!$M$19</f>
        <v>0.92093999999999998</v>
      </c>
      <c r="F92" s="686">
        <f>6.14/E92</f>
        <v>6.667101005494386</v>
      </c>
      <c r="G92" s="593">
        <f>(1.32*100)/E92</f>
        <v>143.33181314743632</v>
      </c>
      <c r="H92" s="594">
        <f>(0.38*100)/E92</f>
        <v>41.262188633352878</v>
      </c>
      <c r="I92" s="566">
        <f>Tabel66891019283234[[#This Row],[Fix.ch. 2015]]+Tabel66891019283234[[#This Row],[Var. ch. 2015]]+Tabel66891019283234[[#This Row],[Oth. ch. DW 2015]]</f>
        <v>191.26110278628357</v>
      </c>
      <c r="J92" s="596">
        <f>(2.04*100)/E92</f>
        <v>221.51280213694704</v>
      </c>
      <c r="K92" s="626">
        <f>(0*100)/E92</f>
        <v>0</v>
      </c>
      <c r="L92" s="626"/>
      <c r="M92" s="626"/>
      <c r="N92" s="597">
        <f>(0.209*100)/E92</f>
        <v>22.694203748344083</v>
      </c>
      <c r="O92" s="570">
        <f>(9.65+22.48)/E92</f>
        <v>34.88826633656916</v>
      </c>
      <c r="P92" s="1496">
        <f>Tabel66891019283234[[#This Row],[Total. ch. DW 2015]]+Tabel66891019283234[[#This Row],[Sew. 2015]]+Tabel66891019283234[[#This Row],[WW 2015]]+Tabel66891019283234[[#This Row],[Other ch. 2015]]+Tabel66891019283234[[#This Row],[VAT 2015]]</f>
        <v>470.3563750081438</v>
      </c>
      <c r="Q92" s="397"/>
      <c r="R92" s="1970"/>
      <c r="S92" s="1973"/>
      <c r="T92" s="1976"/>
      <c r="U92" s="1979"/>
      <c r="V92" s="1982"/>
      <c r="W92" s="1956"/>
      <c r="X92" s="1959"/>
      <c r="Y92" s="1962"/>
      <c r="Z92" s="1965"/>
    </row>
    <row r="93" spans="1:26" ht="19.5" hidden="1" thickBot="1" x14ac:dyDescent="0.3">
      <c r="A93" s="1206" t="s">
        <v>521</v>
      </c>
      <c r="B93" s="1617"/>
      <c r="C93" s="1047" t="s">
        <v>522</v>
      </c>
      <c r="D93" s="1256">
        <v>16000</v>
      </c>
      <c r="E93" s="308">
        <v>506.17869999999999</v>
      </c>
      <c r="F93" s="319">
        <f>3396/E93</f>
        <v>6.7090930535006708</v>
      </c>
      <c r="G93" s="320">
        <f>19013/E93</f>
        <v>37.561833399943538</v>
      </c>
      <c r="H93" s="321">
        <v>0</v>
      </c>
      <c r="I93" s="313">
        <f>Tabel66891019283234[[#This Row],[Fix.ch. 2015]]+Tabel66891019283234[[#This Row],[Var. ch. 2015]]+Tabel66891019283234[[#This Row],[Oth. ch. DW 2015]]</f>
        <v>44.270926453444211</v>
      </c>
      <c r="J93" s="322">
        <v>0</v>
      </c>
      <c r="K93" s="323">
        <v>0</v>
      </c>
      <c r="L93" s="323"/>
      <c r="M93" s="323"/>
      <c r="N93" s="324">
        <v>0</v>
      </c>
      <c r="O93" s="1258">
        <f>2241/E93</f>
        <v>4.4272902040326869</v>
      </c>
      <c r="P93" s="1491">
        <f>Tabel66891019283234[[#This Row],[Total. ch. DW 2015]]+Tabel66891019283234[[#This Row],[Sew. 2015]]+Tabel66891019283234[[#This Row],[WW 2015]]+Tabel66891019283234[[#This Row],[Other ch. 2015]]+Tabel66891019283234[[#This Row],[VAT 2015]]</f>
        <v>48.698216657476898</v>
      </c>
      <c r="Q93" s="397"/>
      <c r="R93" s="1259">
        <f>Tabel66891019283234[[#This Row],[Fix.ch. 2015]]</f>
        <v>6.7090930535006708</v>
      </c>
      <c r="S93" s="1260">
        <f>Tabel66891019283234[[#This Row],[Var. ch. 2015]]</f>
        <v>37.561833399943538</v>
      </c>
      <c r="T93" s="1261">
        <v>0</v>
      </c>
      <c r="U93" s="1262">
        <f>Tabel66891019283234[[#This Row],[Total. ch. DW 2015]]</f>
        <v>44.270926453444211</v>
      </c>
      <c r="V93" s="1263">
        <v>0</v>
      </c>
      <c r="W93" s="1264">
        <v>0</v>
      </c>
      <c r="X93" s="1265">
        <v>0</v>
      </c>
      <c r="Y93" s="1266">
        <f>Tabel66891019283234[[#This Row],[VAT 2015]]</f>
        <v>4.4272902040326869</v>
      </c>
      <c r="Z93" s="1267">
        <f>Tabel66891019283234[[#This Row],[total charge 2015]]</f>
        <v>48.698216657476898</v>
      </c>
    </row>
    <row r="94" spans="1:26" ht="19.5" hidden="1" thickBot="1" x14ac:dyDescent="0.35">
      <c r="A94" s="669" t="s">
        <v>14</v>
      </c>
      <c r="B94" s="1621"/>
      <c r="C94" s="1514" t="s">
        <v>96</v>
      </c>
      <c r="D94" s="1268">
        <v>47400</v>
      </c>
      <c r="E94" s="617">
        <f>'[1]exchange rates'!M21</f>
        <v>0.92093999999999998</v>
      </c>
      <c r="F94" s="319"/>
      <c r="G94" s="320"/>
      <c r="H94" s="321"/>
      <c r="I94" s="313"/>
      <c r="J94" s="322"/>
      <c r="K94" s="323"/>
      <c r="L94" s="323"/>
      <c r="M94" s="323"/>
      <c r="N94" s="324"/>
      <c r="O94" s="1258"/>
      <c r="P94" s="1491"/>
      <c r="Q94" s="397"/>
      <c r="R94" s="1228"/>
      <c r="S94" s="1229"/>
      <c r="T94" s="1230"/>
      <c r="U94" s="1231"/>
      <c r="V94" s="1232"/>
      <c r="W94" s="1233"/>
      <c r="X94" s="1234"/>
      <c r="Y94" s="1235"/>
      <c r="Z94" s="1236"/>
    </row>
    <row r="95" spans="1:26" ht="15.75" hidden="1" x14ac:dyDescent="0.25">
      <c r="A95" s="1878" t="s">
        <v>35</v>
      </c>
      <c r="B95" s="1656"/>
      <c r="C95" s="1269" t="s">
        <v>712</v>
      </c>
      <c r="D95" s="2343">
        <v>25600</v>
      </c>
      <c r="E95" s="617">
        <f>'[1]exchange rates'!$M$22</f>
        <v>0.92093999999999998</v>
      </c>
      <c r="F95" s="549">
        <f>79.5/E95</f>
        <v>86.324842009251412</v>
      </c>
      <c r="G95" s="550">
        <f>22.67/E95</f>
        <v>24.61615306100289</v>
      </c>
      <c r="H95" s="551">
        <f>18.13/E95</f>
        <v>19.686407366386518</v>
      </c>
      <c r="I95" s="566">
        <f>Tabel66891019283234[[#This Row],[Fix.ch. 2015]]+Tabel66891019283234[[#This Row],[Var. ch. 2015]]+Tabel66891019283234[[#This Row],[Oth. ch. DW 2015]]</f>
        <v>130.62740243664081</v>
      </c>
      <c r="J95" s="567">
        <f>20.4/E95</f>
        <v>22.151280213694701</v>
      </c>
      <c r="K95" s="568">
        <f>0</f>
        <v>0</v>
      </c>
      <c r="L95" s="568"/>
      <c r="M95" s="568"/>
      <c r="N95" s="569">
        <f>13.25/E95</f>
        <v>14.387473668208569</v>
      </c>
      <c r="O95" s="1271">
        <f>33.15/E95</f>
        <v>35.995830347253893</v>
      </c>
      <c r="P95" s="1496">
        <f>Tabel66891019283234[[#This Row],[Total. ch. DW 2015]]+Tabel66891019283234[[#This Row],[Sew. 2015]]+Tabel66891019283234[[#This Row],[WW 2015]]+Tabel66891019283234[[#This Row],[Other ch. 2015]]+Tabel66891019283234[[#This Row],[VAT 2015]]</f>
        <v>203.16198666579797</v>
      </c>
      <c r="Q95" s="397"/>
      <c r="R95" s="2344">
        <f t="shared" ref="R95:W95" si="25">SUM(F95:F99)/5</f>
        <v>46.756574804004607</v>
      </c>
      <c r="S95" s="2345">
        <f t="shared" si="25"/>
        <v>70.577887810280799</v>
      </c>
      <c r="T95" s="2350">
        <f t="shared" si="25"/>
        <v>10.886702716789369</v>
      </c>
      <c r="U95" s="2340">
        <f t="shared" si="25"/>
        <v>128.22116533107476</v>
      </c>
      <c r="V95" s="2351">
        <f t="shared" si="25"/>
        <v>55.584511477403524</v>
      </c>
      <c r="W95" s="2352">
        <f t="shared" si="25"/>
        <v>0</v>
      </c>
      <c r="X95" s="2341">
        <f t="shared" ref="X95:Z95" si="26">SUM(N95:N99)/5</f>
        <v>7.0037135969770024</v>
      </c>
      <c r="Y95" s="2342">
        <f t="shared" si="26"/>
        <v>36.677742306773517</v>
      </c>
      <c r="Z95" s="2339">
        <f t="shared" si="26"/>
        <v>227.48713271222877</v>
      </c>
    </row>
    <row r="96" spans="1:26" ht="15.75" hidden="1" x14ac:dyDescent="0.25">
      <c r="A96" s="1757"/>
      <c r="B96" s="1656"/>
      <c r="C96" s="783" t="s">
        <v>713</v>
      </c>
      <c r="D96" s="1880"/>
      <c r="E96" s="617">
        <f>'[1]exchange rates'!$M$22</f>
        <v>0.92093999999999998</v>
      </c>
      <c r="F96" s="549">
        <f>51/E96</f>
        <v>55.378200534236761</v>
      </c>
      <c r="G96" s="550">
        <f>85/E96</f>
        <v>92.2970008903946</v>
      </c>
      <c r="H96" s="551">
        <f>0/E96</f>
        <v>0</v>
      </c>
      <c r="I96" s="566">
        <f>Tabel66891019283234[[#This Row],[Fix.ch. 2015]]+Tabel66891019283234[[#This Row],[Var. ch. 2015]]+Tabel66891019283234[[#This Row],[Oth. ch. DW 2015]]</f>
        <v>147.67520142463135</v>
      </c>
      <c r="J96" s="567">
        <f>46.75/E96</f>
        <v>50.763350489717027</v>
      </c>
      <c r="K96" s="568">
        <f>0</f>
        <v>0</v>
      </c>
      <c r="L96" s="568"/>
      <c r="M96" s="568"/>
      <c r="N96" s="569">
        <f>12/E96</f>
        <v>13.03016483158512</v>
      </c>
      <c r="O96" s="1271">
        <f>36.29/E96</f>
        <v>39.405390144851999</v>
      </c>
      <c r="P96" s="1496">
        <f>Tabel66891019283234[[#This Row],[Total. ch. DW 2015]]+Tabel66891019283234[[#This Row],[Sew. 2015]]+Tabel66891019283234[[#This Row],[WW 2015]]+Tabel66891019283234[[#This Row],[Other ch. 2015]]+Tabel66891019283234[[#This Row],[VAT 2015]]</f>
        <v>250.8741068907855</v>
      </c>
      <c r="Q96" s="397"/>
      <c r="R96" s="1886"/>
      <c r="S96" s="1888"/>
      <c r="T96" s="1890"/>
      <c r="U96" s="1892"/>
      <c r="V96" s="1894"/>
      <c r="W96" s="1911"/>
      <c r="X96" s="1913"/>
      <c r="Y96" s="1915"/>
      <c r="Z96" s="1832"/>
    </row>
    <row r="97" spans="1:26" ht="15.75" hidden="1" x14ac:dyDescent="0.25">
      <c r="A97" s="1757"/>
      <c r="B97" s="1656"/>
      <c r="C97" s="783" t="s">
        <v>714</v>
      </c>
      <c r="D97" s="1880"/>
      <c r="E97" s="617">
        <f>'[1]exchange rates'!$M$22</f>
        <v>0.92093999999999998</v>
      </c>
      <c r="F97" s="549">
        <f>48.8/E97</f>
        <v>52.989336981779488</v>
      </c>
      <c r="G97" s="550">
        <f>40/E97</f>
        <v>43.433882771950401</v>
      </c>
      <c r="H97" s="551">
        <f>32/E97</f>
        <v>34.747106217560322</v>
      </c>
      <c r="I97" s="566">
        <f>Tabel66891019283234[[#This Row],[Fix.ch. 2015]]+Tabel66891019283234[[#This Row],[Var. ch. 2015]]+Tabel66891019283234[[#This Row],[Oth. ch. DW 2015]]</f>
        <v>131.1703259712902</v>
      </c>
      <c r="J97" s="567">
        <f>53/E97</f>
        <v>57.549894672834277</v>
      </c>
      <c r="K97" s="568">
        <f>0</f>
        <v>0</v>
      </c>
      <c r="L97" s="568"/>
      <c r="M97" s="568"/>
      <c r="N97" s="569">
        <f>0/E97</f>
        <v>0</v>
      </c>
      <c r="O97" s="1271">
        <f>35.97/E97</f>
        <v>39.057919082676392</v>
      </c>
      <c r="P97" s="1496">
        <f>Tabel66891019283234[[#This Row],[Total. ch. DW 2015]]+Tabel66891019283234[[#This Row],[Sew. 2015]]+Tabel66891019283234[[#This Row],[WW 2015]]+Tabel66891019283234[[#This Row],[Other ch. 2015]]+Tabel66891019283234[[#This Row],[VAT 2015]]</f>
        <v>227.77813972680087</v>
      </c>
      <c r="Q97" s="397"/>
      <c r="R97" s="1886"/>
      <c r="S97" s="1888"/>
      <c r="T97" s="1890"/>
      <c r="U97" s="1892"/>
      <c r="V97" s="1894"/>
      <c r="W97" s="1911"/>
      <c r="X97" s="1913"/>
      <c r="Y97" s="1915"/>
      <c r="Z97" s="1832"/>
    </row>
    <row r="98" spans="1:26" ht="15.75" hidden="1" x14ac:dyDescent="0.25">
      <c r="A98" s="1757"/>
      <c r="B98" s="1656"/>
      <c r="C98" s="783" t="s">
        <v>715</v>
      </c>
      <c r="D98" s="1880"/>
      <c r="E98" s="617">
        <f>'[1]exchange rates'!$M$22</f>
        <v>0.92093999999999998</v>
      </c>
      <c r="F98" s="549">
        <f>12/E98</f>
        <v>13.03016483158512</v>
      </c>
      <c r="G98" s="550">
        <f>121.12/E98</f>
        <v>131.51779703346583</v>
      </c>
      <c r="H98" s="551">
        <f>0/E98</f>
        <v>0</v>
      </c>
      <c r="I98" s="566">
        <f>Tabel66891019283234[[#This Row],[Fix.ch. 2015]]+Tabel66891019283234[[#This Row],[Var. ch. 2015]]+Tabel66891019283234[[#This Row],[Oth. ch. DW 2015]]</f>
        <v>144.54796186505095</v>
      </c>
      <c r="J98" s="567">
        <f>90.84/E98</f>
        <v>98.638347775099362</v>
      </c>
      <c r="K98" s="568">
        <f>0</f>
        <v>0</v>
      </c>
      <c r="L98" s="568"/>
      <c r="M98" s="568"/>
      <c r="N98" s="569">
        <f>0/E98</f>
        <v>0</v>
      </c>
      <c r="O98" s="1271">
        <f>39.4/E98</f>
        <v>42.782374530371143</v>
      </c>
      <c r="P98" s="1496">
        <f>Tabel66891019283234[[#This Row],[Total. ch. DW 2015]]+Tabel66891019283234[[#This Row],[Sew. 2015]]+Tabel66891019283234[[#This Row],[WW 2015]]+Tabel66891019283234[[#This Row],[Other ch. 2015]]+Tabel66891019283234[[#This Row],[VAT 2015]]</f>
        <v>285.96868417052144</v>
      </c>
      <c r="Q98" s="397"/>
      <c r="R98" s="1886"/>
      <c r="S98" s="1888"/>
      <c r="T98" s="1890"/>
      <c r="U98" s="1892"/>
      <c r="V98" s="1894"/>
      <c r="W98" s="1911"/>
      <c r="X98" s="1913"/>
      <c r="Y98" s="1915"/>
      <c r="Z98" s="1832"/>
    </row>
    <row r="99" spans="1:26" ht="16.5" hidden="1" thickBot="1" x14ac:dyDescent="0.3">
      <c r="A99" s="1758"/>
      <c r="B99" s="1656"/>
      <c r="C99" s="1272" t="s">
        <v>716</v>
      </c>
      <c r="D99" s="1923"/>
      <c r="E99" s="617">
        <f>'[1]exchange rates'!$M$22</f>
        <v>0.92093999999999998</v>
      </c>
      <c r="F99" s="549">
        <f>24/E99</f>
        <v>26.06032966317024</v>
      </c>
      <c r="G99" s="550">
        <f>56.2/E99</f>
        <v>61.024605294590316</v>
      </c>
      <c r="H99" s="551">
        <f>0/E99</f>
        <v>0</v>
      </c>
      <c r="I99" s="566">
        <f>Tabel66891019283234[[#This Row],[Fix.ch. 2015]]+Tabel66891019283234[[#This Row],[Var. ch. 2015]]+Tabel66891019283234[[#This Row],[Oth. ch. DW 2015]]</f>
        <v>87.084934957760552</v>
      </c>
      <c r="J99" s="567">
        <f>44.96/E99</f>
        <v>48.819684235672248</v>
      </c>
      <c r="K99" s="568">
        <f>0</f>
        <v>0</v>
      </c>
      <c r="L99" s="568"/>
      <c r="M99" s="568"/>
      <c r="N99" s="569">
        <f>7/E99</f>
        <v>7.6009294850913198</v>
      </c>
      <c r="O99" s="1271">
        <f>24.08/E99</f>
        <v>26.14719742871414</v>
      </c>
      <c r="P99" s="1496">
        <f>Tabel66891019283234[[#This Row],[Total. ch. DW 2015]]+Tabel66891019283234[[#This Row],[Sew. 2015]]+Tabel66891019283234[[#This Row],[WW 2015]]+Tabel66891019283234[[#This Row],[Other ch. 2015]]+Tabel66891019283234[[#This Row],[VAT 2015]]</f>
        <v>169.65274610723827</v>
      </c>
      <c r="Q99" s="397"/>
      <c r="R99" s="1970"/>
      <c r="S99" s="1973"/>
      <c r="T99" s="1976"/>
      <c r="U99" s="1979"/>
      <c r="V99" s="1982"/>
      <c r="W99" s="1956"/>
      <c r="X99" s="1959"/>
      <c r="Y99" s="1962"/>
      <c r="Z99" s="1965"/>
    </row>
    <row r="100" spans="1:26" ht="15.75" hidden="1" customHeight="1" x14ac:dyDescent="0.25">
      <c r="A100" s="1818" t="s">
        <v>45</v>
      </c>
      <c r="B100" s="1656"/>
      <c r="C100" s="1513" t="s">
        <v>102</v>
      </c>
      <c r="D100" s="2343">
        <v>26000</v>
      </c>
      <c r="E100" s="617">
        <f>'[1]exchange rates'!$M$23</f>
        <v>290.45296999999999</v>
      </c>
      <c r="F100" s="549">
        <f>1700/E100</f>
        <v>5.8529268955314864</v>
      </c>
      <c r="G100" s="550">
        <f>17240/E100</f>
        <v>59.35556451703696</v>
      </c>
      <c r="H100" s="551">
        <v>0</v>
      </c>
      <c r="I100" s="566">
        <f>Tabel66891019283234[[#This Row],[Fix.ch. 2015]]+Tabel66891019283234[[#This Row],[Var. ch. 2015]]+Tabel66891019283234[[#This Row],[Oth. ch. DW 2015]]</f>
        <v>65.208491412568449</v>
      </c>
      <c r="J100" s="567">
        <f>457/E100</f>
        <v>1.5734044654458172</v>
      </c>
      <c r="K100" s="568">
        <f>29566/E100</f>
        <v>101.79272740781408</v>
      </c>
      <c r="L100" s="568"/>
      <c r="M100" s="568"/>
      <c r="N100" s="569">
        <v>0</v>
      </c>
      <c r="O100" s="1271">
        <f>13220/E100</f>
        <v>45.515113858191917</v>
      </c>
      <c r="P100" s="1496">
        <f>Tabel66891019283234[[#This Row],[Total. ch. DW 2015]]+Tabel66891019283234[[#This Row],[Sew. 2015]]+Tabel66891019283234[[#This Row],[WW 2015]]+Tabel66891019283234[[#This Row],[Other ch. 2015]]+Tabel66891019283234[[#This Row],[VAT 2015]]</f>
        <v>214.08973714402026</v>
      </c>
      <c r="Q100" s="397"/>
      <c r="R100" s="2344">
        <f t="shared" ref="R100:W100" si="27">SUM(F100:F104)/5</f>
        <v>2.0182269095062102</v>
      </c>
      <c r="S100" s="2345">
        <f t="shared" si="27"/>
        <v>84.297296047618318</v>
      </c>
      <c r="T100" s="2350">
        <f t="shared" si="27"/>
        <v>0</v>
      </c>
      <c r="U100" s="2340">
        <f t="shared" si="27"/>
        <v>86.315522957124529</v>
      </c>
      <c r="V100" s="2351">
        <f t="shared" si="27"/>
        <v>1.3179414209467371</v>
      </c>
      <c r="W100" s="2352">
        <f t="shared" si="27"/>
        <v>73.145748862543911</v>
      </c>
      <c r="X100" s="2341">
        <f t="shared" ref="X100:Z100" si="28">SUM(N100:N104)/5</f>
        <v>0.84764153039991297</v>
      </c>
      <c r="Y100" s="2342">
        <f t="shared" si="28"/>
        <v>43.639422933082763</v>
      </c>
      <c r="Z100" s="2353">
        <f t="shared" si="28"/>
        <v>205.26627770409786</v>
      </c>
    </row>
    <row r="101" spans="1:26" ht="15.75" hidden="1" customHeight="1" x14ac:dyDescent="0.25">
      <c r="A101" s="2294"/>
      <c r="B101" s="1656"/>
      <c r="C101" s="543" t="s">
        <v>103</v>
      </c>
      <c r="D101" s="1760"/>
      <c r="E101" s="617">
        <f>'[1]exchange rates'!$M$23</f>
        <v>290.45296999999999</v>
      </c>
      <c r="F101" s="549">
        <f>1231/E101</f>
        <v>4.2382076519995646</v>
      </c>
      <c r="G101" s="550">
        <f>24490/E101</f>
        <v>84.316576277391832</v>
      </c>
      <c r="H101" s="551">
        <v>0</v>
      </c>
      <c r="I101" s="566">
        <f>Tabel66891019283234[[#This Row],[Fix.ch. 2015]]+Tabel66891019283234[[#This Row],[Var. ch. 2015]]+Tabel66891019283234[[#This Row],[Oth. ch. DW 2015]]</f>
        <v>88.554783929391391</v>
      </c>
      <c r="J101" s="567">
        <f>427/E101</f>
        <v>1.4701175202305559</v>
      </c>
      <c r="K101" s="568">
        <f>19470/E101</f>
        <v>67.033227444704735</v>
      </c>
      <c r="L101" s="568"/>
      <c r="M101" s="568"/>
      <c r="N101" s="569">
        <f>1231/E101</f>
        <v>4.2382076519995646</v>
      </c>
      <c r="O101" s="1271">
        <f>12649/E101</f>
        <v>43.549219000928105</v>
      </c>
      <c r="P101" s="1496">
        <f>Tabel66891019283234[[#This Row],[Total. ch. DW 2015]]+Tabel66891019283234[[#This Row],[Sew. 2015]]+Tabel66891019283234[[#This Row],[WW 2015]]+Tabel66891019283234[[#This Row],[Other ch. 2015]]+Tabel66891019283234[[#This Row],[VAT 2015]]</f>
        <v>204.84555554725435</v>
      </c>
      <c r="Q101" s="397"/>
      <c r="R101" s="1763"/>
      <c r="S101" s="1766"/>
      <c r="T101" s="1769"/>
      <c r="U101" s="1775"/>
      <c r="V101" s="1778"/>
      <c r="W101" s="1781"/>
      <c r="X101" s="1785"/>
      <c r="Y101" s="1788"/>
      <c r="Z101" s="1990"/>
    </row>
    <row r="102" spans="1:26" ht="15.75" hidden="1" customHeight="1" x14ac:dyDescent="0.25">
      <c r="A102" s="2294"/>
      <c r="B102" s="1656"/>
      <c r="C102" s="543" t="s">
        <v>104</v>
      </c>
      <c r="D102" s="1760"/>
      <c r="E102" s="617">
        <f>'[1]exchange rates'!$M$23</f>
        <v>290.45296999999999</v>
      </c>
      <c r="F102" s="549">
        <v>0</v>
      </c>
      <c r="G102" s="550">
        <f>24912/E102</f>
        <v>85.769479306753169</v>
      </c>
      <c r="H102" s="551">
        <v>0</v>
      </c>
      <c r="I102" s="566">
        <f>Tabel66891019283234[[#This Row],[Fix.ch. 2015]]+Tabel66891019283234[[#This Row],[Var. ch. 2015]]+Tabel66891019283234[[#This Row],[Oth. ch. DW 2015]]</f>
        <v>85.769479306753169</v>
      </c>
      <c r="J102" s="567">
        <v>0</v>
      </c>
      <c r="K102" s="568">
        <f>19161/E102</f>
        <v>65.96937190898754</v>
      </c>
      <c r="L102" s="568"/>
      <c r="M102" s="568"/>
      <c r="N102" s="569">
        <v>0</v>
      </c>
      <c r="O102" s="1271">
        <f>11900/E102</f>
        <v>40.970488268720409</v>
      </c>
      <c r="P102" s="1496">
        <f>Tabel66891019283234[[#This Row],[Total. ch. DW 2015]]+Tabel66891019283234[[#This Row],[Sew. 2015]]+Tabel66891019283234[[#This Row],[WW 2015]]+Tabel66891019283234[[#This Row],[Other ch. 2015]]+Tabel66891019283234[[#This Row],[VAT 2015]]</f>
        <v>192.70933948446111</v>
      </c>
      <c r="Q102" s="397"/>
      <c r="R102" s="1763"/>
      <c r="S102" s="1766"/>
      <c r="T102" s="1769"/>
      <c r="U102" s="1775"/>
      <c r="V102" s="1778"/>
      <c r="W102" s="1781"/>
      <c r="X102" s="1785"/>
      <c r="Y102" s="1788"/>
      <c r="Z102" s="1990"/>
    </row>
    <row r="103" spans="1:26" ht="16.5" hidden="1" customHeight="1" x14ac:dyDescent="0.25">
      <c r="A103" s="2294"/>
      <c r="B103" s="1656"/>
      <c r="C103" s="543" t="s">
        <v>105</v>
      </c>
      <c r="D103" s="1760"/>
      <c r="E103" s="617">
        <f>'[1]exchange rates'!$M$23</f>
        <v>290.45296999999999</v>
      </c>
      <c r="F103" s="549">
        <v>0</v>
      </c>
      <c r="G103" s="550">
        <f>34000/E103</f>
        <v>117.05853791062974</v>
      </c>
      <c r="H103" s="551">
        <v>0</v>
      </c>
      <c r="I103" s="566">
        <f>Tabel66891019283234[[#This Row],[Fix.ch. 2015]]+Tabel66891019283234[[#This Row],[Var. ch. 2015]]+Tabel66891019283234[[#This Row],[Oth. ch. DW 2015]]</f>
        <v>117.05853791062974</v>
      </c>
      <c r="J103" s="567">
        <f>400/E103</f>
        <v>1.3771592695368204</v>
      </c>
      <c r="K103" s="568">
        <f>24800/E103</f>
        <v>85.383874711282871</v>
      </c>
      <c r="L103" s="568"/>
      <c r="M103" s="568"/>
      <c r="N103" s="569">
        <v>0</v>
      </c>
      <c r="O103" s="1271">
        <f>15984/E103</f>
        <v>55.031284410691342</v>
      </c>
      <c r="P103" s="1496">
        <f>Tabel66891019283234[[#This Row],[Total. ch. DW 2015]]+Tabel66891019283234[[#This Row],[Sew. 2015]]+Tabel66891019283234[[#This Row],[WW 2015]]+Tabel66891019283234[[#This Row],[Other ch. 2015]]+Tabel66891019283234[[#This Row],[VAT 2015]]</f>
        <v>258.85085630214076</v>
      </c>
      <c r="Q103" s="397"/>
      <c r="R103" s="1763"/>
      <c r="S103" s="1766"/>
      <c r="T103" s="1769"/>
      <c r="U103" s="1775"/>
      <c r="V103" s="1778"/>
      <c r="W103" s="1781"/>
      <c r="X103" s="1785"/>
      <c r="Y103" s="1788"/>
      <c r="Z103" s="1990"/>
    </row>
    <row r="104" spans="1:26" ht="14.25" hidden="1" customHeight="1" x14ac:dyDescent="0.25">
      <c r="A104" s="2295"/>
      <c r="B104" s="1656"/>
      <c r="C104" s="544" t="s">
        <v>613</v>
      </c>
      <c r="D104" s="1761"/>
      <c r="E104" s="617">
        <f>'[1]exchange rates'!$M$23</f>
        <v>290.45296999999999</v>
      </c>
      <c r="F104" s="549">
        <v>0</v>
      </c>
      <c r="G104" s="550">
        <f>21780/E104</f>
        <v>74.986322226279867</v>
      </c>
      <c r="H104" s="551">
        <v>0</v>
      </c>
      <c r="I104" s="566">
        <f>Tabel66891019283234[[#This Row],[Fix.ch. 2015]]+Tabel66891019283234[[#This Row],[Var. ch. 2015]]+Tabel66891019283234[[#This Row],[Oth. ch. DW 2015]]</f>
        <v>74.986322226279867</v>
      </c>
      <c r="J104" s="567">
        <f>630/E104</f>
        <v>2.1690258495204922</v>
      </c>
      <c r="K104" s="568">
        <f>13230/E104</f>
        <v>45.549542839930332</v>
      </c>
      <c r="L104" s="568"/>
      <c r="M104" s="568"/>
      <c r="N104" s="569">
        <v>0</v>
      </c>
      <c r="O104" s="1271">
        <f>9623/E104</f>
        <v>33.131009126882056</v>
      </c>
      <c r="P104" s="1496">
        <f>Tabel66891019283234[[#This Row],[Total. ch. DW 2015]]+Tabel66891019283234[[#This Row],[Sew. 2015]]+Tabel66891019283234[[#This Row],[WW 2015]]+Tabel66891019283234[[#This Row],[Other ch. 2015]]+Tabel66891019283234[[#This Row],[VAT 2015]]</f>
        <v>155.83590004261274</v>
      </c>
      <c r="Q104" s="397"/>
      <c r="R104" s="1764"/>
      <c r="S104" s="1767"/>
      <c r="T104" s="1770"/>
      <c r="U104" s="1776"/>
      <c r="V104" s="1779"/>
      <c r="W104" s="1811"/>
      <c r="X104" s="1813"/>
      <c r="Y104" s="1815"/>
      <c r="Z104" s="1991"/>
    </row>
    <row r="105" spans="1:26" ht="14.25" hidden="1" customHeight="1" x14ac:dyDescent="0.25">
      <c r="A105" s="1447" t="s">
        <v>754</v>
      </c>
      <c r="B105" s="1656"/>
      <c r="C105" s="543" t="s">
        <v>755</v>
      </c>
      <c r="D105" s="1171">
        <v>46600</v>
      </c>
      <c r="E105" s="616">
        <f>'[1]exchange rates'!M24</f>
        <v>130.32431</v>
      </c>
      <c r="F105" s="549"/>
      <c r="G105" s="550"/>
      <c r="H105" s="551"/>
      <c r="I105" s="566">
        <f>Tabel66891019283234[[#This Row],[Fix.ch. 2015]]+Tabel66891019283234[[#This Row],[Var. ch. 2015]]+Tabel66891019283234[[#This Row],[Oth. ch. DW 2015]]</f>
        <v>0</v>
      </c>
      <c r="J105" s="567"/>
      <c r="K105" s="568"/>
      <c r="L105" s="568"/>
      <c r="M105" s="568"/>
      <c r="N105" s="569"/>
      <c r="O105" s="1271"/>
      <c r="P105" s="1496">
        <f>Tabel66891019283234[[#This Row],[Total. ch. DW 2015]]+Tabel66891019283234[[#This Row],[Sew. 2015]]+Tabel66891019283234[[#This Row],[WW 2015]]+Tabel66891019283234[[#This Row],[Other ch. 2015]]+Tabel66891019283234[[#This Row],[VAT 2015]]</f>
        <v>0</v>
      </c>
      <c r="Q105" s="397"/>
      <c r="R105" s="1173"/>
      <c r="S105" s="1174"/>
      <c r="T105" s="1175"/>
      <c r="U105" s="1176"/>
      <c r="V105" s="1177"/>
      <c r="W105" s="1178"/>
      <c r="X105" s="1179"/>
      <c r="Y105" s="1180"/>
      <c r="Z105" s="1204"/>
    </row>
    <row r="106" spans="1:26" ht="19.5" hidden="1" customHeight="1" x14ac:dyDescent="0.25">
      <c r="A106" s="1833" t="s">
        <v>466</v>
      </c>
      <c r="B106" s="1617"/>
      <c r="C106" s="1515" t="s">
        <v>606</v>
      </c>
      <c r="D106" s="2372">
        <v>12800</v>
      </c>
      <c r="E106" s="307">
        <f>'[1]exchange rates'!K27</f>
        <v>11241.536700000001</v>
      </c>
      <c r="F106" s="319">
        <v>0</v>
      </c>
      <c r="G106" s="320">
        <f>177252/E106</f>
        <v>15.767595190077527</v>
      </c>
      <c r="H106" s="321">
        <v>0</v>
      </c>
      <c r="I106" s="313">
        <f>Tabel66891019283234[[#This Row],[Fix.ch. 2015]]+Tabel66891019283234[[#This Row],[Var. ch. 2015]]+Tabel66891019283234[[#This Row],[Oth. ch. DW 2015]]</f>
        <v>15.767595190077527</v>
      </c>
      <c r="J106" s="322">
        <f>29796/E106</f>
        <v>2.6505273073564752</v>
      </c>
      <c r="K106" s="323">
        <v>0</v>
      </c>
      <c r="L106" s="323"/>
      <c r="M106" s="323"/>
      <c r="N106" s="324">
        <v>0</v>
      </c>
      <c r="O106" s="1258">
        <f>12432/E106</f>
        <v>1.1058986268309741</v>
      </c>
      <c r="P106" s="1491">
        <f>Tabel66891019283234[[#This Row],[Total. ch. DW 2015]]+Tabel66891019283234[[#This Row],[Sew. 2015]]+Tabel66891019283234[[#This Row],[WW 2015]]+Tabel66891019283234[[#This Row],[Other ch. 2015]]+Tabel66891019283234[[#This Row],[VAT 2015]]</f>
        <v>19.524021124264976</v>
      </c>
      <c r="Q106" s="397"/>
      <c r="R106" s="2362">
        <f t="shared" ref="R106:W106" si="29">SUM(F106:F110)/5</f>
        <v>0</v>
      </c>
      <c r="S106" s="2363">
        <f t="shared" si="29"/>
        <v>14.071172315792021</v>
      </c>
      <c r="T106" s="2364">
        <f t="shared" si="29"/>
        <v>0</v>
      </c>
      <c r="U106" s="2365">
        <f t="shared" si="29"/>
        <v>14.071172315792021</v>
      </c>
      <c r="V106" s="2354">
        <f t="shared" si="29"/>
        <v>2.6505273073564752</v>
      </c>
      <c r="W106" s="2355">
        <f t="shared" si="29"/>
        <v>0</v>
      </c>
      <c r="X106" s="2356">
        <f t="shared" ref="X106:Z106" si="30">SUM(N106:N110)/5</f>
        <v>0</v>
      </c>
      <c r="Y106" s="2357">
        <f t="shared" si="30"/>
        <v>1.0034215339972159</v>
      </c>
      <c r="Z106" s="2358">
        <f t="shared" si="30"/>
        <v>17.725121157145711</v>
      </c>
    </row>
    <row r="107" spans="1:26" ht="15.75" hidden="1" x14ac:dyDescent="0.25">
      <c r="A107" s="2297"/>
      <c r="B107" s="1617"/>
      <c r="C107" s="298" t="s">
        <v>607</v>
      </c>
      <c r="D107" s="1837"/>
      <c r="E107" s="307">
        <f>'[1]exchange rates'!K27</f>
        <v>11241.536700000001</v>
      </c>
      <c r="F107" s="319">
        <v>0</v>
      </c>
      <c r="G107" s="320">
        <f>155244/E107</f>
        <v>13.809855729065937</v>
      </c>
      <c r="H107" s="321">
        <v>0</v>
      </c>
      <c r="I107" s="313">
        <f>Tabel66891019283234[[#This Row],[Fix.ch. 2015]]+Tabel66891019283234[[#This Row],[Var. ch. 2015]]+Tabel66891019283234[[#This Row],[Oth. ch. DW 2015]]</f>
        <v>13.809855729065937</v>
      </c>
      <c r="J107" s="322">
        <f>29796/E107</f>
        <v>2.6505273073564752</v>
      </c>
      <c r="K107" s="323">
        <v>0</v>
      </c>
      <c r="L107" s="323"/>
      <c r="M107" s="323"/>
      <c r="N107" s="324">
        <v>0</v>
      </c>
      <c r="O107" s="1258">
        <f>11100/E107</f>
        <v>0.98740948824194108</v>
      </c>
      <c r="P107" s="1491">
        <f>Tabel66891019283234[[#This Row],[Total. ch. DW 2015]]+Tabel66891019283234[[#This Row],[Sew. 2015]]+Tabel66891019283234[[#This Row],[WW 2015]]+Tabel66891019283234[[#This Row],[Other ch. 2015]]+Tabel66891019283234[[#This Row],[VAT 2015]]</f>
        <v>17.447792524664354</v>
      </c>
      <c r="Q107" s="397"/>
      <c r="R107" s="1840"/>
      <c r="S107" s="1843"/>
      <c r="T107" s="1846"/>
      <c r="U107" s="1849"/>
      <c r="V107" s="1852"/>
      <c r="W107" s="1855"/>
      <c r="X107" s="1858"/>
      <c r="Y107" s="1873"/>
      <c r="Z107" s="1876"/>
    </row>
    <row r="108" spans="1:26" ht="15.75" hidden="1" x14ac:dyDescent="0.25">
      <c r="A108" s="2297"/>
      <c r="B108" s="1617"/>
      <c r="C108" s="298" t="s">
        <v>608</v>
      </c>
      <c r="D108" s="1837"/>
      <c r="E108" s="307">
        <f>'[1]exchange rates'!K27</f>
        <v>11241.536700000001</v>
      </c>
      <c r="F108" s="319">
        <v>0</v>
      </c>
      <c r="G108" s="320">
        <f>139356/E108</f>
        <v>12.396525823733688</v>
      </c>
      <c r="H108" s="321">
        <v>0</v>
      </c>
      <c r="I108" s="313">
        <f>Tabel66891019283234[[#This Row],[Fix.ch. 2015]]+Tabel66891019283234[[#This Row],[Var. ch. 2015]]+Tabel66891019283234[[#This Row],[Oth. ch. DW 2015]]</f>
        <v>12.396525823733688</v>
      </c>
      <c r="J108" s="322">
        <f>29796/E108</f>
        <v>2.6505273073564752</v>
      </c>
      <c r="K108" s="323">
        <v>0</v>
      </c>
      <c r="L108" s="323"/>
      <c r="M108" s="323"/>
      <c r="N108" s="324">
        <v>0</v>
      </c>
      <c r="O108" s="1258">
        <f>10152/E108</f>
        <v>0.90307938059749426</v>
      </c>
      <c r="P108" s="1491">
        <f>Tabel66891019283234[[#This Row],[Total. ch. DW 2015]]+Tabel66891019283234[[#This Row],[Sew. 2015]]+Tabel66891019283234[[#This Row],[WW 2015]]+Tabel66891019283234[[#This Row],[Other ch. 2015]]+Tabel66891019283234[[#This Row],[VAT 2015]]</f>
        <v>15.950132511687658</v>
      </c>
      <c r="Q108" s="397"/>
      <c r="R108" s="1840"/>
      <c r="S108" s="1843"/>
      <c r="T108" s="1846"/>
      <c r="U108" s="1849"/>
      <c r="V108" s="1852"/>
      <c r="W108" s="1855"/>
      <c r="X108" s="1858"/>
      <c r="Y108" s="1873"/>
      <c r="Z108" s="1876"/>
    </row>
    <row r="109" spans="1:26" ht="15.75" hidden="1" x14ac:dyDescent="0.25">
      <c r="A109" s="2297"/>
      <c r="B109" s="1617"/>
      <c r="C109" s="298" t="s">
        <v>609</v>
      </c>
      <c r="D109" s="1837"/>
      <c r="E109" s="307">
        <f>'[1]exchange rates'!K27</f>
        <v>11241.536700000001</v>
      </c>
      <c r="F109" s="319">
        <v>0</v>
      </c>
      <c r="G109" s="320">
        <f>158916/E109</f>
        <v>14.136501462473541</v>
      </c>
      <c r="H109" s="321">
        <v>0</v>
      </c>
      <c r="I109" s="313">
        <f>Tabel66891019283234[[#This Row],[Fix.ch. 2015]]+Tabel66891019283234[[#This Row],[Var. ch. 2015]]+Tabel66891019283234[[#This Row],[Oth. ch. DW 2015]]</f>
        <v>14.136501462473541</v>
      </c>
      <c r="J109" s="322">
        <f>29796/E109</f>
        <v>2.6505273073564752</v>
      </c>
      <c r="K109" s="323">
        <v>0</v>
      </c>
      <c r="L109" s="323"/>
      <c r="M109" s="323"/>
      <c r="N109" s="324">
        <v>0</v>
      </c>
      <c r="O109" s="1258">
        <f>11328/E109</f>
        <v>1.0076914128652892</v>
      </c>
      <c r="P109" s="1491">
        <f>Tabel66891019283234[[#This Row],[Total. ch. DW 2015]]+Tabel66891019283234[[#This Row],[Sew. 2015]]+Tabel66891019283234[[#This Row],[WW 2015]]+Tabel66891019283234[[#This Row],[Other ch. 2015]]+Tabel66891019283234[[#This Row],[VAT 2015]]</f>
        <v>17.794720182695304</v>
      </c>
      <c r="Q109" s="397"/>
      <c r="R109" s="1840"/>
      <c r="S109" s="1843"/>
      <c r="T109" s="1846"/>
      <c r="U109" s="1849"/>
      <c r="V109" s="1852"/>
      <c r="W109" s="1855"/>
      <c r="X109" s="1858"/>
      <c r="Y109" s="1873"/>
      <c r="Z109" s="1876"/>
    </row>
    <row r="110" spans="1:26" ht="16.5" hidden="1" thickBot="1" x14ac:dyDescent="0.3">
      <c r="A110" s="2298"/>
      <c r="B110" s="1617"/>
      <c r="C110" s="293" t="s">
        <v>610</v>
      </c>
      <c r="D110" s="2008"/>
      <c r="E110" s="307">
        <f>'[1]exchange rates'!K27</f>
        <v>11241.536700000001</v>
      </c>
      <c r="F110" s="319">
        <v>0</v>
      </c>
      <c r="G110" s="320">
        <f>160140/E110</f>
        <v>14.24538337360941</v>
      </c>
      <c r="H110" s="321">
        <v>0</v>
      </c>
      <c r="I110" s="313">
        <f>Tabel66891019283234[[#This Row],[Fix.ch. 2015]]+Tabel66891019283234[[#This Row],[Var. ch. 2015]]+Tabel66891019283234[[#This Row],[Oth. ch. DW 2015]]</f>
        <v>14.24538337360941</v>
      </c>
      <c r="J110" s="322">
        <f>29796/E110</f>
        <v>2.6505273073564752</v>
      </c>
      <c r="K110" s="323">
        <v>0</v>
      </c>
      <c r="L110" s="323"/>
      <c r="M110" s="323"/>
      <c r="N110" s="324">
        <v>0</v>
      </c>
      <c r="O110" s="1258">
        <f>11388/E110</f>
        <v>1.0130287614503806</v>
      </c>
      <c r="P110" s="1491">
        <f>Tabel66891019283234[[#This Row],[Total. ch. DW 2015]]+Tabel66891019283234[[#This Row],[Sew. 2015]]+Tabel66891019283234[[#This Row],[WW 2015]]+Tabel66891019283234[[#This Row],[Other ch. 2015]]+Tabel66891019283234[[#This Row],[VAT 2015]]</f>
        <v>17.908939442416269</v>
      </c>
      <c r="Q110" s="397"/>
      <c r="R110" s="2088"/>
      <c r="S110" s="2013"/>
      <c r="T110" s="2015"/>
      <c r="U110" s="2017"/>
      <c r="V110" s="2019"/>
      <c r="W110" s="2021"/>
      <c r="X110" s="2030"/>
      <c r="Y110" s="1993"/>
      <c r="Z110" s="1995"/>
    </row>
    <row r="111" spans="1:26" ht="19.5" hidden="1" thickBot="1" x14ac:dyDescent="0.35">
      <c r="A111" s="267" t="s">
        <v>16</v>
      </c>
      <c r="B111" s="1616"/>
      <c r="C111" s="1516" t="s">
        <v>106</v>
      </c>
      <c r="D111" s="1256">
        <v>34900</v>
      </c>
      <c r="E111" s="308">
        <f>'[1]exchange rates'!K28</f>
        <v>3.4691000000000001</v>
      </c>
      <c r="F111" s="319">
        <v>0</v>
      </c>
      <c r="G111" s="320">
        <f>743.6/E111</f>
        <v>214.34954310916376</v>
      </c>
      <c r="H111" s="321">
        <v>0</v>
      </c>
      <c r="I111" s="313">
        <f>Tabel66891019283234[[#This Row],[Fix.ch. 2015]]+Tabel66891019283234[[#This Row],[Var. ch. 2015]]+Tabel66891019283234[[#This Row],[Oth. ch. DW 2015]]</f>
        <v>214.34954310916376</v>
      </c>
      <c r="J111" s="322">
        <v>0</v>
      </c>
      <c r="K111" s="323">
        <v>0</v>
      </c>
      <c r="L111" s="323"/>
      <c r="M111" s="323"/>
      <c r="N111" s="324">
        <v>0</v>
      </c>
      <c r="O111" s="1258">
        <f>128.87/E111</f>
        <v>37.147963448733101</v>
      </c>
      <c r="P111" s="1491">
        <f>Tabel66891019283234[[#This Row],[Total. ch. DW 2015]]+Tabel66891019283234[[#This Row],[Sew. 2015]]+Tabel66891019283234[[#This Row],[WW 2015]]+Tabel66891019283234[[#This Row],[Other ch. 2015]]+Tabel66891019283234[[#This Row],[VAT 2015]]</f>
        <v>251.49750655789686</v>
      </c>
      <c r="Q111" s="397"/>
      <c r="R111" s="1228">
        <v>0</v>
      </c>
      <c r="S111" s="1229">
        <f>Tabel66891019283234[[#This Row],[Var. ch. 2015]]</f>
        <v>214.34954310916376</v>
      </c>
      <c r="T111" s="1230">
        <v>0</v>
      </c>
      <c r="U111" s="1231">
        <f>Tabel66891019283234[[#This Row],[Total. ch. DW 2015]]</f>
        <v>214.34954310916376</v>
      </c>
      <c r="V111" s="1232">
        <v>0</v>
      </c>
      <c r="W111" s="1233">
        <v>0</v>
      </c>
      <c r="X111" s="1234">
        <v>0</v>
      </c>
      <c r="Y111" s="1235">
        <f>Tabel66891019283234[[#This Row],[VAT 2015]]</f>
        <v>37.147963448733101</v>
      </c>
      <c r="Z111" s="1517">
        <f>Tabel66891019283234[[#This Row],[total charge 2015]]</f>
        <v>251.49750655789686</v>
      </c>
    </row>
    <row r="112" spans="1:26" ht="15.75" hidden="1" customHeight="1" x14ac:dyDescent="0.25">
      <c r="A112" s="1833" t="s">
        <v>17</v>
      </c>
      <c r="B112" s="1617"/>
      <c r="C112" s="1515" t="s">
        <v>107</v>
      </c>
      <c r="D112" s="2372">
        <v>29600</v>
      </c>
      <c r="E112" s="306">
        <f>'[1]exchange rates'!K29</f>
        <v>0.72762000000000004</v>
      </c>
      <c r="F112" s="319">
        <f>17.62/E112</f>
        <v>24.215936890134959</v>
      </c>
      <c r="G112" s="320">
        <f>32.7/E112</f>
        <v>44.941040653088152</v>
      </c>
      <c r="H112" s="321">
        <f>0</f>
        <v>0</v>
      </c>
      <c r="I112" s="313">
        <f>Tabel66891019283234[[#This Row],[Fix.ch. 2015]]+Tabel66891019283234[[#This Row],[Var. ch. 2015]]+Tabel66891019283234[[#This Row],[Oth. ch. DW 2015]]</f>
        <v>69.156977543223107</v>
      </c>
      <c r="J112" s="322">
        <f>17.15/E112</f>
        <v>23.569995327231243</v>
      </c>
      <c r="K112" s="323">
        <f>46.21/E112</f>
        <v>63.508424727192761</v>
      </c>
      <c r="L112" s="323"/>
      <c r="M112" s="323"/>
      <c r="N112" s="324">
        <v>0</v>
      </c>
      <c r="O112" s="1258">
        <f>11.37/E112</f>
        <v>15.626288447266429</v>
      </c>
      <c r="P112" s="1491">
        <f>Tabel66891019283234[[#This Row],[Total. ch. DW 2015]]+Tabel66891019283234[[#This Row],[Sew. 2015]]+Tabel66891019283234[[#This Row],[WW 2015]]+Tabel66891019283234[[#This Row],[Other ch. 2015]]+Tabel66891019283234[[#This Row],[VAT 2015]]</f>
        <v>171.86168604491354</v>
      </c>
      <c r="Q112" s="397"/>
      <c r="R112" s="2362">
        <f t="shared" ref="R112:W112" si="31">SUM(F112:F116)/5</f>
        <v>16.250240510156399</v>
      </c>
      <c r="S112" s="2363">
        <f t="shared" si="31"/>
        <v>41.83502377614689</v>
      </c>
      <c r="T112" s="2364">
        <f t="shared" si="31"/>
        <v>0.34633462521645908</v>
      </c>
      <c r="U112" s="2365">
        <f t="shared" si="31"/>
        <v>58.431598911519743</v>
      </c>
      <c r="V112" s="2354">
        <f t="shared" si="31"/>
        <v>21.305076825815672</v>
      </c>
      <c r="W112" s="2355">
        <f t="shared" si="31"/>
        <v>58.228196036392617</v>
      </c>
      <c r="X112" s="2356">
        <f t="shared" ref="X112:Z112" si="32">SUM(N112:N116)/5</f>
        <v>0</v>
      </c>
      <c r="Y112" s="2357">
        <f t="shared" si="32"/>
        <v>13.798411258624009</v>
      </c>
      <c r="Z112" s="2382">
        <f t="shared" si="32"/>
        <v>151.76328303235204</v>
      </c>
    </row>
    <row r="113" spans="1:26" ht="15.75" hidden="1" customHeight="1" x14ac:dyDescent="0.25">
      <c r="A113" s="2297"/>
      <c r="B113" s="1617"/>
      <c r="C113" s="298" t="s">
        <v>108</v>
      </c>
      <c r="D113" s="1837"/>
      <c r="E113" s="306">
        <f>'[1]exchange rates'!K29</f>
        <v>0.72762000000000004</v>
      </c>
      <c r="F113" s="319">
        <f>2.79/E113</f>
        <v>3.8344190648965117</v>
      </c>
      <c r="G113" s="320">
        <f>11/E113</f>
        <v>15.117781259448613</v>
      </c>
      <c r="H113" s="321">
        <v>0</v>
      </c>
      <c r="I113" s="313">
        <f>Tabel66891019283234[[#This Row],[Fix.ch. 2015]]+Tabel66891019283234[[#This Row],[Var. ch. 2015]]+Tabel66891019283234[[#This Row],[Oth. ch. DW 2015]]</f>
        <v>18.952200324345124</v>
      </c>
      <c r="J113" s="322">
        <f>10.8/E113</f>
        <v>14.84291250927682</v>
      </c>
      <c r="K113" s="323">
        <f>27.7/E113</f>
        <v>38.069321898793326</v>
      </c>
      <c r="L113" s="323"/>
      <c r="M113" s="323"/>
      <c r="N113" s="324">
        <v>0</v>
      </c>
      <c r="O113" s="1258">
        <f>5.23/E113</f>
        <v>7.1878178169923865</v>
      </c>
      <c r="P113" s="1491">
        <f>Tabel66891019283234[[#This Row],[Total. ch. DW 2015]]+Tabel66891019283234[[#This Row],[Sew. 2015]]+Tabel66891019283234[[#This Row],[WW 2015]]+Tabel66891019283234[[#This Row],[Other ch. 2015]]+Tabel66891019283234[[#This Row],[VAT 2015]]</f>
        <v>79.052252549407669</v>
      </c>
      <c r="Q113" s="397"/>
      <c r="R113" s="1840"/>
      <c r="S113" s="1843"/>
      <c r="T113" s="1846"/>
      <c r="U113" s="1849"/>
      <c r="V113" s="1852"/>
      <c r="W113" s="1855"/>
      <c r="X113" s="1858"/>
      <c r="Y113" s="1873"/>
      <c r="Z113" s="2390"/>
    </row>
    <row r="114" spans="1:26" ht="15.75" hidden="1" customHeight="1" x14ac:dyDescent="0.25">
      <c r="A114" s="2297"/>
      <c r="B114" s="1617"/>
      <c r="C114" s="298" t="s">
        <v>109</v>
      </c>
      <c r="D114" s="1837"/>
      <c r="E114" s="306">
        <f>'[1]exchange rates'!K29</f>
        <v>0.72762000000000004</v>
      </c>
      <c r="F114" s="319">
        <f>8.79/E114</f>
        <v>12.080481570050299</v>
      </c>
      <c r="G114" s="320">
        <f>49.92/E114</f>
        <v>68.607240042879525</v>
      </c>
      <c r="H114" s="321">
        <v>0</v>
      </c>
      <c r="I114" s="313">
        <f>Tabel66891019283234[[#This Row],[Fix.ch. 2015]]+Tabel66891019283234[[#This Row],[Var. ch. 2015]]+Tabel66891019283234[[#This Row],[Oth. ch. DW 2015]]</f>
        <v>80.68772161292982</v>
      </c>
      <c r="J114" s="322">
        <f>10.25/E114</f>
        <v>14.087023446304389</v>
      </c>
      <c r="K114" s="323">
        <f>29.37/E114</f>
        <v>40.364475962727795</v>
      </c>
      <c r="L114" s="323"/>
      <c r="M114" s="323"/>
      <c r="N114" s="324">
        <v>0</v>
      </c>
      <c r="O114" s="1258">
        <f>9.83/E114</f>
        <v>13.509799070943624</v>
      </c>
      <c r="P114" s="1491">
        <f>Tabel66891019283234[[#This Row],[Total. ch. DW 2015]]+Tabel66891019283234[[#This Row],[Sew. 2015]]+Tabel66891019283234[[#This Row],[WW 2015]]+Tabel66891019283234[[#This Row],[Other ch. 2015]]+Tabel66891019283234[[#This Row],[VAT 2015]]</f>
        <v>148.6490200929056</v>
      </c>
      <c r="Q114" s="397"/>
      <c r="R114" s="1840"/>
      <c r="S114" s="1843"/>
      <c r="T114" s="1846"/>
      <c r="U114" s="1849"/>
      <c r="V114" s="1852"/>
      <c r="W114" s="1855"/>
      <c r="X114" s="1858"/>
      <c r="Y114" s="1873"/>
      <c r="Z114" s="2390"/>
    </row>
    <row r="115" spans="1:26" ht="15.75" hidden="1" customHeight="1" x14ac:dyDescent="0.25">
      <c r="A115" s="2297"/>
      <c r="B115" s="1617"/>
      <c r="C115" s="298" t="s">
        <v>110</v>
      </c>
      <c r="D115" s="1837"/>
      <c r="E115" s="306">
        <f>'[1]exchange rates'!K29</f>
        <v>0.72762000000000004</v>
      </c>
      <c r="F115" s="319">
        <f>22.66/E115</f>
        <v>31.142629394464141</v>
      </c>
      <c r="G115" s="320">
        <f>20.6/E115</f>
        <v>28.311481267694678</v>
      </c>
      <c r="H115" s="321">
        <f>1.26/E115</f>
        <v>1.7316731260822955</v>
      </c>
      <c r="I115" s="313">
        <f>Tabel66891019283234[[#This Row],[Fix.ch. 2015]]+Tabel66891019283234[[#This Row],[Var. ch. 2015]]+Tabel66891019283234[[#This Row],[Oth. ch. DW 2015]]</f>
        <v>61.18578378824111</v>
      </c>
      <c r="J115" s="322">
        <f>16.23/E115</f>
        <v>22.305599076440998</v>
      </c>
      <c r="K115" s="323">
        <f>46.82/E115</f>
        <v>64.346774415216728</v>
      </c>
      <c r="L115" s="323"/>
      <c r="M115" s="323"/>
      <c r="N115" s="324">
        <v>0</v>
      </c>
      <c r="O115" s="1258">
        <f>10.76/E115</f>
        <v>14.787938759242461</v>
      </c>
      <c r="P115" s="1491">
        <f>Tabel66891019283234[[#This Row],[Total. ch. DW 2015]]+Tabel66891019283234[[#This Row],[Sew. 2015]]+Tabel66891019283234[[#This Row],[WW 2015]]+Tabel66891019283234[[#This Row],[Other ch. 2015]]+Tabel66891019283234[[#This Row],[VAT 2015]]</f>
        <v>162.62609603914129</v>
      </c>
      <c r="Q115" s="397"/>
      <c r="R115" s="1840"/>
      <c r="S115" s="1843"/>
      <c r="T115" s="1846"/>
      <c r="U115" s="1849"/>
      <c r="V115" s="1852"/>
      <c r="W115" s="1855"/>
      <c r="X115" s="1858"/>
      <c r="Y115" s="1873"/>
      <c r="Z115" s="2390"/>
    </row>
    <row r="116" spans="1:26" ht="16.5" hidden="1" customHeight="1" x14ac:dyDescent="0.25">
      <c r="A116" s="2298"/>
      <c r="B116" s="1617"/>
      <c r="C116" s="293" t="s">
        <v>111</v>
      </c>
      <c r="D116" s="2221"/>
      <c r="E116" s="306">
        <f>'[1]exchange rates'!K29</f>
        <v>0.72762000000000004</v>
      </c>
      <c r="F116" s="319">
        <f>7.26/E116</f>
        <v>9.977735631236083</v>
      </c>
      <c r="G116" s="320">
        <f>37.98/E116</f>
        <v>52.197575657623474</v>
      </c>
      <c r="H116" s="321">
        <v>0</v>
      </c>
      <c r="I116" s="313">
        <f>Tabel66891019283234[[#This Row],[Fix.ch. 2015]]+Tabel66891019283234[[#This Row],[Var. ch. 2015]]+Tabel66891019283234[[#This Row],[Oth. ch. DW 2015]]</f>
        <v>62.175311288859561</v>
      </c>
      <c r="J116" s="322">
        <f>23.08/E116</f>
        <v>31.719853769824905</v>
      </c>
      <c r="K116" s="323">
        <f>61.74/E116</f>
        <v>84.851983178032484</v>
      </c>
      <c r="L116" s="323"/>
      <c r="M116" s="323"/>
      <c r="N116" s="324">
        <v>0</v>
      </c>
      <c r="O116" s="1258">
        <f>13.01/E116</f>
        <v>17.880212198675132</v>
      </c>
      <c r="P116" s="1491">
        <f>Tabel66891019283234[[#This Row],[Total. ch. DW 2015]]+Tabel66891019283234[[#This Row],[Sew. 2015]]+Tabel66891019283234[[#This Row],[WW 2015]]+Tabel66891019283234[[#This Row],[Other ch. 2015]]+Tabel66891019283234[[#This Row],[VAT 2015]]</f>
        <v>196.62736043539209</v>
      </c>
      <c r="Q116" s="397"/>
      <c r="R116" s="2223"/>
      <c r="S116" s="2225"/>
      <c r="T116" s="2227"/>
      <c r="U116" s="2234"/>
      <c r="V116" s="2236"/>
      <c r="W116" s="2238"/>
      <c r="X116" s="2240"/>
      <c r="Y116" s="2242"/>
      <c r="Z116" s="2391"/>
    </row>
    <row r="117" spans="1:26" ht="15.75" hidden="1" x14ac:dyDescent="0.25">
      <c r="A117" s="1818" t="s">
        <v>18</v>
      </c>
      <c r="B117" s="1656"/>
      <c r="C117" s="1513" t="s">
        <v>112</v>
      </c>
      <c r="D117" s="2343">
        <v>38200</v>
      </c>
      <c r="E117" s="617">
        <f>'[1]exchange rates'!$M$30</f>
        <v>120.30594000000001</v>
      </c>
      <c r="F117" s="549">
        <f>7500/E117</f>
        <v>62.341061463798042</v>
      </c>
      <c r="G117" s="550">
        <f>240/E117</f>
        <v>1.9949139668415374</v>
      </c>
      <c r="H117" s="551">
        <v>0</v>
      </c>
      <c r="I117" s="566">
        <f>Tabel66891019283234[[#This Row],[Fix.ch. 2015]]+Tabel66891019283234[[#This Row],[Var. ch. 2015]]+Tabel66891019283234[[#This Row],[Oth. ch. DW 2015]]</f>
        <v>64.335975430639579</v>
      </c>
      <c r="J117" s="567">
        <f>6720/E117</f>
        <v>55.85759107156305</v>
      </c>
      <c r="K117" s="568">
        <v>0</v>
      </c>
      <c r="L117" s="568"/>
      <c r="M117" s="568"/>
      <c r="N117" s="569">
        <v>0</v>
      </c>
      <c r="O117" s="1271">
        <f>1152/E117</f>
        <v>9.5755870408393786</v>
      </c>
      <c r="P117" s="1496">
        <f>Tabel66891019283234[[#This Row],[Total. ch. DW 2015]]+Tabel66891019283234[[#This Row],[Sew. 2015]]+Tabel66891019283234[[#This Row],[WW 2015]]+Tabel66891019283234[[#This Row],[Other ch. 2015]]+Tabel66891019283234[[#This Row],[VAT 2015]]</f>
        <v>129.76915354304199</v>
      </c>
      <c r="Q117" s="397"/>
      <c r="R117" s="2344">
        <f t="shared" ref="R117:W117" si="33">SUM(F117:F124)/8</f>
        <v>95.568847224002397</v>
      </c>
      <c r="S117" s="2345">
        <f t="shared" si="33"/>
        <v>12.875507227656422</v>
      </c>
      <c r="T117" s="2389">
        <f t="shared" si="33"/>
        <v>0</v>
      </c>
      <c r="U117" s="2361">
        <f t="shared" si="33"/>
        <v>108.44435445165882</v>
      </c>
      <c r="V117" s="2351">
        <f t="shared" si="33"/>
        <v>65.046663531326885</v>
      </c>
      <c r="W117" s="2383">
        <f t="shared" si="33"/>
        <v>0</v>
      </c>
      <c r="X117" s="2384">
        <f t="shared" ref="X117:Z117" si="34">SUM(N117:N124)/8</f>
        <v>0</v>
      </c>
      <c r="Y117" s="2342">
        <f t="shared" si="34"/>
        <v>13.814779220377648</v>
      </c>
      <c r="Z117" s="2353">
        <f t="shared" si="34"/>
        <v>187.30579720336334</v>
      </c>
    </row>
    <row r="118" spans="1:26" ht="15.75" hidden="1" x14ac:dyDescent="0.25">
      <c r="A118" s="2294"/>
      <c r="B118" s="1656"/>
      <c r="C118" s="543" t="s">
        <v>113</v>
      </c>
      <c r="D118" s="1880"/>
      <c r="E118" s="617">
        <f>'[1]exchange rates'!$M$30</f>
        <v>120.30594000000001</v>
      </c>
      <c r="F118" s="549">
        <f>10200/E118</f>
        <v>84.783843590765343</v>
      </c>
      <c r="G118" s="550">
        <f>1000/E118</f>
        <v>8.3121415285064053</v>
      </c>
      <c r="H118" s="551">
        <v>0</v>
      </c>
      <c r="I118" s="566">
        <f>Tabel66891019283234[[#This Row],[Fix.ch. 2015]]+Tabel66891019283234[[#This Row],[Var. ch. 2015]]+Tabel66891019283234[[#This Row],[Oth. ch. DW 2015]]</f>
        <v>93.095985119271745</v>
      </c>
      <c r="J118" s="567">
        <f>6600/E118</f>
        <v>54.860134088142281</v>
      </c>
      <c r="K118" s="568">
        <v>0</v>
      </c>
      <c r="L118" s="568"/>
      <c r="M118" s="568"/>
      <c r="N118" s="569">
        <v>0</v>
      </c>
      <c r="O118" s="1271">
        <f>1420/E118</f>
        <v>11.803240970479097</v>
      </c>
      <c r="P118" s="1496">
        <f>Tabel66891019283234[[#This Row],[Total. ch. DW 2015]]+Tabel66891019283234[[#This Row],[Sew. 2015]]+Tabel66891019283234[[#This Row],[WW 2015]]+Tabel66891019283234[[#This Row],[Other ch. 2015]]+Tabel66891019283234[[#This Row],[VAT 2015]]</f>
        <v>159.75936017789311</v>
      </c>
      <c r="Q118" s="397"/>
      <c r="R118" s="1886"/>
      <c r="S118" s="1888"/>
      <c r="T118" s="1899"/>
      <c r="U118" s="1902"/>
      <c r="V118" s="1894"/>
      <c r="W118" s="1864"/>
      <c r="X118" s="1867"/>
      <c r="Y118" s="1915"/>
      <c r="Z118" s="2291"/>
    </row>
    <row r="119" spans="1:26" ht="15.75" hidden="1" x14ac:dyDescent="0.25">
      <c r="A119" s="2294"/>
      <c r="B119" s="1656"/>
      <c r="C119" s="543" t="s">
        <v>114</v>
      </c>
      <c r="D119" s="1880"/>
      <c r="E119" s="617">
        <f>'[1]exchange rates'!$M$30</f>
        <v>120.30594000000001</v>
      </c>
      <c r="F119" s="549">
        <f>9720/E119</f>
        <v>80.794015657082269</v>
      </c>
      <c r="G119" s="550">
        <f>500/E119</f>
        <v>4.1560707642532027</v>
      </c>
      <c r="H119" s="551">
        <v>0</v>
      </c>
      <c r="I119" s="566">
        <f>Tabel66891019283234[[#This Row],[Fix.ch. 2015]]+Tabel66891019283234[[#This Row],[Var. ch. 2015]]+Tabel66891019283234[[#This Row],[Oth. ch. DW 2015]]</f>
        <v>84.95008642133547</v>
      </c>
      <c r="J119" s="567">
        <f>8480/E119</f>
        <v>70.486960161734316</v>
      </c>
      <c r="K119" s="568">
        <v>0</v>
      </c>
      <c r="L119" s="568"/>
      <c r="M119" s="568"/>
      <c r="N119" s="569">
        <v>0</v>
      </c>
      <c r="O119" s="1271">
        <f>1492/E119</f>
        <v>12.401715160531557</v>
      </c>
      <c r="P119" s="1496">
        <f>Tabel66891019283234[[#This Row],[Total. ch. DW 2015]]+Tabel66891019283234[[#This Row],[Sew. 2015]]+Tabel66891019283234[[#This Row],[WW 2015]]+Tabel66891019283234[[#This Row],[Other ch. 2015]]+Tabel66891019283234[[#This Row],[VAT 2015]]</f>
        <v>167.83876174360134</v>
      </c>
      <c r="Q119" s="397"/>
      <c r="R119" s="1886"/>
      <c r="S119" s="1888"/>
      <c r="T119" s="1899"/>
      <c r="U119" s="1902"/>
      <c r="V119" s="1894"/>
      <c r="W119" s="1864"/>
      <c r="X119" s="1867"/>
      <c r="Y119" s="1915"/>
      <c r="Z119" s="2291"/>
    </row>
    <row r="120" spans="1:26" ht="15.75" hidden="1" x14ac:dyDescent="0.25">
      <c r="A120" s="2294"/>
      <c r="B120" s="1656"/>
      <c r="C120" s="543" t="s">
        <v>115</v>
      </c>
      <c r="D120" s="1880"/>
      <c r="E120" s="617">
        <f>'[1]exchange rates'!$M$30</f>
        <v>120.30594000000001</v>
      </c>
      <c r="F120" s="549">
        <f>10200/E120</f>
        <v>84.783843590765343</v>
      </c>
      <c r="G120" s="550">
        <f>1632/E120</f>
        <v>13.565414974522454</v>
      </c>
      <c r="H120" s="551">
        <v>0</v>
      </c>
      <c r="I120" s="566">
        <f>Tabel66891019283234[[#This Row],[Fix.ch. 2015]]+Tabel66891019283234[[#This Row],[Var. ch. 2015]]+Tabel66891019283234[[#This Row],[Oth. ch. DW 2015]]</f>
        <v>98.349258565287798</v>
      </c>
      <c r="J120" s="567">
        <f>10368/E120</f>
        <v>86.180283367554409</v>
      </c>
      <c r="K120" s="568">
        <v>0</v>
      </c>
      <c r="L120" s="568"/>
      <c r="M120" s="568"/>
      <c r="N120" s="569">
        <v>0</v>
      </c>
      <c r="O120" s="1271">
        <f>1764/E120</f>
        <v>14.662617656285299</v>
      </c>
      <c r="P120" s="1496">
        <f>Tabel66891019283234[[#This Row],[Total. ch. DW 2015]]+Tabel66891019283234[[#This Row],[Sew. 2015]]+Tabel66891019283234[[#This Row],[WW 2015]]+Tabel66891019283234[[#This Row],[Other ch. 2015]]+Tabel66891019283234[[#This Row],[VAT 2015]]</f>
        <v>199.19215958912753</v>
      </c>
      <c r="Q120" s="397"/>
      <c r="R120" s="1886"/>
      <c r="S120" s="1888"/>
      <c r="T120" s="1899"/>
      <c r="U120" s="1902"/>
      <c r="V120" s="1894"/>
      <c r="W120" s="1864"/>
      <c r="X120" s="1867"/>
      <c r="Y120" s="1915"/>
      <c r="Z120" s="2291"/>
    </row>
    <row r="121" spans="1:26" ht="15.75" hidden="1" x14ac:dyDescent="0.25">
      <c r="A121" s="2294"/>
      <c r="B121" s="1656"/>
      <c r="C121" s="543" t="s">
        <v>116</v>
      </c>
      <c r="D121" s="1880"/>
      <c r="E121" s="617">
        <f>'[1]exchange rates'!$M$30</f>
        <v>120.30594000000001</v>
      </c>
      <c r="F121" s="549">
        <f>15840/E121</f>
        <v>131.66432181154147</v>
      </c>
      <c r="G121" s="550">
        <v>0</v>
      </c>
      <c r="H121" s="551">
        <v>0</v>
      </c>
      <c r="I121" s="566">
        <f>Tabel66891019283234[[#This Row],[Fix.ch. 2015]]+Tabel66891019283234[[#This Row],[Var. ch. 2015]]+Tabel66891019283234[[#This Row],[Oth. ch. DW 2015]]</f>
        <v>131.66432181154147</v>
      </c>
      <c r="J121" s="567">
        <f>7200/E121</f>
        <v>59.847419005246124</v>
      </c>
      <c r="K121" s="568">
        <v>0</v>
      </c>
      <c r="L121" s="568"/>
      <c r="M121" s="568"/>
      <c r="N121" s="569">
        <v>0</v>
      </c>
      <c r="O121" s="1271">
        <f>1836/E121</f>
        <v>15.261091846337761</v>
      </c>
      <c r="P121" s="1496">
        <f>Tabel66891019283234[[#This Row],[Total. ch. DW 2015]]+Tabel66891019283234[[#This Row],[Sew. 2015]]+Tabel66891019283234[[#This Row],[WW 2015]]+Tabel66891019283234[[#This Row],[Other ch. 2015]]+Tabel66891019283234[[#This Row],[VAT 2015]]</f>
        <v>206.77283266312537</v>
      </c>
      <c r="Q121" s="397"/>
      <c r="R121" s="1886"/>
      <c r="S121" s="1888"/>
      <c r="T121" s="1899"/>
      <c r="U121" s="1902"/>
      <c r="V121" s="1894"/>
      <c r="W121" s="1864"/>
      <c r="X121" s="1867"/>
      <c r="Y121" s="1915"/>
      <c r="Z121" s="2291"/>
    </row>
    <row r="122" spans="1:26" ht="15.75" hidden="1" x14ac:dyDescent="0.25">
      <c r="A122" s="2294"/>
      <c r="B122" s="1656"/>
      <c r="C122" s="543" t="s">
        <v>117</v>
      </c>
      <c r="D122" s="1880"/>
      <c r="E122" s="617">
        <f>'[1]exchange rates'!$M$30</f>
        <v>120.30594000000001</v>
      </c>
      <c r="F122" s="549">
        <f>15000/E122</f>
        <v>124.68212292759608</v>
      </c>
      <c r="G122" s="550">
        <f>7968/E122</f>
        <v>66.231143699139039</v>
      </c>
      <c r="H122" s="551">
        <v>0</v>
      </c>
      <c r="I122" s="566">
        <f>Tabel66891019283234[[#This Row],[Fix.ch. 2015]]+Tabel66891019283234[[#This Row],[Var. ch. 2015]]+Tabel66891019283234[[#This Row],[Oth. ch. DW 2015]]</f>
        <v>190.91326662673512</v>
      </c>
      <c r="J122" s="567">
        <f>8436/E122</f>
        <v>70.121225934480037</v>
      </c>
      <c r="K122" s="568">
        <v>0</v>
      </c>
      <c r="L122" s="568"/>
      <c r="M122" s="568"/>
      <c r="N122" s="569">
        <v>0</v>
      </c>
      <c r="O122" s="1271">
        <f>2508/E122</f>
        <v>20.846850953494066</v>
      </c>
      <c r="P122" s="1496">
        <f>Tabel66891019283234[[#This Row],[Total. ch. DW 2015]]+Tabel66891019283234[[#This Row],[Sew. 2015]]+Tabel66891019283234[[#This Row],[WW 2015]]+Tabel66891019283234[[#This Row],[Other ch. 2015]]+Tabel66891019283234[[#This Row],[VAT 2015]]</f>
        <v>281.88134351470927</v>
      </c>
      <c r="Q122" s="397"/>
      <c r="R122" s="1886"/>
      <c r="S122" s="1888"/>
      <c r="T122" s="1899"/>
      <c r="U122" s="1902"/>
      <c r="V122" s="1894"/>
      <c r="W122" s="1864"/>
      <c r="X122" s="1867"/>
      <c r="Y122" s="1915"/>
      <c r="Z122" s="2291"/>
    </row>
    <row r="123" spans="1:26" ht="15.75" hidden="1" x14ac:dyDescent="0.25">
      <c r="A123" s="2294"/>
      <c r="B123" s="1656"/>
      <c r="C123" s="543" t="s">
        <v>118</v>
      </c>
      <c r="D123" s="1880"/>
      <c r="E123" s="617">
        <f>'[1]exchange rates'!$M$30</f>
        <v>120.30594000000001</v>
      </c>
      <c r="F123" s="549">
        <f>14040/E123</f>
        <v>116.70246706022994</v>
      </c>
      <c r="G123" s="550">
        <f>880/E123</f>
        <v>7.3146845450856368</v>
      </c>
      <c r="H123" s="551">
        <v>0</v>
      </c>
      <c r="I123" s="566">
        <f>Tabel66891019283234[[#This Row],[Fix.ch. 2015]]+Tabel66891019283234[[#This Row],[Var. ch. 2015]]+Tabel66891019283234[[#This Row],[Oth. ch. DW 2015]]</f>
        <v>124.01715160531558</v>
      </c>
      <c r="J123" s="567">
        <f>7160/E123</f>
        <v>59.514933344105863</v>
      </c>
      <c r="K123" s="568">
        <v>0</v>
      </c>
      <c r="L123" s="568"/>
      <c r="M123" s="568"/>
      <c r="N123" s="569">
        <v>0</v>
      </c>
      <c r="O123" s="1271">
        <f>1748/E123</f>
        <v>14.529623391829197</v>
      </c>
      <c r="P123" s="1496">
        <f>Tabel66891019283234[[#This Row],[Total. ch. DW 2015]]+Tabel66891019283234[[#This Row],[Sew. 2015]]+Tabel66891019283234[[#This Row],[WW 2015]]+Tabel66891019283234[[#This Row],[Other ch. 2015]]+Tabel66891019283234[[#This Row],[VAT 2015]]</f>
        <v>198.06170834125064</v>
      </c>
      <c r="Q123" s="397"/>
      <c r="R123" s="1886"/>
      <c r="S123" s="1888"/>
      <c r="T123" s="1899"/>
      <c r="U123" s="1902"/>
      <c r="V123" s="1894"/>
      <c r="W123" s="1864"/>
      <c r="X123" s="1867"/>
      <c r="Y123" s="1915"/>
      <c r="Z123" s="2291"/>
    </row>
    <row r="124" spans="1:26" ht="16.5" hidden="1" thickBot="1" x14ac:dyDescent="0.3">
      <c r="A124" s="2295"/>
      <c r="B124" s="1656"/>
      <c r="C124" s="544" t="s">
        <v>119</v>
      </c>
      <c r="D124" s="1761"/>
      <c r="E124" s="617">
        <f>'[1]exchange rates'!$M$30</f>
        <v>120.30594000000001</v>
      </c>
      <c r="F124" s="549">
        <f>9480/E124</f>
        <v>78.799101690240732</v>
      </c>
      <c r="G124" s="550">
        <f>172/E124</f>
        <v>1.4296883429031018</v>
      </c>
      <c r="H124" s="551">
        <v>0</v>
      </c>
      <c r="I124" s="566">
        <f>Tabel66891019283234[[#This Row],[Fix.ch. 2015]]+Tabel66891019283234[[#This Row],[Var. ch. 2015]]+Tabel66891019283234[[#This Row],[Oth. ch. DW 2015]]</f>
        <v>80.228790033143838</v>
      </c>
      <c r="J124" s="567">
        <f>7640/E124</f>
        <v>63.504761277788937</v>
      </c>
      <c r="K124" s="568">
        <v>0</v>
      </c>
      <c r="L124" s="568"/>
      <c r="M124" s="568"/>
      <c r="N124" s="569">
        <v>0</v>
      </c>
      <c r="O124" s="1271">
        <f>1376/E124</f>
        <v>11.437506743224814</v>
      </c>
      <c r="P124" s="1496">
        <f>Tabel66891019283234[[#This Row],[Total. ch. DW 2015]]+Tabel66891019283234[[#This Row],[Sew. 2015]]+Tabel66891019283234[[#This Row],[WW 2015]]+Tabel66891019283234[[#This Row],[Other ch. 2015]]+Tabel66891019283234[[#This Row],[VAT 2015]]</f>
        <v>155.17105805415758</v>
      </c>
      <c r="Q124" s="397"/>
      <c r="R124" s="1764"/>
      <c r="S124" s="1767"/>
      <c r="T124" s="2232"/>
      <c r="U124" s="2255"/>
      <c r="V124" s="1779"/>
      <c r="W124" s="2248"/>
      <c r="X124" s="2250"/>
      <c r="Y124" s="1815"/>
      <c r="Z124" s="2292"/>
    </row>
    <row r="125" spans="1:26" ht="19.5" hidden="1" thickBot="1" x14ac:dyDescent="0.3">
      <c r="A125" s="1447" t="s">
        <v>742</v>
      </c>
      <c r="B125" s="1656"/>
      <c r="C125" s="751" t="s">
        <v>743</v>
      </c>
      <c r="D125" s="1194">
        <v>3300</v>
      </c>
      <c r="E125" s="617">
        <f>'[1]exchange rates'!M31</f>
        <v>102.86302000000001</v>
      </c>
      <c r="F125" s="549">
        <f>600/E125</f>
        <v>5.8330000421920332</v>
      </c>
      <c r="G125" s="550">
        <f>2245.2/E125</f>
        <v>21.827086157882587</v>
      </c>
      <c r="H125" s="551">
        <v>0</v>
      </c>
      <c r="I125" s="566">
        <f>Tabel66891019283234[[#This Row],[Fix.ch. 2015]]+Tabel66891019283234[[#This Row],[Var. ch. 2015]]+Tabel66891019283234[[#This Row],[Oth. ch. DW 2015]]</f>
        <v>27.66008620007462</v>
      </c>
      <c r="J125" s="567">
        <v>0</v>
      </c>
      <c r="K125" s="568">
        <f>1683.9/E125</f>
        <v>16.370314618411943</v>
      </c>
      <c r="L125" s="568"/>
      <c r="M125" s="568"/>
      <c r="N125" s="569">
        <v>0</v>
      </c>
      <c r="O125" s="1271">
        <v>0</v>
      </c>
      <c r="P125" s="1496">
        <f>Tabel66891019283234[[#This Row],[Total. ch. DW 2015]]+Tabel66891019283234[[#This Row],[Sew. 2015]]+Tabel66891019283234[[#This Row],[WW 2015]]+Tabel66891019283234[[#This Row],[Other ch. 2015]]+Tabel66891019283234[[#This Row],[VAT 2015]]</f>
        <v>44.030400818486562</v>
      </c>
      <c r="Q125" s="397"/>
      <c r="R125" s="1195">
        <f>Tabel66891019283234[[#This Row],[Fix.ch. 2015]]</f>
        <v>5.8330000421920332</v>
      </c>
      <c r="S125" s="1196">
        <f>Tabel66891019283234[[#This Row],[Var. ch. 2015]]</f>
        <v>21.827086157882587</v>
      </c>
      <c r="T125" s="1200">
        <f>Tabel66891019283234[[#This Row],[Oth. ch. DW 2015]]</f>
        <v>0</v>
      </c>
      <c r="U125" s="1518">
        <f>SUM(R125:T125)</f>
        <v>27.66008620007462</v>
      </c>
      <c r="V125" s="1199">
        <f>Tabel66891019283234[[#This Row],[Sew. 2015]]</f>
        <v>0</v>
      </c>
      <c r="W125" s="1190">
        <f>Tabel66891019283234[[#This Row],[WW 2015]]</f>
        <v>16.370314618411943</v>
      </c>
      <c r="X125" s="1191">
        <f>Tabel66891019283234[[#This Row],[Other ch. 2015]]</f>
        <v>0</v>
      </c>
      <c r="Y125" s="1203">
        <f>Tabel66891019283234[[#This Row],[VAT 2015]]</f>
        <v>0</v>
      </c>
      <c r="Z125" s="1519">
        <f>SUM(U125:Y125)</f>
        <v>44.030400818486562</v>
      </c>
    </row>
    <row r="126" spans="1:26" ht="15.75" hidden="1" x14ac:dyDescent="0.25">
      <c r="A126" s="1833" t="s">
        <v>19</v>
      </c>
      <c r="B126" s="1617"/>
      <c r="C126" s="1515" t="s">
        <v>120</v>
      </c>
      <c r="D126" s="2385">
        <v>18700</v>
      </c>
      <c r="E126" s="307">
        <v>2.6644800000000002</v>
      </c>
      <c r="F126" s="319">
        <f>39/E126</f>
        <v>14.637002341920374</v>
      </c>
      <c r="G126" s="320">
        <f>182/E126</f>
        <v>68.30601092896174</v>
      </c>
      <c r="H126" s="321">
        <v>0</v>
      </c>
      <c r="I126" s="313">
        <f>Tabel66891019283234[[#This Row],[Fix.ch. 2015]]+Tabel66891019283234[[#This Row],[Var. ch. 2015]]+Tabel66891019283234[[#This Row],[Oth. ch. DW 2015]]</f>
        <v>82.943013270882119</v>
      </c>
      <c r="J126" s="322">
        <f>199/E126</f>
        <v>74.686242719029593</v>
      </c>
      <c r="K126" s="323">
        <v>0</v>
      </c>
      <c r="L126" s="323"/>
      <c r="M126" s="323"/>
      <c r="N126" s="324">
        <v>0</v>
      </c>
      <c r="O126" s="1258">
        <f>88.2/E126</f>
        <v>33.102143757881464</v>
      </c>
      <c r="P126" s="1491">
        <f>Tabel66891019283234[[#This Row],[Total. ch. DW 2015]]+Tabel66891019283234[[#This Row],[Sew. 2015]]+Tabel66891019283234[[#This Row],[WW 2015]]+Tabel66891019283234[[#This Row],[Other ch. 2015]]+Tabel66891019283234[[#This Row],[VAT 2015]]</f>
        <v>190.73139974779318</v>
      </c>
      <c r="Q126" s="397"/>
      <c r="R126" s="2362">
        <f t="shared" ref="R126:W126" si="35">SUM(F126:F130)/5</f>
        <v>14.29472167177085</v>
      </c>
      <c r="S126" s="2363">
        <f t="shared" si="35"/>
        <v>72.584519305830767</v>
      </c>
      <c r="T126" s="2386">
        <f t="shared" si="35"/>
        <v>0</v>
      </c>
      <c r="U126" s="2373">
        <f t="shared" si="35"/>
        <v>86.879240977601626</v>
      </c>
      <c r="V126" s="2354">
        <f t="shared" si="35"/>
        <v>90.599291418963546</v>
      </c>
      <c r="W126" s="2376">
        <f t="shared" si="35"/>
        <v>0</v>
      </c>
      <c r="X126" s="2379">
        <f t="shared" ref="X126:Z126" si="36">SUM(N126:N130)/5</f>
        <v>0</v>
      </c>
      <c r="Y126" s="2357">
        <f t="shared" si="36"/>
        <v>37.270311655557556</v>
      </c>
      <c r="Z126" s="2382">
        <f t="shared" si="36"/>
        <v>214.74884405212273</v>
      </c>
    </row>
    <row r="127" spans="1:26" ht="15.75" hidden="1" x14ac:dyDescent="0.25">
      <c r="A127" s="2297"/>
      <c r="B127" s="1617"/>
      <c r="C127" s="298" t="s">
        <v>121</v>
      </c>
      <c r="D127" s="2263"/>
      <c r="E127" s="307">
        <v>2.6644800000000002</v>
      </c>
      <c r="F127" s="319">
        <f>47.04/E127</f>
        <v>17.65447667087011</v>
      </c>
      <c r="G127" s="320">
        <f>165/E127</f>
        <v>61.925779138893887</v>
      </c>
      <c r="H127" s="321">
        <v>0</v>
      </c>
      <c r="I127" s="313">
        <f>Tabel66891019283234[[#This Row],[Fix.ch. 2015]]+Tabel66891019283234[[#This Row],[Var. ch. 2015]]+Tabel66891019283234[[#This Row],[Oth. ch. DW 2015]]</f>
        <v>79.580255809763997</v>
      </c>
      <c r="J127" s="322">
        <f>234/E127</f>
        <v>87.822014051522245</v>
      </c>
      <c r="K127" s="323">
        <v>0</v>
      </c>
      <c r="L127" s="323"/>
      <c r="M127" s="323"/>
      <c r="N127" s="324">
        <v>0</v>
      </c>
      <c r="O127" s="1258">
        <f>93.67/E127</f>
        <v>35.15507716327388</v>
      </c>
      <c r="P127" s="1491">
        <f>Tabel66891019283234[[#This Row],[Total. ch. DW 2015]]+Tabel66891019283234[[#This Row],[Sew. 2015]]+Tabel66891019283234[[#This Row],[WW 2015]]+Tabel66891019283234[[#This Row],[Other ch. 2015]]+Tabel66891019283234[[#This Row],[VAT 2015]]</f>
        <v>202.55734702456013</v>
      </c>
      <c r="Q127" s="397"/>
      <c r="R127" s="2158"/>
      <c r="S127" s="2159"/>
      <c r="T127" s="2387"/>
      <c r="U127" s="2374"/>
      <c r="V127" s="2142"/>
      <c r="W127" s="2377"/>
      <c r="X127" s="2380"/>
      <c r="Y127" s="2145"/>
      <c r="Z127" s="2266"/>
    </row>
    <row r="128" spans="1:26" ht="15.75" hidden="1" x14ac:dyDescent="0.25">
      <c r="A128" s="2297"/>
      <c r="B128" s="1617"/>
      <c r="C128" s="298" t="s">
        <v>122</v>
      </c>
      <c r="D128" s="2263"/>
      <c r="E128" s="307">
        <v>2.6644800000000002</v>
      </c>
      <c r="F128" s="319">
        <f>30.84/E128</f>
        <v>11.574491082687803</v>
      </c>
      <c r="G128" s="320">
        <f>167/E128</f>
        <v>62.676394643607757</v>
      </c>
      <c r="H128" s="321">
        <v>0</v>
      </c>
      <c r="I128" s="313">
        <f>Tabel66891019283234[[#This Row],[Fix.ch. 2015]]+Tabel66891019283234[[#This Row],[Var. ch. 2015]]+Tabel66891019283234[[#This Row],[Oth. ch. DW 2015]]</f>
        <v>74.250885726295564</v>
      </c>
      <c r="J128" s="322">
        <f>318/E128</f>
        <v>119.34786524950458</v>
      </c>
      <c r="K128" s="323">
        <v>0</v>
      </c>
      <c r="L128" s="323"/>
      <c r="M128" s="323"/>
      <c r="N128" s="324">
        <v>0</v>
      </c>
      <c r="O128" s="1258">
        <f>108.33/E128</f>
        <v>40.657088812826515</v>
      </c>
      <c r="P128" s="1491">
        <f>Tabel66891019283234[[#This Row],[Total. ch. DW 2015]]+Tabel66891019283234[[#This Row],[Sew. 2015]]+Tabel66891019283234[[#This Row],[WW 2015]]+Tabel66891019283234[[#This Row],[Other ch. 2015]]+Tabel66891019283234[[#This Row],[VAT 2015]]</f>
        <v>234.25583978862667</v>
      </c>
      <c r="Q128" s="397"/>
      <c r="R128" s="2158"/>
      <c r="S128" s="2159"/>
      <c r="T128" s="2387"/>
      <c r="U128" s="2374"/>
      <c r="V128" s="2142"/>
      <c r="W128" s="2377"/>
      <c r="X128" s="2380"/>
      <c r="Y128" s="2145"/>
      <c r="Z128" s="2266"/>
    </row>
    <row r="129" spans="1:26" ht="15.75" hidden="1" x14ac:dyDescent="0.25">
      <c r="A129" s="2297"/>
      <c r="B129" s="1617"/>
      <c r="C129" s="298" t="s">
        <v>123</v>
      </c>
      <c r="D129" s="2263"/>
      <c r="E129" s="307">
        <v>2.6644800000000002</v>
      </c>
      <c r="F129" s="319">
        <f>34.68/E129</f>
        <v>13.015672851738424</v>
      </c>
      <c r="G129" s="320">
        <f>285/E129</f>
        <v>106.9627094217258</v>
      </c>
      <c r="H129" s="321">
        <v>0</v>
      </c>
      <c r="I129" s="313">
        <f>Tabel66891019283234[[#This Row],[Fix.ch. 2015]]+Tabel66891019283234[[#This Row],[Var. ch. 2015]]+Tabel66891019283234[[#This Row],[Oth. ch. DW 2015]]</f>
        <v>119.97838227346423</v>
      </c>
      <c r="J129" s="322">
        <f>263/E129</f>
        <v>98.705938869873293</v>
      </c>
      <c r="K129" s="323">
        <v>0</v>
      </c>
      <c r="L129" s="323"/>
      <c r="M129" s="323"/>
      <c r="N129" s="324">
        <v>0</v>
      </c>
      <c r="O129" s="1258">
        <f>122.36/E129</f>
        <v>45.922656578394282</v>
      </c>
      <c r="P129" s="1491">
        <f>Tabel66891019283234[[#This Row],[Total. ch. DW 2015]]+Tabel66891019283234[[#This Row],[Sew. 2015]]+Tabel66891019283234[[#This Row],[WW 2015]]+Tabel66891019283234[[#This Row],[Other ch. 2015]]+Tabel66891019283234[[#This Row],[VAT 2015]]</f>
        <v>264.60697772173182</v>
      </c>
      <c r="Q129" s="397"/>
      <c r="R129" s="2158"/>
      <c r="S129" s="2159"/>
      <c r="T129" s="2387"/>
      <c r="U129" s="2374"/>
      <c r="V129" s="2142"/>
      <c r="W129" s="2377"/>
      <c r="X129" s="2380"/>
      <c r="Y129" s="2145"/>
      <c r="Z129" s="2266"/>
    </row>
    <row r="130" spans="1:26" ht="16.5" hidden="1" thickBot="1" x14ac:dyDescent="0.3">
      <c r="A130" s="2298"/>
      <c r="B130" s="1617"/>
      <c r="C130" s="293" t="s">
        <v>124</v>
      </c>
      <c r="D130" s="2264"/>
      <c r="E130" s="307">
        <v>2.6644800000000002</v>
      </c>
      <c r="F130" s="319">
        <f>38.88/E130</f>
        <v>14.591965411637542</v>
      </c>
      <c r="G130" s="320">
        <f>168/E130</f>
        <v>63.051702395964689</v>
      </c>
      <c r="H130" s="321">
        <v>0</v>
      </c>
      <c r="I130" s="313">
        <f>Tabel66891019283234[[#This Row],[Fix.ch. 2015]]+Tabel66891019283234[[#This Row],[Var. ch. 2015]]+Tabel66891019283234[[#This Row],[Oth. ch. DW 2015]]</f>
        <v>77.643667807602228</v>
      </c>
      <c r="J130" s="322">
        <f>193/E130</f>
        <v>72.434396204888003</v>
      </c>
      <c r="K130" s="323">
        <v>0</v>
      </c>
      <c r="L130" s="323"/>
      <c r="M130" s="323"/>
      <c r="N130" s="324">
        <v>0</v>
      </c>
      <c r="O130" s="1258">
        <f>83.97/E130</f>
        <v>31.514591965411636</v>
      </c>
      <c r="P130" s="1491">
        <f>Tabel66891019283234[[#This Row],[Total. ch. DW 2015]]+Tabel66891019283234[[#This Row],[Sew. 2015]]+Tabel66891019283234[[#This Row],[WW 2015]]+Tabel66891019283234[[#This Row],[Other ch. 2015]]+Tabel66891019283234[[#This Row],[VAT 2015]]</f>
        <v>181.59265597790187</v>
      </c>
      <c r="Q130" s="397"/>
      <c r="R130" s="2223"/>
      <c r="S130" s="2225"/>
      <c r="T130" s="2388"/>
      <c r="U130" s="2375"/>
      <c r="V130" s="2236"/>
      <c r="W130" s="2378"/>
      <c r="X130" s="2381"/>
      <c r="Y130" s="2242"/>
      <c r="Z130" s="2267"/>
    </row>
    <row r="131" spans="1:26" ht="16.5" hidden="1" thickBot="1" x14ac:dyDescent="0.3">
      <c r="A131" s="270" t="s">
        <v>50</v>
      </c>
      <c r="B131" s="1616"/>
      <c r="C131" s="1520"/>
      <c r="D131" s="1276"/>
      <c r="E131" s="307"/>
      <c r="F131" s="319"/>
      <c r="G131" s="320"/>
      <c r="H131" s="321"/>
      <c r="I131" s="313">
        <f>Tabel66891019283234[[#This Row],[Fix.ch. 2015]]+Tabel66891019283234[[#This Row],[Var. ch. 2015]]+Tabel66891019283234[[#This Row],[Oth. ch. DW 2015]]</f>
        <v>0</v>
      </c>
      <c r="J131" s="322"/>
      <c r="K131" s="323"/>
      <c r="L131" s="323"/>
      <c r="M131" s="323"/>
      <c r="N131" s="324"/>
      <c r="O131" s="1258"/>
      <c r="P131" s="1491">
        <f>Tabel66891019283234[[#This Row],[Total. ch. DW 2015]]+Tabel66891019283234[[#This Row],[Sew. 2015]]+Tabel66891019283234[[#This Row],[WW 2015]]+Tabel66891019283234[[#This Row],[Other ch. 2015]]+Tabel66891019283234[[#This Row],[VAT 2015]]</f>
        <v>0</v>
      </c>
      <c r="Q131" s="397"/>
      <c r="R131" s="349"/>
      <c r="S131" s="350"/>
      <c r="T131" s="351"/>
      <c r="U131" s="352"/>
      <c r="V131" s="353"/>
      <c r="W131" s="354"/>
      <c r="X131" s="355"/>
      <c r="Y131" s="356"/>
      <c r="Z131" s="357"/>
    </row>
    <row r="132" spans="1:26" ht="19.5" hidden="1" thickBot="1" x14ac:dyDescent="0.35">
      <c r="A132" s="695" t="s">
        <v>586</v>
      </c>
      <c r="B132" s="1621"/>
      <c r="C132" s="1521" t="s">
        <v>587</v>
      </c>
      <c r="D132" s="1279">
        <v>88700</v>
      </c>
      <c r="E132" s="616">
        <f>'[1]exchange rates'!M36</f>
        <v>8.0490899999999996</v>
      </c>
      <c r="F132" s="549">
        <v>0</v>
      </c>
      <c r="G132" s="550">
        <f>671.65/E132</f>
        <v>83.444215433048953</v>
      </c>
      <c r="H132" s="551">
        <v>0</v>
      </c>
      <c r="I132" s="566">
        <f>Tabel66891019283234[[#This Row],[Fix.ch. 2015]]+Tabel66891019283234[[#This Row],[Var. ch. 2015]]+Tabel66891019283234[[#This Row],[Oth. ch. DW 2015]]</f>
        <v>83.444215433048953</v>
      </c>
      <c r="J132" s="567">
        <v>0</v>
      </c>
      <c r="K132" s="568">
        <v>0</v>
      </c>
      <c r="L132" s="568"/>
      <c r="M132" s="568"/>
      <c r="N132" s="569">
        <v>0</v>
      </c>
      <c r="O132" s="1271">
        <v>0</v>
      </c>
      <c r="P132" s="1496">
        <f>Tabel66891019283234[[#This Row],[Total. ch. DW 2015]]+Tabel66891019283234[[#This Row],[Sew. 2015]]+Tabel66891019283234[[#This Row],[WW 2015]]+Tabel66891019283234[[#This Row],[Other ch. 2015]]+Tabel66891019283234[[#This Row],[VAT 2015]]</f>
        <v>83.444215433048953</v>
      </c>
      <c r="Q132" s="430"/>
      <c r="R132" s="1280">
        <v>0</v>
      </c>
      <c r="S132" s="1281">
        <f>Tabel66891019283234[[#This Row],[Var. ch. 2015]]</f>
        <v>83.444215433048953</v>
      </c>
      <c r="T132" s="1282">
        <v>0</v>
      </c>
      <c r="U132" s="1283">
        <f>Tabel66891019283234[[#This Row],[Total. ch. DW 2015]]</f>
        <v>83.444215433048953</v>
      </c>
      <c r="V132" s="1284">
        <v>0</v>
      </c>
      <c r="W132" s="1285">
        <v>0</v>
      </c>
      <c r="X132" s="1286">
        <v>0</v>
      </c>
      <c r="Y132" s="1287">
        <v>0</v>
      </c>
      <c r="Z132" s="1288">
        <f>Tabel66891019283234[[#This Row],[total charge 2015]]</f>
        <v>83.444215433048953</v>
      </c>
    </row>
    <row r="133" spans="1:26" ht="19.5" hidden="1" thickBot="1" x14ac:dyDescent="0.35">
      <c r="A133" s="267" t="s">
        <v>36</v>
      </c>
      <c r="B133" s="1616"/>
      <c r="C133" s="294" t="s">
        <v>181</v>
      </c>
      <c r="D133" s="1256">
        <v>900</v>
      </c>
      <c r="E133" s="306">
        <v>163.83132000000001</v>
      </c>
      <c r="F133" s="319">
        <f>363/E133</f>
        <v>2.2156935560306783</v>
      </c>
      <c r="G133" s="320">
        <f>(124*100)/E133</f>
        <v>75.687603566888185</v>
      </c>
      <c r="H133" s="321">
        <v>0</v>
      </c>
      <c r="I133" s="313">
        <f>Tabel66891019283234[[#This Row],[Fix.ch. 2015]]+Tabel66891019283234[[#This Row],[Var. ch. 2015]]+Tabel66891019283234[[#This Row],[Oth. ch. DW 2015]]</f>
        <v>77.903297122918858</v>
      </c>
      <c r="J133" s="322">
        <v>0</v>
      </c>
      <c r="K133" s="323">
        <v>0</v>
      </c>
      <c r="L133" s="323"/>
      <c r="M133" s="323"/>
      <c r="N133" s="324">
        <v>0</v>
      </c>
      <c r="O133" s="1258">
        <v>0</v>
      </c>
      <c r="P133" s="1491">
        <f>Tabel66891019283234[[#This Row],[Total. ch. DW 2015]]+Tabel66891019283234[[#This Row],[Sew. 2015]]+Tabel66891019283234[[#This Row],[WW 2015]]+Tabel66891019283234[[#This Row],[Other ch. 2015]]+Tabel66891019283234[[#This Row],[VAT 2015]]</f>
        <v>77.903297122918858</v>
      </c>
      <c r="Q133" s="397"/>
      <c r="R133" s="1228">
        <f>Tabel66891019283234[[#This Row],[Fix.ch. 2015]]</f>
        <v>2.2156935560306783</v>
      </c>
      <c r="S133" s="1229">
        <f>Tabel66891019283234[[#This Row],[Var. ch. 2015]]</f>
        <v>75.687603566888185</v>
      </c>
      <c r="T133" s="1230">
        <v>0</v>
      </c>
      <c r="U133" s="1231">
        <f>Tabel66891019283234[[#This Row],[Total. ch. DW 2015]]</f>
        <v>77.903297122918858</v>
      </c>
      <c r="V133" s="1232">
        <v>0</v>
      </c>
      <c r="W133" s="1233">
        <v>0</v>
      </c>
      <c r="X133" s="1234">
        <v>0</v>
      </c>
      <c r="Y133" s="1235">
        <v>0</v>
      </c>
      <c r="Z133" s="1236">
        <f>Tabel66891019283234[[#This Row],[total charge 2015]]</f>
        <v>77.903297122918858</v>
      </c>
    </row>
    <row r="134" spans="1:26" ht="19.5" hidden="1" thickBot="1" x14ac:dyDescent="0.35">
      <c r="A134" s="669" t="s">
        <v>774</v>
      </c>
      <c r="B134" s="1621"/>
      <c r="C134" s="751" t="s">
        <v>775</v>
      </c>
      <c r="D134" s="1268">
        <v>34700</v>
      </c>
      <c r="E134" s="616">
        <f>'[1]exchange rates'!M38</f>
        <v>0.92093999999999998</v>
      </c>
      <c r="F134" s="549">
        <f>59/E134</f>
        <v>64.064977088626833</v>
      </c>
      <c r="G134" s="550">
        <f>143.39/E134</f>
        <v>155.69961126674917</v>
      </c>
      <c r="H134" s="551">
        <v>0</v>
      </c>
      <c r="I134" s="566" t="e">
        <f>[1]!Tabel668910[[#This Row],[Fix.ch. 2015]]+[1]!Tabel668910[[#This Row],[Var. ch. 2015]]+[1]!Tabel668910[[#This Row],[Oth. ch. DW 2015]]</f>
        <v>#REF!</v>
      </c>
      <c r="J134" s="567">
        <v>0</v>
      </c>
      <c r="K134" s="568">
        <v>0</v>
      </c>
      <c r="L134" s="568"/>
      <c r="M134" s="568"/>
      <c r="N134" s="569">
        <v>0</v>
      </c>
      <c r="O134" s="1271">
        <v>0</v>
      </c>
      <c r="P134" s="1496" t="e">
        <f>[1]!Tabel668910[[#This Row],[Total. ch. DW 2015]]+[1]!Tabel668910[[#This Row],[Sew. 2015]]+[1]!Tabel668910[[#This Row],[WW 2015]]+[1]!Tabel668910[[#This Row],[Other ch. 2015]]+[1]!Tabel668910[[#This Row],[VAT 2015]]</f>
        <v>#REF!</v>
      </c>
      <c r="Q134" s="397"/>
      <c r="R134" s="1604" t="e">
        <f>[1]!Tabel668910[[#This Row],[Fix.ch. 2015]]</f>
        <v>#REF!</v>
      </c>
      <c r="S134" s="1605" t="e">
        <f>[1]!Tabel668910[[#This Row],[Var. ch. 2015]]</f>
        <v>#REF!</v>
      </c>
      <c r="T134" s="1606" t="e">
        <f>[1]!Tabel668910[[#This Row],[Oth. ch. DW 2015]]</f>
        <v>#REF!</v>
      </c>
      <c r="U134" s="1607" t="e">
        <f>[1]!Tabel668910[[#This Row],[Total. ch. DW 2015]]</f>
        <v>#REF!</v>
      </c>
      <c r="V134" s="1608" t="e">
        <f>[1]!Tabel668910[[#This Row],[Sew. 2015]]</f>
        <v>#REF!</v>
      </c>
      <c r="W134" s="1609" t="e">
        <f>[1]!Tabel668910[[#This Row],[WW 2015]]</f>
        <v>#REF!</v>
      </c>
      <c r="X134" s="1610" t="e">
        <f>[1]!Tabel668910[[#This Row],[Other ch. 2015]]</f>
        <v>#REF!</v>
      </c>
      <c r="Y134" s="1611" t="e">
        <f>[1]!Tabel668910[[#This Row],[VAT 2015]]</f>
        <v>#REF!</v>
      </c>
      <c r="Z134" s="1612" t="e">
        <f>[1]!Tabel668910[[#This Row],[total charge 2015]]</f>
        <v>#REF!</v>
      </c>
    </row>
    <row r="135" spans="1:26" ht="19.5" hidden="1" thickBot="1" x14ac:dyDescent="0.35">
      <c r="A135" s="669" t="s">
        <v>37</v>
      </c>
      <c r="B135" s="1621"/>
      <c r="C135" s="1531" t="s">
        <v>37</v>
      </c>
      <c r="D135" s="1268">
        <v>19500</v>
      </c>
      <c r="E135" s="616">
        <f>'[1]exchange rates'!M39</f>
        <v>35.849890000000002</v>
      </c>
      <c r="F135" s="549">
        <f>660/E135</f>
        <v>18.410098329450939</v>
      </c>
      <c r="G135" s="550">
        <f>0/E135</f>
        <v>0</v>
      </c>
      <c r="H135" s="551">
        <v>0</v>
      </c>
      <c r="I135" s="566">
        <f>Tabel66891019283234[[#This Row],[Fix.ch. 2015]]+Tabel66891019283234[[#This Row],[Var. ch. 2015]]+Tabel66891019283234[[#This Row],[Oth. ch. DW 2015]]</f>
        <v>18.410098329450939</v>
      </c>
      <c r="J135" s="567">
        <f>3.015/E135</f>
        <v>8.4100676459537255E-2</v>
      </c>
      <c r="K135" s="568">
        <f>660/E135</f>
        <v>18.410098329450939</v>
      </c>
      <c r="L135" s="568"/>
      <c r="M135" s="568"/>
      <c r="N135" s="569">
        <v>0</v>
      </c>
      <c r="O135" s="1271">
        <v>0</v>
      </c>
      <c r="P135" s="1496">
        <f>Tabel66891019283234[[#This Row],[Total. ch. DW 2015]]+Tabel66891019283234[[#This Row],[Sew. 2015]]+Tabel66891019283234[[#This Row],[WW 2015]]+Tabel66891019283234[[#This Row],[Other ch. 2015]]+Tabel66891019283234[[#This Row],[VAT 2015]]</f>
        <v>36.90429733536142</v>
      </c>
      <c r="Q135" s="397"/>
      <c r="R135" s="1532">
        <f>Tabel66891019283234[[#This Row],[Fix.ch. 2015]]</f>
        <v>18.410098329450939</v>
      </c>
      <c r="S135" s="1533">
        <f>Tabel66891019283234[[#This Row],[Var. ch. 2015]]</f>
        <v>0</v>
      </c>
      <c r="T135" s="1534">
        <f>Tabel66891019283234[[#This Row],[Oth. ch. DW 2015]]</f>
        <v>0</v>
      </c>
      <c r="U135" s="1535">
        <f>Tabel66891019283234[[#This Row],[Total. ch. DW 2015]]</f>
        <v>18.410098329450939</v>
      </c>
      <c r="V135" s="1536">
        <f>Tabel66891019283234[[#This Row],[Sew. 2015]]</f>
        <v>8.4100676459537255E-2</v>
      </c>
      <c r="W135" s="1537">
        <f>Tabel66891019283234[[#This Row],[WW 2015]]</f>
        <v>18.410098329450939</v>
      </c>
      <c r="X135" s="1538">
        <f>Tabel66891019283234[[#This Row],[Other ch. 2015]]</f>
        <v>0</v>
      </c>
      <c r="Y135" s="1539">
        <f>Tabel66891019283234[[#This Row],[VAT 2015]]</f>
        <v>0</v>
      </c>
      <c r="Z135" s="1540">
        <f>Tabel66891019283234[[#This Row],[total charge 2015]]</f>
        <v>36.90429733536142</v>
      </c>
    </row>
    <row r="136" spans="1:26" ht="15.75" hidden="1" customHeight="1" x14ac:dyDescent="0.25">
      <c r="A136" s="1795" t="s">
        <v>38</v>
      </c>
      <c r="B136" s="1618"/>
      <c r="C136" s="1541" t="s">
        <v>620</v>
      </c>
      <c r="D136" s="2343">
        <v>18500</v>
      </c>
      <c r="E136" s="616">
        <f>'[1]exchange rates'!$M$40</f>
        <v>17.273230000000002</v>
      </c>
      <c r="F136" s="549">
        <f>1.1/E136</f>
        <v>6.3682357034555784E-2</v>
      </c>
      <c r="G136" s="550">
        <f>8.4/E136</f>
        <v>0.48630163553660777</v>
      </c>
      <c r="H136" s="551">
        <v>0</v>
      </c>
      <c r="I136" s="566">
        <f>Tabel66891019283234[[#This Row],[Fix.ch. 2015]]+Tabel66891019283234[[#This Row],[Var. ch. 2015]]+Tabel66891019283234[[#This Row],[Oth. ch. DW 2015]]</f>
        <v>0.54998399257116359</v>
      </c>
      <c r="J136" s="567">
        <f>3/E136</f>
        <v>0.17367915554878849</v>
      </c>
      <c r="K136" s="568">
        <v>0</v>
      </c>
      <c r="L136" s="568"/>
      <c r="M136" s="568"/>
      <c r="N136" s="569">
        <v>0</v>
      </c>
      <c r="O136" s="1271">
        <f>0.16/E136</f>
        <v>9.2628882959353859E-3</v>
      </c>
      <c r="P136" s="1496">
        <f>Tabel66891019283234[[#This Row],[Total. ch. DW 2015]]+Tabel66891019283234[[#This Row],[Sew. 2015]]+Tabel66891019283234[[#This Row],[WW 2015]]+Tabel66891019283234[[#This Row],[Other ch. 2015]]+Tabel66891019283234[[#This Row],[VAT 2015]]</f>
        <v>0.73292603641588738</v>
      </c>
      <c r="Q136" s="397"/>
      <c r="R136" s="2344">
        <f t="shared" ref="R136:W136" si="37">SUM(F136:F140)/5</f>
        <v>9.9576049181305401E-2</v>
      </c>
      <c r="S136" s="2345">
        <f t="shared" si="37"/>
        <v>0.6379814313825497</v>
      </c>
      <c r="T136" s="2350">
        <f t="shared" si="37"/>
        <v>0</v>
      </c>
      <c r="U136" s="2340">
        <f t="shared" si="37"/>
        <v>0.73755748056385517</v>
      </c>
      <c r="V136" s="2351">
        <f t="shared" si="37"/>
        <v>0.13315401925407117</v>
      </c>
      <c r="W136" s="2352">
        <f t="shared" si="37"/>
        <v>0</v>
      </c>
      <c r="X136" s="2341">
        <f t="shared" ref="X136:Z136" si="38">SUM(N136:N140)/5</f>
        <v>0</v>
      </c>
      <c r="Y136" s="2342">
        <f t="shared" si="38"/>
        <v>9.2628882959353859E-3</v>
      </c>
      <c r="Z136" s="2353">
        <f t="shared" si="38"/>
        <v>0.87997438811386153</v>
      </c>
    </row>
    <row r="137" spans="1:26" ht="15.75" hidden="1" customHeight="1" x14ac:dyDescent="0.25">
      <c r="A137" s="2301"/>
      <c r="B137" s="1618"/>
      <c r="C137" s="657" t="s">
        <v>621</v>
      </c>
      <c r="D137" s="1880"/>
      <c r="E137" s="616">
        <f>'[1]exchange rates'!$M$40</f>
        <v>17.273230000000002</v>
      </c>
      <c r="F137" s="549">
        <f>0/E137</f>
        <v>0</v>
      </c>
      <c r="G137" s="550">
        <f>8.6/E137</f>
        <v>0.49788024590652696</v>
      </c>
      <c r="H137" s="551">
        <v>0</v>
      </c>
      <c r="I137" s="566">
        <f>Tabel66891019283234[[#This Row],[Fix.ch. 2015]]+Tabel66891019283234[[#This Row],[Var. ch. 2015]]+Tabel66891019283234[[#This Row],[Oth. ch. DW 2015]]</f>
        <v>0.49788024590652696</v>
      </c>
      <c r="J137" s="567">
        <f>0.4/E137</f>
        <v>2.3157220739838467E-2</v>
      </c>
      <c r="K137" s="568">
        <v>0</v>
      </c>
      <c r="L137" s="568"/>
      <c r="M137" s="568"/>
      <c r="N137" s="569">
        <v>0</v>
      </c>
      <c r="O137" s="1271">
        <f t="shared" ref="O137:O140" si="39">0.16/E137</f>
        <v>9.2628882959353859E-3</v>
      </c>
      <c r="P137" s="1496">
        <f>Tabel66891019283234[[#This Row],[Total. ch. DW 2015]]+Tabel66891019283234[[#This Row],[Sew. 2015]]+Tabel66891019283234[[#This Row],[WW 2015]]+Tabel66891019283234[[#This Row],[Other ch. 2015]]+Tabel66891019283234[[#This Row],[VAT 2015]]</f>
        <v>0.53030035494230077</v>
      </c>
      <c r="Q137" s="397"/>
      <c r="R137" s="1886"/>
      <c r="S137" s="1888"/>
      <c r="T137" s="1890"/>
      <c r="U137" s="1892"/>
      <c r="V137" s="1894"/>
      <c r="W137" s="1911"/>
      <c r="X137" s="1913"/>
      <c r="Y137" s="1915"/>
      <c r="Z137" s="2053"/>
    </row>
    <row r="138" spans="1:26" ht="15.75" hidden="1" customHeight="1" x14ac:dyDescent="0.25">
      <c r="A138" s="2301"/>
      <c r="B138" s="1618"/>
      <c r="C138" s="657" t="s">
        <v>622</v>
      </c>
      <c r="D138" s="1880"/>
      <c r="E138" s="616">
        <f>'[1]exchange rates'!$M$40</f>
        <v>17.273230000000002</v>
      </c>
      <c r="F138" s="549">
        <f>3.2/E138</f>
        <v>0.18525776591870774</v>
      </c>
      <c r="G138" s="550">
        <f>18.3/E138</f>
        <v>1.0594428488476098</v>
      </c>
      <c r="H138" s="551">
        <v>0</v>
      </c>
      <c r="I138" s="566">
        <f>Tabel66891019283234[[#This Row],[Fix.ch. 2015]]+Tabel66891019283234[[#This Row],[Var. ch. 2015]]+Tabel66891019283234[[#This Row],[Oth. ch. DW 2015]]</f>
        <v>1.2447006147663175</v>
      </c>
      <c r="J138" s="567">
        <f>2.4/E138</f>
        <v>0.13894332443903079</v>
      </c>
      <c r="K138" s="568">
        <v>0</v>
      </c>
      <c r="L138" s="568"/>
      <c r="M138" s="568"/>
      <c r="N138" s="569">
        <v>0</v>
      </c>
      <c r="O138" s="1271">
        <f t="shared" si="39"/>
        <v>9.2628882959353859E-3</v>
      </c>
      <c r="P138" s="1496">
        <f>Tabel66891019283234[[#This Row],[Total. ch. DW 2015]]+Tabel66891019283234[[#This Row],[Sew. 2015]]+Tabel66891019283234[[#This Row],[WW 2015]]+Tabel66891019283234[[#This Row],[Other ch. 2015]]+Tabel66891019283234[[#This Row],[VAT 2015]]</f>
        <v>1.3929068275012837</v>
      </c>
      <c r="Q138" s="397"/>
      <c r="R138" s="1886"/>
      <c r="S138" s="1888"/>
      <c r="T138" s="1890"/>
      <c r="U138" s="1892"/>
      <c r="V138" s="1894"/>
      <c r="W138" s="1911"/>
      <c r="X138" s="1913"/>
      <c r="Y138" s="1915"/>
      <c r="Z138" s="2053"/>
    </row>
    <row r="139" spans="1:26" ht="15.75" hidden="1" customHeight="1" x14ac:dyDescent="0.25">
      <c r="A139" s="2301"/>
      <c r="B139" s="1618"/>
      <c r="C139" s="657" t="s">
        <v>623</v>
      </c>
      <c r="D139" s="1880"/>
      <c r="E139" s="616">
        <f>'[1]exchange rates'!$M$40</f>
        <v>17.273230000000002</v>
      </c>
      <c r="F139" s="549">
        <f>1.9/E139</f>
        <v>0.1099967985142327</v>
      </c>
      <c r="G139" s="550">
        <f>8.9/E139</f>
        <v>0.51524816146140584</v>
      </c>
      <c r="H139" s="551">
        <v>0</v>
      </c>
      <c r="I139" s="566">
        <f>Tabel66891019283234[[#This Row],[Fix.ch. 2015]]+Tabel66891019283234[[#This Row],[Var. ch. 2015]]+Tabel66891019283234[[#This Row],[Oth. ch. DW 2015]]</f>
        <v>0.62524495997563856</v>
      </c>
      <c r="J139" s="567">
        <f>2.3/E139</f>
        <v>0.13315401925407117</v>
      </c>
      <c r="K139" s="568">
        <v>0</v>
      </c>
      <c r="L139" s="568"/>
      <c r="M139" s="568"/>
      <c r="N139" s="569">
        <v>0</v>
      </c>
      <c r="O139" s="1271">
        <f t="shared" si="39"/>
        <v>9.2628882959353859E-3</v>
      </c>
      <c r="P139" s="1496">
        <f>Tabel66891019283234[[#This Row],[Total. ch. DW 2015]]+Tabel66891019283234[[#This Row],[Sew. 2015]]+Tabel66891019283234[[#This Row],[WW 2015]]+Tabel66891019283234[[#This Row],[Other ch. 2015]]+Tabel66891019283234[[#This Row],[VAT 2015]]</f>
        <v>0.76766186752564503</v>
      </c>
      <c r="Q139" s="397"/>
      <c r="R139" s="1886"/>
      <c r="S139" s="1888"/>
      <c r="T139" s="1890"/>
      <c r="U139" s="1892"/>
      <c r="V139" s="1894"/>
      <c r="W139" s="1911"/>
      <c r="X139" s="1913"/>
      <c r="Y139" s="1915"/>
      <c r="Z139" s="2053"/>
    </row>
    <row r="140" spans="1:26" ht="16.5" hidden="1" customHeight="1" x14ac:dyDescent="0.25">
      <c r="A140" s="2302"/>
      <c r="B140" s="1618"/>
      <c r="C140" s="657" t="s">
        <v>624</v>
      </c>
      <c r="D140" s="1761"/>
      <c r="E140" s="616">
        <f>'[1]exchange rates'!$M$40</f>
        <v>17.273230000000002</v>
      </c>
      <c r="F140" s="549">
        <f>2.4/E140</f>
        <v>0.13894332443903079</v>
      </c>
      <c r="G140" s="550">
        <f>10.9/E140</f>
        <v>0.63103426516059813</v>
      </c>
      <c r="H140" s="551">
        <v>0</v>
      </c>
      <c r="I140" s="566">
        <f>Tabel66891019283234[[#This Row],[Fix.ch. 2015]]+Tabel66891019283234[[#This Row],[Var. ch. 2015]]+Tabel66891019283234[[#This Row],[Oth. ch. DW 2015]]</f>
        <v>0.76997758959962892</v>
      </c>
      <c r="J140" s="567">
        <f>3.4/E140</f>
        <v>0.19683637628862694</v>
      </c>
      <c r="K140" s="568">
        <v>0</v>
      </c>
      <c r="L140" s="568"/>
      <c r="M140" s="568"/>
      <c r="N140" s="569">
        <v>0</v>
      </c>
      <c r="O140" s="1271">
        <f t="shared" si="39"/>
        <v>9.2628882959353859E-3</v>
      </c>
      <c r="P140" s="1496">
        <f>Tabel66891019283234[[#This Row],[Total. ch. DW 2015]]+Tabel66891019283234[[#This Row],[Sew. 2015]]+Tabel66891019283234[[#This Row],[WW 2015]]+Tabel66891019283234[[#This Row],[Other ch. 2015]]+Tabel66891019283234[[#This Row],[VAT 2015]]</f>
        <v>0.97607685418419121</v>
      </c>
      <c r="Q140" s="397"/>
      <c r="R140" s="1764"/>
      <c r="S140" s="1767"/>
      <c r="T140" s="1770"/>
      <c r="U140" s="1776"/>
      <c r="V140" s="1779"/>
      <c r="W140" s="1811"/>
      <c r="X140" s="1813"/>
      <c r="Y140" s="1815"/>
      <c r="Z140" s="1991"/>
    </row>
    <row r="141" spans="1:26" ht="15.75" hidden="1" x14ac:dyDescent="0.25">
      <c r="A141" s="2082" t="s">
        <v>39</v>
      </c>
      <c r="B141" s="1619"/>
      <c r="C141" s="1492" t="s">
        <v>494</v>
      </c>
      <c r="D141" s="2372">
        <v>5100</v>
      </c>
      <c r="E141" s="306">
        <v>8.5832200000000007</v>
      </c>
      <c r="F141" s="319">
        <f>84/E141</f>
        <v>9.7865369872844923</v>
      </c>
      <c r="G141" s="320">
        <f>332.08/E141</f>
        <v>38.689442889731353</v>
      </c>
      <c r="H141" s="321">
        <v>0</v>
      </c>
      <c r="I141" s="313">
        <f>Tabel66891019283234[[#This Row],[Fix.ch. 2015]]+Tabel66891019283234[[#This Row],[Var. ch. 2015]]+Tabel66891019283234[[#This Row],[Oth. ch. DW 2015]]</f>
        <v>48.475979877015845</v>
      </c>
      <c r="J141" s="322">
        <f>166.44/E141</f>
        <v>19.391324001947986</v>
      </c>
      <c r="K141" s="323">
        <v>0</v>
      </c>
      <c r="L141" s="323"/>
      <c r="M141" s="323"/>
      <c r="N141" s="324">
        <v>0</v>
      </c>
      <c r="O141" s="1258">
        <f>40.78/E141</f>
        <v>4.7511306945412093</v>
      </c>
      <c r="P141" s="1491">
        <f>Tabel66891019283234[[#This Row],[Total. ch. DW 2015]]+Tabel66891019283234[[#This Row],[Sew. 2015]]+Tabel66891019283234[[#This Row],[WW 2015]]+Tabel66891019283234[[#This Row],[Other ch. 2015]]+Tabel66891019283234[[#This Row],[VAT 2015]]</f>
        <v>72.618434573505041</v>
      </c>
      <c r="Q141" s="397"/>
      <c r="R141" s="2362">
        <f t="shared" ref="R141:W141" si="40">SUM(F141:F145)/5</f>
        <v>9.38109474066842</v>
      </c>
      <c r="S141" s="2363">
        <f t="shared" si="40"/>
        <v>41.623539883633413</v>
      </c>
      <c r="T141" s="2364">
        <f t="shared" si="40"/>
        <v>0</v>
      </c>
      <c r="U141" s="2365">
        <f t="shared" si="40"/>
        <v>51.004634624301829</v>
      </c>
      <c r="V141" s="2354">
        <f t="shared" si="40"/>
        <v>16.377070609864365</v>
      </c>
      <c r="W141" s="2355">
        <f t="shared" si="40"/>
        <v>0</v>
      </c>
      <c r="X141" s="2356">
        <f t="shared" ref="X141:Z141" si="41">SUM(N141:N145)/5</f>
        <v>0</v>
      </c>
      <c r="Y141" s="2357">
        <f t="shared" si="41"/>
        <v>4.7166448023003031</v>
      </c>
      <c r="Z141" s="2358">
        <f t="shared" si="41"/>
        <v>72.098350036466499</v>
      </c>
    </row>
    <row r="142" spans="1:26" ht="15.75" hidden="1" x14ac:dyDescent="0.25">
      <c r="A142" s="2299"/>
      <c r="B142" s="1619"/>
      <c r="C142" s="1291" t="s">
        <v>495</v>
      </c>
      <c r="D142" s="2157"/>
      <c r="E142" s="306">
        <v>8.5832200000000007</v>
      </c>
      <c r="F142" s="319">
        <f>102.6/E142</f>
        <v>11.953555891611771</v>
      </c>
      <c r="G142" s="320">
        <f>381.04/E142</f>
        <v>44.393595876605751</v>
      </c>
      <c r="H142" s="321">
        <v>0</v>
      </c>
      <c r="I142" s="313">
        <f>Tabel66891019283234[[#This Row],[Fix.ch. 2015]]+Tabel66891019283234[[#This Row],[Var. ch. 2015]]+Tabel66891019283234[[#This Row],[Oth. ch. DW 2015]]</f>
        <v>56.347151768217522</v>
      </c>
      <c r="J142" s="322">
        <f>163.8/E142</f>
        <v>19.083747125204759</v>
      </c>
      <c r="K142" s="323">
        <v>0</v>
      </c>
      <c r="L142" s="323"/>
      <c r="M142" s="323"/>
      <c r="N142" s="324">
        <v>0</v>
      </c>
      <c r="O142" s="1258">
        <f>45.32/E142</f>
        <v>5.2800697174253948</v>
      </c>
      <c r="P142" s="1491">
        <f>Tabel66891019283234[[#This Row],[Total. ch. DW 2015]]+Tabel66891019283234[[#This Row],[Sew. 2015]]+Tabel66891019283234[[#This Row],[WW 2015]]+Tabel66891019283234[[#This Row],[Other ch. 2015]]+Tabel66891019283234[[#This Row],[VAT 2015]]</f>
        <v>80.710968610847672</v>
      </c>
      <c r="Q142" s="397"/>
      <c r="R142" s="2158"/>
      <c r="S142" s="2159"/>
      <c r="T142" s="2160"/>
      <c r="U142" s="2141"/>
      <c r="V142" s="2142"/>
      <c r="W142" s="2143"/>
      <c r="X142" s="2144"/>
      <c r="Y142" s="2145"/>
      <c r="Z142" s="2146"/>
    </row>
    <row r="143" spans="1:26" ht="15.75" hidden="1" x14ac:dyDescent="0.25">
      <c r="A143" s="2299"/>
      <c r="B143" s="1619"/>
      <c r="C143" s="1291" t="s">
        <v>496</v>
      </c>
      <c r="D143" s="2157"/>
      <c r="E143" s="306">
        <v>8.5832200000000007</v>
      </c>
      <c r="F143" s="319">
        <f>72/E143</f>
        <v>8.3884602748152783</v>
      </c>
      <c r="G143" s="320">
        <f>382.2/E143</f>
        <v>44.528743292144433</v>
      </c>
      <c r="H143" s="321">
        <v>0</v>
      </c>
      <c r="I143" s="313">
        <f>Tabel66891019283234[[#This Row],[Fix.ch. 2015]]+Tabel66891019283234[[#This Row],[Var. ch. 2015]]+Tabel66891019283234[[#This Row],[Oth. ch. DW 2015]]</f>
        <v>52.917203566959714</v>
      </c>
      <c r="J143" s="322">
        <f>108.4/E143</f>
        <v>12.629292969305226</v>
      </c>
      <c r="K143" s="323">
        <v>0</v>
      </c>
      <c r="L143" s="323"/>
      <c r="M143" s="323"/>
      <c r="N143" s="324">
        <v>0</v>
      </c>
      <c r="O143" s="1258">
        <f>39.38/E143</f>
        <v>4.5880217447531342</v>
      </c>
      <c r="P143" s="1491">
        <f>Tabel66891019283234[[#This Row],[Total. ch. DW 2015]]+Tabel66891019283234[[#This Row],[Sew. 2015]]+Tabel66891019283234[[#This Row],[WW 2015]]+Tabel66891019283234[[#This Row],[Other ch. 2015]]+Tabel66891019283234[[#This Row],[VAT 2015]]</f>
        <v>70.134518281018075</v>
      </c>
      <c r="Q143" s="397"/>
      <c r="R143" s="2158"/>
      <c r="S143" s="2159"/>
      <c r="T143" s="2160"/>
      <c r="U143" s="2141"/>
      <c r="V143" s="2142"/>
      <c r="W143" s="2143"/>
      <c r="X143" s="2144"/>
      <c r="Y143" s="2145"/>
      <c r="Z143" s="2146"/>
    </row>
    <row r="144" spans="1:26" ht="15.75" hidden="1" x14ac:dyDescent="0.25">
      <c r="A144" s="2299"/>
      <c r="B144" s="1619"/>
      <c r="C144" s="1291" t="s">
        <v>497</v>
      </c>
      <c r="D144" s="2157"/>
      <c r="E144" s="306">
        <v>8.5832200000000007</v>
      </c>
      <c r="F144" s="319">
        <f>72/E144</f>
        <v>8.3884602748152783</v>
      </c>
      <c r="G144" s="320">
        <f>390.24/E144</f>
        <v>45.465454689498813</v>
      </c>
      <c r="H144" s="321">
        <v>0</v>
      </c>
      <c r="I144" s="313">
        <f>Tabel66891019283234[[#This Row],[Fix.ch. 2015]]+Tabel66891019283234[[#This Row],[Var. ch. 2015]]+Tabel66891019283234[[#This Row],[Oth. ch. DW 2015]]</f>
        <v>53.853914964314093</v>
      </c>
      <c r="J144" s="322">
        <f>111.08/E144</f>
        <v>12.941530101756682</v>
      </c>
      <c r="K144" s="323">
        <v>0</v>
      </c>
      <c r="L144" s="323"/>
      <c r="M144" s="323"/>
      <c r="N144" s="324">
        <v>0</v>
      </c>
      <c r="O144" s="1258">
        <f>40.13/E144</f>
        <v>4.6754015392824604</v>
      </c>
      <c r="P144" s="1491">
        <f>Tabel66891019283234[[#This Row],[Total. ch. DW 2015]]+Tabel66891019283234[[#This Row],[Sew. 2015]]+Tabel66891019283234[[#This Row],[WW 2015]]+Tabel66891019283234[[#This Row],[Other ch. 2015]]+Tabel66891019283234[[#This Row],[VAT 2015]]</f>
        <v>71.470846605353231</v>
      </c>
      <c r="Q144" s="397"/>
      <c r="R144" s="2158"/>
      <c r="S144" s="2159"/>
      <c r="T144" s="2160"/>
      <c r="U144" s="2141"/>
      <c r="V144" s="2142"/>
      <c r="W144" s="2143"/>
      <c r="X144" s="2144"/>
      <c r="Y144" s="2145"/>
      <c r="Z144" s="2146"/>
    </row>
    <row r="145" spans="1:26" ht="16.5" hidden="1" thickBot="1" x14ac:dyDescent="0.3">
      <c r="A145" s="2300"/>
      <c r="B145" s="1619"/>
      <c r="C145" s="1052" t="s">
        <v>498</v>
      </c>
      <c r="D145" s="2221"/>
      <c r="E145" s="306">
        <v>8.5832200000000007</v>
      </c>
      <c r="F145" s="319">
        <f>72/E145</f>
        <v>8.3884602748152783</v>
      </c>
      <c r="G145" s="320">
        <f>300.76/E145</f>
        <v>35.040462670186706</v>
      </c>
      <c r="H145" s="321">
        <v>0</v>
      </c>
      <c r="I145" s="313">
        <f>Tabel66891019283234[[#This Row],[Fix.ch. 2015]]+Tabel66891019283234[[#This Row],[Var. ch. 2015]]+Tabel66891019283234[[#This Row],[Oth. ch. DW 2015]]</f>
        <v>43.428922945001986</v>
      </c>
      <c r="J145" s="322">
        <f>153.12/E145</f>
        <v>17.83945885110716</v>
      </c>
      <c r="K145" s="323">
        <v>0</v>
      </c>
      <c r="L145" s="323"/>
      <c r="M145" s="323"/>
      <c r="N145" s="324">
        <v>0</v>
      </c>
      <c r="O145" s="1258">
        <f>36.81/E145</f>
        <v>4.2886003154993118</v>
      </c>
      <c r="P145" s="1491">
        <f>Tabel66891019283234[[#This Row],[Total. ch. DW 2015]]+Tabel66891019283234[[#This Row],[Sew. 2015]]+Tabel66891019283234[[#This Row],[WW 2015]]+Tabel66891019283234[[#This Row],[Other ch. 2015]]+Tabel66891019283234[[#This Row],[VAT 2015]]</f>
        <v>65.556982111608463</v>
      </c>
      <c r="Q145" s="397"/>
      <c r="R145" s="2223"/>
      <c r="S145" s="2225"/>
      <c r="T145" s="2227"/>
      <c r="U145" s="2234"/>
      <c r="V145" s="2236"/>
      <c r="W145" s="2238"/>
      <c r="X145" s="2240"/>
      <c r="Y145" s="2242"/>
      <c r="Z145" s="2244"/>
    </row>
    <row r="146" spans="1:26" ht="19.5" hidden="1" thickBot="1" x14ac:dyDescent="0.3">
      <c r="A146" s="1169" t="s">
        <v>734</v>
      </c>
      <c r="B146" s="1656"/>
      <c r="C146" s="751" t="s">
        <v>735</v>
      </c>
      <c r="D146" s="1194">
        <v>11300</v>
      </c>
      <c r="E146" s="616">
        <f>'[1]exchange rates'!M42</f>
        <v>15.682219999999999</v>
      </c>
      <c r="F146" s="319"/>
      <c r="G146" s="320"/>
      <c r="H146" s="321"/>
      <c r="I146" s="313">
        <f>Tabel66891019283234[[#This Row],[Fix.ch. 2015]]+Tabel66891019283234[[#This Row],[Var. ch. 2015]]+Tabel66891019283234[[#This Row],[Oth. ch. DW 2015]]</f>
        <v>0</v>
      </c>
      <c r="J146" s="322"/>
      <c r="K146" s="323"/>
      <c r="L146" s="323"/>
      <c r="M146" s="323"/>
      <c r="N146" s="324"/>
      <c r="O146" s="1258"/>
      <c r="P146" s="1491">
        <f>Tabel66891019283234[[#This Row],[Total. ch. DW 2015]]+Tabel66891019283234[[#This Row],[Sew. 2015]]+Tabel66891019283234[[#This Row],[WW 2015]]+Tabel66891019283234[[#This Row],[Other ch. 2015]]+Tabel66891019283234[[#This Row],[VAT 2015]]</f>
        <v>0</v>
      </c>
      <c r="Q146" s="397"/>
      <c r="R146" s="1214"/>
      <c r="S146" s="1215"/>
      <c r="T146" s="1216"/>
      <c r="U146" s="1207"/>
      <c r="V146" s="1208"/>
      <c r="W146" s="1209"/>
      <c r="X146" s="1210"/>
      <c r="Y146" s="1211"/>
      <c r="Z146" s="1212"/>
    </row>
    <row r="147" spans="1:26" ht="15.75" hidden="1" customHeight="1" x14ac:dyDescent="0.25">
      <c r="A147" s="2078" t="s">
        <v>20</v>
      </c>
      <c r="B147" s="1656"/>
      <c r="C147" s="727" t="s">
        <v>182</v>
      </c>
      <c r="D147" s="2343">
        <v>49300</v>
      </c>
      <c r="E147" s="616">
        <f>'[1]exchange rates'!$M$43</f>
        <v>0.92093999999999998</v>
      </c>
      <c r="F147" s="549">
        <f>42.15/E147</f>
        <v>45.76845397094273</v>
      </c>
      <c r="G147" s="550">
        <f>124/E147</f>
        <v>134.64503659304623</v>
      </c>
      <c r="H147" s="551">
        <v>0</v>
      </c>
      <c r="I147" s="566">
        <f>Tabel66891019283234[[#This Row],[Fix.ch. 2015]]+Tabel66891019283234[[#This Row],[Var. ch. 2015]]+Tabel66891019283234[[#This Row],[Oth. ch. DW 2015]]</f>
        <v>180.41349056398894</v>
      </c>
      <c r="J147" s="567">
        <f>149/E147</f>
        <v>161.79121332551523</v>
      </c>
      <c r="K147" s="323">
        <f>165/E147</f>
        <v>179.16476643429539</v>
      </c>
      <c r="L147" s="323"/>
      <c r="M147" s="323"/>
      <c r="N147" s="569">
        <f>33.3/E147</f>
        <v>36.158707407648706</v>
      </c>
      <c r="O147" s="1271">
        <f>11.97/E147</f>
        <v>12.997589419506157</v>
      </c>
      <c r="P147" s="1496">
        <f>Tabel66891019283234[[#This Row],[Total. ch. DW 2015]]+Tabel66891019283234[[#This Row],[Sew. 2015]]+Tabel66891019283234[[#This Row],[WW 2015]]+Tabel66891019283234[[#This Row],[Other ch. 2015]]+Tabel66891019283234[[#This Row],[VAT 2015]]</f>
        <v>570.52576715095449</v>
      </c>
      <c r="Q147" s="397"/>
      <c r="R147" s="2344">
        <f t="shared" ref="R147:W147" si="42">SUM(F147:F151)/5</f>
        <v>60.488196842356714</v>
      </c>
      <c r="S147" s="2345">
        <f t="shared" si="42"/>
        <v>94.588138206614971</v>
      </c>
      <c r="T147" s="2350">
        <f t="shared" si="42"/>
        <v>5.8961495862922657</v>
      </c>
      <c r="U147" s="2361">
        <f t="shared" si="42"/>
        <v>160.97248463526395</v>
      </c>
      <c r="V147" s="2351">
        <f t="shared" si="42"/>
        <v>218.90676917063001</v>
      </c>
      <c r="W147" s="2352">
        <f t="shared" si="42"/>
        <v>197.62416661237432</v>
      </c>
      <c r="X147" s="2341">
        <f t="shared" ref="X147:Z147" si="43">SUM(N147:N151)/5</f>
        <v>36.158707407648706</v>
      </c>
      <c r="Y147" s="2342">
        <f t="shared" si="43"/>
        <v>11.475231828349294</v>
      </c>
      <c r="Z147" s="2353">
        <f t="shared" si="43"/>
        <v>625.13735965426633</v>
      </c>
    </row>
    <row r="148" spans="1:26" ht="15.75" hidden="1" customHeight="1" x14ac:dyDescent="0.25">
      <c r="A148" s="2079"/>
      <c r="B148" s="1656"/>
      <c r="C148" s="727" t="s">
        <v>183</v>
      </c>
      <c r="D148" s="1880"/>
      <c r="E148" s="616">
        <f>'[1]exchange rates'!$M$43</f>
        <v>0.92093999999999998</v>
      </c>
      <c r="F148" s="549">
        <f>59.76/E148</f>
        <v>64.890220861293898</v>
      </c>
      <c r="G148" s="550">
        <f>91.4/E148</f>
        <v>99.246422133906663</v>
      </c>
      <c r="H148" s="551">
        <f>8.45/E148</f>
        <v>9.1754077355745203</v>
      </c>
      <c r="I148" s="566">
        <f>Tabel66891019283234[[#This Row],[Fix.ch. 2015]]+Tabel66891019283234[[#This Row],[Var. ch. 2015]]+Tabel66891019283234[[#This Row],[Oth. ch. DW 2015]]</f>
        <v>173.31205073077507</v>
      </c>
      <c r="J148" s="567">
        <f>351/E148</f>
        <v>381.13232132386474</v>
      </c>
      <c r="K148" s="323">
        <f>190/E148</f>
        <v>206.31094316676439</v>
      </c>
      <c r="L148" s="323"/>
      <c r="M148" s="323"/>
      <c r="N148" s="569">
        <f>33.3/E148</f>
        <v>36.158707407648706</v>
      </c>
      <c r="O148" s="1271">
        <f>11.07/E148</f>
        <v>12.020327057137273</v>
      </c>
      <c r="P148" s="1496">
        <f>Tabel66891019283234[[#This Row],[Total. ch. DW 2015]]+Tabel66891019283234[[#This Row],[Sew. 2015]]+Tabel66891019283234[[#This Row],[WW 2015]]+Tabel66891019283234[[#This Row],[Other ch. 2015]]+Tabel66891019283234[[#This Row],[VAT 2015]]</f>
        <v>808.93434968619033</v>
      </c>
      <c r="Q148" s="397"/>
      <c r="R148" s="1886"/>
      <c r="S148" s="1888"/>
      <c r="T148" s="1890"/>
      <c r="U148" s="2370"/>
      <c r="V148" s="1894"/>
      <c r="W148" s="1911"/>
      <c r="X148" s="1913"/>
      <c r="Y148" s="1915"/>
      <c r="Z148" s="2053"/>
    </row>
    <row r="149" spans="1:26" ht="15.75" hidden="1" customHeight="1" x14ac:dyDescent="0.25">
      <c r="A149" s="2079"/>
      <c r="B149" s="1656"/>
      <c r="C149" s="727" t="s">
        <v>184</v>
      </c>
      <c r="D149" s="1880"/>
      <c r="E149" s="616">
        <f>'[1]exchange rates'!$M$43</f>
        <v>0.92093999999999998</v>
      </c>
      <c r="F149" s="549">
        <f>61.18/E149</f>
        <v>66.432123699698138</v>
      </c>
      <c r="G149" s="550">
        <f>106/E149</f>
        <v>115.09978934566855</v>
      </c>
      <c r="H149" s="551">
        <f>18.7/E149</f>
        <v>20.30534019588681</v>
      </c>
      <c r="I149" s="566">
        <f>Tabel66891019283234[[#This Row],[Fix.ch. 2015]]+Tabel66891019283234[[#This Row],[Var. ch. 2015]]+Tabel66891019283234[[#This Row],[Oth. ch. DW 2015]]</f>
        <v>201.83725324125351</v>
      </c>
      <c r="J149" s="567">
        <f>133/E149</f>
        <v>144.41766021673507</v>
      </c>
      <c r="K149" s="323">
        <f>255/E149</f>
        <v>276.8910026711838</v>
      </c>
      <c r="L149" s="323"/>
      <c r="M149" s="323"/>
      <c r="N149" s="569">
        <f>33.3/E149</f>
        <v>36.158707407648706</v>
      </c>
      <c r="O149" s="1271">
        <f>12.03/E149</f>
        <v>13.062740243664082</v>
      </c>
      <c r="P149" s="1496">
        <f>Tabel66891019283234[[#This Row],[Total. ch. DW 2015]]+Tabel66891019283234[[#This Row],[Sew. 2015]]+Tabel66891019283234[[#This Row],[WW 2015]]+Tabel66891019283234[[#This Row],[Other ch. 2015]]+Tabel66891019283234[[#This Row],[VAT 2015]]</f>
        <v>672.36736378048511</v>
      </c>
      <c r="Q149" s="397"/>
      <c r="R149" s="1886"/>
      <c r="S149" s="1888"/>
      <c r="T149" s="1890"/>
      <c r="U149" s="2370"/>
      <c r="V149" s="1894"/>
      <c r="W149" s="1911"/>
      <c r="X149" s="1913"/>
      <c r="Y149" s="1915"/>
      <c r="Z149" s="2053"/>
    </row>
    <row r="150" spans="1:26" ht="15.75" hidden="1" customHeight="1" x14ac:dyDescent="0.25">
      <c r="A150" s="2079"/>
      <c r="B150" s="1656"/>
      <c r="C150" s="727" t="s">
        <v>185</v>
      </c>
      <c r="D150" s="1880"/>
      <c r="E150" s="616">
        <f>'[1]exchange rates'!$M$43</f>
        <v>0.92093999999999998</v>
      </c>
      <c r="F150" s="549">
        <f>45/E150</f>
        <v>48.863118118444199</v>
      </c>
      <c r="G150" s="550">
        <f>68/E150</f>
        <v>73.837600712315677</v>
      </c>
      <c r="H150" s="551">
        <v>0</v>
      </c>
      <c r="I150" s="566">
        <f>Tabel66891019283234[[#This Row],[Fix.ch. 2015]]+Tabel66891019283234[[#This Row],[Var. ch. 2015]]+Tabel66891019283234[[#This Row],[Oth. ch. DW 2015]]</f>
        <v>122.70071883075988</v>
      </c>
      <c r="J150" s="567">
        <f>231/E150</f>
        <v>250.83067300801355</v>
      </c>
      <c r="K150" s="323">
        <f>165/E150</f>
        <v>179.16476643429539</v>
      </c>
      <c r="L150" s="323"/>
      <c r="M150" s="323"/>
      <c r="N150" s="569">
        <f>33.3/E150</f>
        <v>36.158707407648706</v>
      </c>
      <c r="O150" s="1271">
        <f>8.78/E150</f>
        <v>9.5337372684431116</v>
      </c>
      <c r="P150" s="1496">
        <f>Tabel66891019283234[[#This Row],[Total. ch. DW 2015]]+Tabel66891019283234[[#This Row],[Sew. 2015]]+Tabel66891019283234[[#This Row],[WW 2015]]+Tabel66891019283234[[#This Row],[Other ch. 2015]]+Tabel66891019283234[[#This Row],[VAT 2015]]</f>
        <v>598.3886029491606</v>
      </c>
      <c r="Q150" s="397"/>
      <c r="R150" s="1886"/>
      <c r="S150" s="1888"/>
      <c r="T150" s="1890"/>
      <c r="U150" s="2370"/>
      <c r="V150" s="1894"/>
      <c r="W150" s="1911"/>
      <c r="X150" s="1913"/>
      <c r="Y150" s="1915"/>
      <c r="Z150" s="2053"/>
    </row>
    <row r="151" spans="1:26" ht="16.5" hidden="1" customHeight="1" x14ac:dyDescent="0.25">
      <c r="A151" s="2079"/>
      <c r="B151" s="1656"/>
      <c r="C151" s="727" t="s">
        <v>186</v>
      </c>
      <c r="D151" s="1880"/>
      <c r="E151" s="616">
        <f>'[1]exchange rates'!$M$43</f>
        <v>0.92093999999999998</v>
      </c>
      <c r="F151" s="549">
        <f>70.44/E151</f>
        <v>76.487067561404658</v>
      </c>
      <c r="G151" s="550">
        <f>46.15/E151</f>
        <v>50.111842248137769</v>
      </c>
      <c r="H151" s="551">
        <v>0</v>
      </c>
      <c r="I151" s="566">
        <f>Tabel66891019283234[[#This Row],[Fix.ch. 2015]]+Tabel66891019283234[[#This Row],[Var. ch. 2015]]+Tabel66891019283234[[#This Row],[Oth. ch. DW 2015]]</f>
        <v>126.59890980954242</v>
      </c>
      <c r="J151" s="567">
        <f>144/E151</f>
        <v>156.36197797902145</v>
      </c>
      <c r="K151" s="323">
        <f>135/E151</f>
        <v>146.5893543553326</v>
      </c>
      <c r="L151" s="323"/>
      <c r="M151" s="323"/>
      <c r="N151" s="569">
        <f>33.3/E151</f>
        <v>36.158707407648706</v>
      </c>
      <c r="O151" s="1271">
        <f>8.99/E151</f>
        <v>9.7617651529958529</v>
      </c>
      <c r="P151" s="1496">
        <f>Tabel66891019283234[[#This Row],[Total. ch. DW 2015]]+Tabel66891019283234[[#This Row],[Sew. 2015]]+Tabel66891019283234[[#This Row],[WW 2015]]+Tabel66891019283234[[#This Row],[Other ch. 2015]]+Tabel66891019283234[[#This Row],[VAT 2015]]</f>
        <v>475.47071470454102</v>
      </c>
      <c r="Q151" s="397"/>
      <c r="R151" s="1886"/>
      <c r="S151" s="1888"/>
      <c r="T151" s="1890"/>
      <c r="U151" s="2370"/>
      <c r="V151" s="1894"/>
      <c r="W151" s="1911"/>
      <c r="X151" s="1913"/>
      <c r="Y151" s="1915"/>
      <c r="Z151" s="2053"/>
    </row>
    <row r="152" spans="1:26" ht="16.5" hidden="1" thickBot="1" x14ac:dyDescent="0.3">
      <c r="A152" s="2268"/>
      <c r="B152" s="1656"/>
      <c r="C152" s="294" t="s">
        <v>187</v>
      </c>
      <c r="D152" s="1761"/>
      <c r="E152" s="616">
        <f>'[1]exchange rates'!$M$43</f>
        <v>0.92093999999999998</v>
      </c>
      <c r="F152" s="319"/>
      <c r="G152" s="320"/>
      <c r="H152" s="321"/>
      <c r="I152" s="313">
        <f>Tabel66891019283234[[#This Row],[Fix.ch. 2015]]+Tabel66891019283234[[#This Row],[Var. ch. 2015]]+Tabel66891019283234[[#This Row],[Oth. ch. DW 2015]]</f>
        <v>0</v>
      </c>
      <c r="J152" s="322"/>
      <c r="K152" s="323"/>
      <c r="L152" s="323"/>
      <c r="M152" s="323"/>
      <c r="N152" s="324"/>
      <c r="O152" s="1258"/>
      <c r="P152" s="1491">
        <f>Tabel66891019283234[[#This Row],[Total. ch. DW 2015]]+Tabel66891019283234[[#This Row],[Sew. 2015]]+Tabel66891019283234[[#This Row],[WW 2015]]+Tabel66891019283234[[#This Row],[Other ch. 2015]]+Tabel66891019283234[[#This Row],[VAT 2015]]</f>
        <v>0</v>
      </c>
      <c r="Q152" s="397"/>
      <c r="R152" s="1764"/>
      <c r="S152" s="1767"/>
      <c r="T152" s="1770"/>
      <c r="U152" s="2371"/>
      <c r="V152" s="1779"/>
      <c r="W152" s="1811"/>
      <c r="X152" s="1813"/>
      <c r="Y152" s="1815"/>
      <c r="Z152" s="1991"/>
    </row>
    <row r="153" spans="1:26" ht="19.5" hidden="1" thickBot="1" x14ac:dyDescent="0.35">
      <c r="A153" s="267" t="s">
        <v>46</v>
      </c>
      <c r="B153" s="1616"/>
      <c r="C153" s="293" t="s">
        <v>477</v>
      </c>
      <c r="D153" s="1542"/>
      <c r="E153" s="306">
        <v>0.64417999999999997</v>
      </c>
      <c r="F153" s="319">
        <f>94/E153</f>
        <v>145.92194728181565</v>
      </c>
      <c r="G153" s="320">
        <f>104/E153</f>
        <v>161.44555869477475</v>
      </c>
      <c r="H153" s="321">
        <v>0</v>
      </c>
      <c r="I153" s="313">
        <f>Tabel66891019283234[[#This Row],[Fix.ch. 2015]]+Tabel66891019283234[[#This Row],[Var. ch. 2015]]+Tabel66891019283234[[#This Row],[Oth. ch. DW 2015]]</f>
        <v>307.36750597659039</v>
      </c>
      <c r="J153" s="322">
        <v>0</v>
      </c>
      <c r="K153" s="323">
        <f>298/E153</f>
        <v>462.60362010618149</v>
      </c>
      <c r="L153" s="323"/>
      <c r="M153" s="323"/>
      <c r="N153" s="324">
        <v>0</v>
      </c>
      <c r="O153" s="1258">
        <f>40/E153</f>
        <v>62.094445651836445</v>
      </c>
      <c r="P153" s="1491">
        <f>Tabel66891019283234[[#This Row],[Total. ch. DW 2015]]+Tabel66891019283234[[#This Row],[Sew. 2015]]+Tabel66891019283234[[#This Row],[WW 2015]]+Tabel66891019283234[[#This Row],[Other ch. 2015]]+Tabel66891019283234[[#This Row],[VAT 2015]]</f>
        <v>832.06557173460828</v>
      </c>
      <c r="Q153" s="397"/>
      <c r="R153" s="1228">
        <f>Tabel66891019283234[[#This Row],[Fix.ch. 2015]]</f>
        <v>145.92194728181565</v>
      </c>
      <c r="S153" s="1229">
        <f>Tabel66891019283234[[#This Row],[Var. ch. 2015]]</f>
        <v>161.44555869477475</v>
      </c>
      <c r="T153" s="1230">
        <v>0</v>
      </c>
      <c r="U153" s="1231">
        <f>Tabel66891019283234[[#This Row],[Total. ch. DW 2015]]</f>
        <v>307.36750597659039</v>
      </c>
      <c r="V153" s="1232">
        <v>0</v>
      </c>
      <c r="W153" s="1233">
        <f>Tabel66891019283234[[#This Row],[WW 2015]]</f>
        <v>462.60362010618149</v>
      </c>
      <c r="X153" s="1234">
        <v>0</v>
      </c>
      <c r="Y153" s="1235">
        <f>Tabel66891019283234[[#This Row],[VAT 2015]]</f>
        <v>62.094445651836445</v>
      </c>
      <c r="Z153" s="1236">
        <f>Tabel66891019283234[[#This Row],[total charge 2015]]</f>
        <v>832.06557173460828</v>
      </c>
    </row>
    <row r="154" spans="1:26" ht="15.75" hidden="1" customHeight="1" x14ac:dyDescent="0.25">
      <c r="A154" s="1818" t="s">
        <v>21</v>
      </c>
      <c r="B154" s="1656"/>
      <c r="C154" s="1513" t="s">
        <v>125</v>
      </c>
      <c r="D154" s="2347">
        <v>68400</v>
      </c>
      <c r="E154" s="617">
        <f>'[1]exchange rates'!$M$46</f>
        <v>8.8603000000000005</v>
      </c>
      <c r="F154" s="549">
        <f>1229/E154</f>
        <v>138.70862160423462</v>
      </c>
      <c r="G154" s="550">
        <f>0/E154</f>
        <v>0</v>
      </c>
      <c r="H154" s="551">
        <v>0</v>
      </c>
      <c r="I154" s="566">
        <f>Tabel66891019283234[[#This Row],[Fix.ch. 2015]]+Tabel66891019283234[[#This Row],[Var. ch. 2015]]+Tabel66891019283234[[#This Row],[Oth. ch. DW 2015]]</f>
        <v>138.70862160423462</v>
      </c>
      <c r="J154" s="567">
        <f>1599/E154</f>
        <v>180.4679299797975</v>
      </c>
      <c r="K154" s="568">
        <v>0</v>
      </c>
      <c r="L154" s="568"/>
      <c r="M154" s="568"/>
      <c r="N154" s="569">
        <v>0</v>
      </c>
      <c r="O154" s="1271">
        <f>707/E154</f>
        <v>79.794137896008024</v>
      </c>
      <c r="P154" s="1496">
        <f>Tabel66891019283234[[#This Row],[Total. ch. DW 2015]]+Tabel66891019283234[[#This Row],[Sew. 2015]]+Tabel66891019283234[[#This Row],[WW 2015]]+Tabel66891019283234[[#This Row],[Other ch. 2015]]+Tabel66891019283234[[#This Row],[VAT 2015]]</f>
        <v>398.97068948004016</v>
      </c>
      <c r="Q154" s="397"/>
      <c r="R154" s="2344">
        <f t="shared" ref="R154:W154" si="44">SUM(F154:F156)/3</f>
        <v>69.335500302849042</v>
      </c>
      <c r="S154" s="2345">
        <f t="shared" si="44"/>
        <v>68.583080332118172</v>
      </c>
      <c r="T154" s="2350">
        <f t="shared" si="44"/>
        <v>6.9448363298458666</v>
      </c>
      <c r="U154" s="2340">
        <f t="shared" si="44"/>
        <v>144.86341696481307</v>
      </c>
      <c r="V154" s="2351">
        <f t="shared" si="44"/>
        <v>174.60657840780405</v>
      </c>
      <c r="W154" s="2352">
        <f t="shared" si="44"/>
        <v>0</v>
      </c>
      <c r="X154" s="2341">
        <f t="shared" ref="X154:Y154" si="45">SUM(N154:N156)/3</f>
        <v>0</v>
      </c>
      <c r="Y154" s="2342">
        <f t="shared" si="45"/>
        <v>79.867498843154294</v>
      </c>
      <c r="Z154" s="2339">
        <f>SUM(P154:P156)/3</f>
        <v>399.33749421577141</v>
      </c>
    </row>
    <row r="155" spans="1:26" ht="16.5" hidden="1" customHeight="1" x14ac:dyDescent="0.25">
      <c r="A155" s="2294"/>
      <c r="B155" s="1656"/>
      <c r="C155" s="543" t="s">
        <v>126</v>
      </c>
      <c r="D155" s="2348"/>
      <c r="E155" s="617">
        <f>'[1]exchange rates'!$M$46</f>
        <v>8.8603000000000005</v>
      </c>
      <c r="F155" s="549">
        <f>314/E155</f>
        <v>35.438980621423653</v>
      </c>
      <c r="G155" s="550">
        <f>997/E155</f>
        <v>112.52440662280057</v>
      </c>
      <c r="H155" s="551">
        <v>0</v>
      </c>
      <c r="I155" s="566">
        <f>Tabel66891019283234[[#This Row],[Fix.ch. 2015]]+Tabel66891019283234[[#This Row],[Var. ch. 2015]]+Tabel66891019283234[[#This Row],[Oth. ch. DW 2015]]</f>
        <v>147.96338724422424</v>
      </c>
      <c r="J155" s="567">
        <f>1496/E155</f>
        <v>168.84304143200569</v>
      </c>
      <c r="K155" s="568">
        <v>0</v>
      </c>
      <c r="L155" s="568"/>
      <c r="M155" s="568"/>
      <c r="N155" s="569">
        <v>0</v>
      </c>
      <c r="O155" s="1271">
        <f>701.75/E155</f>
        <v>79.201607169057482</v>
      </c>
      <c r="P155" s="1496">
        <f>Tabel66891019283234[[#This Row],[Total. ch. DW 2015]]+Tabel66891019283234[[#This Row],[Sew. 2015]]+Tabel66891019283234[[#This Row],[WW 2015]]+Tabel66891019283234[[#This Row],[Other ch. 2015]]+Tabel66891019283234[[#This Row],[VAT 2015]]</f>
        <v>396.0080358452874</v>
      </c>
      <c r="Q155" s="397"/>
      <c r="R155" s="1763"/>
      <c r="S155" s="1766"/>
      <c r="T155" s="1769"/>
      <c r="U155" s="1775"/>
      <c r="V155" s="1778"/>
      <c r="W155" s="1781"/>
      <c r="X155" s="1785"/>
      <c r="Y155" s="1788"/>
      <c r="Z155" s="1791"/>
    </row>
    <row r="156" spans="1:26" ht="18" hidden="1" customHeight="1" x14ac:dyDescent="0.25">
      <c r="A156" s="2295"/>
      <c r="B156" s="1656"/>
      <c r="C156" s="543" t="s">
        <v>127</v>
      </c>
      <c r="D156" s="2349"/>
      <c r="E156" s="617">
        <f>'[1]exchange rates'!$M$46</f>
        <v>8.8603000000000005</v>
      </c>
      <c r="F156" s="549">
        <f>300/E156</f>
        <v>33.858898682888842</v>
      </c>
      <c r="G156" s="550">
        <f>826/E156</f>
        <v>93.224834373553932</v>
      </c>
      <c r="H156" s="551">
        <f>184.6/E156</f>
        <v>20.8345089895376</v>
      </c>
      <c r="I156" s="566">
        <f>Tabel66891019283234[[#This Row],[Fix.ch. 2015]]+Tabel66891019283234[[#This Row],[Var. ch. 2015]]+Tabel66891019283234[[#This Row],[Oth. ch. DW 2015]]</f>
        <v>147.91824204598038</v>
      </c>
      <c r="J156" s="567">
        <f>1546.2/E156</f>
        <v>174.50876381160907</v>
      </c>
      <c r="K156" s="568">
        <v>0</v>
      </c>
      <c r="L156" s="568"/>
      <c r="M156" s="568"/>
      <c r="N156" s="569">
        <v>0</v>
      </c>
      <c r="O156" s="1271">
        <f>714.2/E156</f>
        <v>80.606751464397362</v>
      </c>
      <c r="P156" s="1496">
        <f>Tabel66891019283234[[#This Row],[Total. ch. DW 2015]]+Tabel66891019283234[[#This Row],[Sew. 2015]]+Tabel66891019283234[[#This Row],[WW 2015]]+Tabel66891019283234[[#This Row],[Other ch. 2015]]+Tabel66891019283234[[#This Row],[VAT 2015]]</f>
        <v>403.0337573219868</v>
      </c>
      <c r="Q156" s="397"/>
      <c r="R156" s="1764"/>
      <c r="S156" s="1767"/>
      <c r="T156" s="1770"/>
      <c r="U156" s="1776"/>
      <c r="V156" s="1779"/>
      <c r="W156" s="1811"/>
      <c r="X156" s="1813"/>
      <c r="Y156" s="1815"/>
      <c r="Z156" s="1794"/>
    </row>
    <row r="157" spans="1:26" ht="15.75" hidden="1" x14ac:dyDescent="0.25">
      <c r="A157" s="1818" t="s">
        <v>22</v>
      </c>
      <c r="B157" s="1656"/>
      <c r="C157" s="1513" t="s">
        <v>128</v>
      </c>
      <c r="D157" s="2347">
        <v>26400</v>
      </c>
      <c r="E157" s="661">
        <f>'[1]exchange rates'!$M$47</f>
        <v>3.9519899999999999</v>
      </c>
      <c r="F157" s="549">
        <v>0</v>
      </c>
      <c r="G157" s="550">
        <f>551/E157</f>
        <v>139.42342971515617</v>
      </c>
      <c r="H157" s="551">
        <v>0</v>
      </c>
      <c r="I157" s="566">
        <f>Tabel66891019283234[[#This Row],[Fix.ch. 2015]]+Tabel66891019283234[[#This Row],[Var. ch. 2015]]+Tabel66891019283234[[#This Row],[Oth. ch. DW 2015]]</f>
        <v>139.42342971515617</v>
      </c>
      <c r="J157" s="567">
        <v>0</v>
      </c>
      <c r="K157" s="568">
        <f>549/E157</f>
        <v>138.91735556011022</v>
      </c>
      <c r="L157" s="568"/>
      <c r="M157" s="568"/>
      <c r="N157" s="569">
        <v>0</v>
      </c>
      <c r="O157" s="1271">
        <v>0</v>
      </c>
      <c r="P157" s="1496">
        <f>Tabel66891019283234[[#This Row],[Total. ch. DW 2015]]+Tabel66891019283234[[#This Row],[Sew. 2015]]+Tabel66891019283234[[#This Row],[WW 2015]]+Tabel66891019283234[[#This Row],[Other ch. 2015]]+Tabel66891019283234[[#This Row],[VAT 2015]]</f>
        <v>278.3407852752664</v>
      </c>
      <c r="Q157" s="397"/>
      <c r="R157" s="2344">
        <f t="shared" ref="R157:W157" si="46">SUM(F157:F161)/5</f>
        <v>6.7469806350724566</v>
      </c>
      <c r="S157" s="2345">
        <f t="shared" si="46"/>
        <v>115.53672959698784</v>
      </c>
      <c r="T157" s="2350">
        <f t="shared" si="46"/>
        <v>1.4028375577873426</v>
      </c>
      <c r="U157" s="2340">
        <f t="shared" si="46"/>
        <v>123.68654778984765</v>
      </c>
      <c r="V157" s="2351">
        <f t="shared" si="46"/>
        <v>0</v>
      </c>
      <c r="W157" s="2352">
        <f t="shared" si="46"/>
        <v>132.43960637552223</v>
      </c>
      <c r="X157" s="2341">
        <f t="shared" ref="X157:Z157" si="47">SUM(N157:N161)/5</f>
        <v>6.7469806350724566</v>
      </c>
      <c r="Y157" s="2342">
        <f t="shared" si="47"/>
        <v>0</v>
      </c>
      <c r="Z157" s="2339">
        <f t="shared" si="47"/>
        <v>262.8731348004423</v>
      </c>
    </row>
    <row r="158" spans="1:26" ht="15.75" hidden="1" x14ac:dyDescent="0.25">
      <c r="A158" s="2294"/>
      <c r="B158" s="1656"/>
      <c r="C158" s="543" t="s">
        <v>129</v>
      </c>
      <c r="D158" s="2359"/>
      <c r="E158" s="661">
        <f>'[1]exchange rates'!$M$47</f>
        <v>3.9519899999999999</v>
      </c>
      <c r="F158" s="549">
        <v>0</v>
      </c>
      <c r="G158" s="550">
        <f>429/E158</f>
        <v>108.5529062573539</v>
      </c>
      <c r="H158" s="551">
        <v>0</v>
      </c>
      <c r="I158" s="566">
        <f>Tabel66891019283234[[#This Row],[Fix.ch. 2015]]+Tabel66891019283234[[#This Row],[Var. ch. 2015]]+Tabel66891019283234[[#This Row],[Oth. ch. DW 2015]]</f>
        <v>108.5529062573539</v>
      </c>
      <c r="J158" s="567">
        <v>0</v>
      </c>
      <c r="K158" s="568">
        <f>501/E158</f>
        <v>126.7715758390077</v>
      </c>
      <c r="L158" s="568"/>
      <c r="M158" s="568"/>
      <c r="N158" s="569">
        <v>0</v>
      </c>
      <c r="O158" s="1271">
        <v>0</v>
      </c>
      <c r="P158" s="1496">
        <f>Tabel66891019283234[[#This Row],[Total. ch. DW 2015]]+Tabel66891019283234[[#This Row],[Sew. 2015]]+Tabel66891019283234[[#This Row],[WW 2015]]+Tabel66891019283234[[#This Row],[Other ch. 2015]]+Tabel66891019283234[[#This Row],[VAT 2015]]</f>
        <v>235.32448209636158</v>
      </c>
      <c r="Q158" s="397"/>
      <c r="R158" s="1886"/>
      <c r="S158" s="1888"/>
      <c r="T158" s="1890"/>
      <c r="U158" s="1892"/>
      <c r="V158" s="1894"/>
      <c r="W158" s="1911"/>
      <c r="X158" s="1913"/>
      <c r="Y158" s="1915"/>
      <c r="Z158" s="1832"/>
    </row>
    <row r="159" spans="1:26" ht="15.75" hidden="1" x14ac:dyDescent="0.25">
      <c r="A159" s="2294"/>
      <c r="B159" s="1656"/>
      <c r="C159" s="543" t="s">
        <v>130</v>
      </c>
      <c r="D159" s="2359"/>
      <c r="E159" s="661">
        <f>'[1]exchange rates'!$M$47</f>
        <v>3.9519899999999999</v>
      </c>
      <c r="F159" s="549">
        <f>(3.57/E159)*12</f>
        <v>10.840108401084009</v>
      </c>
      <c r="G159" s="550">
        <f>646/E159</f>
        <v>163.46195207983826</v>
      </c>
      <c r="H159" s="551">
        <v>0</v>
      </c>
      <c r="I159" s="566">
        <f>Tabel66891019283234[[#This Row],[Fix.ch. 2015]]+Tabel66891019283234[[#This Row],[Var. ch. 2015]]+Tabel66891019283234[[#This Row],[Oth. ch. DW 2015]]</f>
        <v>174.30206048092225</v>
      </c>
      <c r="J159" s="567">
        <v>0</v>
      </c>
      <c r="K159" s="568">
        <f>646/E159</f>
        <v>163.46195207983826</v>
      </c>
      <c r="L159" s="568"/>
      <c r="M159" s="568"/>
      <c r="N159" s="569">
        <f>(3.57/E159)*12</f>
        <v>10.840108401084009</v>
      </c>
      <c r="O159" s="1271">
        <v>0</v>
      </c>
      <c r="P159" s="1496">
        <f>Tabel66891019283234[[#This Row],[Total. ch. DW 2015]]+Tabel66891019283234[[#This Row],[Sew. 2015]]+Tabel66891019283234[[#This Row],[WW 2015]]+Tabel66891019283234[[#This Row],[Other ch. 2015]]+Tabel66891019283234[[#This Row],[VAT 2015]]</f>
        <v>348.60412096184456</v>
      </c>
      <c r="Q159" s="397"/>
      <c r="R159" s="1886"/>
      <c r="S159" s="1888"/>
      <c r="T159" s="1890"/>
      <c r="U159" s="1892"/>
      <c r="V159" s="1894"/>
      <c r="W159" s="1911"/>
      <c r="X159" s="1913"/>
      <c r="Y159" s="1915"/>
      <c r="Z159" s="1832"/>
    </row>
    <row r="160" spans="1:26" ht="15.75" hidden="1" x14ac:dyDescent="0.25">
      <c r="A160" s="2294"/>
      <c r="B160" s="1656"/>
      <c r="C160" s="543" t="s">
        <v>131</v>
      </c>
      <c r="D160" s="2359"/>
      <c r="E160" s="661">
        <f>'[1]exchange rates'!$M$47</f>
        <v>3.9519899999999999</v>
      </c>
      <c r="F160" s="549">
        <v>0</v>
      </c>
      <c r="G160" s="550">
        <f>342/E160</f>
        <v>86.538680512855549</v>
      </c>
      <c r="H160" s="551">
        <v>0</v>
      </c>
      <c r="I160" s="566">
        <f>Tabel66891019283234[[#This Row],[Fix.ch. 2015]]+Tabel66891019283234[[#This Row],[Var. ch. 2015]]+Tabel66891019283234[[#This Row],[Oth. ch. DW 2015]]</f>
        <v>86.538680512855549</v>
      </c>
      <c r="J160" s="567">
        <v>0</v>
      </c>
      <c r="K160" s="568">
        <f>337/E160</f>
        <v>85.2734951252407</v>
      </c>
      <c r="L160" s="568"/>
      <c r="M160" s="568"/>
      <c r="N160" s="569">
        <v>0</v>
      </c>
      <c r="O160" s="1271">
        <v>0</v>
      </c>
      <c r="P160" s="1496">
        <f>Tabel66891019283234[[#This Row],[Total. ch. DW 2015]]+Tabel66891019283234[[#This Row],[Sew. 2015]]+Tabel66891019283234[[#This Row],[WW 2015]]+Tabel66891019283234[[#This Row],[Other ch. 2015]]+Tabel66891019283234[[#This Row],[VAT 2015]]</f>
        <v>171.81217563809625</v>
      </c>
      <c r="Q160" s="397"/>
      <c r="R160" s="1886"/>
      <c r="S160" s="1888"/>
      <c r="T160" s="1890"/>
      <c r="U160" s="1892"/>
      <c r="V160" s="1894"/>
      <c r="W160" s="1911"/>
      <c r="X160" s="1913"/>
      <c r="Y160" s="1915"/>
      <c r="Z160" s="1832"/>
    </row>
    <row r="161" spans="1:26" ht="16.5" hidden="1" thickBot="1" x14ac:dyDescent="0.3">
      <c r="A161" s="2295"/>
      <c r="B161" s="1656"/>
      <c r="C161" s="544" t="s">
        <v>132</v>
      </c>
      <c r="D161" s="2349"/>
      <c r="E161" s="661">
        <f>'[1]exchange rates'!$M$47</f>
        <v>3.9519899999999999</v>
      </c>
      <c r="F161" s="549">
        <f>(7.54/E161)*12</f>
        <v>22.894794774278274</v>
      </c>
      <c r="G161" s="550">
        <f>315/E161</f>
        <v>79.70667941973538</v>
      </c>
      <c r="H161" s="551">
        <f>(2.31/E161)*12</f>
        <v>7.014187788936713</v>
      </c>
      <c r="I161" s="566">
        <f>Tabel66891019283234[[#This Row],[Fix.ch. 2015]]+Tabel66891019283234[[#This Row],[Var. ch. 2015]]+Tabel66891019283234[[#This Row],[Oth. ch. DW 2015]]</f>
        <v>109.61566198295037</v>
      </c>
      <c r="J161" s="567">
        <v>0</v>
      </c>
      <c r="K161" s="568">
        <f>584/E161</f>
        <v>147.77365327341417</v>
      </c>
      <c r="L161" s="568"/>
      <c r="M161" s="568"/>
      <c r="N161" s="569">
        <f>(7.54/E161)*12</f>
        <v>22.894794774278274</v>
      </c>
      <c r="O161" s="1271">
        <v>0</v>
      </c>
      <c r="P161" s="1496">
        <f>Tabel66891019283234[[#This Row],[Total. ch. DW 2015]]+Tabel66891019283234[[#This Row],[Sew. 2015]]+Tabel66891019283234[[#This Row],[WW 2015]]+Tabel66891019283234[[#This Row],[Other ch. 2015]]+Tabel66891019283234[[#This Row],[VAT 2015]]</f>
        <v>280.28411003064281</v>
      </c>
      <c r="Q161" s="397"/>
      <c r="R161" s="1764"/>
      <c r="S161" s="1767"/>
      <c r="T161" s="1770"/>
      <c r="U161" s="1776"/>
      <c r="V161" s="1779"/>
      <c r="W161" s="1811"/>
      <c r="X161" s="1813"/>
      <c r="Y161" s="1815"/>
      <c r="Z161" s="1794"/>
    </row>
    <row r="162" spans="1:26" ht="15.75" hidden="1" x14ac:dyDescent="0.25">
      <c r="A162" s="1818" t="s">
        <v>23</v>
      </c>
      <c r="B162" s="1656"/>
      <c r="C162" s="1513" t="s">
        <v>133</v>
      </c>
      <c r="D162" s="2347">
        <v>27800</v>
      </c>
      <c r="E162" s="616">
        <f>'[1]exchange rates'!$M$48</f>
        <v>0.92093999999999998</v>
      </c>
      <c r="F162" s="549">
        <f>51.48/E162</f>
        <v>55.899407127500162</v>
      </c>
      <c r="G162" s="550">
        <f>40.88/E162</f>
        <v>44.389428192933309</v>
      </c>
      <c r="H162" s="551">
        <f>11.12/E162</f>
        <v>12.07461941060221</v>
      </c>
      <c r="I162" s="566">
        <f>Tabel66891019283234[[#This Row],[Fix.ch. 2015]]+Tabel66891019283234[[#This Row],[Var. ch. 2015]]+Tabel66891019283234[[#This Row],[Oth. ch. DW 2015]]</f>
        <v>112.36345473103567</v>
      </c>
      <c r="J162" s="567">
        <v>0</v>
      </c>
      <c r="K162" s="568">
        <f>37.48/E162</f>
        <v>40.69754815731752</v>
      </c>
      <c r="L162" s="568"/>
      <c r="M162" s="568"/>
      <c r="N162" s="569">
        <f>2.96/E162</f>
        <v>3.2141073251243295</v>
      </c>
      <c r="O162" s="1271">
        <f>5.72/E162</f>
        <v>6.211045236388907</v>
      </c>
      <c r="P162" s="1496">
        <f>Tabel66891019283234[[#This Row],[Total. ch. DW 2015]]+Tabel66891019283234[[#This Row],[Sew. 2015]]+Tabel66891019283234[[#This Row],[WW 2015]]+Tabel66891019283234[[#This Row],[Other ch. 2015]]+Tabel66891019283234[[#This Row],[VAT 2015]]</f>
        <v>162.48615544986643</v>
      </c>
      <c r="Q162" s="397"/>
      <c r="R162" s="2344">
        <f>MEDIAN(F162:F168)</f>
        <v>50.752492019024046</v>
      </c>
      <c r="S162" s="2363">
        <f>MEDIAN(G162:G168)</f>
        <v>70.93838903728799</v>
      </c>
      <c r="T162" s="2364">
        <f>MEDIAN(H162:H168)</f>
        <v>0</v>
      </c>
      <c r="U162" s="2365">
        <f>SUM(R162:T168)</f>
        <v>121.69088105631204</v>
      </c>
      <c r="V162" s="2354">
        <f>MEDIAN(J162:J168)</f>
        <v>0</v>
      </c>
      <c r="W162" s="2355">
        <f>MEDIAN(K162:K168)</f>
        <v>100.51686320498621</v>
      </c>
      <c r="X162" s="2356">
        <f>MEDIAN(N162:N168)</f>
        <v>3.333550502747193</v>
      </c>
      <c r="Y162" s="2357">
        <f>MEDIAN(O162:O168)</f>
        <v>10.673876691206811</v>
      </c>
      <c r="Z162" s="2358">
        <f>SUM(U162:Y168)</f>
        <v>236.21517145525223</v>
      </c>
    </row>
    <row r="163" spans="1:26" ht="15.75" hidden="1" x14ac:dyDescent="0.25">
      <c r="A163" s="2294"/>
      <c r="B163" s="1656"/>
      <c r="C163" s="543" t="s">
        <v>134</v>
      </c>
      <c r="D163" s="2359"/>
      <c r="E163" s="616">
        <f>'[1]exchange rates'!$M$48</f>
        <v>0.92093999999999998</v>
      </c>
      <c r="F163" s="549">
        <f>48.84/E163</f>
        <v>53.032770864551445</v>
      </c>
      <c r="G163" s="550">
        <f>70.99/E163</f>
        <v>77.084283449518963</v>
      </c>
      <c r="H163" s="551">
        <f>0</f>
        <v>0</v>
      </c>
      <c r="I163" s="566">
        <f>Tabel66891019283234[[#This Row],[Fix.ch. 2015]]+Tabel66891019283234[[#This Row],[Var. ch. 2015]]+Tabel66891019283234[[#This Row],[Oth. ch. DW 2015]]</f>
        <v>130.1170543140704</v>
      </c>
      <c r="J163" s="567">
        <v>0</v>
      </c>
      <c r="K163" s="568">
        <f>105.89/E163</f>
        <v>114.9803461680457</v>
      </c>
      <c r="L163" s="568"/>
      <c r="M163" s="568"/>
      <c r="N163" s="569">
        <f>10.25/E163</f>
        <v>11.12993246031229</v>
      </c>
      <c r="O163" s="1271">
        <f>7.8/E163</f>
        <v>8.4696071405303268</v>
      </c>
      <c r="P163" s="1496">
        <f>Tabel66891019283234[[#This Row],[Total. ch. DW 2015]]+Tabel66891019283234[[#This Row],[Sew. 2015]]+Tabel66891019283234[[#This Row],[WW 2015]]+Tabel66891019283234[[#This Row],[Other ch. 2015]]+Tabel66891019283234[[#This Row],[VAT 2015]]</f>
        <v>264.69694008295869</v>
      </c>
      <c r="Q163" s="397"/>
      <c r="R163" s="1886"/>
      <c r="S163" s="2159"/>
      <c r="T163" s="2160"/>
      <c r="U163" s="2141"/>
      <c r="V163" s="2142"/>
      <c r="W163" s="2143"/>
      <c r="X163" s="2144"/>
      <c r="Y163" s="2145"/>
      <c r="Z163" s="2146"/>
    </row>
    <row r="164" spans="1:26" ht="15.75" hidden="1" x14ac:dyDescent="0.25">
      <c r="A164" s="2294"/>
      <c r="B164" s="1656"/>
      <c r="C164" s="543" t="s">
        <v>135</v>
      </c>
      <c r="D164" s="2359"/>
      <c r="E164" s="616">
        <f>'[1]exchange rates'!$M$48</f>
        <v>0.92093999999999998</v>
      </c>
      <c r="F164" s="549">
        <f>41.11/E164</f>
        <v>44.639173018872022</v>
      </c>
      <c r="G164" s="550">
        <f>74.53/E164</f>
        <v>80.928182074836585</v>
      </c>
      <c r="H164" s="551">
        <v>0</v>
      </c>
      <c r="I164" s="566">
        <f>Tabel66891019283234[[#This Row],[Fix.ch. 2015]]+Tabel66891019283234[[#This Row],[Var. ch. 2015]]+Tabel66891019283234[[#This Row],[Oth. ch. DW 2015]]</f>
        <v>125.56735509370861</v>
      </c>
      <c r="J164" s="567">
        <v>0</v>
      </c>
      <c r="K164" s="568">
        <f>45.14/E164</f>
        <v>49.015136708146024</v>
      </c>
      <c r="L164" s="568"/>
      <c r="M164" s="568"/>
      <c r="N164" s="569">
        <f>3.07/E164</f>
        <v>3.333550502747193</v>
      </c>
      <c r="O164" s="1271">
        <f>9.83/E164</f>
        <v>10.673876691206811</v>
      </c>
      <c r="P164" s="1496">
        <f>Tabel66891019283234[[#This Row],[Total. ch. DW 2015]]+Tabel66891019283234[[#This Row],[Sew. 2015]]+Tabel66891019283234[[#This Row],[WW 2015]]+Tabel66891019283234[[#This Row],[Other ch. 2015]]+Tabel66891019283234[[#This Row],[VAT 2015]]</f>
        <v>188.58991899580863</v>
      </c>
      <c r="Q164" s="397"/>
      <c r="R164" s="1763"/>
      <c r="S164" s="1843"/>
      <c r="T164" s="1846"/>
      <c r="U164" s="1849"/>
      <c r="V164" s="1852"/>
      <c r="W164" s="1855"/>
      <c r="X164" s="1858"/>
      <c r="Y164" s="1873"/>
      <c r="Z164" s="1876"/>
    </row>
    <row r="165" spans="1:26" ht="15.75" hidden="1" x14ac:dyDescent="0.25">
      <c r="A165" s="2294"/>
      <c r="B165" s="1656"/>
      <c r="C165" s="543" t="s">
        <v>136</v>
      </c>
      <c r="D165" s="2359"/>
      <c r="E165" s="616">
        <f>'[1]exchange rates'!$M$48</f>
        <v>0.92093999999999998</v>
      </c>
      <c r="F165" s="549">
        <f>37.14/E165</f>
        <v>40.328360153755945</v>
      </c>
      <c r="G165" s="550">
        <f>78.71/E165</f>
        <v>85.467022824505392</v>
      </c>
      <c r="H165" s="551">
        <v>0</v>
      </c>
      <c r="I165" s="566">
        <f>Tabel66891019283234[[#This Row],[Fix.ch. 2015]]+Tabel66891019283234[[#This Row],[Var. ch. 2015]]+Tabel66891019283234[[#This Row],[Oth. ch. DW 2015]]</f>
        <v>125.79538297826133</v>
      </c>
      <c r="J165" s="567">
        <v>0</v>
      </c>
      <c r="K165" s="568">
        <f>93.64/E165</f>
        <v>101.67871956913588</v>
      </c>
      <c r="L165" s="568"/>
      <c r="M165" s="568"/>
      <c r="N165" s="569">
        <f>4.73/E165</f>
        <v>5.1360566377831356</v>
      </c>
      <c r="O165" s="1271">
        <f>7.23/E165</f>
        <v>7.8506743110300352</v>
      </c>
      <c r="P165" s="1496">
        <f>Tabel66891019283234[[#This Row],[Total. ch. DW 2015]]+Tabel66891019283234[[#This Row],[Sew. 2015]]+Tabel66891019283234[[#This Row],[WW 2015]]+Tabel66891019283234[[#This Row],[Other ch. 2015]]+Tabel66891019283234[[#This Row],[VAT 2015]]</f>
        <v>240.46083349621037</v>
      </c>
      <c r="Q165" s="397"/>
      <c r="R165" s="1886"/>
      <c r="S165" s="2159"/>
      <c r="T165" s="2160"/>
      <c r="U165" s="2141"/>
      <c r="V165" s="2142"/>
      <c r="W165" s="2143"/>
      <c r="X165" s="2144"/>
      <c r="Y165" s="2145"/>
      <c r="Z165" s="2146"/>
    </row>
    <row r="166" spans="1:26" ht="15.75" hidden="1" x14ac:dyDescent="0.25">
      <c r="A166" s="2294"/>
      <c r="B166" s="1656"/>
      <c r="C166" s="543" t="s">
        <v>137</v>
      </c>
      <c r="D166" s="2359"/>
      <c r="E166" s="616">
        <f>'[1]exchange rates'!$M$48</f>
        <v>0.92093999999999998</v>
      </c>
      <c r="F166" s="549">
        <f>56.28/E166</f>
        <v>61.111473060134216</v>
      </c>
      <c r="G166" s="550">
        <f>55/E166</f>
        <v>59.721588811431801</v>
      </c>
      <c r="H166" s="551">
        <v>0</v>
      </c>
      <c r="I166" s="566">
        <f>Tabel66891019283234[[#This Row],[Fix.ch. 2015]]+Tabel66891019283234[[#This Row],[Var. ch. 2015]]+Tabel66891019283234[[#This Row],[Oth. ch. DW 2015]]</f>
        <v>120.83306187156602</v>
      </c>
      <c r="J166" s="567">
        <v>0</v>
      </c>
      <c r="K166" s="568">
        <f>95.32/E166</f>
        <v>103.50294264555779</v>
      </c>
      <c r="L166" s="568"/>
      <c r="M166" s="568"/>
      <c r="N166" s="569">
        <f>3.06/E166</f>
        <v>3.3226920320542055</v>
      </c>
      <c r="O166" s="1271">
        <f>12.58/E166</f>
        <v>13.659956131778401</v>
      </c>
      <c r="P166" s="1496">
        <f>Tabel66891019283234[[#This Row],[Total. ch. DW 2015]]+Tabel66891019283234[[#This Row],[Sew. 2015]]+Tabel66891019283234[[#This Row],[WW 2015]]+Tabel66891019283234[[#This Row],[Other ch. 2015]]+Tabel66891019283234[[#This Row],[VAT 2015]]</f>
        <v>241.3186526809564</v>
      </c>
      <c r="Q166" s="397"/>
      <c r="R166" s="1886"/>
      <c r="S166" s="2159"/>
      <c r="T166" s="2160"/>
      <c r="U166" s="2141"/>
      <c r="V166" s="2142"/>
      <c r="W166" s="2143"/>
      <c r="X166" s="2144"/>
      <c r="Y166" s="2145"/>
      <c r="Z166" s="2146"/>
    </row>
    <row r="167" spans="1:26" ht="15.75" hidden="1" x14ac:dyDescent="0.25">
      <c r="A167" s="2294"/>
      <c r="B167" s="1656"/>
      <c r="C167" s="543" t="s">
        <v>138</v>
      </c>
      <c r="D167" s="2359"/>
      <c r="E167" s="616">
        <f>'[1]exchange rates'!$M$48</f>
        <v>0.92093999999999998</v>
      </c>
      <c r="F167" s="549">
        <f>46.74/E167</f>
        <v>50.752492019024046</v>
      </c>
      <c r="G167" s="550">
        <f>65.33/E167</f>
        <v>70.93838903728799</v>
      </c>
      <c r="H167" s="551">
        <v>0</v>
      </c>
      <c r="I167" s="566">
        <f>Tabel66891019283234[[#This Row],[Fix.ch. 2015]]+Tabel66891019283234[[#This Row],[Var. ch. 2015]]+Tabel66891019283234[[#This Row],[Oth. ch. DW 2015]]</f>
        <v>121.69088105631204</v>
      </c>
      <c r="J167" s="567">
        <v>0</v>
      </c>
      <c r="K167" s="568">
        <f>82.46/E167</f>
        <v>89.538949334375744</v>
      </c>
      <c r="L167" s="568"/>
      <c r="M167" s="568"/>
      <c r="N167" s="569">
        <f>4.1/E167</f>
        <v>4.4519729841249154</v>
      </c>
      <c r="O167" s="1271">
        <f>11.92/E167</f>
        <v>12.943297066041218</v>
      </c>
      <c r="P167" s="1496">
        <f>Tabel66891019283234[[#This Row],[Total. ch. DW 2015]]+Tabel66891019283234[[#This Row],[Sew. 2015]]+Tabel66891019283234[[#This Row],[WW 2015]]+Tabel66891019283234[[#This Row],[Other ch. 2015]]+Tabel66891019283234[[#This Row],[VAT 2015]]</f>
        <v>228.62510044085391</v>
      </c>
      <c r="Q167" s="397"/>
      <c r="R167" s="1886"/>
      <c r="S167" s="2159"/>
      <c r="T167" s="2160"/>
      <c r="U167" s="2141"/>
      <c r="V167" s="2142"/>
      <c r="W167" s="2143"/>
      <c r="X167" s="2144"/>
      <c r="Y167" s="2145"/>
      <c r="Z167" s="2146"/>
    </row>
    <row r="168" spans="1:26" ht="16.5" hidden="1" thickBot="1" x14ac:dyDescent="0.3">
      <c r="A168" s="2295"/>
      <c r="B168" s="1656"/>
      <c r="C168" s="543" t="s">
        <v>139</v>
      </c>
      <c r="D168" s="2349"/>
      <c r="E168" s="616">
        <f>'[1]exchange rates'!$M$48</f>
        <v>0.92093999999999998</v>
      </c>
      <c r="F168" s="549">
        <f>32.75/E168</f>
        <v>35.561491519534393</v>
      </c>
      <c r="G168" s="550">
        <f>52.9/E168</f>
        <v>57.441309965904402</v>
      </c>
      <c r="H168" s="551">
        <v>0</v>
      </c>
      <c r="I168" s="566">
        <f>Tabel66891019283234[[#This Row],[Fix.ch. 2015]]+Tabel66891019283234[[#This Row],[Var. ch. 2015]]+Tabel66891019283234[[#This Row],[Oth. ch. DW 2015]]</f>
        <v>93.002801485438795</v>
      </c>
      <c r="J168" s="567">
        <f>0</f>
        <v>0</v>
      </c>
      <c r="K168" s="568">
        <f>92.57/E168</f>
        <v>100.51686320498621</v>
      </c>
      <c r="L168" s="568"/>
      <c r="M168" s="568"/>
      <c r="N168" s="569">
        <f>2.9/E168</f>
        <v>3.148956500966404</v>
      </c>
      <c r="O168" s="1271">
        <f>10.87/E168</f>
        <v>11.803157643277521</v>
      </c>
      <c r="P168" s="1496">
        <f>Tabel66891019283234[[#This Row],[Total. ch. DW 2015]]+Tabel66891019283234[[#This Row],[Sew. 2015]]+Tabel66891019283234[[#This Row],[WW 2015]]+Tabel66891019283234[[#This Row],[Other ch. 2015]]+Tabel66891019283234[[#This Row],[VAT 2015]]</f>
        <v>208.47177883466892</v>
      </c>
      <c r="Q168" s="397"/>
      <c r="R168" s="1764"/>
      <c r="S168" s="2225"/>
      <c r="T168" s="2227"/>
      <c r="U168" s="2234"/>
      <c r="V168" s="2236"/>
      <c r="W168" s="2238"/>
      <c r="X168" s="2240"/>
      <c r="Y168" s="2242"/>
      <c r="Z168" s="2244"/>
    </row>
    <row r="169" spans="1:26" ht="15.75" hidden="1" customHeight="1" x14ac:dyDescent="0.25">
      <c r="A169" s="2367" t="s">
        <v>40</v>
      </c>
      <c r="B169" s="1651"/>
      <c r="C169" s="502" t="s">
        <v>1351</v>
      </c>
      <c r="D169" s="2347">
        <v>20600</v>
      </c>
      <c r="E169" s="616">
        <f>'[1]exchange rates'!$M$49</f>
        <v>4.1749499999999999</v>
      </c>
      <c r="F169" s="319"/>
      <c r="G169" s="320"/>
      <c r="H169" s="321"/>
      <c r="I169" s="313"/>
      <c r="J169" s="322"/>
      <c r="K169" s="323"/>
      <c r="L169" s="323"/>
      <c r="M169" s="323"/>
      <c r="N169" s="324"/>
      <c r="O169" s="1258"/>
      <c r="P169" s="1491"/>
      <c r="Q169" s="397"/>
      <c r="R169" s="2344">
        <f t="shared" ref="R169:W169" si="48">SUM(F169:F197)/20</f>
        <v>0</v>
      </c>
      <c r="S169" s="2345">
        <f t="shared" si="48"/>
        <v>67.988838189678916</v>
      </c>
      <c r="T169" s="2350">
        <f t="shared" si="48"/>
        <v>0</v>
      </c>
      <c r="U169" s="2340" t="e">
        <f t="shared" si="48"/>
        <v>#REF!</v>
      </c>
      <c r="V169" s="2351">
        <f t="shared" si="48"/>
        <v>0</v>
      </c>
      <c r="W169" s="2352">
        <f t="shared" si="48"/>
        <v>43.437645959831855</v>
      </c>
      <c r="X169" s="2341">
        <f t="shared" ref="X169:Z169" si="49">SUM(N169:N197)/20</f>
        <v>0</v>
      </c>
      <c r="Y169" s="2342">
        <f t="shared" si="49"/>
        <v>26.742356195882586</v>
      </c>
      <c r="Z169" s="2339" t="e">
        <f t="shared" si="49"/>
        <v>#REF!</v>
      </c>
    </row>
    <row r="170" spans="1:26" ht="15.75" hidden="1" customHeight="1" x14ac:dyDescent="0.25">
      <c r="A170" s="2368"/>
      <c r="B170" s="1651"/>
      <c r="C170" s="783" t="s">
        <v>188</v>
      </c>
      <c r="D170" s="2359"/>
      <c r="E170" s="616">
        <f>'[1]exchange rates'!$M$49</f>
        <v>4.1749499999999999</v>
      </c>
      <c r="F170" s="549">
        <v>0</v>
      </c>
      <c r="G170" s="550">
        <f>320/E170</f>
        <v>76.647624522449377</v>
      </c>
      <c r="H170" s="551">
        <v>0</v>
      </c>
      <c r="I170" s="566" t="e">
        <f>[1]!Tabel668910[[#This Row],[Fix.ch. 2015]]+[1]!Tabel668910[[#This Row],[Var. ch. 2015]]+[1]!Tabel668910[[#This Row],[Oth. ch. DW 2015]]</f>
        <v>#REF!</v>
      </c>
      <c r="J170" s="567">
        <v>0</v>
      </c>
      <c r="K170" s="568">
        <f>233/E170</f>
        <v>55.809051605408449</v>
      </c>
      <c r="L170" s="568"/>
      <c r="M170" s="568"/>
      <c r="N170" s="569">
        <v>0</v>
      </c>
      <c r="O170" s="1271">
        <f>132.72/E170</f>
        <v>31.789602270685876</v>
      </c>
      <c r="P170" s="1496" t="e">
        <f>[1]!Tabel668910[[#This Row],[Total. ch. DW 2015]]+[1]!Tabel668910[[#This Row],[Sew. 2015]]+[1]!Tabel668910[[#This Row],[WW 2015]]+[1]!Tabel668910[[#This Row],[Other ch. 2015]]+[1]!Tabel668910[[#This Row],[VAT 2015]]</f>
        <v>#REF!</v>
      </c>
      <c r="Q170" s="397"/>
      <c r="R170" s="1886"/>
      <c r="S170" s="1888"/>
      <c r="T170" s="1890"/>
      <c r="U170" s="1892"/>
      <c r="V170" s="1894"/>
      <c r="W170" s="1911"/>
      <c r="X170" s="1913"/>
      <c r="Y170" s="1915"/>
      <c r="Z170" s="1832"/>
    </row>
    <row r="171" spans="1:26" ht="15.75" hidden="1" customHeight="1" x14ac:dyDescent="0.25">
      <c r="A171" s="2368"/>
      <c r="B171" s="1651"/>
      <c r="C171" s="502" t="s">
        <v>189</v>
      </c>
      <c r="D171" s="2359"/>
      <c r="E171" s="616">
        <f>'[1]exchange rates'!$M$49</f>
        <v>4.1749499999999999</v>
      </c>
      <c r="F171" s="549"/>
      <c r="G171" s="550"/>
      <c r="H171" s="551"/>
      <c r="I171" s="566"/>
      <c r="J171" s="567"/>
      <c r="K171" s="568"/>
      <c r="L171" s="568"/>
      <c r="M171" s="568"/>
      <c r="N171" s="569"/>
      <c r="O171" s="1271"/>
      <c r="P171" s="1496"/>
      <c r="Q171" s="397"/>
      <c r="R171" s="1886"/>
      <c r="S171" s="1888"/>
      <c r="T171" s="1890"/>
      <c r="U171" s="1892"/>
      <c r="V171" s="1894"/>
      <c r="W171" s="1911"/>
      <c r="X171" s="1913"/>
      <c r="Y171" s="1915"/>
      <c r="Z171" s="1832"/>
    </row>
    <row r="172" spans="1:26" ht="15.75" hidden="1" customHeight="1" x14ac:dyDescent="0.25">
      <c r="A172" s="2368"/>
      <c r="B172" s="1651"/>
      <c r="C172" s="783" t="s">
        <v>190</v>
      </c>
      <c r="D172" s="2359"/>
      <c r="E172" s="616">
        <f>'[1]exchange rates'!$M$49</f>
        <v>4.1749499999999999</v>
      </c>
      <c r="F172" s="549">
        <v>0</v>
      </c>
      <c r="G172" s="550">
        <f>352/E172</f>
        <v>84.312386974694306</v>
      </c>
      <c r="H172" s="551">
        <v>0</v>
      </c>
      <c r="I172" s="566" t="e">
        <f>[1]!Tabel668910[[#This Row],[Fix.ch. 2015]]+[1]!Tabel668910[[#This Row],[Var. ch. 2015]]+[1]!Tabel668910[[#This Row],[Oth. ch. DW 2015]]</f>
        <v>#REF!</v>
      </c>
      <c r="J172" s="567">
        <v>0</v>
      </c>
      <c r="K172" s="568">
        <f>243/E172</f>
        <v>58.204289871734993</v>
      </c>
      <c r="L172" s="568"/>
      <c r="M172" s="568"/>
      <c r="N172" s="569">
        <v>0</v>
      </c>
      <c r="O172" s="1271">
        <f>142.8/E172</f>
        <v>34.204002443143033</v>
      </c>
      <c r="P172" s="1496" t="e">
        <f>[1]!Tabel668910[[#This Row],[Total. ch. DW 2015]]+[1]!Tabel668910[[#This Row],[Sew. 2015]]+[1]!Tabel668910[[#This Row],[WW 2015]]+[1]!Tabel668910[[#This Row],[Other ch. 2015]]+[1]!Tabel668910[[#This Row],[VAT 2015]]</f>
        <v>#REF!</v>
      </c>
      <c r="Q172" s="397"/>
      <c r="R172" s="1886"/>
      <c r="S172" s="1888"/>
      <c r="T172" s="1890"/>
      <c r="U172" s="1892"/>
      <c r="V172" s="1894"/>
      <c r="W172" s="1911"/>
      <c r="X172" s="1913"/>
      <c r="Y172" s="1915"/>
      <c r="Z172" s="1832"/>
    </row>
    <row r="173" spans="1:26" ht="15.75" hidden="1" customHeight="1" x14ac:dyDescent="0.25">
      <c r="A173" s="2368"/>
      <c r="B173" s="1651"/>
      <c r="C173" s="1289" t="s">
        <v>191</v>
      </c>
      <c r="D173" s="2359"/>
      <c r="E173" s="616">
        <f>'[1]exchange rates'!$M$49</f>
        <v>4.1749499999999999</v>
      </c>
      <c r="F173" s="549"/>
      <c r="G173" s="550"/>
      <c r="H173" s="551"/>
      <c r="I173" s="566"/>
      <c r="J173" s="567"/>
      <c r="K173" s="568"/>
      <c r="L173" s="568"/>
      <c r="M173" s="568"/>
      <c r="N173" s="569"/>
      <c r="O173" s="1271"/>
      <c r="P173" s="1496"/>
      <c r="Q173" s="397"/>
      <c r="R173" s="1886"/>
      <c r="S173" s="1888"/>
      <c r="T173" s="1890"/>
      <c r="U173" s="1892"/>
      <c r="V173" s="1894"/>
      <c r="W173" s="1911"/>
      <c r="X173" s="1913"/>
      <c r="Y173" s="1915"/>
      <c r="Z173" s="1832"/>
    </row>
    <row r="174" spans="1:26" ht="15.75" hidden="1" customHeight="1" x14ac:dyDescent="0.25">
      <c r="A174" s="2368"/>
      <c r="B174" s="1651"/>
      <c r="C174" s="1289" t="s">
        <v>218</v>
      </c>
      <c r="D174" s="2359"/>
      <c r="E174" s="616">
        <f>'[1]exchange rates'!$M$49</f>
        <v>4.1749499999999999</v>
      </c>
      <c r="F174" s="549"/>
      <c r="G174" s="550"/>
      <c r="H174" s="551"/>
      <c r="I174" s="566"/>
      <c r="J174" s="567"/>
      <c r="K174" s="568"/>
      <c r="L174" s="568"/>
      <c r="M174" s="568"/>
      <c r="N174" s="569"/>
      <c r="O174" s="1271"/>
      <c r="P174" s="1496"/>
      <c r="Q174" s="397"/>
      <c r="R174" s="1886"/>
      <c r="S174" s="1888"/>
      <c r="T174" s="1890"/>
      <c r="U174" s="1892"/>
      <c r="V174" s="1894"/>
      <c r="W174" s="1911"/>
      <c r="X174" s="1913"/>
      <c r="Y174" s="1915"/>
      <c r="Z174" s="1832"/>
    </row>
    <row r="175" spans="1:26" ht="16.5" hidden="1" customHeight="1" x14ac:dyDescent="0.25">
      <c r="A175" s="2368"/>
      <c r="B175" s="1651"/>
      <c r="C175" s="633" t="s">
        <v>219</v>
      </c>
      <c r="D175" s="2359"/>
      <c r="E175" s="616">
        <f>'[1]exchange rates'!$M$49</f>
        <v>4.1749499999999999</v>
      </c>
      <c r="F175" s="549">
        <v>0</v>
      </c>
      <c r="G175" s="550">
        <f>278/E175</f>
        <v>66.587623803877889</v>
      </c>
      <c r="H175" s="551">
        <v>0</v>
      </c>
      <c r="I175" s="566" t="e">
        <f>[1]!Tabel668910[[#This Row],[Fix.ch. 2015]]+[1]!Tabel668910[[#This Row],[Var. ch. 2015]]+[1]!Tabel668910[[#This Row],[Oth. ch. DW 2015]]</f>
        <v>#REF!</v>
      </c>
      <c r="J175" s="567">
        <v>0</v>
      </c>
      <c r="K175" s="568">
        <f>184/E175</f>
        <v>44.072384100408392</v>
      </c>
      <c r="L175" s="568"/>
      <c r="M175" s="568"/>
      <c r="N175" s="569">
        <v>0</v>
      </c>
      <c r="O175" s="1271">
        <f>110.88/E175</f>
        <v>26.558401897028705</v>
      </c>
      <c r="P175" s="1496" t="e">
        <f>[1]!Tabel668910[[#This Row],[Total. ch. DW 2015]]+[1]!Tabel668910[[#This Row],[Sew. 2015]]+[1]!Tabel668910[[#This Row],[WW 2015]]+[1]!Tabel668910[[#This Row],[Other ch. 2015]]+[1]!Tabel668910[[#This Row],[VAT 2015]]</f>
        <v>#REF!</v>
      </c>
      <c r="Q175" s="397"/>
      <c r="R175" s="1886"/>
      <c r="S175" s="1888"/>
      <c r="T175" s="1890"/>
      <c r="U175" s="1892"/>
      <c r="V175" s="1894"/>
      <c r="W175" s="1911"/>
      <c r="X175" s="1913"/>
      <c r="Y175" s="1915"/>
      <c r="Z175" s="1832"/>
    </row>
    <row r="176" spans="1:26" ht="15.75" hidden="1" customHeight="1" x14ac:dyDescent="0.25">
      <c r="A176" s="2368"/>
      <c r="B176" s="1651"/>
      <c r="C176" s="633" t="s">
        <v>513</v>
      </c>
      <c r="D176" s="2359"/>
      <c r="E176" s="616">
        <f>'[1]exchange rates'!$M$49</f>
        <v>4.1749499999999999</v>
      </c>
      <c r="F176" s="549">
        <v>0</v>
      </c>
      <c r="G176" s="550">
        <f>369/E176</f>
        <v>88.384292027449433</v>
      </c>
      <c r="H176" s="551">
        <v>0</v>
      </c>
      <c r="I176" s="566" t="e">
        <f>[1]!Tabel668910[[#This Row],[Fix.ch. 2015]]+[1]!Tabel668910[[#This Row],[Var. ch. 2015]]+[1]!Tabel668910[[#This Row],[Oth. ch. DW 2015]]</f>
        <v>#REF!</v>
      </c>
      <c r="J176" s="567">
        <v>0</v>
      </c>
      <c r="K176" s="568">
        <f>332/E176</f>
        <v>79.521910442041218</v>
      </c>
      <c r="L176" s="568"/>
      <c r="M176" s="568"/>
      <c r="N176" s="569">
        <v>0</v>
      </c>
      <c r="O176" s="1271">
        <f>168.24/E176</f>
        <v>40.297488592677759</v>
      </c>
      <c r="P176" s="1496" t="e">
        <f>[1]!Tabel668910[[#This Row],[Total. ch. DW 2015]]+[1]!Tabel668910[[#This Row],[Sew. 2015]]+[1]!Tabel668910[[#This Row],[WW 2015]]+[1]!Tabel668910[[#This Row],[Other ch. 2015]]+[1]!Tabel668910[[#This Row],[VAT 2015]]</f>
        <v>#REF!</v>
      </c>
      <c r="Q176" s="397"/>
      <c r="R176" s="1886"/>
      <c r="S176" s="1888"/>
      <c r="T176" s="1890"/>
      <c r="U176" s="1892"/>
      <c r="V176" s="1894"/>
      <c r="W176" s="1911"/>
      <c r="X176" s="1913"/>
      <c r="Y176" s="1915"/>
      <c r="Z176" s="1832"/>
    </row>
    <row r="177" spans="1:26" ht="15.75" hidden="1" customHeight="1" x14ac:dyDescent="0.25">
      <c r="A177" s="2368"/>
      <c r="B177" s="1651"/>
      <c r="C177" s="503" t="s">
        <v>514</v>
      </c>
      <c r="D177" s="2359"/>
      <c r="E177" s="616">
        <f>'[1]exchange rates'!$M$49</f>
        <v>4.1749499999999999</v>
      </c>
      <c r="F177" s="549"/>
      <c r="G177" s="550"/>
      <c r="H177" s="551"/>
      <c r="I177" s="566"/>
      <c r="J177" s="567"/>
      <c r="K177" s="568"/>
      <c r="L177" s="568"/>
      <c r="M177" s="568"/>
      <c r="N177" s="569"/>
      <c r="O177" s="1271"/>
      <c r="P177" s="1496"/>
      <c r="Q177" s="397"/>
      <c r="R177" s="1886"/>
      <c r="S177" s="1888"/>
      <c r="T177" s="1890"/>
      <c r="U177" s="1892"/>
      <c r="V177" s="1894"/>
      <c r="W177" s="1911"/>
      <c r="X177" s="1913"/>
      <c r="Y177" s="1915"/>
      <c r="Z177" s="1832"/>
    </row>
    <row r="178" spans="1:26" ht="15.75" hidden="1" customHeight="1" x14ac:dyDescent="0.25">
      <c r="A178" s="2368"/>
      <c r="B178" s="1651"/>
      <c r="C178" s="503" t="s">
        <v>515</v>
      </c>
      <c r="D178" s="2359"/>
      <c r="E178" s="616">
        <f>'[1]exchange rates'!$M$49</f>
        <v>4.1749499999999999</v>
      </c>
      <c r="F178" s="549"/>
      <c r="G178" s="550"/>
      <c r="H178" s="551"/>
      <c r="I178" s="566"/>
      <c r="J178" s="567"/>
      <c r="K178" s="568"/>
      <c r="L178" s="568"/>
      <c r="M178" s="568"/>
      <c r="N178" s="569"/>
      <c r="O178" s="1271"/>
      <c r="P178" s="1496"/>
      <c r="Q178" s="397"/>
      <c r="R178" s="1886"/>
      <c r="S178" s="1888"/>
      <c r="T178" s="1890"/>
      <c r="U178" s="1892"/>
      <c r="V178" s="1894"/>
      <c r="W178" s="1911"/>
      <c r="X178" s="1913"/>
      <c r="Y178" s="1915"/>
      <c r="Z178" s="1832"/>
    </row>
    <row r="179" spans="1:26" ht="15.75" hidden="1" customHeight="1" x14ac:dyDescent="0.25">
      <c r="A179" s="2368"/>
      <c r="B179" s="1651"/>
      <c r="C179" s="633" t="s">
        <v>516</v>
      </c>
      <c r="D179" s="2359"/>
      <c r="E179" s="616">
        <f>'[1]exchange rates'!$M$49</f>
        <v>4.1749499999999999</v>
      </c>
      <c r="F179" s="549">
        <v>0</v>
      </c>
      <c r="G179" s="550">
        <f>440/E179</f>
        <v>105.39048371836789</v>
      </c>
      <c r="H179" s="551">
        <v>0</v>
      </c>
      <c r="I179" s="566" t="e">
        <f>[1]!Tabel668910[[#This Row],[Fix.ch. 2015]]+[1]!Tabel668910[[#This Row],[Var. ch. 2015]]+[1]!Tabel668910[[#This Row],[Oth. ch. DW 2015]]</f>
        <v>#REF!</v>
      </c>
      <c r="J179" s="567">
        <v>0</v>
      </c>
      <c r="K179" s="568">
        <f>251/E179</f>
        <v>60.120480484796225</v>
      </c>
      <c r="L179" s="568"/>
      <c r="M179" s="568"/>
      <c r="N179" s="569">
        <v>0</v>
      </c>
      <c r="O179" s="1271">
        <f>165.84/E179</f>
        <v>39.722631408759391</v>
      </c>
      <c r="P179" s="1496" t="e">
        <f>[1]!Tabel668910[[#This Row],[Total. ch. DW 2015]]+[1]!Tabel668910[[#This Row],[Sew. 2015]]+[1]!Tabel668910[[#This Row],[WW 2015]]+[1]!Tabel668910[[#This Row],[Other ch. 2015]]+[1]!Tabel668910[[#This Row],[VAT 2015]]</f>
        <v>#REF!</v>
      </c>
      <c r="Q179" s="397"/>
      <c r="R179" s="1886"/>
      <c r="S179" s="1888"/>
      <c r="T179" s="1890"/>
      <c r="U179" s="1892"/>
      <c r="V179" s="1894"/>
      <c r="W179" s="1911"/>
      <c r="X179" s="1913"/>
      <c r="Y179" s="1915"/>
      <c r="Z179" s="1832"/>
    </row>
    <row r="180" spans="1:26" ht="15.75" hidden="1" customHeight="1" x14ac:dyDescent="0.25">
      <c r="A180" s="2368"/>
      <c r="B180" s="1651"/>
      <c r="C180" s="503" t="s">
        <v>1352</v>
      </c>
      <c r="D180" s="2359"/>
      <c r="E180" s="616">
        <f>'[1]exchange rates'!$M$49</f>
        <v>4.1749499999999999</v>
      </c>
      <c r="F180" s="549"/>
      <c r="G180" s="550"/>
      <c r="H180" s="551"/>
      <c r="I180" s="566"/>
      <c r="J180" s="567"/>
      <c r="K180" s="568"/>
      <c r="L180" s="568"/>
      <c r="M180" s="568"/>
      <c r="N180" s="569"/>
      <c r="O180" s="1271"/>
      <c r="P180" s="1496"/>
      <c r="Q180" s="397"/>
      <c r="R180" s="1886"/>
      <c r="S180" s="1888"/>
      <c r="T180" s="1890"/>
      <c r="U180" s="1892"/>
      <c r="V180" s="1894"/>
      <c r="W180" s="1911"/>
      <c r="X180" s="1913"/>
      <c r="Y180" s="1915"/>
      <c r="Z180" s="1832"/>
    </row>
    <row r="181" spans="1:26" ht="15.75" hidden="1" customHeight="1" x14ac:dyDescent="0.25">
      <c r="A181" s="2368"/>
      <c r="B181" s="1651"/>
      <c r="C181" s="503" t="s">
        <v>517</v>
      </c>
      <c r="D181" s="2359"/>
      <c r="E181" s="616">
        <f>'[1]exchange rates'!$M$49</f>
        <v>4.1749499999999999</v>
      </c>
      <c r="F181" s="549"/>
      <c r="G181" s="550"/>
      <c r="H181" s="551"/>
      <c r="I181" s="566"/>
      <c r="J181" s="567"/>
      <c r="K181" s="568"/>
      <c r="L181" s="568"/>
      <c r="M181" s="568"/>
      <c r="N181" s="569"/>
      <c r="O181" s="1271"/>
      <c r="P181" s="1496"/>
      <c r="Q181" s="397"/>
      <c r="R181" s="1886"/>
      <c r="S181" s="1888"/>
      <c r="T181" s="1890"/>
      <c r="U181" s="1892"/>
      <c r="V181" s="1894"/>
      <c r="W181" s="1911"/>
      <c r="X181" s="1913"/>
      <c r="Y181" s="1915"/>
      <c r="Z181" s="1832"/>
    </row>
    <row r="182" spans="1:26" ht="15.75" hidden="1" customHeight="1" x14ac:dyDescent="0.25">
      <c r="A182" s="2368"/>
      <c r="B182" s="1651"/>
      <c r="C182" s="503" t="s">
        <v>518</v>
      </c>
      <c r="D182" s="2359"/>
      <c r="E182" s="616">
        <f>'[1]exchange rates'!$M$49</f>
        <v>4.1749499999999999</v>
      </c>
      <c r="F182" s="549"/>
      <c r="G182" s="550"/>
      <c r="H182" s="551"/>
      <c r="I182" s="566"/>
      <c r="J182" s="567"/>
      <c r="K182" s="568"/>
      <c r="L182" s="568"/>
      <c r="M182" s="568"/>
      <c r="N182" s="569"/>
      <c r="O182" s="1271"/>
      <c r="P182" s="1496"/>
      <c r="Q182" s="397"/>
      <c r="R182" s="1886"/>
      <c r="S182" s="1888"/>
      <c r="T182" s="1890"/>
      <c r="U182" s="1892"/>
      <c r="V182" s="1894"/>
      <c r="W182" s="1911"/>
      <c r="X182" s="1913"/>
      <c r="Y182" s="1915"/>
      <c r="Z182" s="1832"/>
    </row>
    <row r="183" spans="1:26" ht="15.75" hidden="1" customHeight="1" x14ac:dyDescent="0.25">
      <c r="A183" s="2368"/>
      <c r="B183" s="1651"/>
      <c r="C183" s="503" t="s">
        <v>519</v>
      </c>
      <c r="D183" s="2359"/>
      <c r="E183" s="616">
        <f>'[1]exchange rates'!$M$49</f>
        <v>4.1749499999999999</v>
      </c>
      <c r="F183" s="549"/>
      <c r="G183" s="550"/>
      <c r="H183" s="551"/>
      <c r="I183" s="566"/>
      <c r="J183" s="567"/>
      <c r="K183" s="568"/>
      <c r="L183" s="568"/>
      <c r="M183" s="568"/>
      <c r="N183" s="569"/>
      <c r="O183" s="1271"/>
      <c r="P183" s="1496"/>
      <c r="Q183" s="397"/>
      <c r="R183" s="1886"/>
      <c r="S183" s="1888"/>
      <c r="T183" s="1890"/>
      <c r="U183" s="1892"/>
      <c r="V183" s="1894"/>
      <c r="W183" s="1911"/>
      <c r="X183" s="1913"/>
      <c r="Y183" s="1915"/>
      <c r="Z183" s="1832"/>
    </row>
    <row r="184" spans="1:26" ht="15.75" hidden="1" customHeight="1" x14ac:dyDescent="0.25">
      <c r="A184" s="2368"/>
      <c r="B184" s="1651"/>
      <c r="C184" s="503" t="s">
        <v>596</v>
      </c>
      <c r="D184" s="2359"/>
      <c r="E184" s="616">
        <f>'[1]exchange rates'!$M$49</f>
        <v>4.1749499999999999</v>
      </c>
      <c r="F184" s="549"/>
      <c r="G184" s="550"/>
      <c r="H184" s="551"/>
      <c r="I184" s="566"/>
      <c r="J184" s="567"/>
      <c r="K184" s="568"/>
      <c r="L184" s="568"/>
      <c r="M184" s="568"/>
      <c r="N184" s="569"/>
      <c r="O184" s="1271"/>
      <c r="P184" s="1496"/>
      <c r="Q184" s="397"/>
      <c r="R184" s="1886"/>
      <c r="S184" s="1888"/>
      <c r="T184" s="1890"/>
      <c r="U184" s="1892"/>
      <c r="V184" s="1894"/>
      <c r="W184" s="1911"/>
      <c r="X184" s="1913"/>
      <c r="Y184" s="1915"/>
      <c r="Z184" s="1832"/>
    </row>
    <row r="185" spans="1:26" ht="15.75" hidden="1" customHeight="1" x14ac:dyDescent="0.25">
      <c r="A185" s="2368"/>
      <c r="B185" s="1651"/>
      <c r="C185" s="633" t="s">
        <v>1353</v>
      </c>
      <c r="D185" s="2359"/>
      <c r="E185" s="616">
        <f>'[1]exchange rates'!$M$49</f>
        <v>4.1749499999999999</v>
      </c>
      <c r="F185" s="549">
        <v>0</v>
      </c>
      <c r="G185" s="550">
        <f>311/E185</f>
        <v>74.491910082755481</v>
      </c>
      <c r="H185" s="551">
        <v>0</v>
      </c>
      <c r="I185" s="566" t="e">
        <f>[1]!Tabel668910[[#This Row],[Fix.ch. 2015]]+[1]!Tabel668910[[#This Row],[Var. ch. 2015]]+[1]!Tabel668910[[#This Row],[Oth. ch. DW 2015]]</f>
        <v>#REF!</v>
      </c>
      <c r="J185" s="567">
        <v>0</v>
      </c>
      <c r="K185" s="568">
        <f>124/E185</f>
        <v>29.700954502449132</v>
      </c>
      <c r="L185" s="568"/>
      <c r="M185" s="568"/>
      <c r="N185" s="569">
        <v>0</v>
      </c>
      <c r="O185" s="1271">
        <f>104.4/E185</f>
        <v>25.006287500449108</v>
      </c>
      <c r="P185" s="1496" t="e">
        <f>[1]!Tabel668910[[#This Row],[Total. ch. DW 2015]]+[1]!Tabel668910[[#This Row],[Sew. 2015]]+[1]!Tabel668910[[#This Row],[WW 2015]]+[1]!Tabel668910[[#This Row],[Other ch. 2015]]+[1]!Tabel668910[[#This Row],[VAT 2015]]</f>
        <v>#REF!</v>
      </c>
      <c r="Q185" s="397"/>
      <c r="R185" s="1886"/>
      <c r="S185" s="1888"/>
      <c r="T185" s="1890"/>
      <c r="U185" s="1892"/>
      <c r="V185" s="1894"/>
      <c r="W185" s="1911"/>
      <c r="X185" s="1913"/>
      <c r="Y185" s="1915"/>
      <c r="Z185" s="1832"/>
    </row>
    <row r="186" spans="1:26" ht="16.5" hidden="1" customHeight="1" x14ac:dyDescent="0.25">
      <c r="A186" s="2368"/>
      <c r="B186" s="1651"/>
      <c r="C186" s="633" t="s">
        <v>520</v>
      </c>
      <c r="D186" s="2359"/>
      <c r="E186" s="616">
        <f>'[1]exchange rates'!$M$49</f>
        <v>4.1749499999999999</v>
      </c>
      <c r="F186" s="549">
        <v>0</v>
      </c>
      <c r="G186" s="550">
        <f>319/E186</f>
        <v>76.408100695816714</v>
      </c>
      <c r="H186" s="551">
        <v>0</v>
      </c>
      <c r="I186" s="566" t="e">
        <f>[1]!Tabel668910[[#This Row],[Fix.ch. 2015]]+[1]!Tabel668910[[#This Row],[Var. ch. 2015]]+[1]!Tabel668910[[#This Row],[Oth. ch. DW 2015]]</f>
        <v>#REF!</v>
      </c>
      <c r="J186" s="567">
        <v>0</v>
      </c>
      <c r="K186" s="568">
        <f>307/E186</f>
        <v>73.533814776224872</v>
      </c>
      <c r="L186" s="568"/>
      <c r="M186" s="568"/>
      <c r="N186" s="569">
        <v>0</v>
      </c>
      <c r="O186" s="1271">
        <f>150.24/E186</f>
        <v>35.986059713289983</v>
      </c>
      <c r="P186" s="1496" t="e">
        <f>[1]!Tabel668910[[#This Row],[Total. ch. DW 2015]]+[1]!Tabel668910[[#This Row],[Sew. 2015]]+[1]!Tabel668910[[#This Row],[WW 2015]]+[1]!Tabel668910[[#This Row],[Other ch. 2015]]+[1]!Tabel668910[[#This Row],[VAT 2015]]</f>
        <v>#REF!</v>
      </c>
      <c r="Q186" s="397"/>
      <c r="R186" s="1886"/>
      <c r="S186" s="1888"/>
      <c r="T186" s="1890"/>
      <c r="U186" s="1892"/>
      <c r="V186" s="1894"/>
      <c r="W186" s="1911"/>
      <c r="X186" s="1913"/>
      <c r="Y186" s="1915"/>
      <c r="Z186" s="1832"/>
    </row>
    <row r="187" spans="1:26" ht="15.75" hidden="1" x14ac:dyDescent="0.25">
      <c r="A187" s="2368"/>
      <c r="B187" s="1651"/>
      <c r="C187" s="633" t="s">
        <v>597</v>
      </c>
      <c r="D187" s="2359"/>
      <c r="E187" s="616">
        <f>'[1]exchange rates'!$M$49</f>
        <v>4.1749499999999999</v>
      </c>
      <c r="F187" s="549">
        <v>0</v>
      </c>
      <c r="G187" s="550">
        <f>351/E187</f>
        <v>84.072863148061657</v>
      </c>
      <c r="H187" s="551">
        <v>0</v>
      </c>
      <c r="I187" s="566" t="e">
        <f>[1]!Tabel668910[[#This Row],[Fix.ch. 2015]]+[1]!Tabel668910[[#This Row],[Var. ch. 2015]]+[1]!Tabel668910[[#This Row],[Oth. ch. DW 2015]]</f>
        <v>#REF!</v>
      </c>
      <c r="J187" s="567">
        <v>0</v>
      </c>
      <c r="K187" s="568">
        <f>253/E187</f>
        <v>60.599528138061537</v>
      </c>
      <c r="L187" s="568"/>
      <c r="M187" s="568"/>
      <c r="N187" s="569">
        <v>0</v>
      </c>
      <c r="O187" s="1271">
        <f>144.96/E187</f>
        <v>34.72137390866957</v>
      </c>
      <c r="P187" s="1496" t="e">
        <f>[1]!Tabel668910[[#This Row],[Total. ch. DW 2015]]+[1]!Tabel668910[[#This Row],[Sew. 2015]]+[1]!Tabel668910[[#This Row],[WW 2015]]+[1]!Tabel668910[[#This Row],[Other ch. 2015]]+[1]!Tabel668910[[#This Row],[VAT 2015]]</f>
        <v>#REF!</v>
      </c>
      <c r="Q187" s="397"/>
      <c r="R187" s="1886"/>
      <c r="S187" s="1888"/>
      <c r="T187" s="1890"/>
      <c r="U187" s="1892"/>
      <c r="V187" s="1894"/>
      <c r="W187" s="1911"/>
      <c r="X187" s="1913"/>
      <c r="Y187" s="1915"/>
      <c r="Z187" s="1832"/>
    </row>
    <row r="188" spans="1:26" ht="15.75" hidden="1" x14ac:dyDescent="0.25">
      <c r="A188" s="2368"/>
      <c r="B188" s="1651"/>
      <c r="C188" s="633" t="s">
        <v>765</v>
      </c>
      <c r="D188" s="2359"/>
      <c r="E188" s="616">
        <f>'[1]exchange rates'!$M$49</f>
        <v>4.1749499999999999</v>
      </c>
      <c r="F188" s="549">
        <v>0</v>
      </c>
      <c r="G188" s="550">
        <f>309/E188</f>
        <v>74.01286242949017</v>
      </c>
      <c r="H188" s="551">
        <v>0</v>
      </c>
      <c r="I188" s="566" t="e">
        <f>[1]!Tabel668910[[#This Row],[Fix.ch. 2015]]+[1]!Tabel668910[[#This Row],[Var. ch. 2015]]+[1]!Tabel668910[[#This Row],[Oth. ch. DW 2015]]</f>
        <v>#REF!</v>
      </c>
      <c r="J188" s="567">
        <v>0</v>
      </c>
      <c r="K188" s="568">
        <f>257/E188</f>
        <v>61.557623444592153</v>
      </c>
      <c r="L188" s="568"/>
      <c r="M188" s="568"/>
      <c r="N188" s="569">
        <v>0</v>
      </c>
      <c r="O188" s="1271">
        <f>135.84/E188</f>
        <v>32.536916609779759</v>
      </c>
      <c r="P188" s="1496" t="e">
        <f>[1]!Tabel668910[[#This Row],[Total. ch. DW 2015]]+[1]!Tabel668910[[#This Row],[Sew. 2015]]+[1]!Tabel668910[[#This Row],[WW 2015]]+[1]!Tabel668910[[#This Row],[Other ch. 2015]]+[1]!Tabel668910[[#This Row],[VAT 2015]]</f>
        <v>#REF!</v>
      </c>
      <c r="Q188" s="397"/>
      <c r="R188" s="1886"/>
      <c r="S188" s="1888"/>
      <c r="T188" s="1890"/>
      <c r="U188" s="1892"/>
      <c r="V188" s="1894"/>
      <c r="W188" s="1911"/>
      <c r="X188" s="1913"/>
      <c r="Y188" s="1915"/>
      <c r="Z188" s="1832"/>
    </row>
    <row r="189" spans="1:26" ht="15.75" hidden="1" x14ac:dyDescent="0.25">
      <c r="A189" s="2368"/>
      <c r="B189" s="1651"/>
      <c r="C189" s="633" t="s">
        <v>1354</v>
      </c>
      <c r="D189" s="2359"/>
      <c r="E189" s="616">
        <f>'[1]exchange rates'!$M$49</f>
        <v>4.1749499999999999</v>
      </c>
      <c r="F189" s="549">
        <v>0</v>
      </c>
      <c r="G189" s="550">
        <f>459/E189</f>
        <v>109.94143642438831</v>
      </c>
      <c r="H189" s="551">
        <v>0</v>
      </c>
      <c r="I189" s="566" t="e">
        <f>[1]!Tabel668910[[#This Row],[Fix.ch. 2015]]+[1]!Tabel668910[[#This Row],[Var. ch. 2015]]+[1]!Tabel668910[[#This Row],[Oth. ch. DW 2015]]</f>
        <v>#REF!</v>
      </c>
      <c r="J189" s="567">
        <v>0</v>
      </c>
      <c r="K189" s="568">
        <f>102/E189</f>
        <v>24.431430316530736</v>
      </c>
      <c r="L189" s="568"/>
      <c r="M189" s="568"/>
      <c r="N189" s="569">
        <v>0</v>
      </c>
      <c r="O189" s="1271">
        <f>134.64/E189</f>
        <v>32.249488017820568</v>
      </c>
      <c r="P189" s="1496" t="e">
        <f>[1]!Tabel668910[[#This Row],[Total. ch. DW 2015]]+[1]!Tabel668910[[#This Row],[Sew. 2015]]+[1]!Tabel668910[[#This Row],[WW 2015]]+[1]!Tabel668910[[#This Row],[Other ch. 2015]]+[1]!Tabel668910[[#This Row],[VAT 2015]]</f>
        <v>#REF!</v>
      </c>
      <c r="Q189" s="397"/>
      <c r="R189" s="1886"/>
      <c r="S189" s="1888"/>
      <c r="T189" s="1890"/>
      <c r="U189" s="1892"/>
      <c r="V189" s="1894"/>
      <c r="W189" s="1911"/>
      <c r="X189" s="1913"/>
      <c r="Y189" s="1915"/>
      <c r="Z189" s="1832"/>
    </row>
    <row r="190" spans="1:26" ht="15.75" hidden="1" x14ac:dyDescent="0.25">
      <c r="A190" s="2368"/>
      <c r="B190" s="1651"/>
      <c r="C190" s="633" t="s">
        <v>766</v>
      </c>
      <c r="D190" s="2359"/>
      <c r="E190" s="616">
        <f>'[1]exchange rates'!$M$49</f>
        <v>4.1749499999999999</v>
      </c>
      <c r="F190" s="549">
        <v>0</v>
      </c>
      <c r="G190" s="550">
        <f>302/E190</f>
        <v>72.3361956430616</v>
      </c>
      <c r="H190" s="551">
        <v>0</v>
      </c>
      <c r="I190" s="566" t="e">
        <f>[1]!Tabel668910[[#This Row],[Fix.ch. 2015]]+[1]!Tabel668910[[#This Row],[Var. ch. 2015]]+[1]!Tabel668910[[#This Row],[Oth. ch. DW 2015]]</f>
        <v>#REF!</v>
      </c>
      <c r="J190" s="567">
        <v>0</v>
      </c>
      <c r="K190" s="568">
        <f>229/E190</f>
        <v>54.850956298877833</v>
      </c>
      <c r="L190" s="568"/>
      <c r="M190" s="568"/>
      <c r="N190" s="569">
        <v>0</v>
      </c>
      <c r="O190" s="1271">
        <f>127.44/E190</f>
        <v>30.524916466065463</v>
      </c>
      <c r="P190" s="1496" t="e">
        <f>[1]!Tabel668910[[#This Row],[Total. ch. DW 2015]]+[1]!Tabel668910[[#This Row],[Sew. 2015]]+[1]!Tabel668910[[#This Row],[WW 2015]]+[1]!Tabel668910[[#This Row],[Other ch. 2015]]+[1]!Tabel668910[[#This Row],[VAT 2015]]</f>
        <v>#REF!</v>
      </c>
      <c r="Q190" s="397"/>
      <c r="R190" s="1886"/>
      <c r="S190" s="1888"/>
      <c r="T190" s="1890"/>
      <c r="U190" s="1892"/>
      <c r="V190" s="1894"/>
      <c r="W190" s="1911"/>
      <c r="X190" s="1913"/>
      <c r="Y190" s="1915"/>
      <c r="Z190" s="1832"/>
    </row>
    <row r="191" spans="1:26" ht="15.75" hidden="1" x14ac:dyDescent="0.25">
      <c r="A191" s="2368"/>
      <c r="B191" s="1651"/>
      <c r="C191" s="633" t="s">
        <v>767</v>
      </c>
      <c r="D191" s="2359"/>
      <c r="E191" s="616">
        <f>'[1]exchange rates'!$M$49</f>
        <v>4.1749499999999999</v>
      </c>
      <c r="F191" s="549">
        <v>0</v>
      </c>
      <c r="G191" s="550">
        <f>270/E191</f>
        <v>64.671433190816657</v>
      </c>
      <c r="H191" s="551">
        <v>0</v>
      </c>
      <c r="I191" s="566" t="e">
        <f>[1]!Tabel668910[[#This Row],[Fix.ch. 2015]]+[1]!Tabel668910[[#This Row],[Var. ch. 2015]]+[1]!Tabel668910[[#This Row],[Oth. ch. DW 2015]]</f>
        <v>#REF!</v>
      </c>
      <c r="J191" s="567">
        <v>0</v>
      </c>
      <c r="K191" s="568">
        <f>254/E191</f>
        <v>60.839051964694185</v>
      </c>
      <c r="L191" s="568"/>
      <c r="M191" s="568"/>
      <c r="N191" s="569">
        <v>0</v>
      </c>
      <c r="O191" s="1271">
        <f>125.76/E191</f>
        <v>30.122516437322606</v>
      </c>
      <c r="P191" s="1496" t="e">
        <f>[1]!Tabel668910[[#This Row],[Total. ch. DW 2015]]+[1]!Tabel668910[[#This Row],[Sew. 2015]]+[1]!Tabel668910[[#This Row],[WW 2015]]+[1]!Tabel668910[[#This Row],[Other ch. 2015]]+[1]!Tabel668910[[#This Row],[VAT 2015]]</f>
        <v>#REF!</v>
      </c>
      <c r="Q191" s="397"/>
      <c r="R191" s="1886"/>
      <c r="S191" s="1888"/>
      <c r="T191" s="1890"/>
      <c r="U191" s="1892"/>
      <c r="V191" s="1894"/>
      <c r="W191" s="1911"/>
      <c r="X191" s="1913"/>
      <c r="Y191" s="1915"/>
      <c r="Z191" s="1832"/>
    </row>
    <row r="192" spans="1:26" ht="15.75" hidden="1" x14ac:dyDescent="0.25">
      <c r="A192" s="2368"/>
      <c r="B192" s="1651"/>
      <c r="C192" s="633" t="s">
        <v>768</v>
      </c>
      <c r="D192" s="2359"/>
      <c r="E192" s="616">
        <f>'[1]exchange rates'!$M$49</f>
        <v>4.1749499999999999</v>
      </c>
      <c r="F192" s="549">
        <v>0</v>
      </c>
      <c r="G192" s="550">
        <f>305/E192</f>
        <v>73.054767122959561</v>
      </c>
      <c r="H192" s="551">
        <v>0</v>
      </c>
      <c r="I192" s="566" t="e">
        <f>[1]!Tabel668910[[#This Row],[Fix.ch. 2015]]+[1]!Tabel668910[[#This Row],[Var. ch. 2015]]+[1]!Tabel668910[[#This Row],[Oth. ch. DW 2015]]</f>
        <v>#REF!</v>
      </c>
      <c r="J192" s="567">
        <v>0</v>
      </c>
      <c r="K192" s="568">
        <f>147/E192</f>
        <v>35.210002515000177</v>
      </c>
      <c r="L192" s="568"/>
      <c r="M192" s="568"/>
      <c r="N192" s="569">
        <v>0</v>
      </c>
      <c r="O192" s="1271">
        <f>108.48/E192</f>
        <v>25.983544713110337</v>
      </c>
      <c r="P192" s="1496" t="e">
        <f>[1]!Tabel668910[[#This Row],[Total. ch. DW 2015]]+[1]!Tabel668910[[#This Row],[Sew. 2015]]+[1]!Tabel668910[[#This Row],[WW 2015]]+[1]!Tabel668910[[#This Row],[Other ch. 2015]]+[1]!Tabel668910[[#This Row],[VAT 2015]]</f>
        <v>#REF!</v>
      </c>
      <c r="Q192" s="397"/>
      <c r="R192" s="1886"/>
      <c r="S192" s="1888"/>
      <c r="T192" s="1890"/>
      <c r="U192" s="1892"/>
      <c r="V192" s="1894"/>
      <c r="W192" s="1911"/>
      <c r="X192" s="1913"/>
      <c r="Y192" s="1915"/>
      <c r="Z192" s="1832"/>
    </row>
    <row r="193" spans="1:26" ht="15.75" hidden="1" x14ac:dyDescent="0.25">
      <c r="A193" s="2368"/>
      <c r="B193" s="1651"/>
      <c r="C193" s="633" t="s">
        <v>769</v>
      </c>
      <c r="D193" s="2359"/>
      <c r="E193" s="616">
        <f>'[1]exchange rates'!$M$49</f>
        <v>4.1749499999999999</v>
      </c>
      <c r="F193" s="549">
        <v>0</v>
      </c>
      <c r="G193" s="550">
        <f>303/E193</f>
        <v>72.575719469694249</v>
      </c>
      <c r="H193" s="551">
        <v>0</v>
      </c>
      <c r="I193" s="566" t="e">
        <f>[1]!Tabel668910[[#This Row],[Fix.ch. 2015]]+[1]!Tabel668910[[#This Row],[Var. ch. 2015]]+[1]!Tabel668910[[#This Row],[Oth. ch. DW 2015]]</f>
        <v>#REF!</v>
      </c>
      <c r="J193" s="567">
        <v>0</v>
      </c>
      <c r="K193" s="568">
        <f>194/E193</f>
        <v>46.467622366734929</v>
      </c>
      <c r="L193" s="568"/>
      <c r="M193" s="568"/>
      <c r="N193" s="569">
        <v>0</v>
      </c>
      <c r="O193" s="1271">
        <f>119.28/E193</f>
        <v>28.570402040743005</v>
      </c>
      <c r="P193" s="1496" t="e">
        <f>[1]!Tabel668910[[#This Row],[Total. ch. DW 2015]]+[1]!Tabel668910[[#This Row],[Sew. 2015]]+[1]!Tabel668910[[#This Row],[WW 2015]]+[1]!Tabel668910[[#This Row],[Other ch. 2015]]+[1]!Tabel668910[[#This Row],[VAT 2015]]</f>
        <v>#REF!</v>
      </c>
      <c r="Q193" s="397"/>
      <c r="R193" s="1886"/>
      <c r="S193" s="1888"/>
      <c r="T193" s="1890"/>
      <c r="U193" s="1892"/>
      <c r="V193" s="1894"/>
      <c r="W193" s="1911"/>
      <c r="X193" s="1913"/>
      <c r="Y193" s="1915"/>
      <c r="Z193" s="1832"/>
    </row>
    <row r="194" spans="1:26" ht="15.75" hidden="1" x14ac:dyDescent="0.25">
      <c r="A194" s="2368"/>
      <c r="B194" s="1651"/>
      <c r="C194" s="633" t="s">
        <v>770</v>
      </c>
      <c r="D194" s="2359"/>
      <c r="E194" s="616">
        <f>'[1]exchange rates'!$M$49</f>
        <v>4.1749499999999999</v>
      </c>
      <c r="F194" s="549">
        <v>0</v>
      </c>
      <c r="G194" s="550">
        <f>298/E194</f>
        <v>71.378100336530977</v>
      </c>
      <c r="H194" s="551">
        <v>0</v>
      </c>
      <c r="I194" s="566" t="e">
        <f>[1]!Tabel668910[[#This Row],[Fix.ch. 2015]]+[1]!Tabel668910[[#This Row],[Var. ch. 2015]]+[1]!Tabel668910[[#This Row],[Oth. ch. DW 2015]]</f>
        <v>#REF!</v>
      </c>
      <c r="J194" s="567">
        <v>0</v>
      </c>
      <c r="K194" s="568">
        <f>138/E194</f>
        <v>33.054288075306289</v>
      </c>
      <c r="L194" s="568"/>
      <c r="M194" s="568"/>
      <c r="N194" s="569">
        <v>0</v>
      </c>
      <c r="O194" s="1271">
        <f>104.64/E194</f>
        <v>25.063773218840943</v>
      </c>
      <c r="P194" s="1496" t="e">
        <f>[1]!Tabel668910[[#This Row],[Total. ch. DW 2015]]+[1]!Tabel668910[[#This Row],[Sew. 2015]]+[1]!Tabel668910[[#This Row],[WW 2015]]+[1]!Tabel668910[[#This Row],[Other ch. 2015]]+[1]!Tabel668910[[#This Row],[VAT 2015]]</f>
        <v>#REF!</v>
      </c>
      <c r="Q194" s="397"/>
      <c r="R194" s="1886"/>
      <c r="S194" s="1888"/>
      <c r="T194" s="1890"/>
      <c r="U194" s="1892"/>
      <c r="V194" s="1894"/>
      <c r="W194" s="1911"/>
      <c r="X194" s="1913"/>
      <c r="Y194" s="1915"/>
      <c r="Z194" s="1832"/>
    </row>
    <row r="195" spans="1:26" ht="15.75" hidden="1" x14ac:dyDescent="0.25">
      <c r="A195" s="2368"/>
      <c r="B195" s="1651"/>
      <c r="C195" s="633" t="s">
        <v>771</v>
      </c>
      <c r="D195" s="2359"/>
      <c r="E195" s="616">
        <f>'[1]exchange rates'!$M$49</f>
        <v>4.1749499999999999</v>
      </c>
      <c r="F195" s="549">
        <v>0</v>
      </c>
      <c r="G195" s="550">
        <f>306/E195</f>
        <v>73.294290949592209</v>
      </c>
      <c r="H195" s="551">
        <v>0</v>
      </c>
      <c r="I195" s="566" t="e">
        <f>[1]!Tabel668910[[#This Row],[Fix.ch. 2015]]+[1]!Tabel668910[[#This Row],[Var. ch. 2015]]+[1]!Tabel668910[[#This Row],[Oth. ch. DW 2015]]</f>
        <v>#REF!</v>
      </c>
      <c r="J195" s="567">
        <v>0</v>
      </c>
      <c r="K195" s="568">
        <f>206/E195</f>
        <v>49.341908286326785</v>
      </c>
      <c r="L195" s="568"/>
      <c r="M195" s="568"/>
      <c r="N195" s="569">
        <v>0</v>
      </c>
      <c r="O195" s="1271">
        <f>122.88/E195</f>
        <v>29.432687816620557</v>
      </c>
      <c r="P195" s="1496" t="e">
        <f>[1]!Tabel668910[[#This Row],[Total. ch. DW 2015]]+[1]!Tabel668910[[#This Row],[Sew. 2015]]+[1]!Tabel668910[[#This Row],[WW 2015]]+[1]!Tabel668910[[#This Row],[Other ch. 2015]]+[1]!Tabel668910[[#This Row],[VAT 2015]]</f>
        <v>#REF!</v>
      </c>
      <c r="Q195" s="397"/>
      <c r="R195" s="1886"/>
      <c r="S195" s="1888"/>
      <c r="T195" s="1890"/>
      <c r="U195" s="1892"/>
      <c r="V195" s="1894"/>
      <c r="W195" s="1911"/>
      <c r="X195" s="1913"/>
      <c r="Y195" s="1915"/>
      <c r="Z195" s="1832"/>
    </row>
    <row r="196" spans="1:26" ht="15.75" hidden="1" x14ac:dyDescent="0.25">
      <c r="A196" s="2368"/>
      <c r="B196" s="1651"/>
      <c r="C196" s="633" t="s">
        <v>772</v>
      </c>
      <c r="D196" s="2359"/>
      <c r="E196" s="616">
        <f>'[1]exchange rates'!$M$49</f>
        <v>4.1749499999999999</v>
      </c>
      <c r="F196" s="549">
        <v>0</v>
      </c>
      <c r="G196" s="550">
        <f>385/E196</f>
        <v>92.216673253571898</v>
      </c>
      <c r="H196" s="551">
        <v>0</v>
      </c>
      <c r="I196" s="566" t="e">
        <f>[1]!Tabel668910[[#This Row],[Fix.ch. 2015]]+[1]!Tabel668910[[#This Row],[Var. ch. 2015]]+[1]!Tabel668910[[#This Row],[Oth. ch. DW 2015]]</f>
        <v>#REF!</v>
      </c>
      <c r="J196" s="567">
        <v>0</v>
      </c>
      <c r="K196" s="568">
        <f>173/E196</f>
        <v>41.437622007449193</v>
      </c>
      <c r="L196" s="568"/>
      <c r="M196" s="568"/>
      <c r="N196" s="569">
        <v>0</v>
      </c>
      <c r="O196" s="1271">
        <f>133.92/E196</f>
        <v>32.07703086264506</v>
      </c>
      <c r="P196" s="1496" t="e">
        <f>[1]!Tabel668910[[#This Row],[Total. ch. DW 2015]]+[1]!Tabel668910[[#This Row],[Sew. 2015]]+[1]!Tabel668910[[#This Row],[WW 2015]]+[1]!Tabel668910[[#This Row],[Other ch. 2015]]+[1]!Tabel668910[[#This Row],[VAT 2015]]</f>
        <v>#REF!</v>
      </c>
      <c r="Q196" s="397"/>
      <c r="R196" s="1886"/>
      <c r="S196" s="1888"/>
      <c r="T196" s="1890"/>
      <c r="U196" s="1892"/>
      <c r="V196" s="1894"/>
      <c r="W196" s="1911"/>
      <c r="X196" s="1913"/>
      <c r="Y196" s="1915"/>
      <c r="Z196" s="1832"/>
    </row>
    <row r="197" spans="1:26" ht="16.5" hidden="1" thickBot="1" x14ac:dyDescent="0.3">
      <c r="A197" s="2369"/>
      <c r="B197" s="1651"/>
      <c r="C197" s="1294" t="s">
        <v>598</v>
      </c>
      <c r="D197" s="2349"/>
      <c r="E197" s="616">
        <f>'[1]exchange rates'!$M$49</f>
        <v>4.1749499999999999</v>
      </c>
      <c r="F197" s="319"/>
      <c r="G197" s="320"/>
      <c r="H197" s="321"/>
      <c r="I197" s="313"/>
      <c r="J197" s="322"/>
      <c r="K197" s="323"/>
      <c r="L197" s="323"/>
      <c r="M197" s="323"/>
      <c r="N197" s="324"/>
      <c r="O197" s="1258"/>
      <c r="P197" s="1491"/>
      <c r="Q197" s="397"/>
      <c r="R197" s="1970"/>
      <c r="S197" s="1973"/>
      <c r="T197" s="1976"/>
      <c r="U197" s="1979"/>
      <c r="V197" s="1982"/>
      <c r="W197" s="1956"/>
      <c r="X197" s="1959"/>
      <c r="Y197" s="1962"/>
      <c r="Z197" s="1965"/>
    </row>
    <row r="198" spans="1:26" ht="19.5" hidden="1" thickBot="1" x14ac:dyDescent="0.3">
      <c r="A198" s="1169" t="s">
        <v>693</v>
      </c>
      <c r="B198" s="1656"/>
      <c r="C198" s="1295" t="s">
        <v>694</v>
      </c>
      <c r="D198" s="1543">
        <v>23700</v>
      </c>
      <c r="E198" s="616">
        <f>'[1]exchange rates'!M50</f>
        <v>72.996619999999993</v>
      </c>
      <c r="F198" s="549">
        <v>0</v>
      </c>
      <c r="G198" s="550">
        <f>2532/E198</f>
        <v>34.686537541053276</v>
      </c>
      <c r="H198" s="551">
        <f>227/E198</f>
        <v>3.1097330259949025</v>
      </c>
      <c r="I198" s="566">
        <f>Tabel66891019283234[[#This Row],[Fix.ch. 2015]]+Tabel66891019283234[[#This Row],[Var. ch. 2015]]+Tabel66891019283234[[#This Row],[Oth. ch. DW 2015]]</f>
        <v>37.796270567048182</v>
      </c>
      <c r="J198" s="567">
        <f>2200/E198</f>
        <v>30.138381749730332</v>
      </c>
      <c r="K198" s="568">
        <v>0</v>
      </c>
      <c r="L198" s="568"/>
      <c r="M198" s="568"/>
      <c r="N198" s="569">
        <f>371/E198</f>
        <v>5.0824271041590698</v>
      </c>
      <c r="O198" s="1271">
        <v>0</v>
      </c>
      <c r="P198" s="1496">
        <f>Tabel66891019283234[[#This Row],[Total. ch. DW 2015]]+Tabel66891019283234[[#This Row],[Sew. 2015]]+Tabel66891019283234[[#This Row],[WW 2015]]+Tabel66891019283234[[#This Row],[Other ch. 2015]]+Tabel66891019283234[[#This Row],[VAT 2015]]</f>
        <v>73.017079420937577</v>
      </c>
      <c r="Q198" s="397"/>
      <c r="R198" s="1195">
        <f>Tabel66891019283234[[#This Row],[Fix.ch. 2015]]</f>
        <v>0</v>
      </c>
      <c r="S198" s="1196">
        <f>Tabel66891019283234[[#This Row],[Var. ch. 2015]]</f>
        <v>34.686537541053276</v>
      </c>
      <c r="T198" s="1197">
        <f>Tabel66891019283234[[#This Row],[Oth. ch. DW 2015]]</f>
        <v>3.1097330259949025</v>
      </c>
      <c r="U198" s="1198">
        <f>Tabel66891019283234[[#This Row],[Total. ch. DW 2015]]</f>
        <v>37.796270567048182</v>
      </c>
      <c r="V198" s="1199">
        <f>Tabel66891019283234[[#This Row],[Sew. 2015]]</f>
        <v>30.138381749730332</v>
      </c>
      <c r="W198" s="1201">
        <f>Tabel66891019283234[[#This Row],[WW 2015]]</f>
        <v>0</v>
      </c>
      <c r="X198" s="1202">
        <f>Tabel66891019283234[[#This Row],[Other ch. 2015]]</f>
        <v>5.0824271041590698</v>
      </c>
      <c r="Y198" s="1203">
        <f>Tabel66891019283234[[#This Row],[VAT 2015]]</f>
        <v>0</v>
      </c>
      <c r="Z198" s="1182">
        <f>Tabel66891019283234[[#This Row],[total charge 2015]]</f>
        <v>73.017079420937577</v>
      </c>
    </row>
    <row r="199" spans="1:26" ht="18.75" hidden="1" customHeight="1" x14ac:dyDescent="0.25">
      <c r="A199" s="1818" t="s">
        <v>47</v>
      </c>
      <c r="B199" s="1656"/>
      <c r="C199" s="543" t="s">
        <v>204</v>
      </c>
      <c r="D199" s="2347">
        <v>41200</v>
      </c>
      <c r="E199" s="617">
        <f>'[1]exchange rates'!$M$51</f>
        <v>0.67854999999999999</v>
      </c>
      <c r="F199" s="549">
        <v>0</v>
      </c>
      <c r="G199" s="550">
        <v>0</v>
      </c>
      <c r="H199" s="551">
        <f>126.78/E199</f>
        <v>186.83958440792867</v>
      </c>
      <c r="I199" s="566">
        <f>Tabel66891019283234[[#This Row],[Fix.ch. 2015]]+Tabel66891019283234[[#This Row],[Var. ch. 2015]]+Tabel66891019283234[[#This Row],[Oth. ch. DW 2015]]</f>
        <v>186.83958440792867</v>
      </c>
      <c r="J199" s="567">
        <f>0</f>
        <v>0</v>
      </c>
      <c r="K199" s="568">
        <f>147.12/E199</f>
        <v>216.81526785056371</v>
      </c>
      <c r="L199" s="568"/>
      <c r="M199" s="568"/>
      <c r="N199" s="569">
        <v>0</v>
      </c>
      <c r="O199" s="1271">
        <v>0</v>
      </c>
      <c r="P199" s="1496">
        <f>Tabel66891019283234[[#This Row],[Total. ch. DW 2015]]+Tabel66891019283234[[#This Row],[Sew. 2015]]+Tabel66891019283234[[#This Row],[WW 2015]]+Tabel66891019283234[[#This Row],[Other ch. 2015]]+Tabel66891019283234[[#This Row],[VAT 2015]]</f>
        <v>403.65485225849238</v>
      </c>
      <c r="Q199" s="397"/>
      <c r="R199" s="2344">
        <f t="shared" ref="R199:W199" si="50">SUM(F199:F206)/8</f>
        <v>0</v>
      </c>
      <c r="S199" s="2345">
        <f t="shared" si="50"/>
        <v>0</v>
      </c>
      <c r="T199" s="2350">
        <f t="shared" si="50"/>
        <v>338.64674673937077</v>
      </c>
      <c r="U199" s="2340">
        <f t="shared" si="50"/>
        <v>338.64674673937077</v>
      </c>
      <c r="V199" s="2351">
        <f t="shared" si="50"/>
        <v>0</v>
      </c>
      <c r="W199" s="2352">
        <f t="shared" si="50"/>
        <v>392.97767297914675</v>
      </c>
      <c r="X199" s="2341">
        <f t="shared" ref="X199:Z199" si="51">SUM(N199:N206)/8</f>
        <v>0</v>
      </c>
      <c r="Y199" s="2342">
        <f t="shared" si="51"/>
        <v>0</v>
      </c>
      <c r="Z199" s="2339">
        <f t="shared" si="51"/>
        <v>731.6244197185174</v>
      </c>
    </row>
    <row r="200" spans="1:26" ht="15.75" hidden="1" x14ac:dyDescent="0.25">
      <c r="A200" s="2294"/>
      <c r="B200" s="1656"/>
      <c r="C200" s="1293" t="s">
        <v>205</v>
      </c>
      <c r="D200" s="2359"/>
      <c r="E200" s="617">
        <f>'[1]exchange rates'!$M$51</f>
        <v>0.67854999999999999</v>
      </c>
      <c r="F200" s="549">
        <v>0</v>
      </c>
      <c r="G200" s="550">
        <v>0</v>
      </c>
      <c r="H200" s="551">
        <f>147.91/E200</f>
        <v>217.97951514258344</v>
      </c>
      <c r="I200" s="566">
        <f>Tabel66891019283234[[#This Row],[Fix.ch. 2015]]+Tabel66891019283234[[#This Row],[Var. ch. 2015]]+Tabel66891019283234[[#This Row],[Oth. ch. DW 2015]]</f>
        <v>217.97951514258344</v>
      </c>
      <c r="J200" s="567">
        <f>0</f>
        <v>0</v>
      </c>
      <c r="K200" s="568">
        <f>171.64/E200</f>
        <v>252.95114582565765</v>
      </c>
      <c r="L200" s="568"/>
      <c r="M200" s="568"/>
      <c r="N200" s="569">
        <v>0</v>
      </c>
      <c r="O200" s="1271">
        <v>0</v>
      </c>
      <c r="P200" s="1496">
        <f>Tabel66891019283234[[#This Row],[Total. ch. DW 2015]]+Tabel66891019283234[[#This Row],[Sew. 2015]]+Tabel66891019283234[[#This Row],[WW 2015]]+Tabel66891019283234[[#This Row],[Other ch. 2015]]+Tabel66891019283234[[#This Row],[VAT 2015]]</f>
        <v>470.93066096824111</v>
      </c>
      <c r="Q200" s="397"/>
      <c r="R200" s="1886"/>
      <c r="S200" s="1888"/>
      <c r="T200" s="1890"/>
      <c r="U200" s="1892"/>
      <c r="V200" s="1894"/>
      <c r="W200" s="1911"/>
      <c r="X200" s="1913"/>
      <c r="Y200" s="1915"/>
      <c r="Z200" s="1832"/>
    </row>
    <row r="201" spans="1:26" ht="15.75" hidden="1" x14ac:dyDescent="0.25">
      <c r="A201" s="2294"/>
      <c r="B201" s="1656"/>
      <c r="C201" s="1293" t="s">
        <v>206</v>
      </c>
      <c r="D201" s="2359"/>
      <c r="E201" s="617">
        <f>'[1]exchange rates'!$M$51</f>
        <v>0.67854999999999999</v>
      </c>
      <c r="F201" s="549">
        <v>0</v>
      </c>
      <c r="G201" s="550">
        <v>0</v>
      </c>
      <c r="H201" s="551">
        <f>169.04/E201</f>
        <v>249.11944587723823</v>
      </c>
      <c r="I201" s="566">
        <f>Tabel66891019283234[[#This Row],[Fix.ch. 2015]]+Tabel66891019283234[[#This Row],[Var. ch. 2015]]+Tabel66891019283234[[#This Row],[Oth. ch. DW 2015]]</f>
        <v>249.11944587723823</v>
      </c>
      <c r="J201" s="567">
        <f>0</f>
        <v>0</v>
      </c>
      <c r="K201" s="568">
        <f>196.16/E201</f>
        <v>289.08702380075158</v>
      </c>
      <c r="L201" s="568"/>
      <c r="M201" s="568"/>
      <c r="N201" s="569">
        <v>0</v>
      </c>
      <c r="O201" s="1271">
        <v>0</v>
      </c>
      <c r="P201" s="1544">
        <f>Tabel66891019283234[[#This Row],[Total. ch. DW 2015]]+Tabel66891019283234[[#This Row],[Sew. 2015]]+Tabel66891019283234[[#This Row],[WW 2015]]+Tabel66891019283234[[#This Row],[Other ch. 2015]]+Tabel66891019283234[[#This Row],[VAT 2015]]</f>
        <v>538.20646967798984</v>
      </c>
      <c r="Q201" s="397"/>
      <c r="R201" s="1886"/>
      <c r="S201" s="1888"/>
      <c r="T201" s="1890"/>
      <c r="U201" s="1892"/>
      <c r="V201" s="1894"/>
      <c r="W201" s="1911"/>
      <c r="X201" s="1913"/>
      <c r="Y201" s="1915"/>
      <c r="Z201" s="1832"/>
    </row>
    <row r="202" spans="1:26" ht="15.75" hidden="1" x14ac:dyDescent="0.25">
      <c r="A202" s="2294"/>
      <c r="B202" s="1656"/>
      <c r="C202" s="1293" t="s">
        <v>207</v>
      </c>
      <c r="D202" s="2359"/>
      <c r="E202" s="617">
        <f>'[1]exchange rates'!$M$51</f>
        <v>0.67854999999999999</v>
      </c>
      <c r="F202" s="549">
        <v>0</v>
      </c>
      <c r="G202" s="550">
        <v>0</v>
      </c>
      <c r="H202" s="551">
        <f>190.17/E202</f>
        <v>280.259376611893</v>
      </c>
      <c r="I202" s="566">
        <f>Tabel66891019283234[[#This Row],[Fix.ch. 2015]]+Tabel66891019283234[[#This Row],[Var. ch. 2015]]+Tabel66891019283234[[#This Row],[Oth. ch. DW 2015]]</f>
        <v>280.259376611893</v>
      </c>
      <c r="J202" s="567">
        <f>0</f>
        <v>0</v>
      </c>
      <c r="K202" s="568">
        <f>220.68/E202</f>
        <v>325.22290177584557</v>
      </c>
      <c r="L202" s="568"/>
      <c r="M202" s="568"/>
      <c r="N202" s="569">
        <v>0</v>
      </c>
      <c r="O202" s="1271">
        <v>0</v>
      </c>
      <c r="P202" s="1496">
        <f>Tabel66891019283234[[#This Row],[Total. ch. DW 2015]]+Tabel66891019283234[[#This Row],[Sew. 2015]]+Tabel66891019283234[[#This Row],[WW 2015]]+Tabel66891019283234[[#This Row],[Other ch. 2015]]+Tabel66891019283234[[#This Row],[VAT 2015]]</f>
        <v>605.48227838773857</v>
      </c>
      <c r="Q202" s="397"/>
      <c r="R202" s="1886"/>
      <c r="S202" s="1888"/>
      <c r="T202" s="1890"/>
      <c r="U202" s="1892"/>
      <c r="V202" s="1894"/>
      <c r="W202" s="1911"/>
      <c r="X202" s="1913"/>
      <c r="Y202" s="1915"/>
      <c r="Z202" s="1832"/>
    </row>
    <row r="203" spans="1:26" ht="15.75" hidden="1" x14ac:dyDescent="0.25">
      <c r="A203" s="2294"/>
      <c r="B203" s="1656"/>
      <c r="C203" s="1293" t="s">
        <v>208</v>
      </c>
      <c r="D203" s="2359"/>
      <c r="E203" s="617">
        <f>'[1]exchange rates'!$M$51</f>
        <v>0.67854999999999999</v>
      </c>
      <c r="F203" s="549">
        <v>0</v>
      </c>
      <c r="G203" s="550">
        <v>0</v>
      </c>
      <c r="H203" s="551">
        <f>232.43/E203</f>
        <v>342.5392380812026</v>
      </c>
      <c r="I203" s="566">
        <f>Tabel66891019283234[[#This Row],[Fix.ch. 2015]]+Tabel66891019283234[[#This Row],[Var. ch. 2015]]+Tabel66891019283234[[#This Row],[Oth. ch. DW 2015]]</f>
        <v>342.5392380812026</v>
      </c>
      <c r="J203" s="567">
        <f>0</f>
        <v>0</v>
      </c>
      <c r="K203" s="568">
        <f>269.72/E203</f>
        <v>397.49465772603349</v>
      </c>
      <c r="L203" s="568"/>
      <c r="M203" s="568"/>
      <c r="N203" s="569">
        <v>0</v>
      </c>
      <c r="O203" s="1271">
        <v>0</v>
      </c>
      <c r="P203" s="1496">
        <f>Tabel66891019283234[[#This Row],[Total. ch. DW 2015]]+Tabel66891019283234[[#This Row],[Sew. 2015]]+Tabel66891019283234[[#This Row],[WW 2015]]+Tabel66891019283234[[#This Row],[Other ch. 2015]]+Tabel66891019283234[[#This Row],[VAT 2015]]</f>
        <v>740.03389580723615</v>
      </c>
      <c r="Q203" s="397"/>
      <c r="R203" s="1886"/>
      <c r="S203" s="1888"/>
      <c r="T203" s="1890"/>
      <c r="U203" s="1892"/>
      <c r="V203" s="1894"/>
      <c r="W203" s="1911"/>
      <c r="X203" s="1913"/>
      <c r="Y203" s="1915"/>
      <c r="Z203" s="1832"/>
    </row>
    <row r="204" spans="1:26" ht="15.75" hidden="1" x14ac:dyDescent="0.25">
      <c r="A204" s="2294"/>
      <c r="B204" s="1656"/>
      <c r="C204" s="1293" t="s">
        <v>209</v>
      </c>
      <c r="D204" s="2359"/>
      <c r="E204" s="617">
        <f>'[1]exchange rates'!$M$51</f>
        <v>0.67854999999999999</v>
      </c>
      <c r="F204" s="549">
        <v>0</v>
      </c>
      <c r="G204" s="550">
        <v>0</v>
      </c>
      <c r="H204" s="551">
        <f>274.69/E204</f>
        <v>404.81909955051214</v>
      </c>
      <c r="I204" s="566">
        <f>Tabel66891019283234[[#This Row],[Fix.ch. 2015]]+Tabel66891019283234[[#This Row],[Var. ch. 2015]]+Tabel66891019283234[[#This Row],[Oth. ch. DW 2015]]</f>
        <v>404.81909955051214</v>
      </c>
      <c r="J204" s="567">
        <f>0</f>
        <v>0</v>
      </c>
      <c r="K204" s="568">
        <f>318.76/E204</f>
        <v>469.76641367622136</v>
      </c>
      <c r="L204" s="568"/>
      <c r="M204" s="568"/>
      <c r="N204" s="569">
        <v>0</v>
      </c>
      <c r="O204" s="1271">
        <v>0</v>
      </c>
      <c r="P204" s="1496">
        <f>Tabel66891019283234[[#This Row],[Total. ch. DW 2015]]+Tabel66891019283234[[#This Row],[Sew. 2015]]+Tabel66891019283234[[#This Row],[WW 2015]]+Tabel66891019283234[[#This Row],[Other ch. 2015]]+Tabel66891019283234[[#This Row],[VAT 2015]]</f>
        <v>874.5855132267335</v>
      </c>
      <c r="Q204" s="397"/>
      <c r="R204" s="1886"/>
      <c r="S204" s="1888"/>
      <c r="T204" s="1890"/>
      <c r="U204" s="1892"/>
      <c r="V204" s="1894"/>
      <c r="W204" s="1911"/>
      <c r="X204" s="1913"/>
      <c r="Y204" s="1915"/>
      <c r="Z204" s="1832"/>
    </row>
    <row r="205" spans="1:26" ht="15.75" hidden="1" x14ac:dyDescent="0.25">
      <c r="A205" s="2294"/>
      <c r="B205" s="1656"/>
      <c r="C205" s="1293" t="s">
        <v>210</v>
      </c>
      <c r="D205" s="2359"/>
      <c r="E205" s="617">
        <f>'[1]exchange rates'!$M$51</f>
        <v>0.67854999999999999</v>
      </c>
      <c r="F205" s="549">
        <v>0</v>
      </c>
      <c r="G205" s="550">
        <v>0</v>
      </c>
      <c r="H205" s="551">
        <f>316.95/E205</f>
        <v>467.09896101982167</v>
      </c>
      <c r="I205" s="566">
        <f>Tabel66891019283234[[#This Row],[Fix.ch. 2015]]+Tabel66891019283234[[#This Row],[Var. ch. 2015]]+Tabel66891019283234[[#This Row],[Oth. ch. DW 2015]]</f>
        <v>467.09896101982167</v>
      </c>
      <c r="J205" s="567">
        <f>0</f>
        <v>0</v>
      </c>
      <c r="K205" s="568">
        <f>367.8/E205</f>
        <v>542.03816962640929</v>
      </c>
      <c r="L205" s="568"/>
      <c r="M205" s="568"/>
      <c r="N205" s="569">
        <v>0</v>
      </c>
      <c r="O205" s="1271">
        <v>0</v>
      </c>
      <c r="P205" s="1496">
        <f>Tabel66891019283234[[#This Row],[Total. ch. DW 2015]]+Tabel66891019283234[[#This Row],[Sew. 2015]]+Tabel66891019283234[[#This Row],[WW 2015]]+Tabel66891019283234[[#This Row],[Other ch. 2015]]+Tabel66891019283234[[#This Row],[VAT 2015]]</f>
        <v>1009.137130646231</v>
      </c>
      <c r="Q205" s="397"/>
      <c r="R205" s="1886"/>
      <c r="S205" s="1888"/>
      <c r="T205" s="1890"/>
      <c r="U205" s="1892"/>
      <c r="V205" s="1894"/>
      <c r="W205" s="1911"/>
      <c r="X205" s="1913"/>
      <c r="Y205" s="1915"/>
      <c r="Z205" s="1832"/>
    </row>
    <row r="206" spans="1:26" ht="16.5" hidden="1" thickBot="1" x14ac:dyDescent="0.3">
      <c r="A206" s="2295"/>
      <c r="B206" s="1656"/>
      <c r="C206" s="1305" t="s">
        <v>211</v>
      </c>
      <c r="D206" s="2366"/>
      <c r="E206" s="617">
        <f>'[1]exchange rates'!$M$51</f>
        <v>0.67854999999999999</v>
      </c>
      <c r="F206" s="549">
        <v>0</v>
      </c>
      <c r="G206" s="550">
        <v>0</v>
      </c>
      <c r="H206" s="551">
        <f>380.34/E206</f>
        <v>560.51875322378601</v>
      </c>
      <c r="I206" s="566">
        <f>Tabel66891019283234[[#This Row],[Fix.ch. 2015]]+Tabel66891019283234[[#This Row],[Var. ch. 2015]]+Tabel66891019283234[[#This Row],[Oth. ch. DW 2015]]</f>
        <v>560.51875322378601</v>
      </c>
      <c r="J206" s="567">
        <f>0</f>
        <v>0</v>
      </c>
      <c r="K206" s="568">
        <f>441.36/E206</f>
        <v>650.44580355169114</v>
      </c>
      <c r="L206" s="568"/>
      <c r="M206" s="568"/>
      <c r="N206" s="569">
        <v>0</v>
      </c>
      <c r="O206" s="1271">
        <v>0</v>
      </c>
      <c r="P206" s="1496">
        <f>Tabel66891019283234[[#This Row],[Total. ch. DW 2015]]+Tabel66891019283234[[#This Row],[Sew. 2015]]+Tabel66891019283234[[#This Row],[WW 2015]]+Tabel66891019283234[[#This Row],[Other ch. 2015]]+Tabel66891019283234[[#This Row],[VAT 2015]]</f>
        <v>1210.9645567754771</v>
      </c>
      <c r="Q206" s="397"/>
      <c r="R206" s="1970"/>
      <c r="S206" s="1973"/>
      <c r="T206" s="1976"/>
      <c r="U206" s="1979"/>
      <c r="V206" s="1982"/>
      <c r="W206" s="1956"/>
      <c r="X206" s="1959"/>
      <c r="Y206" s="1962"/>
      <c r="Z206" s="1965"/>
    </row>
    <row r="207" spans="1:26" ht="15.75" hidden="1" x14ac:dyDescent="0.25">
      <c r="A207" s="2150" t="s">
        <v>41</v>
      </c>
      <c r="B207" s="1617"/>
      <c r="C207" s="1289" t="s">
        <v>192</v>
      </c>
      <c r="D207" s="1545"/>
      <c r="E207" s="306"/>
      <c r="F207" s="319"/>
      <c r="G207" s="320"/>
      <c r="H207" s="321"/>
      <c r="I207" s="313">
        <f>Tabel66891019283234[[#This Row],[Fix.ch. 2015]]+Tabel66891019283234[[#This Row],[Var. ch. 2015]]+Tabel66891019283234[[#This Row],[Oth. ch. DW 2015]]</f>
        <v>0</v>
      </c>
      <c r="J207" s="322"/>
      <c r="K207" s="323"/>
      <c r="L207" s="323"/>
      <c r="M207" s="323"/>
      <c r="N207" s="324"/>
      <c r="O207" s="1258"/>
      <c r="P207" s="1491">
        <f>Tabel66891019283234[[#This Row],[Total. ch. DW 2015]]+Tabel66891019283234[[#This Row],[Sew. 2015]]+Tabel66891019283234[[#This Row],[WW 2015]]+Tabel66891019283234[[#This Row],[Other ch. 2015]]+Tabel66891019283234[[#This Row],[VAT 2015]]</f>
        <v>0</v>
      </c>
      <c r="Q207" s="397"/>
      <c r="R207" s="349"/>
      <c r="S207" s="350"/>
      <c r="T207" s="351"/>
      <c r="U207" s="352"/>
      <c r="V207" s="353"/>
      <c r="W207" s="354"/>
      <c r="X207" s="355"/>
      <c r="Y207" s="356"/>
      <c r="Z207" s="357"/>
    </row>
    <row r="208" spans="1:26" ht="15.75" hidden="1" x14ac:dyDescent="0.25">
      <c r="A208" s="2151"/>
      <c r="B208" s="1617"/>
      <c r="C208" s="1289" t="s">
        <v>193</v>
      </c>
      <c r="D208" s="1546"/>
      <c r="E208" s="306"/>
      <c r="F208" s="319"/>
      <c r="G208" s="320"/>
      <c r="H208" s="321"/>
      <c r="I208" s="313">
        <f>Tabel66891019283234[[#This Row],[Fix.ch. 2015]]+Tabel66891019283234[[#This Row],[Var. ch. 2015]]+Tabel66891019283234[[#This Row],[Oth. ch. DW 2015]]</f>
        <v>0</v>
      </c>
      <c r="J208" s="322"/>
      <c r="K208" s="323"/>
      <c r="L208" s="323"/>
      <c r="M208" s="323"/>
      <c r="N208" s="324"/>
      <c r="O208" s="1258"/>
      <c r="P208" s="1491">
        <f>Tabel66891019283234[[#This Row],[Total. ch. DW 2015]]+Tabel66891019283234[[#This Row],[Sew. 2015]]+Tabel66891019283234[[#This Row],[WW 2015]]+Tabel66891019283234[[#This Row],[Other ch. 2015]]+Tabel66891019283234[[#This Row],[VAT 2015]]</f>
        <v>0</v>
      </c>
      <c r="Q208" s="397"/>
      <c r="R208" s="358"/>
      <c r="S208" s="359"/>
      <c r="T208" s="360"/>
      <c r="U208" s="361"/>
      <c r="V208" s="362"/>
      <c r="W208" s="363"/>
      <c r="X208" s="364"/>
      <c r="Y208" s="365"/>
      <c r="Z208" s="366"/>
    </row>
    <row r="209" spans="1:26" ht="16.5" hidden="1" thickBot="1" x14ac:dyDescent="0.3">
      <c r="A209" s="2152"/>
      <c r="B209" s="1617"/>
      <c r="C209" s="294" t="s">
        <v>194</v>
      </c>
      <c r="D209" s="1547"/>
      <c r="E209" s="307"/>
      <c r="F209" s="319"/>
      <c r="G209" s="320"/>
      <c r="H209" s="321"/>
      <c r="I209" s="313">
        <f>Tabel66891019283234[[#This Row],[Fix.ch. 2015]]+Tabel66891019283234[[#This Row],[Var. ch. 2015]]+Tabel66891019283234[[#This Row],[Oth. ch. DW 2015]]</f>
        <v>0</v>
      </c>
      <c r="J209" s="322"/>
      <c r="K209" s="323"/>
      <c r="L209" s="323"/>
      <c r="M209" s="323"/>
      <c r="N209" s="324"/>
      <c r="O209" s="1258"/>
      <c r="P209" s="1491">
        <f>Tabel66891019283234[[#This Row],[Total. ch. DW 2015]]+Tabel66891019283234[[#This Row],[Sew. 2015]]+Tabel66891019283234[[#This Row],[WW 2015]]+Tabel66891019283234[[#This Row],[Other ch. 2015]]+Tabel66891019283234[[#This Row],[VAT 2015]]</f>
        <v>0</v>
      </c>
      <c r="Q209" s="397"/>
      <c r="R209" s="367"/>
      <c r="S209" s="368"/>
      <c r="T209" s="369"/>
      <c r="U209" s="370"/>
      <c r="V209" s="371"/>
      <c r="W209" s="372"/>
      <c r="X209" s="373"/>
      <c r="Y209" s="374"/>
      <c r="Z209" s="375"/>
    </row>
    <row r="210" spans="1:26" ht="19.5" hidden="1" thickBot="1" x14ac:dyDescent="0.35">
      <c r="A210" s="267" t="s">
        <v>42</v>
      </c>
      <c r="B210" s="1616"/>
      <c r="C210" s="1237" t="s">
        <v>42</v>
      </c>
      <c r="D210" s="1542"/>
      <c r="E210" s="306">
        <v>1.2966299999999999</v>
      </c>
      <c r="F210" s="319">
        <v>0</v>
      </c>
      <c r="G210" s="320">
        <f>117/E210</f>
        <v>90.233914069549527</v>
      </c>
      <c r="H210" s="321">
        <f>35.1/E210</f>
        <v>27.07017422086486</v>
      </c>
      <c r="I210" s="313">
        <f>Tabel66891019283234[[#This Row],[Fix.ch. 2015]]+Tabel66891019283234[[#This Row],[Var. ch. 2015]]+Tabel66891019283234[[#This Row],[Oth. ch. DW 2015]]</f>
        <v>117.30408829041438</v>
      </c>
      <c r="J210" s="322">
        <v>0</v>
      </c>
      <c r="K210" s="323">
        <f>28.03/E210</f>
        <v>21.617577874952765</v>
      </c>
      <c r="L210" s="323"/>
      <c r="M210" s="323"/>
      <c r="N210" s="324">
        <f>67.29/E210</f>
        <v>51.896069040512721</v>
      </c>
      <c r="O210" s="1258">
        <f>17.32/E210</f>
        <v>13.35770420243246</v>
      </c>
      <c r="P210" s="1491">
        <f>Tabel66891019283234[[#This Row],[Total. ch. DW 2015]]+Tabel66891019283234[[#This Row],[Sew. 2015]]+Tabel66891019283234[[#This Row],[WW 2015]]+Tabel66891019283234[[#This Row],[Other ch. 2015]]+Tabel66891019283234[[#This Row],[VAT 2015]]</f>
        <v>204.17543940831234</v>
      </c>
      <c r="Q210" s="397"/>
      <c r="R210" s="1228">
        <f>Tabel66891019283234[[#This Row],[Fix.ch. 2015]]</f>
        <v>0</v>
      </c>
      <c r="S210" s="1229">
        <f>Tabel66891019283234[[#This Row],[Var. ch. 2015]]</f>
        <v>90.233914069549527</v>
      </c>
      <c r="T210" s="1230">
        <f>Tabel66891019283234[[#This Row],[Oth. ch. DW 2015]]</f>
        <v>27.07017422086486</v>
      </c>
      <c r="U210" s="1231">
        <f>Tabel66891019283234[[#This Row],[Total. ch. DW 2015]]</f>
        <v>117.30408829041438</v>
      </c>
      <c r="V210" s="1232">
        <f>Tabel66891019283234[[#This Row],[Sew. 2015]]</f>
        <v>0</v>
      </c>
      <c r="W210" s="1233">
        <f>Tabel66891019283234[[#This Row],[WW 2015]]</f>
        <v>21.617577874952765</v>
      </c>
      <c r="X210" s="1234">
        <f>Tabel66891019283234[[#This Row],[Other ch. 2015]]</f>
        <v>51.896069040512721</v>
      </c>
      <c r="Y210" s="1235">
        <f>Tabel66891019283234[[#This Row],[VAT 2015]]</f>
        <v>13.35770420243246</v>
      </c>
      <c r="Z210" s="1236">
        <f>Tabel66891019283234[[#This Row],[total charge 2015]]</f>
        <v>204.17543940831234</v>
      </c>
    </row>
    <row r="211" spans="1:26" ht="15.75" hidden="1" x14ac:dyDescent="0.25">
      <c r="A211" s="1833" t="s">
        <v>24</v>
      </c>
      <c r="B211" s="1617"/>
      <c r="C211" s="1515" t="s">
        <v>140</v>
      </c>
      <c r="D211" s="1545"/>
      <c r="E211" s="307">
        <v>0.77166999999999997</v>
      </c>
      <c r="F211" s="319">
        <f>0.83*100/E211</f>
        <v>107.5589306309692</v>
      </c>
      <c r="G211" s="320">
        <v>0</v>
      </c>
      <c r="H211" s="321">
        <v>0</v>
      </c>
      <c r="I211" s="313">
        <f>Tabel66891019283234[[#This Row],[Fix.ch. 2015]]+Tabel66891019283234[[#This Row],[Var. ch. 2015]]+Tabel66891019283234[[#This Row],[Oth. ch. DW 2015]]</f>
        <v>107.5589306309692</v>
      </c>
      <c r="J211" s="322">
        <f>0.83*100/E211</f>
        <v>107.5589306309692</v>
      </c>
      <c r="K211" s="323">
        <v>0</v>
      </c>
      <c r="L211" s="323"/>
      <c r="M211" s="323"/>
      <c r="N211" s="324">
        <v>0</v>
      </c>
      <c r="O211" s="1258">
        <f>0.32*100/E211</f>
        <v>41.468503375795358</v>
      </c>
      <c r="P211" s="1491">
        <f>Tabel66891019283234[[#This Row],[Total. ch. DW 2015]]+Tabel66891019283234[[#This Row],[Sew. 2015]]+Tabel66891019283234[[#This Row],[WW 2015]]+Tabel66891019283234[[#This Row],[Other ch. 2015]]+Tabel66891019283234[[#This Row],[VAT 2015]]</f>
        <v>256.58636463773377</v>
      </c>
      <c r="Q211" s="397"/>
      <c r="R211" s="2362">
        <f>SUM(F211:F213)/3</f>
        <v>128.29318231886688</v>
      </c>
      <c r="S211" s="2363">
        <v>0</v>
      </c>
      <c r="T211" s="2364">
        <v>0</v>
      </c>
      <c r="U211" s="2365">
        <f>SUM(I211:I213)/3</f>
        <v>128.29318231886688</v>
      </c>
      <c r="V211" s="2354">
        <f>SUM(J211:J213)/3</f>
        <v>102.80733128582598</v>
      </c>
      <c r="W211" s="2355">
        <v>0</v>
      </c>
      <c r="X211" s="2356">
        <v>0</v>
      </c>
      <c r="Y211" s="2357">
        <f>SUM(O211:O213)/3</f>
        <v>46.220102720938577</v>
      </c>
      <c r="Z211" s="2358">
        <f>SUM(P211:P213)/3</f>
        <v>277.32061632563142</v>
      </c>
    </row>
    <row r="212" spans="1:26" ht="15.75" hidden="1" x14ac:dyDescent="0.25">
      <c r="A212" s="2297"/>
      <c r="B212" s="1617"/>
      <c r="C212" s="298" t="s">
        <v>141</v>
      </c>
      <c r="D212" s="1546"/>
      <c r="E212" s="307">
        <v>0.77166999999999997</v>
      </c>
      <c r="F212" s="319">
        <f>0.97*100/E212</f>
        <v>125.70140085787966</v>
      </c>
      <c r="G212" s="320">
        <v>0</v>
      </c>
      <c r="H212" s="321">
        <v>0</v>
      </c>
      <c r="I212" s="313">
        <f>Tabel66891019283234[[#This Row],[Fix.ch. 2015]]+Tabel66891019283234[[#This Row],[Var. ch. 2015]]+Tabel66891019283234[[#This Row],[Oth. ch. DW 2015]]</f>
        <v>125.70140085787966</v>
      </c>
      <c r="J212" s="322">
        <f>0.77*100/E212</f>
        <v>99.783586248007566</v>
      </c>
      <c r="K212" s="323">
        <v>0</v>
      </c>
      <c r="L212" s="323"/>
      <c r="M212" s="323"/>
      <c r="N212" s="324">
        <v>0</v>
      </c>
      <c r="O212" s="1258">
        <f>0.4*100/E212</f>
        <v>51.835629219744192</v>
      </c>
      <c r="P212" s="1491">
        <f>Tabel66891019283234[[#This Row],[Total. ch. DW 2015]]+Tabel66891019283234[[#This Row],[Sew. 2015]]+Tabel66891019283234[[#This Row],[WW 2015]]+Tabel66891019283234[[#This Row],[Other ch. 2015]]+Tabel66891019283234[[#This Row],[VAT 2015]]</f>
        <v>277.32061632563142</v>
      </c>
      <c r="Q212" s="397"/>
      <c r="R212" s="2158"/>
      <c r="S212" s="2159"/>
      <c r="T212" s="2160"/>
      <c r="U212" s="2141"/>
      <c r="V212" s="2142"/>
      <c r="W212" s="2143"/>
      <c r="X212" s="2144"/>
      <c r="Y212" s="2145"/>
      <c r="Z212" s="2146"/>
    </row>
    <row r="213" spans="1:26" ht="16.5" hidden="1" thickBot="1" x14ac:dyDescent="0.3">
      <c r="A213" s="2298"/>
      <c r="B213" s="1617"/>
      <c r="C213" s="293" t="s">
        <v>142</v>
      </c>
      <c r="D213" s="1548"/>
      <c r="E213" s="307">
        <v>0.77166999999999997</v>
      </c>
      <c r="F213" s="319">
        <f>1.17*100/E213</f>
        <v>151.61921546775176</v>
      </c>
      <c r="G213" s="320">
        <v>0</v>
      </c>
      <c r="H213" s="321">
        <v>0</v>
      </c>
      <c r="I213" s="313">
        <f>Tabel66891019283234[[#This Row],[Fix.ch. 2015]]+Tabel66891019283234[[#This Row],[Var. ch. 2015]]+Tabel66891019283234[[#This Row],[Oth. ch. DW 2015]]</f>
        <v>151.61921546775176</v>
      </c>
      <c r="J213" s="322">
        <f>0.78*100/E213</f>
        <v>101.07947697850118</v>
      </c>
      <c r="K213" s="323">
        <v>0</v>
      </c>
      <c r="L213" s="323"/>
      <c r="M213" s="323"/>
      <c r="N213" s="324">
        <v>0</v>
      </c>
      <c r="O213" s="1258">
        <f>0.35*100/E213</f>
        <v>45.356175567276168</v>
      </c>
      <c r="P213" s="1491">
        <f>Tabel66891019283234[[#This Row],[Total. ch. DW 2015]]+Tabel66891019283234[[#This Row],[Sew. 2015]]+Tabel66891019283234[[#This Row],[WW 2015]]+Tabel66891019283234[[#This Row],[Other ch. 2015]]+Tabel66891019283234[[#This Row],[VAT 2015]]</f>
        <v>298.05486801352913</v>
      </c>
      <c r="Q213" s="397"/>
      <c r="R213" s="2223"/>
      <c r="S213" s="2225"/>
      <c r="T213" s="2227"/>
      <c r="U213" s="2234"/>
      <c r="V213" s="2236"/>
      <c r="W213" s="2238"/>
      <c r="X213" s="2240"/>
      <c r="Y213" s="2242"/>
      <c r="Z213" s="2244"/>
    </row>
    <row r="214" spans="1:26" ht="19.5" hidden="1" thickBot="1" x14ac:dyDescent="0.35">
      <c r="A214" s="267" t="s">
        <v>43</v>
      </c>
      <c r="B214" s="1616"/>
      <c r="C214" s="294" t="s">
        <v>644</v>
      </c>
      <c r="D214" s="1542"/>
      <c r="E214" s="307">
        <f>'[1]exchange rates'!K55</f>
        <v>10.498559999999999</v>
      </c>
      <c r="F214" s="319">
        <v>0</v>
      </c>
      <c r="G214" s="320">
        <f>163.24/E214</f>
        <v>15.548799073396735</v>
      </c>
      <c r="H214" s="321">
        <v>0</v>
      </c>
      <c r="I214" s="313">
        <f>Tabel66891019283234[[#This Row],[Fix.ch. 2015]]+Tabel66891019283234[[#This Row],[Var. ch. 2015]]+Tabel66891019283234[[#This Row],[Oth. ch. DW 2015]]</f>
        <v>15.548799073396735</v>
      </c>
      <c r="J214" s="322">
        <f>113.88/E214</f>
        <v>10.847201901975128</v>
      </c>
      <c r="K214" s="323">
        <v>0</v>
      </c>
      <c r="L214" s="323"/>
      <c r="M214" s="323"/>
      <c r="N214" s="324">
        <v>0</v>
      </c>
      <c r="O214" s="1258">
        <f>38.8/E214</f>
        <v>3.6957449402584737</v>
      </c>
      <c r="P214" s="1491">
        <f>Tabel66891019283234[[#This Row],[Total. ch. DW 2015]]+Tabel66891019283234[[#This Row],[Sew. 2015]]+Tabel66891019283234[[#This Row],[WW 2015]]+Tabel66891019283234[[#This Row],[Other ch. 2015]]+Tabel66891019283234[[#This Row],[VAT 2015]]</f>
        <v>30.091745915630337</v>
      </c>
      <c r="Q214" s="397"/>
      <c r="R214" s="1549">
        <f>Tabel66891019283234[[#This Row],[Fix.ch. 2015]]</f>
        <v>0</v>
      </c>
      <c r="S214" s="1550">
        <f>Tabel66891019283234[[#This Row],[Var. ch. 2015]]</f>
        <v>15.548799073396735</v>
      </c>
      <c r="T214" s="1551">
        <f>Tabel66891019283234[[#This Row],[Oth. ch. DW 2015]]</f>
        <v>0</v>
      </c>
      <c r="U214" s="1552">
        <f>Tabel66891019283234[[#This Row],[Total. ch. DW 2015]]</f>
        <v>15.548799073396735</v>
      </c>
      <c r="V214" s="1553">
        <f>Tabel66891019283234[[#This Row],[Sew. 2015]]</f>
        <v>10.847201901975128</v>
      </c>
      <c r="W214" s="1554">
        <f>Tabel66891019283234[[#This Row],[WW 2015]]</f>
        <v>0</v>
      </c>
      <c r="X214" s="1555">
        <f>Tabel66891019283234[[#This Row],[Other ch. 2015]]</f>
        <v>0</v>
      </c>
      <c r="Y214" s="1556">
        <f>Tabel66891019283234[[#This Row],[VAT 2015]]</f>
        <v>3.6957449402584737</v>
      </c>
      <c r="Z214" s="1267">
        <f>Tabel66891019283234[[#This Row],[total charge 2015]]</f>
        <v>30.091745915630337</v>
      </c>
    </row>
    <row r="215" spans="1:26" ht="19.5" hidden="1" thickBot="1" x14ac:dyDescent="0.35">
      <c r="A215" s="267" t="s">
        <v>450</v>
      </c>
      <c r="B215" s="1616"/>
      <c r="C215" s="261" t="s">
        <v>177</v>
      </c>
      <c r="D215" s="1542"/>
      <c r="E215" s="306">
        <v>0.97958999999999996</v>
      </c>
      <c r="F215" s="319">
        <f>142.4/E215</f>
        <v>145.36693922967774</v>
      </c>
      <c r="G215" s="320">
        <f>128/E215</f>
        <v>130.66691166712604</v>
      </c>
      <c r="H215" s="321">
        <f>36/E215</f>
        <v>36.750068906379198</v>
      </c>
      <c r="I215" s="313">
        <f>Tabel66891019283234[[#This Row],[Fix.ch. 2015]]+Tabel66891019283234[[#This Row],[Var. ch. 2015]]+Tabel66891019283234[[#This Row],[Oth. ch. DW 2015]]</f>
        <v>312.78391980318293</v>
      </c>
      <c r="J215" s="322">
        <f>457.3/E215</f>
        <v>466.82795863575581</v>
      </c>
      <c r="K215" s="323">
        <v>0</v>
      </c>
      <c r="L215" s="323"/>
      <c r="M215" s="323"/>
      <c r="N215" s="324">
        <v>0</v>
      </c>
      <c r="O215" s="1258">
        <v>0</v>
      </c>
      <c r="P215" s="1491">
        <f>Tabel66891019283234[[#This Row],[Total. ch. DW 2015]]+Tabel66891019283234[[#This Row],[Sew. 2015]]+Tabel66891019283234[[#This Row],[WW 2015]]+Tabel66891019283234[[#This Row],[Other ch. 2015]]+Tabel66891019283234[[#This Row],[VAT 2015]]</f>
        <v>779.61187843893867</v>
      </c>
      <c r="Q215" s="397"/>
      <c r="R215" s="1549">
        <f>Tabel66891019283234[[#This Row],[Fix.ch. 2015]]</f>
        <v>145.36693922967774</v>
      </c>
      <c r="S215" s="1550">
        <f>Tabel66891019283234[[#This Row],[Var. ch. 2015]]</f>
        <v>130.66691166712604</v>
      </c>
      <c r="T215" s="1551">
        <f>Tabel66891019283234[[#This Row],[Oth. ch. DW 2015]]</f>
        <v>36.750068906379198</v>
      </c>
      <c r="U215" s="1552">
        <f>Tabel66891019283234[[#This Row],[Total. ch. DW 2015]]</f>
        <v>312.78391980318293</v>
      </c>
      <c r="V215" s="1553">
        <f>Tabel66891019283234[[#This Row],[Sew. 2015]]</f>
        <v>466.82795863575581</v>
      </c>
      <c r="W215" s="1554">
        <f>Tabel66891019283234[[#This Row],[WW 2015]]</f>
        <v>0</v>
      </c>
      <c r="X215" s="1555">
        <f>Tabel66891019283234[[#This Row],[Other ch. 2015]]</f>
        <v>0</v>
      </c>
      <c r="Y215" s="1556">
        <f>Tabel66891019283234[[#This Row],[VAT 2015]]</f>
        <v>0</v>
      </c>
      <c r="Z215" s="1267">
        <f>Tabel66891019283234[[#This Row],[total charge 2015]]</f>
        <v>779.61187843893867</v>
      </c>
    </row>
    <row r="216" spans="1:26" ht="15.75" hidden="1" x14ac:dyDescent="0.25">
      <c r="A216" s="1878" t="s">
        <v>25</v>
      </c>
      <c r="B216" s="1656"/>
      <c r="C216" s="1512" t="s">
        <v>143</v>
      </c>
      <c r="D216" s="2347">
        <v>36700</v>
      </c>
      <c r="E216" s="617">
        <f>'[1]exchange rates'!$M$56</f>
        <v>1180.2052799999999</v>
      </c>
      <c r="F216" s="549">
        <v>0</v>
      </c>
      <c r="G216" s="550">
        <f>57425/E216</f>
        <v>48.656789605279521</v>
      </c>
      <c r="H216" s="551">
        <v>0</v>
      </c>
      <c r="I216" s="566">
        <f>Tabel66891019283234[[#This Row],[Fix.ch. 2015]]+Tabel66891019283234[[#This Row],[Var. ch. 2015]]+Tabel66891019283234[[#This Row],[Oth. ch. DW 2015]]</f>
        <v>48.656789605279521</v>
      </c>
      <c r="J216" s="567">
        <f>44579/E216</f>
        <v>37.772242469547336</v>
      </c>
      <c r="K216" s="568">
        <v>0</v>
      </c>
      <c r="L216" s="568"/>
      <c r="M216" s="568"/>
      <c r="N216" s="569">
        <v>0</v>
      </c>
      <c r="O216" s="1271">
        <v>0</v>
      </c>
      <c r="P216" s="1496">
        <f>Tabel66891019283234[[#This Row],[Total. ch. DW 2015]]+Tabel66891019283234[[#This Row],[Sew. 2015]]+Tabel66891019283234[[#This Row],[WW 2015]]+Tabel66891019283234[[#This Row],[Other ch. 2015]]+Tabel66891019283234[[#This Row],[VAT 2015]]</f>
        <v>86.429032074826864</v>
      </c>
      <c r="Q216" s="397"/>
      <c r="R216" s="2344">
        <f t="shared" ref="R216:W216" si="52">SUM(F216:F223)/8</f>
        <v>0</v>
      </c>
      <c r="S216" s="2345">
        <f t="shared" si="52"/>
        <v>53.794137406333249</v>
      </c>
      <c r="T216" s="2350">
        <f t="shared" si="52"/>
        <v>0</v>
      </c>
      <c r="U216" s="2340">
        <f t="shared" si="52"/>
        <v>53.794137406333249</v>
      </c>
      <c r="V216" s="2351">
        <f t="shared" si="52"/>
        <v>33.735762476846404</v>
      </c>
      <c r="W216" s="2352">
        <f t="shared" si="52"/>
        <v>0</v>
      </c>
      <c r="X216" s="2341">
        <f t="shared" ref="X216:Z216" si="53">SUM(N216:N223)/8</f>
        <v>0</v>
      </c>
      <c r="Y216" s="2342">
        <f t="shared" si="53"/>
        <v>0</v>
      </c>
      <c r="Z216" s="2339">
        <f t="shared" si="53"/>
        <v>87.529899883179652</v>
      </c>
    </row>
    <row r="217" spans="1:26" ht="15.75" hidden="1" x14ac:dyDescent="0.25">
      <c r="A217" s="1757"/>
      <c r="B217" s="1656"/>
      <c r="C217" s="639" t="s">
        <v>144</v>
      </c>
      <c r="D217" s="2348"/>
      <c r="E217" s="617">
        <f>'[1]exchange rates'!$M$56</f>
        <v>1180.2052799999999</v>
      </c>
      <c r="F217" s="549">
        <v>0</v>
      </c>
      <c r="G217" s="550">
        <f>71508/E217</f>
        <v>60.589459487929091</v>
      </c>
      <c r="H217" s="551">
        <v>0</v>
      </c>
      <c r="I217" s="566">
        <f>Tabel66891019283234[[#This Row],[Fix.ch. 2015]]+Tabel66891019283234[[#This Row],[Var. ch. 2015]]+Tabel66891019283234[[#This Row],[Oth. ch. DW 2015]]</f>
        <v>60.589459487929091</v>
      </c>
      <c r="J217" s="567">
        <f>49081/E217</f>
        <v>41.586833097374388</v>
      </c>
      <c r="K217" s="568">
        <v>0</v>
      </c>
      <c r="L217" s="568"/>
      <c r="M217" s="568"/>
      <c r="N217" s="569">
        <v>0</v>
      </c>
      <c r="O217" s="1271">
        <v>0</v>
      </c>
      <c r="P217" s="1496">
        <f>Tabel66891019283234[[#This Row],[Total. ch. DW 2015]]+Tabel66891019283234[[#This Row],[Sew. 2015]]+Tabel66891019283234[[#This Row],[WW 2015]]+Tabel66891019283234[[#This Row],[Other ch. 2015]]+Tabel66891019283234[[#This Row],[VAT 2015]]</f>
        <v>102.17629258530349</v>
      </c>
      <c r="Q217" s="397"/>
      <c r="R217" s="1763"/>
      <c r="S217" s="1766"/>
      <c r="T217" s="1769"/>
      <c r="U217" s="1775"/>
      <c r="V217" s="1778"/>
      <c r="W217" s="1781"/>
      <c r="X217" s="1785"/>
      <c r="Y217" s="1788"/>
      <c r="Z217" s="1791"/>
    </row>
    <row r="218" spans="1:26" ht="15.75" hidden="1" x14ac:dyDescent="0.25">
      <c r="A218" s="1757"/>
      <c r="B218" s="1656"/>
      <c r="C218" s="639" t="s">
        <v>145</v>
      </c>
      <c r="D218" s="2348"/>
      <c r="E218" s="617">
        <f>'[1]exchange rates'!$M$56</f>
        <v>1180.2052799999999</v>
      </c>
      <c r="F218" s="549">
        <v>0</v>
      </c>
      <c r="G218" s="550">
        <f>57896/E218</f>
        <v>49.055872720718554</v>
      </c>
      <c r="H218" s="551">
        <v>0</v>
      </c>
      <c r="I218" s="566">
        <f>Tabel66891019283234[[#This Row],[Fix.ch. 2015]]+Tabel66891019283234[[#This Row],[Var. ch. 2015]]+Tabel66891019283234[[#This Row],[Oth. ch. DW 2015]]</f>
        <v>49.055872720718554</v>
      </c>
      <c r="J218" s="567">
        <f>38589/E218</f>
        <v>32.696854228613518</v>
      </c>
      <c r="K218" s="568">
        <v>0</v>
      </c>
      <c r="L218" s="568"/>
      <c r="M218" s="568"/>
      <c r="N218" s="569">
        <v>0</v>
      </c>
      <c r="O218" s="1271">
        <v>0</v>
      </c>
      <c r="P218" s="1496">
        <f>Tabel66891019283234[[#This Row],[Total. ch. DW 2015]]+Tabel66891019283234[[#This Row],[Sew. 2015]]+Tabel66891019283234[[#This Row],[WW 2015]]+Tabel66891019283234[[#This Row],[Other ch. 2015]]+Tabel66891019283234[[#This Row],[VAT 2015]]</f>
        <v>81.752726949332072</v>
      </c>
      <c r="Q218" s="397"/>
      <c r="R218" s="1763"/>
      <c r="S218" s="1766"/>
      <c r="T218" s="1769"/>
      <c r="U218" s="1775"/>
      <c r="V218" s="1778"/>
      <c r="W218" s="1781"/>
      <c r="X218" s="1785"/>
      <c r="Y218" s="1788"/>
      <c r="Z218" s="1791"/>
    </row>
    <row r="219" spans="1:26" ht="15.75" hidden="1" x14ac:dyDescent="0.25">
      <c r="A219" s="1757"/>
      <c r="B219" s="1656"/>
      <c r="C219" s="639" t="s">
        <v>146</v>
      </c>
      <c r="D219" s="2348"/>
      <c r="E219" s="617">
        <f>'[1]exchange rates'!$M$56</f>
        <v>1180.2052799999999</v>
      </c>
      <c r="F219" s="549">
        <v>0</v>
      </c>
      <c r="G219" s="550">
        <f>66370/E219</f>
        <v>56.235979557725756</v>
      </c>
      <c r="H219" s="551">
        <v>0</v>
      </c>
      <c r="I219" s="566">
        <f>Tabel66891019283234[[#This Row],[Fix.ch. 2015]]+Tabel66891019283234[[#This Row],[Var. ch. 2015]]+Tabel66891019283234[[#This Row],[Oth. ch. DW 2015]]</f>
        <v>56.235979557725756</v>
      </c>
      <c r="J219" s="567">
        <f>41691/E219</f>
        <v>35.32521054303367</v>
      </c>
      <c r="K219" s="568">
        <v>0</v>
      </c>
      <c r="L219" s="568"/>
      <c r="M219" s="568"/>
      <c r="N219" s="569">
        <v>0</v>
      </c>
      <c r="O219" s="1271">
        <v>0</v>
      </c>
      <c r="P219" s="1496">
        <f>Tabel66891019283234[[#This Row],[Total. ch. DW 2015]]+Tabel66891019283234[[#This Row],[Sew. 2015]]+Tabel66891019283234[[#This Row],[WW 2015]]+Tabel66891019283234[[#This Row],[Other ch. 2015]]+Tabel66891019283234[[#This Row],[VAT 2015]]</f>
        <v>91.561190100759433</v>
      </c>
      <c r="Q219" s="397"/>
      <c r="R219" s="1763"/>
      <c r="S219" s="1766"/>
      <c r="T219" s="1769"/>
      <c r="U219" s="1775"/>
      <c r="V219" s="1778"/>
      <c r="W219" s="1781"/>
      <c r="X219" s="1785"/>
      <c r="Y219" s="1788"/>
      <c r="Z219" s="1791"/>
    </row>
    <row r="220" spans="1:26" ht="15.75" hidden="1" x14ac:dyDescent="0.25">
      <c r="A220" s="1757"/>
      <c r="B220" s="1656"/>
      <c r="C220" s="639" t="s">
        <v>147</v>
      </c>
      <c r="D220" s="2348"/>
      <c r="E220" s="617">
        <f>'[1]exchange rates'!$M$56</f>
        <v>1180.2052799999999</v>
      </c>
      <c r="F220" s="549">
        <v>0</v>
      </c>
      <c r="G220" s="550">
        <f>53135/E220</f>
        <v>45.021828744911225</v>
      </c>
      <c r="H220" s="551">
        <v>0</v>
      </c>
      <c r="I220" s="566">
        <f>Tabel66891019283234[[#This Row],[Fix.ch. 2015]]+Tabel66891019283234[[#This Row],[Var. ch. 2015]]+Tabel66891019283234[[#This Row],[Oth. ch. DW 2015]]</f>
        <v>45.021828744911225</v>
      </c>
      <c r="J220" s="567">
        <f>35134/E220</f>
        <v>29.769397405170061</v>
      </c>
      <c r="K220" s="568">
        <v>0</v>
      </c>
      <c r="L220" s="568"/>
      <c r="M220" s="568"/>
      <c r="N220" s="569">
        <v>0</v>
      </c>
      <c r="O220" s="1271">
        <v>0</v>
      </c>
      <c r="P220" s="1496">
        <f>Tabel66891019283234[[#This Row],[Total. ch. DW 2015]]+Tabel66891019283234[[#This Row],[Sew. 2015]]+Tabel66891019283234[[#This Row],[WW 2015]]+Tabel66891019283234[[#This Row],[Other ch. 2015]]+Tabel66891019283234[[#This Row],[VAT 2015]]</f>
        <v>74.791226150081286</v>
      </c>
      <c r="Q220" s="397"/>
      <c r="R220" s="1763"/>
      <c r="S220" s="1766"/>
      <c r="T220" s="1769"/>
      <c r="U220" s="1775"/>
      <c r="V220" s="1778"/>
      <c r="W220" s="1781"/>
      <c r="X220" s="1785"/>
      <c r="Y220" s="1788"/>
      <c r="Z220" s="1791"/>
    </row>
    <row r="221" spans="1:26" ht="15.75" hidden="1" x14ac:dyDescent="0.25">
      <c r="A221" s="1757"/>
      <c r="B221" s="1656"/>
      <c r="C221" s="639" t="s">
        <v>148</v>
      </c>
      <c r="D221" s="2348"/>
      <c r="E221" s="617">
        <f>'[1]exchange rates'!$M$56</f>
        <v>1180.2052799999999</v>
      </c>
      <c r="F221" s="549">
        <v>0</v>
      </c>
      <c r="G221" s="550">
        <f>50939/E221</f>
        <v>43.16113549331012</v>
      </c>
      <c r="H221" s="551">
        <v>0</v>
      </c>
      <c r="I221" s="566">
        <f>Tabel66891019283234[[#This Row],[Fix.ch. 2015]]+Tabel66891019283234[[#This Row],[Var. ch. 2015]]+Tabel66891019283234[[#This Row],[Oth. ch. DW 2015]]</f>
        <v>43.16113549331012</v>
      </c>
      <c r="J221" s="567">
        <f>38491/E221</f>
        <v>32.613817826675039</v>
      </c>
      <c r="K221" s="568">
        <v>0</v>
      </c>
      <c r="L221" s="568"/>
      <c r="M221" s="568"/>
      <c r="N221" s="569">
        <v>0</v>
      </c>
      <c r="O221" s="1271">
        <v>0</v>
      </c>
      <c r="P221" s="1496">
        <f>Tabel66891019283234[[#This Row],[Total. ch. DW 2015]]+Tabel66891019283234[[#This Row],[Sew. 2015]]+Tabel66891019283234[[#This Row],[WW 2015]]+Tabel66891019283234[[#This Row],[Other ch. 2015]]+Tabel66891019283234[[#This Row],[VAT 2015]]</f>
        <v>75.774953319985158</v>
      </c>
      <c r="Q221" s="397"/>
      <c r="R221" s="1763"/>
      <c r="S221" s="1766"/>
      <c r="T221" s="1769"/>
      <c r="U221" s="1775"/>
      <c r="V221" s="1778"/>
      <c r="W221" s="1781"/>
      <c r="X221" s="1785"/>
      <c r="Y221" s="1788"/>
      <c r="Z221" s="1791"/>
    </row>
    <row r="222" spans="1:26" ht="15.75" hidden="1" x14ac:dyDescent="0.25">
      <c r="A222" s="1757"/>
      <c r="B222" s="1656"/>
      <c r="C222" s="639" t="s">
        <v>149</v>
      </c>
      <c r="D222" s="2348"/>
      <c r="E222" s="617">
        <f>'[1]exchange rates'!$M$56</f>
        <v>1180.2052799999999</v>
      </c>
      <c r="F222" s="549">
        <v>0</v>
      </c>
      <c r="G222" s="550">
        <f>87196/E222</f>
        <v>73.882062279877289</v>
      </c>
      <c r="H222" s="551">
        <v>0</v>
      </c>
      <c r="I222" s="566">
        <f>Tabel66891019283234[[#This Row],[Fix.ch. 2015]]+Tabel66891019283234[[#This Row],[Var. ch. 2015]]+Tabel66891019283234[[#This Row],[Oth. ch. DW 2015]]</f>
        <v>73.882062279877289</v>
      </c>
      <c r="J222" s="567">
        <f>40005/E222</f>
        <v>33.896645505602216</v>
      </c>
      <c r="K222" s="568">
        <v>0</v>
      </c>
      <c r="L222" s="568"/>
      <c r="M222" s="568"/>
      <c r="N222" s="569">
        <v>0</v>
      </c>
      <c r="O222" s="1271">
        <v>0</v>
      </c>
      <c r="P222" s="1496">
        <f>Tabel66891019283234[[#This Row],[Total. ch. DW 2015]]+Tabel66891019283234[[#This Row],[Sew. 2015]]+Tabel66891019283234[[#This Row],[WW 2015]]+Tabel66891019283234[[#This Row],[Other ch. 2015]]+Tabel66891019283234[[#This Row],[VAT 2015]]</f>
        <v>107.7787077854795</v>
      </c>
      <c r="Q222" s="397"/>
      <c r="R222" s="1763"/>
      <c r="S222" s="1766"/>
      <c r="T222" s="1769"/>
      <c r="U222" s="1775"/>
      <c r="V222" s="1778"/>
      <c r="W222" s="1781"/>
      <c r="X222" s="1785"/>
      <c r="Y222" s="1788"/>
      <c r="Z222" s="1791"/>
    </row>
    <row r="223" spans="1:26" ht="16.5" hidden="1" thickBot="1" x14ac:dyDescent="0.3">
      <c r="A223" s="1758"/>
      <c r="B223" s="1656"/>
      <c r="C223" s="652" t="s">
        <v>150</v>
      </c>
      <c r="D223" s="2349"/>
      <c r="E223" s="617">
        <f>'[1]exchange rates'!$M$56</f>
        <v>1180.2052799999999</v>
      </c>
      <c r="F223" s="549">
        <v>0</v>
      </c>
      <c r="G223" s="550">
        <f>63436/E223</f>
        <v>53.749971360914437</v>
      </c>
      <c r="H223" s="551">
        <v>0</v>
      </c>
      <c r="I223" s="566">
        <f>Tabel66891019283234[[#This Row],[Fix.ch. 2015]]+Tabel66891019283234[[#This Row],[Var. ch. 2015]]+Tabel66891019283234[[#This Row],[Oth. ch. DW 2015]]</f>
        <v>53.749971360914437</v>
      </c>
      <c r="J223" s="567">
        <f>30951/E223</f>
        <v>26.225098738755008</v>
      </c>
      <c r="K223" s="568">
        <v>0</v>
      </c>
      <c r="L223" s="568"/>
      <c r="M223" s="568"/>
      <c r="N223" s="569">
        <v>0</v>
      </c>
      <c r="O223" s="1271">
        <v>0</v>
      </c>
      <c r="P223" s="1496">
        <f>Tabel66891019283234[[#This Row],[Total. ch. DW 2015]]+Tabel66891019283234[[#This Row],[Sew. 2015]]+Tabel66891019283234[[#This Row],[WW 2015]]+Tabel66891019283234[[#This Row],[Other ch. 2015]]+Tabel66891019283234[[#This Row],[VAT 2015]]</f>
        <v>79.975070099669438</v>
      </c>
      <c r="Q223" s="397"/>
      <c r="R223" s="1764"/>
      <c r="S223" s="1767"/>
      <c r="T223" s="1770"/>
      <c r="U223" s="1776"/>
      <c r="V223" s="1779"/>
      <c r="W223" s="1811"/>
      <c r="X223" s="1813"/>
      <c r="Y223" s="1815"/>
      <c r="Z223" s="1794"/>
    </row>
    <row r="224" spans="1:26" ht="15.75" hidden="1" x14ac:dyDescent="0.25">
      <c r="A224" s="1818" t="s">
        <v>26</v>
      </c>
      <c r="B224" s="1656"/>
      <c r="C224" s="543" t="s">
        <v>151</v>
      </c>
      <c r="D224" s="2347">
        <v>35200</v>
      </c>
      <c r="E224" s="617">
        <f>'[1]exchange rates'!$M$57</f>
        <v>0.92093999999999998</v>
      </c>
      <c r="F224" s="549">
        <f>83.28/E224</f>
        <v>90.429343931200734</v>
      </c>
      <c r="G224" s="550">
        <f>81.16/E224</f>
        <v>88.127348144287353</v>
      </c>
      <c r="H224" s="551">
        <v>0</v>
      </c>
      <c r="I224" s="566">
        <f>Tabel66891019283234[[#This Row],[Fix.ch. 2015]]+Tabel66891019283234[[#This Row],[Var. ch. 2015]]+Tabel66891019283234[[#This Row],[Oth. ch. DW 2015]]</f>
        <v>178.55669207548809</v>
      </c>
      <c r="J224" s="567">
        <f>15.29/E224</f>
        <v>16.602601689578041</v>
      </c>
      <c r="K224" s="568">
        <f>48.63/E224</f>
        <v>52.8047429799987</v>
      </c>
      <c r="L224" s="568"/>
      <c r="M224" s="568"/>
      <c r="N224" s="569">
        <v>0</v>
      </c>
      <c r="O224" s="1271">
        <f>22.84/E224</f>
        <v>24.800747062783678</v>
      </c>
      <c r="P224" s="1496">
        <f>Tabel66891019283234[[#This Row],[Total. ch. DW 2015]]+Tabel66891019283234[[#This Row],[Sew. 2015]]+Tabel66891019283234[[#This Row],[WW 2015]]+Tabel66891019283234[[#This Row],[Other ch. 2015]]+Tabel66891019283234[[#This Row],[VAT 2015]]</f>
        <v>272.76478380784852</v>
      </c>
      <c r="Q224" s="397"/>
      <c r="R224" s="2344">
        <f t="shared" ref="R224:W224" si="54">SUM(F224:F228)/5</f>
        <v>64.004169652746114</v>
      </c>
      <c r="S224" s="2345">
        <f t="shared" si="54"/>
        <v>59.274219818880717</v>
      </c>
      <c r="T224" s="2350">
        <f t="shared" si="54"/>
        <v>0</v>
      </c>
      <c r="U224" s="2340">
        <f t="shared" si="54"/>
        <v>123.27838947162681</v>
      </c>
      <c r="V224" s="2351">
        <f t="shared" si="54"/>
        <v>21.977544682606901</v>
      </c>
      <c r="W224" s="2352">
        <f t="shared" si="54"/>
        <v>74.204617021738656</v>
      </c>
      <c r="X224" s="2341">
        <f t="shared" ref="X224:Z224" si="55">SUM(N224:N228)/5</f>
        <v>0</v>
      </c>
      <c r="Y224" s="2342">
        <f t="shared" si="55"/>
        <v>21.947140964666538</v>
      </c>
      <c r="Z224" s="2339">
        <f t="shared" si="55"/>
        <v>241.40769214063889</v>
      </c>
    </row>
    <row r="225" spans="1:26" ht="15.75" hidden="1" x14ac:dyDescent="0.25">
      <c r="A225" s="2294"/>
      <c r="B225" s="1656"/>
      <c r="C225" s="543" t="s">
        <v>152</v>
      </c>
      <c r="D225" s="2359"/>
      <c r="E225" s="617">
        <f>'[1]exchange rates'!$M$57</f>
        <v>0.92093999999999998</v>
      </c>
      <c r="F225" s="549">
        <f>32.93/E225</f>
        <v>35.756943992008168</v>
      </c>
      <c r="G225" s="550">
        <f>51.97/E225</f>
        <v>56.431472191456557</v>
      </c>
      <c r="H225" s="551">
        <v>0</v>
      </c>
      <c r="I225" s="566">
        <f>Tabel66891019283234[[#This Row],[Fix.ch. 2015]]+Tabel66891019283234[[#This Row],[Var. ch. 2015]]+Tabel66891019283234[[#This Row],[Oth. ch. DW 2015]]</f>
        <v>92.188416183464724</v>
      </c>
      <c r="J225" s="567">
        <v>0</v>
      </c>
      <c r="K225" s="568">
        <f>78.33/E225</f>
        <v>85.054400938171867</v>
      </c>
      <c r="L225" s="568"/>
      <c r="M225" s="568"/>
      <c r="N225" s="569">
        <v>0</v>
      </c>
      <c r="O225" s="1271">
        <f>16.32/E225</f>
        <v>17.721024170955765</v>
      </c>
      <c r="P225" s="1496">
        <f>Tabel66891019283234[[#This Row],[Total. ch. DW 2015]]+Tabel66891019283234[[#This Row],[Sew. 2015]]+Tabel66891019283234[[#This Row],[WW 2015]]+Tabel66891019283234[[#This Row],[Other ch. 2015]]+Tabel66891019283234[[#This Row],[VAT 2015]]</f>
        <v>194.96384129259235</v>
      </c>
      <c r="Q225" s="397"/>
      <c r="R225" s="1763"/>
      <c r="S225" s="1766"/>
      <c r="T225" s="1769"/>
      <c r="U225" s="1775"/>
      <c r="V225" s="1778"/>
      <c r="W225" s="1781"/>
      <c r="X225" s="1785"/>
      <c r="Y225" s="1788"/>
      <c r="Z225" s="1791"/>
    </row>
    <row r="226" spans="1:26" ht="15.75" hidden="1" x14ac:dyDescent="0.25">
      <c r="A226" s="2294"/>
      <c r="B226" s="1656"/>
      <c r="C226" s="543" t="s">
        <v>153</v>
      </c>
      <c r="D226" s="2359"/>
      <c r="E226" s="617">
        <f>'[1]exchange rates'!$M$57</f>
        <v>0.92093999999999998</v>
      </c>
      <c r="F226" s="549">
        <f>61.23/E226</f>
        <v>66.486416053163069</v>
      </c>
      <c r="G226" s="550">
        <f>43/E226</f>
        <v>46.691423979846682</v>
      </c>
      <c r="H226" s="551">
        <v>0</v>
      </c>
      <c r="I226" s="566">
        <f>Tabel66891019283234[[#This Row],[Fix.ch. 2015]]+Tabel66891019283234[[#This Row],[Var. ch. 2015]]+Tabel66891019283234[[#This Row],[Oth. ch. DW 2015]]</f>
        <v>113.17784003300974</v>
      </c>
      <c r="J226" s="567">
        <f>17.4/E226</f>
        <v>18.893739005798423</v>
      </c>
      <c r="K226" s="568">
        <f>50/E226</f>
        <v>54.292353464937996</v>
      </c>
      <c r="L226" s="568"/>
      <c r="M226" s="568"/>
      <c r="N226" s="569">
        <v>0</v>
      </c>
      <c r="O226" s="1271">
        <f>17.16/E226</f>
        <v>18.633135709166723</v>
      </c>
      <c r="P226" s="1496">
        <f>Tabel66891019283234[[#This Row],[Total. ch. DW 2015]]+Tabel66891019283234[[#This Row],[Sew. 2015]]+Tabel66891019283234[[#This Row],[WW 2015]]+Tabel66891019283234[[#This Row],[Other ch. 2015]]+Tabel66891019283234[[#This Row],[VAT 2015]]</f>
        <v>204.99706821291289</v>
      </c>
      <c r="Q226" s="397"/>
      <c r="R226" s="1763"/>
      <c r="S226" s="1766"/>
      <c r="T226" s="1769"/>
      <c r="U226" s="1775"/>
      <c r="V226" s="1778"/>
      <c r="W226" s="1781"/>
      <c r="X226" s="1785"/>
      <c r="Y226" s="1788"/>
      <c r="Z226" s="1791"/>
    </row>
    <row r="227" spans="1:26" ht="15.75" hidden="1" x14ac:dyDescent="0.25">
      <c r="A227" s="2294"/>
      <c r="B227" s="1656"/>
      <c r="C227" s="543" t="s">
        <v>214</v>
      </c>
      <c r="D227" s="2359"/>
      <c r="E227" s="617">
        <f>'[1]exchange rates'!$M$57</f>
        <v>0.92093999999999998</v>
      </c>
      <c r="F227" s="549">
        <f>46.36/E227</f>
        <v>50.339870132690514</v>
      </c>
      <c r="G227" s="550">
        <f>40.9/E227</f>
        <v>44.411145134319284</v>
      </c>
      <c r="H227" s="551">
        <v>0</v>
      </c>
      <c r="I227" s="566">
        <f>Tabel66891019283234[[#This Row],[Fix.ch. 2015]]+Tabel66891019283234[[#This Row],[Var. ch. 2015]]+Tabel66891019283234[[#This Row],[Oth. ch. DW 2015]]</f>
        <v>94.751015267009791</v>
      </c>
      <c r="J227" s="567">
        <f>38.22/E227</f>
        <v>41.501074988598603</v>
      </c>
      <c r="K227" s="568">
        <f>75.8/E227</f>
        <v>82.307207852846005</v>
      </c>
      <c r="L227" s="568"/>
      <c r="M227" s="568"/>
      <c r="N227" s="569">
        <v>0</v>
      </c>
      <c r="O227" s="1271">
        <f>20.13/E227</f>
        <v>21.858101504984038</v>
      </c>
      <c r="P227" s="1496">
        <f>Tabel66891019283234[[#This Row],[Total. ch. DW 2015]]+Tabel66891019283234[[#This Row],[Sew. 2015]]+Tabel66891019283234[[#This Row],[WW 2015]]+Tabel66891019283234[[#This Row],[Other ch. 2015]]+Tabel66891019283234[[#This Row],[VAT 2015]]</f>
        <v>240.41739961343842</v>
      </c>
      <c r="Q227" s="397"/>
      <c r="R227" s="1763"/>
      <c r="S227" s="1766"/>
      <c r="T227" s="1769"/>
      <c r="U227" s="1775"/>
      <c r="V227" s="1778"/>
      <c r="W227" s="1781"/>
      <c r="X227" s="1785"/>
      <c r="Y227" s="1788"/>
      <c r="Z227" s="1791"/>
    </row>
    <row r="228" spans="1:26" ht="16.5" hidden="1" thickBot="1" x14ac:dyDescent="0.3">
      <c r="A228" s="2295"/>
      <c r="B228" s="1656"/>
      <c r="C228" s="543" t="s">
        <v>154</v>
      </c>
      <c r="D228" s="2349"/>
      <c r="E228" s="617">
        <f>'[1]exchange rates'!$M$57</f>
        <v>0.92093999999999998</v>
      </c>
      <c r="F228" s="549">
        <f>70.92/E228</f>
        <v>77.008274154668058</v>
      </c>
      <c r="G228" s="550">
        <f>55.91/E228</f>
        <v>60.709709644493664</v>
      </c>
      <c r="H228" s="551">
        <v>0</v>
      </c>
      <c r="I228" s="566">
        <f>Tabel66891019283234[[#This Row],[Fix.ch. 2015]]+Tabel66891019283234[[#This Row],[Var. ch. 2015]]+Tabel66891019283234[[#This Row],[Oth. ch. DW 2015]]</f>
        <v>137.71798379916171</v>
      </c>
      <c r="J228" s="567">
        <f>30.29/E228</f>
        <v>32.890307729059437</v>
      </c>
      <c r="K228" s="568">
        <f>88.93/E228</f>
        <v>96.564379872738726</v>
      </c>
      <c r="L228" s="568"/>
      <c r="M228" s="568"/>
      <c r="N228" s="569">
        <v>0</v>
      </c>
      <c r="O228" s="1271">
        <f>24.61/E228</f>
        <v>26.722696375442482</v>
      </c>
      <c r="P228" s="1496">
        <f>Tabel66891019283234[[#This Row],[Total. ch. DW 2015]]+Tabel66891019283234[[#This Row],[Sew. 2015]]+Tabel66891019283234[[#This Row],[WW 2015]]+Tabel66891019283234[[#This Row],[Other ch. 2015]]+Tabel66891019283234[[#This Row],[VAT 2015]]</f>
        <v>293.89536777640234</v>
      </c>
      <c r="Q228" s="397"/>
      <c r="R228" s="1764"/>
      <c r="S228" s="1767"/>
      <c r="T228" s="1770"/>
      <c r="U228" s="1776"/>
      <c r="V228" s="1779"/>
      <c r="W228" s="1811"/>
      <c r="X228" s="1813"/>
      <c r="Y228" s="1815"/>
      <c r="Z228" s="1794"/>
    </row>
    <row r="229" spans="1:26" ht="15.75" hidden="1" x14ac:dyDescent="0.25">
      <c r="A229" s="2004" t="s">
        <v>48</v>
      </c>
      <c r="B229" s="1617"/>
      <c r="C229" s="1557" t="s">
        <v>155</v>
      </c>
      <c r="D229" s="1545"/>
      <c r="E229" s="307">
        <f>'[1]exchange rates'!K58</f>
        <v>6.4383900000000001</v>
      </c>
      <c r="F229" s="319">
        <f>561.6/E229</f>
        <v>87.226775638008888</v>
      </c>
      <c r="G229" s="320">
        <f>243.2/E229</f>
        <v>37.773418509906975</v>
      </c>
      <c r="H229" s="321">
        <v>0</v>
      </c>
      <c r="I229" s="313">
        <f>Tabel66891019283234[[#This Row],[Fix.ch. 2015]]+Tabel66891019283234[[#This Row],[Var. ch. 2015]]+Tabel66891019283234[[#This Row],[Oth. ch. DW 2015]]</f>
        <v>125.00019414791586</v>
      </c>
      <c r="J229" s="322">
        <f>842.4/E229</f>
        <v>130.84016345701332</v>
      </c>
      <c r="K229" s="323">
        <f>214.4/E229</f>
        <v>33.300250528470627</v>
      </c>
      <c r="L229" s="323"/>
      <c r="M229" s="323"/>
      <c r="N229" s="324">
        <f>277.6/E229</f>
        <v>43.116369154400402</v>
      </c>
      <c r="O229" s="1258">
        <f>534.8/E229</f>
        <v>83.064244321950042</v>
      </c>
      <c r="P229" s="1491">
        <f>Tabel66891019283234[[#This Row],[Total. ch. DW 2015]]+Tabel66891019283234[[#This Row],[Sew. 2015]]+Tabel66891019283234[[#This Row],[WW 2015]]+Tabel66891019283234[[#This Row],[Other ch. 2015]]+Tabel66891019283234[[#This Row],[VAT 2015]]</f>
        <v>415.3212216097503</v>
      </c>
      <c r="Q229" s="397"/>
      <c r="R229" s="2362">
        <f t="shared" ref="R229:W229" si="56">SUM(F229:F233)/5</f>
        <v>96.108499174483057</v>
      </c>
      <c r="S229" s="2363">
        <f t="shared" si="56"/>
        <v>82.107483392587284</v>
      </c>
      <c r="T229" s="2364">
        <f t="shared" si="56"/>
        <v>0</v>
      </c>
      <c r="U229" s="2365">
        <f t="shared" si="56"/>
        <v>178.21598256707034</v>
      </c>
      <c r="V229" s="2354">
        <f t="shared" si="56"/>
        <v>144.16274876172457</v>
      </c>
      <c r="W229" s="2355">
        <f t="shared" si="56"/>
        <v>107.95245395199731</v>
      </c>
      <c r="X229" s="2356">
        <f t="shared" ref="X229:Z229" si="57">SUM(N229:N233)/5</f>
        <v>25.124293495734186</v>
      </c>
      <c r="Y229" s="2357">
        <f t="shared" si="57"/>
        <v>113.86386969413161</v>
      </c>
      <c r="Z229" s="2358">
        <f t="shared" si="57"/>
        <v>569.31934847065816</v>
      </c>
    </row>
    <row r="230" spans="1:26" ht="15.75" hidden="1" x14ac:dyDescent="0.25">
      <c r="A230" s="2005"/>
      <c r="B230" s="1617"/>
      <c r="C230" s="276" t="s">
        <v>156</v>
      </c>
      <c r="D230" s="1601"/>
      <c r="E230" s="307">
        <f>'[1]exchange rates'!K58</f>
        <v>6.4383900000000001</v>
      </c>
      <c r="F230" s="319">
        <f>974.72/E230</f>
        <v>151.39188523839036</v>
      </c>
      <c r="G230" s="320">
        <f>504/E230</f>
        <v>78.280439675136179</v>
      </c>
      <c r="H230" s="321">
        <v>0</v>
      </c>
      <c r="I230" s="313">
        <f>Tabel66891019283234[[#This Row],[Fix.ch. 2015]]+Tabel66891019283234[[#This Row],[Var. ch. 2015]]+Tabel66891019283234[[#This Row],[Oth. ch. DW 2015]]</f>
        <v>229.67232491352655</v>
      </c>
      <c r="J230" s="322">
        <f>1462.08/E230</f>
        <v>227.08782785758549</v>
      </c>
      <c r="K230" s="323">
        <f>643.2/E230</f>
        <v>99.900751585411882</v>
      </c>
      <c r="L230" s="323"/>
      <c r="M230" s="323"/>
      <c r="N230" s="324">
        <v>0</v>
      </c>
      <c r="O230" s="1258">
        <f>896/E230</f>
        <v>139.16522608913098</v>
      </c>
      <c r="P230" s="1491">
        <f>Tabel66891019283234[[#This Row],[Total. ch. DW 2015]]+Tabel66891019283234[[#This Row],[Sew. 2015]]+Tabel66891019283234[[#This Row],[WW 2015]]+Tabel66891019283234[[#This Row],[Other ch. 2015]]+Tabel66891019283234[[#This Row],[VAT 2015]]</f>
        <v>695.82613044565494</v>
      </c>
      <c r="Q230" s="397"/>
      <c r="R230" s="1840"/>
      <c r="S230" s="1843"/>
      <c r="T230" s="1846"/>
      <c r="U230" s="1849"/>
      <c r="V230" s="1852"/>
      <c r="W230" s="1855"/>
      <c r="X230" s="1858"/>
      <c r="Y230" s="1873"/>
      <c r="Z230" s="1876"/>
    </row>
    <row r="231" spans="1:26" ht="15.75" hidden="1" x14ac:dyDescent="0.25">
      <c r="A231" s="2005"/>
      <c r="B231" s="1617"/>
      <c r="C231" s="276" t="s">
        <v>157</v>
      </c>
      <c r="D231" s="1601"/>
      <c r="E231" s="307">
        <f>'[1]exchange rates'!K58</f>
        <v>6.4383900000000001</v>
      </c>
      <c r="F231" s="319">
        <f>524/E231</f>
        <v>81.386806328911419</v>
      </c>
      <c r="G231" s="320">
        <f>357.6/E231</f>
        <v>55.541835769501382</v>
      </c>
      <c r="H231" s="321">
        <v>0</v>
      </c>
      <c r="I231" s="313">
        <f>Tabel66891019283234[[#This Row],[Fix.ch. 2015]]+Tabel66891019283234[[#This Row],[Var. ch. 2015]]+Tabel66891019283234[[#This Row],[Oth. ch. DW 2015]]</f>
        <v>136.92864209841281</v>
      </c>
      <c r="J231" s="322">
        <f>786/E231</f>
        <v>122.08020949336714</v>
      </c>
      <c r="K231" s="323">
        <f>380/E231</f>
        <v>59.020966421729653</v>
      </c>
      <c r="L231" s="323"/>
      <c r="M231" s="323"/>
      <c r="N231" s="324">
        <f>531.2/E231</f>
        <v>82.50509832427052</v>
      </c>
      <c r="O231" s="1258">
        <f>644.7/E231</f>
        <v>100.13372908444504</v>
      </c>
      <c r="P231" s="1491">
        <f>Tabel66891019283234[[#This Row],[Total. ch. DW 2015]]+Tabel66891019283234[[#This Row],[Sew. 2015]]+Tabel66891019283234[[#This Row],[WW 2015]]+Tabel66891019283234[[#This Row],[Other ch. 2015]]+Tabel66891019283234[[#This Row],[VAT 2015]]</f>
        <v>500.66864542222515</v>
      </c>
      <c r="Q231" s="397"/>
      <c r="R231" s="1840"/>
      <c r="S231" s="1843"/>
      <c r="T231" s="1846"/>
      <c r="U231" s="1849"/>
      <c r="V231" s="1852"/>
      <c r="W231" s="1855"/>
      <c r="X231" s="1858"/>
      <c r="Y231" s="1873"/>
      <c r="Z231" s="1876"/>
    </row>
    <row r="232" spans="1:26" ht="15.75" hidden="1" x14ac:dyDescent="0.25">
      <c r="A232" s="2005"/>
      <c r="B232" s="1617"/>
      <c r="C232" s="276" t="s">
        <v>158</v>
      </c>
      <c r="D232" s="1601"/>
      <c r="E232" s="307">
        <f>'[1]exchange rates'!K58</f>
        <v>6.4383900000000001</v>
      </c>
      <c r="F232" s="319">
        <f>0</f>
        <v>0</v>
      </c>
      <c r="G232" s="320">
        <f>1072/E232</f>
        <v>166.50125264235314</v>
      </c>
      <c r="H232" s="321">
        <v>0</v>
      </c>
      <c r="I232" s="313">
        <f>Tabel66891019283234[[#This Row],[Fix.ch. 2015]]+Tabel66891019283234[[#This Row],[Var. ch. 2015]]+Tabel66891019283234[[#This Row],[Oth. ch. DW 2015]]</f>
        <v>166.50125264235314</v>
      </c>
      <c r="J232" s="322">
        <v>0</v>
      </c>
      <c r="K232" s="323">
        <f>1608/E232</f>
        <v>249.75187896352969</v>
      </c>
      <c r="L232" s="323"/>
      <c r="M232" s="323"/>
      <c r="N232" s="324">
        <v>0</v>
      </c>
      <c r="O232" s="1258">
        <f>670/E232</f>
        <v>104.06328290147071</v>
      </c>
      <c r="P232" s="1491">
        <f>Tabel66891019283234[[#This Row],[Total. ch. DW 2015]]+Tabel66891019283234[[#This Row],[Sew. 2015]]+Tabel66891019283234[[#This Row],[WW 2015]]+Tabel66891019283234[[#This Row],[Other ch. 2015]]+Tabel66891019283234[[#This Row],[VAT 2015]]</f>
        <v>520.31641450735356</v>
      </c>
      <c r="Q232" s="397"/>
      <c r="R232" s="1840"/>
      <c r="S232" s="1843"/>
      <c r="T232" s="1846"/>
      <c r="U232" s="1849"/>
      <c r="V232" s="1852"/>
      <c r="W232" s="1855"/>
      <c r="X232" s="1858"/>
      <c r="Y232" s="1873"/>
      <c r="Z232" s="1876"/>
    </row>
    <row r="233" spans="1:26" ht="16.5" hidden="1" thickBot="1" x14ac:dyDescent="0.3">
      <c r="A233" s="2006"/>
      <c r="B233" s="1617"/>
      <c r="C233" s="835" t="s">
        <v>159</v>
      </c>
      <c r="D233" s="1548"/>
      <c r="E233" s="307">
        <f>'[1]exchange rates'!K58</f>
        <v>6.4383900000000001</v>
      </c>
      <c r="F233" s="319">
        <f>1033.6/E233</f>
        <v>160.53702866710464</v>
      </c>
      <c r="G233" s="320">
        <f>466.4/E233</f>
        <v>72.44047036603871</v>
      </c>
      <c r="H233" s="321">
        <v>0</v>
      </c>
      <c r="I233" s="313">
        <f>Tabel66891019283234[[#This Row],[Fix.ch. 2015]]+Tabel66891019283234[[#This Row],[Var. ch. 2015]]+Tabel66891019283234[[#This Row],[Oth. ch. DW 2015]]</f>
        <v>232.97749903314335</v>
      </c>
      <c r="J233" s="322">
        <f>1550.4/E233</f>
        <v>240.805543000657</v>
      </c>
      <c r="K233" s="323">
        <f>629.6/E233</f>
        <v>97.788422260844712</v>
      </c>
      <c r="L233" s="323"/>
      <c r="M233" s="323"/>
      <c r="N233" s="324">
        <v>0</v>
      </c>
      <c r="O233" s="1258">
        <f>920/E233</f>
        <v>142.89286607366128</v>
      </c>
      <c r="P233" s="1491">
        <f>Tabel66891019283234[[#This Row],[Total. ch. DW 2015]]+Tabel66891019283234[[#This Row],[Sew. 2015]]+Tabel66891019283234[[#This Row],[WW 2015]]+Tabel66891019283234[[#This Row],[Other ch. 2015]]+Tabel66891019283234[[#This Row],[VAT 2015]]</f>
        <v>714.46433036830638</v>
      </c>
      <c r="Q233" s="397"/>
      <c r="R233" s="2223"/>
      <c r="S233" s="2225"/>
      <c r="T233" s="2227"/>
      <c r="U233" s="2234"/>
      <c r="V233" s="2236"/>
      <c r="W233" s="2238"/>
      <c r="X233" s="2240"/>
      <c r="Y233" s="2242"/>
      <c r="Z233" s="2244"/>
    </row>
    <row r="234" spans="1:26" ht="15.75" hidden="1" x14ac:dyDescent="0.25">
      <c r="A234" s="1818" t="s">
        <v>28</v>
      </c>
      <c r="B234" s="1656"/>
      <c r="C234" s="543" t="s">
        <v>160</v>
      </c>
      <c r="D234" s="2347">
        <v>59300</v>
      </c>
      <c r="E234" s="617">
        <f>'[1]exchange rates'!$M$59</f>
        <v>1.0015000000000001</v>
      </c>
      <c r="F234" s="549">
        <f>198/E234</f>
        <v>197.70344483275088</v>
      </c>
      <c r="G234" s="550">
        <f>129/E234</f>
        <v>128.80678981527709</v>
      </c>
      <c r="H234" s="551">
        <f>0</f>
        <v>0</v>
      </c>
      <c r="I234" s="566">
        <f>Tabel66891019283234[[#This Row],[Fix.ch. 2015]]+Tabel66891019283234[[#This Row],[Var. ch. 2015]]+Tabel66891019283234[[#This Row],[Oth. ch. DW 2015]]</f>
        <v>326.51023464802796</v>
      </c>
      <c r="J234" s="567">
        <f>165.75/E234</f>
        <v>165.50174737893158</v>
      </c>
      <c r="K234" s="568">
        <v>0</v>
      </c>
      <c r="L234" s="568"/>
      <c r="M234" s="568"/>
      <c r="N234" s="569">
        <v>0</v>
      </c>
      <c r="O234" s="1271">
        <f>21.44/E234</f>
        <v>21.407888167748379</v>
      </c>
      <c r="P234" s="1496">
        <f>Tabel66891019283234[[#This Row],[Total. ch. DW 2015]]+Tabel66891019283234[[#This Row],[Sew. 2015]]+Tabel66891019283234[[#This Row],[WW 2015]]+Tabel66891019283234[[#This Row],[Other ch. 2015]]+Tabel66891019283234[[#This Row],[VAT 2015]]</f>
        <v>513.41987019470798</v>
      </c>
      <c r="Q234" s="397"/>
      <c r="R234" s="2344">
        <f t="shared" ref="R234:W234" si="58">SUM(F234:F238)/5</f>
        <v>103.21118322516227</v>
      </c>
      <c r="S234" s="2345">
        <f t="shared" si="58"/>
        <v>169.14628057913129</v>
      </c>
      <c r="T234" s="2350">
        <f t="shared" si="58"/>
        <v>0</v>
      </c>
      <c r="U234" s="2361">
        <f t="shared" si="58"/>
        <v>272.35746380429356</v>
      </c>
      <c r="V234" s="2351">
        <f t="shared" si="58"/>
        <v>238.78182725911134</v>
      </c>
      <c r="W234" s="2352">
        <f t="shared" si="58"/>
        <v>0</v>
      </c>
      <c r="X234" s="2341">
        <f t="shared" ref="X234:Z234" si="59">SUM(N234:N238)/5</f>
        <v>0</v>
      </c>
      <c r="Y234" s="2342">
        <f t="shared" si="59"/>
        <v>25.913130304543188</v>
      </c>
      <c r="Z234" s="2353">
        <f t="shared" si="59"/>
        <v>537.052421367948</v>
      </c>
    </row>
    <row r="235" spans="1:26" ht="15.75" hidden="1" x14ac:dyDescent="0.25">
      <c r="A235" s="2294"/>
      <c r="B235" s="1656"/>
      <c r="C235" s="543" t="s">
        <v>603</v>
      </c>
      <c r="D235" s="2359"/>
      <c r="E235" s="617">
        <f>'[1]exchange rates'!$M$59</f>
        <v>1.0015000000000001</v>
      </c>
      <c r="F235" s="549">
        <f>108/E235</f>
        <v>107.83824263604592</v>
      </c>
      <c r="G235" s="550">
        <f>120/E235</f>
        <v>119.82026959560659</v>
      </c>
      <c r="H235" s="551">
        <v>0</v>
      </c>
      <c r="I235" s="566">
        <f>Tabel66891019283234[[#This Row],[Fix.ch. 2015]]+Tabel66891019283234[[#This Row],[Var. ch. 2015]]+Tabel66891019283234[[#This Row],[Oth. ch. DW 2015]]</f>
        <v>227.65851223165251</v>
      </c>
      <c r="J235" s="567">
        <f>291.62/E235</f>
        <v>291.18322516225658</v>
      </c>
      <c r="K235" s="568">
        <v>0</v>
      </c>
      <c r="L235" s="568"/>
      <c r="M235" s="568"/>
      <c r="N235" s="569">
        <v>0</v>
      </c>
      <c r="O235" s="1271">
        <f>29.03/E235</f>
        <v>28.986520219670492</v>
      </c>
      <c r="P235" s="1496">
        <f>Tabel66891019283234[[#This Row],[Total. ch. DW 2015]]+Tabel66891019283234[[#This Row],[Sew. 2015]]+Tabel66891019283234[[#This Row],[WW 2015]]+Tabel66891019283234[[#This Row],[Other ch. 2015]]+Tabel66891019283234[[#This Row],[VAT 2015]]</f>
        <v>547.82825761357958</v>
      </c>
      <c r="Q235" s="397"/>
      <c r="R235" s="1886"/>
      <c r="S235" s="1888"/>
      <c r="T235" s="1890"/>
      <c r="U235" s="1902"/>
      <c r="V235" s="1894"/>
      <c r="W235" s="1911"/>
      <c r="X235" s="1913"/>
      <c r="Y235" s="1915"/>
      <c r="Z235" s="2291"/>
    </row>
    <row r="236" spans="1:26" ht="15.75" hidden="1" x14ac:dyDescent="0.25">
      <c r="A236" s="2294"/>
      <c r="B236" s="1656"/>
      <c r="C236" s="543" t="s">
        <v>162</v>
      </c>
      <c r="D236" s="2359"/>
      <c r="E236" s="617">
        <f>'[1]exchange rates'!$M$59</f>
        <v>1.0015000000000001</v>
      </c>
      <c r="F236" s="549">
        <f>136/E236</f>
        <v>135.79630554168747</v>
      </c>
      <c r="G236" s="550">
        <f>192/E236</f>
        <v>191.71243135297053</v>
      </c>
      <c r="H236" s="551">
        <v>0</v>
      </c>
      <c r="I236" s="566">
        <f>Tabel66891019283234[[#This Row],[Fix.ch. 2015]]+Tabel66891019283234[[#This Row],[Var. ch. 2015]]+Tabel66891019283234[[#This Row],[Oth. ch. DW 2015]]</f>
        <v>327.508736894658</v>
      </c>
      <c r="J236" s="567">
        <f>120/E236</f>
        <v>119.82026959560659</v>
      </c>
      <c r="K236" s="568">
        <v>0</v>
      </c>
      <c r="L236" s="568"/>
      <c r="M236" s="568"/>
      <c r="N236" s="569">
        <v>0</v>
      </c>
      <c r="O236" s="1271">
        <f>17.8/E236</f>
        <v>17.773339990014978</v>
      </c>
      <c r="P236" s="1496">
        <f>Tabel66891019283234[[#This Row],[Total. ch. DW 2015]]+Tabel66891019283234[[#This Row],[Sew. 2015]]+Tabel66891019283234[[#This Row],[WW 2015]]+Tabel66891019283234[[#This Row],[Other ch. 2015]]+Tabel66891019283234[[#This Row],[VAT 2015]]</f>
        <v>465.10234648027955</v>
      </c>
      <c r="Q236" s="397"/>
      <c r="R236" s="1886"/>
      <c r="S236" s="1888"/>
      <c r="T236" s="1890"/>
      <c r="U236" s="1902"/>
      <c r="V236" s="1894"/>
      <c r="W236" s="1911"/>
      <c r="X236" s="1913"/>
      <c r="Y236" s="1915"/>
      <c r="Z236" s="2291"/>
    </row>
    <row r="237" spans="1:26" ht="15.75" hidden="1" x14ac:dyDescent="0.25">
      <c r="A237" s="2294"/>
      <c r="B237" s="1656"/>
      <c r="C237" s="543" t="s">
        <v>161</v>
      </c>
      <c r="D237" s="2359"/>
      <c r="E237" s="617">
        <f>'[1]exchange rates'!$M$59</f>
        <v>1.0015000000000001</v>
      </c>
      <c r="F237" s="549">
        <f>70/E237</f>
        <v>69.895157264103844</v>
      </c>
      <c r="G237" s="550">
        <f>146/E237</f>
        <v>145.78132800798801</v>
      </c>
      <c r="H237" s="551">
        <v>0</v>
      </c>
      <c r="I237" s="566">
        <f>Tabel66891019283234[[#This Row],[Fix.ch. 2015]]+Tabel66891019283234[[#This Row],[Var. ch. 2015]]+Tabel66891019283234[[#This Row],[Oth. ch. DW 2015]]</f>
        <v>215.67648527209184</v>
      </c>
      <c r="J237" s="567">
        <f>240/E237</f>
        <v>239.64053919121318</v>
      </c>
      <c r="K237" s="568">
        <v>0</v>
      </c>
      <c r="L237" s="568"/>
      <c r="M237" s="568"/>
      <c r="N237" s="569">
        <v>0</v>
      </c>
      <c r="O237" s="1271">
        <f>24.6/E237</f>
        <v>24.563155267099351</v>
      </c>
      <c r="P237" s="1496">
        <f>Tabel66891019283234[[#This Row],[Total. ch. DW 2015]]+Tabel66891019283234[[#This Row],[Sew. 2015]]+Tabel66891019283234[[#This Row],[WW 2015]]+Tabel66891019283234[[#This Row],[Other ch. 2015]]+Tabel66891019283234[[#This Row],[VAT 2015]]</f>
        <v>479.88017973040439</v>
      </c>
      <c r="Q237" s="397"/>
      <c r="R237" s="1886"/>
      <c r="S237" s="1888"/>
      <c r="T237" s="1890"/>
      <c r="U237" s="1902"/>
      <c r="V237" s="1894"/>
      <c r="W237" s="1911"/>
      <c r="X237" s="1913"/>
      <c r="Y237" s="1915"/>
      <c r="Z237" s="2291"/>
    </row>
    <row r="238" spans="1:26" ht="16.5" hidden="1" thickBot="1" x14ac:dyDescent="0.3">
      <c r="A238" s="2295"/>
      <c r="B238" s="1656"/>
      <c r="C238" s="544" t="s">
        <v>163</v>
      </c>
      <c r="D238" s="2349"/>
      <c r="E238" s="617">
        <f>'[1]exchange rates'!$M$59</f>
        <v>1.0015000000000001</v>
      </c>
      <c r="F238" s="549">
        <f>4.83/E238</f>
        <v>4.8227658512231653</v>
      </c>
      <c r="G238" s="550">
        <f>260/E238</f>
        <v>259.61058412381425</v>
      </c>
      <c r="H238" s="551">
        <v>0</v>
      </c>
      <c r="I238" s="566">
        <f>Tabel66891019283234[[#This Row],[Fix.ch. 2015]]+Tabel66891019283234[[#This Row],[Var. ch. 2015]]+Tabel66891019283234[[#This Row],[Oth. ch. DW 2015]]</f>
        <v>264.4333499750374</v>
      </c>
      <c r="J238" s="567">
        <f>378.33/E238</f>
        <v>377.76335496754865</v>
      </c>
      <c r="K238" s="568">
        <v>0</v>
      </c>
      <c r="L238" s="568"/>
      <c r="M238" s="568"/>
      <c r="N238" s="569">
        <v>0</v>
      </c>
      <c r="O238" s="1271">
        <f>36.89/E238</f>
        <v>36.834747878182725</v>
      </c>
      <c r="P238" s="1496">
        <f>Tabel66891019283234[[#This Row],[Total. ch. DW 2015]]+Tabel66891019283234[[#This Row],[Sew. 2015]]+Tabel66891019283234[[#This Row],[WW 2015]]+Tabel66891019283234[[#This Row],[Other ch. 2015]]+Tabel66891019283234[[#This Row],[VAT 2015]]</f>
        <v>679.03145282076878</v>
      </c>
      <c r="Q238" s="397"/>
      <c r="R238" s="1764"/>
      <c r="S238" s="1767"/>
      <c r="T238" s="1770"/>
      <c r="U238" s="2255"/>
      <c r="V238" s="1779"/>
      <c r="W238" s="1811"/>
      <c r="X238" s="1813"/>
      <c r="Y238" s="1815"/>
      <c r="Z238" s="2292"/>
    </row>
    <row r="239" spans="1:26" ht="19.5" hidden="1" thickBot="1" x14ac:dyDescent="0.3">
      <c r="A239" s="1170" t="s">
        <v>706</v>
      </c>
      <c r="B239" s="1656"/>
      <c r="C239" s="544" t="s">
        <v>708</v>
      </c>
      <c r="D239" s="1558">
        <v>3000</v>
      </c>
      <c r="E239" s="617">
        <f>'[1]exchange rates'!M60</f>
        <v>2171.8366799999999</v>
      </c>
      <c r="F239" s="549"/>
      <c r="G239" s="550"/>
      <c r="H239" s="551"/>
      <c r="I239" s="566">
        <f>Tabel66891019283234[[#This Row],[Fix.ch. 2015]]+Tabel66891019283234[[#This Row],[Var. ch. 2015]]+Tabel66891019283234[[#This Row],[Oth. ch. DW 2015]]</f>
        <v>0</v>
      </c>
      <c r="J239" s="567"/>
      <c r="K239" s="568"/>
      <c r="L239" s="568"/>
      <c r="M239" s="568"/>
      <c r="N239" s="569"/>
      <c r="O239" s="1271"/>
      <c r="P239" s="1496">
        <f>Tabel66891019283234[[#This Row],[Total. ch. DW 2015]]+Tabel66891019283234[[#This Row],[Sew. 2015]]+Tabel66891019283234[[#This Row],[WW 2015]]+Tabel66891019283234[[#This Row],[Other ch. 2015]]+Tabel66891019283234[[#This Row],[VAT 2015]]</f>
        <v>0</v>
      </c>
      <c r="Q239" s="397"/>
      <c r="R239" s="1296"/>
      <c r="S239" s="1309"/>
      <c r="T239" s="1298"/>
      <c r="U239" s="1559"/>
      <c r="V239" s="1300"/>
      <c r="W239" s="1301"/>
      <c r="X239" s="1302"/>
      <c r="Y239" s="1312"/>
      <c r="Z239" s="1313"/>
    </row>
    <row r="240" spans="1:26" ht="19.5" hidden="1" thickBot="1" x14ac:dyDescent="0.3">
      <c r="A240" s="1170" t="s">
        <v>737</v>
      </c>
      <c r="B240" s="1656"/>
      <c r="C240" s="544" t="s">
        <v>738</v>
      </c>
      <c r="D240" s="1558">
        <v>16100</v>
      </c>
      <c r="E240" s="617">
        <f>'[1]exchange rates'!M61</f>
        <v>36.151380000000003</v>
      </c>
      <c r="F240" s="549"/>
      <c r="G240" s="550"/>
      <c r="H240" s="551"/>
      <c r="I240" s="566">
        <f>((30*8.5)+(10*10.03)+(10*10.35)+(10*10.68)+(10*11)+(10*11.33)+(10*12.5)+(10*12.82))/E240</f>
        <v>28.826008854986998</v>
      </c>
      <c r="J240" s="567"/>
      <c r="K240" s="568">
        <f>(3.358*100)/E240</f>
        <v>9.2887187155787689</v>
      </c>
      <c r="L240" s="568"/>
      <c r="M240" s="568"/>
      <c r="N240" s="569"/>
      <c r="O240" s="1271"/>
      <c r="P240" s="1496">
        <f>Tabel66891019283234[[#This Row],[Total. ch. DW 2015]]+Tabel66891019283234[[#This Row],[Sew. 2015]]+Tabel66891019283234[[#This Row],[WW 2015]]+Tabel66891019283234[[#This Row],[Other ch. 2015]]+Tabel66891019283234[[#This Row],[VAT 2015]]</f>
        <v>38.114727570565769</v>
      </c>
      <c r="Q240" s="397"/>
      <c r="R240" s="1296"/>
      <c r="S240" s="1309"/>
      <c r="T240" s="1298"/>
      <c r="U240" s="1560">
        <f>Tabel66891019283234[[#This Row],[Total. ch. DW 2015]]</f>
        <v>28.826008854986998</v>
      </c>
      <c r="V240" s="1300"/>
      <c r="W240" s="1301">
        <f>Tabel66891019283234[[#This Row],[WW 2015]]</f>
        <v>9.2887187155787689</v>
      </c>
      <c r="X240" s="1302"/>
      <c r="Y240" s="1312"/>
      <c r="Z240" s="1304">
        <f>U240+W240</f>
        <v>38.114727570565769</v>
      </c>
    </row>
    <row r="241" spans="1:26" ht="16.5" hidden="1" thickBot="1" x14ac:dyDescent="0.3">
      <c r="A241" s="267" t="s">
        <v>29</v>
      </c>
      <c r="B241" s="1616"/>
      <c r="C241" s="1516" t="s">
        <v>164</v>
      </c>
      <c r="D241" s="1542"/>
      <c r="E241" s="307"/>
      <c r="F241" s="319"/>
      <c r="G241" s="320"/>
      <c r="H241" s="321"/>
      <c r="I241" s="313">
        <f>Tabel66891019283234[[#This Row],[Fix.ch. 2015]]+Tabel66891019283234[[#This Row],[Var. ch. 2015]]+Tabel66891019283234[[#This Row],[Oth. ch. DW 2015]]</f>
        <v>0</v>
      </c>
      <c r="J241" s="322"/>
      <c r="K241" s="323"/>
      <c r="L241" s="323"/>
      <c r="M241" s="323"/>
      <c r="N241" s="324"/>
      <c r="O241" s="1258"/>
      <c r="P241" s="1491">
        <f>Tabel66891019283234[[#This Row],[Total. ch. DW 2015]]+Tabel66891019283234[[#This Row],[Sew. 2015]]+Tabel66891019283234[[#This Row],[WW 2015]]+Tabel66891019283234[[#This Row],[Other ch. 2015]]+Tabel66891019283234[[#This Row],[VAT 2015]]</f>
        <v>0</v>
      </c>
      <c r="Q241" s="397"/>
      <c r="R241" s="376"/>
      <c r="S241" s="377"/>
      <c r="T241" s="378"/>
      <c r="U241" s="379"/>
      <c r="V241" s="380"/>
      <c r="W241" s="381"/>
      <c r="X241" s="382"/>
      <c r="Y241" s="383"/>
      <c r="Z241" s="384"/>
    </row>
    <row r="242" spans="1:26" ht="15.75" hidden="1" x14ac:dyDescent="0.25">
      <c r="A242" s="1878" t="s">
        <v>505</v>
      </c>
      <c r="B242" s="1656"/>
      <c r="C242" s="1512" t="s">
        <v>746</v>
      </c>
      <c r="D242" s="2360">
        <v>2100</v>
      </c>
      <c r="E242" s="617">
        <f>'[1]exchange rates'!$M$63</f>
        <v>3401.52324</v>
      </c>
      <c r="F242" s="549">
        <f>10563/E242</f>
        <v>3.1053734620375546</v>
      </c>
      <c r="G242" s="550">
        <f>228613/E242</f>
        <v>67.209007221129553</v>
      </c>
      <c r="H242" s="551">
        <v>0</v>
      </c>
      <c r="I242" s="566">
        <f>Tabel66891019283234[[#This Row],[Fix.ch. 2015]]+Tabel66891019283234[[#This Row],[Var. ch. 2015]]+Tabel66891019283234[[#This Row],[Oth. ch. DW 2015]]</f>
        <v>70.314380683167101</v>
      </c>
      <c r="J242" s="567">
        <v>0</v>
      </c>
      <c r="K242" s="568">
        <f>50028/E242</f>
        <v>14.707528501260512</v>
      </c>
      <c r="L242" s="568"/>
      <c r="M242" s="568"/>
      <c r="N242" s="569">
        <v>0</v>
      </c>
      <c r="O242" s="1271">
        <v>0</v>
      </c>
      <c r="P242" s="1496">
        <f>Tabel66891019283234[[#This Row],[Total. ch. DW 2015]]+Tabel66891019283234[[#This Row],[Sew. 2015]]+Tabel66891019283234[[#This Row],[WW 2015]]+Tabel66891019283234[[#This Row],[Other ch. 2015]]+Tabel66891019283234[[#This Row],[VAT 2015]]</f>
        <v>85.021909184427614</v>
      </c>
      <c r="Q242" s="397"/>
      <c r="R242" s="2344">
        <f t="shared" ref="R242:W242" si="60">SUM(F242:F245)/4</f>
        <v>3.0994937432795551</v>
      </c>
      <c r="S242" s="2345">
        <f t="shared" si="60"/>
        <v>68.904203635545358</v>
      </c>
      <c r="T242" s="2350">
        <f t="shared" si="60"/>
        <v>0</v>
      </c>
      <c r="U242" s="2340">
        <f t="shared" si="60"/>
        <v>72.00369737882491</v>
      </c>
      <c r="V242" s="2351">
        <f t="shared" si="60"/>
        <v>0</v>
      </c>
      <c r="W242" s="2352">
        <f t="shared" si="60"/>
        <v>14.380910124253628</v>
      </c>
      <c r="X242" s="2341">
        <f t="shared" ref="X242:Z242" si="61">SUM(N242:N245)/4</f>
        <v>0</v>
      </c>
      <c r="Y242" s="2342">
        <f t="shared" si="61"/>
        <v>0</v>
      </c>
      <c r="Z242" s="2339">
        <f t="shared" si="61"/>
        <v>86.384607503078527</v>
      </c>
    </row>
    <row r="243" spans="1:26" ht="15.75" hidden="1" x14ac:dyDescent="0.25">
      <c r="A243" s="1757"/>
      <c r="B243" s="1656"/>
      <c r="C243" s="1293" t="s">
        <v>747</v>
      </c>
      <c r="D243" s="2296"/>
      <c r="E243" s="617">
        <f>'[1]exchange rates'!$M$63</f>
        <v>3401.52324</v>
      </c>
      <c r="F243" s="549">
        <f>9691/E243</f>
        <v>2.8490177241887666</v>
      </c>
      <c r="G243" s="550">
        <f>235864/E243</f>
        <v>69.340699256842356</v>
      </c>
      <c r="H243" s="551">
        <v>0</v>
      </c>
      <c r="I243" s="566">
        <f>Tabel66891019283234[[#This Row],[Fix.ch. 2015]]+Tabel66891019283234[[#This Row],[Var. ch. 2015]]+Tabel66891019283234[[#This Row],[Oth. ch. DW 2015]]</f>
        <v>72.189716981031125</v>
      </c>
      <c r="J243" s="567">
        <v>0</v>
      </c>
      <c r="K243" s="568">
        <f>82721/E243</f>
        <v>24.318810769024761</v>
      </c>
      <c r="L243" s="568"/>
      <c r="M243" s="568"/>
      <c r="N243" s="569">
        <v>0</v>
      </c>
      <c r="O243" s="1271">
        <v>0</v>
      </c>
      <c r="P243" s="1496">
        <f>Tabel66891019283234[[#This Row],[Total. ch. DW 2015]]+Tabel66891019283234[[#This Row],[Sew. 2015]]+Tabel66891019283234[[#This Row],[WW 2015]]+Tabel66891019283234[[#This Row],[Other ch. 2015]]+Tabel66891019283234[[#This Row],[VAT 2015]]</f>
        <v>96.50852775005589</v>
      </c>
      <c r="Q243" s="397"/>
      <c r="R243" s="1886"/>
      <c r="S243" s="1888"/>
      <c r="T243" s="1890"/>
      <c r="U243" s="1892"/>
      <c r="V243" s="1894"/>
      <c r="W243" s="1911"/>
      <c r="X243" s="1913"/>
      <c r="Y243" s="1915"/>
      <c r="Z243" s="1832"/>
    </row>
    <row r="244" spans="1:26" ht="15.75" hidden="1" x14ac:dyDescent="0.25">
      <c r="A244" s="1757"/>
      <c r="B244" s="1656"/>
      <c r="C244" s="1293" t="s">
        <v>748</v>
      </c>
      <c r="D244" s="2296"/>
      <c r="E244" s="617">
        <f>'[1]exchange rates'!$M$63</f>
        <v>3401.52324</v>
      </c>
      <c r="F244" s="549">
        <f>11566/E244</f>
        <v>3.4002413577512409</v>
      </c>
      <c r="G244" s="550">
        <f>232984/E244</f>
        <v>68.494019755690388</v>
      </c>
      <c r="H244" s="551">
        <v>0</v>
      </c>
      <c r="I244" s="566">
        <f>Tabel66891019283234[[#This Row],[Fix.ch. 2015]]+Tabel66891019283234[[#This Row],[Var. ch. 2015]]+Tabel66891019283234[[#This Row],[Oth. ch. DW 2015]]</f>
        <v>71.89426111344163</v>
      </c>
      <c r="J244" s="567">
        <v>0</v>
      </c>
      <c r="K244" s="568">
        <f>29186/E244</f>
        <v>8.5802735835489994</v>
      </c>
      <c r="L244" s="568"/>
      <c r="M244" s="568"/>
      <c r="N244" s="569">
        <v>0</v>
      </c>
      <c r="O244" s="1271">
        <v>0</v>
      </c>
      <c r="P244" s="1496">
        <f>Tabel66891019283234[[#This Row],[Total. ch. DW 2015]]+Tabel66891019283234[[#This Row],[Sew. 2015]]+Tabel66891019283234[[#This Row],[WW 2015]]+Tabel66891019283234[[#This Row],[Other ch. 2015]]+Tabel66891019283234[[#This Row],[VAT 2015]]</f>
        <v>80.474534696990631</v>
      </c>
      <c r="Q244" s="397"/>
      <c r="R244" s="1886"/>
      <c r="S244" s="1888"/>
      <c r="T244" s="1890"/>
      <c r="U244" s="1892"/>
      <c r="V244" s="1894"/>
      <c r="W244" s="1911"/>
      <c r="X244" s="1913"/>
      <c r="Y244" s="1915"/>
      <c r="Z244" s="1832"/>
    </row>
    <row r="245" spans="1:26" ht="16.5" hidden="1" thickBot="1" x14ac:dyDescent="0.3">
      <c r="A245" s="1758"/>
      <c r="B245" s="1656"/>
      <c r="C245" s="652" t="s">
        <v>749</v>
      </c>
      <c r="D245" s="2187"/>
      <c r="E245" s="617">
        <f>'[1]exchange rates'!$M$63</f>
        <v>3401.52324</v>
      </c>
      <c r="F245" s="549">
        <f>10352/E245</f>
        <v>3.0433424291406577</v>
      </c>
      <c r="G245" s="550">
        <f>240056/E245</f>
        <v>70.573088308519104</v>
      </c>
      <c r="H245" s="551">
        <v>0</v>
      </c>
      <c r="I245" s="566">
        <f>Tabel66891019283234[[#This Row],[Fix.ch. 2015]]+Tabel66891019283234[[#This Row],[Var. ch. 2015]]+Tabel66891019283234[[#This Row],[Oth. ch. DW 2015]]</f>
        <v>73.616430737659755</v>
      </c>
      <c r="J245" s="567">
        <v>0</v>
      </c>
      <c r="K245" s="568">
        <f>33733/E245</f>
        <v>9.9170276431802353</v>
      </c>
      <c r="L245" s="568"/>
      <c r="M245" s="568"/>
      <c r="N245" s="569">
        <v>0</v>
      </c>
      <c r="O245" s="1271">
        <v>0</v>
      </c>
      <c r="P245" s="1496">
        <f>Tabel66891019283234[[#This Row],[Total. ch. DW 2015]]+Tabel66891019283234[[#This Row],[Sew. 2015]]+Tabel66891019283234[[#This Row],[WW 2015]]+Tabel66891019283234[[#This Row],[Other ch. 2015]]+Tabel66891019283234[[#This Row],[VAT 2015]]</f>
        <v>83.533458380839988</v>
      </c>
      <c r="Q245" s="397"/>
      <c r="R245" s="1764"/>
      <c r="S245" s="1767"/>
      <c r="T245" s="1770"/>
      <c r="U245" s="1776"/>
      <c r="V245" s="1779"/>
      <c r="W245" s="1811"/>
      <c r="X245" s="1813"/>
      <c r="Y245" s="1815"/>
      <c r="Z245" s="1794"/>
    </row>
    <row r="246" spans="1:26" ht="15.75" hidden="1" x14ac:dyDescent="0.25">
      <c r="A246" s="1818" t="s">
        <v>456</v>
      </c>
      <c r="B246" s="1656"/>
      <c r="C246" s="1513" t="s">
        <v>165</v>
      </c>
      <c r="D246" s="2347">
        <v>41200</v>
      </c>
      <c r="E246" s="617">
        <f>'[1]exchange rates'!$M$64</f>
        <v>0.67854999999999999</v>
      </c>
      <c r="F246" s="549">
        <f>29.52/E246</f>
        <v>43.504531722054381</v>
      </c>
      <c r="G246" s="550">
        <f>148.39/E246</f>
        <v>218.68690590229164</v>
      </c>
      <c r="H246" s="551">
        <f>0</f>
        <v>0</v>
      </c>
      <c r="I246" s="566">
        <f>Tabel66891019283234[[#This Row],[Fix.ch. 2015]]+Tabel66891019283234[[#This Row],[Var. ch. 2015]]+Tabel66891019283234[[#This Row],[Oth. ch. DW 2015]]</f>
        <v>262.19143762434601</v>
      </c>
      <c r="J246" s="567">
        <v>0</v>
      </c>
      <c r="K246" s="568">
        <f>167.83/E246</f>
        <v>247.33623167047384</v>
      </c>
      <c r="L246" s="568"/>
      <c r="M246" s="568"/>
      <c r="N246" s="569">
        <v>0</v>
      </c>
      <c r="O246" s="1271">
        <v>0</v>
      </c>
      <c r="P246" s="1496">
        <f>Tabel66891019283234[[#This Row],[Total. ch. DW 2015]]+Tabel66891019283234[[#This Row],[Sew. 2015]]+Tabel66891019283234[[#This Row],[WW 2015]]+Tabel66891019283234[[#This Row],[Other ch. 2015]]+Tabel66891019283234[[#This Row],[VAT 2015]]</f>
        <v>509.52766929481982</v>
      </c>
      <c r="Q246" s="397"/>
      <c r="R246" s="2344">
        <f t="shared" ref="R246:W246" si="62">SUM(F246:F250)/5</f>
        <v>41.957114435192693</v>
      </c>
      <c r="S246" s="2345">
        <f t="shared" si="62"/>
        <v>208.40616019453245</v>
      </c>
      <c r="T246" s="2350">
        <f t="shared" si="62"/>
        <v>0</v>
      </c>
      <c r="U246" s="2340">
        <f t="shared" si="62"/>
        <v>250.36327462972517</v>
      </c>
      <c r="V246" s="2351">
        <f t="shared" si="62"/>
        <v>0</v>
      </c>
      <c r="W246" s="2352">
        <f t="shared" si="62"/>
        <v>289.50851079507777</v>
      </c>
      <c r="X246" s="2341">
        <f t="shared" ref="X246:Z246" si="63">SUM(N246:N250)/5</f>
        <v>0</v>
      </c>
      <c r="Y246" s="2342">
        <f t="shared" si="63"/>
        <v>0</v>
      </c>
      <c r="Z246" s="2339">
        <f t="shared" si="63"/>
        <v>539.87178542480285</v>
      </c>
    </row>
    <row r="247" spans="1:26" ht="15.75" hidden="1" x14ac:dyDescent="0.25">
      <c r="A247" s="2294"/>
      <c r="B247" s="1656"/>
      <c r="C247" s="543" t="s">
        <v>166</v>
      </c>
      <c r="D247" s="2359"/>
      <c r="E247" s="617">
        <f>'[1]exchange rates'!$M$64</f>
        <v>0.67854999999999999</v>
      </c>
      <c r="F247" s="549">
        <f>34.4/E247</f>
        <v>50.696337779087763</v>
      </c>
      <c r="G247" s="550">
        <f>130.79/E247</f>
        <v>192.74924471299093</v>
      </c>
      <c r="H247" s="551">
        <v>0</v>
      </c>
      <c r="I247" s="566">
        <f>Tabel66891019283234[[#This Row],[Fix.ch. 2015]]+Tabel66891019283234[[#This Row],[Var. ch. 2015]]+Tabel66891019283234[[#This Row],[Oth. ch. DW 2015]]</f>
        <v>243.4455824920787</v>
      </c>
      <c r="J247" s="567">
        <v>0</v>
      </c>
      <c r="K247" s="568">
        <f>247.53/E247</f>
        <v>364.79257239702309</v>
      </c>
      <c r="L247" s="568"/>
      <c r="M247" s="568"/>
      <c r="N247" s="569">
        <v>0</v>
      </c>
      <c r="O247" s="1271">
        <v>0</v>
      </c>
      <c r="P247" s="1496">
        <f>Tabel66891019283234[[#This Row],[Total. ch. DW 2015]]+Tabel66891019283234[[#This Row],[Sew. 2015]]+Tabel66891019283234[[#This Row],[WW 2015]]+Tabel66891019283234[[#This Row],[Other ch. 2015]]+Tabel66891019283234[[#This Row],[VAT 2015]]</f>
        <v>608.23815488910179</v>
      </c>
      <c r="Q247" s="397"/>
      <c r="R247" s="1763"/>
      <c r="S247" s="1766"/>
      <c r="T247" s="1769"/>
      <c r="U247" s="1775"/>
      <c r="V247" s="1778"/>
      <c r="W247" s="1781"/>
      <c r="X247" s="1785"/>
      <c r="Y247" s="1788"/>
      <c r="Z247" s="1791"/>
    </row>
    <row r="248" spans="1:26" ht="15.75" hidden="1" x14ac:dyDescent="0.25">
      <c r="A248" s="2294"/>
      <c r="B248" s="1656"/>
      <c r="C248" s="543" t="s">
        <v>167</v>
      </c>
      <c r="D248" s="2359"/>
      <c r="E248" s="617">
        <f>'[1]exchange rates'!$M$64</f>
        <v>0.67854999999999999</v>
      </c>
      <c r="F248" s="549">
        <f>21.25/E248</f>
        <v>31.31677842458183</v>
      </c>
      <c r="G248" s="550">
        <f>126.29/E248</f>
        <v>186.11745634072656</v>
      </c>
      <c r="H248" s="551">
        <v>0</v>
      </c>
      <c r="I248" s="566">
        <f>Tabel66891019283234[[#This Row],[Fix.ch. 2015]]+Tabel66891019283234[[#This Row],[Var. ch. 2015]]+Tabel66891019283234[[#This Row],[Oth. ch. DW 2015]]</f>
        <v>217.43423476530839</v>
      </c>
      <c r="J248" s="567">
        <v>0</v>
      </c>
      <c r="K248" s="568">
        <f>147.58/E248</f>
        <v>217.49318399528408</v>
      </c>
      <c r="L248" s="568"/>
      <c r="M248" s="568"/>
      <c r="N248" s="569">
        <v>0</v>
      </c>
      <c r="O248" s="1271">
        <v>0</v>
      </c>
      <c r="P248" s="1496">
        <f>Tabel66891019283234[[#This Row],[Total. ch. DW 2015]]+Tabel66891019283234[[#This Row],[Sew. 2015]]+Tabel66891019283234[[#This Row],[WW 2015]]+Tabel66891019283234[[#This Row],[Other ch. 2015]]+Tabel66891019283234[[#This Row],[VAT 2015]]</f>
        <v>434.92741876059245</v>
      </c>
      <c r="Q248" s="397"/>
      <c r="R248" s="1886"/>
      <c r="S248" s="1888"/>
      <c r="T248" s="1890"/>
      <c r="U248" s="1892"/>
      <c r="V248" s="1894"/>
      <c r="W248" s="1911"/>
      <c r="X248" s="1913"/>
      <c r="Y248" s="1915"/>
      <c r="Z248" s="1832"/>
    </row>
    <row r="249" spans="1:26" ht="15.75" hidden="1" x14ac:dyDescent="0.25">
      <c r="A249" s="2294"/>
      <c r="B249" s="1656"/>
      <c r="C249" s="543" t="s">
        <v>168</v>
      </c>
      <c r="D249" s="2359"/>
      <c r="E249" s="617">
        <f>'[1]exchange rates'!$M$64</f>
        <v>0.67854999999999999</v>
      </c>
      <c r="F249" s="549">
        <f>34.79/E249</f>
        <v>51.271092771350673</v>
      </c>
      <c r="G249" s="550">
        <f>175/E249</f>
        <v>257.90288114361505</v>
      </c>
      <c r="H249" s="551">
        <v>0</v>
      </c>
      <c r="I249" s="566">
        <f>Tabel66891019283234[[#This Row],[Fix.ch. 2015]]+Tabel66891019283234[[#This Row],[Var. ch. 2015]]+Tabel66891019283234[[#This Row],[Oth. ch. DW 2015]]</f>
        <v>309.1739739149657</v>
      </c>
      <c r="J249" s="567">
        <v>0</v>
      </c>
      <c r="K249" s="568">
        <f>216.44/E249</f>
        <v>318.9742833984231</v>
      </c>
      <c r="L249" s="568"/>
      <c r="M249" s="568"/>
      <c r="N249" s="569">
        <v>0</v>
      </c>
      <c r="O249" s="1271">
        <v>0</v>
      </c>
      <c r="P249" s="1496">
        <f>Tabel66891019283234[[#This Row],[Total. ch. DW 2015]]+Tabel66891019283234[[#This Row],[Sew. 2015]]+Tabel66891019283234[[#This Row],[WW 2015]]+Tabel66891019283234[[#This Row],[Other ch. 2015]]+Tabel66891019283234[[#This Row],[VAT 2015]]</f>
        <v>628.14825731338874</v>
      </c>
      <c r="Q249" s="397"/>
      <c r="R249" s="1886"/>
      <c r="S249" s="1888"/>
      <c r="T249" s="1890"/>
      <c r="U249" s="1892"/>
      <c r="V249" s="1894"/>
      <c r="W249" s="1911"/>
      <c r="X249" s="1913"/>
      <c r="Y249" s="1915"/>
      <c r="Z249" s="1832"/>
    </row>
    <row r="250" spans="1:26" ht="16.5" hidden="1" thickBot="1" x14ac:dyDescent="0.3">
      <c r="A250" s="2295"/>
      <c r="B250" s="1656"/>
      <c r="C250" s="543" t="s">
        <v>169</v>
      </c>
      <c r="D250" s="2359"/>
      <c r="E250" s="617">
        <f>'[1]exchange rates'!$M$64</f>
        <v>0.67854999999999999</v>
      </c>
      <c r="F250" s="549">
        <f>22.39/E250</f>
        <v>32.996831478888808</v>
      </c>
      <c r="G250" s="550">
        <f>126.6/E250</f>
        <v>186.57431287303808</v>
      </c>
      <c r="H250" s="551">
        <v>0</v>
      </c>
      <c r="I250" s="566">
        <f>Tabel66891019283234[[#This Row],[Fix.ch. 2015]]+Tabel66891019283234[[#This Row],[Var. ch. 2015]]+Tabel66891019283234[[#This Row],[Oth. ch. DW 2015]]</f>
        <v>219.57114435192688</v>
      </c>
      <c r="J250" s="567">
        <v>0</v>
      </c>
      <c r="K250" s="568">
        <f>202.85/E250</f>
        <v>298.94628251418465</v>
      </c>
      <c r="L250" s="568"/>
      <c r="M250" s="568"/>
      <c r="N250" s="569">
        <v>0</v>
      </c>
      <c r="O250" s="1271">
        <v>0</v>
      </c>
      <c r="P250" s="1496">
        <f>Tabel66891019283234[[#This Row],[Total. ch. DW 2015]]+Tabel66891019283234[[#This Row],[Sew. 2015]]+Tabel66891019283234[[#This Row],[WW 2015]]+Tabel66891019283234[[#This Row],[Other ch. 2015]]+Tabel66891019283234[[#This Row],[VAT 2015]]</f>
        <v>518.51742686611146</v>
      </c>
      <c r="Q250" s="397"/>
      <c r="R250" s="1764"/>
      <c r="S250" s="1767"/>
      <c r="T250" s="1770"/>
      <c r="U250" s="1776"/>
      <c r="V250" s="1779"/>
      <c r="W250" s="1811"/>
      <c r="X250" s="1813"/>
      <c r="Y250" s="1815"/>
      <c r="Z250" s="1794"/>
    </row>
    <row r="251" spans="1:26" ht="15.75" hidden="1" x14ac:dyDescent="0.25">
      <c r="A251" s="2192" t="s">
        <v>31</v>
      </c>
      <c r="B251" s="1656"/>
      <c r="C251" s="1512" t="s">
        <v>170</v>
      </c>
      <c r="D251" s="2347">
        <v>56300</v>
      </c>
      <c r="E251" s="715">
        <v>1</v>
      </c>
      <c r="F251" s="549">
        <v>178.85</v>
      </c>
      <c r="G251" s="550">
        <v>134.55000000000001</v>
      </c>
      <c r="H251" s="551">
        <v>0</v>
      </c>
      <c r="I251" s="566">
        <f>Tabel66891019283234[[#This Row],[Fix.ch. 2015]]+Tabel66891019283234[[#This Row],[Var. ch. 2015]]+Tabel66891019283234[[#This Row],[Oth. ch. DW 2015]]</f>
        <v>313.39999999999998</v>
      </c>
      <c r="J251" s="567">
        <v>0</v>
      </c>
      <c r="K251" s="568">
        <v>213.93</v>
      </c>
      <c r="L251" s="568"/>
      <c r="M251" s="568"/>
      <c r="N251" s="569">
        <v>0</v>
      </c>
      <c r="O251" s="1271">
        <v>0</v>
      </c>
      <c r="P251" s="1496">
        <f>Tabel66891019283234[[#This Row],[Total. ch. DW 2015]]+Tabel66891019283234[[#This Row],[Sew. 2015]]+Tabel66891019283234[[#This Row],[WW 2015]]+Tabel66891019283234[[#This Row],[Other ch. 2015]]+Tabel66891019283234[[#This Row],[VAT 2015]]</f>
        <v>527.32999999999993</v>
      </c>
      <c r="Q251" s="397"/>
      <c r="R251" s="2344">
        <f t="shared" ref="R251:W251" si="64">SUM(F251:F257)/7</f>
        <v>58.721428571428568</v>
      </c>
      <c r="S251" s="2345">
        <f t="shared" si="64"/>
        <v>101.71000000000001</v>
      </c>
      <c r="T251" s="2350">
        <f t="shared" si="64"/>
        <v>10.799999999999999</v>
      </c>
      <c r="U251" s="2340">
        <f t="shared" si="64"/>
        <v>171.23142857142855</v>
      </c>
      <c r="V251" s="2351">
        <f t="shared" si="64"/>
        <v>0</v>
      </c>
      <c r="W251" s="2352">
        <f t="shared" si="64"/>
        <v>162.71571428571428</v>
      </c>
      <c r="X251" s="2341">
        <f t="shared" ref="X251:Z251" si="65">SUM(N251:N257)/7</f>
        <v>34.799999999999997</v>
      </c>
      <c r="Y251" s="2342">
        <f t="shared" si="65"/>
        <v>1.8142857142857143</v>
      </c>
      <c r="Z251" s="2339">
        <f t="shared" si="65"/>
        <v>370.56142857142862</v>
      </c>
    </row>
    <row r="252" spans="1:26" ht="15.75" hidden="1" x14ac:dyDescent="0.25">
      <c r="A252" s="2148"/>
      <c r="B252" s="1656"/>
      <c r="C252" s="1293" t="s">
        <v>171</v>
      </c>
      <c r="D252" s="2359"/>
      <c r="E252" s="715">
        <v>1</v>
      </c>
      <c r="F252" s="549">
        <v>46.32</v>
      </c>
      <c r="G252" s="550">
        <v>108.79</v>
      </c>
      <c r="H252" s="551">
        <v>75.599999999999994</v>
      </c>
      <c r="I252" s="566">
        <f>Tabel66891019283234[[#This Row],[Fix.ch. 2015]]+Tabel66891019283234[[#This Row],[Var. ch. 2015]]+Tabel66891019283234[[#This Row],[Oth. ch. DW 2015]]</f>
        <v>230.71</v>
      </c>
      <c r="J252" s="567">
        <v>0</v>
      </c>
      <c r="K252" s="568">
        <v>192.14</v>
      </c>
      <c r="L252" s="568"/>
      <c r="M252" s="568"/>
      <c r="N252" s="569">
        <v>243.6</v>
      </c>
      <c r="O252" s="1271">
        <v>0</v>
      </c>
      <c r="P252" s="1496">
        <f>Tabel66891019283234[[#This Row],[Total. ch. DW 2015]]+Tabel66891019283234[[#This Row],[Sew. 2015]]+Tabel66891019283234[[#This Row],[WW 2015]]+Tabel66891019283234[[#This Row],[Other ch. 2015]]+Tabel66891019283234[[#This Row],[VAT 2015]]</f>
        <v>666.45</v>
      </c>
      <c r="Q252" s="397"/>
      <c r="R252" s="1886"/>
      <c r="S252" s="1888"/>
      <c r="T252" s="1890"/>
      <c r="U252" s="1892"/>
      <c r="V252" s="1894"/>
      <c r="W252" s="1911"/>
      <c r="X252" s="1913"/>
      <c r="Y252" s="1915"/>
      <c r="Z252" s="1832"/>
    </row>
    <row r="253" spans="1:26" ht="15.75" hidden="1" x14ac:dyDescent="0.25">
      <c r="A253" s="2148"/>
      <c r="B253" s="1656"/>
      <c r="C253" s="1293" t="s">
        <v>172</v>
      </c>
      <c r="D253" s="2359"/>
      <c r="E253" s="715">
        <v>1</v>
      </c>
      <c r="F253" s="549">
        <v>0</v>
      </c>
      <c r="G253" s="550">
        <v>164.38</v>
      </c>
      <c r="H253" s="551">
        <v>0</v>
      </c>
      <c r="I253" s="566">
        <f>Tabel66891019283234[[#This Row],[Fix.ch. 2015]]+Tabel66891019283234[[#This Row],[Var. ch. 2015]]+Tabel66891019283234[[#This Row],[Oth. ch. DW 2015]]</f>
        <v>164.38</v>
      </c>
      <c r="J253" s="567">
        <v>0</v>
      </c>
      <c r="K253" s="568">
        <v>149.4</v>
      </c>
      <c r="L253" s="568"/>
      <c r="M253" s="568"/>
      <c r="N253" s="569">
        <v>0</v>
      </c>
      <c r="O253" s="1271">
        <v>0</v>
      </c>
      <c r="P253" s="1496">
        <f>Tabel66891019283234[[#This Row],[Total. ch. DW 2015]]+Tabel66891019283234[[#This Row],[Sew. 2015]]+Tabel66891019283234[[#This Row],[WW 2015]]+Tabel66891019283234[[#This Row],[Other ch. 2015]]+Tabel66891019283234[[#This Row],[VAT 2015]]</f>
        <v>313.77999999999997</v>
      </c>
      <c r="Q253" s="397"/>
      <c r="R253" s="1886"/>
      <c r="S253" s="1888"/>
      <c r="T253" s="1890"/>
      <c r="U253" s="1892"/>
      <c r="V253" s="1894"/>
      <c r="W253" s="1911"/>
      <c r="X253" s="1913"/>
      <c r="Y253" s="1915"/>
      <c r="Z253" s="1832"/>
    </row>
    <row r="254" spans="1:26" ht="15.75" hidden="1" x14ac:dyDescent="0.25">
      <c r="A254" s="2148"/>
      <c r="B254" s="1656"/>
      <c r="C254" s="1293" t="s">
        <v>173</v>
      </c>
      <c r="D254" s="2359"/>
      <c r="E254" s="715">
        <v>1</v>
      </c>
      <c r="F254" s="549">
        <v>0</v>
      </c>
      <c r="G254" s="550">
        <v>100.65</v>
      </c>
      <c r="H254" s="551">
        <v>0</v>
      </c>
      <c r="I254" s="566">
        <f>Tabel66891019283234[[#This Row],[Fix.ch. 2015]]+Tabel66891019283234[[#This Row],[Var. ch. 2015]]+Tabel66891019283234[[#This Row],[Oth. ch. DW 2015]]</f>
        <v>100.65</v>
      </c>
      <c r="J254" s="567">
        <v>0</v>
      </c>
      <c r="K254" s="568">
        <v>100.65</v>
      </c>
      <c r="L254" s="568"/>
      <c r="M254" s="568"/>
      <c r="N254" s="569">
        <v>0</v>
      </c>
      <c r="O254" s="1271">
        <v>0</v>
      </c>
      <c r="P254" s="1496">
        <f>Tabel66891019283234[[#This Row],[Total. ch. DW 2015]]+Tabel66891019283234[[#This Row],[Sew. 2015]]+Tabel66891019283234[[#This Row],[WW 2015]]+Tabel66891019283234[[#This Row],[Other ch. 2015]]+Tabel66891019283234[[#This Row],[VAT 2015]]</f>
        <v>201.3</v>
      </c>
      <c r="Q254" s="397"/>
      <c r="R254" s="1886"/>
      <c r="S254" s="1888"/>
      <c r="T254" s="1890"/>
      <c r="U254" s="1892"/>
      <c r="V254" s="1894"/>
      <c r="W254" s="1911"/>
      <c r="X254" s="1913"/>
      <c r="Y254" s="1915"/>
      <c r="Z254" s="1832"/>
    </row>
    <row r="255" spans="1:26" ht="15.75" hidden="1" x14ac:dyDescent="0.25">
      <c r="A255" s="2148"/>
      <c r="B255" s="1656"/>
      <c r="C255" s="1293" t="s">
        <v>174</v>
      </c>
      <c r="D255" s="2359"/>
      <c r="E255" s="715">
        <v>1</v>
      </c>
      <c r="F255" s="549">
        <v>105.48</v>
      </c>
      <c r="G255" s="550">
        <v>68.680000000000007</v>
      </c>
      <c r="H255" s="551">
        <v>0</v>
      </c>
      <c r="I255" s="566">
        <f>Tabel66891019283234[[#This Row],[Fix.ch. 2015]]+Tabel66891019283234[[#This Row],[Var. ch. 2015]]+Tabel66891019283234[[#This Row],[Oth. ch. DW 2015]]</f>
        <v>174.16000000000003</v>
      </c>
      <c r="J255" s="567">
        <v>0</v>
      </c>
      <c r="K255" s="568">
        <v>223.82</v>
      </c>
      <c r="L255" s="568"/>
      <c r="M255" s="568"/>
      <c r="N255" s="569">
        <v>0</v>
      </c>
      <c r="O255" s="1271">
        <v>0</v>
      </c>
      <c r="P255" s="1496">
        <f>Tabel66891019283234[[#This Row],[Total. ch. DW 2015]]+Tabel66891019283234[[#This Row],[Sew. 2015]]+Tabel66891019283234[[#This Row],[WW 2015]]+Tabel66891019283234[[#This Row],[Other ch. 2015]]+Tabel66891019283234[[#This Row],[VAT 2015]]</f>
        <v>397.98</v>
      </c>
      <c r="Q255" s="397"/>
      <c r="R255" s="1886"/>
      <c r="S255" s="1888"/>
      <c r="T255" s="1890"/>
      <c r="U255" s="1892"/>
      <c r="V255" s="1894"/>
      <c r="W255" s="1911"/>
      <c r="X255" s="1913"/>
      <c r="Y255" s="1915"/>
      <c r="Z255" s="1832"/>
    </row>
    <row r="256" spans="1:26" ht="15.75" hidden="1" x14ac:dyDescent="0.25">
      <c r="A256" s="2148"/>
      <c r="B256" s="1656"/>
      <c r="C256" s="1293" t="s">
        <v>175</v>
      </c>
      <c r="D256" s="2359"/>
      <c r="E256" s="715">
        <v>1</v>
      </c>
      <c r="F256" s="549">
        <v>38.4</v>
      </c>
      <c r="G256" s="550">
        <v>13.07</v>
      </c>
      <c r="H256" s="551">
        <v>0</v>
      </c>
      <c r="I256" s="566">
        <f>Tabel66891019283234[[#This Row],[Fix.ch. 2015]]+Tabel66891019283234[[#This Row],[Var. ch. 2015]]+Tabel66891019283234[[#This Row],[Oth. ch. DW 2015]]</f>
        <v>51.47</v>
      </c>
      <c r="J256" s="567">
        <v>0</v>
      </c>
      <c r="K256" s="568">
        <v>87.74</v>
      </c>
      <c r="L256" s="568"/>
      <c r="M256" s="568"/>
      <c r="N256" s="569">
        <v>0</v>
      </c>
      <c r="O256" s="1271">
        <v>0</v>
      </c>
      <c r="P256" s="1496">
        <f>Tabel66891019283234[[#This Row],[Total. ch. DW 2015]]+Tabel66891019283234[[#This Row],[Sew. 2015]]+Tabel66891019283234[[#This Row],[WW 2015]]+Tabel66891019283234[[#This Row],[Other ch. 2015]]+Tabel66891019283234[[#This Row],[VAT 2015]]</f>
        <v>139.20999999999998</v>
      </c>
      <c r="Q256" s="397"/>
      <c r="R256" s="1886"/>
      <c r="S256" s="1888"/>
      <c r="T256" s="1890"/>
      <c r="U256" s="1892"/>
      <c r="V256" s="1894"/>
      <c r="W256" s="1911"/>
      <c r="X256" s="1913"/>
      <c r="Y256" s="1915"/>
      <c r="Z256" s="1832"/>
    </row>
    <row r="257" spans="1:26" ht="16.5" hidden="1" thickBot="1" x14ac:dyDescent="0.3">
      <c r="A257" s="2148"/>
      <c r="B257" s="1656"/>
      <c r="C257" s="1053" t="s">
        <v>212</v>
      </c>
      <c r="D257" s="2349"/>
      <c r="E257" s="715">
        <v>1</v>
      </c>
      <c r="F257" s="549">
        <v>42</v>
      </c>
      <c r="G257" s="550">
        <v>121.85</v>
      </c>
      <c r="H257" s="551">
        <v>0</v>
      </c>
      <c r="I257" s="566">
        <f>Tabel66891019283234[[#This Row],[Fix.ch. 2015]]+Tabel66891019283234[[#This Row],[Var. ch. 2015]]+Tabel66891019283234[[#This Row],[Oth. ch. DW 2015]]</f>
        <v>163.85</v>
      </c>
      <c r="J257" s="567">
        <v>0</v>
      </c>
      <c r="K257" s="568">
        <v>171.33</v>
      </c>
      <c r="L257" s="568"/>
      <c r="M257" s="568"/>
      <c r="N257" s="569">
        <v>0</v>
      </c>
      <c r="O257" s="1271">
        <v>12.7</v>
      </c>
      <c r="P257" s="1496">
        <f>Tabel66891019283234[[#This Row],[Total. ch. DW 2015]]+Tabel66891019283234[[#This Row],[Sew. 2015]]+Tabel66891019283234[[#This Row],[WW 2015]]+Tabel66891019283234[[#This Row],[Other ch. 2015]]+Tabel66891019283234[[#This Row],[VAT 2015]]</f>
        <v>347.88</v>
      </c>
      <c r="Q257" s="397"/>
      <c r="R257" s="1764"/>
      <c r="S257" s="1767"/>
      <c r="T257" s="1770"/>
      <c r="U257" s="1776"/>
      <c r="V257" s="1779"/>
      <c r="W257" s="1811"/>
      <c r="X257" s="1813"/>
      <c r="Y257" s="1815"/>
      <c r="Z257" s="1794"/>
    </row>
    <row r="258" spans="1:26" ht="16.5" hidden="1" thickBot="1" x14ac:dyDescent="0.3">
      <c r="A258" s="1818" t="s">
        <v>718</v>
      </c>
      <c r="B258" s="1656"/>
      <c r="C258" s="543" t="s">
        <v>761</v>
      </c>
      <c r="D258" s="2343">
        <v>4300</v>
      </c>
      <c r="E258" s="1321">
        <f>'[1]exchange rates'!$M$66</f>
        <v>11.06053</v>
      </c>
      <c r="F258" s="1322">
        <f>8/E258</f>
        <v>0.72329264510832658</v>
      </c>
      <c r="G258" s="1323">
        <f>393/E258</f>
        <v>35.531751190946544</v>
      </c>
      <c r="H258" s="1324">
        <v>0</v>
      </c>
      <c r="I258" s="1325">
        <f>F258+G258+H258</f>
        <v>36.255043836054867</v>
      </c>
      <c r="J258" s="1326">
        <v>0</v>
      </c>
      <c r="K258" s="1327">
        <f>117/E258</f>
        <v>10.578154934709277</v>
      </c>
      <c r="L258" s="1327"/>
      <c r="M258" s="1327"/>
      <c r="N258" s="1328">
        <f>9.82/E258</f>
        <v>0.88784172187047095</v>
      </c>
      <c r="O258" s="1329">
        <v>0</v>
      </c>
      <c r="P258" s="1561">
        <f>I258+J258+K258+N258+O258</f>
        <v>47.721040492634614</v>
      </c>
      <c r="Q258" s="397"/>
      <c r="R258" s="2344">
        <f t="shared" ref="R258:W258" si="66">SUM(F258:F262)/5</f>
        <v>0.53342832576739085</v>
      </c>
      <c r="S258" s="2345">
        <f t="shared" si="66"/>
        <v>37.704522296851962</v>
      </c>
      <c r="T258" s="2346">
        <f t="shared" si="66"/>
        <v>0</v>
      </c>
      <c r="U258" s="2340">
        <f t="shared" si="66"/>
        <v>38.237950622619351</v>
      </c>
      <c r="V258" s="2351">
        <f t="shared" si="66"/>
        <v>0</v>
      </c>
      <c r="W258" s="2352">
        <f t="shared" si="66"/>
        <v>11.090426950607249</v>
      </c>
      <c r="X258" s="2341">
        <f t="shared" ref="X258:Z258" si="67">SUM(N258:N262)/5</f>
        <v>0.69472258562654776</v>
      </c>
      <c r="Y258" s="2342">
        <f t="shared" si="67"/>
        <v>0</v>
      </c>
      <c r="Z258" s="2353">
        <f t="shared" si="67"/>
        <v>50.02310015885314</v>
      </c>
    </row>
    <row r="259" spans="1:26" ht="16.5" hidden="1" thickBot="1" x14ac:dyDescent="0.3">
      <c r="A259" s="2294"/>
      <c r="B259" s="1656"/>
      <c r="C259" s="543" t="s">
        <v>746</v>
      </c>
      <c r="D259" s="1880"/>
      <c r="E259" s="1331">
        <f>'[1]exchange rates'!$M$66</f>
        <v>11.06053</v>
      </c>
      <c r="F259" s="1322">
        <f>5/E259</f>
        <v>0.45205790319270417</v>
      </c>
      <c r="G259" s="1323">
        <f>394.52/E259</f>
        <v>35.669176793517124</v>
      </c>
      <c r="H259" s="1324">
        <v>0</v>
      </c>
      <c r="I259" s="1325">
        <f t="shared" ref="I259:I262" si="68">F259+G259+H259</f>
        <v>36.121234696709827</v>
      </c>
      <c r="J259" s="1326">
        <v>0</v>
      </c>
      <c r="K259" s="1327">
        <f>78.9/E259</f>
        <v>7.133473712380872</v>
      </c>
      <c r="L259" s="1327"/>
      <c r="M259" s="1327"/>
      <c r="N259" s="1328">
        <f>11.85/E259</f>
        <v>1.0713772305667089</v>
      </c>
      <c r="O259" s="1329">
        <v>0</v>
      </c>
      <c r="P259" s="1561">
        <f t="shared" ref="P259:P262" si="69">I259+J259+K259+N259+O259</f>
        <v>44.326085639657407</v>
      </c>
      <c r="Q259" s="397"/>
      <c r="R259" s="1886"/>
      <c r="S259" s="1888"/>
      <c r="T259" s="2290"/>
      <c r="U259" s="1892"/>
      <c r="V259" s="1894"/>
      <c r="W259" s="1864"/>
      <c r="X259" s="1913"/>
      <c r="Y259" s="1915"/>
      <c r="Z259" s="2291"/>
    </row>
    <row r="260" spans="1:26" ht="16.5" hidden="1" thickBot="1" x14ac:dyDescent="0.3">
      <c r="A260" s="2294"/>
      <c r="B260" s="1656"/>
      <c r="C260" s="543" t="s">
        <v>762</v>
      </c>
      <c r="D260" s="1880"/>
      <c r="E260" s="1331">
        <f>'[1]exchange rates'!$M$66</f>
        <v>11.06053</v>
      </c>
      <c r="F260" s="1322">
        <f>5/E260</f>
        <v>0.45205790319270417</v>
      </c>
      <c r="G260" s="1323">
        <f>323.88/E260</f>
        <v>29.282502737210603</v>
      </c>
      <c r="H260" s="1324">
        <v>0</v>
      </c>
      <c r="I260" s="1325">
        <f t="shared" si="68"/>
        <v>29.734560640403306</v>
      </c>
      <c r="J260" s="1326">
        <v>0</v>
      </c>
      <c r="K260" s="1327">
        <f>97.16/E260</f>
        <v>8.7843891748406264</v>
      </c>
      <c r="L260" s="1327"/>
      <c r="M260" s="1327"/>
      <c r="N260" s="1328">
        <f>8.1/E260</f>
        <v>0.73233380317218066</v>
      </c>
      <c r="O260" s="1329">
        <v>0</v>
      </c>
      <c r="P260" s="1561">
        <f t="shared" si="69"/>
        <v>39.25128361841611</v>
      </c>
      <c r="Q260" s="397"/>
      <c r="R260" s="1886"/>
      <c r="S260" s="1888"/>
      <c r="T260" s="2290"/>
      <c r="U260" s="1892"/>
      <c r="V260" s="1894"/>
      <c r="W260" s="1864"/>
      <c r="X260" s="1913"/>
      <c r="Y260" s="1915"/>
      <c r="Z260" s="2291"/>
    </row>
    <row r="261" spans="1:26" ht="16.5" hidden="1" thickBot="1" x14ac:dyDescent="0.3">
      <c r="A261" s="2294"/>
      <c r="B261" s="1656"/>
      <c r="C261" s="543" t="s">
        <v>763</v>
      </c>
      <c r="D261" s="1880"/>
      <c r="E261" s="1331">
        <f>'[1]exchange rates'!$M$66</f>
        <v>11.06053</v>
      </c>
      <c r="F261" s="1322">
        <f>5/E261</f>
        <v>0.45205790319270417</v>
      </c>
      <c r="G261" s="1323">
        <f>346.38/E261</f>
        <v>31.316763301577772</v>
      </c>
      <c r="H261" s="1324">
        <v>0</v>
      </c>
      <c r="I261" s="1325">
        <f t="shared" si="68"/>
        <v>31.768821204770475</v>
      </c>
      <c r="J261" s="1326">
        <v>0</v>
      </c>
      <c r="K261" s="1327">
        <f>69.27/E261</f>
        <v>6.2628101908317229</v>
      </c>
      <c r="L261" s="1327"/>
      <c r="M261" s="1327"/>
      <c r="N261" s="1328">
        <f>8.65/E261</f>
        <v>0.78206017252337823</v>
      </c>
      <c r="O261" s="1329">
        <v>0</v>
      </c>
      <c r="P261" s="1561">
        <f t="shared" si="69"/>
        <v>38.813691568125577</v>
      </c>
      <c r="Q261" s="397"/>
      <c r="R261" s="1886"/>
      <c r="S261" s="1888"/>
      <c r="T261" s="2290"/>
      <c r="U261" s="1892"/>
      <c r="V261" s="1894"/>
      <c r="W261" s="1864"/>
      <c r="X261" s="1913"/>
      <c r="Y261" s="1915"/>
      <c r="Z261" s="2291"/>
    </row>
    <row r="262" spans="1:26" ht="16.5" hidden="1" thickBot="1" x14ac:dyDescent="0.3">
      <c r="A262" s="2295"/>
      <c r="B262" s="1656"/>
      <c r="C262" s="544" t="s">
        <v>764</v>
      </c>
      <c r="D262" s="1761"/>
      <c r="E262" s="1332">
        <f>'[1]exchange rates'!$M$66</f>
        <v>11.06053</v>
      </c>
      <c r="F262" s="1333">
        <f>6.5/E262</f>
        <v>0.58767527415051535</v>
      </c>
      <c r="G262" s="1334">
        <f>627.38/E262</f>
        <v>56.722417461007744</v>
      </c>
      <c r="H262" s="1335">
        <v>0</v>
      </c>
      <c r="I262" s="1325">
        <f t="shared" si="68"/>
        <v>57.310092735158257</v>
      </c>
      <c r="J262" s="1336">
        <v>0</v>
      </c>
      <c r="K262" s="1327">
        <f>251/E262</f>
        <v>22.693306740273748</v>
      </c>
      <c r="L262" s="1327"/>
      <c r="M262" s="1327"/>
      <c r="N262" s="1328">
        <v>0</v>
      </c>
      <c r="O262" s="1337">
        <v>0</v>
      </c>
      <c r="P262" s="1561">
        <f t="shared" si="69"/>
        <v>80.003399475432005</v>
      </c>
      <c r="Q262" s="397"/>
      <c r="R262" s="1764"/>
      <c r="S262" s="1767"/>
      <c r="T262" s="2273"/>
      <c r="U262" s="1776"/>
      <c r="V262" s="1779"/>
      <c r="W262" s="2248"/>
      <c r="X262" s="1813"/>
      <c r="Y262" s="1815"/>
      <c r="Z262" s="2292"/>
    </row>
    <row r="263" spans="1:26" x14ac:dyDescent="0.25">
      <c r="D263" s="1562"/>
      <c r="E263" s="1563"/>
      <c r="R263" s="1564"/>
      <c r="S263" s="1564"/>
      <c r="T263" s="1564"/>
      <c r="U263" s="1564"/>
      <c r="V263" s="1564"/>
      <c r="W263" s="1564"/>
      <c r="X263" s="1564"/>
      <c r="Y263" s="1564"/>
      <c r="Z263" s="1564"/>
    </row>
    <row r="264" spans="1:26" x14ac:dyDescent="0.25">
      <c r="D264" s="1562"/>
      <c r="E264" s="1563"/>
      <c r="R264" s="1564"/>
      <c r="S264" s="1564"/>
      <c r="T264" s="1564"/>
      <c r="U264" s="1564"/>
      <c r="V264" s="1564"/>
      <c r="W264" s="1564"/>
      <c r="X264" s="1564"/>
      <c r="Y264" s="1564"/>
      <c r="Z264" s="1564"/>
    </row>
    <row r="265" spans="1:26" x14ac:dyDescent="0.25">
      <c r="D265" s="1565"/>
      <c r="E265" s="1566"/>
      <c r="R265" s="1564"/>
      <c r="S265" s="1564"/>
      <c r="T265" s="1564"/>
      <c r="U265" s="1564"/>
      <c r="V265" s="1564"/>
      <c r="W265" s="1564"/>
      <c r="X265" s="1564"/>
      <c r="Y265" s="1564"/>
      <c r="Z265" s="1564"/>
    </row>
    <row r="266" spans="1:26" ht="49.9" hidden="1" customHeight="1" x14ac:dyDescent="0.25">
      <c r="A266" s="1338" t="s">
        <v>1355</v>
      </c>
      <c r="B266" s="1567"/>
      <c r="C266" s="1567" t="s">
        <v>1356</v>
      </c>
      <c r="D266" s="1340" t="s">
        <v>1357</v>
      </c>
      <c r="E266" s="1341" t="s">
        <v>1358</v>
      </c>
      <c r="F266" s="1341" t="s">
        <v>1359</v>
      </c>
      <c r="G266" s="1341" t="s">
        <v>1360</v>
      </c>
      <c r="H266" s="1341" t="s">
        <v>1361</v>
      </c>
      <c r="I266" s="1341" t="s">
        <v>1362</v>
      </c>
      <c r="J266" s="1341" t="s">
        <v>1363</v>
      </c>
      <c r="K266" s="1341" t="s">
        <v>1364</v>
      </c>
      <c r="L266" s="618" t="s">
        <v>1203</v>
      </c>
      <c r="R266" s="1564"/>
      <c r="S266" s="1564"/>
      <c r="T266" s="1564"/>
      <c r="U266" s="1564"/>
      <c r="V266" s="1564"/>
      <c r="W266" s="1564"/>
      <c r="X266" s="1564"/>
      <c r="Y266" s="1564"/>
      <c r="Z266" s="1564"/>
    </row>
    <row r="267" spans="1:26" ht="15.75" hidden="1" x14ac:dyDescent="0.25">
      <c r="A267" s="1568" t="s">
        <v>6</v>
      </c>
      <c r="B267" s="1622"/>
      <c r="C267" s="1358" t="s">
        <v>67</v>
      </c>
      <c r="D267" s="1361">
        <v>44100</v>
      </c>
      <c r="E267" s="1569">
        <v>57.75620561600104</v>
      </c>
      <c r="F267" s="1569">
        <v>138.4455013355919</v>
      </c>
      <c r="G267" s="1569">
        <v>0</v>
      </c>
      <c r="H267" s="1569">
        <v>196.20170695159294</v>
      </c>
      <c r="I267" s="1569">
        <v>315.01509327426322</v>
      </c>
      <c r="J267" s="1569">
        <v>30.675179707689971</v>
      </c>
      <c r="K267" s="1569">
        <v>541.89197993354617</v>
      </c>
      <c r="L267" s="1096">
        <f>E267+F267+G267+I267+J267</f>
        <v>541.89197993354617</v>
      </c>
    </row>
    <row r="268" spans="1:26" ht="15.75" hidden="1" x14ac:dyDescent="0.25">
      <c r="A268" s="1456"/>
      <c r="B268" s="1622"/>
      <c r="C268" s="1358" t="s">
        <v>71</v>
      </c>
      <c r="D268" s="1361"/>
      <c r="E268" s="1569">
        <v>73.663865181227877</v>
      </c>
      <c r="F268" s="1569">
        <v>97.650226942037492</v>
      </c>
      <c r="G268" s="1569">
        <v>0</v>
      </c>
      <c r="H268" s="1569">
        <v>171.31409212326537</v>
      </c>
      <c r="I268" s="1569">
        <v>249.00644993159165</v>
      </c>
      <c r="J268" s="1569">
        <v>25.224227419810195</v>
      </c>
      <c r="K268" s="1569">
        <v>445.54476947466719</v>
      </c>
      <c r="L268" s="1096">
        <f t="shared" ref="L268:L331" si="70">E268+F268+G268+I268+J268</f>
        <v>445.54476947466719</v>
      </c>
    </row>
    <row r="269" spans="1:26" ht="15.75" hidden="1" x14ac:dyDescent="0.25">
      <c r="A269" s="1456"/>
      <c r="B269" s="1622"/>
      <c r="C269" s="1358" t="s">
        <v>68</v>
      </c>
      <c r="D269" s="1361"/>
      <c r="E269" s="1569">
        <v>25.84316024931049</v>
      </c>
      <c r="F269" s="1569">
        <v>203.36829760896475</v>
      </c>
      <c r="G269" s="1569">
        <v>0</v>
      </c>
      <c r="H269" s="1569">
        <v>229.21145785827525</v>
      </c>
      <c r="I269" s="1569">
        <v>157.58898516732904</v>
      </c>
      <c r="J269" s="1569">
        <v>23.204551870914504</v>
      </c>
      <c r="K269" s="1569">
        <v>410.00499489651878</v>
      </c>
      <c r="L269" s="1096">
        <f t="shared" si="70"/>
        <v>410.00499489651878</v>
      </c>
    </row>
    <row r="270" spans="1:26" ht="15.75" hidden="1" x14ac:dyDescent="0.25">
      <c r="A270" s="1456"/>
      <c r="B270" s="1622"/>
      <c r="C270" s="1358" t="s">
        <v>72</v>
      </c>
      <c r="D270" s="1361"/>
      <c r="E270" s="1569">
        <v>114.1008100419137</v>
      </c>
      <c r="F270" s="1569">
        <v>243.34918670054512</v>
      </c>
      <c r="G270" s="1569">
        <v>0</v>
      </c>
      <c r="H270" s="1569">
        <v>357.44999674245884</v>
      </c>
      <c r="I270" s="1569">
        <v>190.83762242925707</v>
      </c>
      <c r="J270" s="1569">
        <v>32.901166199752431</v>
      </c>
      <c r="K270" s="1569">
        <v>581.18878537146838</v>
      </c>
      <c r="L270" s="1096">
        <f t="shared" si="70"/>
        <v>581.18878537146838</v>
      </c>
    </row>
    <row r="271" spans="1:26" ht="15.75" hidden="1" x14ac:dyDescent="0.25">
      <c r="A271" s="1456"/>
      <c r="B271" s="1622"/>
      <c r="C271" s="1358" t="s">
        <v>69</v>
      </c>
      <c r="D271" s="1361"/>
      <c r="E271" s="1569">
        <v>57.75620561600104</v>
      </c>
      <c r="F271" s="1569">
        <v>145.91612917236736</v>
      </c>
      <c r="G271" s="1569">
        <v>0</v>
      </c>
      <c r="H271" s="1569">
        <v>203.6723347883684</v>
      </c>
      <c r="I271" s="1569">
        <v>315.01509327426322</v>
      </c>
      <c r="J271" s="1569">
        <v>31.120377006102462</v>
      </c>
      <c r="K271" s="1569">
        <v>549.80780506873407</v>
      </c>
      <c r="L271" s="1096">
        <f t="shared" si="70"/>
        <v>549.80780506873407</v>
      </c>
    </row>
    <row r="272" spans="1:26" ht="15.75" hidden="1" x14ac:dyDescent="0.25">
      <c r="A272" s="1456"/>
      <c r="B272" s="1622"/>
      <c r="C272" s="1358" t="s">
        <v>70</v>
      </c>
      <c r="D272" s="1361"/>
      <c r="E272" s="1569">
        <v>57.75620561600104</v>
      </c>
      <c r="F272" s="1569">
        <v>107.22739809325255</v>
      </c>
      <c r="G272" s="1569">
        <v>0</v>
      </c>
      <c r="H272" s="1569">
        <v>164.9836037092536</v>
      </c>
      <c r="I272" s="1569">
        <v>315.01509327426322</v>
      </c>
      <c r="J272" s="1569">
        <v>28.796664277803114</v>
      </c>
      <c r="K272" s="1569">
        <v>508.79536126132001</v>
      </c>
      <c r="L272" s="1096">
        <f t="shared" si="70"/>
        <v>508.79536126131995</v>
      </c>
    </row>
    <row r="273" spans="1:12" ht="16.5" hidden="1" thickBot="1" x14ac:dyDescent="0.3">
      <c r="A273" s="1457"/>
      <c r="B273" s="1622"/>
      <c r="C273" s="1363" t="s">
        <v>629</v>
      </c>
      <c r="D273" s="1364"/>
      <c r="E273" s="1569">
        <v>113.74248050904511</v>
      </c>
      <c r="F273" s="1569">
        <v>241.81814233283384</v>
      </c>
      <c r="G273" s="1569">
        <v>0</v>
      </c>
      <c r="H273" s="1569">
        <v>355.56062284187897</v>
      </c>
      <c r="I273" s="1569">
        <v>190.83762242925707</v>
      </c>
      <c r="J273" s="1569">
        <v>32.781723022129569</v>
      </c>
      <c r="K273" s="1569">
        <v>579.17996829326557</v>
      </c>
      <c r="L273" s="1096">
        <f t="shared" si="70"/>
        <v>579.17996829326557</v>
      </c>
    </row>
    <row r="274" spans="1:12" ht="15.75" hidden="1" x14ac:dyDescent="0.25">
      <c r="A274" s="1357" t="s">
        <v>49</v>
      </c>
      <c r="B274" s="1622"/>
      <c r="C274" s="1570" t="s">
        <v>459</v>
      </c>
      <c r="D274" s="1468">
        <v>15800</v>
      </c>
      <c r="E274" s="1348" t="s">
        <v>5</v>
      </c>
      <c r="F274" s="1348" t="s">
        <v>5</v>
      </c>
      <c r="G274" s="1348" t="s">
        <v>5</v>
      </c>
      <c r="H274" s="1348" t="s">
        <v>5</v>
      </c>
      <c r="I274" s="1348" t="s">
        <v>5</v>
      </c>
      <c r="J274" s="1348" t="s">
        <v>5</v>
      </c>
      <c r="K274" s="1569">
        <v>67.662073388102584</v>
      </c>
      <c r="L274" s="1096">
        <f>K274</f>
        <v>67.662073388102584</v>
      </c>
    </row>
    <row r="275" spans="1:12" ht="15.75" hidden="1" x14ac:dyDescent="0.25">
      <c r="A275" s="1456"/>
      <c r="B275" s="1622"/>
      <c r="C275" s="1368" t="s">
        <v>462</v>
      </c>
      <c r="D275" s="1369"/>
      <c r="E275" s="1348" t="s">
        <v>5</v>
      </c>
      <c r="F275" s="1348" t="s">
        <v>5</v>
      </c>
      <c r="G275" s="1348" t="s">
        <v>5</v>
      </c>
      <c r="H275" s="1348" t="s">
        <v>5</v>
      </c>
      <c r="I275" s="1348" t="s">
        <v>5</v>
      </c>
      <c r="J275" s="1348" t="s">
        <v>5</v>
      </c>
      <c r="K275" s="1569">
        <v>55.038552233605834</v>
      </c>
      <c r="L275" s="1096">
        <f t="shared" ref="L275:L276" si="71">K275</f>
        <v>55.038552233605834</v>
      </c>
    </row>
    <row r="276" spans="1:12" ht="16.5" hidden="1" thickBot="1" x14ac:dyDescent="0.3">
      <c r="A276" s="1457"/>
      <c r="B276" s="1622"/>
      <c r="C276" s="1370" t="s">
        <v>1346</v>
      </c>
      <c r="D276" s="1356"/>
      <c r="E276" s="1348" t="s">
        <v>5</v>
      </c>
      <c r="F276" s="1348" t="s">
        <v>5</v>
      </c>
      <c r="G276" s="1348" t="s">
        <v>5</v>
      </c>
      <c r="H276" s="1348" t="s">
        <v>5</v>
      </c>
      <c r="I276" s="1348" t="s">
        <v>5</v>
      </c>
      <c r="J276" s="1348" t="s">
        <v>5</v>
      </c>
      <c r="K276" s="1569">
        <v>106.29004812086265</v>
      </c>
      <c r="L276" s="1096">
        <f t="shared" si="71"/>
        <v>106.29004812086265</v>
      </c>
    </row>
    <row r="277" spans="1:12" ht="15.75" hidden="1" x14ac:dyDescent="0.25">
      <c r="A277" s="1371" t="s">
        <v>343</v>
      </c>
      <c r="B277" s="1424"/>
      <c r="C277" s="1571" t="s">
        <v>548</v>
      </c>
      <c r="D277" s="1468">
        <v>45900</v>
      </c>
      <c r="E277" s="1569">
        <v>136.39208407967715</v>
      </c>
      <c r="F277" s="1569">
        <v>127.31366582500665</v>
      </c>
      <c r="G277" s="1569">
        <v>0</v>
      </c>
      <c r="H277" s="1569">
        <v>263.70574990468378</v>
      </c>
      <c r="I277" s="1569">
        <v>257.1738927135263</v>
      </c>
      <c r="J277" s="1569">
        <v>0</v>
      </c>
      <c r="K277" s="1569">
        <v>520.87964261821003</v>
      </c>
      <c r="L277" s="1096">
        <f t="shared" si="70"/>
        <v>520.87964261821003</v>
      </c>
    </row>
    <row r="278" spans="1:12" ht="15.75" hidden="1" x14ac:dyDescent="0.25">
      <c r="A278" s="1572"/>
      <c r="B278" s="1652"/>
      <c r="C278" s="1373" t="s">
        <v>549</v>
      </c>
      <c r="D278" s="1369"/>
      <c r="E278" s="1569">
        <v>93.661652674968167</v>
      </c>
      <c r="F278" s="1569">
        <v>104.30829214954213</v>
      </c>
      <c r="G278" s="1569">
        <v>0</v>
      </c>
      <c r="H278" s="1569">
        <v>197.96994482451029</v>
      </c>
      <c r="I278" s="1569">
        <v>164.01579731100418</v>
      </c>
      <c r="J278" s="1569">
        <v>0</v>
      </c>
      <c r="K278" s="1569">
        <v>361.98574213551444</v>
      </c>
      <c r="L278" s="1096">
        <f t="shared" si="70"/>
        <v>361.98574213551444</v>
      </c>
    </row>
    <row r="279" spans="1:12" ht="15.75" hidden="1" x14ac:dyDescent="0.25">
      <c r="A279" s="1572"/>
      <c r="B279" s="1652"/>
      <c r="C279" s="1373" t="s">
        <v>722</v>
      </c>
      <c r="D279" s="1369"/>
      <c r="E279" s="1569">
        <v>75.965211386149292</v>
      </c>
      <c r="F279" s="1569">
        <v>104.30829214954213</v>
      </c>
      <c r="G279" s="1569">
        <v>0</v>
      </c>
      <c r="H279" s="1569">
        <v>180.27350353569142</v>
      </c>
      <c r="I279" s="1569">
        <v>140.70828927207199</v>
      </c>
      <c r="J279" s="1569">
        <v>0</v>
      </c>
      <c r="K279" s="1569">
        <v>320.98179280776344</v>
      </c>
      <c r="L279" s="1096">
        <f t="shared" si="70"/>
        <v>320.98179280776344</v>
      </c>
    </row>
    <row r="280" spans="1:12" ht="15.75" hidden="1" x14ac:dyDescent="0.25">
      <c r="A280" s="1572"/>
      <c r="B280" s="1652"/>
      <c r="C280" s="1373" t="s">
        <v>723</v>
      </c>
      <c r="D280" s="1369"/>
      <c r="E280" s="1569">
        <v>408.60075821337881</v>
      </c>
      <c r="F280" s="1569">
        <v>0</v>
      </c>
      <c r="G280" s="1569">
        <v>0</v>
      </c>
      <c r="H280" s="1569">
        <v>408.60075821337881</v>
      </c>
      <c r="I280" s="1569">
        <v>225.88140506866364</v>
      </c>
      <c r="J280" s="1569">
        <v>0</v>
      </c>
      <c r="K280" s="1569">
        <v>634.48216328204239</v>
      </c>
      <c r="L280" s="1096">
        <f t="shared" si="70"/>
        <v>634.48216328204239</v>
      </c>
    </row>
    <row r="281" spans="1:12" ht="16.5" hidden="1" thickBot="1" x14ac:dyDescent="0.3">
      <c r="A281" s="1573"/>
      <c r="B281" s="1652"/>
      <c r="C281" s="1375" t="s">
        <v>552</v>
      </c>
      <c r="D281" s="1356"/>
      <c r="E281" s="1569">
        <v>136.91002870276452</v>
      </c>
      <c r="F281" s="1569">
        <v>67.908295027012258</v>
      </c>
      <c r="G281" s="1569">
        <v>0</v>
      </c>
      <c r="H281" s="1569">
        <v>204.81832372977678</v>
      </c>
      <c r="I281" s="1569">
        <v>169.52615260662824</v>
      </c>
      <c r="J281" s="1569">
        <v>0</v>
      </c>
      <c r="K281" s="1569">
        <v>374.34447633640502</v>
      </c>
      <c r="L281" s="1096">
        <f t="shared" si="70"/>
        <v>374.34447633640502</v>
      </c>
    </row>
    <row r="282" spans="1:12" ht="15.75" hidden="1" x14ac:dyDescent="0.25">
      <c r="A282" s="1357" t="s">
        <v>489</v>
      </c>
      <c r="B282" s="1622"/>
      <c r="C282" s="1358" t="s">
        <v>728</v>
      </c>
      <c r="D282" s="1468">
        <v>23800</v>
      </c>
      <c r="E282" s="1569">
        <v>15.456467891895299</v>
      </c>
      <c r="F282" s="1569">
        <v>199.94678136987906</v>
      </c>
      <c r="G282" s="1569">
        <v>0</v>
      </c>
      <c r="H282" s="1569">
        <v>215.40324926177436</v>
      </c>
      <c r="I282" s="1569">
        <v>45.539620595047296</v>
      </c>
      <c r="J282" s="1569">
        <v>0</v>
      </c>
      <c r="K282" s="1569">
        <v>260.94286985682163</v>
      </c>
      <c r="L282" s="1096">
        <f t="shared" si="70"/>
        <v>260.94286985682163</v>
      </c>
    </row>
    <row r="283" spans="1:12" ht="15.75" hidden="1" x14ac:dyDescent="0.25">
      <c r="A283" s="1456"/>
      <c r="B283" s="1622"/>
      <c r="C283" s="1358" t="s">
        <v>492</v>
      </c>
      <c r="D283" s="1369"/>
      <c r="E283" s="1569">
        <v>17.885341417764561</v>
      </c>
      <c r="F283" s="1569">
        <v>95.022820441129568</v>
      </c>
      <c r="G283" s="1569">
        <v>0</v>
      </c>
      <c r="H283" s="1569">
        <v>112.90816185889413</v>
      </c>
      <c r="I283" s="1569">
        <v>69.940868813826498</v>
      </c>
      <c r="J283" s="1569">
        <v>0</v>
      </c>
      <c r="K283" s="1569">
        <v>182.84903067272063</v>
      </c>
      <c r="L283" s="1096">
        <f t="shared" si="70"/>
        <v>182.84903067272063</v>
      </c>
    </row>
    <row r="284" spans="1:12" ht="15.75" hidden="1" x14ac:dyDescent="0.25">
      <c r="A284" s="1456"/>
      <c r="B284" s="1622"/>
      <c r="C284" s="1358" t="s">
        <v>729</v>
      </c>
      <c r="D284" s="1369"/>
      <c r="E284" s="1569">
        <v>17.885341417764561</v>
      </c>
      <c r="F284" s="1569">
        <v>95.022820441129568</v>
      </c>
      <c r="G284" s="1569">
        <v>0</v>
      </c>
      <c r="H284" s="1569">
        <v>112.90816185889413</v>
      </c>
      <c r="I284" s="1569">
        <v>69.940868813826498</v>
      </c>
      <c r="J284" s="1569">
        <v>0</v>
      </c>
      <c r="K284" s="1569">
        <v>182.84903067272063</v>
      </c>
      <c r="L284" s="1096">
        <f t="shared" si="70"/>
        <v>182.84903067272063</v>
      </c>
    </row>
    <row r="285" spans="1:12" ht="15.75" hidden="1" x14ac:dyDescent="0.25">
      <c r="A285" s="1456"/>
      <c r="B285" s="1622"/>
      <c r="C285" s="1358" t="s">
        <v>493</v>
      </c>
      <c r="D285" s="1369"/>
      <c r="E285" s="1569">
        <v>10.80827622831805</v>
      </c>
      <c r="F285" s="1569">
        <v>57.595384268325411</v>
      </c>
      <c r="G285" s="1569">
        <v>0</v>
      </c>
      <c r="H285" s="1569">
        <v>68.403660496643454</v>
      </c>
      <c r="I285" s="1569">
        <v>73.158739472302969</v>
      </c>
      <c r="J285" s="1569">
        <v>0</v>
      </c>
      <c r="K285" s="1569">
        <v>141.56239996894641</v>
      </c>
      <c r="L285" s="1096">
        <f t="shared" si="70"/>
        <v>141.56239996894641</v>
      </c>
    </row>
    <row r="286" spans="1:12" ht="15.75" hidden="1" x14ac:dyDescent="0.25">
      <c r="A286" s="1456"/>
      <c r="B286" s="1622"/>
      <c r="C286" s="1358" t="s">
        <v>730</v>
      </c>
      <c r="D286" s="1369"/>
      <c r="E286" s="1569">
        <v>18.17506228998753</v>
      </c>
      <c r="F286" s="1569">
        <v>60.105829690257451</v>
      </c>
      <c r="G286" s="1569">
        <v>0</v>
      </c>
      <c r="H286" s="1569">
        <v>78.280891980244974</v>
      </c>
      <c r="I286" s="1569">
        <v>98.408054127734843</v>
      </c>
      <c r="J286" s="1569">
        <v>0</v>
      </c>
      <c r="K286" s="1569">
        <v>176.6889461079798</v>
      </c>
      <c r="L286" s="1096">
        <f t="shared" si="70"/>
        <v>176.6889461079798</v>
      </c>
    </row>
    <row r="287" spans="1:12" ht="16.5" hidden="1" thickBot="1" x14ac:dyDescent="0.3">
      <c r="A287" s="1457"/>
      <c r="B287" s="1622"/>
      <c r="C287" s="1358" t="s">
        <v>731</v>
      </c>
      <c r="D287" s="1356"/>
      <c r="E287" s="1569">
        <v>10.266807607901336</v>
      </c>
      <c r="F287" s="1569">
        <v>47.259662472371041</v>
      </c>
      <c r="G287" s="1569">
        <v>0</v>
      </c>
      <c r="H287" s="1569">
        <v>57.526470080272375</v>
      </c>
      <c r="I287" s="1569">
        <v>63.637330224975294</v>
      </c>
      <c r="J287" s="1569">
        <v>0</v>
      </c>
      <c r="K287" s="1569">
        <v>121.16380030524766</v>
      </c>
      <c r="L287" s="1096">
        <f t="shared" si="70"/>
        <v>121.16380030524766</v>
      </c>
    </row>
    <row r="288" spans="1:12" ht="15.75" hidden="1" x14ac:dyDescent="0.25">
      <c r="A288" s="1574" t="s">
        <v>8</v>
      </c>
      <c r="B288" s="1653"/>
      <c r="C288" s="1570" t="s">
        <v>78</v>
      </c>
      <c r="D288" s="1468">
        <v>14300</v>
      </c>
      <c r="E288" s="1569">
        <v>31.77863646621562</v>
      </c>
      <c r="F288" s="1569">
        <v>0</v>
      </c>
      <c r="G288" s="1569">
        <v>24.10263731978673</v>
      </c>
      <c r="H288" s="1569">
        <v>55.881273786002353</v>
      </c>
      <c r="I288" s="1569">
        <v>20.878717678286595</v>
      </c>
      <c r="J288" s="1569">
        <v>0</v>
      </c>
      <c r="K288" s="1569">
        <v>76.759991464288944</v>
      </c>
      <c r="L288" s="1096">
        <f t="shared" si="70"/>
        <v>76.759991464288944</v>
      </c>
    </row>
    <row r="289" spans="1:12" ht="15.75" hidden="1" x14ac:dyDescent="0.25">
      <c r="A289" s="1575"/>
      <c r="B289" s="1653"/>
      <c r="C289" s="1368" t="s">
        <v>79</v>
      </c>
      <c r="D289" s="1369"/>
      <c r="E289" s="1569">
        <v>29.475836722286957</v>
      </c>
      <c r="F289" s="1569">
        <v>0</v>
      </c>
      <c r="G289" s="1569">
        <v>0</v>
      </c>
      <c r="H289" s="1569">
        <v>29.475836722286957</v>
      </c>
      <c r="I289" s="1569">
        <v>26.098397097858243</v>
      </c>
      <c r="J289" s="1569">
        <v>0</v>
      </c>
      <c r="K289" s="1569">
        <v>55.574233820145196</v>
      </c>
      <c r="L289" s="1096">
        <f t="shared" si="70"/>
        <v>55.574233820145196</v>
      </c>
    </row>
    <row r="290" spans="1:12" ht="15.75" hidden="1" x14ac:dyDescent="0.25">
      <c r="A290" s="1575"/>
      <c r="B290" s="1653"/>
      <c r="C290" s="1368" t="s">
        <v>80</v>
      </c>
      <c r="D290" s="1369"/>
      <c r="E290" s="1569">
        <v>40.068715544358831</v>
      </c>
      <c r="F290" s="1569">
        <v>0</v>
      </c>
      <c r="G290" s="1569">
        <v>21.339277627072327</v>
      </c>
      <c r="H290" s="1569">
        <v>61.407993171431158</v>
      </c>
      <c r="I290" s="1569">
        <v>13.81679846357201</v>
      </c>
      <c r="J290" s="1569">
        <v>0</v>
      </c>
      <c r="K290" s="1569">
        <v>75.224791635003172</v>
      </c>
      <c r="L290" s="1096">
        <f t="shared" si="70"/>
        <v>75.224791635003172</v>
      </c>
    </row>
    <row r="291" spans="1:12" ht="15.75" hidden="1" x14ac:dyDescent="0.25">
      <c r="A291" s="1575"/>
      <c r="B291" s="1653"/>
      <c r="C291" s="1368" t="s">
        <v>81</v>
      </c>
      <c r="D291" s="1369"/>
      <c r="E291" s="1569">
        <v>35.309596073572912</v>
      </c>
      <c r="F291" s="1569">
        <v>0</v>
      </c>
      <c r="G291" s="1569">
        <v>0</v>
      </c>
      <c r="H291" s="1569">
        <v>35.309596073572912</v>
      </c>
      <c r="I291" s="1569">
        <v>13.81679846357201</v>
      </c>
      <c r="J291" s="1569">
        <v>0</v>
      </c>
      <c r="K291" s="1569">
        <v>49.126394537144918</v>
      </c>
      <c r="L291" s="1096">
        <f t="shared" si="70"/>
        <v>49.126394537144918</v>
      </c>
    </row>
    <row r="292" spans="1:12" ht="16.5" hidden="1" thickBot="1" x14ac:dyDescent="0.3">
      <c r="A292" s="1576"/>
      <c r="B292" s="1653"/>
      <c r="C292" s="1370" t="s">
        <v>468</v>
      </c>
      <c r="D292" s="1356"/>
      <c r="E292" s="1569">
        <v>30.396956619858422</v>
      </c>
      <c r="F292" s="1569">
        <v>0</v>
      </c>
      <c r="G292" s="1569">
        <v>0</v>
      </c>
      <c r="H292" s="1569">
        <v>30.396956619858422</v>
      </c>
      <c r="I292" s="1569">
        <v>13.81679846357201</v>
      </c>
      <c r="J292" s="1569">
        <v>0</v>
      </c>
      <c r="K292" s="1569">
        <v>44.213755083430428</v>
      </c>
      <c r="L292" s="1096">
        <f t="shared" si="70"/>
        <v>44.213755083430428</v>
      </c>
    </row>
    <row r="293" spans="1:12" ht="16.5" hidden="1" thickBot="1" x14ac:dyDescent="0.3">
      <c r="A293" s="1577" t="s">
        <v>585</v>
      </c>
      <c r="B293" s="1623"/>
      <c r="C293" s="1358" t="s">
        <v>84</v>
      </c>
      <c r="D293" s="1578">
        <v>57000</v>
      </c>
      <c r="E293" s="1569">
        <v>0</v>
      </c>
      <c r="F293" s="1569">
        <v>33.705350827329525</v>
      </c>
      <c r="G293" s="1569">
        <v>0</v>
      </c>
      <c r="H293" s="1569">
        <v>33.705350827329525</v>
      </c>
      <c r="I293" s="1569">
        <v>27.907742405107246</v>
      </c>
      <c r="J293" s="1569">
        <v>0</v>
      </c>
      <c r="K293" s="1569">
        <v>61.613093232436768</v>
      </c>
      <c r="L293" s="1096">
        <f t="shared" si="70"/>
        <v>61.613093232436768</v>
      </c>
    </row>
    <row r="294" spans="1:12" ht="15.75" hidden="1" x14ac:dyDescent="0.25">
      <c r="A294" s="1357" t="s">
        <v>9</v>
      </c>
      <c r="B294" s="1622"/>
      <c r="C294" s="1579" t="s">
        <v>82</v>
      </c>
      <c r="D294" s="1468">
        <v>47500</v>
      </c>
      <c r="E294" s="1569">
        <v>23.588728700587662</v>
      </c>
      <c r="F294" s="1569">
        <v>14.455656819078079</v>
      </c>
      <c r="G294" s="1569">
        <v>0</v>
      </c>
      <c r="H294" s="1569">
        <v>38.044385519665738</v>
      </c>
      <c r="I294" s="1569">
        <v>15.725819133725109</v>
      </c>
      <c r="J294" s="1569">
        <v>1.905243471970542</v>
      </c>
      <c r="K294" s="1569">
        <v>55.675448125361385</v>
      </c>
      <c r="L294" s="1096">
        <f t="shared" si="70"/>
        <v>55.675448125361392</v>
      </c>
    </row>
    <row r="295" spans="1:12" ht="16.5" hidden="1" thickBot="1" x14ac:dyDescent="0.3">
      <c r="A295" s="1457"/>
      <c r="B295" s="1622"/>
      <c r="C295" s="1358" t="s">
        <v>83</v>
      </c>
      <c r="D295" s="1356"/>
      <c r="E295" s="1569">
        <v>14.274205059842791</v>
      </c>
      <c r="F295" s="1569">
        <v>21.169371910783799</v>
      </c>
      <c r="G295" s="1569">
        <v>1.0584685955391899</v>
      </c>
      <c r="H295" s="1569">
        <v>36.502045566165776</v>
      </c>
      <c r="I295" s="1569">
        <v>27.217763885293458</v>
      </c>
      <c r="J295" s="1569">
        <v>1.6633077929901556</v>
      </c>
      <c r="K295" s="1569">
        <v>65.38311724444938</v>
      </c>
      <c r="L295" s="1096">
        <f t="shared" si="70"/>
        <v>65.383117244449394</v>
      </c>
    </row>
    <row r="296" spans="1:12" ht="15.75" hidden="1" x14ac:dyDescent="0.25">
      <c r="A296" s="1371" t="s">
        <v>10</v>
      </c>
      <c r="B296" s="1424"/>
      <c r="C296" s="1473" t="s">
        <v>85</v>
      </c>
      <c r="D296" s="1468">
        <v>31000</v>
      </c>
      <c r="E296" s="1569">
        <v>71.665906573718161</v>
      </c>
      <c r="F296" s="1569">
        <v>102.06962451408344</v>
      </c>
      <c r="G296" s="1569">
        <v>0</v>
      </c>
      <c r="H296" s="1569">
        <v>173.7355310878016</v>
      </c>
      <c r="I296" s="1569">
        <v>271.46176732469002</v>
      </c>
      <c r="J296" s="1569">
        <v>8.6867765543900806</v>
      </c>
      <c r="K296" s="1569">
        <v>453.88407496688166</v>
      </c>
      <c r="L296" s="1096">
        <f t="shared" si="70"/>
        <v>453.88407496688166</v>
      </c>
    </row>
    <row r="297" spans="1:12" ht="15.75" hidden="1" x14ac:dyDescent="0.25">
      <c r="A297" s="1351"/>
      <c r="B297" s="1424"/>
      <c r="C297" s="1380" t="s">
        <v>1347</v>
      </c>
      <c r="D297" s="1369"/>
      <c r="E297" s="1569">
        <v>45.605576910547917</v>
      </c>
      <c r="F297" s="1569">
        <v>104.24131865268096</v>
      </c>
      <c r="G297" s="1569">
        <v>0</v>
      </c>
      <c r="H297" s="1569">
        <v>149.84689556322888</v>
      </c>
      <c r="I297" s="1569">
        <v>304.16748105196865</v>
      </c>
      <c r="J297" s="1569">
        <v>7.4923447781614438</v>
      </c>
      <c r="K297" s="1569">
        <v>461.50672139335899</v>
      </c>
      <c r="L297" s="1096">
        <f t="shared" si="70"/>
        <v>461.50672139335899</v>
      </c>
    </row>
    <row r="298" spans="1:12" ht="15.75" hidden="1" x14ac:dyDescent="0.25">
      <c r="A298" s="1351"/>
      <c r="B298" s="1424"/>
      <c r="C298" s="1380" t="s">
        <v>1348</v>
      </c>
      <c r="D298" s="1369"/>
      <c r="E298" s="1569">
        <v>71.665906573718161</v>
      </c>
      <c r="F298" s="1569">
        <v>97.726236236888397</v>
      </c>
      <c r="G298" s="1569">
        <v>0</v>
      </c>
      <c r="H298" s="1569">
        <v>169.39214281060657</v>
      </c>
      <c r="I298" s="1569">
        <v>274.77360088605121</v>
      </c>
      <c r="J298" s="1569">
        <v>8.4696071405303268</v>
      </c>
      <c r="K298" s="1569">
        <v>452.63535083718818</v>
      </c>
      <c r="L298" s="1096">
        <f t="shared" si="70"/>
        <v>452.63535083718813</v>
      </c>
    </row>
    <row r="299" spans="1:12" ht="16.5" hidden="1" thickBot="1" x14ac:dyDescent="0.3">
      <c r="A299" s="1374"/>
      <c r="B299" s="1424"/>
      <c r="C299" s="1381" t="s">
        <v>86</v>
      </c>
      <c r="D299" s="1356"/>
      <c r="E299" s="1569">
        <v>52.12065932634048</v>
      </c>
      <c r="F299" s="1569">
        <v>91.862662062675085</v>
      </c>
      <c r="G299" s="1569">
        <v>0</v>
      </c>
      <c r="H299" s="1569">
        <v>143.98332138901557</v>
      </c>
      <c r="I299" s="1569">
        <v>225.85619041414208</v>
      </c>
      <c r="J299" s="1569">
        <v>7.1991660694507784</v>
      </c>
      <c r="K299" s="1569">
        <v>377.03867787260845</v>
      </c>
      <c r="L299" s="1096">
        <f t="shared" si="70"/>
        <v>377.03867787260839</v>
      </c>
    </row>
    <row r="300" spans="1:12" ht="15.75" hidden="1" x14ac:dyDescent="0.25">
      <c r="A300" s="1357" t="s">
        <v>11</v>
      </c>
      <c r="B300" s="1622"/>
      <c r="C300" s="1382" t="s">
        <v>87</v>
      </c>
      <c r="D300" s="1468">
        <v>45800</v>
      </c>
      <c r="E300" s="1569">
        <v>141.87043032265103</v>
      </c>
      <c r="F300" s="1569">
        <v>63.991851878796702</v>
      </c>
      <c r="G300" s="1569">
        <v>95.012913317085591</v>
      </c>
      <c r="H300" s="1569">
        <v>300.8751955185333</v>
      </c>
      <c r="I300" s="1569">
        <v>380.63366192572119</v>
      </c>
      <c r="J300" s="1569">
        <v>170.37721436106364</v>
      </c>
      <c r="K300" s="1569">
        <v>851.88607180531812</v>
      </c>
      <c r="L300" s="1096">
        <f t="shared" si="70"/>
        <v>851.88607180531812</v>
      </c>
    </row>
    <row r="301" spans="1:12" ht="15.75" hidden="1" x14ac:dyDescent="0.25">
      <c r="A301" s="1456"/>
      <c r="B301" s="1622"/>
      <c r="C301" s="1382" t="s">
        <v>213</v>
      </c>
      <c r="D301" s="1369"/>
      <c r="E301" s="1569">
        <v>80.026190389582041</v>
      </c>
      <c r="F301" s="1569">
        <v>155.83281801316795</v>
      </c>
      <c r="G301" s="1569">
        <v>95.012913317085591</v>
      </c>
      <c r="H301" s="1569">
        <v>330.8719217198356</v>
      </c>
      <c r="I301" s="1569">
        <v>434.64406533047179</v>
      </c>
      <c r="J301" s="1569">
        <v>191.37899676257683</v>
      </c>
      <c r="K301" s="1569">
        <v>956.89498381288422</v>
      </c>
      <c r="L301" s="1096">
        <f t="shared" si="70"/>
        <v>956.89498381288422</v>
      </c>
    </row>
    <row r="302" spans="1:12" ht="15.75" hidden="1" x14ac:dyDescent="0.25">
      <c r="A302" s="1456"/>
      <c r="B302" s="1622"/>
      <c r="C302" s="1382" t="s">
        <v>88</v>
      </c>
      <c r="D302" s="1369"/>
      <c r="E302" s="1569">
        <v>55.872831108362739</v>
      </c>
      <c r="F302" s="1569">
        <v>126.15037648685025</v>
      </c>
      <c r="G302" s="1569">
        <v>95.012913317085591</v>
      </c>
      <c r="H302" s="1569">
        <v>277.0361209122986</v>
      </c>
      <c r="I302" s="1569">
        <v>215.2268014986723</v>
      </c>
      <c r="J302" s="1569">
        <v>123.0657306027427</v>
      </c>
      <c r="K302" s="1569">
        <v>615.32865301371362</v>
      </c>
      <c r="L302" s="1096">
        <f t="shared" si="70"/>
        <v>615.32865301371362</v>
      </c>
    </row>
    <row r="303" spans="1:12" ht="15.75" hidden="1" x14ac:dyDescent="0.25">
      <c r="A303" s="1456"/>
      <c r="B303" s="1622"/>
      <c r="C303" s="1382" t="s">
        <v>89</v>
      </c>
      <c r="D303" s="1369"/>
      <c r="E303" s="1569">
        <v>96.32243279618784</v>
      </c>
      <c r="F303" s="1569">
        <v>70.626750572914773</v>
      </c>
      <c r="G303" s="1569">
        <v>95.012913317085591</v>
      </c>
      <c r="H303" s="1569">
        <v>261.9620966861882</v>
      </c>
      <c r="I303" s="1569">
        <v>425.5996507948056</v>
      </c>
      <c r="J303" s="1569">
        <v>171.89043687024844</v>
      </c>
      <c r="K303" s="1569">
        <v>859.45218435124218</v>
      </c>
      <c r="L303" s="1096">
        <f t="shared" si="70"/>
        <v>859.45218435124218</v>
      </c>
    </row>
    <row r="304" spans="1:12" ht="16.5" hidden="1" thickBot="1" x14ac:dyDescent="0.3">
      <c r="A304" s="1457"/>
      <c r="B304" s="1622"/>
      <c r="C304" s="1383" t="s">
        <v>90</v>
      </c>
      <c r="D304" s="1356"/>
      <c r="E304" s="1569">
        <v>69.841038885453429</v>
      </c>
      <c r="F304" s="1569">
        <v>127.31439380160781</v>
      </c>
      <c r="G304" s="1569">
        <v>95.012913317085591</v>
      </c>
      <c r="H304" s="1569">
        <v>292.16834600414683</v>
      </c>
      <c r="I304" s="1569">
        <v>500.58564621148741</v>
      </c>
      <c r="J304" s="1569">
        <v>198.18849805390855</v>
      </c>
      <c r="K304" s="1569">
        <v>990.94249026954276</v>
      </c>
      <c r="L304" s="1096">
        <f t="shared" si="70"/>
        <v>990.94249026954287</v>
      </c>
    </row>
    <row r="305" spans="1:12" ht="15.75" hidden="1" x14ac:dyDescent="0.25">
      <c r="A305" s="1357" t="s">
        <v>12</v>
      </c>
      <c r="B305" s="1622"/>
      <c r="C305" s="1472" t="s">
        <v>91</v>
      </c>
      <c r="D305" s="1468">
        <v>41200</v>
      </c>
      <c r="E305" s="1569">
        <v>41.902838404239155</v>
      </c>
      <c r="F305" s="1569">
        <v>117.27148348426608</v>
      </c>
      <c r="G305" s="1569">
        <v>0</v>
      </c>
      <c r="H305" s="1569">
        <v>159.17432188850523</v>
      </c>
      <c r="I305" s="1569">
        <v>208.36319412773906</v>
      </c>
      <c r="J305" s="1569">
        <v>88.214215909831253</v>
      </c>
      <c r="K305" s="1569">
        <v>455.75173192607554</v>
      </c>
      <c r="L305" s="1096">
        <f t="shared" si="70"/>
        <v>455.75173192607554</v>
      </c>
    </row>
    <row r="306" spans="1:12" ht="15.75" hidden="1" x14ac:dyDescent="0.25">
      <c r="A306" s="1456"/>
      <c r="B306" s="1622"/>
      <c r="C306" s="1382" t="s">
        <v>92</v>
      </c>
      <c r="D306" s="1369"/>
      <c r="E306" s="1569">
        <v>41.902838404239155</v>
      </c>
      <c r="F306" s="1569">
        <v>117.27148348426608</v>
      </c>
      <c r="G306" s="1569">
        <v>0</v>
      </c>
      <c r="H306" s="1569">
        <v>159.17432188850523</v>
      </c>
      <c r="I306" s="1569">
        <v>208.36319412773906</v>
      </c>
      <c r="J306" s="1569">
        <v>88.214215909831253</v>
      </c>
      <c r="K306" s="1569">
        <v>455.75173192607554</v>
      </c>
      <c r="L306" s="1096">
        <f t="shared" si="70"/>
        <v>455.75173192607554</v>
      </c>
    </row>
    <row r="307" spans="1:12" ht="15.75" hidden="1" x14ac:dyDescent="0.25">
      <c r="A307" s="1456"/>
      <c r="B307" s="1622"/>
      <c r="C307" s="1382" t="s">
        <v>93</v>
      </c>
      <c r="D307" s="1369"/>
      <c r="E307" s="1569">
        <v>45.540426086389992</v>
      </c>
      <c r="F307" s="1569">
        <v>133.55918952374748</v>
      </c>
      <c r="G307" s="1569">
        <v>0</v>
      </c>
      <c r="H307" s="1569">
        <v>179.09961561013748</v>
      </c>
      <c r="I307" s="1569">
        <v>227.96273372858167</v>
      </c>
      <c r="J307" s="1569">
        <v>97.693660824809442</v>
      </c>
      <c r="K307" s="1569">
        <v>504.75601016352857</v>
      </c>
      <c r="L307" s="1096">
        <f t="shared" si="70"/>
        <v>504.75601016352863</v>
      </c>
    </row>
    <row r="308" spans="1:12" ht="15.75" hidden="1" x14ac:dyDescent="0.25">
      <c r="A308" s="1456"/>
      <c r="B308" s="1622"/>
      <c r="C308" s="1382" t="s">
        <v>94</v>
      </c>
      <c r="D308" s="1369"/>
      <c r="E308" s="1569">
        <v>83.523356570460621</v>
      </c>
      <c r="F308" s="1569">
        <v>118.35733055356484</v>
      </c>
      <c r="G308" s="1569">
        <v>0</v>
      </c>
      <c r="H308" s="1569">
        <v>201.88068712402546</v>
      </c>
      <c r="I308" s="1569">
        <v>257.25888765826221</v>
      </c>
      <c r="J308" s="1569">
        <v>110.19176059243817</v>
      </c>
      <c r="K308" s="1569">
        <v>569.33133537472588</v>
      </c>
      <c r="L308" s="1096">
        <f t="shared" si="70"/>
        <v>569.33133537472588</v>
      </c>
    </row>
    <row r="309" spans="1:12" ht="15.75" hidden="1" x14ac:dyDescent="0.25">
      <c r="A309" s="1456"/>
      <c r="B309" s="1622"/>
      <c r="C309" s="1382" t="s">
        <v>95</v>
      </c>
      <c r="D309" s="1369"/>
      <c r="E309" s="1569">
        <v>117.27148348426608</v>
      </c>
      <c r="F309" s="1569">
        <v>137.90257780094251</v>
      </c>
      <c r="G309" s="1569">
        <v>0</v>
      </c>
      <c r="H309" s="1569">
        <v>255.17406128520861</v>
      </c>
      <c r="I309" s="1569">
        <v>236.71466110712967</v>
      </c>
      <c r="J309" s="1569">
        <v>118.05329337416119</v>
      </c>
      <c r="K309" s="1569">
        <v>609.94201576649948</v>
      </c>
      <c r="L309" s="1096">
        <f t="shared" si="70"/>
        <v>609.94201576649948</v>
      </c>
    </row>
    <row r="310" spans="1:12" ht="16.5" hidden="1" thickBot="1" x14ac:dyDescent="0.3">
      <c r="A310" s="1457"/>
      <c r="B310" s="1622"/>
      <c r="C310" s="1383" t="s">
        <v>195</v>
      </c>
      <c r="D310" s="1356"/>
      <c r="E310" s="1569">
        <v>41.902838404239155</v>
      </c>
      <c r="F310" s="1569">
        <v>117.27148348426608</v>
      </c>
      <c r="G310" s="1569">
        <v>0</v>
      </c>
      <c r="H310" s="1569">
        <v>159.17432188850523</v>
      </c>
      <c r="I310" s="1569">
        <v>208.36319412773906</v>
      </c>
      <c r="J310" s="1569">
        <v>88.214215909831253</v>
      </c>
      <c r="K310" s="1569">
        <v>455.75173192607554</v>
      </c>
      <c r="L310" s="1096">
        <f t="shared" si="70"/>
        <v>455.75173192607554</v>
      </c>
    </row>
    <row r="311" spans="1:12" ht="15.75" hidden="1" x14ac:dyDescent="0.25">
      <c r="A311" s="1357" t="s">
        <v>13</v>
      </c>
      <c r="B311" s="1622"/>
      <c r="C311" s="1472" t="s">
        <v>97</v>
      </c>
      <c r="D311" s="1468">
        <v>41400</v>
      </c>
      <c r="E311" s="1569">
        <v>59.623862575194906</v>
      </c>
      <c r="F311" s="1569">
        <v>116.18563641496732</v>
      </c>
      <c r="G311" s="1569">
        <v>43.433882771950401</v>
      </c>
      <c r="H311" s="1569">
        <v>219.24338176211265</v>
      </c>
      <c r="I311" s="1569">
        <v>144.96058375138449</v>
      </c>
      <c r="J311" s="1569">
        <v>26.472951549503772</v>
      </c>
      <c r="K311" s="1569">
        <v>390.67691706300087</v>
      </c>
      <c r="L311" s="1096">
        <f t="shared" si="70"/>
        <v>390.67691706300087</v>
      </c>
    </row>
    <row r="312" spans="1:12" ht="15.75" hidden="1" x14ac:dyDescent="0.25">
      <c r="A312" s="1456"/>
      <c r="B312" s="1622"/>
      <c r="C312" s="1382" t="s">
        <v>98</v>
      </c>
      <c r="D312" s="1369"/>
      <c r="E312" s="1569">
        <v>0</v>
      </c>
      <c r="F312" s="1569">
        <v>160.70536625621648</v>
      </c>
      <c r="G312" s="1569">
        <v>52.12065932634048</v>
      </c>
      <c r="H312" s="1569">
        <v>212.82602558255695</v>
      </c>
      <c r="I312" s="1569">
        <v>245.40143766151974</v>
      </c>
      <c r="J312" s="1569">
        <v>36.180424349034681</v>
      </c>
      <c r="K312" s="1569">
        <v>494.40788759311141</v>
      </c>
      <c r="L312" s="1096">
        <f t="shared" si="70"/>
        <v>494.40788759311141</v>
      </c>
    </row>
    <row r="313" spans="1:12" ht="15.75" hidden="1" x14ac:dyDescent="0.25">
      <c r="A313" s="1456"/>
      <c r="B313" s="1622"/>
      <c r="C313" s="1382" t="s">
        <v>99</v>
      </c>
      <c r="D313" s="1369"/>
      <c r="E313" s="1569">
        <v>19.990444545790172</v>
      </c>
      <c r="F313" s="1569">
        <v>121.61487176146113</v>
      </c>
      <c r="G313" s="1569">
        <v>48.863118118444199</v>
      </c>
      <c r="H313" s="1569">
        <v>190.46843442569551</v>
      </c>
      <c r="I313" s="1569">
        <v>186.9394314504745</v>
      </c>
      <c r="J313" s="1569">
        <v>29.209286164136643</v>
      </c>
      <c r="K313" s="1569">
        <v>406.61715204030662</v>
      </c>
      <c r="L313" s="1096">
        <f t="shared" si="70"/>
        <v>406.61715204030668</v>
      </c>
    </row>
    <row r="314" spans="1:12" ht="15.75" hidden="1" x14ac:dyDescent="0.25">
      <c r="A314" s="1456"/>
      <c r="B314" s="1622"/>
      <c r="C314" s="1382" t="s">
        <v>100</v>
      </c>
      <c r="D314" s="1369"/>
      <c r="E314" s="1569">
        <v>66.193237344452413</v>
      </c>
      <c r="F314" s="1569">
        <v>128.12995417725367</v>
      </c>
      <c r="G314" s="1569">
        <v>38.004647425456596</v>
      </c>
      <c r="H314" s="1569">
        <v>232.32783894716266</v>
      </c>
      <c r="I314" s="1569">
        <v>123.39566095511108</v>
      </c>
      <c r="J314" s="1569">
        <v>25.148218124959282</v>
      </c>
      <c r="K314" s="1569">
        <v>380.87171802723299</v>
      </c>
      <c r="L314" s="1096">
        <f t="shared" si="70"/>
        <v>380.87171802723299</v>
      </c>
    </row>
    <row r="315" spans="1:12" ht="15.75" hidden="1" x14ac:dyDescent="0.25">
      <c r="A315" s="1456"/>
      <c r="B315" s="1622"/>
      <c r="C315" s="1382" t="s">
        <v>101</v>
      </c>
      <c r="D315" s="1369"/>
      <c r="E315" s="1569">
        <v>22.824505396659934</v>
      </c>
      <c r="F315" s="1569">
        <v>107.49885986057724</v>
      </c>
      <c r="G315" s="1569">
        <v>53.206506395639238</v>
      </c>
      <c r="H315" s="1569">
        <v>183.52987165287641</v>
      </c>
      <c r="I315" s="1569">
        <v>169.39214281060657</v>
      </c>
      <c r="J315" s="1569">
        <v>26.950724259995223</v>
      </c>
      <c r="K315" s="1569">
        <v>379.87273872347822</v>
      </c>
      <c r="L315" s="1096">
        <f t="shared" si="70"/>
        <v>379.87273872347822</v>
      </c>
    </row>
    <row r="316" spans="1:12" ht="15.75" hidden="1" x14ac:dyDescent="0.25">
      <c r="A316" s="1456"/>
      <c r="B316" s="1622"/>
      <c r="C316" s="1382" t="s">
        <v>630</v>
      </c>
      <c r="D316" s="1369"/>
      <c r="E316" s="1569">
        <v>30.794622885312833</v>
      </c>
      <c r="F316" s="1569">
        <v>108.58470692987599</v>
      </c>
      <c r="G316" s="1569">
        <v>43.433882771950401</v>
      </c>
      <c r="H316" s="1569">
        <v>182.81321258713925</v>
      </c>
      <c r="I316" s="1569">
        <v>147.67520142463135</v>
      </c>
      <c r="J316" s="1569">
        <v>24.779030121397703</v>
      </c>
      <c r="K316" s="1569">
        <v>355.26744413316828</v>
      </c>
      <c r="L316" s="1096">
        <f t="shared" si="70"/>
        <v>355.26744413316828</v>
      </c>
    </row>
    <row r="317" spans="1:12" ht="15.75" hidden="1" x14ac:dyDescent="0.25">
      <c r="A317" s="1456"/>
      <c r="B317" s="1622"/>
      <c r="C317" s="1382" t="s">
        <v>631</v>
      </c>
      <c r="D317" s="1369"/>
      <c r="E317" s="1569">
        <v>11.890025408821421</v>
      </c>
      <c r="F317" s="1569">
        <v>100.98377744478468</v>
      </c>
      <c r="G317" s="1569">
        <v>47.77727104914544</v>
      </c>
      <c r="H317" s="1569">
        <v>160.65107390275153</v>
      </c>
      <c r="I317" s="1569">
        <v>158.53367211761895</v>
      </c>
      <c r="J317" s="1569">
        <v>24.681303885160816</v>
      </c>
      <c r="K317" s="1569">
        <v>343.86604990553133</v>
      </c>
      <c r="L317" s="1096">
        <f t="shared" si="70"/>
        <v>343.86604990553133</v>
      </c>
    </row>
    <row r="318" spans="1:12" ht="15.75" hidden="1" x14ac:dyDescent="0.25">
      <c r="A318" s="1456"/>
      <c r="B318" s="1622"/>
      <c r="C318" s="1382" t="s">
        <v>632</v>
      </c>
      <c r="D318" s="1369"/>
      <c r="E318" s="1569">
        <v>45.76845397094273</v>
      </c>
      <c r="F318" s="1569">
        <v>160.70536625621648</v>
      </c>
      <c r="G318" s="1569">
        <v>49.948965187742957</v>
      </c>
      <c r="H318" s="1569">
        <v>256.42278541490214</v>
      </c>
      <c r="I318" s="1569">
        <v>140.7909310052772</v>
      </c>
      <c r="J318" s="1569">
        <v>28.101722153451909</v>
      </c>
      <c r="K318" s="1569">
        <v>425.3154385736313</v>
      </c>
      <c r="L318" s="1096">
        <f t="shared" si="70"/>
        <v>425.3154385736313</v>
      </c>
    </row>
    <row r="319" spans="1:12" ht="15.75" hidden="1" x14ac:dyDescent="0.25">
      <c r="A319" s="1456"/>
      <c r="B319" s="1622"/>
      <c r="C319" s="1382" t="s">
        <v>633</v>
      </c>
      <c r="D319" s="1369"/>
      <c r="E319" s="1569">
        <v>32.977175494603344</v>
      </c>
      <c r="F319" s="1569">
        <v>163.96290746411276</v>
      </c>
      <c r="G319" s="1569">
        <v>56.464047603535519</v>
      </c>
      <c r="H319" s="1569">
        <v>253.40413056225162</v>
      </c>
      <c r="I319" s="1569">
        <v>250.83067300801355</v>
      </c>
      <c r="J319" s="1569">
        <v>39.047060611983412</v>
      </c>
      <c r="K319" s="1569">
        <v>543.28186418224857</v>
      </c>
      <c r="L319" s="1096">
        <f t="shared" si="70"/>
        <v>543.28186418224857</v>
      </c>
    </row>
    <row r="320" spans="1:12" ht="15.75" hidden="1" x14ac:dyDescent="0.25">
      <c r="A320" s="1456"/>
      <c r="B320" s="1622"/>
      <c r="C320" s="1382" t="s">
        <v>634</v>
      </c>
      <c r="D320" s="1369"/>
      <c r="E320" s="1569">
        <v>10.315547158338219</v>
      </c>
      <c r="F320" s="1569">
        <v>154.19028384042392</v>
      </c>
      <c r="G320" s="1569">
        <v>36.918800356157838</v>
      </c>
      <c r="H320" s="1569">
        <v>201.42463135491997</v>
      </c>
      <c r="I320" s="1569">
        <v>152.56151323647578</v>
      </c>
      <c r="J320" s="1569">
        <v>26.32093295980194</v>
      </c>
      <c r="K320" s="1569">
        <v>380.30707755119772</v>
      </c>
      <c r="L320" s="1096">
        <f t="shared" si="70"/>
        <v>380.30707755119766</v>
      </c>
    </row>
    <row r="321" spans="1:12" ht="16.5" hidden="1" thickBot="1" x14ac:dyDescent="0.3">
      <c r="A321" s="1457"/>
      <c r="B321" s="1622"/>
      <c r="C321" s="1382" t="s">
        <v>635</v>
      </c>
      <c r="D321" s="1356"/>
      <c r="E321" s="1569">
        <v>6.667101005494386</v>
      </c>
      <c r="F321" s="1569">
        <v>143.33181314743632</v>
      </c>
      <c r="G321" s="1569">
        <v>41.262188633352878</v>
      </c>
      <c r="H321" s="1569">
        <v>191.26110278628357</v>
      </c>
      <c r="I321" s="1569">
        <v>244.20700588529112</v>
      </c>
      <c r="J321" s="1569">
        <v>34.88826633656916</v>
      </c>
      <c r="K321" s="1569">
        <v>470.3563750081438</v>
      </c>
      <c r="L321" s="1096">
        <f t="shared" si="70"/>
        <v>470.3563750081438</v>
      </c>
    </row>
    <row r="322" spans="1:12" ht="15.75" hidden="1" x14ac:dyDescent="0.25">
      <c r="A322" s="1371" t="s">
        <v>35</v>
      </c>
      <c r="B322" s="1622"/>
      <c r="C322" s="1386" t="s">
        <v>712</v>
      </c>
      <c r="D322" s="1468">
        <v>25600</v>
      </c>
      <c r="E322" s="1569">
        <v>86.324842009251412</v>
      </c>
      <c r="F322" s="1569">
        <v>24.61615306100289</v>
      </c>
      <c r="G322" s="1569">
        <v>19.686407366386518</v>
      </c>
      <c r="H322" s="1569">
        <v>130.62740243664081</v>
      </c>
      <c r="I322" s="1569">
        <v>36.538753881903268</v>
      </c>
      <c r="J322" s="1569">
        <v>35.995830347253893</v>
      </c>
      <c r="K322" s="1569">
        <v>203.16198666579797</v>
      </c>
      <c r="L322" s="1096">
        <f t="shared" si="70"/>
        <v>203.16198666579797</v>
      </c>
    </row>
    <row r="323" spans="1:12" ht="15.75" hidden="1" x14ac:dyDescent="0.25">
      <c r="A323" s="1351"/>
      <c r="B323" s="1622"/>
      <c r="C323" s="1387" t="s">
        <v>713</v>
      </c>
      <c r="D323" s="1369"/>
      <c r="E323" s="1569">
        <v>55.378200534236761</v>
      </c>
      <c r="F323" s="1569">
        <v>92.2970008903946</v>
      </c>
      <c r="G323" s="1569">
        <v>0</v>
      </c>
      <c r="H323" s="1569">
        <v>147.67520142463135</v>
      </c>
      <c r="I323" s="1569">
        <v>63.793515321302145</v>
      </c>
      <c r="J323" s="1569">
        <v>39.405390144851999</v>
      </c>
      <c r="K323" s="1569">
        <v>250.8741068907855</v>
      </c>
      <c r="L323" s="1096">
        <f t="shared" si="70"/>
        <v>250.8741068907855</v>
      </c>
    </row>
    <row r="324" spans="1:12" ht="15.75" hidden="1" x14ac:dyDescent="0.25">
      <c r="A324" s="1351"/>
      <c r="B324" s="1622"/>
      <c r="C324" s="1387" t="s">
        <v>714</v>
      </c>
      <c r="D324" s="1369"/>
      <c r="E324" s="1569">
        <v>52.989336981779488</v>
      </c>
      <c r="F324" s="1569">
        <v>43.433882771950401</v>
      </c>
      <c r="G324" s="1569">
        <v>34.747106217560322</v>
      </c>
      <c r="H324" s="1569">
        <v>131.1703259712902</v>
      </c>
      <c r="I324" s="1569">
        <v>57.549894672834277</v>
      </c>
      <c r="J324" s="1569">
        <v>39.057919082676392</v>
      </c>
      <c r="K324" s="1569">
        <v>227.77813972680087</v>
      </c>
      <c r="L324" s="1096">
        <f t="shared" si="70"/>
        <v>227.77813972680087</v>
      </c>
    </row>
    <row r="325" spans="1:12" ht="15.75" hidden="1" x14ac:dyDescent="0.25">
      <c r="A325" s="1351"/>
      <c r="B325" s="1622"/>
      <c r="C325" s="1387" t="s">
        <v>715</v>
      </c>
      <c r="D325" s="1369"/>
      <c r="E325" s="1569">
        <v>13.03016483158512</v>
      </c>
      <c r="F325" s="1569">
        <v>131.51779703346583</v>
      </c>
      <c r="G325" s="1569">
        <v>0</v>
      </c>
      <c r="H325" s="1569">
        <v>144.54796186505095</v>
      </c>
      <c r="I325" s="1569">
        <v>98.638347775099362</v>
      </c>
      <c r="J325" s="1569">
        <v>42.782374530371143</v>
      </c>
      <c r="K325" s="1569">
        <v>285.96868417052144</v>
      </c>
      <c r="L325" s="1096">
        <f t="shared" si="70"/>
        <v>285.96868417052144</v>
      </c>
    </row>
    <row r="326" spans="1:12" ht="16.5" hidden="1" thickBot="1" x14ac:dyDescent="0.3">
      <c r="A326" s="1374"/>
      <c r="B326" s="1622"/>
      <c r="C326" s="1388" t="s">
        <v>716</v>
      </c>
      <c r="D326" s="1356"/>
      <c r="E326" s="1569">
        <v>26.06032966317024</v>
      </c>
      <c r="F326" s="1569">
        <v>61.024605294590316</v>
      </c>
      <c r="G326" s="1569">
        <v>0</v>
      </c>
      <c r="H326" s="1569">
        <v>87.084934957760552</v>
      </c>
      <c r="I326" s="1569">
        <v>56.420613720763569</v>
      </c>
      <c r="J326" s="1569">
        <v>26.14719742871414</v>
      </c>
      <c r="K326" s="1569">
        <v>169.65274610723827</v>
      </c>
      <c r="L326" s="1096">
        <f t="shared" si="70"/>
        <v>169.65274610723827</v>
      </c>
    </row>
    <row r="327" spans="1:12" ht="15.75" hidden="1" x14ac:dyDescent="0.25">
      <c r="A327" s="1357" t="s">
        <v>45</v>
      </c>
      <c r="B327" s="1622"/>
      <c r="C327" s="1472" t="s">
        <v>102</v>
      </c>
      <c r="D327" s="1468">
        <v>26000</v>
      </c>
      <c r="E327" s="1569">
        <v>5.8529268955314864</v>
      </c>
      <c r="F327" s="1569">
        <v>59.35556451703696</v>
      </c>
      <c r="G327" s="1569">
        <v>0</v>
      </c>
      <c r="H327" s="1569">
        <v>65.208491412568449</v>
      </c>
      <c r="I327" s="1569">
        <v>103.3661318732599</v>
      </c>
      <c r="J327" s="1569">
        <v>45.515113858191917</v>
      </c>
      <c r="K327" s="1569">
        <v>214.08973714402026</v>
      </c>
      <c r="L327" s="1096">
        <f t="shared" si="70"/>
        <v>214.08973714402026</v>
      </c>
    </row>
    <row r="328" spans="1:12" ht="15.75" hidden="1" x14ac:dyDescent="0.25">
      <c r="A328" s="1456"/>
      <c r="B328" s="1622"/>
      <c r="C328" s="1382" t="s">
        <v>103</v>
      </c>
      <c r="D328" s="1369"/>
      <c r="E328" s="1569">
        <v>4.2382076519995646</v>
      </c>
      <c r="F328" s="1569">
        <v>84.316576277391832</v>
      </c>
      <c r="G328" s="1569">
        <v>0</v>
      </c>
      <c r="H328" s="1569">
        <v>88.554783929391391</v>
      </c>
      <c r="I328" s="1569">
        <v>72.741552616934854</v>
      </c>
      <c r="J328" s="1569">
        <v>43.549219000928105</v>
      </c>
      <c r="K328" s="1569">
        <v>204.84555554725435</v>
      </c>
      <c r="L328" s="1096">
        <f t="shared" si="70"/>
        <v>204.84555554725435</v>
      </c>
    </row>
    <row r="329" spans="1:12" ht="15.75" hidden="1" x14ac:dyDescent="0.25">
      <c r="A329" s="1456"/>
      <c r="B329" s="1622"/>
      <c r="C329" s="1382" t="s">
        <v>104</v>
      </c>
      <c r="D329" s="1369"/>
      <c r="E329" s="1569">
        <v>0</v>
      </c>
      <c r="F329" s="1569">
        <v>85.769479306753169</v>
      </c>
      <c r="G329" s="1569">
        <v>0</v>
      </c>
      <c r="H329" s="1569">
        <v>85.769479306753169</v>
      </c>
      <c r="I329" s="1569">
        <v>65.96937190898754</v>
      </c>
      <c r="J329" s="1569">
        <v>40.970488268720409</v>
      </c>
      <c r="K329" s="1569">
        <v>192.70933948446111</v>
      </c>
      <c r="L329" s="1096">
        <f t="shared" si="70"/>
        <v>192.70933948446111</v>
      </c>
    </row>
    <row r="330" spans="1:12" ht="15.75" hidden="1" x14ac:dyDescent="0.25">
      <c r="A330" s="1456"/>
      <c r="B330" s="1622"/>
      <c r="C330" s="1382" t="s">
        <v>105</v>
      </c>
      <c r="D330" s="1369"/>
      <c r="E330" s="1569">
        <v>0</v>
      </c>
      <c r="F330" s="1569">
        <v>117.05853791062974</v>
      </c>
      <c r="G330" s="1569">
        <v>0</v>
      </c>
      <c r="H330" s="1569">
        <v>117.05853791062974</v>
      </c>
      <c r="I330" s="1569">
        <v>86.76103398081969</v>
      </c>
      <c r="J330" s="1569">
        <v>55.031284410691342</v>
      </c>
      <c r="K330" s="1569">
        <v>258.85085630214076</v>
      </c>
      <c r="L330" s="1096">
        <f t="shared" si="70"/>
        <v>258.85085630214076</v>
      </c>
    </row>
    <row r="331" spans="1:12" ht="16.5" hidden="1" thickBot="1" x14ac:dyDescent="0.3">
      <c r="A331" s="1457"/>
      <c r="B331" s="1622"/>
      <c r="C331" s="1383" t="s">
        <v>613</v>
      </c>
      <c r="D331" s="1356"/>
      <c r="E331" s="1569">
        <v>0</v>
      </c>
      <c r="F331" s="1569">
        <v>74.986322226279867</v>
      </c>
      <c r="G331" s="1569">
        <v>0</v>
      </c>
      <c r="H331" s="1569">
        <v>74.986322226279867</v>
      </c>
      <c r="I331" s="1569">
        <v>47.718568689450827</v>
      </c>
      <c r="J331" s="1569">
        <v>33.131009126882056</v>
      </c>
      <c r="K331" s="1569">
        <v>155.83590004261274</v>
      </c>
      <c r="L331" s="1096">
        <f t="shared" si="70"/>
        <v>155.83590004261274</v>
      </c>
    </row>
    <row r="332" spans="1:12" ht="15.75" hidden="1" x14ac:dyDescent="0.25">
      <c r="A332" s="1357" t="s">
        <v>18</v>
      </c>
      <c r="B332" s="1622"/>
      <c r="C332" s="1472" t="s">
        <v>112</v>
      </c>
      <c r="D332" s="1468">
        <v>38200</v>
      </c>
      <c r="E332" s="1569">
        <v>62.341061463798042</v>
      </c>
      <c r="F332" s="1569">
        <v>1.9949139668415374</v>
      </c>
      <c r="G332" s="1569">
        <v>0</v>
      </c>
      <c r="H332" s="1569">
        <v>64.335975430639579</v>
      </c>
      <c r="I332" s="1569">
        <v>55.85759107156305</v>
      </c>
      <c r="J332" s="1569">
        <v>9.5755870408393786</v>
      </c>
      <c r="K332" s="1569">
        <v>129.76915354304199</v>
      </c>
      <c r="L332" s="1096">
        <f t="shared" ref="L332:L395" si="72">E332+F332+G332+I332+J332</f>
        <v>129.76915354304199</v>
      </c>
    </row>
    <row r="333" spans="1:12" ht="15.75" hidden="1" x14ac:dyDescent="0.25">
      <c r="A333" s="1456"/>
      <c r="B333" s="1622"/>
      <c r="C333" s="1382" t="s">
        <v>113</v>
      </c>
      <c r="D333" s="1369"/>
      <c r="E333" s="1569">
        <v>84.783843590765343</v>
      </c>
      <c r="F333" s="1569">
        <v>8.3121415285064053</v>
      </c>
      <c r="G333" s="1569">
        <v>0</v>
      </c>
      <c r="H333" s="1569">
        <v>93.095985119271745</v>
      </c>
      <c r="I333" s="1569">
        <v>54.860134088142281</v>
      </c>
      <c r="J333" s="1569">
        <v>11.803240970479097</v>
      </c>
      <c r="K333" s="1569">
        <v>159.75936017789311</v>
      </c>
      <c r="L333" s="1096">
        <f t="shared" si="72"/>
        <v>159.75936017789311</v>
      </c>
    </row>
    <row r="334" spans="1:12" ht="15.75" hidden="1" x14ac:dyDescent="0.25">
      <c r="A334" s="1456"/>
      <c r="B334" s="1622"/>
      <c r="C334" s="1382" t="s">
        <v>114</v>
      </c>
      <c r="D334" s="1369"/>
      <c r="E334" s="1569">
        <v>80.794015657082269</v>
      </c>
      <c r="F334" s="1569">
        <v>4.1560707642532027</v>
      </c>
      <c r="G334" s="1569">
        <v>0</v>
      </c>
      <c r="H334" s="1569">
        <v>84.95008642133547</v>
      </c>
      <c r="I334" s="1569">
        <v>70.486960161734316</v>
      </c>
      <c r="J334" s="1569">
        <v>12.401715160531557</v>
      </c>
      <c r="K334" s="1569">
        <v>167.83876174360134</v>
      </c>
      <c r="L334" s="1096">
        <f t="shared" si="72"/>
        <v>167.83876174360134</v>
      </c>
    </row>
    <row r="335" spans="1:12" ht="15.75" hidden="1" x14ac:dyDescent="0.25">
      <c r="A335" s="1456"/>
      <c r="B335" s="1622"/>
      <c r="C335" s="1382" t="s">
        <v>115</v>
      </c>
      <c r="D335" s="1369"/>
      <c r="E335" s="1569">
        <v>84.783843590765343</v>
      </c>
      <c r="F335" s="1569">
        <v>13.565414974522454</v>
      </c>
      <c r="G335" s="1569">
        <v>0</v>
      </c>
      <c r="H335" s="1569">
        <v>98.349258565287798</v>
      </c>
      <c r="I335" s="1569">
        <v>86.180283367554409</v>
      </c>
      <c r="J335" s="1569">
        <v>14.662617656285299</v>
      </c>
      <c r="K335" s="1569">
        <v>199.19215958912753</v>
      </c>
      <c r="L335" s="1096">
        <f t="shared" si="72"/>
        <v>199.19215958912753</v>
      </c>
    </row>
    <row r="336" spans="1:12" ht="15.75" hidden="1" x14ac:dyDescent="0.25">
      <c r="A336" s="1456"/>
      <c r="B336" s="1622"/>
      <c r="C336" s="1382" t="s">
        <v>116</v>
      </c>
      <c r="D336" s="1369"/>
      <c r="E336" s="1569">
        <v>131.66432181154147</v>
      </c>
      <c r="F336" s="1569">
        <v>0</v>
      </c>
      <c r="G336" s="1569">
        <v>0</v>
      </c>
      <c r="H336" s="1569">
        <v>131.66432181154147</v>
      </c>
      <c r="I336" s="1569">
        <v>59.847419005246124</v>
      </c>
      <c r="J336" s="1569">
        <v>15.261091846337761</v>
      </c>
      <c r="K336" s="1569">
        <v>206.77283266312537</v>
      </c>
      <c r="L336" s="1096">
        <f t="shared" si="72"/>
        <v>206.77283266312537</v>
      </c>
    </row>
    <row r="337" spans="1:12" ht="15.75" hidden="1" x14ac:dyDescent="0.25">
      <c r="A337" s="1456"/>
      <c r="B337" s="1622"/>
      <c r="C337" s="1382" t="s">
        <v>117</v>
      </c>
      <c r="D337" s="1369"/>
      <c r="E337" s="1569">
        <v>124.68212292759608</v>
      </c>
      <c r="F337" s="1569">
        <v>66.231143699139039</v>
      </c>
      <c r="G337" s="1569">
        <v>0</v>
      </c>
      <c r="H337" s="1569">
        <v>190.91326662673512</v>
      </c>
      <c r="I337" s="1569">
        <v>70.121225934480037</v>
      </c>
      <c r="J337" s="1569">
        <v>20.846850953494066</v>
      </c>
      <c r="K337" s="1569">
        <v>281.88134351470927</v>
      </c>
      <c r="L337" s="1096">
        <f t="shared" si="72"/>
        <v>281.88134351470927</v>
      </c>
    </row>
    <row r="338" spans="1:12" ht="15.75" hidden="1" x14ac:dyDescent="0.25">
      <c r="A338" s="1456"/>
      <c r="B338" s="1622"/>
      <c r="C338" s="1382" t="s">
        <v>118</v>
      </c>
      <c r="D338" s="1369"/>
      <c r="E338" s="1569">
        <v>116.70246706022994</v>
      </c>
      <c r="F338" s="1569">
        <v>7.3146845450856368</v>
      </c>
      <c r="G338" s="1569">
        <v>0</v>
      </c>
      <c r="H338" s="1569">
        <v>124.01715160531558</v>
      </c>
      <c r="I338" s="1569">
        <v>59.514933344105863</v>
      </c>
      <c r="J338" s="1569">
        <v>14.529623391829197</v>
      </c>
      <c r="K338" s="1569">
        <v>198.06170834125064</v>
      </c>
      <c r="L338" s="1096">
        <f t="shared" si="72"/>
        <v>198.06170834125064</v>
      </c>
    </row>
    <row r="339" spans="1:12" ht="16.5" hidden="1" thickBot="1" x14ac:dyDescent="0.3">
      <c r="A339" s="1457"/>
      <c r="B339" s="1622"/>
      <c r="C339" s="1383" t="s">
        <v>119</v>
      </c>
      <c r="D339" s="1356"/>
      <c r="E339" s="1569">
        <v>78.799101690240732</v>
      </c>
      <c r="F339" s="1569">
        <v>1.4296883429031018</v>
      </c>
      <c r="G339" s="1569">
        <v>0</v>
      </c>
      <c r="H339" s="1569">
        <v>80.228790033143838</v>
      </c>
      <c r="I339" s="1569">
        <v>63.504761277788937</v>
      </c>
      <c r="J339" s="1569">
        <v>11.437506743224814</v>
      </c>
      <c r="K339" s="1569">
        <v>155.17105805415758</v>
      </c>
      <c r="L339" s="1096">
        <f t="shared" si="72"/>
        <v>155.17105805415758</v>
      </c>
    </row>
    <row r="340" spans="1:12" ht="16.5" hidden="1" thickBot="1" x14ac:dyDescent="0.3">
      <c r="A340" s="1456" t="s">
        <v>742</v>
      </c>
      <c r="B340" s="1622"/>
      <c r="C340" s="1390" t="s">
        <v>743</v>
      </c>
      <c r="D340" s="1391">
        <v>3300</v>
      </c>
      <c r="E340" s="1569">
        <v>5.8330000421920332</v>
      </c>
      <c r="F340" s="1569">
        <v>21.827086157882587</v>
      </c>
      <c r="G340" s="1569">
        <v>0</v>
      </c>
      <c r="H340" s="1569">
        <v>27.66008620007462</v>
      </c>
      <c r="I340" s="1569">
        <v>16.370314618411943</v>
      </c>
      <c r="J340" s="1569">
        <v>0</v>
      </c>
      <c r="K340" s="1569">
        <v>44.030400818486562</v>
      </c>
      <c r="L340" s="1096">
        <f t="shared" si="72"/>
        <v>44.030400818486562</v>
      </c>
    </row>
    <row r="341" spans="1:12" ht="16.5" hidden="1" thickBot="1" x14ac:dyDescent="0.3">
      <c r="A341" s="1580" t="s">
        <v>586</v>
      </c>
      <c r="B341" s="1624"/>
      <c r="C341" s="1581" t="s">
        <v>587</v>
      </c>
      <c r="D341" s="1582">
        <v>88700</v>
      </c>
      <c r="E341" s="1569">
        <v>0</v>
      </c>
      <c r="F341" s="1569">
        <v>83.444215433048953</v>
      </c>
      <c r="G341" s="1569">
        <v>0</v>
      </c>
      <c r="H341" s="1569">
        <v>83.444215433048953</v>
      </c>
      <c r="I341" s="1569">
        <v>0</v>
      </c>
      <c r="J341" s="1569">
        <v>0</v>
      </c>
      <c r="K341" s="1569">
        <v>83.444215433048953</v>
      </c>
      <c r="L341" s="1096">
        <f t="shared" si="72"/>
        <v>83.444215433048953</v>
      </c>
    </row>
    <row r="342" spans="1:12" ht="16.5" hidden="1" thickBot="1" x14ac:dyDescent="0.3">
      <c r="A342" s="1395" t="s">
        <v>774</v>
      </c>
      <c r="B342" s="1624"/>
      <c r="C342" s="1390" t="s">
        <v>775</v>
      </c>
      <c r="D342" s="1583">
        <v>34700</v>
      </c>
      <c r="E342" s="1569">
        <v>64.064977088626833</v>
      </c>
      <c r="F342" s="1569">
        <v>155.69961126674917</v>
      </c>
      <c r="G342" s="1569">
        <v>0</v>
      </c>
      <c r="H342" s="1569">
        <v>219.76458835537602</v>
      </c>
      <c r="I342" s="1569">
        <v>0</v>
      </c>
      <c r="J342" s="1569">
        <v>0</v>
      </c>
      <c r="K342" s="1569">
        <v>219.76458835537602</v>
      </c>
      <c r="L342" s="1096">
        <f t="shared" si="72"/>
        <v>219.76458835537602</v>
      </c>
    </row>
    <row r="343" spans="1:12" ht="16.5" hidden="1" thickBot="1" x14ac:dyDescent="0.3">
      <c r="A343" s="1395" t="s">
        <v>37</v>
      </c>
      <c r="B343" s="1624"/>
      <c r="C343" s="1584" t="s">
        <v>37</v>
      </c>
      <c r="D343" s="1583">
        <v>19500</v>
      </c>
      <c r="E343" s="1569">
        <v>18.410098329450939</v>
      </c>
      <c r="F343" s="1569">
        <v>0</v>
      </c>
      <c r="G343" s="1569">
        <v>0</v>
      </c>
      <c r="H343" s="1569">
        <v>18.410098329450939</v>
      </c>
      <c r="I343" s="1569">
        <v>18.494199005910477</v>
      </c>
      <c r="J343" s="1569">
        <v>0</v>
      </c>
      <c r="K343" s="1569">
        <v>36.90429733536142</v>
      </c>
      <c r="L343" s="1096">
        <f t="shared" si="72"/>
        <v>36.90429733536142</v>
      </c>
    </row>
    <row r="344" spans="1:12" ht="15.75" hidden="1" x14ac:dyDescent="0.25">
      <c r="A344" s="1422" t="s">
        <v>38</v>
      </c>
      <c r="B344" s="1424"/>
      <c r="C344" s="1585" t="s">
        <v>620</v>
      </c>
      <c r="D344" s="1586">
        <v>18500</v>
      </c>
      <c r="E344" s="1569">
        <v>6.3682357034555784E-2</v>
      </c>
      <c r="F344" s="1569">
        <v>0.48630163553660777</v>
      </c>
      <c r="G344" s="1569">
        <v>0</v>
      </c>
      <c r="H344" s="1569">
        <v>0.54998399257116359</v>
      </c>
      <c r="I344" s="1569">
        <v>0.17367915554878849</v>
      </c>
      <c r="J344" s="1569">
        <v>9.2628882959353859E-3</v>
      </c>
      <c r="K344" s="1569">
        <v>0.73292603641588738</v>
      </c>
      <c r="L344" s="1096">
        <f t="shared" si="72"/>
        <v>0.73292603641588738</v>
      </c>
    </row>
    <row r="345" spans="1:12" ht="15.75" hidden="1" x14ac:dyDescent="0.25">
      <c r="A345" s="1469"/>
      <c r="B345" s="1424"/>
      <c r="C345" s="1408" t="s">
        <v>621</v>
      </c>
      <c r="D345" s="1369"/>
      <c r="E345" s="1569">
        <v>0</v>
      </c>
      <c r="F345" s="1569">
        <v>0.49788024590652696</v>
      </c>
      <c r="G345" s="1569">
        <v>0</v>
      </c>
      <c r="H345" s="1569">
        <v>0.49788024590652696</v>
      </c>
      <c r="I345" s="1569">
        <v>2.3157220739838467E-2</v>
      </c>
      <c r="J345" s="1569">
        <v>9.2628882959353859E-3</v>
      </c>
      <c r="K345" s="1569">
        <v>0.53030035494230077</v>
      </c>
      <c r="L345" s="1096">
        <f t="shared" si="72"/>
        <v>0.53030035494230077</v>
      </c>
    </row>
    <row r="346" spans="1:12" ht="15.75" hidden="1" x14ac:dyDescent="0.25">
      <c r="A346" s="1469"/>
      <c r="B346" s="1424"/>
      <c r="C346" s="1408" t="s">
        <v>622</v>
      </c>
      <c r="D346" s="1369"/>
      <c r="E346" s="1569">
        <v>0.18525776591870774</v>
      </c>
      <c r="F346" s="1569">
        <v>1.0594428488476098</v>
      </c>
      <c r="G346" s="1569">
        <v>0</v>
      </c>
      <c r="H346" s="1569">
        <v>1.2447006147663175</v>
      </c>
      <c r="I346" s="1569">
        <v>0.13894332443903079</v>
      </c>
      <c r="J346" s="1569">
        <v>9.2628882959353859E-3</v>
      </c>
      <c r="K346" s="1569">
        <v>1.3929068275012837</v>
      </c>
      <c r="L346" s="1096">
        <f t="shared" si="72"/>
        <v>1.3929068275012837</v>
      </c>
    </row>
    <row r="347" spans="1:12" ht="15.75" hidden="1" x14ac:dyDescent="0.25">
      <c r="A347" s="1469"/>
      <c r="B347" s="1424"/>
      <c r="C347" s="1408" t="s">
        <v>623</v>
      </c>
      <c r="D347" s="1369"/>
      <c r="E347" s="1569">
        <v>0.1099967985142327</v>
      </c>
      <c r="F347" s="1569">
        <v>0.51524816146140584</v>
      </c>
      <c r="G347" s="1569">
        <v>0</v>
      </c>
      <c r="H347" s="1569">
        <v>0.62524495997563856</v>
      </c>
      <c r="I347" s="1569">
        <v>0.13315401925407117</v>
      </c>
      <c r="J347" s="1569">
        <v>9.2628882959353859E-3</v>
      </c>
      <c r="K347" s="1569">
        <v>0.76766186752564503</v>
      </c>
      <c r="L347" s="1096">
        <f t="shared" si="72"/>
        <v>0.76766186752564503</v>
      </c>
    </row>
    <row r="348" spans="1:12" ht="16.5" hidden="1" thickBot="1" x14ac:dyDescent="0.3">
      <c r="A348" s="1470"/>
      <c r="B348" s="1424"/>
      <c r="C348" s="1428" t="s">
        <v>624</v>
      </c>
      <c r="D348" s="1356"/>
      <c r="E348" s="1569">
        <v>0.13894332443903079</v>
      </c>
      <c r="F348" s="1569">
        <v>0.63103426516059813</v>
      </c>
      <c r="G348" s="1569">
        <v>0</v>
      </c>
      <c r="H348" s="1569">
        <v>0.76997758959962892</v>
      </c>
      <c r="I348" s="1569">
        <v>0.19683637628862694</v>
      </c>
      <c r="J348" s="1569">
        <v>9.2628882959353859E-3</v>
      </c>
      <c r="K348" s="1569">
        <v>0.97607685418419121</v>
      </c>
      <c r="L348" s="1096">
        <f t="shared" si="72"/>
        <v>0.97607685418419121</v>
      </c>
    </row>
    <row r="349" spans="1:12" ht="15.75" hidden="1" x14ac:dyDescent="0.25">
      <c r="A349" s="1422" t="s">
        <v>20</v>
      </c>
      <c r="B349" s="1424"/>
      <c r="C349" s="1411" t="s">
        <v>182</v>
      </c>
      <c r="D349" s="1586">
        <v>49300</v>
      </c>
      <c r="E349" s="1569">
        <v>45.76845397094273</v>
      </c>
      <c r="F349" s="1569">
        <v>134.64503659304623</v>
      </c>
      <c r="G349" s="1569">
        <v>0</v>
      </c>
      <c r="H349" s="1569">
        <v>180.41349056398894</v>
      </c>
      <c r="I349" s="1569">
        <v>377.11468716745929</v>
      </c>
      <c r="J349" s="1569">
        <v>12.997589419506157</v>
      </c>
      <c r="K349" s="1569">
        <v>570.52576715095449</v>
      </c>
      <c r="L349" s="1096">
        <f t="shared" si="72"/>
        <v>570.52576715095449</v>
      </c>
    </row>
    <row r="350" spans="1:12" ht="15.75" hidden="1" x14ac:dyDescent="0.25">
      <c r="A350" s="1469"/>
      <c r="B350" s="1424"/>
      <c r="C350" s="1411" t="s">
        <v>183</v>
      </c>
      <c r="D350" s="1369"/>
      <c r="E350" s="1569">
        <v>64.890220861293898</v>
      </c>
      <c r="F350" s="1569">
        <v>99.246422133906663</v>
      </c>
      <c r="G350" s="1569">
        <v>9.1754077355745203</v>
      </c>
      <c r="H350" s="1569">
        <v>173.31205073077507</v>
      </c>
      <c r="I350" s="1569">
        <v>623.60197189827795</v>
      </c>
      <c r="J350" s="1569">
        <v>12.020327057137273</v>
      </c>
      <c r="K350" s="1569">
        <v>808.93434968619033</v>
      </c>
      <c r="L350" s="1096">
        <f t="shared" si="72"/>
        <v>808.93434968619033</v>
      </c>
    </row>
    <row r="351" spans="1:12" ht="15.75" hidden="1" x14ac:dyDescent="0.25">
      <c r="A351" s="1469"/>
      <c r="B351" s="1424"/>
      <c r="C351" s="1411" t="s">
        <v>184</v>
      </c>
      <c r="D351" s="1369"/>
      <c r="E351" s="1569">
        <v>66.432123699698138</v>
      </c>
      <c r="F351" s="1569">
        <v>115.09978934566855</v>
      </c>
      <c r="G351" s="1569">
        <v>20.30534019588681</v>
      </c>
      <c r="H351" s="1569">
        <v>201.83725324125351</v>
      </c>
      <c r="I351" s="1569">
        <v>457.4673702955676</v>
      </c>
      <c r="J351" s="1569">
        <v>13.062740243664082</v>
      </c>
      <c r="K351" s="1569">
        <v>672.36736378048511</v>
      </c>
      <c r="L351" s="1096">
        <f t="shared" si="72"/>
        <v>672.36736378048511</v>
      </c>
    </row>
    <row r="352" spans="1:12" ht="15.75" hidden="1" x14ac:dyDescent="0.25">
      <c r="A352" s="1469"/>
      <c r="B352" s="1424"/>
      <c r="C352" s="1411" t="s">
        <v>185</v>
      </c>
      <c r="D352" s="1369"/>
      <c r="E352" s="1569">
        <v>48.863118118444199</v>
      </c>
      <c r="F352" s="1569">
        <v>73.837600712315677</v>
      </c>
      <c r="G352" s="1569">
        <v>0</v>
      </c>
      <c r="H352" s="1569">
        <v>122.70071883075988</v>
      </c>
      <c r="I352" s="1569">
        <v>466.15414684995761</v>
      </c>
      <c r="J352" s="1569">
        <v>9.5337372684431116</v>
      </c>
      <c r="K352" s="1569">
        <v>598.3886029491606</v>
      </c>
      <c r="L352" s="1096">
        <f t="shared" si="72"/>
        <v>598.3886029491606</v>
      </c>
    </row>
    <row r="353" spans="1:12" ht="16.5" hidden="1" thickBot="1" x14ac:dyDescent="0.3">
      <c r="A353" s="1470"/>
      <c r="B353" s="1424"/>
      <c r="C353" s="1411" t="s">
        <v>186</v>
      </c>
      <c r="D353" s="1356"/>
      <c r="E353" s="1569">
        <v>76.487067561404658</v>
      </c>
      <c r="F353" s="1569">
        <v>50.111842248137769</v>
      </c>
      <c r="G353" s="1569">
        <v>0</v>
      </c>
      <c r="H353" s="1569">
        <v>126.59890980954242</v>
      </c>
      <c r="I353" s="1569">
        <v>339.11003974200275</v>
      </c>
      <c r="J353" s="1569">
        <v>9.7617651529958529</v>
      </c>
      <c r="K353" s="1569">
        <v>475.47071470454102</v>
      </c>
      <c r="L353" s="1096">
        <f t="shared" si="72"/>
        <v>475.47071470454102</v>
      </c>
    </row>
    <row r="354" spans="1:12" ht="15.75" hidden="1" x14ac:dyDescent="0.25">
      <c r="A354" s="1357" t="s">
        <v>21</v>
      </c>
      <c r="B354" s="1622"/>
      <c r="C354" s="1587" t="s">
        <v>125</v>
      </c>
      <c r="D354" s="1588">
        <v>68400</v>
      </c>
      <c r="E354" s="1569">
        <v>138.70862160423462</v>
      </c>
      <c r="F354" s="1569">
        <v>0</v>
      </c>
      <c r="G354" s="1569">
        <v>0</v>
      </c>
      <c r="H354" s="1569">
        <v>138.70862160423462</v>
      </c>
      <c r="I354" s="1569">
        <v>180.4679299797975</v>
      </c>
      <c r="J354" s="1569">
        <v>79.794137896008024</v>
      </c>
      <c r="K354" s="1569">
        <v>398.97068948004016</v>
      </c>
      <c r="L354" s="1096">
        <f t="shared" si="72"/>
        <v>398.97068948004016</v>
      </c>
    </row>
    <row r="355" spans="1:12" ht="15.75" hidden="1" x14ac:dyDescent="0.25">
      <c r="A355" s="1456"/>
      <c r="B355" s="1622"/>
      <c r="C355" s="1382" t="s">
        <v>126</v>
      </c>
      <c r="D355" s="1589"/>
      <c r="E355" s="1569">
        <v>35.438980621423653</v>
      </c>
      <c r="F355" s="1569">
        <v>112.52440662280057</v>
      </c>
      <c r="G355" s="1569">
        <v>0</v>
      </c>
      <c r="H355" s="1569">
        <v>147.96338724422424</v>
      </c>
      <c r="I355" s="1569">
        <v>168.84304143200569</v>
      </c>
      <c r="J355" s="1569">
        <v>79.201607169057482</v>
      </c>
      <c r="K355" s="1569">
        <v>396.0080358452874</v>
      </c>
      <c r="L355" s="1096">
        <f t="shared" si="72"/>
        <v>396.0080358452874</v>
      </c>
    </row>
    <row r="356" spans="1:12" ht="16.5" hidden="1" thickBot="1" x14ac:dyDescent="0.3">
      <c r="A356" s="1457"/>
      <c r="B356" s="1622"/>
      <c r="C356" s="1382" t="s">
        <v>127</v>
      </c>
      <c r="D356" s="1590"/>
      <c r="E356" s="1569">
        <v>33.858898682888842</v>
      </c>
      <c r="F356" s="1569">
        <v>93.224834373553932</v>
      </c>
      <c r="G356" s="1569">
        <v>20.8345089895376</v>
      </c>
      <c r="H356" s="1569">
        <v>147.91824204598038</v>
      </c>
      <c r="I356" s="1569">
        <v>174.50876381160907</v>
      </c>
      <c r="J356" s="1569">
        <v>80.606751464397362</v>
      </c>
      <c r="K356" s="1569">
        <v>403.0337573219868</v>
      </c>
      <c r="L356" s="1096">
        <f t="shared" si="72"/>
        <v>403.0337573219868</v>
      </c>
    </row>
    <row r="357" spans="1:12" ht="15.75" hidden="1" x14ac:dyDescent="0.25">
      <c r="A357" s="1357" t="s">
        <v>22</v>
      </c>
      <c r="B357" s="1622"/>
      <c r="C357" s="1587" t="s">
        <v>128</v>
      </c>
      <c r="D357" s="1588">
        <v>26400</v>
      </c>
      <c r="E357" s="1569">
        <v>0</v>
      </c>
      <c r="F357" s="1569">
        <v>139.42342971515617</v>
      </c>
      <c r="G357" s="1569">
        <v>0</v>
      </c>
      <c r="H357" s="1569">
        <v>139.42342971515617</v>
      </c>
      <c r="I357" s="1569">
        <v>138.91735556011022</v>
      </c>
      <c r="J357" s="1569">
        <v>0</v>
      </c>
      <c r="K357" s="1569">
        <v>278.3407852752664</v>
      </c>
      <c r="L357" s="1096">
        <f t="shared" si="72"/>
        <v>278.3407852752664</v>
      </c>
    </row>
    <row r="358" spans="1:12" ht="15.75" hidden="1" x14ac:dyDescent="0.25">
      <c r="A358" s="1456"/>
      <c r="B358" s="1622"/>
      <c r="C358" s="1382" t="s">
        <v>129</v>
      </c>
      <c r="D358" s="1589"/>
      <c r="E358" s="1569">
        <v>0</v>
      </c>
      <c r="F358" s="1569">
        <v>108.5529062573539</v>
      </c>
      <c r="G358" s="1569">
        <v>0</v>
      </c>
      <c r="H358" s="1569">
        <v>108.5529062573539</v>
      </c>
      <c r="I358" s="1569">
        <v>126.7715758390077</v>
      </c>
      <c r="J358" s="1569">
        <v>0</v>
      </c>
      <c r="K358" s="1569">
        <v>235.32448209636158</v>
      </c>
      <c r="L358" s="1096">
        <f t="shared" si="72"/>
        <v>235.32448209636158</v>
      </c>
    </row>
    <row r="359" spans="1:12" ht="15.75" hidden="1" x14ac:dyDescent="0.25">
      <c r="A359" s="1456"/>
      <c r="B359" s="1622"/>
      <c r="C359" s="1382" t="s">
        <v>130</v>
      </c>
      <c r="D359" s="1589"/>
      <c r="E359" s="1569">
        <v>10.840108401084009</v>
      </c>
      <c r="F359" s="1569">
        <v>163.46195207983826</v>
      </c>
      <c r="G359" s="1569">
        <v>0</v>
      </c>
      <c r="H359" s="1569">
        <v>174.30206048092225</v>
      </c>
      <c r="I359" s="1569">
        <v>174.30206048092225</v>
      </c>
      <c r="J359" s="1569">
        <v>0</v>
      </c>
      <c r="K359" s="1569">
        <v>348.60412096184456</v>
      </c>
      <c r="L359" s="1096">
        <f t="shared" si="72"/>
        <v>348.6041209618445</v>
      </c>
    </row>
    <row r="360" spans="1:12" ht="15.75" hidden="1" x14ac:dyDescent="0.25">
      <c r="A360" s="1456"/>
      <c r="B360" s="1622"/>
      <c r="C360" s="1382" t="s">
        <v>131</v>
      </c>
      <c r="D360" s="1589"/>
      <c r="E360" s="1569">
        <v>0</v>
      </c>
      <c r="F360" s="1569">
        <v>86.538680512855549</v>
      </c>
      <c r="G360" s="1569">
        <v>0</v>
      </c>
      <c r="H360" s="1569">
        <v>86.538680512855549</v>
      </c>
      <c r="I360" s="1569">
        <v>85.2734951252407</v>
      </c>
      <c r="J360" s="1569">
        <v>0</v>
      </c>
      <c r="K360" s="1569">
        <v>171.81217563809625</v>
      </c>
      <c r="L360" s="1096">
        <f t="shared" si="72"/>
        <v>171.81217563809625</v>
      </c>
    </row>
    <row r="361" spans="1:12" ht="16.5" hidden="1" thickBot="1" x14ac:dyDescent="0.3">
      <c r="A361" s="1457"/>
      <c r="B361" s="1622"/>
      <c r="C361" s="1382" t="s">
        <v>132</v>
      </c>
      <c r="D361" s="1590"/>
      <c r="E361" s="1569">
        <v>22.894794774278274</v>
      </c>
      <c r="F361" s="1569">
        <v>79.70667941973538</v>
      </c>
      <c r="G361" s="1569">
        <v>7.014187788936713</v>
      </c>
      <c r="H361" s="1569">
        <v>109.61566198295037</v>
      </c>
      <c r="I361" s="1569">
        <v>170.66844804769244</v>
      </c>
      <c r="J361" s="1569">
        <v>0</v>
      </c>
      <c r="K361" s="1569">
        <v>280.28411003064281</v>
      </c>
      <c r="L361" s="1096">
        <f t="shared" si="72"/>
        <v>280.28411003064281</v>
      </c>
    </row>
    <row r="362" spans="1:12" ht="15.75" hidden="1" x14ac:dyDescent="0.25">
      <c r="A362" s="1415" t="s">
        <v>23</v>
      </c>
      <c r="B362" s="1622"/>
      <c r="C362" s="1591" t="s">
        <v>133</v>
      </c>
      <c r="D362" s="1588">
        <v>27800</v>
      </c>
      <c r="E362" s="1569">
        <v>55.899407127500162</v>
      </c>
      <c r="F362" s="1569">
        <v>44.389428192933309</v>
      </c>
      <c r="G362" s="1569">
        <v>12.07461941060221</v>
      </c>
      <c r="H362" s="1569">
        <v>112.36345473103567</v>
      </c>
      <c r="I362" s="1569">
        <v>43.911655482441851</v>
      </c>
      <c r="J362" s="1569">
        <v>6.211045236388907</v>
      </c>
      <c r="K362" s="1569">
        <v>162.48615544986643</v>
      </c>
      <c r="L362" s="1096">
        <f t="shared" si="72"/>
        <v>162.48615544986643</v>
      </c>
    </row>
    <row r="363" spans="1:12" ht="15.75" hidden="1" x14ac:dyDescent="0.25">
      <c r="A363" s="1416"/>
      <c r="B363" s="1622"/>
      <c r="C363" s="1380" t="s">
        <v>134</v>
      </c>
      <c r="D363" s="1589"/>
      <c r="E363" s="1569">
        <v>53.032770864551445</v>
      </c>
      <c r="F363" s="1569">
        <v>77.084283449518963</v>
      </c>
      <c r="G363" s="1569">
        <v>0</v>
      </c>
      <c r="H363" s="1569">
        <v>130.1170543140704</v>
      </c>
      <c r="I363" s="1569">
        <v>126.11027862835799</v>
      </c>
      <c r="J363" s="1569">
        <v>8.4696071405303268</v>
      </c>
      <c r="K363" s="1569">
        <v>264.69694008295869</v>
      </c>
      <c r="L363" s="1096">
        <f t="shared" si="72"/>
        <v>264.69694008295875</v>
      </c>
    </row>
    <row r="364" spans="1:12" ht="15.75" hidden="1" x14ac:dyDescent="0.25">
      <c r="A364" s="1416"/>
      <c r="B364" s="1622"/>
      <c r="C364" s="1380" t="s">
        <v>135</v>
      </c>
      <c r="D364" s="1589"/>
      <c r="E364" s="1569">
        <v>44.639173018872022</v>
      </c>
      <c r="F364" s="1569">
        <v>80.928182074836585</v>
      </c>
      <c r="G364" s="1569">
        <v>0</v>
      </c>
      <c r="H364" s="1569">
        <v>125.56735509370861</v>
      </c>
      <c r="I364" s="1569">
        <v>52.348687210893218</v>
      </c>
      <c r="J364" s="1569">
        <v>10.673876691206811</v>
      </c>
      <c r="K364" s="1569">
        <v>188.58991899580863</v>
      </c>
      <c r="L364" s="1096">
        <f t="shared" si="72"/>
        <v>188.58991899580863</v>
      </c>
    </row>
    <row r="365" spans="1:12" ht="15.75" hidden="1" x14ac:dyDescent="0.25">
      <c r="A365" s="1416"/>
      <c r="B365" s="1622"/>
      <c r="C365" s="1380" t="s">
        <v>136</v>
      </c>
      <c r="D365" s="1589"/>
      <c r="E365" s="1569">
        <v>40.328360153755945</v>
      </c>
      <c r="F365" s="1569">
        <v>85.467022824505392</v>
      </c>
      <c r="G365" s="1569">
        <v>0</v>
      </c>
      <c r="H365" s="1569">
        <v>125.79538297826133</v>
      </c>
      <c r="I365" s="1569">
        <v>106.81477620691902</v>
      </c>
      <c r="J365" s="1569">
        <v>7.8506743110300352</v>
      </c>
      <c r="K365" s="1569">
        <v>240.46083349621037</v>
      </c>
      <c r="L365" s="1096">
        <f t="shared" si="72"/>
        <v>240.4608334962104</v>
      </c>
    </row>
    <row r="366" spans="1:12" ht="15.75" hidden="1" x14ac:dyDescent="0.25">
      <c r="A366" s="1416"/>
      <c r="B366" s="1622"/>
      <c r="C366" s="1380" t="s">
        <v>137</v>
      </c>
      <c r="D366" s="1589"/>
      <c r="E366" s="1569">
        <v>61.111473060134216</v>
      </c>
      <c r="F366" s="1569">
        <v>59.721588811431801</v>
      </c>
      <c r="G366" s="1569">
        <v>0</v>
      </c>
      <c r="H366" s="1569">
        <v>120.83306187156602</v>
      </c>
      <c r="I366" s="1569">
        <v>106.825634677612</v>
      </c>
      <c r="J366" s="1569">
        <v>13.659956131778401</v>
      </c>
      <c r="K366" s="1569">
        <v>241.3186526809564</v>
      </c>
      <c r="L366" s="1096">
        <f t="shared" si="72"/>
        <v>241.3186526809564</v>
      </c>
    </row>
    <row r="367" spans="1:12" ht="15.75" hidden="1" x14ac:dyDescent="0.25">
      <c r="A367" s="1416"/>
      <c r="B367" s="1622"/>
      <c r="C367" s="1380" t="s">
        <v>138</v>
      </c>
      <c r="D367" s="1589"/>
      <c r="E367" s="1569">
        <v>50.752492019024046</v>
      </c>
      <c r="F367" s="1569">
        <v>70.93838903728799</v>
      </c>
      <c r="G367" s="1569">
        <v>0</v>
      </c>
      <c r="H367" s="1569">
        <v>121.69088105631204</v>
      </c>
      <c r="I367" s="1569">
        <v>93.990922318500665</v>
      </c>
      <c r="J367" s="1569">
        <v>12.943297066041218</v>
      </c>
      <c r="K367" s="1569">
        <v>228.62510044085391</v>
      </c>
      <c r="L367" s="1096">
        <f t="shared" si="72"/>
        <v>228.62510044085394</v>
      </c>
    </row>
    <row r="368" spans="1:12" ht="16.5" hidden="1" thickBot="1" x14ac:dyDescent="0.3">
      <c r="A368" s="1420"/>
      <c r="B368" s="1622"/>
      <c r="C368" s="1381" t="s">
        <v>139</v>
      </c>
      <c r="D368" s="1590"/>
      <c r="E368" s="1569">
        <v>35.561491519534393</v>
      </c>
      <c r="F368" s="1569">
        <v>57.441309965904402</v>
      </c>
      <c r="G368" s="1569">
        <v>0</v>
      </c>
      <c r="H368" s="1569">
        <v>93.002801485438795</v>
      </c>
      <c r="I368" s="1569">
        <v>103.66581970595261</v>
      </c>
      <c r="J368" s="1569">
        <v>11.803157643277521</v>
      </c>
      <c r="K368" s="1569">
        <v>208.47177883466892</v>
      </c>
      <c r="L368" s="1096">
        <f t="shared" si="72"/>
        <v>208.47177883466895</v>
      </c>
    </row>
    <row r="369" spans="1:12" ht="15.75" hidden="1" x14ac:dyDescent="0.25">
      <c r="A369" s="1592" t="s">
        <v>40</v>
      </c>
      <c r="B369" s="1654"/>
      <c r="C369" s="1387" t="s">
        <v>188</v>
      </c>
      <c r="D369" s="1589">
        <v>20600</v>
      </c>
      <c r="E369" s="1569">
        <v>0</v>
      </c>
      <c r="F369" s="1569">
        <v>76.647624522449377</v>
      </c>
      <c r="G369" s="1569">
        <v>0</v>
      </c>
      <c r="H369" s="1569">
        <v>76.647624522449377</v>
      </c>
      <c r="I369" s="1569">
        <v>55.809051605408449</v>
      </c>
      <c r="J369" s="1569">
        <v>31.789602270685876</v>
      </c>
      <c r="K369" s="1569">
        <v>164.24627839854372</v>
      </c>
      <c r="L369" s="1096">
        <f t="shared" si="72"/>
        <v>164.24627839854372</v>
      </c>
    </row>
    <row r="370" spans="1:12" ht="15.75" hidden="1" x14ac:dyDescent="0.25">
      <c r="A370" s="1593"/>
      <c r="B370" s="1655"/>
      <c r="C370" s="1387" t="s">
        <v>190</v>
      </c>
      <c r="D370" s="1589"/>
      <c r="E370" s="1569">
        <v>0</v>
      </c>
      <c r="F370" s="1569">
        <v>84.312386974694306</v>
      </c>
      <c r="G370" s="1569">
        <v>0</v>
      </c>
      <c r="H370" s="1569">
        <v>84.312386974694306</v>
      </c>
      <c r="I370" s="1569">
        <v>58.204289871734993</v>
      </c>
      <c r="J370" s="1569">
        <v>34.204002443143033</v>
      </c>
      <c r="K370" s="1569">
        <v>176.72067928957233</v>
      </c>
      <c r="L370" s="1096">
        <f t="shared" si="72"/>
        <v>176.72067928957233</v>
      </c>
    </row>
    <row r="371" spans="1:12" ht="15.75" hidden="1" x14ac:dyDescent="0.25">
      <c r="A371" s="1593"/>
      <c r="B371" s="1655"/>
      <c r="C371" s="1368" t="s">
        <v>219</v>
      </c>
      <c r="D371" s="1589"/>
      <c r="E371" s="1569">
        <v>0</v>
      </c>
      <c r="F371" s="1569">
        <v>66.587623803877889</v>
      </c>
      <c r="G371" s="1569">
        <v>0</v>
      </c>
      <c r="H371" s="1569">
        <v>66.587623803877889</v>
      </c>
      <c r="I371" s="1569">
        <v>44.072384100408392</v>
      </c>
      <c r="J371" s="1569">
        <v>26.558401897028705</v>
      </c>
      <c r="K371" s="1569">
        <v>137.218409801315</v>
      </c>
      <c r="L371" s="1096">
        <f t="shared" si="72"/>
        <v>137.218409801315</v>
      </c>
    </row>
    <row r="372" spans="1:12" ht="15.75" hidden="1" x14ac:dyDescent="0.25">
      <c r="A372" s="1593"/>
      <c r="B372" s="1655"/>
      <c r="C372" s="1368" t="s">
        <v>513</v>
      </c>
      <c r="D372" s="1589"/>
      <c r="E372" s="1569">
        <v>0</v>
      </c>
      <c r="F372" s="1569">
        <v>88.384292027449433</v>
      </c>
      <c r="G372" s="1569">
        <v>0</v>
      </c>
      <c r="H372" s="1569">
        <v>88.384292027449433</v>
      </c>
      <c r="I372" s="1569">
        <v>79.521910442041218</v>
      </c>
      <c r="J372" s="1569">
        <v>40.297488592677759</v>
      </c>
      <c r="K372" s="1569">
        <v>208.20369106216842</v>
      </c>
      <c r="L372" s="1096">
        <f t="shared" si="72"/>
        <v>208.20369106216842</v>
      </c>
    </row>
    <row r="373" spans="1:12" ht="15.75" hidden="1" x14ac:dyDescent="0.25">
      <c r="A373" s="1593"/>
      <c r="B373" s="1655"/>
      <c r="C373" s="1368" t="s">
        <v>516</v>
      </c>
      <c r="D373" s="1589"/>
      <c r="E373" s="1569">
        <v>0</v>
      </c>
      <c r="F373" s="1569">
        <v>105.39048371836789</v>
      </c>
      <c r="G373" s="1569">
        <v>0</v>
      </c>
      <c r="H373" s="1569">
        <v>105.39048371836789</v>
      </c>
      <c r="I373" s="1569">
        <v>60.120480484796225</v>
      </c>
      <c r="J373" s="1569">
        <v>39.722631408759391</v>
      </c>
      <c r="K373" s="1569">
        <v>205.2335956119235</v>
      </c>
      <c r="L373" s="1096">
        <f t="shared" si="72"/>
        <v>205.2335956119235</v>
      </c>
    </row>
    <row r="374" spans="1:12" ht="15.75" hidden="1" x14ac:dyDescent="0.25">
      <c r="A374" s="1593"/>
      <c r="B374" s="1655"/>
      <c r="C374" s="1368" t="s">
        <v>1353</v>
      </c>
      <c r="D374" s="1589"/>
      <c r="E374" s="1569">
        <v>0</v>
      </c>
      <c r="F374" s="1569">
        <v>74.491910082755481</v>
      </c>
      <c r="G374" s="1569">
        <v>0</v>
      </c>
      <c r="H374" s="1569">
        <v>74.491910082755481</v>
      </c>
      <c r="I374" s="1569">
        <v>29.700954502449132</v>
      </c>
      <c r="J374" s="1569">
        <v>25.006287500449108</v>
      </c>
      <c r="K374" s="1569">
        <v>129.19915208565374</v>
      </c>
      <c r="L374" s="1096">
        <f t="shared" si="72"/>
        <v>129.19915208565374</v>
      </c>
    </row>
    <row r="375" spans="1:12" ht="15.75" hidden="1" x14ac:dyDescent="0.25">
      <c r="A375" s="1593"/>
      <c r="B375" s="1655"/>
      <c r="C375" s="1368" t="s">
        <v>520</v>
      </c>
      <c r="D375" s="1589"/>
      <c r="E375" s="1569">
        <v>0</v>
      </c>
      <c r="F375" s="1569">
        <v>76.408100695816714</v>
      </c>
      <c r="G375" s="1569">
        <v>0</v>
      </c>
      <c r="H375" s="1569">
        <v>76.408100695816714</v>
      </c>
      <c r="I375" s="1569">
        <v>73.533814776224872</v>
      </c>
      <c r="J375" s="1569">
        <v>35.986059713289983</v>
      </c>
      <c r="K375" s="1569">
        <v>185.92797518533158</v>
      </c>
      <c r="L375" s="1096">
        <f t="shared" si="72"/>
        <v>185.92797518533158</v>
      </c>
    </row>
    <row r="376" spans="1:12" ht="15.75" hidden="1" x14ac:dyDescent="0.25">
      <c r="A376" s="1593"/>
      <c r="B376" s="1655"/>
      <c r="C376" s="1368" t="s">
        <v>597</v>
      </c>
      <c r="D376" s="1589"/>
      <c r="E376" s="1569">
        <v>0</v>
      </c>
      <c r="F376" s="1569">
        <v>84.072863148061657</v>
      </c>
      <c r="G376" s="1569">
        <v>0</v>
      </c>
      <c r="H376" s="1569">
        <v>84.072863148061657</v>
      </c>
      <c r="I376" s="1569">
        <v>60.599528138061537</v>
      </c>
      <c r="J376" s="1569">
        <v>34.72137390866957</v>
      </c>
      <c r="K376" s="1569">
        <v>179.39376519479276</v>
      </c>
      <c r="L376" s="1096">
        <f t="shared" si="72"/>
        <v>179.39376519479276</v>
      </c>
    </row>
    <row r="377" spans="1:12" ht="15.75" hidden="1" x14ac:dyDescent="0.25">
      <c r="A377" s="1593"/>
      <c r="B377" s="1655"/>
      <c r="C377" s="1368" t="s">
        <v>765</v>
      </c>
      <c r="D377" s="1589"/>
      <c r="E377" s="1569">
        <v>0</v>
      </c>
      <c r="F377" s="1569">
        <v>74.01286242949017</v>
      </c>
      <c r="G377" s="1569">
        <v>0</v>
      </c>
      <c r="H377" s="1569">
        <v>74.01286242949017</v>
      </c>
      <c r="I377" s="1569">
        <v>61.557623444592153</v>
      </c>
      <c r="J377" s="1569">
        <v>32.536916609779759</v>
      </c>
      <c r="K377" s="1569">
        <v>168.10740248386207</v>
      </c>
      <c r="L377" s="1096">
        <f t="shared" si="72"/>
        <v>168.10740248386207</v>
      </c>
    </row>
    <row r="378" spans="1:12" ht="15.75" hidden="1" x14ac:dyDescent="0.25">
      <c r="A378" s="1593"/>
      <c r="B378" s="1655"/>
      <c r="C378" s="1368" t="s">
        <v>860</v>
      </c>
      <c r="D378" s="1589"/>
      <c r="E378" s="1569">
        <v>0</v>
      </c>
      <c r="F378" s="1569">
        <v>109.94143642438831</v>
      </c>
      <c r="G378" s="1569">
        <v>0</v>
      </c>
      <c r="H378" s="1569">
        <v>109.94143642438831</v>
      </c>
      <c r="I378" s="1569">
        <v>24.431430316530736</v>
      </c>
      <c r="J378" s="1569">
        <v>32.249488017820568</v>
      </c>
      <c r="K378" s="1569">
        <v>166.62235475873962</v>
      </c>
      <c r="L378" s="1096">
        <f t="shared" si="72"/>
        <v>166.62235475873962</v>
      </c>
    </row>
    <row r="379" spans="1:12" ht="15.75" hidden="1" x14ac:dyDescent="0.25">
      <c r="A379" s="1593"/>
      <c r="B379" s="1655"/>
      <c r="C379" s="1368" t="s">
        <v>766</v>
      </c>
      <c r="D379" s="1589"/>
      <c r="E379" s="1569">
        <v>0</v>
      </c>
      <c r="F379" s="1569">
        <v>72.3361956430616</v>
      </c>
      <c r="G379" s="1569">
        <v>0</v>
      </c>
      <c r="H379" s="1569">
        <v>72.3361956430616</v>
      </c>
      <c r="I379" s="1569">
        <v>54.850956298877833</v>
      </c>
      <c r="J379" s="1569">
        <v>30.524916466065463</v>
      </c>
      <c r="K379" s="1569">
        <v>157.71206840800488</v>
      </c>
      <c r="L379" s="1096">
        <f t="shared" si="72"/>
        <v>157.71206840800488</v>
      </c>
    </row>
    <row r="380" spans="1:12" ht="15.75" hidden="1" x14ac:dyDescent="0.25">
      <c r="A380" s="1593"/>
      <c r="B380" s="1655"/>
      <c r="C380" s="1368" t="s">
        <v>767</v>
      </c>
      <c r="D380" s="1589"/>
      <c r="E380" s="1569">
        <v>0</v>
      </c>
      <c r="F380" s="1569">
        <v>64.671433190816657</v>
      </c>
      <c r="G380" s="1569">
        <v>0</v>
      </c>
      <c r="H380" s="1569">
        <v>64.671433190816657</v>
      </c>
      <c r="I380" s="1569">
        <v>60.839051964694185</v>
      </c>
      <c r="J380" s="1569">
        <v>30.122516437322606</v>
      </c>
      <c r="K380" s="1569">
        <v>155.63300159283347</v>
      </c>
      <c r="L380" s="1096">
        <f t="shared" si="72"/>
        <v>155.63300159283347</v>
      </c>
    </row>
    <row r="381" spans="1:12" ht="15.75" hidden="1" x14ac:dyDescent="0.25">
      <c r="A381" s="1593"/>
      <c r="B381" s="1655"/>
      <c r="C381" s="1368" t="s">
        <v>768</v>
      </c>
      <c r="D381" s="1589"/>
      <c r="E381" s="1569">
        <v>0</v>
      </c>
      <c r="F381" s="1569">
        <v>73.054767122959561</v>
      </c>
      <c r="G381" s="1569">
        <v>0</v>
      </c>
      <c r="H381" s="1569">
        <v>73.054767122959561</v>
      </c>
      <c r="I381" s="1569">
        <v>35.210002515000177</v>
      </c>
      <c r="J381" s="1569">
        <v>25.983544713110337</v>
      </c>
      <c r="K381" s="1569">
        <v>134.24831435107009</v>
      </c>
      <c r="L381" s="1096">
        <f t="shared" si="72"/>
        <v>134.24831435107009</v>
      </c>
    </row>
    <row r="382" spans="1:12" ht="15.75" hidden="1" x14ac:dyDescent="0.25">
      <c r="A382" s="1593"/>
      <c r="B382" s="1655"/>
      <c r="C382" s="1368" t="s">
        <v>769</v>
      </c>
      <c r="D382" s="1589"/>
      <c r="E382" s="1569">
        <v>0</v>
      </c>
      <c r="F382" s="1569">
        <v>72.575719469694249</v>
      </c>
      <c r="G382" s="1569">
        <v>0</v>
      </c>
      <c r="H382" s="1569">
        <v>72.575719469694249</v>
      </c>
      <c r="I382" s="1569">
        <v>46.467622366734929</v>
      </c>
      <c r="J382" s="1569">
        <v>28.570402040743005</v>
      </c>
      <c r="K382" s="1569">
        <v>147.61374387717217</v>
      </c>
      <c r="L382" s="1096">
        <f t="shared" si="72"/>
        <v>147.61374387717217</v>
      </c>
    </row>
    <row r="383" spans="1:12" ht="15.75" hidden="1" x14ac:dyDescent="0.25">
      <c r="A383" s="1593"/>
      <c r="B383" s="1655"/>
      <c r="C383" s="1368" t="s">
        <v>770</v>
      </c>
      <c r="D383" s="1589"/>
      <c r="E383" s="1569">
        <v>0</v>
      </c>
      <c r="F383" s="1569">
        <v>71.378100336530977</v>
      </c>
      <c r="G383" s="1569">
        <v>0</v>
      </c>
      <c r="H383" s="1569">
        <v>71.378100336530977</v>
      </c>
      <c r="I383" s="1569">
        <v>33.054288075306289</v>
      </c>
      <c r="J383" s="1569">
        <v>25.063773218840943</v>
      </c>
      <c r="K383" s="1569">
        <v>129.49616163067822</v>
      </c>
      <c r="L383" s="1096">
        <f t="shared" si="72"/>
        <v>129.49616163067822</v>
      </c>
    </row>
    <row r="384" spans="1:12" ht="15.75" hidden="1" x14ac:dyDescent="0.25">
      <c r="A384" s="1593"/>
      <c r="B384" s="1655"/>
      <c r="C384" s="1368" t="s">
        <v>771</v>
      </c>
      <c r="D384" s="1589"/>
      <c r="E384" s="1569">
        <v>0</v>
      </c>
      <c r="F384" s="1569">
        <v>73.294290949592209</v>
      </c>
      <c r="G384" s="1569">
        <v>0</v>
      </c>
      <c r="H384" s="1569">
        <v>73.294290949592209</v>
      </c>
      <c r="I384" s="1569">
        <v>49.341908286326785</v>
      </c>
      <c r="J384" s="1569">
        <v>29.432687816620557</v>
      </c>
      <c r="K384" s="1569">
        <v>152.06888705253954</v>
      </c>
      <c r="L384" s="1096">
        <f t="shared" si="72"/>
        <v>152.06888705253954</v>
      </c>
    </row>
    <row r="385" spans="1:12" ht="16.5" hidden="1" thickBot="1" x14ac:dyDescent="0.3">
      <c r="A385" s="1593"/>
      <c r="B385" s="1655"/>
      <c r="C385" s="1368" t="s">
        <v>772</v>
      </c>
      <c r="D385" s="1590"/>
      <c r="E385" s="1569">
        <v>0</v>
      </c>
      <c r="F385" s="1569">
        <v>92.216673253571898</v>
      </c>
      <c r="G385" s="1569">
        <v>0</v>
      </c>
      <c r="H385" s="1569">
        <v>92.216673253571898</v>
      </c>
      <c r="I385" s="1569">
        <v>41.437622007449193</v>
      </c>
      <c r="J385" s="1569">
        <v>32.07703086264506</v>
      </c>
      <c r="K385" s="1569">
        <v>165.73132612366618</v>
      </c>
      <c r="L385" s="1096">
        <f t="shared" si="72"/>
        <v>165.73132612366618</v>
      </c>
    </row>
    <row r="386" spans="1:12" ht="16.5" hidden="1" thickBot="1" x14ac:dyDescent="0.3">
      <c r="A386" s="1417" t="s">
        <v>693</v>
      </c>
      <c r="B386" s="1424"/>
      <c r="C386" s="1431" t="s">
        <v>694</v>
      </c>
      <c r="D386" s="1594">
        <v>23700</v>
      </c>
      <c r="E386" s="1569">
        <v>0</v>
      </c>
      <c r="F386" s="1569">
        <v>34.686537541053276</v>
      </c>
      <c r="G386" s="1569">
        <v>3.1097330259949025</v>
      </c>
      <c r="H386" s="1569">
        <v>37.796270567048182</v>
      </c>
      <c r="I386" s="1569">
        <v>35.220808853889402</v>
      </c>
      <c r="J386" s="1569">
        <v>0</v>
      </c>
      <c r="K386" s="1569">
        <v>73.017079420937577</v>
      </c>
      <c r="L386" s="1096">
        <f t="shared" si="72"/>
        <v>73.017079420937591</v>
      </c>
    </row>
    <row r="387" spans="1:12" ht="15.75" hidden="1" x14ac:dyDescent="0.25">
      <c r="A387" s="1415" t="s">
        <v>47</v>
      </c>
      <c r="B387" s="1622"/>
      <c r="C387" s="1382" t="s">
        <v>204</v>
      </c>
      <c r="D387" s="1588">
        <v>41200</v>
      </c>
      <c r="E387" s="1569">
        <v>0</v>
      </c>
      <c r="F387" s="1569">
        <v>0</v>
      </c>
      <c r="G387" s="1569">
        <v>186.83958440792867</v>
      </c>
      <c r="H387" s="1569">
        <v>186.83958440792867</v>
      </c>
      <c r="I387" s="1569">
        <v>216.81526785056371</v>
      </c>
      <c r="J387" s="1569">
        <v>0</v>
      </c>
      <c r="K387" s="1569">
        <v>403.65485225849238</v>
      </c>
      <c r="L387" s="1096">
        <f t="shared" si="72"/>
        <v>403.65485225849238</v>
      </c>
    </row>
    <row r="388" spans="1:12" ht="15.75" hidden="1" x14ac:dyDescent="0.25">
      <c r="A388" s="1416"/>
      <c r="B388" s="1622"/>
      <c r="C388" s="1380" t="s">
        <v>205</v>
      </c>
      <c r="D388" s="1589"/>
      <c r="E388" s="1569">
        <v>0</v>
      </c>
      <c r="F388" s="1569">
        <v>0</v>
      </c>
      <c r="G388" s="1569">
        <v>217.97951514258344</v>
      </c>
      <c r="H388" s="1569">
        <v>217.97951514258344</v>
      </c>
      <c r="I388" s="1569">
        <v>252.95114582565765</v>
      </c>
      <c r="J388" s="1569">
        <v>0</v>
      </c>
      <c r="K388" s="1569">
        <v>470.93066096824111</v>
      </c>
      <c r="L388" s="1096">
        <f t="shared" si="72"/>
        <v>470.93066096824111</v>
      </c>
    </row>
    <row r="389" spans="1:12" ht="15.75" hidden="1" x14ac:dyDescent="0.25">
      <c r="A389" s="1416"/>
      <c r="B389" s="1622"/>
      <c r="C389" s="1380" t="s">
        <v>206</v>
      </c>
      <c r="D389" s="1589"/>
      <c r="E389" s="1569">
        <v>0</v>
      </c>
      <c r="F389" s="1569">
        <v>0</v>
      </c>
      <c r="G389" s="1569">
        <v>249.11944587723823</v>
      </c>
      <c r="H389" s="1569">
        <v>249.11944587723823</v>
      </c>
      <c r="I389" s="1569">
        <v>289.08702380075158</v>
      </c>
      <c r="J389" s="1569">
        <v>0</v>
      </c>
      <c r="K389" s="1569">
        <v>538.20646967798984</v>
      </c>
      <c r="L389" s="1096">
        <f t="shared" si="72"/>
        <v>538.20646967798984</v>
      </c>
    </row>
    <row r="390" spans="1:12" ht="15.75" hidden="1" x14ac:dyDescent="0.25">
      <c r="A390" s="1416"/>
      <c r="B390" s="1622"/>
      <c r="C390" s="1380" t="s">
        <v>207</v>
      </c>
      <c r="D390" s="1589"/>
      <c r="E390" s="1569">
        <v>0</v>
      </c>
      <c r="F390" s="1569">
        <v>0</v>
      </c>
      <c r="G390" s="1569">
        <v>280.259376611893</v>
      </c>
      <c r="H390" s="1569">
        <v>280.259376611893</v>
      </c>
      <c r="I390" s="1569">
        <v>325.22290177584557</v>
      </c>
      <c r="J390" s="1569">
        <v>0</v>
      </c>
      <c r="K390" s="1569">
        <v>605.48227838773857</v>
      </c>
      <c r="L390" s="1096">
        <f t="shared" si="72"/>
        <v>605.48227838773857</v>
      </c>
    </row>
    <row r="391" spans="1:12" ht="15.75" hidden="1" x14ac:dyDescent="0.25">
      <c r="A391" s="1416"/>
      <c r="B391" s="1622"/>
      <c r="C391" s="1380" t="s">
        <v>208</v>
      </c>
      <c r="D391" s="1589"/>
      <c r="E391" s="1569">
        <v>0</v>
      </c>
      <c r="F391" s="1569">
        <v>0</v>
      </c>
      <c r="G391" s="1569">
        <v>342.5392380812026</v>
      </c>
      <c r="H391" s="1569">
        <v>342.5392380812026</v>
      </c>
      <c r="I391" s="1569">
        <v>397.49465772603349</v>
      </c>
      <c r="J391" s="1569">
        <v>0</v>
      </c>
      <c r="K391" s="1569">
        <v>740.03389580723615</v>
      </c>
      <c r="L391" s="1096">
        <f t="shared" si="72"/>
        <v>740.03389580723615</v>
      </c>
    </row>
    <row r="392" spans="1:12" ht="15.75" hidden="1" x14ac:dyDescent="0.25">
      <c r="A392" s="1416"/>
      <c r="B392" s="1622"/>
      <c r="C392" s="1380" t="s">
        <v>209</v>
      </c>
      <c r="D392" s="1589"/>
      <c r="E392" s="1569">
        <v>0</v>
      </c>
      <c r="F392" s="1569">
        <v>0</v>
      </c>
      <c r="G392" s="1569">
        <v>404.81909955051214</v>
      </c>
      <c r="H392" s="1569">
        <v>404.81909955051214</v>
      </c>
      <c r="I392" s="1569">
        <v>469.76641367622136</v>
      </c>
      <c r="J392" s="1569">
        <v>0</v>
      </c>
      <c r="K392" s="1569">
        <v>874.5855132267335</v>
      </c>
      <c r="L392" s="1096">
        <f t="shared" si="72"/>
        <v>874.5855132267335</v>
      </c>
    </row>
    <row r="393" spans="1:12" ht="15.75" hidden="1" x14ac:dyDescent="0.25">
      <c r="A393" s="1416"/>
      <c r="B393" s="1622"/>
      <c r="C393" s="1380" t="s">
        <v>210</v>
      </c>
      <c r="D393" s="1589"/>
      <c r="E393" s="1569">
        <v>0</v>
      </c>
      <c r="F393" s="1569">
        <v>0</v>
      </c>
      <c r="G393" s="1569">
        <v>467.09896101982167</v>
      </c>
      <c r="H393" s="1569">
        <v>467.09896101982167</v>
      </c>
      <c r="I393" s="1569">
        <v>542.03816962640929</v>
      </c>
      <c r="J393" s="1569">
        <v>0</v>
      </c>
      <c r="K393" s="1569">
        <v>1009.137130646231</v>
      </c>
      <c r="L393" s="1096">
        <f t="shared" si="72"/>
        <v>1009.137130646231</v>
      </c>
    </row>
    <row r="394" spans="1:12" ht="16.5" hidden="1" thickBot="1" x14ac:dyDescent="0.3">
      <c r="A394" s="1420"/>
      <c r="B394" s="1622"/>
      <c r="C394" s="1595" t="s">
        <v>211</v>
      </c>
      <c r="D394" s="1590"/>
      <c r="E394" s="1569">
        <v>0</v>
      </c>
      <c r="F394" s="1569">
        <v>0</v>
      </c>
      <c r="G394" s="1569">
        <v>560.51875322378601</v>
      </c>
      <c r="H394" s="1569">
        <v>560.51875322378601</v>
      </c>
      <c r="I394" s="1569">
        <v>650.44580355169114</v>
      </c>
      <c r="J394" s="1569">
        <v>0</v>
      </c>
      <c r="K394" s="1569">
        <v>1210.9645567754771</v>
      </c>
      <c r="L394" s="1096">
        <f t="shared" si="72"/>
        <v>1210.9645567754771</v>
      </c>
    </row>
    <row r="395" spans="1:12" ht="15.75" hidden="1" x14ac:dyDescent="0.25">
      <c r="A395" s="1371" t="s">
        <v>25</v>
      </c>
      <c r="B395" s="1424"/>
      <c r="C395" s="1591" t="s">
        <v>143</v>
      </c>
      <c r="D395" s="1588">
        <v>36700</v>
      </c>
      <c r="E395" s="1569">
        <v>0</v>
      </c>
      <c r="F395" s="1569">
        <v>48.656789605279521</v>
      </c>
      <c r="G395" s="1569">
        <v>0</v>
      </c>
      <c r="H395" s="1569">
        <v>48.656789605279521</v>
      </c>
      <c r="I395" s="1569">
        <v>37.772242469547336</v>
      </c>
      <c r="J395" s="1569">
        <v>0</v>
      </c>
      <c r="K395" s="1569">
        <v>86.429032074826864</v>
      </c>
      <c r="L395" s="1096">
        <f t="shared" si="72"/>
        <v>86.429032074826864</v>
      </c>
    </row>
    <row r="396" spans="1:12" ht="15.75" hidden="1" x14ac:dyDescent="0.25">
      <c r="A396" s="1469"/>
      <c r="B396" s="1424"/>
      <c r="C396" s="1380" t="s">
        <v>144</v>
      </c>
      <c r="D396" s="1589"/>
      <c r="E396" s="1569">
        <v>0</v>
      </c>
      <c r="F396" s="1569">
        <v>60.589459487929091</v>
      </c>
      <c r="G396" s="1569">
        <v>0</v>
      </c>
      <c r="H396" s="1569">
        <v>60.589459487929091</v>
      </c>
      <c r="I396" s="1569">
        <v>41.586833097374388</v>
      </c>
      <c r="J396" s="1569">
        <v>0</v>
      </c>
      <c r="K396" s="1569">
        <v>102.17629258530349</v>
      </c>
      <c r="L396" s="1096">
        <f t="shared" ref="L396:L434" si="73">E396+F396+G396+I396+J396</f>
        <v>102.17629258530349</v>
      </c>
    </row>
    <row r="397" spans="1:12" ht="15.75" hidden="1" x14ac:dyDescent="0.25">
      <c r="A397" s="1469"/>
      <c r="B397" s="1424"/>
      <c r="C397" s="1380" t="s">
        <v>145</v>
      </c>
      <c r="D397" s="1589"/>
      <c r="E397" s="1569">
        <v>0</v>
      </c>
      <c r="F397" s="1569">
        <v>49.055872720718554</v>
      </c>
      <c r="G397" s="1569">
        <v>0</v>
      </c>
      <c r="H397" s="1569">
        <v>49.055872720718554</v>
      </c>
      <c r="I397" s="1569">
        <v>32.696854228613518</v>
      </c>
      <c r="J397" s="1569">
        <v>0</v>
      </c>
      <c r="K397" s="1569">
        <v>81.752726949332072</v>
      </c>
      <c r="L397" s="1096">
        <f t="shared" si="73"/>
        <v>81.752726949332072</v>
      </c>
    </row>
    <row r="398" spans="1:12" ht="15.75" hidden="1" x14ac:dyDescent="0.25">
      <c r="A398" s="1469"/>
      <c r="B398" s="1424"/>
      <c r="C398" s="1380" t="s">
        <v>146</v>
      </c>
      <c r="D398" s="1589"/>
      <c r="E398" s="1569">
        <v>0</v>
      </c>
      <c r="F398" s="1569">
        <v>56.235979557725756</v>
      </c>
      <c r="G398" s="1569">
        <v>0</v>
      </c>
      <c r="H398" s="1569">
        <v>56.235979557725756</v>
      </c>
      <c r="I398" s="1569">
        <v>35.32521054303367</v>
      </c>
      <c r="J398" s="1569">
        <v>0</v>
      </c>
      <c r="K398" s="1569">
        <v>91.561190100759433</v>
      </c>
      <c r="L398" s="1096">
        <f t="shared" si="73"/>
        <v>91.561190100759433</v>
      </c>
    </row>
    <row r="399" spans="1:12" ht="15.75" hidden="1" x14ac:dyDescent="0.25">
      <c r="A399" s="1469"/>
      <c r="B399" s="1424"/>
      <c r="C399" s="1380" t="s">
        <v>147</v>
      </c>
      <c r="D399" s="1589"/>
      <c r="E399" s="1569">
        <v>0</v>
      </c>
      <c r="F399" s="1569">
        <v>45.021828744911225</v>
      </c>
      <c r="G399" s="1569">
        <v>0</v>
      </c>
      <c r="H399" s="1569">
        <v>45.021828744911225</v>
      </c>
      <c r="I399" s="1569">
        <v>29.769397405170061</v>
      </c>
      <c r="J399" s="1569">
        <v>0</v>
      </c>
      <c r="K399" s="1569">
        <v>74.791226150081286</v>
      </c>
      <c r="L399" s="1096">
        <f t="shared" si="73"/>
        <v>74.791226150081286</v>
      </c>
    </row>
    <row r="400" spans="1:12" ht="15.75" hidden="1" x14ac:dyDescent="0.25">
      <c r="A400" s="1469"/>
      <c r="B400" s="1424"/>
      <c r="C400" s="1380" t="s">
        <v>148</v>
      </c>
      <c r="D400" s="1589"/>
      <c r="E400" s="1569">
        <v>0</v>
      </c>
      <c r="F400" s="1569">
        <v>43.16113549331012</v>
      </c>
      <c r="G400" s="1569">
        <v>0</v>
      </c>
      <c r="H400" s="1569">
        <v>43.16113549331012</v>
      </c>
      <c r="I400" s="1569">
        <v>32.613817826675039</v>
      </c>
      <c r="J400" s="1569">
        <v>0</v>
      </c>
      <c r="K400" s="1569">
        <v>75.774953319985158</v>
      </c>
      <c r="L400" s="1096">
        <f t="shared" si="73"/>
        <v>75.774953319985158</v>
      </c>
    </row>
    <row r="401" spans="1:12" ht="15.75" hidden="1" x14ac:dyDescent="0.25">
      <c r="A401" s="1469"/>
      <c r="B401" s="1424"/>
      <c r="C401" s="1380" t="s">
        <v>149</v>
      </c>
      <c r="D401" s="1589"/>
      <c r="E401" s="1569">
        <v>0</v>
      </c>
      <c r="F401" s="1569">
        <v>73.882062279877289</v>
      </c>
      <c r="G401" s="1569">
        <v>0</v>
      </c>
      <c r="H401" s="1569">
        <v>73.882062279877289</v>
      </c>
      <c r="I401" s="1569">
        <v>33.896645505602216</v>
      </c>
      <c r="J401" s="1569">
        <v>0</v>
      </c>
      <c r="K401" s="1569">
        <v>107.7787077854795</v>
      </c>
      <c r="L401" s="1096">
        <f t="shared" si="73"/>
        <v>107.7787077854795</v>
      </c>
    </row>
    <row r="402" spans="1:12" ht="16.5" hidden="1" thickBot="1" x14ac:dyDescent="0.3">
      <c r="A402" s="1470"/>
      <c r="B402" s="1424"/>
      <c r="C402" s="1381" t="s">
        <v>150</v>
      </c>
      <c r="D402" s="1590"/>
      <c r="E402" s="1569">
        <v>0</v>
      </c>
      <c r="F402" s="1569">
        <v>53.749971360914437</v>
      </c>
      <c r="G402" s="1569">
        <v>0</v>
      </c>
      <c r="H402" s="1569">
        <v>53.749971360914437</v>
      </c>
      <c r="I402" s="1569">
        <v>26.225098738755008</v>
      </c>
      <c r="J402" s="1569">
        <v>0</v>
      </c>
      <c r="K402" s="1569">
        <v>79.975070099669438</v>
      </c>
      <c r="L402" s="1096">
        <f t="shared" si="73"/>
        <v>79.975070099669438</v>
      </c>
    </row>
    <row r="403" spans="1:12" ht="15.75" hidden="1" x14ac:dyDescent="0.25">
      <c r="A403" s="1357" t="s">
        <v>26</v>
      </c>
      <c r="B403" s="1622"/>
      <c r="C403" s="1596" t="s">
        <v>151</v>
      </c>
      <c r="D403" s="1588">
        <v>35200</v>
      </c>
      <c r="E403" s="1569">
        <v>90.429343931200734</v>
      </c>
      <c r="F403" s="1569">
        <v>88.127348144287353</v>
      </c>
      <c r="G403" s="1569">
        <v>0</v>
      </c>
      <c r="H403" s="1569">
        <v>178.55669207548809</v>
      </c>
      <c r="I403" s="1569">
        <v>69.407344669576744</v>
      </c>
      <c r="J403" s="1569">
        <v>24.800747062783678</v>
      </c>
      <c r="K403" s="1569">
        <v>272.76478380784852</v>
      </c>
      <c r="L403" s="1096">
        <f t="shared" si="73"/>
        <v>272.76478380784852</v>
      </c>
    </row>
    <row r="404" spans="1:12" ht="15.75" hidden="1" x14ac:dyDescent="0.25">
      <c r="A404" s="1456"/>
      <c r="B404" s="1622"/>
      <c r="C404" s="1382" t="s">
        <v>152</v>
      </c>
      <c r="D404" s="1589"/>
      <c r="E404" s="1569">
        <v>35.756943992008168</v>
      </c>
      <c r="F404" s="1569">
        <v>56.431472191456557</v>
      </c>
      <c r="G404" s="1569">
        <v>0</v>
      </c>
      <c r="H404" s="1569">
        <v>92.188416183464724</v>
      </c>
      <c r="I404" s="1569">
        <v>85.054400938171867</v>
      </c>
      <c r="J404" s="1569">
        <v>17.721024170955765</v>
      </c>
      <c r="K404" s="1569">
        <v>194.96384129259235</v>
      </c>
      <c r="L404" s="1096">
        <f t="shared" si="73"/>
        <v>194.96384129259235</v>
      </c>
    </row>
    <row r="405" spans="1:12" ht="15.75" hidden="1" x14ac:dyDescent="0.25">
      <c r="A405" s="1456"/>
      <c r="B405" s="1622"/>
      <c r="C405" s="1382" t="s">
        <v>153</v>
      </c>
      <c r="D405" s="1589"/>
      <c r="E405" s="1569">
        <v>66.486416053163069</v>
      </c>
      <c r="F405" s="1569">
        <v>46.691423979846682</v>
      </c>
      <c r="G405" s="1569">
        <v>0</v>
      </c>
      <c r="H405" s="1569">
        <v>113.17784003300974</v>
      </c>
      <c r="I405" s="1569">
        <v>73.186092470736412</v>
      </c>
      <c r="J405" s="1569">
        <v>18.633135709166723</v>
      </c>
      <c r="K405" s="1569">
        <v>204.99706821291289</v>
      </c>
      <c r="L405" s="1096">
        <f t="shared" si="73"/>
        <v>204.99706821291289</v>
      </c>
    </row>
    <row r="406" spans="1:12" ht="15.75" hidden="1" x14ac:dyDescent="0.25">
      <c r="A406" s="1456"/>
      <c r="B406" s="1622"/>
      <c r="C406" s="1382" t="s">
        <v>214</v>
      </c>
      <c r="D406" s="1589"/>
      <c r="E406" s="1569">
        <v>50.339870132690514</v>
      </c>
      <c r="F406" s="1569">
        <v>44.411145134319284</v>
      </c>
      <c r="G406" s="1569">
        <v>0</v>
      </c>
      <c r="H406" s="1569">
        <v>94.751015267009791</v>
      </c>
      <c r="I406" s="1569">
        <v>123.80828284144461</v>
      </c>
      <c r="J406" s="1569">
        <v>21.858101504984038</v>
      </c>
      <c r="K406" s="1569">
        <v>240.41739961343842</v>
      </c>
      <c r="L406" s="1096">
        <f t="shared" si="73"/>
        <v>240.41739961343845</v>
      </c>
    </row>
    <row r="407" spans="1:12" ht="16.5" hidden="1" thickBot="1" x14ac:dyDescent="0.3">
      <c r="A407" s="1457"/>
      <c r="B407" s="1622"/>
      <c r="C407" s="1383" t="s">
        <v>154</v>
      </c>
      <c r="D407" s="1590"/>
      <c r="E407" s="1569">
        <v>77.008274154668058</v>
      </c>
      <c r="F407" s="1569">
        <v>60.709709644493664</v>
      </c>
      <c r="G407" s="1569">
        <v>0</v>
      </c>
      <c r="H407" s="1569">
        <v>137.71798379916171</v>
      </c>
      <c r="I407" s="1569">
        <v>129.45468760179816</v>
      </c>
      <c r="J407" s="1569">
        <v>26.722696375442482</v>
      </c>
      <c r="K407" s="1569">
        <v>293.89536777640234</v>
      </c>
      <c r="L407" s="1096">
        <f t="shared" si="73"/>
        <v>293.89536777640234</v>
      </c>
    </row>
    <row r="408" spans="1:12" ht="15.75" hidden="1" x14ac:dyDescent="0.25">
      <c r="A408" s="1357" t="s">
        <v>28</v>
      </c>
      <c r="B408" s="1622"/>
      <c r="C408" s="1382" t="s">
        <v>160</v>
      </c>
      <c r="D408" s="1588">
        <v>59300</v>
      </c>
      <c r="E408" s="1569">
        <v>197.70344483275088</v>
      </c>
      <c r="F408" s="1569">
        <v>128.80678981527709</v>
      </c>
      <c r="G408" s="1569">
        <v>0</v>
      </c>
      <c r="H408" s="1569">
        <v>326.51023464802796</v>
      </c>
      <c r="I408" s="1569">
        <v>165.50174737893158</v>
      </c>
      <c r="J408" s="1569">
        <v>21.407888167748379</v>
      </c>
      <c r="K408" s="1569">
        <v>513.41987019470798</v>
      </c>
      <c r="L408" s="1096">
        <f t="shared" si="73"/>
        <v>513.41987019470798</v>
      </c>
    </row>
    <row r="409" spans="1:12" ht="15.75" hidden="1" x14ac:dyDescent="0.25">
      <c r="A409" s="1456"/>
      <c r="B409" s="1622"/>
      <c r="C409" s="1382" t="s">
        <v>603</v>
      </c>
      <c r="D409" s="1589"/>
      <c r="E409" s="1569">
        <v>107.83824263604592</v>
      </c>
      <c r="F409" s="1569">
        <v>119.82026959560659</v>
      </c>
      <c r="G409" s="1569">
        <v>0</v>
      </c>
      <c r="H409" s="1569">
        <v>227.65851223165251</v>
      </c>
      <c r="I409" s="1569">
        <v>291.18322516225658</v>
      </c>
      <c r="J409" s="1569">
        <v>28.986520219670492</v>
      </c>
      <c r="K409" s="1569">
        <v>547.82825761357958</v>
      </c>
      <c r="L409" s="1096">
        <f t="shared" si="73"/>
        <v>547.82825761357958</v>
      </c>
    </row>
    <row r="410" spans="1:12" ht="15.75" hidden="1" x14ac:dyDescent="0.25">
      <c r="A410" s="1456"/>
      <c r="B410" s="1622"/>
      <c r="C410" s="1382" t="s">
        <v>162</v>
      </c>
      <c r="D410" s="1589"/>
      <c r="E410" s="1569">
        <v>135.79630554168747</v>
      </c>
      <c r="F410" s="1569">
        <v>191.71243135297053</v>
      </c>
      <c r="G410" s="1569">
        <v>0</v>
      </c>
      <c r="H410" s="1569">
        <v>327.508736894658</v>
      </c>
      <c r="I410" s="1569">
        <v>119.82026959560659</v>
      </c>
      <c r="J410" s="1569">
        <v>17.773339990014978</v>
      </c>
      <c r="K410" s="1569">
        <v>465.10234648027955</v>
      </c>
      <c r="L410" s="1096">
        <f t="shared" si="73"/>
        <v>465.10234648027955</v>
      </c>
    </row>
    <row r="411" spans="1:12" ht="15.75" hidden="1" x14ac:dyDescent="0.25">
      <c r="A411" s="1456"/>
      <c r="B411" s="1622"/>
      <c r="C411" s="1382" t="s">
        <v>161</v>
      </c>
      <c r="D411" s="1589"/>
      <c r="E411" s="1569">
        <v>69.895157264103844</v>
      </c>
      <c r="F411" s="1569">
        <v>145.78132800798801</v>
      </c>
      <c r="G411" s="1569">
        <v>0</v>
      </c>
      <c r="H411" s="1569">
        <v>215.67648527209184</v>
      </c>
      <c r="I411" s="1569">
        <v>239.64053919121318</v>
      </c>
      <c r="J411" s="1569">
        <v>24.563155267099351</v>
      </c>
      <c r="K411" s="1569">
        <v>479.88017973040439</v>
      </c>
      <c r="L411" s="1096">
        <f t="shared" si="73"/>
        <v>479.88017973040439</v>
      </c>
    </row>
    <row r="412" spans="1:12" ht="16.5" hidden="1" thickBot="1" x14ac:dyDescent="0.3">
      <c r="A412" s="1457"/>
      <c r="B412" s="1622"/>
      <c r="C412" s="1383" t="s">
        <v>163</v>
      </c>
      <c r="D412" s="1590"/>
      <c r="E412" s="1569">
        <v>4.8227658512231653</v>
      </c>
      <c r="F412" s="1569">
        <v>259.61058412381425</v>
      </c>
      <c r="G412" s="1569">
        <v>0</v>
      </c>
      <c r="H412" s="1569">
        <v>264.4333499750374</v>
      </c>
      <c r="I412" s="1569">
        <v>377.76335496754865</v>
      </c>
      <c r="J412" s="1569">
        <v>36.834747878182725</v>
      </c>
      <c r="K412" s="1569">
        <v>679.03145282076878</v>
      </c>
      <c r="L412" s="1096">
        <f t="shared" si="73"/>
        <v>679.03145282076878</v>
      </c>
    </row>
    <row r="413" spans="1:12" ht="16.5" hidden="1" thickBot="1" x14ac:dyDescent="0.3">
      <c r="A413" s="1420" t="s">
        <v>737</v>
      </c>
      <c r="B413" s="1622"/>
      <c r="C413" s="1383" t="s">
        <v>738</v>
      </c>
      <c r="D413" s="1597">
        <v>16100</v>
      </c>
      <c r="E413" s="1569"/>
      <c r="F413" s="1569"/>
      <c r="G413" s="1569"/>
      <c r="H413" s="1569">
        <v>28.826008854986998</v>
      </c>
      <c r="I413" s="1569">
        <v>9.2887187155787689</v>
      </c>
      <c r="J413" s="1569"/>
      <c r="K413" s="1569">
        <v>38.114727570565769</v>
      </c>
      <c r="L413" s="1096">
        <f t="shared" si="73"/>
        <v>9.2887187155787689</v>
      </c>
    </row>
    <row r="414" spans="1:12" ht="15.75" hidden="1" x14ac:dyDescent="0.25">
      <c r="A414" s="1422" t="s">
        <v>505</v>
      </c>
      <c r="B414" s="1424"/>
      <c r="C414" s="1591" t="s">
        <v>746</v>
      </c>
      <c r="D414" s="1586">
        <v>2100</v>
      </c>
      <c r="E414" s="1569">
        <v>3.1053734620375546</v>
      </c>
      <c r="F414" s="1569">
        <v>67.209007221129553</v>
      </c>
      <c r="G414" s="1569">
        <v>0</v>
      </c>
      <c r="H414" s="1569">
        <v>70.314380683167101</v>
      </c>
      <c r="I414" s="1569">
        <v>14.707528501260512</v>
      </c>
      <c r="J414" s="1569">
        <v>0</v>
      </c>
      <c r="K414" s="1569">
        <v>85.021909184427614</v>
      </c>
      <c r="L414" s="1096">
        <f t="shared" si="73"/>
        <v>85.021909184427614</v>
      </c>
    </row>
    <row r="415" spans="1:12" ht="15.75" hidden="1" x14ac:dyDescent="0.25">
      <c r="A415" s="1469"/>
      <c r="B415" s="1424"/>
      <c r="C415" s="1380" t="s">
        <v>747</v>
      </c>
      <c r="D415" s="1369"/>
      <c r="E415" s="1569">
        <v>2.8490177241887666</v>
      </c>
      <c r="F415" s="1569">
        <v>69.340699256842356</v>
      </c>
      <c r="G415" s="1569">
        <v>0</v>
      </c>
      <c r="H415" s="1569">
        <v>72.189716981031125</v>
      </c>
      <c r="I415" s="1569">
        <v>24.318810769024761</v>
      </c>
      <c r="J415" s="1569">
        <v>0</v>
      </c>
      <c r="K415" s="1569">
        <v>96.50852775005589</v>
      </c>
      <c r="L415" s="1096">
        <f t="shared" si="73"/>
        <v>96.50852775005589</v>
      </c>
    </row>
    <row r="416" spans="1:12" ht="15.75" hidden="1" x14ac:dyDescent="0.25">
      <c r="A416" s="1469"/>
      <c r="B416" s="1424"/>
      <c r="C416" s="1380" t="s">
        <v>748</v>
      </c>
      <c r="D416" s="1369"/>
      <c r="E416" s="1569">
        <v>3.4002413577512409</v>
      </c>
      <c r="F416" s="1569">
        <v>68.494019755690388</v>
      </c>
      <c r="G416" s="1569">
        <v>0</v>
      </c>
      <c r="H416" s="1569">
        <v>71.89426111344163</v>
      </c>
      <c r="I416" s="1569">
        <v>8.5802735835489994</v>
      </c>
      <c r="J416" s="1569">
        <v>0</v>
      </c>
      <c r="K416" s="1569">
        <v>80.474534696990631</v>
      </c>
      <c r="L416" s="1096">
        <f t="shared" si="73"/>
        <v>80.474534696990631</v>
      </c>
    </row>
    <row r="417" spans="1:12" ht="16.5" hidden="1" thickBot="1" x14ac:dyDescent="0.3">
      <c r="A417" s="1470"/>
      <c r="B417" s="1424"/>
      <c r="C417" s="1381" t="s">
        <v>749</v>
      </c>
      <c r="D417" s="1356"/>
      <c r="E417" s="1569">
        <v>3.0433424291406577</v>
      </c>
      <c r="F417" s="1569">
        <v>70.573088308519104</v>
      </c>
      <c r="G417" s="1569">
        <v>0</v>
      </c>
      <c r="H417" s="1569">
        <v>73.616430737659755</v>
      </c>
      <c r="I417" s="1569">
        <v>9.9170276431802353</v>
      </c>
      <c r="J417" s="1569">
        <v>0</v>
      </c>
      <c r="K417" s="1569">
        <v>83.533458380839988</v>
      </c>
      <c r="L417" s="1096">
        <f t="shared" si="73"/>
        <v>83.533458380839988</v>
      </c>
    </row>
    <row r="418" spans="1:12" ht="15.75" hidden="1" x14ac:dyDescent="0.25">
      <c r="A418" s="1357" t="s">
        <v>456</v>
      </c>
      <c r="B418" s="1622"/>
      <c r="C418" s="1587" t="s">
        <v>165</v>
      </c>
      <c r="D418" s="1588">
        <v>41200</v>
      </c>
      <c r="E418" s="1569">
        <v>43.504531722054381</v>
      </c>
      <c r="F418" s="1569">
        <v>218.68690590229164</v>
      </c>
      <c r="G418" s="1569">
        <v>0</v>
      </c>
      <c r="H418" s="1569">
        <v>262.19143762434601</v>
      </c>
      <c r="I418" s="1569">
        <v>247.33623167047384</v>
      </c>
      <c r="J418" s="1569">
        <v>0</v>
      </c>
      <c r="K418" s="1569">
        <v>509.52766929481982</v>
      </c>
      <c r="L418" s="1096">
        <f t="shared" si="73"/>
        <v>509.52766929481982</v>
      </c>
    </row>
    <row r="419" spans="1:12" ht="15.75" hidden="1" x14ac:dyDescent="0.25">
      <c r="A419" s="1456"/>
      <c r="B419" s="1622"/>
      <c r="C419" s="1382" t="s">
        <v>166</v>
      </c>
      <c r="D419" s="1589"/>
      <c r="E419" s="1569">
        <v>50.696337779087763</v>
      </c>
      <c r="F419" s="1569">
        <v>192.74924471299093</v>
      </c>
      <c r="G419" s="1569">
        <v>0</v>
      </c>
      <c r="H419" s="1569">
        <v>243.4455824920787</v>
      </c>
      <c r="I419" s="1569">
        <v>364.79257239702309</v>
      </c>
      <c r="J419" s="1569">
        <v>0</v>
      </c>
      <c r="K419" s="1569">
        <v>608.23815488910179</v>
      </c>
      <c r="L419" s="1096">
        <f t="shared" si="73"/>
        <v>608.23815488910179</v>
      </c>
    </row>
    <row r="420" spans="1:12" ht="15.75" hidden="1" x14ac:dyDescent="0.25">
      <c r="A420" s="1456"/>
      <c r="B420" s="1622"/>
      <c r="C420" s="1382" t="s">
        <v>167</v>
      </c>
      <c r="D420" s="1589"/>
      <c r="E420" s="1569">
        <v>31.31677842458183</v>
      </c>
      <c r="F420" s="1569">
        <v>186.11745634072656</v>
      </c>
      <c r="G420" s="1569">
        <v>0</v>
      </c>
      <c r="H420" s="1569">
        <v>217.43423476530839</v>
      </c>
      <c r="I420" s="1569">
        <v>217.49318399528408</v>
      </c>
      <c r="J420" s="1569">
        <v>0</v>
      </c>
      <c r="K420" s="1569">
        <v>434.92741876059245</v>
      </c>
      <c r="L420" s="1096">
        <f t="shared" si="73"/>
        <v>434.92741876059245</v>
      </c>
    </row>
    <row r="421" spans="1:12" ht="15.75" hidden="1" x14ac:dyDescent="0.25">
      <c r="A421" s="1456"/>
      <c r="B421" s="1622"/>
      <c r="C421" s="1382" t="s">
        <v>168</v>
      </c>
      <c r="D421" s="1589"/>
      <c r="E421" s="1569">
        <v>51.271092771350673</v>
      </c>
      <c r="F421" s="1569">
        <v>257.90288114361505</v>
      </c>
      <c r="G421" s="1569">
        <v>0</v>
      </c>
      <c r="H421" s="1569">
        <v>309.1739739149657</v>
      </c>
      <c r="I421" s="1569">
        <v>318.9742833984231</v>
      </c>
      <c r="J421" s="1569">
        <v>0</v>
      </c>
      <c r="K421" s="1569">
        <v>628.14825731338874</v>
      </c>
      <c r="L421" s="1096">
        <f t="shared" si="73"/>
        <v>628.14825731338874</v>
      </c>
    </row>
    <row r="422" spans="1:12" ht="16.5" hidden="1" thickBot="1" x14ac:dyDescent="0.3">
      <c r="A422" s="1457"/>
      <c r="B422" s="1622"/>
      <c r="C422" s="1382" t="s">
        <v>169</v>
      </c>
      <c r="D422" s="1590"/>
      <c r="E422" s="1569">
        <v>32.996831478888808</v>
      </c>
      <c r="F422" s="1569">
        <v>186.57431287303808</v>
      </c>
      <c r="G422" s="1569">
        <v>0</v>
      </c>
      <c r="H422" s="1569">
        <v>219.57114435192688</v>
      </c>
      <c r="I422" s="1569">
        <v>298.94628251418465</v>
      </c>
      <c r="J422" s="1569">
        <v>0</v>
      </c>
      <c r="K422" s="1569">
        <v>518.51742686611146</v>
      </c>
      <c r="L422" s="1096">
        <f t="shared" si="73"/>
        <v>518.51742686611146</v>
      </c>
    </row>
    <row r="423" spans="1:12" ht="15.75" hidden="1" x14ac:dyDescent="0.25">
      <c r="A423" s="1423" t="s">
        <v>31</v>
      </c>
      <c r="B423" s="1424"/>
      <c r="C423" s="1591" t="s">
        <v>170</v>
      </c>
      <c r="D423" s="1588">
        <v>56300</v>
      </c>
      <c r="E423" s="1569">
        <v>178.85</v>
      </c>
      <c r="F423" s="1569">
        <v>134.55000000000001</v>
      </c>
      <c r="G423" s="1569">
        <v>0</v>
      </c>
      <c r="H423" s="1569">
        <v>313.39999999999998</v>
      </c>
      <c r="I423" s="1569">
        <v>213.93</v>
      </c>
      <c r="J423" s="1569">
        <v>0</v>
      </c>
      <c r="K423" s="1569">
        <v>527.32999999999993</v>
      </c>
      <c r="L423" s="1096">
        <f t="shared" si="73"/>
        <v>527.32999999999993</v>
      </c>
    </row>
    <row r="424" spans="1:12" ht="15.75" hidden="1" x14ac:dyDescent="0.25">
      <c r="A424" s="1424"/>
      <c r="B424" s="1424"/>
      <c r="C424" s="1380" t="s">
        <v>171</v>
      </c>
      <c r="D424" s="1589"/>
      <c r="E424" s="1569">
        <v>46.32</v>
      </c>
      <c r="F424" s="1569">
        <v>108.79</v>
      </c>
      <c r="G424" s="1569">
        <v>75.599999999999994</v>
      </c>
      <c r="H424" s="1569">
        <v>230.71</v>
      </c>
      <c r="I424" s="1569">
        <v>435.74</v>
      </c>
      <c r="J424" s="1569">
        <v>0</v>
      </c>
      <c r="K424" s="1569">
        <v>666.45</v>
      </c>
      <c r="L424" s="1096">
        <f t="shared" si="73"/>
        <v>666.45</v>
      </c>
    </row>
    <row r="425" spans="1:12" ht="15.75" hidden="1" x14ac:dyDescent="0.25">
      <c r="A425" s="1424"/>
      <c r="B425" s="1424"/>
      <c r="C425" s="1380" t="s">
        <v>172</v>
      </c>
      <c r="D425" s="1589"/>
      <c r="E425" s="1569">
        <v>0</v>
      </c>
      <c r="F425" s="1569">
        <v>164.38</v>
      </c>
      <c r="G425" s="1569">
        <v>0</v>
      </c>
      <c r="H425" s="1569">
        <v>164.38</v>
      </c>
      <c r="I425" s="1569">
        <v>149.4</v>
      </c>
      <c r="J425" s="1569">
        <v>0</v>
      </c>
      <c r="K425" s="1569">
        <v>313.77999999999997</v>
      </c>
      <c r="L425" s="1096">
        <f t="shared" si="73"/>
        <v>313.77999999999997</v>
      </c>
    </row>
    <row r="426" spans="1:12" ht="15.75" hidden="1" x14ac:dyDescent="0.25">
      <c r="A426" s="1424"/>
      <c r="B426" s="1424"/>
      <c r="C426" s="1380" t="s">
        <v>173</v>
      </c>
      <c r="D426" s="1589"/>
      <c r="E426" s="1569">
        <v>0</v>
      </c>
      <c r="F426" s="1569">
        <v>100.65</v>
      </c>
      <c r="G426" s="1569">
        <v>0</v>
      </c>
      <c r="H426" s="1569">
        <v>100.65</v>
      </c>
      <c r="I426" s="1569">
        <v>100.65</v>
      </c>
      <c r="J426" s="1569">
        <v>0</v>
      </c>
      <c r="K426" s="1569">
        <v>201.3</v>
      </c>
      <c r="L426" s="1096">
        <f t="shared" si="73"/>
        <v>201.3</v>
      </c>
    </row>
    <row r="427" spans="1:12" ht="15.75" hidden="1" x14ac:dyDescent="0.25">
      <c r="A427" s="1424"/>
      <c r="B427" s="1424"/>
      <c r="C427" s="1380" t="s">
        <v>174</v>
      </c>
      <c r="D427" s="1589"/>
      <c r="E427" s="1569">
        <v>105.48</v>
      </c>
      <c r="F427" s="1569">
        <v>68.680000000000007</v>
      </c>
      <c r="G427" s="1569">
        <v>0</v>
      </c>
      <c r="H427" s="1569">
        <v>174.16000000000003</v>
      </c>
      <c r="I427" s="1569">
        <v>223.82</v>
      </c>
      <c r="J427" s="1569">
        <v>0</v>
      </c>
      <c r="K427" s="1569">
        <v>397.98</v>
      </c>
      <c r="L427" s="1096">
        <f t="shared" si="73"/>
        <v>397.98</v>
      </c>
    </row>
    <row r="428" spans="1:12" ht="15.75" hidden="1" x14ac:dyDescent="0.25">
      <c r="A428" s="1424"/>
      <c r="B428" s="1424"/>
      <c r="C428" s="1380" t="s">
        <v>175</v>
      </c>
      <c r="D428" s="1589"/>
      <c r="E428" s="1569">
        <v>38.4</v>
      </c>
      <c r="F428" s="1569">
        <v>13.07</v>
      </c>
      <c r="G428" s="1569">
        <v>0</v>
      </c>
      <c r="H428" s="1569">
        <v>51.47</v>
      </c>
      <c r="I428" s="1569">
        <v>87.74</v>
      </c>
      <c r="J428" s="1569">
        <v>0</v>
      </c>
      <c r="K428" s="1569">
        <v>139.20999999999998</v>
      </c>
      <c r="L428" s="1096">
        <f t="shared" si="73"/>
        <v>139.20999999999998</v>
      </c>
    </row>
    <row r="429" spans="1:12" ht="16.5" hidden="1" thickBot="1" x14ac:dyDescent="0.3">
      <c r="A429" s="1425"/>
      <c r="B429" s="1424"/>
      <c r="C429" s="1426" t="s">
        <v>212</v>
      </c>
      <c r="D429" s="1590"/>
      <c r="E429" s="1569">
        <v>42</v>
      </c>
      <c r="F429" s="1569">
        <v>121.85</v>
      </c>
      <c r="G429" s="1569">
        <v>0</v>
      </c>
      <c r="H429" s="1569">
        <v>163.85</v>
      </c>
      <c r="I429" s="1569">
        <v>171.33</v>
      </c>
      <c r="J429" s="1569">
        <v>12.7</v>
      </c>
      <c r="K429" s="1569">
        <v>347.88</v>
      </c>
      <c r="L429" s="1096">
        <f t="shared" si="73"/>
        <v>347.88</v>
      </c>
    </row>
    <row r="430" spans="1:12" ht="15.75" hidden="1" x14ac:dyDescent="0.25">
      <c r="A430" s="1357" t="s">
        <v>718</v>
      </c>
      <c r="B430" s="1622"/>
      <c r="C430" s="1382" t="s">
        <v>761</v>
      </c>
      <c r="D430" s="1586">
        <v>4300</v>
      </c>
      <c r="E430" s="1569">
        <v>0.72329264510832658</v>
      </c>
      <c r="F430" s="1569">
        <v>35.531751190946544</v>
      </c>
      <c r="G430" s="1569">
        <v>0</v>
      </c>
      <c r="H430" s="1569">
        <v>36.255043836054867</v>
      </c>
      <c r="I430" s="1569">
        <v>11.465996656579748</v>
      </c>
      <c r="J430" s="1569">
        <v>0</v>
      </c>
      <c r="K430" s="1569">
        <v>47.721040492634614</v>
      </c>
      <c r="L430" s="1096">
        <f t="shared" si="73"/>
        <v>47.721040492634614</v>
      </c>
    </row>
    <row r="431" spans="1:12" ht="15.75" hidden="1" x14ac:dyDescent="0.25">
      <c r="A431" s="1456"/>
      <c r="B431" s="1622"/>
      <c r="C431" s="1382" t="s">
        <v>746</v>
      </c>
      <c r="D431" s="1369"/>
      <c r="E431" s="1569">
        <v>0.45205790319270417</v>
      </c>
      <c r="F431" s="1569">
        <v>35.669176793517124</v>
      </c>
      <c r="G431" s="1569">
        <v>0</v>
      </c>
      <c r="H431" s="1569">
        <v>36.121234696709827</v>
      </c>
      <c r="I431" s="1569">
        <v>8.20485094294758</v>
      </c>
      <c r="J431" s="1569">
        <v>0</v>
      </c>
      <c r="K431" s="1569">
        <v>44.326085639657407</v>
      </c>
      <c r="L431" s="1096">
        <f t="shared" si="73"/>
        <v>44.326085639657407</v>
      </c>
    </row>
    <row r="432" spans="1:12" ht="15.75" hidden="1" x14ac:dyDescent="0.25">
      <c r="A432" s="1456"/>
      <c r="B432" s="1622"/>
      <c r="C432" s="1382" t="s">
        <v>762</v>
      </c>
      <c r="D432" s="1369"/>
      <c r="E432" s="1569">
        <v>0.45205790319270417</v>
      </c>
      <c r="F432" s="1569">
        <v>29.282502737210603</v>
      </c>
      <c r="G432" s="1569">
        <v>0</v>
      </c>
      <c r="H432" s="1569">
        <v>29.734560640403306</v>
      </c>
      <c r="I432" s="1569">
        <v>9.5167229780128064</v>
      </c>
      <c r="J432" s="1569">
        <v>0</v>
      </c>
      <c r="K432" s="1569">
        <v>39.25128361841611</v>
      </c>
      <c r="L432" s="1096">
        <f t="shared" si="73"/>
        <v>39.25128361841611</v>
      </c>
    </row>
    <row r="433" spans="1:12" ht="15.75" hidden="1" x14ac:dyDescent="0.25">
      <c r="A433" s="1456"/>
      <c r="B433" s="1622"/>
      <c r="C433" s="1382" t="s">
        <v>763</v>
      </c>
      <c r="D433" s="1369"/>
      <c r="E433" s="1569">
        <v>0.45205790319270417</v>
      </c>
      <c r="F433" s="1569">
        <v>31.316763301577772</v>
      </c>
      <c r="G433" s="1569">
        <v>0</v>
      </c>
      <c r="H433" s="1569">
        <v>31.768821204770475</v>
      </c>
      <c r="I433" s="1569">
        <v>7.0448703633551011</v>
      </c>
      <c r="J433" s="1569">
        <v>0</v>
      </c>
      <c r="K433" s="1569">
        <v>38.813691568125577</v>
      </c>
      <c r="L433" s="1096">
        <f t="shared" si="73"/>
        <v>38.813691568125577</v>
      </c>
    </row>
    <row r="434" spans="1:12" ht="16.5" hidden="1" thickBot="1" x14ac:dyDescent="0.3">
      <c r="A434" s="1457"/>
      <c r="B434" s="1622"/>
      <c r="C434" s="1383" t="s">
        <v>764</v>
      </c>
      <c r="D434" s="1356"/>
      <c r="E434" s="1569">
        <v>0.58767527415051535</v>
      </c>
      <c r="F434" s="1569">
        <v>56.722417461007744</v>
      </c>
      <c r="G434" s="1569">
        <v>0</v>
      </c>
      <c r="H434" s="1569">
        <v>57.310092735158257</v>
      </c>
      <c r="I434" s="1569">
        <v>22.693306740273748</v>
      </c>
      <c r="J434" s="1569">
        <v>0</v>
      </c>
      <c r="K434" s="1569">
        <v>80.003399475432005</v>
      </c>
      <c r="L434" s="1096">
        <f t="shared" si="73"/>
        <v>80.003399475432005</v>
      </c>
    </row>
    <row r="438" spans="1:12" ht="63.75" thickBot="1" x14ac:dyDescent="0.3">
      <c r="A438" s="1567"/>
      <c r="B438" s="1341" t="s">
        <v>1022</v>
      </c>
      <c r="C438" s="1341" t="s">
        <v>1358</v>
      </c>
      <c r="D438" s="1341" t="s">
        <v>1359</v>
      </c>
      <c r="E438" s="1341" t="s">
        <v>1360</v>
      </c>
      <c r="F438" s="1341" t="s">
        <v>1361</v>
      </c>
      <c r="G438" s="1341" t="s">
        <v>1362</v>
      </c>
      <c r="H438" s="1341" t="s">
        <v>1363</v>
      </c>
      <c r="I438" s="1341" t="s">
        <v>1364</v>
      </c>
      <c r="J438" s="1427" t="s">
        <v>1203</v>
      </c>
    </row>
    <row r="439" spans="1:12" ht="15.75" x14ac:dyDescent="0.25">
      <c r="A439" s="1613" t="s">
        <v>761</v>
      </c>
      <c r="B439" s="1684" t="s">
        <v>1153</v>
      </c>
      <c r="C439" s="1603">
        <v>0.72329264510832658</v>
      </c>
      <c r="D439" s="1569">
        <v>35.531751190946544</v>
      </c>
      <c r="E439" s="1569">
        <v>0</v>
      </c>
      <c r="F439" s="1569"/>
      <c r="G439" s="1569">
        <v>11.465996656579748</v>
      </c>
      <c r="H439" s="1569">
        <v>0</v>
      </c>
      <c r="I439" s="1569"/>
      <c r="J439" s="1075">
        <f t="shared" ref="J439:J460" si="74">C439+D439+E439+G439+H439</f>
        <v>47.721040492634614</v>
      </c>
    </row>
    <row r="440" spans="1:12" ht="15.75" x14ac:dyDescent="0.25">
      <c r="A440" s="1478" t="s">
        <v>82</v>
      </c>
      <c r="B440" s="1647" t="s">
        <v>1048</v>
      </c>
      <c r="C440" s="1603">
        <v>23.588728700587662</v>
      </c>
      <c r="D440" s="1569">
        <v>14.455656819078079</v>
      </c>
      <c r="E440" s="1569">
        <v>0</v>
      </c>
      <c r="F440" s="1569"/>
      <c r="G440" s="1569">
        <v>15.725819133725109</v>
      </c>
      <c r="H440" s="1569">
        <v>1.905243471970542</v>
      </c>
      <c r="I440" s="1569"/>
      <c r="J440" s="1075">
        <f t="shared" si="74"/>
        <v>55.675448125361392</v>
      </c>
    </row>
    <row r="441" spans="1:12" ht="15.75" x14ac:dyDescent="0.25">
      <c r="A441" s="1478" t="s">
        <v>84</v>
      </c>
      <c r="B441" s="1647" t="s">
        <v>1046</v>
      </c>
      <c r="C441" s="1603">
        <v>0</v>
      </c>
      <c r="D441" s="1569">
        <v>33.705350827329525</v>
      </c>
      <c r="E441" s="1569">
        <v>0</v>
      </c>
      <c r="F441" s="1569"/>
      <c r="G441" s="1569">
        <v>27.907742405107246</v>
      </c>
      <c r="H441" s="1569">
        <v>0</v>
      </c>
      <c r="I441" s="1569"/>
      <c r="J441" s="1075">
        <f t="shared" si="74"/>
        <v>61.613093232436768</v>
      </c>
    </row>
    <row r="442" spans="1:12" ht="15.75" x14ac:dyDescent="0.25">
      <c r="A442" s="1479" t="s">
        <v>78</v>
      </c>
      <c r="B442" s="1649" t="s">
        <v>1044</v>
      </c>
      <c r="C442" s="1603">
        <v>31.77863646621562</v>
      </c>
      <c r="D442" s="1569">
        <v>0</v>
      </c>
      <c r="E442" s="1569">
        <v>24.10263731978673</v>
      </c>
      <c r="F442" s="1569"/>
      <c r="G442" s="1569">
        <v>20.878717678286595</v>
      </c>
      <c r="H442" s="1569">
        <v>0</v>
      </c>
      <c r="I442" s="1569"/>
      <c r="J442" s="1075">
        <f t="shared" si="74"/>
        <v>76.759991464288944</v>
      </c>
    </row>
    <row r="443" spans="1:12" ht="15.75" x14ac:dyDescent="0.25">
      <c r="A443" s="1477" t="s">
        <v>746</v>
      </c>
      <c r="B443" s="1648" t="s">
        <v>1147</v>
      </c>
      <c r="C443" s="1603">
        <v>3.1053734620375546</v>
      </c>
      <c r="D443" s="1569">
        <v>67.209007221129553</v>
      </c>
      <c r="E443" s="1569">
        <v>0</v>
      </c>
      <c r="F443" s="1569"/>
      <c r="G443" s="1569">
        <v>14.707528501260512</v>
      </c>
      <c r="H443" s="1569">
        <v>0</v>
      </c>
      <c r="I443" s="1569"/>
      <c r="J443" s="1075">
        <f t="shared" si="74"/>
        <v>85.021909184427614</v>
      </c>
    </row>
    <row r="444" spans="1:12" ht="15.75" x14ac:dyDescent="0.25">
      <c r="A444" s="1477" t="s">
        <v>143</v>
      </c>
      <c r="B444" s="1648" t="s">
        <v>1131</v>
      </c>
      <c r="C444" s="1603">
        <v>0</v>
      </c>
      <c r="D444" s="1569">
        <v>48.656789605279521</v>
      </c>
      <c r="E444" s="1569">
        <v>0</v>
      </c>
      <c r="F444" s="1569"/>
      <c r="G444" s="1569">
        <v>37.772242469547336</v>
      </c>
      <c r="H444" s="1569">
        <v>0</v>
      </c>
      <c r="I444" s="1569"/>
      <c r="J444" s="1075">
        <f t="shared" si="74"/>
        <v>86.429032074826864</v>
      </c>
    </row>
    <row r="445" spans="1:12" ht="15.75" x14ac:dyDescent="0.25">
      <c r="A445" s="1477" t="s">
        <v>133</v>
      </c>
      <c r="B445" s="1648" t="s">
        <v>1116</v>
      </c>
      <c r="C445" s="1603">
        <v>55.899407127500162</v>
      </c>
      <c r="D445" s="1569">
        <v>44.389428192933309</v>
      </c>
      <c r="E445" s="1569">
        <v>12.07461941060221</v>
      </c>
      <c r="F445" s="1569"/>
      <c r="G445" s="1569">
        <v>43.911655482441851</v>
      </c>
      <c r="H445" s="1569">
        <v>6.211045236388907</v>
      </c>
      <c r="I445" s="1569"/>
      <c r="J445" s="1075">
        <f t="shared" si="74"/>
        <v>162.48615544986643</v>
      </c>
    </row>
    <row r="446" spans="1:12" ht="15.75" x14ac:dyDescent="0.25">
      <c r="A446" s="1479" t="s">
        <v>860</v>
      </c>
      <c r="B446" s="1649" t="s">
        <v>1118</v>
      </c>
      <c r="C446" s="1603">
        <v>0</v>
      </c>
      <c r="D446" s="1569">
        <v>109.94143642438831</v>
      </c>
      <c r="E446" s="1569">
        <v>0</v>
      </c>
      <c r="F446" s="1569"/>
      <c r="G446" s="1569">
        <v>24.431430316530736</v>
      </c>
      <c r="H446" s="1569">
        <v>32.249488017820568</v>
      </c>
      <c r="I446" s="1569"/>
      <c r="J446" s="1075">
        <f t="shared" si="74"/>
        <v>166.62235475873962</v>
      </c>
    </row>
    <row r="447" spans="1:12" ht="15.75" x14ac:dyDescent="0.25">
      <c r="A447" s="1477" t="s">
        <v>118</v>
      </c>
      <c r="B447" s="1648" t="s">
        <v>1076</v>
      </c>
      <c r="C447" s="1603">
        <v>116.70246706022994</v>
      </c>
      <c r="D447" s="1569">
        <v>7.3146845450856368</v>
      </c>
      <c r="E447" s="1569">
        <v>0</v>
      </c>
      <c r="F447" s="1569"/>
      <c r="G447" s="1569">
        <v>59.514933344105863</v>
      </c>
      <c r="H447" s="1569">
        <v>14.529623391829197</v>
      </c>
      <c r="I447" s="1569"/>
      <c r="J447" s="1075">
        <f t="shared" si="74"/>
        <v>198.06170834125064</v>
      </c>
    </row>
    <row r="448" spans="1:12" ht="15.75" x14ac:dyDescent="0.25">
      <c r="A448" s="1477" t="s">
        <v>153</v>
      </c>
      <c r="B448" s="1648" t="s">
        <v>1133</v>
      </c>
      <c r="C448" s="1603">
        <v>66.486416053163069</v>
      </c>
      <c r="D448" s="1569">
        <v>46.691423979846682</v>
      </c>
      <c r="E448" s="1569">
        <v>0</v>
      </c>
      <c r="F448" s="1569"/>
      <c r="G448" s="1569">
        <v>73.186092470736412</v>
      </c>
      <c r="H448" s="1569">
        <v>18.633135709166723</v>
      </c>
      <c r="I448" s="1569"/>
      <c r="J448" s="1075">
        <f t="shared" si="74"/>
        <v>204.99706821291289</v>
      </c>
    </row>
    <row r="449" spans="1:10" ht="15.75" x14ac:dyDescent="0.25">
      <c r="A449" s="1477" t="s">
        <v>102</v>
      </c>
      <c r="B449" s="1648" t="s">
        <v>1066</v>
      </c>
      <c r="C449" s="1603">
        <v>5.8529268955314864</v>
      </c>
      <c r="D449" s="1569">
        <v>59.35556451703696</v>
      </c>
      <c r="E449" s="1569">
        <v>0</v>
      </c>
      <c r="F449" s="1569"/>
      <c r="G449" s="1569">
        <v>103.3661318732599</v>
      </c>
      <c r="H449" s="1569">
        <v>45.515113858191917</v>
      </c>
      <c r="I449" s="1569"/>
      <c r="J449" s="1075">
        <f t="shared" si="74"/>
        <v>214.08973714402026</v>
      </c>
    </row>
    <row r="450" spans="1:10" ht="15.75" x14ac:dyDescent="0.25">
      <c r="A450" s="1479" t="s">
        <v>715</v>
      </c>
      <c r="B450" s="1649" t="s">
        <v>1064</v>
      </c>
      <c r="C450" s="1603">
        <v>13.03016483158512</v>
      </c>
      <c r="D450" s="1569">
        <v>131.51779703346583</v>
      </c>
      <c r="E450" s="1569">
        <v>0</v>
      </c>
      <c r="F450" s="1569"/>
      <c r="G450" s="1569">
        <v>98.638347775099362</v>
      </c>
      <c r="H450" s="1569">
        <v>42.782374530371143</v>
      </c>
      <c r="I450" s="1569"/>
      <c r="J450" s="1075">
        <f t="shared" si="74"/>
        <v>285.96868417052144</v>
      </c>
    </row>
    <row r="451" spans="1:10" ht="15.75" x14ac:dyDescent="0.25">
      <c r="A451" s="1477" t="s">
        <v>101</v>
      </c>
      <c r="B451" s="1648" t="s">
        <v>1058</v>
      </c>
      <c r="C451" s="1603">
        <v>22.824505396659934</v>
      </c>
      <c r="D451" s="1569">
        <v>107.49885986057724</v>
      </c>
      <c r="E451" s="1569">
        <v>53.206506395639238</v>
      </c>
      <c r="F451" s="1569"/>
      <c r="G451" s="1569">
        <v>169.39214281060657</v>
      </c>
      <c r="H451" s="1569">
        <v>26.950724259995223</v>
      </c>
      <c r="I451" s="1569"/>
      <c r="J451" s="1075">
        <f t="shared" si="74"/>
        <v>379.87273872347822</v>
      </c>
    </row>
    <row r="452" spans="1:10" ht="15.75" x14ac:dyDescent="0.25">
      <c r="A452" s="1477" t="s">
        <v>126</v>
      </c>
      <c r="B452" s="1648" t="s">
        <v>1112</v>
      </c>
      <c r="C452" s="1603">
        <v>35.438980621423653</v>
      </c>
      <c r="D452" s="1569">
        <v>112.52440662280057</v>
      </c>
      <c r="E452" s="1569">
        <v>0</v>
      </c>
      <c r="F452" s="1569"/>
      <c r="G452" s="1569">
        <v>168.84304143200569</v>
      </c>
      <c r="H452" s="1569">
        <v>79.201607169057482</v>
      </c>
      <c r="I452" s="1569"/>
      <c r="J452" s="1075">
        <f t="shared" si="74"/>
        <v>396.0080358452874</v>
      </c>
    </row>
    <row r="453" spans="1:10" ht="15.75" x14ac:dyDescent="0.25">
      <c r="A453" s="1478" t="s">
        <v>68</v>
      </c>
      <c r="B453" s="1647" t="s">
        <v>1032</v>
      </c>
      <c r="C453" s="1603">
        <v>25.84316024931049</v>
      </c>
      <c r="D453" s="1569">
        <v>203.36829760896475</v>
      </c>
      <c r="E453" s="1569">
        <v>0</v>
      </c>
      <c r="F453" s="1569"/>
      <c r="G453" s="1569">
        <v>157.58898516732904</v>
      </c>
      <c r="H453" s="1569">
        <v>23.204551870914504</v>
      </c>
      <c r="I453" s="1569"/>
      <c r="J453" s="1075">
        <f t="shared" si="74"/>
        <v>410.00499489651878</v>
      </c>
    </row>
    <row r="454" spans="1:10" ht="15.75" x14ac:dyDescent="0.25">
      <c r="A454" s="1477" t="s">
        <v>167</v>
      </c>
      <c r="B454" s="1648" t="s">
        <v>1149</v>
      </c>
      <c r="C454" s="1603">
        <v>31.31677842458183</v>
      </c>
      <c r="D454" s="1569">
        <v>186.11745634072656</v>
      </c>
      <c r="E454" s="1569">
        <v>0</v>
      </c>
      <c r="F454" s="1569"/>
      <c r="G454" s="1569">
        <v>217.49318399528408</v>
      </c>
      <c r="H454" s="1569">
        <v>0</v>
      </c>
      <c r="I454" s="1569"/>
      <c r="J454" s="1075">
        <f t="shared" si="74"/>
        <v>434.92741876059245</v>
      </c>
    </row>
    <row r="455" spans="1:10" ht="15.75" x14ac:dyDescent="0.25">
      <c r="A455" s="1477" t="s">
        <v>92</v>
      </c>
      <c r="B455" s="1648" t="s">
        <v>1056</v>
      </c>
      <c r="C455" s="1603">
        <v>41.902838404239155</v>
      </c>
      <c r="D455" s="1569">
        <v>117.27148348426608</v>
      </c>
      <c r="E455" s="1569">
        <v>0</v>
      </c>
      <c r="F455" s="1569"/>
      <c r="G455" s="1569">
        <v>208.36319412773906</v>
      </c>
      <c r="H455" s="1569">
        <v>88.214215909831253</v>
      </c>
      <c r="I455" s="1569"/>
      <c r="J455" s="1075">
        <f t="shared" si="74"/>
        <v>455.75173192607554</v>
      </c>
    </row>
    <row r="456" spans="1:10" ht="15.75" x14ac:dyDescent="0.25">
      <c r="A456" s="1479" t="s">
        <v>182</v>
      </c>
      <c r="B456" s="1649" t="s">
        <v>1106</v>
      </c>
      <c r="C456" s="1603">
        <v>45.76845397094273</v>
      </c>
      <c r="D456" s="1569">
        <v>134.64503659304623</v>
      </c>
      <c r="E456" s="1569">
        <v>0</v>
      </c>
      <c r="F456" s="1569"/>
      <c r="G456" s="1569">
        <v>377.11468716745929</v>
      </c>
      <c r="H456" s="1569">
        <v>12.997589419506157</v>
      </c>
      <c r="I456" s="1569"/>
      <c r="J456" s="1075">
        <f t="shared" si="74"/>
        <v>570.52576715095449</v>
      </c>
    </row>
    <row r="457" spans="1:10" ht="15.75" x14ac:dyDescent="0.25">
      <c r="A457" s="1477" t="s">
        <v>166</v>
      </c>
      <c r="B457" s="1648" t="s">
        <v>1149</v>
      </c>
      <c r="C457" s="1603">
        <v>50.696337779087763</v>
      </c>
      <c r="D457" s="1569">
        <v>192.74924471299093</v>
      </c>
      <c r="E457" s="1569">
        <v>0</v>
      </c>
      <c r="F457" s="1569"/>
      <c r="G457" s="1569">
        <v>364.79257239702309</v>
      </c>
      <c r="H457" s="1569">
        <v>0</v>
      </c>
      <c r="I457" s="1569"/>
      <c r="J457" s="1075">
        <f t="shared" si="74"/>
        <v>608.23815488910179</v>
      </c>
    </row>
    <row r="458" spans="1:10" ht="15.75" x14ac:dyDescent="0.25">
      <c r="A458" s="1477" t="s">
        <v>88</v>
      </c>
      <c r="B458" s="1648" t="s">
        <v>1054</v>
      </c>
      <c r="C458" s="1603">
        <v>55.872831108362739</v>
      </c>
      <c r="D458" s="1569">
        <v>126.15037648685025</v>
      </c>
      <c r="E458" s="1569">
        <v>95.012913317085591</v>
      </c>
      <c r="F458" s="1569"/>
      <c r="G458" s="1569">
        <v>215.2268014986723</v>
      </c>
      <c r="H458" s="1569">
        <v>123.0657306027427</v>
      </c>
      <c r="I458" s="1569"/>
      <c r="J458" s="1075">
        <f t="shared" si="74"/>
        <v>615.32865301371362</v>
      </c>
    </row>
    <row r="459" spans="1:10" ht="15.75" x14ac:dyDescent="0.25">
      <c r="A459" s="1477" t="s">
        <v>171</v>
      </c>
      <c r="B459" s="1648" t="s">
        <v>1150</v>
      </c>
      <c r="C459" s="1603">
        <v>46.32</v>
      </c>
      <c r="D459" s="1569">
        <v>108.79</v>
      </c>
      <c r="E459" s="1569">
        <v>75.599999999999994</v>
      </c>
      <c r="F459" s="1569"/>
      <c r="G459" s="1569">
        <v>435.74</v>
      </c>
      <c r="H459" s="1569">
        <v>0</v>
      </c>
      <c r="I459" s="1569"/>
      <c r="J459" s="1075">
        <f t="shared" si="74"/>
        <v>666.45</v>
      </c>
    </row>
    <row r="460" spans="1:10" ht="16.5" thickBot="1" x14ac:dyDescent="0.3">
      <c r="A460" s="1480" t="s">
        <v>163</v>
      </c>
      <c r="B460" s="1685" t="s">
        <v>1137</v>
      </c>
      <c r="C460" s="1603">
        <v>4.8227658512231653</v>
      </c>
      <c r="D460" s="1569">
        <v>259.61058412381425</v>
      </c>
      <c r="E460" s="1569">
        <v>0</v>
      </c>
      <c r="F460" s="1569"/>
      <c r="G460" s="1569">
        <v>377.76335496754865</v>
      </c>
      <c r="H460" s="1569">
        <v>36.834747878182725</v>
      </c>
      <c r="I460" s="1569"/>
      <c r="J460" s="1075">
        <f t="shared" si="74"/>
        <v>679.03145282076878</v>
      </c>
    </row>
  </sheetData>
  <mergeCells count="418">
    <mergeCell ref="R4:Z4"/>
    <mergeCell ref="A8:A11"/>
    <mergeCell ref="D8:D11"/>
    <mergeCell ref="R8:R11"/>
    <mergeCell ref="S8:S11"/>
    <mergeCell ref="T8:T11"/>
    <mergeCell ref="U8:U11"/>
    <mergeCell ref="V8:V11"/>
    <mergeCell ref="W8:W11"/>
    <mergeCell ref="X8:X11"/>
    <mergeCell ref="Y8:Y11"/>
    <mergeCell ref="Z8:Z11"/>
    <mergeCell ref="Y12:Y20"/>
    <mergeCell ref="Z12:Z20"/>
    <mergeCell ref="A21:A25"/>
    <mergeCell ref="D21:D25"/>
    <mergeCell ref="R21:R25"/>
    <mergeCell ref="S21:S25"/>
    <mergeCell ref="T21:T25"/>
    <mergeCell ref="U21:U25"/>
    <mergeCell ref="V21:V25"/>
    <mergeCell ref="A12:A20"/>
    <mergeCell ref="D12:D20"/>
    <mergeCell ref="R12:R20"/>
    <mergeCell ref="S12:S20"/>
    <mergeCell ref="T12:T20"/>
    <mergeCell ref="U12:U20"/>
    <mergeCell ref="V12:V20"/>
    <mergeCell ref="W12:W20"/>
    <mergeCell ref="X12:X20"/>
    <mergeCell ref="A34:A36"/>
    <mergeCell ref="D34:D36"/>
    <mergeCell ref="R34:R36"/>
    <mergeCell ref="S34:S36"/>
    <mergeCell ref="T34:T36"/>
    <mergeCell ref="W21:W25"/>
    <mergeCell ref="X21:X25"/>
    <mergeCell ref="Y21:Y25"/>
    <mergeCell ref="Z21:Z25"/>
    <mergeCell ref="A26:A33"/>
    <mergeCell ref="D26:D33"/>
    <mergeCell ref="R26:R33"/>
    <mergeCell ref="S26:S33"/>
    <mergeCell ref="T26:T33"/>
    <mergeCell ref="U26:U33"/>
    <mergeCell ref="U34:U36"/>
    <mergeCell ref="V34:V36"/>
    <mergeCell ref="W34:W36"/>
    <mergeCell ref="X34:X36"/>
    <mergeCell ref="Y34:Y36"/>
    <mergeCell ref="Z34:Z36"/>
    <mergeCell ref="V26:V33"/>
    <mergeCell ref="W26:W33"/>
    <mergeCell ref="X26:X33"/>
    <mergeCell ref="Y26:Y33"/>
    <mergeCell ref="Z26:Z33"/>
    <mergeCell ref="A42:A46"/>
    <mergeCell ref="D42:D46"/>
    <mergeCell ref="R42:R46"/>
    <mergeCell ref="S42:S46"/>
    <mergeCell ref="T42:T46"/>
    <mergeCell ref="A37:A41"/>
    <mergeCell ref="D37:D41"/>
    <mergeCell ref="R37:R41"/>
    <mergeCell ref="S37:S41"/>
    <mergeCell ref="T37:T41"/>
    <mergeCell ref="U42:U46"/>
    <mergeCell ref="V42:V46"/>
    <mergeCell ref="W42:W46"/>
    <mergeCell ref="X42:X46"/>
    <mergeCell ref="Y42:Y46"/>
    <mergeCell ref="Z42:Z46"/>
    <mergeCell ref="V37:V41"/>
    <mergeCell ref="W37:W41"/>
    <mergeCell ref="X37:X41"/>
    <mergeCell ref="Y37:Y41"/>
    <mergeCell ref="Z37:Z41"/>
    <mergeCell ref="U37:U41"/>
    <mergeCell ref="A53:A58"/>
    <mergeCell ref="D53:D58"/>
    <mergeCell ref="R53:R58"/>
    <mergeCell ref="S53:S58"/>
    <mergeCell ref="T53:T58"/>
    <mergeCell ref="A48:A52"/>
    <mergeCell ref="D48:D52"/>
    <mergeCell ref="R48:R52"/>
    <mergeCell ref="S48:S52"/>
    <mergeCell ref="T48:T52"/>
    <mergeCell ref="U53:U58"/>
    <mergeCell ref="V53:V58"/>
    <mergeCell ref="W53:W58"/>
    <mergeCell ref="X53:X58"/>
    <mergeCell ref="Y53:Y58"/>
    <mergeCell ref="Z53:Z58"/>
    <mergeCell ref="V48:V52"/>
    <mergeCell ref="W48:W52"/>
    <mergeCell ref="X48:X52"/>
    <mergeCell ref="Y48:Y52"/>
    <mergeCell ref="Z48:Z52"/>
    <mergeCell ref="U48:U52"/>
    <mergeCell ref="A65:A66"/>
    <mergeCell ref="D65:D66"/>
    <mergeCell ref="R65:R66"/>
    <mergeCell ref="S65:S66"/>
    <mergeCell ref="T65:T66"/>
    <mergeCell ref="A59:A63"/>
    <mergeCell ref="D59:D63"/>
    <mergeCell ref="R59:R63"/>
    <mergeCell ref="S59:S63"/>
    <mergeCell ref="T59:T63"/>
    <mergeCell ref="U65:U66"/>
    <mergeCell ref="V65:V66"/>
    <mergeCell ref="W65:W66"/>
    <mergeCell ref="X65:X66"/>
    <mergeCell ref="Y65:Y66"/>
    <mergeCell ref="Z65:Z66"/>
    <mergeCell ref="V59:V63"/>
    <mergeCell ref="W59:W63"/>
    <mergeCell ref="X59:X63"/>
    <mergeCell ref="Y59:Y63"/>
    <mergeCell ref="Z59:Z63"/>
    <mergeCell ref="U59:U63"/>
    <mergeCell ref="A71:A75"/>
    <mergeCell ref="D71:D75"/>
    <mergeCell ref="R71:R75"/>
    <mergeCell ref="S71:S75"/>
    <mergeCell ref="T71:T75"/>
    <mergeCell ref="A67:A70"/>
    <mergeCell ref="D67:D70"/>
    <mergeCell ref="R67:R70"/>
    <mergeCell ref="S67:S70"/>
    <mergeCell ref="T67:T70"/>
    <mergeCell ref="U71:U75"/>
    <mergeCell ref="V71:V75"/>
    <mergeCell ref="W71:W75"/>
    <mergeCell ref="X71:X75"/>
    <mergeCell ref="Y71:Y75"/>
    <mergeCell ref="Z71:Z75"/>
    <mergeCell ref="V67:V70"/>
    <mergeCell ref="W67:W70"/>
    <mergeCell ref="X67:X70"/>
    <mergeCell ref="Y67:Y70"/>
    <mergeCell ref="Z67:Z70"/>
    <mergeCell ref="U67:U70"/>
    <mergeCell ref="A82:A92"/>
    <mergeCell ref="D82:D92"/>
    <mergeCell ref="R82:R92"/>
    <mergeCell ref="S82:S92"/>
    <mergeCell ref="T82:T92"/>
    <mergeCell ref="A76:A81"/>
    <mergeCell ref="D76:D81"/>
    <mergeCell ref="R76:R81"/>
    <mergeCell ref="S76:S81"/>
    <mergeCell ref="T76:T81"/>
    <mergeCell ref="U82:U92"/>
    <mergeCell ref="V82:V92"/>
    <mergeCell ref="W82:W92"/>
    <mergeCell ref="X82:X92"/>
    <mergeCell ref="Y82:Y92"/>
    <mergeCell ref="Z82:Z92"/>
    <mergeCell ref="V76:V81"/>
    <mergeCell ref="W76:W81"/>
    <mergeCell ref="X76:X81"/>
    <mergeCell ref="Y76:Y81"/>
    <mergeCell ref="Z76:Z81"/>
    <mergeCell ref="U76:U81"/>
    <mergeCell ref="A100:A104"/>
    <mergeCell ref="D100:D104"/>
    <mergeCell ref="R100:R104"/>
    <mergeCell ref="S100:S104"/>
    <mergeCell ref="T100:T104"/>
    <mergeCell ref="A95:A99"/>
    <mergeCell ref="D95:D99"/>
    <mergeCell ref="R95:R99"/>
    <mergeCell ref="S95:S99"/>
    <mergeCell ref="T95:T99"/>
    <mergeCell ref="U100:U104"/>
    <mergeCell ref="V100:V104"/>
    <mergeCell ref="W100:W104"/>
    <mergeCell ref="X100:X104"/>
    <mergeCell ref="Y100:Y104"/>
    <mergeCell ref="Z100:Z104"/>
    <mergeCell ref="V95:V99"/>
    <mergeCell ref="W95:W99"/>
    <mergeCell ref="X95:X99"/>
    <mergeCell ref="Y95:Y99"/>
    <mergeCell ref="Z95:Z99"/>
    <mergeCell ref="U95:U99"/>
    <mergeCell ref="A112:A116"/>
    <mergeCell ref="D112:D116"/>
    <mergeCell ref="R112:R116"/>
    <mergeCell ref="S112:S116"/>
    <mergeCell ref="T112:T116"/>
    <mergeCell ref="A106:A110"/>
    <mergeCell ref="D106:D110"/>
    <mergeCell ref="R106:R110"/>
    <mergeCell ref="S106:S110"/>
    <mergeCell ref="T106:T110"/>
    <mergeCell ref="U112:U116"/>
    <mergeCell ref="V112:V116"/>
    <mergeCell ref="W112:W116"/>
    <mergeCell ref="X112:X116"/>
    <mergeCell ref="Y112:Y116"/>
    <mergeCell ref="Z112:Z116"/>
    <mergeCell ref="V106:V110"/>
    <mergeCell ref="W106:W110"/>
    <mergeCell ref="X106:X110"/>
    <mergeCell ref="Y106:Y110"/>
    <mergeCell ref="Z106:Z110"/>
    <mergeCell ref="U106:U110"/>
    <mergeCell ref="A126:A130"/>
    <mergeCell ref="D126:D130"/>
    <mergeCell ref="R126:R130"/>
    <mergeCell ref="S126:S130"/>
    <mergeCell ref="T126:T130"/>
    <mergeCell ref="A117:A124"/>
    <mergeCell ref="D117:D124"/>
    <mergeCell ref="R117:R124"/>
    <mergeCell ref="S117:S124"/>
    <mergeCell ref="T117:T124"/>
    <mergeCell ref="U126:U130"/>
    <mergeCell ref="V126:V130"/>
    <mergeCell ref="W126:W130"/>
    <mergeCell ref="X126:X130"/>
    <mergeCell ref="Y126:Y130"/>
    <mergeCell ref="Z126:Z130"/>
    <mergeCell ref="V117:V124"/>
    <mergeCell ref="W117:W124"/>
    <mergeCell ref="X117:X124"/>
    <mergeCell ref="Y117:Y124"/>
    <mergeCell ref="Z117:Z124"/>
    <mergeCell ref="U117:U124"/>
    <mergeCell ref="A141:A145"/>
    <mergeCell ref="D141:D145"/>
    <mergeCell ref="R141:R145"/>
    <mergeCell ref="S141:S145"/>
    <mergeCell ref="T141:T145"/>
    <mergeCell ref="A136:A140"/>
    <mergeCell ref="D136:D140"/>
    <mergeCell ref="R136:R140"/>
    <mergeCell ref="S136:S140"/>
    <mergeCell ref="T136:T140"/>
    <mergeCell ref="U141:U145"/>
    <mergeCell ref="V141:V145"/>
    <mergeCell ref="W141:W145"/>
    <mergeCell ref="X141:X145"/>
    <mergeCell ref="Y141:Y145"/>
    <mergeCell ref="Z141:Z145"/>
    <mergeCell ref="V136:V140"/>
    <mergeCell ref="W136:W140"/>
    <mergeCell ref="X136:X140"/>
    <mergeCell ref="Y136:Y140"/>
    <mergeCell ref="Z136:Z140"/>
    <mergeCell ref="U136:U140"/>
    <mergeCell ref="A154:A156"/>
    <mergeCell ref="D154:D156"/>
    <mergeCell ref="R154:R156"/>
    <mergeCell ref="S154:S156"/>
    <mergeCell ref="T154:T156"/>
    <mergeCell ref="A147:A152"/>
    <mergeCell ref="D147:D152"/>
    <mergeCell ref="R147:R152"/>
    <mergeCell ref="S147:S152"/>
    <mergeCell ref="T147:T152"/>
    <mergeCell ref="U154:U156"/>
    <mergeCell ref="V154:V156"/>
    <mergeCell ref="W154:W156"/>
    <mergeCell ref="X154:X156"/>
    <mergeCell ref="Y154:Y156"/>
    <mergeCell ref="Z154:Z156"/>
    <mergeCell ref="V147:V152"/>
    <mergeCell ref="W147:W152"/>
    <mergeCell ref="X147:X152"/>
    <mergeCell ref="Y147:Y152"/>
    <mergeCell ref="Z147:Z152"/>
    <mergeCell ref="U147:U152"/>
    <mergeCell ref="A162:A168"/>
    <mergeCell ref="D162:D168"/>
    <mergeCell ref="R162:R168"/>
    <mergeCell ref="S162:S168"/>
    <mergeCell ref="T162:T168"/>
    <mergeCell ref="A157:A161"/>
    <mergeCell ref="D157:D161"/>
    <mergeCell ref="R157:R161"/>
    <mergeCell ref="S157:S161"/>
    <mergeCell ref="T157:T161"/>
    <mergeCell ref="U162:U168"/>
    <mergeCell ref="V162:V168"/>
    <mergeCell ref="W162:W168"/>
    <mergeCell ref="X162:X168"/>
    <mergeCell ref="Y162:Y168"/>
    <mergeCell ref="Z162:Z168"/>
    <mergeCell ref="V157:V161"/>
    <mergeCell ref="W157:W161"/>
    <mergeCell ref="X157:X161"/>
    <mergeCell ref="Y157:Y161"/>
    <mergeCell ref="Z157:Z161"/>
    <mergeCell ref="U157:U161"/>
    <mergeCell ref="A199:A206"/>
    <mergeCell ref="D199:D206"/>
    <mergeCell ref="R199:R206"/>
    <mergeCell ref="S199:S206"/>
    <mergeCell ref="T199:T206"/>
    <mergeCell ref="A169:A197"/>
    <mergeCell ref="D169:D197"/>
    <mergeCell ref="R169:R197"/>
    <mergeCell ref="S169:S197"/>
    <mergeCell ref="T169:T197"/>
    <mergeCell ref="U199:U206"/>
    <mergeCell ref="V199:V206"/>
    <mergeCell ref="W199:W206"/>
    <mergeCell ref="X199:X206"/>
    <mergeCell ref="Y199:Y206"/>
    <mergeCell ref="Z199:Z206"/>
    <mergeCell ref="V169:V197"/>
    <mergeCell ref="W169:W197"/>
    <mergeCell ref="X169:X197"/>
    <mergeCell ref="Y169:Y197"/>
    <mergeCell ref="Z169:Z197"/>
    <mergeCell ref="U169:U197"/>
    <mergeCell ref="A216:A223"/>
    <mergeCell ref="D216:D223"/>
    <mergeCell ref="R216:R223"/>
    <mergeCell ref="S216:S223"/>
    <mergeCell ref="T216:T223"/>
    <mergeCell ref="A207:A209"/>
    <mergeCell ref="A211:A213"/>
    <mergeCell ref="R211:R213"/>
    <mergeCell ref="S211:S213"/>
    <mergeCell ref="T211:T213"/>
    <mergeCell ref="U216:U223"/>
    <mergeCell ref="V216:V223"/>
    <mergeCell ref="W216:W223"/>
    <mergeCell ref="X216:X223"/>
    <mergeCell ref="Y216:Y223"/>
    <mergeCell ref="Z216:Z223"/>
    <mergeCell ref="V211:V213"/>
    <mergeCell ref="W211:W213"/>
    <mergeCell ref="X211:X213"/>
    <mergeCell ref="Y211:Y213"/>
    <mergeCell ref="Z211:Z213"/>
    <mergeCell ref="U211:U213"/>
    <mergeCell ref="X224:X228"/>
    <mergeCell ref="Y224:Y228"/>
    <mergeCell ref="U234:U238"/>
    <mergeCell ref="V234:V238"/>
    <mergeCell ref="W234:W238"/>
    <mergeCell ref="X234:X238"/>
    <mergeCell ref="Y234:Y238"/>
    <mergeCell ref="Z224:Z228"/>
    <mergeCell ref="A229:A233"/>
    <mergeCell ref="R229:R233"/>
    <mergeCell ref="S229:S233"/>
    <mergeCell ref="T229:T233"/>
    <mergeCell ref="U229:U233"/>
    <mergeCell ref="A224:A228"/>
    <mergeCell ref="D224:D228"/>
    <mergeCell ref="R224:R228"/>
    <mergeCell ref="S224:S228"/>
    <mergeCell ref="T224:T228"/>
    <mergeCell ref="U224:U228"/>
    <mergeCell ref="V242:V245"/>
    <mergeCell ref="W242:W245"/>
    <mergeCell ref="A234:A238"/>
    <mergeCell ref="D234:D238"/>
    <mergeCell ref="R234:R238"/>
    <mergeCell ref="S234:S238"/>
    <mergeCell ref="T234:T238"/>
    <mergeCell ref="V224:V228"/>
    <mergeCell ref="W224:W228"/>
    <mergeCell ref="X251:X257"/>
    <mergeCell ref="Y251:Y257"/>
    <mergeCell ref="Z234:Z238"/>
    <mergeCell ref="V229:V233"/>
    <mergeCell ref="W229:W233"/>
    <mergeCell ref="X229:X233"/>
    <mergeCell ref="Y229:Y233"/>
    <mergeCell ref="Z229:Z233"/>
    <mergeCell ref="A246:A250"/>
    <mergeCell ref="D246:D250"/>
    <mergeCell ref="R246:R250"/>
    <mergeCell ref="S246:S250"/>
    <mergeCell ref="T246:T250"/>
    <mergeCell ref="A242:A245"/>
    <mergeCell ref="D242:D245"/>
    <mergeCell ref="R242:R245"/>
    <mergeCell ref="S242:S245"/>
    <mergeCell ref="T242:T245"/>
    <mergeCell ref="U246:U250"/>
    <mergeCell ref="V246:V250"/>
    <mergeCell ref="W246:W250"/>
    <mergeCell ref="X246:X250"/>
    <mergeCell ref="Y246:Y250"/>
    <mergeCell ref="Z246:Z250"/>
    <mergeCell ref="Z251:Z257"/>
    <mergeCell ref="U251:U257"/>
    <mergeCell ref="X242:X245"/>
    <mergeCell ref="Y242:Y245"/>
    <mergeCell ref="Z242:Z245"/>
    <mergeCell ref="U242:U245"/>
    <mergeCell ref="A258:A262"/>
    <mergeCell ref="D258:D262"/>
    <mergeCell ref="R258:R262"/>
    <mergeCell ref="S258:S262"/>
    <mergeCell ref="T258:T262"/>
    <mergeCell ref="A251:A257"/>
    <mergeCell ref="D251:D257"/>
    <mergeCell ref="R251:R257"/>
    <mergeCell ref="S251:S257"/>
    <mergeCell ref="T251:T257"/>
    <mergeCell ref="U258:U262"/>
    <mergeCell ref="V258:V262"/>
    <mergeCell ref="W258:W262"/>
    <mergeCell ref="X258:X262"/>
    <mergeCell ref="Y258:Y262"/>
    <mergeCell ref="Z258:Z262"/>
    <mergeCell ref="V251:V257"/>
    <mergeCell ref="W251:W257"/>
  </mergeCells>
  <pageMargins left="0.7" right="0.7" top="0.75" bottom="0.75" header="0.3" footer="0.3"/>
  <drawing r:id="rId1"/>
  <legacyDrawing r:id="rId2"/>
  <tableParts count="1">
    <tablePart r:id="rId3"/>
  </tablePar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AD519"/>
  <sheetViews>
    <sheetView zoomScaleNormal="100" workbookViewId="0">
      <selection activeCell="T7" sqref="T7:T13"/>
    </sheetView>
  </sheetViews>
  <sheetFormatPr defaultRowHeight="15" x14ac:dyDescent="0.25"/>
  <cols>
    <col min="1" max="1" width="33.28515625" customWidth="1"/>
    <col min="2" max="2" width="10.28515625" customWidth="1"/>
    <col min="3" max="3" width="11.42578125" customWidth="1"/>
    <col min="4" max="4" width="17.7109375" customWidth="1"/>
    <col min="5" max="5" width="17.28515625" bestFit="1" customWidth="1"/>
    <col min="6" max="9" width="19.28515625" customWidth="1"/>
    <col min="10" max="13" width="13" customWidth="1"/>
    <col min="14" max="17" width="11.85546875" customWidth="1"/>
    <col min="18" max="18" width="1.7109375" customWidth="1"/>
    <col min="19" max="26" width="14.140625" customWidth="1"/>
    <col min="27" max="28" width="15.7109375" customWidth="1"/>
    <col min="29" max="29" width="15.5703125" customWidth="1"/>
    <col min="30" max="30" width="14.28515625" bestFit="1" customWidth="1"/>
  </cols>
  <sheetData>
    <row r="1" spans="1:30" ht="18.75" x14ac:dyDescent="0.3">
      <c r="A1" s="843" t="s">
        <v>1216</v>
      </c>
      <c r="B1" s="852"/>
      <c r="C1" s="852"/>
      <c r="D1" s="852"/>
      <c r="E1" s="853"/>
    </row>
    <row r="2" spans="1:30" ht="16.5" thickBot="1" x14ac:dyDescent="0.3">
      <c r="A2" s="530" t="s">
        <v>57</v>
      </c>
      <c r="B2" s="527"/>
      <c r="C2" s="527"/>
      <c r="D2" s="527"/>
      <c r="E2" s="528"/>
      <c r="F2" s="397"/>
    </row>
    <row r="3" spans="1:30" ht="15.75" x14ac:dyDescent="0.25">
      <c r="A3" s="25"/>
      <c r="B3" s="41"/>
      <c r="C3" s="41"/>
      <c r="D3" s="41"/>
      <c r="E3" s="41"/>
      <c r="F3" s="41"/>
      <c r="G3" s="41"/>
      <c r="H3" s="443"/>
      <c r="I3" s="443"/>
    </row>
    <row r="4" spans="1:30" ht="21" x14ac:dyDescent="0.35">
      <c r="B4" s="41"/>
      <c r="C4" s="41"/>
      <c r="D4" s="41"/>
      <c r="E4" s="41"/>
      <c r="F4" s="41"/>
      <c r="G4" s="41"/>
      <c r="H4" s="41"/>
      <c r="I4" s="41"/>
      <c r="O4" s="394" t="s">
        <v>673</v>
      </c>
      <c r="P4" s="451"/>
      <c r="Q4" s="394" t="s">
        <v>673</v>
      </c>
    </row>
    <row r="5" spans="1:30" ht="19.5" thickBot="1" x14ac:dyDescent="0.35">
      <c r="F5" s="2484" t="s">
        <v>220</v>
      </c>
      <c r="G5" s="2484"/>
      <c r="H5" s="2484"/>
      <c r="I5" s="2484"/>
      <c r="J5" s="2485" t="s">
        <v>64</v>
      </c>
      <c r="K5" s="2485"/>
      <c r="L5" s="2485"/>
      <c r="M5" s="2485"/>
      <c r="N5" s="2486" t="s">
        <v>65</v>
      </c>
      <c r="O5" s="2486"/>
      <c r="P5" s="2486"/>
      <c r="Q5" s="2486"/>
      <c r="R5" s="43"/>
      <c r="S5" s="2487" t="s">
        <v>759</v>
      </c>
      <c r="T5" s="2487"/>
      <c r="U5" s="2487"/>
      <c r="V5" s="2487"/>
      <c r="W5" s="2487"/>
      <c r="X5" s="2487"/>
      <c r="Y5" s="2487"/>
      <c r="Z5" s="2487"/>
      <c r="AA5" s="2488" t="s">
        <v>66</v>
      </c>
      <c r="AB5" s="2488"/>
      <c r="AC5" s="2488"/>
      <c r="AD5" s="2488"/>
    </row>
    <row r="6" spans="1:30" ht="16.5" thickBot="1" x14ac:dyDescent="0.3">
      <c r="A6" s="42" t="s">
        <v>3</v>
      </c>
      <c r="B6" s="45" t="s">
        <v>58</v>
      </c>
      <c r="C6" s="758" t="s">
        <v>1190</v>
      </c>
      <c r="D6" s="758" t="s">
        <v>1021</v>
      </c>
      <c r="E6" s="758" t="s">
        <v>1022</v>
      </c>
      <c r="F6" s="46" t="s">
        <v>226</v>
      </c>
      <c r="G6" s="46" t="s">
        <v>565</v>
      </c>
      <c r="H6" s="46" t="s">
        <v>658</v>
      </c>
      <c r="I6" s="46" t="s">
        <v>792</v>
      </c>
      <c r="J6" s="47" t="s">
        <v>227</v>
      </c>
      <c r="K6" s="47" t="s">
        <v>566</v>
      </c>
      <c r="L6" s="47" t="s">
        <v>659</v>
      </c>
      <c r="M6" s="47" t="s">
        <v>793</v>
      </c>
      <c r="N6" s="48" t="s">
        <v>237</v>
      </c>
      <c r="O6" s="48" t="s">
        <v>575</v>
      </c>
      <c r="P6" s="48" t="s">
        <v>674</v>
      </c>
      <c r="Q6" s="48" t="s">
        <v>802</v>
      </c>
      <c r="R6" s="44"/>
      <c r="S6" s="748" t="s">
        <v>238</v>
      </c>
      <c r="T6" s="748" t="s">
        <v>758</v>
      </c>
      <c r="U6" s="60" t="s">
        <v>576</v>
      </c>
      <c r="V6" s="461" t="s">
        <v>757</v>
      </c>
      <c r="W6" s="60" t="s">
        <v>675</v>
      </c>
      <c r="X6" s="461" t="s">
        <v>683</v>
      </c>
      <c r="Y6" s="60" t="s">
        <v>803</v>
      </c>
      <c r="Z6" s="461" t="s">
        <v>804</v>
      </c>
      <c r="AA6" s="61" t="s">
        <v>239</v>
      </c>
      <c r="AB6" s="61" t="s">
        <v>577</v>
      </c>
      <c r="AC6" s="61" t="s">
        <v>676</v>
      </c>
      <c r="AD6" s="61" t="s">
        <v>805</v>
      </c>
    </row>
    <row r="7" spans="1:30" ht="15.75" x14ac:dyDescent="0.25">
      <c r="A7" s="2489" t="s">
        <v>33</v>
      </c>
      <c r="B7" s="746" t="s">
        <v>217</v>
      </c>
      <c r="C7" s="747" t="s">
        <v>429</v>
      </c>
      <c r="D7" s="747" t="s">
        <v>1023</v>
      </c>
      <c r="E7" s="747" t="s">
        <v>1024</v>
      </c>
      <c r="F7" s="53">
        <v>375</v>
      </c>
      <c r="G7" s="53" t="s">
        <v>5</v>
      </c>
      <c r="H7" s="53" t="s">
        <v>5</v>
      </c>
      <c r="I7" s="53">
        <v>336</v>
      </c>
      <c r="J7" s="54"/>
      <c r="K7" s="54"/>
      <c r="L7" s="54"/>
      <c r="M7" s="54"/>
      <c r="N7" s="58">
        <f>(1058109815/7739416)/365*1000</f>
        <v>374.56715080310971</v>
      </c>
      <c r="O7" s="58" t="s">
        <v>5</v>
      </c>
      <c r="P7" s="58" t="s">
        <v>5</v>
      </c>
      <c r="Q7" s="666">
        <f>(1089829725/2815687)/366*1000</f>
        <v>1057.5311972752281</v>
      </c>
      <c r="R7" s="44"/>
      <c r="S7" s="2479">
        <v>375</v>
      </c>
      <c r="T7" s="2479">
        <f>MEDIAN(F7)</f>
        <v>375</v>
      </c>
      <c r="U7" s="2479" t="s">
        <v>5</v>
      </c>
      <c r="V7" s="2479" t="s">
        <v>5</v>
      </c>
      <c r="W7" s="2479" t="s">
        <v>5</v>
      </c>
      <c r="X7" s="2479" t="s">
        <v>5</v>
      </c>
      <c r="Y7" s="2482">
        <f>SUM(I7:I13)/7</f>
        <v>310.42857142857144</v>
      </c>
      <c r="Z7" s="2498">
        <f>MEDIAN(I7:I13)</f>
        <v>312</v>
      </c>
      <c r="AA7" s="2501">
        <v>375</v>
      </c>
      <c r="AB7" s="2492" t="s">
        <v>5</v>
      </c>
      <c r="AC7" s="2492" t="s">
        <v>5</v>
      </c>
      <c r="AD7" s="2495">
        <f>SUM(Q7:Q13)</f>
        <v>2735.6323970216176</v>
      </c>
    </row>
    <row r="8" spans="1:30" ht="15.75" x14ac:dyDescent="0.25">
      <c r="A8" s="2490"/>
      <c r="B8" s="747" t="s">
        <v>942</v>
      </c>
      <c r="C8" s="747"/>
      <c r="D8" s="747" t="s">
        <v>1023</v>
      </c>
      <c r="E8" s="747" t="s">
        <v>1024</v>
      </c>
      <c r="F8" s="53" t="s">
        <v>5</v>
      </c>
      <c r="G8" s="53" t="s">
        <v>5</v>
      </c>
      <c r="H8" s="53" t="s">
        <v>5</v>
      </c>
      <c r="I8" s="53">
        <v>298</v>
      </c>
      <c r="J8" s="54"/>
      <c r="K8" s="54"/>
      <c r="L8" s="54"/>
      <c r="M8" s="54"/>
      <c r="N8" s="58" t="s">
        <v>5</v>
      </c>
      <c r="O8" s="58" t="s">
        <v>5</v>
      </c>
      <c r="P8" s="58" t="s">
        <v>5</v>
      </c>
      <c r="Q8" s="665">
        <f>(339977506/3133488)/366*1000</f>
        <v>296.44290631318398</v>
      </c>
      <c r="R8" s="44"/>
      <c r="S8" s="2480"/>
      <c r="T8" s="2480"/>
      <c r="U8" s="2480"/>
      <c r="V8" s="2480"/>
      <c r="W8" s="2480"/>
      <c r="X8" s="2480"/>
      <c r="Y8" s="2483"/>
      <c r="Z8" s="2499"/>
      <c r="AA8" s="2502"/>
      <c r="AB8" s="2493"/>
      <c r="AC8" s="2493"/>
      <c r="AD8" s="2496"/>
    </row>
    <row r="9" spans="1:30" ht="15.75" x14ac:dyDescent="0.25">
      <c r="A9" s="2490"/>
      <c r="B9" s="747" t="s">
        <v>943</v>
      </c>
      <c r="C9" s="747"/>
      <c r="D9" s="747" t="s">
        <v>1023</v>
      </c>
      <c r="E9" s="747" t="s">
        <v>1024</v>
      </c>
      <c r="F9" s="53" t="s">
        <v>5</v>
      </c>
      <c r="G9" s="53" t="s">
        <v>5</v>
      </c>
      <c r="H9" s="53" t="s">
        <v>5</v>
      </c>
      <c r="I9" s="53">
        <v>204</v>
      </c>
      <c r="J9" s="54"/>
      <c r="K9" s="54"/>
      <c r="L9" s="54"/>
      <c r="M9" s="54"/>
      <c r="N9" s="58" t="s">
        <v>5</v>
      </c>
      <c r="O9" s="58" t="s">
        <v>5</v>
      </c>
      <c r="P9" s="58" t="s">
        <v>5</v>
      </c>
      <c r="Q9" s="665">
        <f>(38815089/672352)/366*1000</f>
        <v>157.73308585042494</v>
      </c>
      <c r="R9" s="44"/>
      <c r="S9" s="2480"/>
      <c r="T9" s="2480"/>
      <c r="U9" s="2480"/>
      <c r="V9" s="2480"/>
      <c r="W9" s="2480"/>
      <c r="X9" s="2480"/>
      <c r="Y9" s="2483"/>
      <c r="Z9" s="2499"/>
      <c r="AA9" s="2502"/>
      <c r="AB9" s="2493"/>
      <c r="AC9" s="2493"/>
      <c r="AD9" s="2496"/>
    </row>
    <row r="10" spans="1:30" ht="15.75" x14ac:dyDescent="0.25">
      <c r="A10" s="2490"/>
      <c r="B10" s="747" t="s">
        <v>944</v>
      </c>
      <c r="C10" s="747"/>
      <c r="D10" s="747" t="s">
        <v>1023</v>
      </c>
      <c r="E10" s="747" t="s">
        <v>1024</v>
      </c>
      <c r="F10" s="53" t="s">
        <v>5</v>
      </c>
      <c r="G10" s="53" t="s">
        <v>5</v>
      </c>
      <c r="H10" s="53" t="s">
        <v>5</v>
      </c>
      <c r="I10" s="53">
        <v>397</v>
      </c>
      <c r="J10" s="54"/>
      <c r="K10" s="54"/>
      <c r="L10" s="54"/>
      <c r="M10" s="54"/>
      <c r="N10" s="58" t="s">
        <v>5</v>
      </c>
      <c r="O10" s="58" t="s">
        <v>5</v>
      </c>
      <c r="P10" s="58" t="s">
        <v>5</v>
      </c>
      <c r="Q10" s="665">
        <f>(33835865/250995)/366*1000</f>
        <v>368.32494105155473</v>
      </c>
      <c r="R10" s="44"/>
      <c r="S10" s="2480"/>
      <c r="T10" s="2480"/>
      <c r="U10" s="2480"/>
      <c r="V10" s="2480"/>
      <c r="W10" s="2480"/>
      <c r="X10" s="2480"/>
      <c r="Y10" s="2483"/>
      <c r="Z10" s="2499"/>
      <c r="AA10" s="2502"/>
      <c r="AB10" s="2493"/>
      <c r="AC10" s="2493"/>
      <c r="AD10" s="2496"/>
    </row>
    <row r="11" spans="1:30" ht="15.75" x14ac:dyDescent="0.25">
      <c r="A11" s="2490"/>
      <c r="B11" s="747" t="s">
        <v>945</v>
      </c>
      <c r="C11" s="747"/>
      <c r="D11" s="747" t="s">
        <v>1023</v>
      </c>
      <c r="E11" s="747" t="s">
        <v>1024</v>
      </c>
      <c r="F11" s="53" t="s">
        <v>5</v>
      </c>
      <c r="G11" s="53" t="s">
        <v>5</v>
      </c>
      <c r="H11" s="53" t="s">
        <v>5</v>
      </c>
      <c r="I11" s="53">
        <v>298</v>
      </c>
      <c r="J11" s="54"/>
      <c r="K11" s="54"/>
      <c r="L11" s="54"/>
      <c r="M11" s="54"/>
      <c r="N11" s="58" t="s">
        <v>5</v>
      </c>
      <c r="O11" s="58" t="s">
        <v>5</v>
      </c>
      <c r="P11" s="58" t="s">
        <v>5</v>
      </c>
      <c r="Q11" s="665">
        <f>(90816380/697282)/366*1000</f>
        <v>355.85629027043535</v>
      </c>
      <c r="R11" s="44"/>
      <c r="S11" s="2480"/>
      <c r="T11" s="2480"/>
      <c r="U11" s="2480"/>
      <c r="V11" s="2480"/>
      <c r="W11" s="2480"/>
      <c r="X11" s="2480"/>
      <c r="Y11" s="2483"/>
      <c r="Z11" s="2499"/>
      <c r="AA11" s="2502"/>
      <c r="AB11" s="2493"/>
      <c r="AC11" s="2493"/>
      <c r="AD11" s="2496"/>
    </row>
    <row r="12" spans="1:30" ht="15.75" x14ac:dyDescent="0.25">
      <c r="A12" s="2490"/>
      <c r="B12" s="747" t="s">
        <v>946</v>
      </c>
      <c r="C12" s="747"/>
      <c r="D12" s="747" t="s">
        <v>1023</v>
      </c>
      <c r="E12" s="747" t="s">
        <v>1024</v>
      </c>
      <c r="F12" s="53" t="s">
        <v>5</v>
      </c>
      <c r="G12" s="53" t="s">
        <v>5</v>
      </c>
      <c r="H12" s="53" t="s">
        <v>5</v>
      </c>
      <c r="I12" s="53">
        <v>328</v>
      </c>
      <c r="J12" s="54"/>
      <c r="K12" s="54"/>
      <c r="L12" s="54"/>
      <c r="M12" s="54"/>
      <c r="N12" s="58" t="s">
        <v>5</v>
      </c>
      <c r="O12" s="58" t="s">
        <v>5</v>
      </c>
      <c r="P12" s="58" t="s">
        <v>5</v>
      </c>
      <c r="Q12" s="665">
        <f>(151511865/1192817)/366*1000</f>
        <v>347.04975219358465</v>
      </c>
      <c r="R12" s="44"/>
      <c r="S12" s="2480"/>
      <c r="T12" s="2480"/>
      <c r="U12" s="2480"/>
      <c r="V12" s="2480"/>
      <c r="W12" s="2480"/>
      <c r="X12" s="2480"/>
      <c r="Y12" s="2483"/>
      <c r="Z12" s="2499"/>
      <c r="AA12" s="2502"/>
      <c r="AB12" s="2493"/>
      <c r="AC12" s="2493"/>
      <c r="AD12" s="2496"/>
    </row>
    <row r="13" spans="1:30" ht="16.5" thickBot="1" x14ac:dyDescent="0.3">
      <c r="A13" s="2491"/>
      <c r="B13" s="747" t="s">
        <v>947</v>
      </c>
      <c r="C13" s="747"/>
      <c r="D13" s="747" t="s">
        <v>1023</v>
      </c>
      <c r="E13" s="747" t="s">
        <v>1024</v>
      </c>
      <c r="F13" s="53" t="s">
        <v>5</v>
      </c>
      <c r="G13" s="53" t="s">
        <v>5</v>
      </c>
      <c r="H13" s="53" t="s">
        <v>5</v>
      </c>
      <c r="I13" s="53">
        <v>312</v>
      </c>
      <c r="J13" s="54"/>
      <c r="K13" s="54"/>
      <c r="L13" s="54"/>
      <c r="M13" s="54"/>
      <c r="N13" s="58" t="s">
        <v>5</v>
      </c>
      <c r="O13" s="58" t="s">
        <v>5</v>
      </c>
      <c r="P13" s="58" t="s">
        <v>5</v>
      </c>
      <c r="Q13" s="665">
        <f>(29888270/534807)/366*1000</f>
        <v>152.69422406720625</v>
      </c>
      <c r="R13" s="44"/>
      <c r="S13" s="2481"/>
      <c r="T13" s="2481"/>
      <c r="U13" s="2481"/>
      <c r="V13" s="2481"/>
      <c r="W13" s="2481"/>
      <c r="X13" s="2481"/>
      <c r="Y13" s="2468"/>
      <c r="Z13" s="2500"/>
      <c r="AA13" s="2503"/>
      <c r="AB13" s="2494"/>
      <c r="AC13" s="2494"/>
      <c r="AD13" s="2497"/>
    </row>
    <row r="14" spans="1:30" ht="16.5" customHeight="1" thickBot="1" x14ac:dyDescent="0.3">
      <c r="A14" s="745" t="s">
        <v>524</v>
      </c>
      <c r="B14" s="645" t="s">
        <v>526</v>
      </c>
      <c r="C14" s="747" t="s">
        <v>429</v>
      </c>
      <c r="D14" s="747" t="s">
        <v>1025</v>
      </c>
      <c r="E14" s="747" t="s">
        <v>1026</v>
      </c>
      <c r="F14" s="53" t="s">
        <v>5</v>
      </c>
      <c r="G14" s="53" t="s">
        <v>5</v>
      </c>
      <c r="H14" s="53" t="s">
        <v>5</v>
      </c>
      <c r="I14" s="53" t="s">
        <v>5</v>
      </c>
      <c r="J14" s="54"/>
      <c r="K14" s="54"/>
      <c r="L14" s="54"/>
      <c r="M14" s="54"/>
      <c r="N14" s="55" t="s">
        <v>5</v>
      </c>
      <c r="O14" s="55" t="s">
        <v>5</v>
      </c>
      <c r="P14" s="55" t="s">
        <v>5</v>
      </c>
      <c r="Q14" s="55" t="s">
        <v>5</v>
      </c>
      <c r="S14" s="248" t="s">
        <v>5</v>
      </c>
      <c r="T14" s="71" t="s">
        <v>5</v>
      </c>
      <c r="U14" s="449" t="s">
        <v>5</v>
      </c>
      <c r="V14" s="71" t="s">
        <v>5</v>
      </c>
      <c r="W14" s="449" t="s">
        <v>5</v>
      </c>
      <c r="X14" s="449" t="s">
        <v>5</v>
      </c>
      <c r="Y14" s="71" t="s">
        <v>5</v>
      </c>
      <c r="Z14" s="71" t="s">
        <v>5</v>
      </c>
      <c r="AA14" s="450" t="s">
        <v>5</v>
      </c>
      <c r="AB14" s="450" t="s">
        <v>5</v>
      </c>
      <c r="AC14" s="450" t="s">
        <v>5</v>
      </c>
      <c r="AD14" s="450" t="s">
        <v>5</v>
      </c>
    </row>
    <row r="15" spans="1:30" ht="15.75" customHeight="1" x14ac:dyDescent="0.25">
      <c r="A15" s="1878" t="s">
        <v>34</v>
      </c>
      <c r="B15" s="664" t="s">
        <v>176</v>
      </c>
      <c r="C15" s="631"/>
      <c r="D15" s="631" t="s">
        <v>1027</v>
      </c>
      <c r="E15" s="631" t="s">
        <v>1028</v>
      </c>
      <c r="F15" s="53">
        <v>80</v>
      </c>
      <c r="G15" s="53" t="s">
        <v>5</v>
      </c>
      <c r="H15" s="53" t="s">
        <v>5</v>
      </c>
      <c r="I15" s="53">
        <v>154</v>
      </c>
      <c r="J15" s="54"/>
      <c r="K15" s="54"/>
      <c r="L15" s="54"/>
      <c r="M15" s="54"/>
      <c r="N15" s="58">
        <f>(59412000/2043185)/365*1000</f>
        <v>79.666110870883458</v>
      </c>
      <c r="O15" s="58" t="s">
        <v>5</v>
      </c>
      <c r="P15" s="58" t="s">
        <v>5</v>
      </c>
      <c r="Q15" s="58">
        <f>(132902000/1443000)/366*1000</f>
        <v>251.64256311797294</v>
      </c>
      <c r="S15" s="2434">
        <f>SUM(F15:F23)/7</f>
        <v>223.71428571428572</v>
      </c>
      <c r="T15" s="2434">
        <f>MEDIAN(F15:F23)</f>
        <v>211</v>
      </c>
      <c r="U15" s="2434" t="s">
        <v>5</v>
      </c>
      <c r="V15" s="2434" t="s">
        <v>5</v>
      </c>
      <c r="W15" s="2434">
        <f>SUM(H15:H23)/5</f>
        <v>192.6</v>
      </c>
      <c r="X15" s="2434">
        <f>MEDIAN(H15:H23)</f>
        <v>189</v>
      </c>
      <c r="Y15" s="2434">
        <f>SUM(I15:I23)/5</f>
        <v>184.4</v>
      </c>
      <c r="Z15" s="2434">
        <f>MEDIAN(I15:I23)</f>
        <v>190</v>
      </c>
      <c r="AA15" s="2444">
        <f>SUM(N15:N23)/7</f>
        <v>224.04207736065382</v>
      </c>
      <c r="AB15" s="2444" t="s">
        <v>5</v>
      </c>
      <c r="AC15" s="2444">
        <f>SUM(P15:P23)/5</f>
        <v>192.50908069202137</v>
      </c>
      <c r="AD15" s="2476">
        <f>SUM(Q15:Q23)/5</f>
        <v>791.74333674479021</v>
      </c>
    </row>
    <row r="16" spans="1:30" ht="15.75" customHeight="1" x14ac:dyDescent="0.25">
      <c r="A16" s="1757"/>
      <c r="B16" s="261" t="s">
        <v>177</v>
      </c>
      <c r="C16" s="261"/>
      <c r="D16" s="261" t="s">
        <v>1027</v>
      </c>
      <c r="E16" s="261" t="s">
        <v>1028</v>
      </c>
      <c r="F16" s="53">
        <v>215</v>
      </c>
      <c r="G16" s="53" t="s">
        <v>5</v>
      </c>
      <c r="H16" s="53" t="s">
        <v>5</v>
      </c>
      <c r="I16" s="53"/>
      <c r="J16" s="54"/>
      <c r="K16" s="54"/>
      <c r="L16" s="54"/>
      <c r="M16" s="54"/>
      <c r="N16" s="58">
        <f>(95488000/1203186)/365*1000</f>
        <v>217.43185085606845</v>
      </c>
      <c r="O16" s="58" t="s">
        <v>5</v>
      </c>
      <c r="P16" s="58" t="s">
        <v>5</v>
      </c>
      <c r="Q16" s="58"/>
      <c r="S16" s="2429"/>
      <c r="T16" s="2429"/>
      <c r="U16" s="2429"/>
      <c r="V16" s="2429"/>
      <c r="W16" s="2429"/>
      <c r="X16" s="2429"/>
      <c r="Y16" s="2435"/>
      <c r="Z16" s="2435"/>
      <c r="AA16" s="2432"/>
      <c r="AB16" s="2432"/>
      <c r="AC16" s="2432"/>
      <c r="AD16" s="2477"/>
    </row>
    <row r="17" spans="1:30" ht="15.75" customHeight="1" x14ac:dyDescent="0.25">
      <c r="A17" s="1757"/>
      <c r="B17" s="631" t="s">
        <v>178</v>
      </c>
      <c r="C17" s="631"/>
      <c r="D17" s="631" t="s">
        <v>1027</v>
      </c>
      <c r="E17" s="631" t="s">
        <v>1028</v>
      </c>
      <c r="F17" s="53">
        <v>148</v>
      </c>
      <c r="G17" s="53" t="s">
        <v>5</v>
      </c>
      <c r="H17" s="53">
        <v>159</v>
      </c>
      <c r="I17" s="53">
        <v>149</v>
      </c>
      <c r="J17" s="54"/>
      <c r="K17" s="54"/>
      <c r="L17" s="54"/>
      <c r="M17" s="54"/>
      <c r="N17" s="58">
        <f>(219742000/4077036)/365*1000</f>
        <v>147.6643514338183</v>
      </c>
      <c r="O17" s="58" t="s">
        <v>5</v>
      </c>
      <c r="P17" s="58">
        <f>(257032000/4440000)/365*1000</f>
        <v>158.60298654819201</v>
      </c>
      <c r="Q17" s="58">
        <f>(130731000/1633000)/366*1000</f>
        <v>218.73149086966561</v>
      </c>
      <c r="S17" s="2429"/>
      <c r="T17" s="2429"/>
      <c r="U17" s="2429"/>
      <c r="V17" s="2429"/>
      <c r="W17" s="2429"/>
      <c r="X17" s="2429"/>
      <c r="Y17" s="2435"/>
      <c r="Z17" s="2435"/>
      <c r="AA17" s="2432"/>
      <c r="AB17" s="2432"/>
      <c r="AC17" s="2432"/>
      <c r="AD17" s="2477"/>
    </row>
    <row r="18" spans="1:30" ht="15.75" customHeight="1" x14ac:dyDescent="0.25">
      <c r="A18" s="1757"/>
      <c r="B18" s="631" t="s">
        <v>179</v>
      </c>
      <c r="C18" s="631"/>
      <c r="D18" s="631" t="s">
        <v>1027</v>
      </c>
      <c r="E18" s="631" t="s">
        <v>1028</v>
      </c>
      <c r="F18" s="53">
        <v>287</v>
      </c>
      <c r="G18" s="53" t="s">
        <v>5</v>
      </c>
      <c r="H18" s="53">
        <v>245</v>
      </c>
      <c r="I18" s="53">
        <v>223</v>
      </c>
      <c r="J18" s="54"/>
      <c r="K18" s="54"/>
      <c r="L18" s="54"/>
      <c r="M18" s="54"/>
      <c r="N18" s="58">
        <f>(177681000/1696065)/365*1000</f>
        <v>287.01568647072639</v>
      </c>
      <c r="O18" s="58" t="s">
        <v>5</v>
      </c>
      <c r="P18" s="58">
        <f>(175537000/1961000)/365*1000</f>
        <v>245.24389988334161</v>
      </c>
      <c r="Q18" s="666">
        <f>(221025000/206000)/366*1000</f>
        <v>2931.5215661308293</v>
      </c>
      <c r="S18" s="2429"/>
      <c r="T18" s="2429"/>
      <c r="U18" s="2429"/>
      <c r="V18" s="2429"/>
      <c r="W18" s="2429"/>
      <c r="X18" s="2429"/>
      <c r="Y18" s="2435"/>
      <c r="Z18" s="2435"/>
      <c r="AA18" s="2432"/>
      <c r="AB18" s="2432"/>
      <c r="AC18" s="2432"/>
      <c r="AD18" s="2477"/>
    </row>
    <row r="19" spans="1:30" ht="16.5" customHeight="1" x14ac:dyDescent="0.25">
      <c r="A19" s="1757"/>
      <c r="B19" s="631" t="s">
        <v>180</v>
      </c>
      <c r="C19" s="631"/>
      <c r="D19" s="631" t="s">
        <v>1027</v>
      </c>
      <c r="E19" s="631" t="s">
        <v>1028</v>
      </c>
      <c r="F19" s="53">
        <v>200</v>
      </c>
      <c r="G19" s="53" t="s">
        <v>5</v>
      </c>
      <c r="H19" s="53">
        <v>200</v>
      </c>
      <c r="I19" s="53">
        <v>206</v>
      </c>
      <c r="J19" s="54"/>
      <c r="K19" s="54"/>
      <c r="L19" s="54"/>
      <c r="M19" s="54"/>
      <c r="N19" s="58">
        <f>(334488000/4575532)/365*1000</f>
        <v>200.28391877754427</v>
      </c>
      <c r="O19" s="58" t="s">
        <v>5</v>
      </c>
      <c r="P19" s="58">
        <f>(352843000/4833000)/365*1000</f>
        <v>200.01927388473646</v>
      </c>
      <c r="Q19" s="665">
        <f>(513878000/5037000)/366*1000</f>
        <v>278.74493773399251</v>
      </c>
      <c r="S19" s="2429"/>
      <c r="T19" s="2429"/>
      <c r="U19" s="2429"/>
      <c r="V19" s="2429"/>
      <c r="W19" s="2429"/>
      <c r="X19" s="2429"/>
      <c r="Y19" s="2435"/>
      <c r="Z19" s="2435"/>
      <c r="AA19" s="2432"/>
      <c r="AB19" s="2432"/>
      <c r="AC19" s="2432"/>
      <c r="AD19" s="2477"/>
    </row>
    <row r="20" spans="1:30" ht="16.5" customHeight="1" x14ac:dyDescent="0.25">
      <c r="A20" s="1757"/>
      <c r="B20" s="631" t="s">
        <v>544</v>
      </c>
      <c r="C20" s="631" t="s">
        <v>429</v>
      </c>
      <c r="D20" s="631" t="s">
        <v>1027</v>
      </c>
      <c r="E20" s="631" t="s">
        <v>1028</v>
      </c>
      <c r="F20" s="53">
        <v>211</v>
      </c>
      <c r="G20" s="53" t="s">
        <v>5</v>
      </c>
      <c r="H20" s="53">
        <v>189</v>
      </c>
      <c r="I20" s="53">
        <v>190</v>
      </c>
      <c r="J20" s="54"/>
      <c r="K20" s="54"/>
      <c r="L20" s="54"/>
      <c r="M20" s="54"/>
      <c r="N20" s="58">
        <f>(27609000/358222)/365*1000</f>
        <v>211.15703639198867</v>
      </c>
      <c r="O20" s="58" t="s">
        <v>5</v>
      </c>
      <c r="P20" s="58">
        <f>(29458000/428000)/365*1000</f>
        <v>188.5674049417488</v>
      </c>
      <c r="Q20" s="58">
        <f>(41321000/406000)/366*1000</f>
        <v>278.07612587149049</v>
      </c>
      <c r="S20" s="2429"/>
      <c r="T20" s="2429"/>
      <c r="U20" s="2429"/>
      <c r="V20" s="2429"/>
      <c r="W20" s="2429"/>
      <c r="X20" s="2429"/>
      <c r="Y20" s="2435"/>
      <c r="Z20" s="2435"/>
      <c r="AA20" s="2432"/>
      <c r="AB20" s="2432"/>
      <c r="AC20" s="2432"/>
      <c r="AD20" s="2477"/>
    </row>
    <row r="21" spans="1:30" ht="16.5" customHeight="1" x14ac:dyDescent="0.25">
      <c r="A21" s="1757"/>
      <c r="B21" s="261" t="s">
        <v>545</v>
      </c>
      <c r="C21" s="261"/>
      <c r="D21" s="261" t="s">
        <v>1027</v>
      </c>
      <c r="E21" s="261" t="s">
        <v>1028</v>
      </c>
      <c r="F21" s="53" t="s">
        <v>5</v>
      </c>
      <c r="G21" s="53" t="s">
        <v>5</v>
      </c>
      <c r="H21" s="53" t="s">
        <v>5</v>
      </c>
      <c r="I21" s="53"/>
      <c r="J21" s="54"/>
      <c r="K21" s="54"/>
      <c r="L21" s="54"/>
      <c r="M21" s="54"/>
      <c r="N21" s="58" t="s">
        <v>5</v>
      </c>
      <c r="O21" s="58" t="s">
        <v>5</v>
      </c>
      <c r="P21" s="58" t="s">
        <v>5</v>
      </c>
      <c r="Q21" s="58"/>
      <c r="S21" s="2429"/>
      <c r="T21" s="2429"/>
      <c r="U21" s="2429"/>
      <c r="V21" s="2429"/>
      <c r="W21" s="2429"/>
      <c r="X21" s="2429"/>
      <c r="Y21" s="2435"/>
      <c r="Z21" s="2435"/>
      <c r="AA21" s="2432"/>
      <c r="AB21" s="2432"/>
      <c r="AC21" s="2432"/>
      <c r="AD21" s="2477"/>
    </row>
    <row r="22" spans="1:30" ht="16.5" customHeight="1" x14ac:dyDescent="0.25">
      <c r="A22" s="1757"/>
      <c r="B22" s="261" t="s">
        <v>779</v>
      </c>
      <c r="C22" s="261"/>
      <c r="D22" s="261" t="s">
        <v>1027</v>
      </c>
      <c r="E22" s="261" t="s">
        <v>1028</v>
      </c>
      <c r="F22" s="53" t="s">
        <v>5</v>
      </c>
      <c r="G22" s="53" t="s">
        <v>5</v>
      </c>
      <c r="H22" s="53">
        <v>170</v>
      </c>
      <c r="I22" s="53"/>
      <c r="J22" s="54"/>
      <c r="K22" s="54"/>
      <c r="L22" s="54"/>
      <c r="M22" s="54"/>
      <c r="N22" s="58"/>
      <c r="O22" s="58" t="s">
        <v>5</v>
      </c>
      <c r="P22" s="58">
        <f>(192109000/3094000)/365*1000</f>
        <v>170.11183820208799</v>
      </c>
      <c r="Q22" s="58"/>
      <c r="S22" s="2429"/>
      <c r="T22" s="2429"/>
      <c r="U22" s="2429"/>
      <c r="V22" s="2429"/>
      <c r="W22" s="2429"/>
      <c r="X22" s="2429"/>
      <c r="Y22" s="2435"/>
      <c r="Z22" s="2435"/>
      <c r="AA22" s="2432"/>
      <c r="AB22" s="2432"/>
      <c r="AC22" s="2432"/>
      <c r="AD22" s="2477"/>
    </row>
    <row r="23" spans="1:30" ht="16.5" customHeight="1" thickBot="1" x14ac:dyDescent="0.3">
      <c r="A23" s="1758"/>
      <c r="B23" s="262" t="s">
        <v>546</v>
      </c>
      <c r="C23" s="261"/>
      <c r="D23" s="261" t="s">
        <v>1027</v>
      </c>
      <c r="E23" s="261" t="s">
        <v>1028</v>
      </c>
      <c r="F23" s="53">
        <v>425</v>
      </c>
      <c r="G23" s="53" t="s">
        <v>5</v>
      </c>
      <c r="H23" s="53" t="s">
        <v>5</v>
      </c>
      <c r="I23" s="53"/>
      <c r="J23" s="54"/>
      <c r="K23" s="54"/>
      <c r="L23" s="54"/>
      <c r="M23" s="54"/>
      <c r="N23" s="58">
        <f>(19786920/127532)/365*1000</f>
        <v>425.07558672354708</v>
      </c>
      <c r="O23" s="58" t="s">
        <v>5</v>
      </c>
      <c r="P23" s="58" t="s">
        <v>5</v>
      </c>
      <c r="Q23" s="58"/>
      <c r="S23" s="2436"/>
      <c r="T23" s="2436"/>
      <c r="U23" s="2436"/>
      <c r="V23" s="2436"/>
      <c r="W23" s="2436"/>
      <c r="X23" s="2436"/>
      <c r="Y23" s="2436"/>
      <c r="Z23" s="2436"/>
      <c r="AA23" s="2449"/>
      <c r="AB23" s="2449"/>
      <c r="AC23" s="2449"/>
      <c r="AD23" s="2478"/>
    </row>
    <row r="24" spans="1:30" ht="16.5" customHeight="1" x14ac:dyDescent="0.25">
      <c r="A24" s="1795" t="s">
        <v>4</v>
      </c>
      <c r="B24" s="664" t="s">
        <v>547</v>
      </c>
      <c r="C24" s="631"/>
      <c r="D24" s="631" t="s">
        <v>1029</v>
      </c>
      <c r="E24" s="631" t="s">
        <v>1030</v>
      </c>
      <c r="F24" s="53">
        <v>138</v>
      </c>
      <c r="G24" s="53" t="s">
        <v>5</v>
      </c>
      <c r="H24" s="53" t="s">
        <v>5</v>
      </c>
      <c r="I24" s="53">
        <v>135</v>
      </c>
      <c r="J24" s="54"/>
      <c r="K24" s="54"/>
      <c r="L24" s="54"/>
      <c r="M24" s="54"/>
      <c r="N24" s="58">
        <f>(519000000/7537000)/365*1000</f>
        <v>188.6583266842481</v>
      </c>
      <c r="O24" s="58" t="s">
        <v>5</v>
      </c>
      <c r="P24" s="58" t="s">
        <v>5</v>
      </c>
      <c r="Q24" s="58" t="s">
        <v>5</v>
      </c>
      <c r="S24" s="939">
        <f>F24</f>
        <v>138</v>
      </c>
      <c r="T24" s="933">
        <f>MEDIAN(F24)</f>
        <v>138</v>
      </c>
      <c r="U24" s="939" t="s">
        <v>5</v>
      </c>
      <c r="V24" s="933" t="s">
        <v>5</v>
      </c>
      <c r="W24" s="939" t="s">
        <v>5</v>
      </c>
      <c r="X24" s="939" t="s">
        <v>5</v>
      </c>
      <c r="Y24" s="933">
        <v>135</v>
      </c>
      <c r="Z24" s="933">
        <v>135</v>
      </c>
      <c r="AA24" s="945">
        <f>N24</f>
        <v>188.6583266842481</v>
      </c>
      <c r="AB24" s="945" t="s">
        <v>5</v>
      </c>
      <c r="AC24" s="945" t="s">
        <v>5</v>
      </c>
      <c r="AD24" s="945" t="s">
        <v>5</v>
      </c>
    </row>
    <row r="25" spans="1:30" ht="15.75" customHeight="1" x14ac:dyDescent="0.25">
      <c r="A25" s="1796"/>
      <c r="B25" s="452" t="s">
        <v>59</v>
      </c>
      <c r="C25" s="452"/>
      <c r="D25" s="261" t="s">
        <v>1029</v>
      </c>
      <c r="E25" s="261" t="s">
        <v>1030</v>
      </c>
      <c r="F25" s="53" t="s">
        <v>5</v>
      </c>
      <c r="G25" s="53" t="s">
        <v>5</v>
      </c>
      <c r="H25" s="53"/>
      <c r="I25" s="53"/>
      <c r="J25" s="54"/>
      <c r="K25" s="54"/>
      <c r="L25" s="54"/>
      <c r="M25" s="54"/>
      <c r="N25" s="58">
        <f>(16000000/270061)/365*1000</f>
        <v>162.31746323369967</v>
      </c>
      <c r="O25" s="58">
        <f>(15903812/276000)/366*1000</f>
        <v>157.43854438900766</v>
      </c>
      <c r="P25" s="58"/>
      <c r="Q25" s="58"/>
      <c r="S25" s="2434">
        <f>(F26+F29)/2</f>
        <v>134.5</v>
      </c>
      <c r="T25" s="2434">
        <f>MEDIAN(F25:F29)</f>
        <v>134.5</v>
      </c>
      <c r="U25" s="2434">
        <v>143</v>
      </c>
      <c r="V25" s="2434">
        <f>MEDIAN(G24:G29)</f>
        <v>143</v>
      </c>
      <c r="W25" s="2434"/>
      <c r="X25" s="935"/>
      <c r="Y25" s="935"/>
      <c r="Z25" s="935"/>
      <c r="AA25" s="2444">
        <f>SUM(N25:N29)/5</f>
        <v>202.26689487944762</v>
      </c>
      <c r="AB25" s="2444">
        <f>SUM(O25:O29)/5</f>
        <v>170.18585319933598</v>
      </c>
      <c r="AC25" s="2444"/>
      <c r="AD25" s="2444"/>
    </row>
    <row r="26" spans="1:30" ht="15.75" customHeight="1" x14ac:dyDescent="0.25">
      <c r="A26" s="1796"/>
      <c r="B26" s="452" t="s">
        <v>60</v>
      </c>
      <c r="C26" s="452"/>
      <c r="D26" s="261" t="s">
        <v>1029</v>
      </c>
      <c r="E26" s="261" t="s">
        <v>1030</v>
      </c>
      <c r="F26" s="53">
        <v>121</v>
      </c>
      <c r="G26" s="53" t="s">
        <v>5</v>
      </c>
      <c r="H26" s="53"/>
      <c r="I26" s="53"/>
      <c r="J26" s="54"/>
      <c r="K26" s="54"/>
      <c r="L26" s="54"/>
      <c r="M26" s="54"/>
      <c r="N26" s="58">
        <f>(10000000/147814)/365*1000</f>
        <v>185.34956278818382</v>
      </c>
      <c r="O26" s="58">
        <f>(8227059/153000)/366*1000</f>
        <v>146.91701489338905</v>
      </c>
      <c r="P26" s="58"/>
      <c r="Q26" s="58"/>
      <c r="S26" s="2429"/>
      <c r="T26" s="2429"/>
      <c r="U26" s="2435"/>
      <c r="V26" s="2429"/>
      <c r="W26" s="2435"/>
      <c r="X26" s="938"/>
      <c r="Y26" s="936"/>
      <c r="Z26" s="936"/>
      <c r="AA26" s="2432"/>
      <c r="AB26" s="2456"/>
      <c r="AC26" s="2456"/>
      <c r="AD26" s="2456"/>
    </row>
    <row r="27" spans="1:30" ht="15.75" customHeight="1" x14ac:dyDescent="0.25">
      <c r="A27" s="1796"/>
      <c r="B27" s="452" t="s">
        <v>61</v>
      </c>
      <c r="C27" s="452"/>
      <c r="D27" s="261" t="s">
        <v>1029</v>
      </c>
      <c r="E27" s="261" t="s">
        <v>1030</v>
      </c>
      <c r="F27" s="53" t="s">
        <v>5</v>
      </c>
      <c r="G27" s="53" t="s">
        <v>5</v>
      </c>
      <c r="H27" s="53"/>
      <c r="I27" s="53"/>
      <c r="J27" s="54"/>
      <c r="K27" s="54"/>
      <c r="L27" s="54"/>
      <c r="M27" s="54"/>
      <c r="N27" s="58">
        <f>(20500000/207671)/365*1000</f>
        <v>270.44885208644365</v>
      </c>
      <c r="O27" s="58">
        <f>(14394652/206000)/366*1000</f>
        <v>190.92063239429146</v>
      </c>
      <c r="P27" s="58"/>
      <c r="Q27" s="58"/>
      <c r="S27" s="2429"/>
      <c r="T27" s="2429"/>
      <c r="U27" s="2435"/>
      <c r="V27" s="2429"/>
      <c r="W27" s="2435"/>
      <c r="X27" s="938"/>
      <c r="Y27" s="936"/>
      <c r="Z27" s="936"/>
      <c r="AA27" s="2432"/>
      <c r="AB27" s="2456"/>
      <c r="AC27" s="2456"/>
      <c r="AD27" s="2456"/>
    </row>
    <row r="28" spans="1:30" ht="15.75" customHeight="1" x14ac:dyDescent="0.25">
      <c r="A28" s="1796"/>
      <c r="B28" s="452" t="s">
        <v>62</v>
      </c>
      <c r="C28" s="452"/>
      <c r="D28" s="261" t="s">
        <v>1029</v>
      </c>
      <c r="E28" s="261" t="s">
        <v>1030</v>
      </c>
      <c r="F28" s="53" t="s">
        <v>5</v>
      </c>
      <c r="G28" s="53" t="s">
        <v>5</v>
      </c>
      <c r="H28" s="53"/>
      <c r="I28" s="53"/>
      <c r="J28" s="54"/>
      <c r="K28" s="54"/>
      <c r="L28" s="54"/>
      <c r="M28" s="54"/>
      <c r="N28" s="58">
        <f>(12200000/166660)/365*1000</f>
        <v>200.55596744417721</v>
      </c>
      <c r="O28" s="58">
        <f>(10702950/169000)/366*1000</f>
        <v>173.03569696381805</v>
      </c>
      <c r="P28" s="58"/>
      <c r="Q28" s="58"/>
      <c r="S28" s="2429"/>
      <c r="T28" s="2429"/>
      <c r="U28" s="2435"/>
      <c r="V28" s="2429"/>
      <c r="W28" s="2435"/>
      <c r="X28" s="938"/>
      <c r="Y28" s="936"/>
      <c r="Z28" s="936"/>
      <c r="AA28" s="2432"/>
      <c r="AB28" s="2456"/>
      <c r="AC28" s="2456"/>
      <c r="AD28" s="2456"/>
    </row>
    <row r="29" spans="1:30" ht="16.5" customHeight="1" thickBot="1" x14ac:dyDescent="0.3">
      <c r="A29" s="1797"/>
      <c r="B29" s="453" t="s">
        <v>63</v>
      </c>
      <c r="C29" s="452" t="s">
        <v>429</v>
      </c>
      <c r="D29" s="261" t="s">
        <v>1029</v>
      </c>
      <c r="E29" s="261" t="s">
        <v>1030</v>
      </c>
      <c r="F29" s="53">
        <v>148</v>
      </c>
      <c r="G29" s="53">
        <v>143</v>
      </c>
      <c r="H29" s="53"/>
      <c r="I29" s="53"/>
      <c r="J29" s="54"/>
      <c r="K29" s="54"/>
      <c r="L29" s="54"/>
      <c r="M29" s="54"/>
      <c r="N29" s="58">
        <f>(122621000/1743711)/365*1000</f>
        <v>192.66262884473369</v>
      </c>
      <c r="O29" s="58">
        <f>(118971569/1780000)/366*1000</f>
        <v>182.61737735617365</v>
      </c>
      <c r="P29" s="58"/>
      <c r="Q29" s="58"/>
      <c r="S29" s="2436"/>
      <c r="T29" s="2436"/>
      <c r="U29" s="2436"/>
      <c r="V29" s="2436"/>
      <c r="W29" s="2436"/>
      <c r="X29" s="937"/>
      <c r="Y29" s="937"/>
      <c r="Z29" s="937"/>
      <c r="AA29" s="2449"/>
      <c r="AB29" s="2449"/>
      <c r="AC29" s="2449"/>
      <c r="AD29" s="2449"/>
    </row>
    <row r="30" spans="1:30" ht="15.75" customHeight="1" x14ac:dyDescent="0.25">
      <c r="A30" s="1878" t="s">
        <v>6</v>
      </c>
      <c r="B30" s="683" t="s">
        <v>67</v>
      </c>
      <c r="C30" s="759"/>
      <c r="D30" s="759" t="s">
        <v>1031</v>
      </c>
      <c r="E30" s="759" t="s">
        <v>1032</v>
      </c>
      <c r="F30" s="56">
        <v>101</v>
      </c>
      <c r="G30" s="56">
        <v>118</v>
      </c>
      <c r="H30" s="56">
        <v>120</v>
      </c>
      <c r="I30" s="56">
        <v>87</v>
      </c>
      <c r="J30" s="57"/>
      <c r="K30" s="193"/>
      <c r="L30" s="193"/>
      <c r="M30" s="193"/>
      <c r="N30" s="247">
        <f>(3576000/97000)/365*1000</f>
        <v>101.00268323683095</v>
      </c>
      <c r="O30" s="58" t="s">
        <v>5</v>
      </c>
      <c r="P30" s="58" t="s">
        <v>5</v>
      </c>
      <c r="Q30" s="58" t="s">
        <v>5</v>
      </c>
      <c r="S30" s="2434">
        <f>SUM(F30:F36)/7</f>
        <v>108.57142857142857</v>
      </c>
      <c r="T30" s="2434">
        <f>MEDIAN(F30:F37)</f>
        <v>102</v>
      </c>
      <c r="U30" s="2434">
        <f>SUM(G30:G37)/7</f>
        <v>108.28571428571429</v>
      </c>
      <c r="V30" s="2434">
        <f>MEDIAN(G30:G37)</f>
        <v>107</v>
      </c>
      <c r="W30" s="2434">
        <f>SUM(H30:H37)/7</f>
        <v>105.14285714285714</v>
      </c>
      <c r="X30" s="2434">
        <f>MEDIAN(H30:H37)</f>
        <v>104</v>
      </c>
      <c r="Y30" s="2434">
        <f>SUM(I30:I37)/8</f>
        <v>92.875</v>
      </c>
      <c r="Z30" s="2434">
        <f>MEDIAN(I30:I37)</f>
        <v>87.5</v>
      </c>
      <c r="AA30" s="2444">
        <f>SUM(N30:N36)/7</f>
        <v>108.57264981594652</v>
      </c>
      <c r="AB30" s="2444">
        <f>SUM(O30:O37)/1</f>
        <v>139.87461236813328</v>
      </c>
      <c r="AC30" s="2444" t="s">
        <v>5</v>
      </c>
      <c r="AD30" s="2444" t="s">
        <v>5</v>
      </c>
    </row>
    <row r="31" spans="1:30" ht="15.75" customHeight="1" x14ac:dyDescent="0.25">
      <c r="A31" s="1757"/>
      <c r="B31" s="682" t="s">
        <v>71</v>
      </c>
      <c r="C31" s="759"/>
      <c r="D31" s="759" t="s">
        <v>1031</v>
      </c>
      <c r="E31" s="759" t="s">
        <v>1032</v>
      </c>
      <c r="F31" s="56">
        <v>155</v>
      </c>
      <c r="G31" s="56">
        <v>148</v>
      </c>
      <c r="H31" s="56">
        <v>146</v>
      </c>
      <c r="I31" s="56">
        <v>145</v>
      </c>
      <c r="J31" s="57"/>
      <c r="K31" s="193"/>
      <c r="L31" s="193"/>
      <c r="M31" s="193"/>
      <c r="N31" s="247">
        <f>(27835000/492000)/365*1000</f>
        <v>155.00055685488363</v>
      </c>
      <c r="O31" s="247" t="s">
        <v>5</v>
      </c>
      <c r="P31" s="247" t="s">
        <v>5</v>
      </c>
      <c r="Q31" s="247" t="s">
        <v>5</v>
      </c>
      <c r="S31" s="2429"/>
      <c r="T31" s="2429"/>
      <c r="U31" s="2435"/>
      <c r="V31" s="2429"/>
      <c r="W31" s="2435"/>
      <c r="X31" s="2429"/>
      <c r="Y31" s="2429"/>
      <c r="Z31" s="2429"/>
      <c r="AA31" s="2432"/>
      <c r="AB31" s="2445"/>
      <c r="AC31" s="2445"/>
      <c r="AD31" s="2445"/>
    </row>
    <row r="32" spans="1:30" ht="15.75" customHeight="1" x14ac:dyDescent="0.25">
      <c r="A32" s="1757"/>
      <c r="B32" s="682" t="s">
        <v>68</v>
      </c>
      <c r="C32" s="759" t="s">
        <v>429</v>
      </c>
      <c r="D32" s="759" t="s">
        <v>1031</v>
      </c>
      <c r="E32" s="759" t="s">
        <v>1032</v>
      </c>
      <c r="F32" s="56">
        <v>115</v>
      </c>
      <c r="G32" s="56">
        <v>95</v>
      </c>
      <c r="H32" s="56">
        <v>92</v>
      </c>
      <c r="I32" s="56">
        <v>93</v>
      </c>
      <c r="J32" s="57"/>
      <c r="K32" s="193"/>
      <c r="L32" s="193"/>
      <c r="M32" s="193"/>
      <c r="N32" s="247">
        <f>(46592000/1110000)/365*1000</f>
        <v>114.99938294458842</v>
      </c>
      <c r="O32" s="58">
        <f>(58676383/1146155)/366*1000</f>
        <v>139.87461236813328</v>
      </c>
      <c r="P32" s="58">
        <f>(60983902/1174169)/365*1000</f>
        <v>142.29568619308111</v>
      </c>
      <c r="Q32" s="58" t="s">
        <v>5</v>
      </c>
      <c r="S32" s="2429"/>
      <c r="T32" s="2429"/>
      <c r="U32" s="2435"/>
      <c r="V32" s="2429"/>
      <c r="W32" s="2435"/>
      <c r="X32" s="2429"/>
      <c r="Y32" s="2429"/>
      <c r="Z32" s="2429"/>
      <c r="AA32" s="2432"/>
      <c r="AB32" s="2445"/>
      <c r="AC32" s="2445"/>
      <c r="AD32" s="2445"/>
    </row>
    <row r="33" spans="1:30" ht="15.75" customHeight="1" x14ac:dyDescent="0.25">
      <c r="A33" s="1757"/>
      <c r="B33" s="682" t="s">
        <v>72</v>
      </c>
      <c r="C33" s="759"/>
      <c r="D33" s="759" t="s">
        <v>1031</v>
      </c>
      <c r="E33" s="759" t="s">
        <v>1032</v>
      </c>
      <c r="F33" s="56">
        <v>92</v>
      </c>
      <c r="G33" s="56">
        <v>94</v>
      </c>
      <c r="H33" s="56">
        <v>92</v>
      </c>
      <c r="I33" s="56">
        <v>94</v>
      </c>
      <c r="J33" s="57"/>
      <c r="K33" s="193"/>
      <c r="L33" s="193"/>
      <c r="M33" s="193"/>
      <c r="N33" s="247">
        <f>(6515000/194000)/365*1000</f>
        <v>92.006778703572948</v>
      </c>
      <c r="O33" s="247" t="s">
        <v>5</v>
      </c>
      <c r="P33" s="247" t="s">
        <v>5</v>
      </c>
      <c r="Q33" s="247" t="s">
        <v>5</v>
      </c>
      <c r="S33" s="2429"/>
      <c r="T33" s="2429"/>
      <c r="U33" s="2435"/>
      <c r="V33" s="2429"/>
      <c r="W33" s="2435"/>
      <c r="X33" s="2429"/>
      <c r="Y33" s="2429"/>
      <c r="Z33" s="2429"/>
      <c r="AA33" s="2432"/>
      <c r="AB33" s="2445"/>
      <c r="AC33" s="2445"/>
      <c r="AD33" s="2445"/>
    </row>
    <row r="34" spans="1:30" ht="15.75" customHeight="1" x14ac:dyDescent="0.25">
      <c r="A34" s="1757"/>
      <c r="B34" s="682" t="s">
        <v>69</v>
      </c>
      <c r="C34" s="759"/>
      <c r="D34" s="759" t="s">
        <v>1031</v>
      </c>
      <c r="E34" s="759" t="s">
        <v>1032</v>
      </c>
      <c r="F34" s="56">
        <v>102</v>
      </c>
      <c r="G34" s="56">
        <v>107</v>
      </c>
      <c r="H34" s="56">
        <v>104</v>
      </c>
      <c r="I34" s="56">
        <v>78</v>
      </c>
      <c r="J34" s="57"/>
      <c r="K34" s="193"/>
      <c r="L34" s="193"/>
      <c r="M34" s="193"/>
      <c r="N34" s="247">
        <f>(2792000/75000)/365*1000</f>
        <v>101.99086757990868</v>
      </c>
      <c r="O34" s="247" t="s">
        <v>5</v>
      </c>
      <c r="P34" s="247" t="s">
        <v>5</v>
      </c>
      <c r="Q34" s="247" t="s">
        <v>5</v>
      </c>
      <c r="S34" s="2429"/>
      <c r="T34" s="2429"/>
      <c r="U34" s="2435"/>
      <c r="V34" s="2429"/>
      <c r="W34" s="2435"/>
      <c r="X34" s="2429"/>
      <c r="Y34" s="2429"/>
      <c r="Z34" s="2429"/>
      <c r="AA34" s="2432"/>
      <c r="AB34" s="2445"/>
      <c r="AC34" s="2445"/>
      <c r="AD34" s="2445"/>
    </row>
    <row r="35" spans="1:30" ht="16.5" customHeight="1" x14ac:dyDescent="0.25">
      <c r="A35" s="1757"/>
      <c r="B35" s="734" t="s">
        <v>70</v>
      </c>
      <c r="C35" s="759"/>
      <c r="D35" s="759" t="s">
        <v>1031</v>
      </c>
      <c r="E35" s="759" t="s">
        <v>1032</v>
      </c>
      <c r="F35" s="56">
        <v>106</v>
      </c>
      <c r="G35" s="56">
        <v>112</v>
      </c>
      <c r="H35" s="56">
        <v>110</v>
      </c>
      <c r="I35" s="56">
        <v>88</v>
      </c>
      <c r="J35" s="57"/>
      <c r="K35" s="193"/>
      <c r="L35" s="193"/>
      <c r="M35" s="193"/>
      <c r="N35" s="247">
        <f>(2515000/65000)/365*1000</f>
        <v>106.00632244467862</v>
      </c>
      <c r="O35" s="247" t="s">
        <v>5</v>
      </c>
      <c r="P35" s="247" t="s">
        <v>5</v>
      </c>
      <c r="Q35" s="247" t="s">
        <v>5</v>
      </c>
      <c r="S35" s="2429"/>
      <c r="T35" s="2429"/>
      <c r="U35" s="2435"/>
      <c r="V35" s="2429"/>
      <c r="W35" s="2435"/>
      <c r="X35" s="2429"/>
      <c r="Y35" s="2429"/>
      <c r="Z35" s="2429"/>
      <c r="AA35" s="2432"/>
      <c r="AB35" s="2445"/>
      <c r="AC35" s="2445"/>
      <c r="AD35" s="2445"/>
    </row>
    <row r="36" spans="1:30" ht="16.5" customHeight="1" x14ac:dyDescent="0.25">
      <c r="A36" s="1757"/>
      <c r="B36" s="732" t="s">
        <v>216</v>
      </c>
      <c r="C36" s="759"/>
      <c r="D36" s="759" t="s">
        <v>1031</v>
      </c>
      <c r="E36" s="759" t="s">
        <v>1032</v>
      </c>
      <c r="F36" s="56">
        <v>89</v>
      </c>
      <c r="G36" s="56" t="s">
        <v>5</v>
      </c>
      <c r="H36" s="56" t="s">
        <v>5</v>
      </c>
      <c r="I36" s="56">
        <v>87</v>
      </c>
      <c r="J36" s="57"/>
      <c r="K36" s="193"/>
      <c r="L36" s="193"/>
      <c r="M36" s="193"/>
      <c r="N36" s="236">
        <f>(7959000/245000)/365*1000</f>
        <v>89.001956947162427</v>
      </c>
      <c r="O36" s="236" t="s">
        <v>5</v>
      </c>
      <c r="P36" s="236" t="s">
        <v>5</v>
      </c>
      <c r="Q36" s="236" t="s">
        <v>5</v>
      </c>
      <c r="S36" s="2429"/>
      <c r="T36" s="2429"/>
      <c r="U36" s="2435"/>
      <c r="V36" s="2429"/>
      <c r="W36" s="2435"/>
      <c r="X36" s="2429"/>
      <c r="Y36" s="2429"/>
      <c r="Z36" s="2429"/>
      <c r="AA36" s="2432"/>
      <c r="AB36" s="2445"/>
      <c r="AC36" s="2445"/>
      <c r="AD36" s="2445"/>
    </row>
    <row r="37" spans="1:30" ht="16.5" customHeight="1" thickBot="1" x14ac:dyDescent="0.3">
      <c r="A37" s="1758"/>
      <c r="B37" s="733" t="s">
        <v>629</v>
      </c>
      <c r="C37" s="759"/>
      <c r="D37" s="759" t="s">
        <v>1031</v>
      </c>
      <c r="E37" s="759" t="s">
        <v>1032</v>
      </c>
      <c r="F37" s="56" t="s">
        <v>5</v>
      </c>
      <c r="G37" s="56">
        <v>84</v>
      </c>
      <c r="H37" s="56">
        <v>72</v>
      </c>
      <c r="I37" s="56">
        <v>71</v>
      </c>
      <c r="J37" s="57"/>
      <c r="K37" s="193"/>
      <c r="L37" s="193"/>
      <c r="M37" s="193"/>
      <c r="N37" s="236" t="s">
        <v>5</v>
      </c>
      <c r="O37" s="236" t="s">
        <v>5</v>
      </c>
      <c r="P37" s="236" t="s">
        <v>5</v>
      </c>
      <c r="Q37" s="236" t="s">
        <v>5</v>
      </c>
      <c r="S37" s="2436"/>
      <c r="T37" s="2436"/>
      <c r="U37" s="2436"/>
      <c r="V37" s="2436"/>
      <c r="W37" s="2436"/>
      <c r="X37" s="2436"/>
      <c r="Y37" s="2436"/>
      <c r="Z37" s="2436"/>
      <c r="AA37" s="2449"/>
      <c r="AB37" s="2449"/>
      <c r="AC37" s="2449"/>
      <c r="AD37" s="2449"/>
    </row>
    <row r="38" spans="1:30" ht="15.75" customHeight="1" x14ac:dyDescent="0.25">
      <c r="A38" s="1878" t="s">
        <v>49</v>
      </c>
      <c r="B38" s="726" t="s">
        <v>460</v>
      </c>
      <c r="C38" s="631"/>
      <c r="D38" s="631" t="s">
        <v>1033</v>
      </c>
      <c r="E38" s="631" t="s">
        <v>1034</v>
      </c>
      <c r="F38" s="53">
        <v>178</v>
      </c>
      <c r="G38" s="53">
        <v>176</v>
      </c>
      <c r="H38" s="53">
        <v>179</v>
      </c>
      <c r="I38" s="56">
        <v>159.19999999999999</v>
      </c>
      <c r="J38" s="54"/>
      <c r="K38" s="54"/>
      <c r="L38" s="54"/>
      <c r="M38" s="54"/>
      <c r="N38" s="55" t="s">
        <v>5</v>
      </c>
      <c r="O38" s="58" t="s">
        <v>5</v>
      </c>
      <c r="P38" s="58" t="s">
        <v>5</v>
      </c>
      <c r="Q38" s="58">
        <f>(1621213200/27900000)/366*1000</f>
        <v>158.76502732240436</v>
      </c>
      <c r="S38" s="2450">
        <v>149</v>
      </c>
      <c r="T38" s="2450">
        <f>F39</f>
        <v>149</v>
      </c>
      <c r="U38" s="2434">
        <v>163</v>
      </c>
      <c r="V38" s="2434">
        <f>G39</f>
        <v>163</v>
      </c>
      <c r="W38" s="2434">
        <v>162</v>
      </c>
      <c r="X38" s="2434">
        <f>H39</f>
        <v>162</v>
      </c>
      <c r="Y38" s="2434">
        <f>I39</f>
        <v>154</v>
      </c>
      <c r="Z38" s="2434">
        <f>I39</f>
        <v>154</v>
      </c>
      <c r="AA38" s="2437" t="s">
        <v>5</v>
      </c>
      <c r="AB38" s="2437">
        <v>155</v>
      </c>
      <c r="AC38" s="2437" t="s">
        <v>5</v>
      </c>
      <c r="AD38" s="2444">
        <f>Q39</f>
        <v>153.57923497050413</v>
      </c>
    </row>
    <row r="39" spans="1:30" ht="15.75" customHeight="1" x14ac:dyDescent="0.25">
      <c r="A39" s="1757"/>
      <c r="B39" s="727" t="s">
        <v>459</v>
      </c>
      <c r="C39" s="631"/>
      <c r="D39" s="631" t="s">
        <v>1033</v>
      </c>
      <c r="E39" s="631" t="s">
        <v>1034</v>
      </c>
      <c r="F39" s="53">
        <v>149</v>
      </c>
      <c r="G39" s="53">
        <v>163</v>
      </c>
      <c r="H39" s="53">
        <v>162</v>
      </c>
      <c r="I39" s="56">
        <v>154</v>
      </c>
      <c r="J39" s="54"/>
      <c r="K39" s="54"/>
      <c r="L39" s="54"/>
      <c r="M39" s="54"/>
      <c r="N39" s="55" t="s">
        <v>5</v>
      </c>
      <c r="O39" s="58">
        <f>(9355778000/165176000)/366*1000</f>
        <v>154.75756146581585</v>
      </c>
      <c r="P39" s="58" t="s">
        <v>5</v>
      </c>
      <c r="Q39" s="58">
        <f>(9892596546/175993534)/366*1000</f>
        <v>153.57923497050413</v>
      </c>
      <c r="S39" s="2465"/>
      <c r="T39" s="2451"/>
      <c r="U39" s="2435"/>
      <c r="V39" s="2429"/>
      <c r="W39" s="2435"/>
      <c r="X39" s="2435"/>
      <c r="Y39" s="2435"/>
      <c r="Z39" s="2435"/>
      <c r="AA39" s="2438"/>
      <c r="AB39" s="2438"/>
      <c r="AC39" s="2438"/>
      <c r="AD39" s="2438"/>
    </row>
    <row r="40" spans="1:30" ht="16.5" customHeight="1" thickBot="1" x14ac:dyDescent="0.3">
      <c r="A40" s="1758"/>
      <c r="B40" s="728" t="s">
        <v>933</v>
      </c>
      <c r="C40" s="631" t="s">
        <v>429</v>
      </c>
      <c r="D40" s="631" t="s">
        <v>1033</v>
      </c>
      <c r="E40" s="631" t="s">
        <v>1034</v>
      </c>
      <c r="F40" s="53">
        <v>172</v>
      </c>
      <c r="G40" s="53">
        <v>187</v>
      </c>
      <c r="H40" s="53">
        <v>181</v>
      </c>
      <c r="I40" s="56">
        <v>153.69999999999999</v>
      </c>
      <c r="J40" s="54"/>
      <c r="K40" s="54"/>
      <c r="L40" s="54"/>
      <c r="M40" s="54"/>
      <c r="N40" s="55" t="s">
        <v>5</v>
      </c>
      <c r="O40" s="55" t="s">
        <v>5</v>
      </c>
      <c r="P40" s="55" t="s">
        <v>5</v>
      </c>
      <c r="Q40" s="58">
        <f>(145300295/2590000)/366*1000</f>
        <v>153.28005464480873</v>
      </c>
      <c r="S40" s="2452"/>
      <c r="T40" s="2452"/>
      <c r="U40" s="2436"/>
      <c r="V40" s="2436"/>
      <c r="W40" s="2436"/>
      <c r="X40" s="2436"/>
      <c r="Y40" s="2436"/>
      <c r="Z40" s="2436"/>
      <c r="AA40" s="2439"/>
      <c r="AB40" s="2439"/>
      <c r="AC40" s="2439"/>
      <c r="AD40" s="2439"/>
    </row>
    <row r="41" spans="1:30" ht="16.5" customHeight="1" thickBot="1" x14ac:dyDescent="0.3">
      <c r="A41" s="961" t="s">
        <v>487</v>
      </c>
      <c r="B41" s="263" t="s">
        <v>488</v>
      </c>
      <c r="C41" s="263"/>
      <c r="D41" s="263" t="s">
        <v>1033</v>
      </c>
      <c r="E41" s="263" t="s">
        <v>1034</v>
      </c>
      <c r="F41" s="53">
        <v>184</v>
      </c>
      <c r="G41" s="53"/>
      <c r="H41" s="53"/>
      <c r="I41" s="53"/>
      <c r="J41" s="54"/>
      <c r="K41" s="54"/>
      <c r="L41" s="54"/>
      <c r="M41" s="54"/>
      <c r="N41" s="58">
        <f>(1700000000/25380000)/365*1000</f>
        <v>183.51198765072272</v>
      </c>
      <c r="O41" s="58"/>
      <c r="P41" s="58"/>
      <c r="Q41" s="58"/>
      <c r="S41" s="933">
        <v>184</v>
      </c>
      <c r="T41" s="933"/>
      <c r="U41" s="939"/>
      <c r="V41" s="933"/>
      <c r="W41" s="939"/>
      <c r="X41" s="939"/>
      <c r="Y41" s="933"/>
      <c r="Z41" s="933"/>
      <c r="AA41" s="927">
        <f>N41</f>
        <v>183.51198765072272</v>
      </c>
      <c r="AB41" s="927"/>
      <c r="AC41" s="927"/>
      <c r="AD41" s="927"/>
    </row>
    <row r="42" spans="1:30" ht="15.75" customHeight="1" x14ac:dyDescent="0.25">
      <c r="A42" s="1818" t="s">
        <v>7</v>
      </c>
      <c r="B42" s="621" t="s">
        <v>73</v>
      </c>
      <c r="C42" s="759" t="s">
        <v>429</v>
      </c>
      <c r="D42" s="759" t="s">
        <v>1035</v>
      </c>
      <c r="E42" s="759" t="s">
        <v>1036</v>
      </c>
      <c r="F42" s="53">
        <v>140</v>
      </c>
      <c r="G42" s="53">
        <v>134</v>
      </c>
      <c r="H42" s="53" t="s">
        <v>5</v>
      </c>
      <c r="I42" s="56">
        <v>165.40799999999999</v>
      </c>
      <c r="J42" s="54"/>
      <c r="K42" s="54"/>
      <c r="L42" s="54"/>
      <c r="M42" s="54"/>
      <c r="N42" s="58">
        <f>(69850000/1291591)/365*1000</f>
        <v>148.16599296038657</v>
      </c>
      <c r="O42" s="58">
        <f>(59221157/1210819)/366*1000</f>
        <v>133.63387912702922</v>
      </c>
      <c r="P42" s="58" t="s">
        <v>5</v>
      </c>
      <c r="Q42" s="58">
        <f>(79913078/1323637)/366*1000</f>
        <v>164.95590797884839</v>
      </c>
      <c r="S42" s="2434">
        <f>SUM(F42:F46)/5</f>
        <v>97.6</v>
      </c>
      <c r="T42" s="2434">
        <f>MEDIAN(F42:F46)</f>
        <v>94</v>
      </c>
      <c r="U42" s="2434">
        <f>SUM(G42:G46)/5</f>
        <v>103</v>
      </c>
      <c r="V42" s="2434">
        <f>MEDIAN(G42:G46)</f>
        <v>103</v>
      </c>
      <c r="W42" s="2434" t="s">
        <v>5</v>
      </c>
      <c r="X42" s="2434" t="s">
        <v>5</v>
      </c>
      <c r="Y42" s="2434">
        <f>SUM(I42:I46)/5</f>
        <v>137.88299999999998</v>
      </c>
      <c r="Z42" s="2434">
        <f>MEDIAN(I42:I46)</f>
        <v>123.43899999999999</v>
      </c>
      <c r="AA42" s="2444">
        <f>SUM(N42:N46)/5</f>
        <v>272.54121427264681</v>
      </c>
      <c r="AB42" s="2444">
        <f>SUM(O42:O46)/5</f>
        <v>102.84152595976893</v>
      </c>
      <c r="AC42" s="2444" t="s">
        <v>5</v>
      </c>
      <c r="AD42" s="2444">
        <f>SUM(Q42:Q46)/5</f>
        <v>137.50593522931229</v>
      </c>
    </row>
    <row r="43" spans="1:30" ht="15.75" customHeight="1" x14ac:dyDescent="0.25">
      <c r="A43" s="1819"/>
      <c r="B43" s="682" t="s">
        <v>74</v>
      </c>
      <c r="C43" s="759"/>
      <c r="D43" s="759" t="s">
        <v>1035</v>
      </c>
      <c r="E43" s="759" t="s">
        <v>1036</v>
      </c>
      <c r="F43" s="53">
        <v>111</v>
      </c>
      <c r="G43" s="53">
        <v>116</v>
      </c>
      <c r="H43" s="53" t="s">
        <v>5</v>
      </c>
      <c r="I43" s="56">
        <v>190.684</v>
      </c>
      <c r="J43" s="54"/>
      <c r="K43" s="54"/>
      <c r="L43" s="54"/>
      <c r="M43" s="54"/>
      <c r="N43" s="58">
        <f>(25980000/200271)/365*1000</f>
        <v>355.40883199155553</v>
      </c>
      <c r="O43" s="58">
        <f>(8437642/199283)/366*1000</f>
        <v>115.68305709301177</v>
      </c>
      <c r="P43" s="58" t="s">
        <v>5</v>
      </c>
      <c r="Q43" s="58">
        <f>(28888234/415063)/366*1000</f>
        <v>190.16294175317043</v>
      </c>
      <c r="S43" s="2429"/>
      <c r="T43" s="2429"/>
      <c r="U43" s="2435"/>
      <c r="V43" s="2429"/>
      <c r="W43" s="2435"/>
      <c r="X43" s="2429"/>
      <c r="Y43" s="2429"/>
      <c r="Z43" s="2429"/>
      <c r="AA43" s="2432"/>
      <c r="AB43" s="2456"/>
      <c r="AC43" s="2456"/>
      <c r="AD43" s="2456"/>
    </row>
    <row r="44" spans="1:30" ht="15.75" customHeight="1" x14ac:dyDescent="0.25">
      <c r="A44" s="1819"/>
      <c r="B44" s="682" t="s">
        <v>75</v>
      </c>
      <c r="C44" s="759"/>
      <c r="D44" s="759" t="s">
        <v>1035</v>
      </c>
      <c r="E44" s="759" t="s">
        <v>1036</v>
      </c>
      <c r="F44" s="53">
        <v>94</v>
      </c>
      <c r="G44" s="53">
        <v>103</v>
      </c>
      <c r="H44" s="53" t="s">
        <v>5</v>
      </c>
      <c r="I44" s="56">
        <v>123.43899999999999</v>
      </c>
      <c r="J44" s="54"/>
      <c r="K44" s="54"/>
      <c r="L44" s="54"/>
      <c r="M44" s="54"/>
      <c r="N44" s="58">
        <f>(12190000/106954)/365*1000</f>
        <v>312.25816962406833</v>
      </c>
      <c r="O44" s="58">
        <f>(3949242/105047)/366*1000</f>
        <v>102.71858014531202</v>
      </c>
      <c r="P44" s="58" t="s">
        <v>5</v>
      </c>
      <c r="Q44" s="58">
        <f>(10611592/235525)/366*1000</f>
        <v>123.10124515455821</v>
      </c>
      <c r="S44" s="2429"/>
      <c r="T44" s="2429"/>
      <c r="U44" s="2435"/>
      <c r="V44" s="2429"/>
      <c r="W44" s="2435"/>
      <c r="X44" s="2429"/>
      <c r="Y44" s="2429"/>
      <c r="Z44" s="2429"/>
      <c r="AA44" s="2432"/>
      <c r="AB44" s="2456"/>
      <c r="AC44" s="2456"/>
      <c r="AD44" s="2456"/>
    </row>
    <row r="45" spans="1:30" ht="15.75" customHeight="1" x14ac:dyDescent="0.25">
      <c r="A45" s="1819"/>
      <c r="B45" s="682" t="s">
        <v>76</v>
      </c>
      <c r="C45" s="759"/>
      <c r="D45" s="759" t="s">
        <v>1035</v>
      </c>
      <c r="E45" s="759" t="s">
        <v>1036</v>
      </c>
      <c r="F45" s="56">
        <v>66</v>
      </c>
      <c r="G45" s="56">
        <v>77</v>
      </c>
      <c r="H45" s="56" t="s">
        <v>5</v>
      </c>
      <c r="I45" s="56">
        <v>106.72</v>
      </c>
      <c r="J45" s="54"/>
      <c r="K45" s="54"/>
      <c r="L45" s="54"/>
      <c r="M45" s="54"/>
      <c r="N45" s="58">
        <f>(3820000/33880)/365*1000</f>
        <v>308.90653555659787</v>
      </c>
      <c r="O45" s="58">
        <f>(933395/33211)/366*1000</f>
        <v>76.78960473462196</v>
      </c>
      <c r="P45" s="58" t="s">
        <v>5</v>
      </c>
      <c r="Q45" s="58">
        <f>(3598210/92374)/366*1000</f>
        <v>106.42794361387379</v>
      </c>
      <c r="S45" s="2429"/>
      <c r="T45" s="2429"/>
      <c r="U45" s="2435"/>
      <c r="V45" s="2429"/>
      <c r="W45" s="2435"/>
      <c r="X45" s="2429"/>
      <c r="Y45" s="2429"/>
      <c r="Z45" s="2429"/>
      <c r="AA45" s="2432"/>
      <c r="AB45" s="2456"/>
      <c r="AC45" s="2456"/>
      <c r="AD45" s="2456"/>
    </row>
    <row r="46" spans="1:30" ht="16.5" customHeight="1" thickBot="1" x14ac:dyDescent="0.3">
      <c r="A46" s="1820"/>
      <c r="B46" s="683" t="s">
        <v>77</v>
      </c>
      <c r="C46" s="759"/>
      <c r="D46" s="759" t="s">
        <v>1035</v>
      </c>
      <c r="E46" s="759" t="s">
        <v>1036</v>
      </c>
      <c r="F46" s="56">
        <v>77</v>
      </c>
      <c r="G46" s="56">
        <v>85</v>
      </c>
      <c r="H46" s="56" t="s">
        <v>5</v>
      </c>
      <c r="I46" s="56">
        <v>103.164</v>
      </c>
      <c r="J46" s="54"/>
      <c r="K46" s="54"/>
      <c r="L46" s="54"/>
      <c r="M46" s="54"/>
      <c r="N46" s="58">
        <f>(12010000/138272)/365*1000</f>
        <v>237.96654123062584</v>
      </c>
      <c r="O46" s="58">
        <f>(4301531/137649)/366*1000</f>
        <v>85.382508698869671</v>
      </c>
      <c r="P46" s="58" t="s">
        <v>5</v>
      </c>
      <c r="Q46" s="58">
        <f>(13633931/362078)/366*1000</f>
        <v>102.88163764611053</v>
      </c>
      <c r="S46" s="2436"/>
      <c r="T46" s="2436"/>
      <c r="U46" s="2436"/>
      <c r="V46" s="2436"/>
      <c r="W46" s="2436"/>
      <c r="X46" s="2436"/>
      <c r="Y46" s="2436"/>
      <c r="Z46" s="2436"/>
      <c r="AA46" s="2449"/>
      <c r="AB46" s="2449"/>
      <c r="AC46" s="2449"/>
      <c r="AD46" s="2449"/>
    </row>
    <row r="47" spans="1:30" ht="16.5" customHeight="1" thickBot="1" x14ac:dyDescent="0.3">
      <c r="A47" s="959" t="s">
        <v>501</v>
      </c>
      <c r="B47" s="264" t="s">
        <v>502</v>
      </c>
      <c r="C47" s="452"/>
      <c r="D47" s="452" t="s">
        <v>1037</v>
      </c>
      <c r="E47" s="452" t="s">
        <v>1038</v>
      </c>
      <c r="F47" s="56">
        <v>45</v>
      </c>
      <c r="G47" s="56"/>
      <c r="H47" s="56"/>
      <c r="I47" s="56"/>
      <c r="J47" s="54"/>
      <c r="K47" s="54"/>
      <c r="L47" s="54"/>
      <c r="M47" s="54"/>
      <c r="N47" s="58">
        <f>(41301218/2520000)/365*1000</f>
        <v>44.90238964992389</v>
      </c>
      <c r="O47" s="58"/>
      <c r="P47" s="58"/>
      <c r="Q47" s="58"/>
      <c r="S47" s="935">
        <v>45</v>
      </c>
      <c r="T47" s="935"/>
      <c r="U47" s="935"/>
      <c r="V47" s="935"/>
      <c r="W47" s="227"/>
      <c r="X47" s="227"/>
      <c r="Y47" s="227"/>
      <c r="Z47" s="227"/>
      <c r="AA47" s="237">
        <f>N47</f>
        <v>44.90238964992389</v>
      </c>
      <c r="AB47" s="237"/>
      <c r="AC47" s="237"/>
      <c r="AD47" s="237"/>
    </row>
    <row r="48" spans="1:30" ht="16.5" customHeight="1" x14ac:dyDescent="0.25">
      <c r="A48" s="2474" t="s">
        <v>343</v>
      </c>
      <c r="B48" s="740" t="s">
        <v>548</v>
      </c>
      <c r="C48" s="724"/>
      <c r="D48" s="724" t="s">
        <v>1039</v>
      </c>
      <c r="E48" s="724" t="s">
        <v>1040</v>
      </c>
      <c r="F48" s="56">
        <v>198</v>
      </c>
      <c r="G48" s="56">
        <v>199</v>
      </c>
      <c r="H48" s="56">
        <v>181</v>
      </c>
      <c r="I48" s="56">
        <v>168</v>
      </c>
      <c r="J48" s="54"/>
      <c r="K48" s="54"/>
      <c r="L48" s="54"/>
      <c r="M48" s="54"/>
      <c r="N48" s="58">
        <f>(138402310/1137761)/365*1000</f>
        <v>333.27246316133534</v>
      </c>
      <c r="O48" s="58">
        <f>(149296000/1120225)/366*1000</f>
        <v>364.13449825348562</v>
      </c>
      <c r="P48" s="58">
        <f>(128618000/1195196)/365*1000</f>
        <v>294.82869938636077</v>
      </c>
      <c r="Q48" s="58">
        <f>(116275000/1312428)/366*1000</f>
        <v>242.06376032102415</v>
      </c>
      <c r="S48" s="2470">
        <f>SUM(F48:F53)/5</f>
        <v>194.6</v>
      </c>
      <c r="T48" s="2470">
        <f>MEDIAN(F48:F55)</f>
        <v>198</v>
      </c>
      <c r="U48" s="2470">
        <f>(G48+G50+G53)/3</f>
        <v>192.33333333333334</v>
      </c>
      <c r="V48" s="2470">
        <f>MEDIAN(G48:G55)</f>
        <v>199</v>
      </c>
      <c r="W48" s="2470">
        <f>SUM(H48:H55)/4</f>
        <v>218.75</v>
      </c>
      <c r="X48" s="2470">
        <f>MEDIAN(H48:H55)</f>
        <v>180</v>
      </c>
      <c r="Y48" s="2470">
        <f>SUM(I48:I55)/5</f>
        <v>200.4</v>
      </c>
      <c r="Z48" s="2470">
        <f>MEDIAN(I48:I55)</f>
        <v>168</v>
      </c>
      <c r="AA48" s="2469">
        <f>SUM(N48:N53)/5</f>
        <v>310.64151097464878</v>
      </c>
      <c r="AB48" s="2469">
        <f>(O48+O50+O53)/3</f>
        <v>295.20757822901845</v>
      </c>
      <c r="AC48" s="2469">
        <f>SUM(P48:P55)/4</f>
        <v>316.84315033209089</v>
      </c>
      <c r="AD48" s="2469">
        <f>SUM(Q48:Q55)/5</f>
        <v>290.92561552334928</v>
      </c>
    </row>
    <row r="49" spans="1:30" ht="16.5" customHeight="1" x14ac:dyDescent="0.25">
      <c r="A49" s="1757"/>
      <c r="B49" s="724" t="s">
        <v>940</v>
      </c>
      <c r="C49" s="724" t="s">
        <v>429</v>
      </c>
      <c r="D49" s="724" t="s">
        <v>1039</v>
      </c>
      <c r="E49" s="724" t="s">
        <v>1040</v>
      </c>
      <c r="F49" s="56" t="s">
        <v>5</v>
      </c>
      <c r="G49" s="56" t="s">
        <v>5</v>
      </c>
      <c r="H49" s="56" t="s">
        <v>5</v>
      </c>
      <c r="I49" s="56" t="s">
        <v>5</v>
      </c>
      <c r="J49" s="54"/>
      <c r="K49" s="54"/>
      <c r="L49" s="54"/>
      <c r="M49" s="54"/>
      <c r="N49" s="58" t="s">
        <v>5</v>
      </c>
      <c r="O49" s="58" t="s">
        <v>5</v>
      </c>
      <c r="P49" s="58" t="s">
        <v>5</v>
      </c>
      <c r="Q49" s="58" t="s">
        <v>5</v>
      </c>
      <c r="S49" s="2429"/>
      <c r="T49" s="2429"/>
      <c r="U49" s="2429"/>
      <c r="V49" s="2429"/>
      <c r="W49" s="2429"/>
      <c r="X49" s="2429"/>
      <c r="Y49" s="2429"/>
      <c r="Z49" s="2429"/>
      <c r="AA49" s="2432"/>
      <c r="AB49" s="2432"/>
      <c r="AC49" s="2432"/>
      <c r="AD49" s="2432"/>
    </row>
    <row r="50" spans="1:30" ht="16.5" customHeight="1" x14ac:dyDescent="0.25">
      <c r="A50" s="1757"/>
      <c r="B50" s="742" t="s">
        <v>549</v>
      </c>
      <c r="C50" s="724"/>
      <c r="D50" s="724" t="s">
        <v>1039</v>
      </c>
      <c r="E50" s="724" t="s">
        <v>1040</v>
      </c>
      <c r="F50" s="56">
        <v>149</v>
      </c>
      <c r="G50" s="56">
        <v>172</v>
      </c>
      <c r="H50" s="56">
        <v>163</v>
      </c>
      <c r="I50" s="56">
        <v>150</v>
      </c>
      <c r="J50" s="54"/>
      <c r="K50" s="54"/>
      <c r="L50" s="54"/>
      <c r="M50" s="54"/>
      <c r="N50" s="58">
        <f>(63140000/683200)/365*1000</f>
        <v>253.20008982708288</v>
      </c>
      <c r="O50" s="58">
        <f>(64906000/704800)/366*1000</f>
        <v>251.61577442424471</v>
      </c>
      <c r="P50" s="58">
        <f>(61628000/709253)/365*1000</f>
        <v>238.05868373688708</v>
      </c>
      <c r="Q50" s="58">
        <f>(58577000/735600)/366*1000</f>
        <v>217.57265917269126</v>
      </c>
      <c r="S50" s="2435"/>
      <c r="T50" s="2429"/>
      <c r="U50" s="2435"/>
      <c r="V50" s="2429"/>
      <c r="W50" s="2435"/>
      <c r="X50" s="2435"/>
      <c r="Y50" s="2429"/>
      <c r="Z50" s="2429"/>
      <c r="AA50" s="2445"/>
      <c r="AB50" s="2445"/>
      <c r="AC50" s="2445"/>
      <c r="AD50" s="2445"/>
    </row>
    <row r="51" spans="1:30" ht="16.5" customHeight="1" x14ac:dyDescent="0.25">
      <c r="A51" s="1757"/>
      <c r="B51" s="454" t="s">
        <v>550</v>
      </c>
      <c r="C51" s="452"/>
      <c r="D51" s="452" t="s">
        <v>1039</v>
      </c>
      <c r="E51" s="452" t="s">
        <v>1040</v>
      </c>
      <c r="F51" s="56">
        <v>185</v>
      </c>
      <c r="G51" s="56" t="s">
        <v>5</v>
      </c>
      <c r="H51" s="56" t="s">
        <v>5</v>
      </c>
      <c r="I51" s="56" t="s">
        <v>5</v>
      </c>
      <c r="J51" s="54"/>
      <c r="K51" s="54"/>
      <c r="L51" s="54"/>
      <c r="M51" s="54"/>
      <c r="N51" s="58">
        <f>(20909060/210564)/365*1000</f>
        <v>272.05550754360172</v>
      </c>
      <c r="O51" s="58" t="s">
        <v>5</v>
      </c>
      <c r="P51" s="58" t="s">
        <v>5</v>
      </c>
      <c r="Q51" s="58" t="s">
        <v>5</v>
      </c>
      <c r="S51" s="2435"/>
      <c r="T51" s="2429"/>
      <c r="U51" s="2435"/>
      <c r="V51" s="2429"/>
      <c r="W51" s="2435"/>
      <c r="X51" s="2435"/>
      <c r="Y51" s="2429"/>
      <c r="Z51" s="2429"/>
      <c r="AA51" s="2445"/>
      <c r="AB51" s="2445"/>
      <c r="AC51" s="2445"/>
      <c r="AD51" s="2445"/>
    </row>
    <row r="52" spans="1:30" ht="16.5" customHeight="1" x14ac:dyDescent="0.25">
      <c r="A52" s="1757"/>
      <c r="B52" s="454" t="s">
        <v>551</v>
      </c>
      <c r="C52" s="452"/>
      <c r="D52" s="452" t="s">
        <v>1039</v>
      </c>
      <c r="E52" s="452" t="s">
        <v>1040</v>
      </c>
      <c r="F52" s="56">
        <v>240</v>
      </c>
      <c r="G52" s="56" t="s">
        <v>5</v>
      </c>
      <c r="H52" s="56" t="s">
        <v>5</v>
      </c>
      <c r="I52" s="56" t="s">
        <v>5</v>
      </c>
      <c r="J52" s="54"/>
      <c r="K52" s="54"/>
      <c r="L52" s="54"/>
      <c r="M52" s="54"/>
      <c r="N52" s="58">
        <f>(36541390/193255)/365*1000</f>
        <v>518.03781149400515</v>
      </c>
      <c r="O52" s="58" t="s">
        <v>5</v>
      </c>
      <c r="P52" s="58" t="s">
        <v>5</v>
      </c>
      <c r="Q52" s="58" t="s">
        <v>5</v>
      </c>
      <c r="S52" s="2435"/>
      <c r="T52" s="2429"/>
      <c r="U52" s="2435"/>
      <c r="V52" s="2429"/>
      <c r="W52" s="2435"/>
      <c r="X52" s="2435"/>
      <c r="Y52" s="2429"/>
      <c r="Z52" s="2429"/>
      <c r="AA52" s="2445"/>
      <c r="AB52" s="2445"/>
      <c r="AC52" s="2445"/>
      <c r="AD52" s="2445"/>
    </row>
    <row r="53" spans="1:30" ht="16.5" customHeight="1" x14ac:dyDescent="0.25">
      <c r="A53" s="1757"/>
      <c r="B53" s="733" t="s">
        <v>552</v>
      </c>
      <c r="C53" s="724"/>
      <c r="D53" s="724" t="s">
        <v>1039</v>
      </c>
      <c r="E53" s="724" t="s">
        <v>1040</v>
      </c>
      <c r="F53" s="56">
        <v>201</v>
      </c>
      <c r="G53" s="56">
        <v>206</v>
      </c>
      <c r="H53" s="56">
        <v>179</v>
      </c>
      <c r="I53" s="56">
        <v>179</v>
      </c>
      <c r="J53" s="54"/>
      <c r="K53" s="54"/>
      <c r="L53" s="54"/>
      <c r="M53" s="54"/>
      <c r="N53" s="58">
        <f>(37453200/580902)/365*1000</f>
        <v>176.64168284721873</v>
      </c>
      <c r="O53" s="58">
        <f>(55313850/560008)/366*1000</f>
        <v>269.87246200932492</v>
      </c>
      <c r="P53" s="58">
        <f>(53950000/603828)/365*1000</f>
        <v>244.78530173837945</v>
      </c>
      <c r="Q53" s="58">
        <f>(39947120/612382)/366*1000</f>
        <v>178.23047805458333</v>
      </c>
      <c r="S53" s="2435"/>
      <c r="T53" s="2429"/>
      <c r="U53" s="2435"/>
      <c r="V53" s="2429"/>
      <c r="W53" s="2435"/>
      <c r="X53" s="2435"/>
      <c r="Y53" s="2429"/>
      <c r="Z53" s="2429"/>
      <c r="AA53" s="2445"/>
      <c r="AB53" s="2445"/>
      <c r="AC53" s="2445"/>
      <c r="AD53" s="2445"/>
    </row>
    <row r="54" spans="1:30" ht="16.5" customHeight="1" x14ac:dyDescent="0.25">
      <c r="A54" s="1757"/>
      <c r="B54" s="733" t="s">
        <v>722</v>
      </c>
      <c r="C54" s="724"/>
      <c r="D54" s="724" t="s">
        <v>1039</v>
      </c>
      <c r="E54" s="724" t="s">
        <v>1040</v>
      </c>
      <c r="F54" s="56" t="s">
        <v>5</v>
      </c>
      <c r="G54" s="56" t="s">
        <v>5</v>
      </c>
      <c r="H54" s="56" t="s">
        <v>5</v>
      </c>
      <c r="I54" s="56">
        <v>156</v>
      </c>
      <c r="J54" s="54"/>
      <c r="K54" s="54"/>
      <c r="L54" s="54"/>
      <c r="M54" s="54"/>
      <c r="N54" s="58" t="s">
        <v>5</v>
      </c>
      <c r="O54" s="58" t="s">
        <v>5</v>
      </c>
      <c r="P54" s="58" t="s">
        <v>5</v>
      </c>
      <c r="Q54" s="58">
        <f>(32294400/258609)/366*1000</f>
        <v>341.19487556028787</v>
      </c>
      <c r="S54" s="2435"/>
      <c r="T54" s="2429"/>
      <c r="U54" s="2435"/>
      <c r="V54" s="2429"/>
      <c r="W54" s="2435"/>
      <c r="X54" s="2435"/>
      <c r="Y54" s="2429"/>
      <c r="Z54" s="2429"/>
      <c r="AA54" s="2445"/>
      <c r="AB54" s="2445"/>
      <c r="AC54" s="2445"/>
      <c r="AD54" s="2445"/>
    </row>
    <row r="55" spans="1:30" ht="16.5" customHeight="1" thickBot="1" x14ac:dyDescent="0.3">
      <c r="A55" s="2475"/>
      <c r="B55" s="741" t="s">
        <v>723</v>
      </c>
      <c r="C55" s="724"/>
      <c r="D55" s="724" t="s">
        <v>1039</v>
      </c>
      <c r="E55" s="724" t="s">
        <v>1040</v>
      </c>
      <c r="F55" s="56" t="s">
        <v>5</v>
      </c>
      <c r="G55" s="56" t="s">
        <v>5</v>
      </c>
      <c r="H55" s="56">
        <v>352</v>
      </c>
      <c r="I55" s="56">
        <v>349</v>
      </c>
      <c r="J55" s="54"/>
      <c r="K55" s="54"/>
      <c r="L55" s="54"/>
      <c r="M55" s="54"/>
      <c r="N55" s="58" t="s">
        <v>5</v>
      </c>
      <c r="O55" s="58" t="s">
        <v>5</v>
      </c>
      <c r="P55" s="58">
        <f>(112762000/630870)/365*1000</f>
        <v>489.69991646673617</v>
      </c>
      <c r="Q55" s="58">
        <f>(112080000/643926)/366*1000</f>
        <v>475.56630450815976</v>
      </c>
      <c r="S55" s="2471"/>
      <c r="T55" s="2471"/>
      <c r="U55" s="2471"/>
      <c r="V55" s="2471"/>
      <c r="W55" s="2471"/>
      <c r="X55" s="2471"/>
      <c r="Y55" s="2471"/>
      <c r="Z55" s="2471"/>
      <c r="AA55" s="2472"/>
      <c r="AB55" s="2472"/>
      <c r="AC55" s="2472"/>
      <c r="AD55" s="2472"/>
    </row>
    <row r="56" spans="1:30" ht="16.5" customHeight="1" x14ac:dyDescent="0.25">
      <c r="A56" s="2473" t="s">
        <v>489</v>
      </c>
      <c r="B56" s="499" t="s">
        <v>728</v>
      </c>
      <c r="C56" s="452"/>
      <c r="D56" s="452" t="s">
        <v>1041</v>
      </c>
      <c r="E56" s="452" t="s">
        <v>1042</v>
      </c>
      <c r="F56" s="56" t="s">
        <v>5</v>
      </c>
      <c r="G56" s="56" t="s">
        <v>5</v>
      </c>
      <c r="H56" s="56">
        <v>151.80000000000001</v>
      </c>
      <c r="I56" s="56"/>
      <c r="J56" s="54"/>
      <c r="K56" s="54"/>
      <c r="L56" s="54"/>
      <c r="M56" s="54"/>
      <c r="N56" s="58" t="s">
        <v>5</v>
      </c>
      <c r="O56" s="58" t="s">
        <v>5</v>
      </c>
      <c r="P56" s="58">
        <f>(23896831/381358)/365*1000</f>
        <v>171.67797676465079</v>
      </c>
      <c r="Q56" s="58"/>
      <c r="S56" s="2470">
        <v>182</v>
      </c>
      <c r="T56" s="2470">
        <f>F62</f>
        <v>182</v>
      </c>
      <c r="U56" s="2470" t="s">
        <v>5</v>
      </c>
      <c r="V56" s="2470" t="s">
        <v>5</v>
      </c>
      <c r="W56" s="2470">
        <f>SUM(H56:H61)/6</f>
        <v>154.38333333333333</v>
      </c>
      <c r="X56" s="2470">
        <f>MEDIAN(H56:H61)</f>
        <v>151.65</v>
      </c>
      <c r="Y56" s="946"/>
      <c r="Z56" s="946"/>
      <c r="AA56" s="2469" t="s">
        <v>5</v>
      </c>
      <c r="AB56" s="2469" t="s">
        <v>5</v>
      </c>
      <c r="AC56" s="2469">
        <f>SUM(P56:P61)/6</f>
        <v>170.76136901988318</v>
      </c>
      <c r="AD56" s="2469"/>
    </row>
    <row r="57" spans="1:30" ht="16.5" customHeight="1" x14ac:dyDescent="0.25">
      <c r="A57" s="2005"/>
      <c r="B57" s="498" t="s">
        <v>492</v>
      </c>
      <c r="C57" s="452"/>
      <c r="D57" s="452" t="s">
        <v>1041</v>
      </c>
      <c r="E57" s="452" t="s">
        <v>1042</v>
      </c>
      <c r="F57" s="56" t="s">
        <v>5</v>
      </c>
      <c r="G57" s="56" t="s">
        <v>5</v>
      </c>
      <c r="H57" s="56">
        <v>130.5</v>
      </c>
      <c r="I57" s="56"/>
      <c r="J57" s="54"/>
      <c r="K57" s="54"/>
      <c r="L57" s="54"/>
      <c r="M57" s="54"/>
      <c r="N57" s="58" t="s">
        <v>5</v>
      </c>
      <c r="O57" s="58" t="s">
        <v>5</v>
      </c>
      <c r="P57" s="58">
        <f>(14823354/275548)/365*1000</f>
        <v>147.38604078825935</v>
      </c>
      <c r="Q57" s="58"/>
      <c r="S57" s="2435"/>
      <c r="T57" s="2429"/>
      <c r="U57" s="2435"/>
      <c r="V57" s="2429"/>
      <c r="W57" s="2435"/>
      <c r="X57" s="2435"/>
      <c r="Y57" s="936"/>
      <c r="Z57" s="936"/>
      <c r="AA57" s="2445"/>
      <c r="AB57" s="2445"/>
      <c r="AC57" s="2445"/>
      <c r="AD57" s="2445"/>
    </row>
    <row r="58" spans="1:30" ht="16.5" customHeight="1" x14ac:dyDescent="0.25">
      <c r="A58" s="2005"/>
      <c r="B58" s="498" t="s">
        <v>729</v>
      </c>
      <c r="C58" s="452"/>
      <c r="D58" s="452" t="s">
        <v>1041</v>
      </c>
      <c r="E58" s="452" t="s">
        <v>1042</v>
      </c>
      <c r="F58" s="56" t="s">
        <v>5</v>
      </c>
      <c r="G58" s="56" t="s">
        <v>5</v>
      </c>
      <c r="H58" s="56">
        <v>162.19999999999999</v>
      </c>
      <c r="I58" s="56"/>
      <c r="J58" s="54"/>
      <c r="K58" s="54"/>
      <c r="L58" s="54"/>
      <c r="M58" s="54"/>
      <c r="N58" s="58" t="s">
        <v>5</v>
      </c>
      <c r="O58" s="58" t="s">
        <v>5</v>
      </c>
      <c r="P58" s="58">
        <f>(20054941/313984)/365*1000</f>
        <v>174.99313288453055</v>
      </c>
      <c r="Q58" s="58"/>
      <c r="S58" s="2435"/>
      <c r="T58" s="2429"/>
      <c r="U58" s="2435"/>
      <c r="V58" s="2429"/>
      <c r="W58" s="2435"/>
      <c r="X58" s="2435"/>
      <c r="Y58" s="936"/>
      <c r="Z58" s="936"/>
      <c r="AA58" s="2445"/>
      <c r="AB58" s="2445"/>
      <c r="AC58" s="2445"/>
      <c r="AD58" s="2445"/>
    </row>
    <row r="59" spans="1:30" ht="16.5" customHeight="1" x14ac:dyDescent="0.25">
      <c r="A59" s="2005"/>
      <c r="B59" s="498" t="s">
        <v>493</v>
      </c>
      <c r="C59" s="452"/>
      <c r="D59" s="452" t="s">
        <v>1041</v>
      </c>
      <c r="E59" s="452" t="s">
        <v>1042</v>
      </c>
      <c r="F59" s="56" t="s">
        <v>5</v>
      </c>
      <c r="G59" s="56" t="s">
        <v>5</v>
      </c>
      <c r="H59" s="56">
        <v>151.5</v>
      </c>
      <c r="I59" s="56"/>
      <c r="J59" s="54"/>
      <c r="K59" s="54"/>
      <c r="L59" s="54"/>
      <c r="M59" s="54"/>
      <c r="N59" s="58" t="s">
        <v>5</v>
      </c>
      <c r="O59" s="58" t="s">
        <v>5</v>
      </c>
      <c r="P59" s="58">
        <f>(17860295/282974)/365*1000</f>
        <v>172.92159374533756</v>
      </c>
      <c r="Q59" s="58"/>
      <c r="S59" s="2435"/>
      <c r="T59" s="2429"/>
      <c r="U59" s="2435"/>
      <c r="V59" s="2429"/>
      <c r="W59" s="2435"/>
      <c r="X59" s="2435"/>
      <c r="Y59" s="936"/>
      <c r="Z59" s="936"/>
      <c r="AA59" s="2445"/>
      <c r="AB59" s="2445"/>
      <c r="AC59" s="2445"/>
      <c r="AD59" s="2445"/>
    </row>
    <row r="60" spans="1:30" ht="16.5" customHeight="1" x14ac:dyDescent="0.25">
      <c r="A60" s="2005"/>
      <c r="B60" s="498" t="s">
        <v>730</v>
      </c>
      <c r="C60" s="452"/>
      <c r="D60" s="452" t="s">
        <v>1041</v>
      </c>
      <c r="E60" s="452" t="s">
        <v>1042</v>
      </c>
      <c r="F60" s="56" t="s">
        <v>5</v>
      </c>
      <c r="G60" s="56" t="s">
        <v>5</v>
      </c>
      <c r="H60" s="56">
        <v>150.30000000000001</v>
      </c>
      <c r="I60" s="56"/>
      <c r="J60" s="54"/>
      <c r="K60" s="54"/>
      <c r="L60" s="54"/>
      <c r="M60" s="54"/>
      <c r="N60" s="58" t="s">
        <v>5</v>
      </c>
      <c r="O60" s="58" t="s">
        <v>5</v>
      </c>
      <c r="P60" s="58">
        <f>(15436565/258843)/365*1000</f>
        <v>163.38845904316358</v>
      </c>
      <c r="Q60" s="58"/>
      <c r="S60" s="2435"/>
      <c r="T60" s="2429"/>
      <c r="U60" s="2435"/>
      <c r="V60" s="2429"/>
      <c r="W60" s="2435"/>
      <c r="X60" s="2435"/>
      <c r="Y60" s="936"/>
      <c r="Z60" s="936"/>
      <c r="AA60" s="2445"/>
      <c r="AB60" s="2445"/>
      <c r="AC60" s="2445"/>
      <c r="AD60" s="2445"/>
    </row>
    <row r="61" spans="1:30" ht="16.5" customHeight="1" x14ac:dyDescent="0.25">
      <c r="A61" s="2005"/>
      <c r="B61" s="498" t="s">
        <v>731</v>
      </c>
      <c r="C61" s="452" t="s">
        <v>429</v>
      </c>
      <c r="D61" s="452" t="s">
        <v>1041</v>
      </c>
      <c r="E61" s="452" t="s">
        <v>1042</v>
      </c>
      <c r="F61" s="56" t="s">
        <v>5</v>
      </c>
      <c r="G61" s="56" t="s">
        <v>5</v>
      </c>
      <c r="H61" s="56">
        <v>180</v>
      </c>
      <c r="I61" s="56"/>
      <c r="J61" s="54"/>
      <c r="K61" s="54"/>
      <c r="L61" s="54"/>
      <c r="M61" s="54"/>
      <c r="N61" s="58" t="s">
        <v>5</v>
      </c>
      <c r="O61" s="58" t="s">
        <v>5</v>
      </c>
      <c r="P61" s="58">
        <f>(407819808/5753392)/365*1000</f>
        <v>194.20101089335705</v>
      </c>
      <c r="Q61" s="58"/>
      <c r="S61" s="2435"/>
      <c r="T61" s="2429"/>
      <c r="U61" s="2435"/>
      <c r="V61" s="2429"/>
      <c r="W61" s="2435"/>
      <c r="X61" s="2435"/>
      <c r="Y61" s="936"/>
      <c r="Z61" s="936"/>
      <c r="AA61" s="2445"/>
      <c r="AB61" s="2445"/>
      <c r="AC61" s="2445"/>
      <c r="AD61" s="2445"/>
    </row>
    <row r="62" spans="1:30" ht="16.5" customHeight="1" thickBot="1" x14ac:dyDescent="0.3">
      <c r="A62" s="2006"/>
      <c r="B62" s="500" t="s">
        <v>490</v>
      </c>
      <c r="C62" s="452"/>
      <c r="D62" s="452" t="s">
        <v>1041</v>
      </c>
      <c r="E62" s="452" t="s">
        <v>1042</v>
      </c>
      <c r="F62" s="56">
        <v>182</v>
      </c>
      <c r="G62" s="56" t="s">
        <v>5</v>
      </c>
      <c r="H62" s="56" t="s">
        <v>5</v>
      </c>
      <c r="I62" s="56"/>
      <c r="J62" s="54"/>
      <c r="K62" s="54"/>
      <c r="L62" s="54"/>
      <c r="M62" s="54"/>
      <c r="N62" s="55" t="s">
        <v>5</v>
      </c>
      <c r="O62" s="55" t="s">
        <v>5</v>
      </c>
      <c r="P62" s="55" t="s">
        <v>5</v>
      </c>
      <c r="Q62" s="55"/>
      <c r="S62" s="2436"/>
      <c r="T62" s="2436"/>
      <c r="U62" s="2436"/>
      <c r="V62" s="2436"/>
      <c r="W62" s="2436"/>
      <c r="X62" s="2436"/>
      <c r="Y62" s="937"/>
      <c r="Z62" s="937"/>
      <c r="AA62" s="2449"/>
      <c r="AB62" s="2449"/>
      <c r="AC62" s="2449"/>
      <c r="AD62" s="2449"/>
    </row>
    <row r="63" spans="1:30" ht="15.75" customHeight="1" x14ac:dyDescent="0.25">
      <c r="A63" s="1818" t="s">
        <v>8</v>
      </c>
      <c r="B63" s="765" t="s">
        <v>78</v>
      </c>
      <c r="C63" s="759" t="s">
        <v>429</v>
      </c>
      <c r="D63" s="759" t="s">
        <v>1043</v>
      </c>
      <c r="E63" s="759" t="s">
        <v>1044</v>
      </c>
      <c r="F63" s="53">
        <v>150</v>
      </c>
      <c r="G63" s="53">
        <v>150</v>
      </c>
      <c r="H63" s="53">
        <v>100</v>
      </c>
      <c r="I63" s="53">
        <v>100</v>
      </c>
      <c r="J63" s="54"/>
      <c r="K63" s="54"/>
      <c r="L63" s="54"/>
      <c r="M63" s="54"/>
      <c r="N63" s="58">
        <f>(1028920000/15720000)/365*1000</f>
        <v>179.32308550315454</v>
      </c>
      <c r="O63" s="58">
        <f>(1110964000/16000000)/366*1000</f>
        <v>189.71379781420762</v>
      </c>
      <c r="P63" s="58">
        <f>(1189370000/16000000)/365*1000</f>
        <v>203.65924657534245</v>
      </c>
      <c r="Q63" s="58">
        <f>(1292710000/16000000)/366*1000</f>
        <v>220.74965846994536</v>
      </c>
      <c r="S63" s="2434">
        <f>SUM(F63:F67)/5</f>
        <v>194.4</v>
      </c>
      <c r="T63" s="2434">
        <f>MEDIAN(F63:F67)</f>
        <v>199</v>
      </c>
      <c r="U63" s="2434">
        <f>SUM(G63:G67)/5</f>
        <v>204.2</v>
      </c>
      <c r="V63" s="2434">
        <f>MEDIAN(G63:G67)</f>
        <v>200</v>
      </c>
      <c r="W63" s="2434">
        <f>SUM(H63:H67)/5</f>
        <v>205.2</v>
      </c>
      <c r="X63" s="2434">
        <f>MEDIAN(H63:H67)</f>
        <v>200</v>
      </c>
      <c r="Y63" s="2434">
        <f>SUM(I63:I67)/5</f>
        <v>193.8</v>
      </c>
      <c r="Z63" s="2434">
        <f>MEDIAN(I63:I67)</f>
        <v>223</v>
      </c>
      <c r="AA63" s="2444">
        <f>SUM(N63:N67)/5</f>
        <v>365.6939958115766</v>
      </c>
      <c r="AB63" s="2444">
        <f>SUM(O63:O67)/5</f>
        <v>348.05531538891074</v>
      </c>
      <c r="AC63" s="2444">
        <f>SUM(P63:P67)/5</f>
        <v>339.50911671648419</v>
      </c>
      <c r="AD63" s="2444">
        <f>SUM(Q63:Q67)/5</f>
        <v>321.50662519875038</v>
      </c>
    </row>
    <row r="64" spans="1:30" ht="15.75" customHeight="1" x14ac:dyDescent="0.25">
      <c r="A64" s="1819"/>
      <c r="B64" s="766" t="s">
        <v>79</v>
      </c>
      <c r="C64" s="759"/>
      <c r="D64" s="759" t="s">
        <v>1043</v>
      </c>
      <c r="E64" s="759" t="s">
        <v>1044</v>
      </c>
      <c r="F64" s="53">
        <v>199</v>
      </c>
      <c r="G64" s="53">
        <v>200</v>
      </c>
      <c r="H64" s="53">
        <v>200</v>
      </c>
      <c r="I64" s="53">
        <v>223</v>
      </c>
      <c r="J64" s="54"/>
      <c r="K64" s="54"/>
      <c r="L64" s="54"/>
      <c r="M64" s="54"/>
      <c r="N64" s="58">
        <f>(2250792400/13473400)/365*1000</f>
        <v>457.68362258583176</v>
      </c>
      <c r="O64" s="58">
        <f>(2188110200/15894500)/366*1000</f>
        <v>376.13282389498931</v>
      </c>
      <c r="P64" s="58">
        <f>(2241827100/16460000)/365*1000</f>
        <v>373.14654038848852</v>
      </c>
      <c r="Q64" s="58">
        <f>(2168853900/15825600)/366*1000</f>
        <v>374.44585531473388</v>
      </c>
      <c r="S64" s="2435"/>
      <c r="T64" s="2429"/>
      <c r="U64" s="2435"/>
      <c r="V64" s="2429"/>
      <c r="W64" s="2435"/>
      <c r="X64" s="2435"/>
      <c r="Y64" s="2435"/>
      <c r="Z64" s="2435"/>
      <c r="AA64" s="2445"/>
      <c r="AB64" s="2445"/>
      <c r="AC64" s="2445"/>
      <c r="AD64" s="2445"/>
    </row>
    <row r="65" spans="1:30" ht="15.75" customHeight="1" x14ac:dyDescent="0.25">
      <c r="A65" s="1819"/>
      <c r="B65" s="766" t="s">
        <v>80</v>
      </c>
      <c r="C65" s="759"/>
      <c r="D65" s="759" t="s">
        <v>1043</v>
      </c>
      <c r="E65" s="759" t="s">
        <v>1044</v>
      </c>
      <c r="F65" s="53">
        <v>90</v>
      </c>
      <c r="G65" s="53">
        <v>100</v>
      </c>
      <c r="H65" s="53">
        <v>129</v>
      </c>
      <c r="I65" s="53">
        <v>108</v>
      </c>
      <c r="J65" s="54"/>
      <c r="K65" s="54"/>
      <c r="L65" s="54"/>
      <c r="M65" s="54"/>
      <c r="N65" s="58">
        <f>(616024800/6462600)/365*1000</f>
        <v>261.1548259341738</v>
      </c>
      <c r="O65" s="58">
        <f>(710219300/6494100)/366*1000</f>
        <v>298.80813210612439</v>
      </c>
      <c r="P65" s="58">
        <f>(766772900/7876000)/365*1000</f>
        <v>266.7277388563835</v>
      </c>
      <c r="Q65" s="58">
        <f>(801744700/9400700)/366*1000</f>
        <v>233.02086968177758</v>
      </c>
      <c r="S65" s="2435"/>
      <c r="T65" s="2429"/>
      <c r="U65" s="2435"/>
      <c r="V65" s="2429"/>
      <c r="W65" s="2435"/>
      <c r="X65" s="2435"/>
      <c r="Y65" s="2435"/>
      <c r="Z65" s="2435"/>
      <c r="AA65" s="2445"/>
      <c r="AB65" s="2445"/>
      <c r="AC65" s="2445"/>
      <c r="AD65" s="2445"/>
    </row>
    <row r="66" spans="1:30" ht="16.5" customHeight="1" x14ac:dyDescent="0.25">
      <c r="A66" s="1819"/>
      <c r="B66" s="766" t="s">
        <v>81</v>
      </c>
      <c r="C66" s="759"/>
      <c r="D66" s="759" t="s">
        <v>1043</v>
      </c>
      <c r="E66" s="759" t="s">
        <v>1044</v>
      </c>
      <c r="F66" s="53">
        <v>314</v>
      </c>
      <c r="G66" s="53">
        <v>319</v>
      </c>
      <c r="H66" s="53">
        <v>313</v>
      </c>
      <c r="I66" s="53">
        <v>292</v>
      </c>
      <c r="J66" s="54"/>
      <c r="K66" s="54"/>
      <c r="L66" s="54"/>
      <c r="M66" s="54"/>
      <c r="N66" s="58">
        <f>(521700000/3360000)/365*1000</f>
        <v>425.39138943248531</v>
      </c>
      <c r="O66" s="58">
        <f>(552830000/3570000)/366*1000</f>
        <v>423.09929436255374</v>
      </c>
      <c r="P66" s="58">
        <f>(558220000/3614000)/365*1000</f>
        <v>423.17926480733217</v>
      </c>
      <c r="Q66" s="58">
        <f>(575842600/3928600)/366*1000</f>
        <v>400.48374412219874</v>
      </c>
      <c r="S66" s="2435"/>
      <c r="T66" s="2429"/>
      <c r="U66" s="2435"/>
      <c r="V66" s="2429"/>
      <c r="W66" s="2435"/>
      <c r="X66" s="2435"/>
      <c r="Y66" s="2435"/>
      <c r="Z66" s="2435"/>
      <c r="AA66" s="2445"/>
      <c r="AB66" s="2445"/>
      <c r="AC66" s="2445"/>
      <c r="AD66" s="2445"/>
    </row>
    <row r="67" spans="1:30" ht="16.5" customHeight="1" thickBot="1" x14ac:dyDescent="0.3">
      <c r="A67" s="1820"/>
      <c r="B67" s="767" t="s">
        <v>468</v>
      </c>
      <c r="C67" s="759"/>
      <c r="D67" s="759" t="s">
        <v>1043</v>
      </c>
      <c r="E67" s="759" t="s">
        <v>1044</v>
      </c>
      <c r="F67" s="53">
        <v>219</v>
      </c>
      <c r="G67" s="53">
        <v>252</v>
      </c>
      <c r="H67" s="53">
        <v>284</v>
      </c>
      <c r="I67" s="53">
        <v>246</v>
      </c>
      <c r="J67" s="54"/>
      <c r="K67" s="54"/>
      <c r="L67" s="54"/>
      <c r="M67" s="54"/>
      <c r="N67" s="58">
        <f>(1411200000/7657300)/365*1000</f>
        <v>504.91705560223755</v>
      </c>
      <c r="O67" s="58">
        <f>(1445510000/8727700)/366*1000</f>
        <v>452.52252876667848</v>
      </c>
      <c r="P67" s="58">
        <f>(1487591100/9459800)/365*1000</f>
        <v>430.83279295487432</v>
      </c>
      <c r="Q67" s="58">
        <f>(1505590000/10858700)/366*1000</f>
        <v>378.83299840509648</v>
      </c>
      <c r="S67" s="2436"/>
      <c r="T67" s="2436"/>
      <c r="U67" s="2436"/>
      <c r="V67" s="2436"/>
      <c r="W67" s="2436"/>
      <c r="X67" s="2436"/>
      <c r="Y67" s="2436"/>
      <c r="Z67" s="2436"/>
      <c r="AA67" s="2449"/>
      <c r="AB67" s="2449"/>
      <c r="AC67" s="2449"/>
      <c r="AD67" s="2449"/>
    </row>
    <row r="68" spans="1:30" ht="16.5" thickBot="1" x14ac:dyDescent="0.3">
      <c r="A68" s="694" t="s">
        <v>585</v>
      </c>
      <c r="B68" s="682" t="s">
        <v>84</v>
      </c>
      <c r="C68" s="759" t="s">
        <v>429</v>
      </c>
      <c r="D68" s="759" t="s">
        <v>1045</v>
      </c>
      <c r="E68" s="759" t="s">
        <v>1046</v>
      </c>
      <c r="F68" s="53">
        <v>221</v>
      </c>
      <c r="G68" s="56">
        <v>208.69</v>
      </c>
      <c r="H68" s="56">
        <v>211</v>
      </c>
      <c r="I68" s="56">
        <v>217</v>
      </c>
      <c r="J68" s="54"/>
      <c r="K68" s="54"/>
      <c r="L68" s="54"/>
      <c r="M68" s="54"/>
      <c r="N68" s="58">
        <f>(894000000/7091600)/365*1000</f>
        <v>345.38257494685973</v>
      </c>
      <c r="O68" s="58">
        <f>(894000000/7167900)/366*1000</f>
        <v>340.77246485297951</v>
      </c>
      <c r="P68" s="58">
        <f>(915000000/7258100)/365*1000</f>
        <v>345.3864392979558</v>
      </c>
      <c r="Q68" s="58">
        <f>(944000000/7335600)/366*1000</f>
        <v>351.6051819452527</v>
      </c>
      <c r="S68" s="59">
        <v>221</v>
      </c>
      <c r="T68" s="59">
        <f>F68</f>
        <v>221</v>
      </c>
      <c r="U68" s="249">
        <v>208.69</v>
      </c>
      <c r="V68" s="249">
        <f>G68</f>
        <v>208.69</v>
      </c>
      <c r="W68" s="249">
        <v>211</v>
      </c>
      <c r="X68" s="249">
        <v>211</v>
      </c>
      <c r="Y68" s="249">
        <f>I68</f>
        <v>217</v>
      </c>
      <c r="Z68" s="249">
        <f>I68</f>
        <v>217</v>
      </c>
      <c r="AA68" s="64">
        <f>N68</f>
        <v>345.38257494685973</v>
      </c>
      <c r="AB68" s="64">
        <v>340.77246485297951</v>
      </c>
      <c r="AC68" s="64">
        <f>P68</f>
        <v>345.3864392979558</v>
      </c>
      <c r="AD68" s="64">
        <f>Q68</f>
        <v>351.6051819452527</v>
      </c>
    </row>
    <row r="69" spans="1:30" ht="15.75" customHeight="1" x14ac:dyDescent="0.25">
      <c r="A69" s="1818" t="s">
        <v>9</v>
      </c>
      <c r="B69" s="621" t="s">
        <v>82</v>
      </c>
      <c r="C69" s="759" t="s">
        <v>429</v>
      </c>
      <c r="D69" s="759" t="s">
        <v>1047</v>
      </c>
      <c r="E69" s="759" t="s">
        <v>1048</v>
      </c>
      <c r="F69" s="53">
        <v>346</v>
      </c>
      <c r="G69" s="53">
        <v>340</v>
      </c>
      <c r="H69" s="53">
        <v>327</v>
      </c>
      <c r="I69" s="53">
        <v>326</v>
      </c>
      <c r="J69" s="57"/>
      <c r="K69" s="57"/>
      <c r="L69" s="57"/>
      <c r="M69" s="57"/>
      <c r="N69" s="58">
        <f>(460634000/2605234)/365*1000</f>
        <v>484.41366837071433</v>
      </c>
      <c r="O69" s="58">
        <f>(482817000/2626712)/366*1000</f>
        <v>502.21422491218715</v>
      </c>
      <c r="P69" s="58">
        <f>(603554526/3939008)/365*1000</f>
        <v>419.79453807547901</v>
      </c>
      <c r="Q69" s="58">
        <f>(670800000/3932626)/366*1000</f>
        <v>466.04657682828258</v>
      </c>
      <c r="S69" s="2434">
        <f>SUM(F69:F70)/2</f>
        <v>315.5</v>
      </c>
      <c r="T69" s="2434">
        <f>MEDIAN(F69:F70)</f>
        <v>315.5</v>
      </c>
      <c r="U69" s="2434">
        <f>SUM(G69:G70)/2</f>
        <v>303</v>
      </c>
      <c r="V69" s="2434">
        <f>MEDIAN(G69:G70)</f>
        <v>303</v>
      </c>
      <c r="W69" s="2434">
        <f>SUM(H69:H70)/2</f>
        <v>300</v>
      </c>
      <c r="X69" s="2434">
        <f>MEDIAN(H69:H70)</f>
        <v>300</v>
      </c>
      <c r="Y69" s="2434">
        <f>SUM(I69:I70)/2</f>
        <v>296.5</v>
      </c>
      <c r="Z69" s="2434">
        <f>MEDIAN(I69:I70)</f>
        <v>296.5</v>
      </c>
      <c r="AA69" s="2444">
        <f>SUM(N69:N70)/2</f>
        <v>542.80385582347571</v>
      </c>
      <c r="AB69" s="2444">
        <f>SUM(O69:O70)/2</f>
        <v>424.4506275541948</v>
      </c>
      <c r="AC69" s="2444">
        <f>SUM(P69:P70)/2</f>
        <v>439.96275029230736</v>
      </c>
      <c r="AD69" s="2444">
        <f>SUM(Q69:Q70)/2</f>
        <v>483.82476399344552</v>
      </c>
    </row>
    <row r="70" spans="1:30" ht="16.5" customHeight="1" thickBot="1" x14ac:dyDescent="0.3">
      <c r="A70" s="1820"/>
      <c r="B70" s="622" t="s">
        <v>83</v>
      </c>
      <c r="C70" s="759"/>
      <c r="D70" s="759" t="s">
        <v>1047</v>
      </c>
      <c r="E70" s="759" t="s">
        <v>1048</v>
      </c>
      <c r="F70" s="53">
        <v>285</v>
      </c>
      <c r="G70" s="53">
        <v>266</v>
      </c>
      <c r="H70" s="53">
        <v>273</v>
      </c>
      <c r="I70" s="53">
        <v>267</v>
      </c>
      <c r="J70" s="57"/>
      <c r="K70" s="57"/>
      <c r="L70" s="57"/>
      <c r="M70" s="57"/>
      <c r="N70" s="58">
        <f>(331907000/1512547)/365*1000</f>
        <v>601.19404327623704</v>
      </c>
      <c r="O70" s="58">
        <f>(348008000/2742651)/366*1000</f>
        <v>346.68703019620244</v>
      </c>
      <c r="P70" s="58">
        <f>(446240835/2657021)/365*1000</f>
        <v>460.13096250913571</v>
      </c>
      <c r="Q70" s="58">
        <f>(488022597/2658268)/366*1000</f>
        <v>501.60295115860845</v>
      </c>
      <c r="S70" s="2436"/>
      <c r="T70" s="2436"/>
      <c r="U70" s="2436"/>
      <c r="V70" s="2436"/>
      <c r="W70" s="2436"/>
      <c r="X70" s="2436"/>
      <c r="Y70" s="2436"/>
      <c r="Z70" s="2436"/>
      <c r="AA70" s="2449"/>
      <c r="AB70" s="2449"/>
      <c r="AC70" s="2449"/>
      <c r="AD70" s="2449"/>
    </row>
    <row r="71" spans="1:30" ht="15.75" customHeight="1" x14ac:dyDescent="0.25">
      <c r="A71" s="1818" t="s">
        <v>10</v>
      </c>
      <c r="B71" s="541" t="s">
        <v>85</v>
      </c>
      <c r="C71" s="760"/>
      <c r="D71" s="760" t="s">
        <v>1049</v>
      </c>
      <c r="E71" s="760" t="s">
        <v>1050</v>
      </c>
      <c r="F71" s="53">
        <v>128</v>
      </c>
      <c r="G71" s="53">
        <v>153</v>
      </c>
      <c r="H71" s="53">
        <v>147</v>
      </c>
      <c r="I71" s="53">
        <v>155</v>
      </c>
      <c r="J71" s="54"/>
      <c r="K71" s="54"/>
      <c r="L71" s="54"/>
      <c r="M71" s="54"/>
      <c r="N71" s="58">
        <f>(4132321/72000)/365*1000</f>
        <v>157.24204718417047</v>
      </c>
      <c r="O71" s="58">
        <f>(4067350/55000)/366*1000</f>
        <v>202.0541480377546</v>
      </c>
      <c r="P71" s="58">
        <f>(3697821/55000)/365*1000</f>
        <v>184.20029887920299</v>
      </c>
      <c r="Q71" s="58">
        <f>(3989805/55000)/366*1000</f>
        <v>198.20193740685542</v>
      </c>
      <c r="S71" s="2434">
        <f>SUM(F71:F74)/4</f>
        <v>146.25</v>
      </c>
      <c r="T71" s="2434">
        <f>MEDIAN(F71:F74)</f>
        <v>151.5</v>
      </c>
      <c r="U71" s="2434">
        <f>SUM(G71:G74)/4</f>
        <v>151</v>
      </c>
      <c r="V71" s="2434">
        <f>MEDIAN(G71:G74)</f>
        <v>152.5</v>
      </c>
      <c r="W71" s="2434">
        <f>SUM(H71:H74)/4</f>
        <v>143.5</v>
      </c>
      <c r="X71" s="2434">
        <f>MEDIAN(H71:H74)</f>
        <v>147</v>
      </c>
      <c r="Y71" s="2434">
        <f>SUM(I71:I74)/4</f>
        <v>149</v>
      </c>
      <c r="Z71" s="2434">
        <f>MEDIAN(I71:I74)</f>
        <v>149.5</v>
      </c>
      <c r="AA71" s="2444">
        <f>SUM(N71:N74)/4</f>
        <v>183.28351618853816</v>
      </c>
      <c r="AB71" s="2444">
        <f>SUM(O71:O74)/4</f>
        <v>188.57138710672317</v>
      </c>
      <c r="AC71" s="2444">
        <f>SUM(P71:P74)/4</f>
        <v>171.55428862640483</v>
      </c>
      <c r="AD71" s="2444">
        <f>SUM(Q71:Q74)/4</f>
        <v>180.38668084533862</v>
      </c>
    </row>
    <row r="72" spans="1:30" ht="15.75" customHeight="1" x14ac:dyDescent="0.25">
      <c r="A72" s="1819"/>
      <c r="B72" s="542" t="s">
        <v>878</v>
      </c>
      <c r="C72" s="760" t="s">
        <v>429</v>
      </c>
      <c r="D72" s="760" t="s">
        <v>1049</v>
      </c>
      <c r="E72" s="760" t="s">
        <v>1050</v>
      </c>
      <c r="F72" s="53">
        <v>152</v>
      </c>
      <c r="G72" s="53">
        <v>145</v>
      </c>
      <c r="H72" s="53">
        <v>133</v>
      </c>
      <c r="I72" s="53">
        <v>142</v>
      </c>
      <c r="J72" s="54"/>
      <c r="K72" s="54"/>
      <c r="L72" s="54"/>
      <c r="M72" s="54"/>
      <c r="N72" s="58">
        <f>(14297346/230000)/365*1000</f>
        <v>170.3078737343657</v>
      </c>
      <c r="O72" s="58">
        <f>(14121092/238500)/366*1000</f>
        <v>161.77030850832273</v>
      </c>
      <c r="P72" s="58">
        <f>(12997342/238500)/365*1000</f>
        <v>149.30463800580111</v>
      </c>
      <c r="Q72" s="58">
        <f>(14112802/240000)/366*1000</f>
        <v>160.6648679417122</v>
      </c>
      <c r="S72" s="2435"/>
      <c r="T72" s="2429"/>
      <c r="U72" s="2435"/>
      <c r="V72" s="2429"/>
      <c r="W72" s="2435"/>
      <c r="X72" s="2435"/>
      <c r="Y72" s="2429"/>
      <c r="Z72" s="2429"/>
      <c r="AA72" s="2445"/>
      <c r="AB72" s="2456"/>
      <c r="AC72" s="2456"/>
      <c r="AD72" s="2456"/>
    </row>
    <row r="73" spans="1:30" ht="15.75" customHeight="1" x14ac:dyDescent="0.25">
      <c r="A73" s="1819"/>
      <c r="B73" s="542" t="s">
        <v>879</v>
      </c>
      <c r="C73" s="760"/>
      <c r="D73" s="760" t="s">
        <v>1049</v>
      </c>
      <c r="E73" s="760" t="s">
        <v>1050</v>
      </c>
      <c r="F73" s="53">
        <v>154</v>
      </c>
      <c r="G73" s="53">
        <v>154</v>
      </c>
      <c r="H73" s="53">
        <v>147</v>
      </c>
      <c r="I73" s="53">
        <v>151</v>
      </c>
      <c r="J73" s="54"/>
      <c r="K73" s="54"/>
      <c r="L73" s="54"/>
      <c r="M73" s="54"/>
      <c r="N73" s="58">
        <f>(10477986/160000)/365*1000</f>
        <v>179.4175684931507</v>
      </c>
      <c r="O73" s="58">
        <f>(10441181/160000)/366*1000</f>
        <v>178.29885587431693</v>
      </c>
      <c r="P73" s="58">
        <f>(11385562/180000)/365*1000</f>
        <v>173.29622526636226</v>
      </c>
      <c r="Q73" s="58">
        <f>(11773501/180000)/366*1000</f>
        <v>178.71130843958713</v>
      </c>
      <c r="S73" s="2435"/>
      <c r="T73" s="2429"/>
      <c r="U73" s="2435"/>
      <c r="V73" s="2429"/>
      <c r="W73" s="2435"/>
      <c r="X73" s="2435"/>
      <c r="Y73" s="2429"/>
      <c r="Z73" s="2429"/>
      <c r="AA73" s="2445"/>
      <c r="AB73" s="2456"/>
      <c r="AC73" s="2456"/>
      <c r="AD73" s="2456"/>
    </row>
    <row r="74" spans="1:30" ht="16.5" customHeight="1" thickBot="1" x14ac:dyDescent="0.3">
      <c r="A74" s="1820"/>
      <c r="B74" s="612" t="s">
        <v>86</v>
      </c>
      <c r="C74" s="760"/>
      <c r="D74" s="760" t="s">
        <v>1049</v>
      </c>
      <c r="E74" s="760" t="s">
        <v>1050</v>
      </c>
      <c r="F74" s="53">
        <v>151</v>
      </c>
      <c r="G74" s="53">
        <v>152</v>
      </c>
      <c r="H74" s="53">
        <v>147</v>
      </c>
      <c r="I74" s="53">
        <v>148</v>
      </c>
      <c r="J74" s="54"/>
      <c r="K74" s="54"/>
      <c r="L74" s="54"/>
      <c r="M74" s="54"/>
      <c r="N74" s="58">
        <f>(2889278/35000)/365*1000</f>
        <v>226.16657534246573</v>
      </c>
      <c r="O74" s="58">
        <f>(2873101/37000)/366*1000</f>
        <v>212.16223600649832</v>
      </c>
      <c r="P74" s="58">
        <f>(2815934/43000)/365*1000</f>
        <v>179.41599235425292</v>
      </c>
      <c r="Q74" s="58">
        <f>(3029963/45000)/366*1000</f>
        <v>183.96860959319977</v>
      </c>
      <c r="S74" s="2436"/>
      <c r="T74" s="2436"/>
      <c r="U74" s="2436"/>
      <c r="V74" s="2436"/>
      <c r="W74" s="2436"/>
      <c r="X74" s="2436"/>
      <c r="Y74" s="2436"/>
      <c r="Z74" s="2436"/>
      <c r="AA74" s="2449"/>
      <c r="AB74" s="2449"/>
      <c r="AC74" s="2449"/>
      <c r="AD74" s="2449"/>
    </row>
    <row r="75" spans="1:30" ht="16.5" customHeight="1" x14ac:dyDescent="0.25">
      <c r="A75" s="1818" t="s">
        <v>910</v>
      </c>
      <c r="B75" s="660" t="s">
        <v>911</v>
      </c>
      <c r="C75" s="760" t="s">
        <v>429</v>
      </c>
      <c r="D75" s="760" t="s">
        <v>1051</v>
      </c>
      <c r="E75" s="760" t="s">
        <v>1052</v>
      </c>
      <c r="F75" s="53" t="s">
        <v>5</v>
      </c>
      <c r="G75" s="53" t="s">
        <v>5</v>
      </c>
      <c r="H75" s="53" t="s">
        <v>5</v>
      </c>
      <c r="I75" s="53">
        <v>108</v>
      </c>
      <c r="J75" s="54"/>
      <c r="K75" s="54"/>
      <c r="L75" s="54"/>
      <c r="M75" s="54"/>
      <c r="N75" s="58" t="s">
        <v>5</v>
      </c>
      <c r="O75" s="58" t="s">
        <v>5</v>
      </c>
      <c r="P75" s="58" t="s">
        <v>5</v>
      </c>
      <c r="Q75" s="58">
        <f>(157810700/1280000)/366*1000</f>
        <v>336.85685621584702</v>
      </c>
      <c r="S75" s="2434" t="s">
        <v>5</v>
      </c>
      <c r="T75" s="2434" t="s">
        <v>5</v>
      </c>
      <c r="U75" s="2434" t="s">
        <v>5</v>
      </c>
      <c r="V75" s="2434" t="s">
        <v>5</v>
      </c>
      <c r="W75" s="2434" t="s">
        <v>5</v>
      </c>
      <c r="X75" s="2434" t="s">
        <v>5</v>
      </c>
      <c r="Y75" s="2434">
        <f>SUM(I75:I79)/3</f>
        <v>105</v>
      </c>
      <c r="Z75" s="2434">
        <f>MEDIAN(I75:I79)</f>
        <v>108</v>
      </c>
      <c r="AA75" s="2444" t="s">
        <v>5</v>
      </c>
      <c r="AB75" s="2444" t="s">
        <v>5</v>
      </c>
      <c r="AC75" s="2444" t="s">
        <v>5</v>
      </c>
      <c r="AD75" s="2444">
        <f>SUM(Q75:Q79)/4</f>
        <v>314.87878795263543</v>
      </c>
    </row>
    <row r="76" spans="1:30" ht="16.5" customHeight="1" x14ac:dyDescent="0.25">
      <c r="A76" s="1819"/>
      <c r="B76" s="660" t="s">
        <v>912</v>
      </c>
      <c r="C76" s="760"/>
      <c r="D76" s="760" t="s">
        <v>1051</v>
      </c>
      <c r="E76" s="760" t="s">
        <v>1052</v>
      </c>
      <c r="F76" s="53" t="s">
        <v>5</v>
      </c>
      <c r="G76" s="53" t="s">
        <v>5</v>
      </c>
      <c r="H76" s="53" t="s">
        <v>5</v>
      </c>
      <c r="I76" s="53">
        <v>110</v>
      </c>
      <c r="J76" s="54"/>
      <c r="K76" s="54"/>
      <c r="L76" s="54"/>
      <c r="M76" s="54"/>
      <c r="N76" s="58" t="s">
        <v>5</v>
      </c>
      <c r="O76" s="58" t="s">
        <v>5</v>
      </c>
      <c r="P76" s="58" t="s">
        <v>5</v>
      </c>
      <c r="Q76" s="58">
        <f>(48515042/408770)/366*1000</f>
        <v>324.27712298564359</v>
      </c>
      <c r="S76" s="2435"/>
      <c r="T76" s="2435"/>
      <c r="U76" s="2435"/>
      <c r="V76" s="2435"/>
      <c r="W76" s="2435"/>
      <c r="X76" s="2435"/>
      <c r="Y76" s="2435"/>
      <c r="Z76" s="2435"/>
      <c r="AA76" s="2445"/>
      <c r="AB76" s="2445"/>
      <c r="AC76" s="2445"/>
      <c r="AD76" s="2445"/>
    </row>
    <row r="77" spans="1:30" ht="16.5" customHeight="1" x14ac:dyDescent="0.25">
      <c r="A77" s="1819"/>
      <c r="B77" s="660" t="s">
        <v>913</v>
      </c>
      <c r="C77" s="760"/>
      <c r="D77" s="760" t="s">
        <v>1051</v>
      </c>
      <c r="E77" s="760" t="s">
        <v>1052</v>
      </c>
      <c r="F77" s="53" t="s">
        <v>5</v>
      </c>
      <c r="G77" s="53" t="s">
        <v>5</v>
      </c>
      <c r="H77" s="53" t="s">
        <v>5</v>
      </c>
      <c r="I77" s="53">
        <v>97</v>
      </c>
      <c r="J77" s="54"/>
      <c r="K77" s="54"/>
      <c r="L77" s="54"/>
      <c r="M77" s="54"/>
      <c r="N77" s="58" t="s">
        <v>5</v>
      </c>
      <c r="O77" s="58" t="s">
        <v>5</v>
      </c>
      <c r="P77" s="58" t="s">
        <v>5</v>
      </c>
      <c r="Q77" s="58">
        <f>(30439000/300738)/366*1000</f>
        <v>276.54192907669358</v>
      </c>
      <c r="S77" s="2435"/>
      <c r="T77" s="2435"/>
      <c r="U77" s="2435"/>
      <c r="V77" s="2435"/>
      <c r="W77" s="2435"/>
      <c r="X77" s="2435"/>
      <c r="Y77" s="2435"/>
      <c r="Z77" s="2435"/>
      <c r="AA77" s="2445"/>
      <c r="AB77" s="2445"/>
      <c r="AC77" s="2445"/>
      <c r="AD77" s="2445"/>
    </row>
    <row r="78" spans="1:30" ht="16.5" customHeight="1" x14ac:dyDescent="0.25">
      <c r="A78" s="1819"/>
      <c r="B78" s="660" t="s">
        <v>914</v>
      </c>
      <c r="C78" s="760"/>
      <c r="D78" s="760" t="s">
        <v>1051</v>
      </c>
      <c r="E78" s="760" t="s">
        <v>1052</v>
      </c>
      <c r="F78" s="53" t="s">
        <v>5</v>
      </c>
      <c r="G78" s="53" t="s">
        <v>5</v>
      </c>
      <c r="H78" s="53" t="s">
        <v>5</v>
      </c>
      <c r="I78" s="53" t="s">
        <v>5</v>
      </c>
      <c r="J78" s="54"/>
      <c r="K78" s="54"/>
      <c r="L78" s="54"/>
      <c r="M78" s="54"/>
      <c r="N78" s="58" t="s">
        <v>5</v>
      </c>
      <c r="O78" s="58" t="s">
        <v>5</v>
      </c>
      <c r="P78" s="58" t="s">
        <v>5</v>
      </c>
      <c r="Q78" s="58">
        <f>(27222000/231100)/366*1000</f>
        <v>321.83924353235773</v>
      </c>
      <c r="S78" s="2435"/>
      <c r="T78" s="2435"/>
      <c r="U78" s="2435"/>
      <c r="V78" s="2435"/>
      <c r="W78" s="2435"/>
      <c r="X78" s="2435"/>
      <c r="Y78" s="2435"/>
      <c r="Z78" s="2435"/>
      <c r="AA78" s="2445"/>
      <c r="AB78" s="2445"/>
      <c r="AC78" s="2445"/>
      <c r="AD78" s="2445"/>
    </row>
    <row r="79" spans="1:30" ht="16.5" customHeight="1" thickBot="1" x14ac:dyDescent="0.3">
      <c r="A79" s="1820"/>
      <c r="B79" s="768" t="s">
        <v>915</v>
      </c>
      <c r="C79" s="760"/>
      <c r="D79" s="760" t="s">
        <v>1051</v>
      </c>
      <c r="E79" s="760" t="s">
        <v>1052</v>
      </c>
      <c r="F79" s="53" t="s">
        <v>5</v>
      </c>
      <c r="G79" s="53" t="s">
        <v>5</v>
      </c>
      <c r="H79" s="53" t="s">
        <v>5</v>
      </c>
      <c r="I79" s="53" t="s">
        <v>5</v>
      </c>
      <c r="J79" s="54"/>
      <c r="K79" s="54"/>
      <c r="L79" s="54"/>
      <c r="M79" s="54"/>
      <c r="N79" s="58" t="s">
        <v>5</v>
      </c>
      <c r="O79" s="58" t="s">
        <v>5</v>
      </c>
      <c r="P79" s="58" t="s">
        <v>5</v>
      </c>
      <c r="Q79" s="58" t="s">
        <v>5</v>
      </c>
      <c r="S79" s="2436"/>
      <c r="T79" s="2436"/>
      <c r="U79" s="2436"/>
      <c r="V79" s="2436"/>
      <c r="W79" s="2436"/>
      <c r="X79" s="2436"/>
      <c r="Y79" s="2436"/>
      <c r="Z79" s="2436"/>
      <c r="AA79" s="2449"/>
      <c r="AB79" s="2449"/>
      <c r="AC79" s="2449"/>
      <c r="AD79" s="2449"/>
    </row>
    <row r="80" spans="1:30" ht="15.75" customHeight="1" x14ac:dyDescent="0.25">
      <c r="A80" s="1818" t="s">
        <v>11</v>
      </c>
      <c r="B80" s="769" t="s">
        <v>87</v>
      </c>
      <c r="C80" s="760"/>
      <c r="D80" s="760" t="s">
        <v>1053</v>
      </c>
      <c r="E80" s="760" t="s">
        <v>1054</v>
      </c>
      <c r="F80" s="56">
        <v>113.5</v>
      </c>
      <c r="G80" s="56">
        <v>105</v>
      </c>
      <c r="H80" s="56">
        <v>105</v>
      </c>
      <c r="I80" s="56">
        <v>102.3</v>
      </c>
      <c r="J80" s="54"/>
      <c r="K80" s="54"/>
      <c r="L80" s="54"/>
      <c r="M80" s="54"/>
      <c r="N80" s="58">
        <f>(6534050/107224)/365*1000</f>
        <v>166.95429054423514</v>
      </c>
      <c r="O80" s="58">
        <f>(6516715/111919)/366*1000</f>
        <v>159.09034427074187</v>
      </c>
      <c r="P80" s="58">
        <f>(6634064/115038)/365*1000</f>
        <v>157.9957736419199</v>
      </c>
      <c r="Q80" s="58">
        <f>(6751983/118990)/366*1000</f>
        <v>155.03858293643628</v>
      </c>
      <c r="S80" s="2434">
        <f>SUM(F80:F84)/5</f>
        <v>110.64000000000001</v>
      </c>
      <c r="T80" s="2434">
        <f>MEDIAN(F80:F84)</f>
        <v>111.4</v>
      </c>
      <c r="U80" s="2434">
        <f>SUM(G80:G84)/5</f>
        <v>107</v>
      </c>
      <c r="V80" s="2434">
        <f>MEDIAN(G80:G84)</f>
        <v>105</v>
      </c>
      <c r="W80" s="2434">
        <f>SUM(H80:H84)/5</f>
        <v>110</v>
      </c>
      <c r="X80" s="2434">
        <f>MEDIAN(H80:H84)</f>
        <v>105</v>
      </c>
      <c r="Y80" s="2434">
        <f>SUM(I80:I84)/5</f>
        <v>104.26000000000002</v>
      </c>
      <c r="Z80" s="2434">
        <f>MEDIAN(I80:I84)</f>
        <v>102.3</v>
      </c>
      <c r="AA80" s="2444">
        <f>SUM(N80:N84)/5</f>
        <v>188.21984580085626</v>
      </c>
      <c r="AB80" s="2444">
        <f>SUM(O80:O84)/5</f>
        <v>178.85835841945706</v>
      </c>
      <c r="AC80" s="2444">
        <f>SUM(P80:P84)/5</f>
        <v>175.55547117663582</v>
      </c>
      <c r="AD80" s="2444">
        <f>SUM(Q80:Q84)/5</f>
        <v>172.37530481975369</v>
      </c>
    </row>
    <row r="81" spans="1:30" ht="15.75" customHeight="1" x14ac:dyDescent="0.25">
      <c r="A81" s="1819"/>
      <c r="B81" s="768" t="s">
        <v>213</v>
      </c>
      <c r="C81" s="760"/>
      <c r="D81" s="760" t="s">
        <v>1053</v>
      </c>
      <c r="E81" s="760" t="s">
        <v>1054</v>
      </c>
      <c r="F81" s="56">
        <v>106.7</v>
      </c>
      <c r="G81" s="56">
        <v>105</v>
      </c>
      <c r="H81" s="56">
        <v>108</v>
      </c>
      <c r="I81" s="56">
        <v>98</v>
      </c>
      <c r="J81" s="54"/>
      <c r="K81" s="54"/>
      <c r="L81" s="54"/>
      <c r="M81" s="54"/>
      <c r="N81" s="58">
        <f>(14060873/263847)/365*1000</f>
        <v>146.00484267786783</v>
      </c>
      <c r="O81" s="58">
        <f>(14323721/269794)/366*1000</f>
        <v>145.0582656648256</v>
      </c>
      <c r="P81" s="58">
        <f>(14351361/274306)/365*1000</f>
        <v>143.33918055118727</v>
      </c>
      <c r="Q81" s="58">
        <f>(13894911/274535)/366*1000</f>
        <v>138.28560185374556</v>
      </c>
      <c r="S81" s="2435"/>
      <c r="T81" s="2429"/>
      <c r="U81" s="2429"/>
      <c r="V81" s="2429"/>
      <c r="W81" s="2429"/>
      <c r="X81" s="2435"/>
      <c r="Y81" s="2429"/>
      <c r="Z81" s="2429"/>
      <c r="AA81" s="2445"/>
      <c r="AB81" s="2456"/>
      <c r="AC81" s="2456"/>
      <c r="AD81" s="2456"/>
    </row>
    <row r="82" spans="1:30" ht="15.75" customHeight="1" x14ac:dyDescent="0.25">
      <c r="A82" s="1819"/>
      <c r="B82" s="768" t="s">
        <v>88</v>
      </c>
      <c r="C82" s="760" t="s">
        <v>429</v>
      </c>
      <c r="D82" s="760" t="s">
        <v>1053</v>
      </c>
      <c r="E82" s="760" t="s">
        <v>1054</v>
      </c>
      <c r="F82" s="56">
        <v>107.3</v>
      </c>
      <c r="G82" s="56">
        <v>104</v>
      </c>
      <c r="H82" s="56">
        <v>101</v>
      </c>
      <c r="I82" s="56">
        <v>104.3</v>
      </c>
      <c r="J82" s="54"/>
      <c r="K82" s="54"/>
      <c r="L82" s="54"/>
      <c r="M82" s="54"/>
      <c r="N82" s="58">
        <f>(48714039/533875)/365*1000</f>
        <v>249.98945548666862</v>
      </c>
      <c r="O82" s="58">
        <f>(47971981/554245)/366*1000</f>
        <v>236.48564504650076</v>
      </c>
      <c r="P82" s="58">
        <f>(48215000/574871)/365*1000</f>
        <v>229.78353475990073</v>
      </c>
      <c r="Q82" s="58">
        <f>(52001662/591481)/366*1000</f>
        <v>240.21235460791976</v>
      </c>
      <c r="S82" s="2435"/>
      <c r="T82" s="2429"/>
      <c r="U82" s="2429"/>
      <c r="V82" s="2429"/>
      <c r="W82" s="2429"/>
      <c r="X82" s="2435"/>
      <c r="Y82" s="2429"/>
      <c r="Z82" s="2429"/>
      <c r="AA82" s="2445"/>
      <c r="AB82" s="2456"/>
      <c r="AC82" s="2456"/>
      <c r="AD82" s="2456"/>
    </row>
    <row r="83" spans="1:30" ht="15.75" customHeight="1" x14ac:dyDescent="0.25">
      <c r="A83" s="1819"/>
      <c r="B83" s="768" t="s">
        <v>89</v>
      </c>
      <c r="C83" s="760"/>
      <c r="D83" s="760" t="s">
        <v>1053</v>
      </c>
      <c r="E83" s="760" t="s">
        <v>1054</v>
      </c>
      <c r="F83" s="56">
        <v>114.3</v>
      </c>
      <c r="G83" s="56">
        <v>112</v>
      </c>
      <c r="H83" s="56">
        <v>134</v>
      </c>
      <c r="I83" s="56">
        <v>117.6</v>
      </c>
      <c r="J83" s="54"/>
      <c r="K83" s="54"/>
      <c r="L83" s="54"/>
      <c r="M83" s="54"/>
      <c r="N83" s="58">
        <f>(6964493/91549)/365*1000</f>
        <v>208.42174944265943</v>
      </c>
      <c r="O83" s="58">
        <f>(6846631/92000)/366*1000</f>
        <v>203.33306604894275</v>
      </c>
      <c r="P83" s="58">
        <f>(6727000/92000)/365*1000</f>
        <v>200.32757593805837</v>
      </c>
      <c r="Q83" s="58">
        <f>(6618827/96500)/366*1000</f>
        <v>187.40131374047962</v>
      </c>
      <c r="S83" s="2435"/>
      <c r="T83" s="2429"/>
      <c r="U83" s="2429"/>
      <c r="V83" s="2429"/>
      <c r="W83" s="2429"/>
      <c r="X83" s="2435"/>
      <c r="Y83" s="2429"/>
      <c r="Z83" s="2429"/>
      <c r="AA83" s="2445"/>
      <c r="AB83" s="2456"/>
      <c r="AC83" s="2456"/>
      <c r="AD83" s="2456"/>
    </row>
    <row r="84" spans="1:30" ht="16.5" customHeight="1" thickBot="1" x14ac:dyDescent="0.3">
      <c r="A84" s="1820"/>
      <c r="B84" s="770" t="s">
        <v>90</v>
      </c>
      <c r="C84" s="760"/>
      <c r="D84" s="760" t="s">
        <v>1053</v>
      </c>
      <c r="E84" s="760" t="s">
        <v>1054</v>
      </c>
      <c r="F84" s="56">
        <v>111.4</v>
      </c>
      <c r="G84" s="56">
        <v>109</v>
      </c>
      <c r="H84" s="56">
        <v>102</v>
      </c>
      <c r="I84" s="56">
        <v>99.1</v>
      </c>
      <c r="J84" s="54"/>
      <c r="K84" s="54"/>
      <c r="L84" s="54"/>
      <c r="M84" s="54"/>
      <c r="N84" s="58">
        <f>(9602412/155000)/365*1000</f>
        <v>169.72889085285021</v>
      </c>
      <c r="O84" s="58">
        <f>(8582926/156000)/366*1000</f>
        <v>150.32447106627433</v>
      </c>
      <c r="P84" s="58">
        <f>(8812802/165000)/365*1000</f>
        <v>146.33129099211288</v>
      </c>
      <c r="Q84" s="58">
        <f>(8666037/168000)/366*1000</f>
        <v>140.93867096018735</v>
      </c>
      <c r="S84" s="2436"/>
      <c r="T84" s="2436"/>
      <c r="U84" s="2436"/>
      <c r="V84" s="2436"/>
      <c r="W84" s="2436"/>
      <c r="X84" s="2436"/>
      <c r="Y84" s="2436"/>
      <c r="Z84" s="2436"/>
      <c r="AA84" s="2449"/>
      <c r="AB84" s="2449"/>
      <c r="AC84" s="2449"/>
      <c r="AD84" s="2449"/>
    </row>
    <row r="85" spans="1:30" ht="15.75" customHeight="1" x14ac:dyDescent="0.25">
      <c r="A85" s="1818" t="s">
        <v>12</v>
      </c>
      <c r="B85" s="541" t="s">
        <v>91</v>
      </c>
      <c r="C85" s="760"/>
      <c r="D85" s="760" t="s">
        <v>1055</v>
      </c>
      <c r="E85" s="760" t="s">
        <v>1056</v>
      </c>
      <c r="F85" s="53">
        <v>158</v>
      </c>
      <c r="G85" s="56">
        <f>(70742102/1048631)/366*1000</f>
        <v>184.32073026068187</v>
      </c>
      <c r="H85" s="56">
        <v>140</v>
      </c>
      <c r="I85" s="56">
        <v>136</v>
      </c>
      <c r="J85" s="57"/>
      <c r="K85" s="57"/>
      <c r="L85" s="57"/>
      <c r="M85" s="57"/>
      <c r="N85" s="58">
        <f>(71360000/1016100)/365*1000</f>
        <v>192.40906339441835</v>
      </c>
      <c r="O85" s="58">
        <v>244</v>
      </c>
      <c r="P85" s="58"/>
      <c r="Q85" s="58">
        <f>(72672287/1101131)/366*1000</f>
        <v>180.32201545700357</v>
      </c>
      <c r="S85" s="2434">
        <f>SUM(F85:F90)/6</f>
        <v>144.83333333333334</v>
      </c>
      <c r="T85" s="2434">
        <f>MEDIAN(F85:F90)</f>
        <v>149</v>
      </c>
      <c r="U85" s="2434">
        <f>SUM(G85:G90)/6</f>
        <v>185.53315336067666</v>
      </c>
      <c r="V85" s="2434">
        <f>MEDIAN(G85:G90)</f>
        <v>184.32073026068187</v>
      </c>
      <c r="W85" s="2434">
        <f>SUM(H85:H90)/6</f>
        <v>133.16666666666666</v>
      </c>
      <c r="X85" s="2434">
        <f>MEDIAN(H85:H90)</f>
        <v>140</v>
      </c>
      <c r="Y85" s="2434">
        <f>SUM(I85:I90)/6</f>
        <v>129.83333333333334</v>
      </c>
      <c r="Z85" s="2434">
        <f>MEDIAN(I85:I90)</f>
        <v>134</v>
      </c>
      <c r="AA85" s="2444">
        <f>SUM(N85:N90)/6</f>
        <v>191.53202138591564</v>
      </c>
      <c r="AB85" s="2444">
        <f>SUM(O85:O90)/6</f>
        <v>234.66666666666666</v>
      </c>
      <c r="AC85" s="2444">
        <f>SUM(P85:P90)/4</f>
        <v>176.73577848400879</v>
      </c>
      <c r="AD85" s="2444">
        <f>SUM(Q85:Q90)/6</f>
        <v>172.55301793194084</v>
      </c>
    </row>
    <row r="86" spans="1:30" ht="15.75" customHeight="1" x14ac:dyDescent="0.25">
      <c r="A86" s="1819"/>
      <c r="B86" s="542" t="s">
        <v>92</v>
      </c>
      <c r="C86" s="760" t="s">
        <v>429</v>
      </c>
      <c r="D86" s="760" t="s">
        <v>1055</v>
      </c>
      <c r="E86" s="760" t="s">
        <v>1056</v>
      </c>
      <c r="F86" s="53">
        <v>158</v>
      </c>
      <c r="G86" s="56">
        <f>(70742102/1048631)/366*1000</f>
        <v>184.32073026068187</v>
      </c>
      <c r="H86" s="56">
        <v>140</v>
      </c>
      <c r="I86" s="56">
        <v>136</v>
      </c>
      <c r="J86" s="57"/>
      <c r="K86" s="57"/>
      <c r="L86" s="57"/>
      <c r="M86" s="57"/>
      <c r="N86" s="58">
        <f>(71360000/1016100)/365*1000</f>
        <v>192.40906339441835</v>
      </c>
      <c r="O86" s="58">
        <v>244</v>
      </c>
      <c r="P86" s="58">
        <f>(71244379/1075960)/365*1000</f>
        <v>181.41016343735345</v>
      </c>
      <c r="Q86" s="58">
        <f>(72672287/1101131)/366*1000</f>
        <v>180.32201545700357</v>
      </c>
      <c r="S86" s="2435"/>
      <c r="T86" s="2429"/>
      <c r="U86" s="2435"/>
      <c r="V86" s="2429"/>
      <c r="W86" s="2435"/>
      <c r="X86" s="2435"/>
      <c r="Y86" s="2435"/>
      <c r="Z86" s="2435"/>
      <c r="AA86" s="2445"/>
      <c r="AB86" s="2456"/>
      <c r="AC86" s="2456"/>
      <c r="AD86" s="2456"/>
    </row>
    <row r="87" spans="1:30" ht="15.75" customHeight="1" x14ac:dyDescent="0.25">
      <c r="A87" s="1819"/>
      <c r="B87" s="542" t="s">
        <v>93</v>
      </c>
      <c r="C87" s="760"/>
      <c r="D87" s="760" t="s">
        <v>1055</v>
      </c>
      <c r="E87" s="760" t="s">
        <v>1056</v>
      </c>
      <c r="F87" s="53">
        <v>118</v>
      </c>
      <c r="G87" s="431">
        <f>(8596300/143900)/366*1000</f>
        <v>163.21861341171197</v>
      </c>
      <c r="H87" s="431">
        <v>110</v>
      </c>
      <c r="I87" s="431">
        <v>110</v>
      </c>
      <c r="J87" s="57"/>
      <c r="K87" s="57"/>
      <c r="L87" s="57"/>
      <c r="M87" s="57"/>
      <c r="N87" s="58">
        <f>(8575271/139400)/365*1000</f>
        <v>168.53581887148445</v>
      </c>
      <c r="O87" s="58">
        <v>191</v>
      </c>
      <c r="P87" s="58">
        <f>(10638000/193200)/365*1000</f>
        <v>150.85510082532119</v>
      </c>
      <c r="Q87" s="58">
        <f>(10884808/197000)/366*1000</f>
        <v>150.96402318937061</v>
      </c>
      <c r="S87" s="2435"/>
      <c r="T87" s="2429"/>
      <c r="U87" s="2435"/>
      <c r="V87" s="2429"/>
      <c r="W87" s="2435"/>
      <c r="X87" s="2435"/>
      <c r="Y87" s="2435"/>
      <c r="Z87" s="2435"/>
      <c r="AA87" s="2445"/>
      <c r="AB87" s="2456"/>
      <c r="AC87" s="2456"/>
      <c r="AD87" s="2456"/>
    </row>
    <row r="88" spans="1:30" ht="15.75" customHeight="1" x14ac:dyDescent="0.25">
      <c r="A88" s="1819"/>
      <c r="B88" s="542" t="s">
        <v>94</v>
      </c>
      <c r="C88" s="760"/>
      <c r="D88" s="760" t="s">
        <v>1055</v>
      </c>
      <c r="E88" s="760" t="s">
        <v>1056</v>
      </c>
      <c r="F88" s="53">
        <v>140</v>
      </c>
      <c r="G88" s="431">
        <f>(15268220/213000)/366*1000</f>
        <v>195.85186895507837</v>
      </c>
      <c r="H88" s="431">
        <v>140</v>
      </c>
      <c r="I88" s="431">
        <v>129</v>
      </c>
      <c r="J88" s="57"/>
      <c r="K88" s="57"/>
      <c r="L88" s="57"/>
      <c r="M88" s="57"/>
      <c r="N88" s="58">
        <f>(15451651/204688)/365*1000</f>
        <v>206.81862351949752</v>
      </c>
      <c r="O88" s="58">
        <v>241</v>
      </c>
      <c r="P88" s="58">
        <f>(15348533/218000)/365*1000</f>
        <v>192.89346487369613</v>
      </c>
      <c r="Q88" s="58">
        <f>(13883849/223000)/366*1000</f>
        <v>170.10768457938201</v>
      </c>
      <c r="S88" s="2435"/>
      <c r="T88" s="2429"/>
      <c r="U88" s="2435"/>
      <c r="V88" s="2429"/>
      <c r="W88" s="2435"/>
      <c r="X88" s="2435"/>
      <c r="Y88" s="2435"/>
      <c r="Z88" s="2435"/>
      <c r="AA88" s="2445"/>
      <c r="AB88" s="2456"/>
      <c r="AC88" s="2456"/>
      <c r="AD88" s="2456"/>
    </row>
    <row r="89" spans="1:30" ht="16.5" customHeight="1" x14ac:dyDescent="0.25">
      <c r="A89" s="1819"/>
      <c r="B89" s="542" t="s">
        <v>95</v>
      </c>
      <c r="C89" s="760"/>
      <c r="D89" s="760" t="s">
        <v>1055</v>
      </c>
      <c r="E89" s="760" t="s">
        <v>1056</v>
      </c>
      <c r="F89" s="53">
        <v>137</v>
      </c>
      <c r="G89" s="431">
        <f>(12835000/174325)/366*1000</f>
        <v>201.1662470152242</v>
      </c>
      <c r="H89" s="431">
        <v>129</v>
      </c>
      <c r="I89" s="431">
        <v>132</v>
      </c>
      <c r="J89" s="57"/>
      <c r="K89" s="57"/>
      <c r="L89" s="57"/>
      <c r="M89" s="57"/>
      <c r="N89" s="58">
        <f>(12522614/174500)/365*1000</f>
        <v>196.61049574125681</v>
      </c>
      <c r="O89" s="58">
        <v>244</v>
      </c>
      <c r="P89" s="58">
        <f>(12084496/182129)/365*1000</f>
        <v>181.78438479966445</v>
      </c>
      <c r="Q89" s="58">
        <f>(11777334/185702)/366*1000</f>
        <v>173.28035345188158</v>
      </c>
      <c r="S89" s="2435"/>
      <c r="T89" s="2429"/>
      <c r="U89" s="2435"/>
      <c r="V89" s="2429"/>
      <c r="W89" s="2435"/>
      <c r="X89" s="2435"/>
      <c r="Y89" s="2435"/>
      <c r="Z89" s="2435"/>
      <c r="AA89" s="2445"/>
      <c r="AB89" s="2456"/>
      <c r="AC89" s="2456"/>
      <c r="AD89" s="2456"/>
    </row>
    <row r="90" spans="1:30" ht="16.5" customHeight="1" thickBot="1" x14ac:dyDescent="0.3">
      <c r="A90" s="1820"/>
      <c r="B90" s="548" t="s">
        <v>195</v>
      </c>
      <c r="C90" s="760"/>
      <c r="D90" s="760" t="s">
        <v>1055</v>
      </c>
      <c r="E90" s="760" t="s">
        <v>1056</v>
      </c>
      <c r="F90" s="53">
        <v>158</v>
      </c>
      <c r="G90" s="56">
        <f>(70742102/1048631)/366*1000</f>
        <v>184.32073026068187</v>
      </c>
      <c r="H90" s="56">
        <v>140</v>
      </c>
      <c r="I90" s="56">
        <v>136</v>
      </c>
      <c r="J90" s="54"/>
      <c r="K90" s="54"/>
      <c r="L90" s="54"/>
      <c r="M90" s="54"/>
      <c r="N90" s="58">
        <f>(71360000/1016100)/365*1000</f>
        <v>192.40906339441835</v>
      </c>
      <c r="O90" s="58">
        <v>244</v>
      </c>
      <c r="P90" s="58"/>
      <c r="Q90" s="58">
        <f>(72672287/1101131)/366*1000</f>
        <v>180.32201545700357</v>
      </c>
      <c r="S90" s="2436"/>
      <c r="T90" s="2436"/>
      <c r="U90" s="2436"/>
      <c r="V90" s="2436"/>
      <c r="W90" s="2436"/>
      <c r="X90" s="2436"/>
      <c r="Y90" s="2436"/>
      <c r="Z90" s="2436"/>
      <c r="AA90" s="2449"/>
      <c r="AB90" s="2449"/>
      <c r="AC90" s="2449"/>
      <c r="AD90" s="2449"/>
    </row>
    <row r="91" spans="1:30" ht="15.75" customHeight="1" x14ac:dyDescent="0.25">
      <c r="A91" s="1818" t="s">
        <v>13</v>
      </c>
      <c r="B91" s="541" t="s">
        <v>97</v>
      </c>
      <c r="C91" s="760"/>
      <c r="D91" s="760" t="s">
        <v>1057</v>
      </c>
      <c r="E91" s="760" t="s">
        <v>1058</v>
      </c>
      <c r="F91" s="53" t="s">
        <v>5</v>
      </c>
      <c r="G91" s="56">
        <v>155.69999999999999</v>
      </c>
      <c r="H91" s="56">
        <v>153</v>
      </c>
      <c r="I91" s="56">
        <v>157</v>
      </c>
      <c r="J91" s="54"/>
      <c r="K91" s="54"/>
      <c r="L91" s="54"/>
      <c r="M91" s="54"/>
      <c r="N91" s="58" t="s">
        <v>5</v>
      </c>
      <c r="O91" s="58" t="s">
        <v>5</v>
      </c>
      <c r="P91" s="58" t="s">
        <v>5</v>
      </c>
      <c r="Q91" s="58" t="s">
        <v>5</v>
      </c>
      <c r="S91" s="2450" t="s">
        <v>5</v>
      </c>
      <c r="T91" s="2450" t="s">
        <v>5</v>
      </c>
      <c r="U91" s="2434">
        <f>SUM(G91:G101)/11</f>
        <v>158.79090909090908</v>
      </c>
      <c r="V91" s="2434">
        <f>MEDIAN(G91:G101)</f>
        <v>146</v>
      </c>
      <c r="W91" s="2434">
        <f>SUM(H91:H101)/11</f>
        <v>149.09090909090909</v>
      </c>
      <c r="X91" s="2434">
        <f>MEDIAN(H91:H101)</f>
        <v>144</v>
      </c>
      <c r="Y91" s="2434">
        <f>SUM(I91:I101)/11</f>
        <v>152.25454545454545</v>
      </c>
      <c r="Z91" s="2434">
        <f>MEDIAN(I91:I101)</f>
        <v>149.1</v>
      </c>
      <c r="AA91" s="2444" t="s">
        <v>5</v>
      </c>
      <c r="AB91" s="2444" t="s">
        <v>5</v>
      </c>
      <c r="AC91" s="2444" t="s">
        <v>5</v>
      </c>
      <c r="AD91" s="2444" t="s">
        <v>5</v>
      </c>
    </row>
    <row r="92" spans="1:30" ht="15.75" customHeight="1" x14ac:dyDescent="0.25">
      <c r="A92" s="1819"/>
      <c r="B92" s="542" t="s">
        <v>98</v>
      </c>
      <c r="C92" s="760"/>
      <c r="D92" s="760" t="s">
        <v>1057</v>
      </c>
      <c r="E92" s="760" t="s">
        <v>1058</v>
      </c>
      <c r="F92" s="53" t="s">
        <v>5</v>
      </c>
      <c r="G92" s="53">
        <v>148</v>
      </c>
      <c r="H92" s="53">
        <v>110</v>
      </c>
      <c r="I92" s="56">
        <v>149.1</v>
      </c>
      <c r="J92" s="54"/>
      <c r="K92" s="54"/>
      <c r="L92" s="54"/>
      <c r="M92" s="54"/>
      <c r="N92" s="55" t="s">
        <v>5</v>
      </c>
      <c r="O92" s="55" t="s">
        <v>5</v>
      </c>
      <c r="P92" s="58" t="s">
        <v>5</v>
      </c>
      <c r="Q92" s="58" t="s">
        <v>5</v>
      </c>
      <c r="S92" s="2465"/>
      <c r="T92" s="2451"/>
      <c r="U92" s="2435"/>
      <c r="V92" s="2429"/>
      <c r="W92" s="2435"/>
      <c r="X92" s="2435"/>
      <c r="Y92" s="2429"/>
      <c r="Z92" s="2429"/>
      <c r="AA92" s="2445"/>
      <c r="AB92" s="2445"/>
      <c r="AC92" s="2445"/>
      <c r="AD92" s="2445"/>
    </row>
    <row r="93" spans="1:30" ht="15.75" customHeight="1" x14ac:dyDescent="0.25">
      <c r="A93" s="1819"/>
      <c r="B93" s="542" t="s">
        <v>99</v>
      </c>
      <c r="C93" s="760"/>
      <c r="D93" s="760" t="s">
        <v>1057</v>
      </c>
      <c r="E93" s="760" t="s">
        <v>1058</v>
      </c>
      <c r="F93" s="53" t="s">
        <v>5</v>
      </c>
      <c r="G93" s="53">
        <v>98</v>
      </c>
      <c r="H93" s="53">
        <v>98</v>
      </c>
      <c r="I93" s="53">
        <v>119</v>
      </c>
      <c r="J93" s="54"/>
      <c r="K93" s="54"/>
      <c r="L93" s="54"/>
      <c r="M93" s="54"/>
      <c r="N93" s="55" t="s">
        <v>5</v>
      </c>
      <c r="O93" s="55" t="s">
        <v>5</v>
      </c>
      <c r="P93" s="55" t="s">
        <v>5</v>
      </c>
      <c r="Q93" s="55" t="s">
        <v>5</v>
      </c>
      <c r="S93" s="2465"/>
      <c r="T93" s="2451"/>
      <c r="U93" s="2435"/>
      <c r="V93" s="2429"/>
      <c r="W93" s="2435"/>
      <c r="X93" s="2435"/>
      <c r="Y93" s="2429"/>
      <c r="Z93" s="2429"/>
      <c r="AA93" s="2445"/>
      <c r="AB93" s="2445"/>
      <c r="AC93" s="2445"/>
      <c r="AD93" s="2445"/>
    </row>
    <row r="94" spans="1:30" ht="15.75" customHeight="1" x14ac:dyDescent="0.25">
      <c r="A94" s="1819"/>
      <c r="B94" s="542" t="s">
        <v>100</v>
      </c>
      <c r="C94" s="760"/>
      <c r="D94" s="760" t="s">
        <v>1057</v>
      </c>
      <c r="E94" s="760" t="s">
        <v>1058</v>
      </c>
      <c r="F94" s="53" t="s">
        <v>5</v>
      </c>
      <c r="G94" s="53">
        <v>165</v>
      </c>
      <c r="H94" s="53">
        <v>152</v>
      </c>
      <c r="I94" s="53">
        <v>149</v>
      </c>
      <c r="J94" s="54"/>
      <c r="K94" s="54"/>
      <c r="L94" s="54"/>
      <c r="M94" s="54"/>
      <c r="N94" s="58" t="s">
        <v>5</v>
      </c>
      <c r="O94" s="58" t="s">
        <v>5</v>
      </c>
      <c r="P94" s="58" t="s">
        <v>5</v>
      </c>
      <c r="Q94" s="58" t="s">
        <v>5</v>
      </c>
      <c r="S94" s="2465"/>
      <c r="T94" s="2451"/>
      <c r="U94" s="2435"/>
      <c r="V94" s="2429"/>
      <c r="W94" s="2435"/>
      <c r="X94" s="2435"/>
      <c r="Y94" s="2429"/>
      <c r="Z94" s="2429"/>
      <c r="AA94" s="2445"/>
      <c r="AB94" s="2445"/>
      <c r="AC94" s="2445"/>
      <c r="AD94" s="2445"/>
    </row>
    <row r="95" spans="1:30" ht="16.5" customHeight="1" x14ac:dyDescent="0.25">
      <c r="A95" s="1819"/>
      <c r="B95" s="641" t="s">
        <v>101</v>
      </c>
      <c r="C95" s="760" t="s">
        <v>429</v>
      </c>
      <c r="D95" s="760" t="s">
        <v>1057</v>
      </c>
      <c r="E95" s="760" t="s">
        <v>1058</v>
      </c>
      <c r="F95" s="53" t="s">
        <v>5</v>
      </c>
      <c r="G95" s="53">
        <v>120</v>
      </c>
      <c r="H95" s="53">
        <v>187</v>
      </c>
      <c r="I95" s="56">
        <v>186.7</v>
      </c>
      <c r="J95" s="54"/>
      <c r="K95" s="54"/>
      <c r="L95" s="54"/>
      <c r="M95" s="54"/>
      <c r="N95" s="58" t="s">
        <v>5</v>
      </c>
      <c r="O95" s="58" t="s">
        <v>5</v>
      </c>
      <c r="P95" s="58" t="s">
        <v>5</v>
      </c>
      <c r="Q95" s="58" t="s">
        <v>5</v>
      </c>
      <c r="S95" s="2465"/>
      <c r="T95" s="2451"/>
      <c r="U95" s="2435"/>
      <c r="V95" s="2429"/>
      <c r="W95" s="2435"/>
      <c r="X95" s="2435"/>
      <c r="Y95" s="2429"/>
      <c r="Z95" s="2429"/>
      <c r="AA95" s="2445"/>
      <c r="AB95" s="2445"/>
      <c r="AC95" s="2445"/>
      <c r="AD95" s="2445"/>
    </row>
    <row r="96" spans="1:30" ht="16.5" customHeight="1" x14ac:dyDescent="0.25">
      <c r="A96" s="1819"/>
      <c r="B96" s="641" t="s">
        <v>630</v>
      </c>
      <c r="C96" s="760"/>
      <c r="D96" s="760" t="s">
        <v>1057</v>
      </c>
      <c r="E96" s="760" t="s">
        <v>1058</v>
      </c>
      <c r="F96" s="53" t="s">
        <v>5</v>
      </c>
      <c r="G96" s="53">
        <v>174</v>
      </c>
      <c r="H96" s="53">
        <v>207</v>
      </c>
      <c r="I96" s="53">
        <v>195</v>
      </c>
      <c r="J96" s="54"/>
      <c r="K96" s="54"/>
      <c r="L96" s="54"/>
      <c r="M96" s="54"/>
      <c r="N96" s="58" t="s">
        <v>5</v>
      </c>
      <c r="O96" s="58" t="s">
        <v>5</v>
      </c>
      <c r="P96" s="58" t="s">
        <v>5</v>
      </c>
      <c r="Q96" s="58" t="s">
        <v>5</v>
      </c>
      <c r="S96" s="2465"/>
      <c r="T96" s="2451"/>
      <c r="U96" s="2435"/>
      <c r="V96" s="2429"/>
      <c r="W96" s="2435"/>
      <c r="X96" s="2435"/>
      <c r="Y96" s="2429"/>
      <c r="Z96" s="2429"/>
      <c r="AA96" s="2445"/>
      <c r="AB96" s="2445"/>
      <c r="AC96" s="2445"/>
      <c r="AD96" s="2445"/>
    </row>
    <row r="97" spans="1:30" ht="16.5" customHeight="1" x14ac:dyDescent="0.25">
      <c r="A97" s="1819"/>
      <c r="B97" s="641" t="s">
        <v>631</v>
      </c>
      <c r="C97" s="760"/>
      <c r="D97" s="760" t="s">
        <v>1057</v>
      </c>
      <c r="E97" s="760" t="s">
        <v>1058</v>
      </c>
      <c r="F97" s="53" t="s">
        <v>5</v>
      </c>
      <c r="G97" s="53">
        <v>139</v>
      </c>
      <c r="H97" s="53">
        <v>144</v>
      </c>
      <c r="I97" s="53">
        <v>146</v>
      </c>
      <c r="J97" s="54"/>
      <c r="K97" s="54"/>
      <c r="L97" s="54"/>
      <c r="M97" s="54"/>
      <c r="N97" s="58" t="s">
        <v>5</v>
      </c>
      <c r="O97" s="58" t="s">
        <v>5</v>
      </c>
      <c r="P97" s="58" t="s">
        <v>5</v>
      </c>
      <c r="Q97" s="58" t="s">
        <v>5</v>
      </c>
      <c r="S97" s="2465"/>
      <c r="T97" s="2451"/>
      <c r="U97" s="2435"/>
      <c r="V97" s="2429"/>
      <c r="W97" s="2435"/>
      <c r="X97" s="2435"/>
      <c r="Y97" s="2429"/>
      <c r="Z97" s="2429"/>
      <c r="AA97" s="2445"/>
      <c r="AB97" s="2445"/>
      <c r="AC97" s="2445"/>
      <c r="AD97" s="2445"/>
    </row>
    <row r="98" spans="1:30" ht="16.5" customHeight="1" x14ac:dyDescent="0.25">
      <c r="A98" s="1819"/>
      <c r="B98" s="641" t="s">
        <v>632</v>
      </c>
      <c r="C98" s="760"/>
      <c r="D98" s="760" t="s">
        <v>1057</v>
      </c>
      <c r="E98" s="760" t="s">
        <v>1058</v>
      </c>
      <c r="F98" s="53" t="s">
        <v>5</v>
      </c>
      <c r="G98" s="53">
        <v>146</v>
      </c>
      <c r="H98" s="53">
        <v>142</v>
      </c>
      <c r="I98" s="53">
        <v>154</v>
      </c>
      <c r="J98" s="54"/>
      <c r="K98" s="54"/>
      <c r="L98" s="54"/>
      <c r="M98" s="54"/>
      <c r="N98" s="58" t="s">
        <v>5</v>
      </c>
      <c r="O98" s="58" t="s">
        <v>5</v>
      </c>
      <c r="P98" s="58" t="s">
        <v>5</v>
      </c>
      <c r="Q98" s="58" t="s">
        <v>5</v>
      </c>
      <c r="S98" s="2465"/>
      <c r="T98" s="2451"/>
      <c r="U98" s="2435"/>
      <c r="V98" s="2429"/>
      <c r="W98" s="2435"/>
      <c r="X98" s="2435"/>
      <c r="Y98" s="2429"/>
      <c r="Z98" s="2429"/>
      <c r="AA98" s="2445"/>
      <c r="AB98" s="2445"/>
      <c r="AC98" s="2445"/>
      <c r="AD98" s="2445"/>
    </row>
    <row r="99" spans="1:30" ht="16.5" customHeight="1" x14ac:dyDescent="0.25">
      <c r="A99" s="1819"/>
      <c r="B99" s="641" t="s">
        <v>633</v>
      </c>
      <c r="C99" s="760"/>
      <c r="D99" s="760" t="s">
        <v>1057</v>
      </c>
      <c r="E99" s="760" t="s">
        <v>1058</v>
      </c>
      <c r="F99" s="53" t="s">
        <v>5</v>
      </c>
      <c r="G99" s="53">
        <v>131</v>
      </c>
      <c r="H99" s="53">
        <v>136</v>
      </c>
      <c r="I99" s="53">
        <v>131</v>
      </c>
      <c r="J99" s="54"/>
      <c r="K99" s="54"/>
      <c r="L99" s="54"/>
      <c r="M99" s="54"/>
      <c r="N99" s="58" t="s">
        <v>5</v>
      </c>
      <c r="O99" s="58" t="s">
        <v>5</v>
      </c>
      <c r="P99" s="58" t="s">
        <v>5</v>
      </c>
      <c r="Q99" s="58" t="s">
        <v>5</v>
      </c>
      <c r="S99" s="2465"/>
      <c r="T99" s="2451"/>
      <c r="U99" s="2435"/>
      <c r="V99" s="2429"/>
      <c r="W99" s="2435"/>
      <c r="X99" s="2435"/>
      <c r="Y99" s="2429"/>
      <c r="Z99" s="2429"/>
      <c r="AA99" s="2445"/>
      <c r="AB99" s="2445"/>
      <c r="AC99" s="2445"/>
      <c r="AD99" s="2445"/>
    </row>
    <row r="100" spans="1:30" ht="16.5" customHeight="1" x14ac:dyDescent="0.25">
      <c r="A100" s="1819"/>
      <c r="B100" s="641" t="s">
        <v>634</v>
      </c>
      <c r="C100" s="760"/>
      <c r="D100" s="760" t="s">
        <v>1057</v>
      </c>
      <c r="E100" s="760" t="s">
        <v>1058</v>
      </c>
      <c r="F100" s="53" t="s">
        <v>5</v>
      </c>
      <c r="G100" s="53">
        <v>360</v>
      </c>
      <c r="H100" s="53">
        <v>188</v>
      </c>
      <c r="I100" s="53">
        <v>172</v>
      </c>
      <c r="J100" s="54"/>
      <c r="K100" s="54"/>
      <c r="L100" s="54"/>
      <c r="M100" s="54"/>
      <c r="N100" s="58" t="s">
        <v>5</v>
      </c>
      <c r="O100" s="58" t="s">
        <v>5</v>
      </c>
      <c r="P100" s="58" t="s">
        <v>5</v>
      </c>
      <c r="Q100" s="58" t="s">
        <v>5</v>
      </c>
      <c r="S100" s="2465"/>
      <c r="T100" s="2451"/>
      <c r="U100" s="2435"/>
      <c r="V100" s="2429"/>
      <c r="W100" s="2435"/>
      <c r="X100" s="2435"/>
      <c r="Y100" s="2429"/>
      <c r="Z100" s="2429"/>
      <c r="AA100" s="2445"/>
      <c r="AB100" s="2445"/>
      <c r="AC100" s="2445"/>
      <c r="AD100" s="2445"/>
    </row>
    <row r="101" spans="1:30" ht="16.5" customHeight="1" thickBot="1" x14ac:dyDescent="0.3">
      <c r="A101" s="1820"/>
      <c r="B101" s="544" t="s">
        <v>635</v>
      </c>
      <c r="C101" s="760"/>
      <c r="D101" s="760" t="s">
        <v>1057</v>
      </c>
      <c r="E101" s="760" t="s">
        <v>1058</v>
      </c>
      <c r="F101" s="53" t="s">
        <v>5</v>
      </c>
      <c r="G101" s="53">
        <v>110</v>
      </c>
      <c r="H101" s="53">
        <v>123</v>
      </c>
      <c r="I101" s="53">
        <v>116</v>
      </c>
      <c r="J101" s="54"/>
      <c r="K101" s="54"/>
      <c r="L101" s="54"/>
      <c r="M101" s="54"/>
      <c r="N101" s="58" t="s">
        <v>5</v>
      </c>
      <c r="O101" s="58" t="s">
        <v>5</v>
      </c>
      <c r="P101" s="58" t="s">
        <v>5</v>
      </c>
      <c r="Q101" s="58" t="s">
        <v>5</v>
      </c>
      <c r="S101" s="2452"/>
      <c r="T101" s="2452"/>
      <c r="U101" s="2436"/>
      <c r="V101" s="2436"/>
      <c r="W101" s="2436"/>
      <c r="X101" s="2436"/>
      <c r="Y101" s="2436"/>
      <c r="Z101" s="2436"/>
      <c r="AA101" s="2449"/>
      <c r="AB101" s="2449"/>
      <c r="AC101" s="2449"/>
      <c r="AD101" s="2449"/>
    </row>
    <row r="102" spans="1:30" ht="16.5" customHeight="1" thickBot="1" x14ac:dyDescent="0.3">
      <c r="A102" s="962" t="s">
        <v>521</v>
      </c>
      <c r="B102" s="266" t="s">
        <v>523</v>
      </c>
      <c r="C102" s="762"/>
      <c r="D102" s="762" t="s">
        <v>1059</v>
      </c>
      <c r="E102" s="762" t="s">
        <v>1060</v>
      </c>
      <c r="F102" s="53">
        <v>143</v>
      </c>
      <c r="G102" s="53"/>
      <c r="H102" s="53"/>
      <c r="I102" s="53"/>
      <c r="J102" s="54"/>
      <c r="K102" s="54"/>
      <c r="L102" s="54"/>
      <c r="M102" s="54"/>
      <c r="N102" s="58">
        <f>(62636000/1200392)/365*1000</f>
        <v>142.95786664027648</v>
      </c>
      <c r="O102" s="58"/>
      <c r="P102" s="58"/>
      <c r="Q102" s="58"/>
      <c r="S102" s="934">
        <v>143</v>
      </c>
      <c r="T102" s="934">
        <f>F102</f>
        <v>143</v>
      </c>
      <c r="U102" s="934"/>
      <c r="V102" s="934"/>
      <c r="W102" s="934"/>
      <c r="X102" s="934"/>
      <c r="Y102" s="934"/>
      <c r="Z102" s="934"/>
      <c r="AA102" s="928">
        <v>143</v>
      </c>
      <c r="AB102" s="928"/>
      <c r="AC102" s="928"/>
      <c r="AD102" s="928"/>
    </row>
    <row r="103" spans="1:30" ht="16.149999999999999" customHeight="1" x14ac:dyDescent="0.25">
      <c r="A103" s="1878" t="s">
        <v>14</v>
      </c>
      <c r="B103" s="737" t="s">
        <v>96</v>
      </c>
      <c r="C103" s="763"/>
      <c r="D103" s="763" t="s">
        <v>1061</v>
      </c>
      <c r="E103" s="763" t="s">
        <v>1062</v>
      </c>
      <c r="F103" s="53">
        <v>121</v>
      </c>
      <c r="G103" s="53">
        <v>120</v>
      </c>
      <c r="H103" s="53" t="s">
        <v>5</v>
      </c>
      <c r="I103" s="53"/>
      <c r="J103" s="54"/>
      <c r="K103" s="54"/>
      <c r="L103" s="54"/>
      <c r="M103" s="54"/>
      <c r="N103" s="58">
        <f>(4455/81.15)/365*1000</f>
        <v>150.40640113437823</v>
      </c>
      <c r="O103" s="58" t="s">
        <v>5</v>
      </c>
      <c r="P103" s="58" t="s">
        <v>5</v>
      </c>
      <c r="Q103" s="58"/>
      <c r="S103" s="59">
        <v>121</v>
      </c>
      <c r="T103" s="59">
        <f>F103</f>
        <v>121</v>
      </c>
      <c r="U103" s="59">
        <v>120</v>
      </c>
      <c r="V103" s="59">
        <f>G103</f>
        <v>120</v>
      </c>
      <c r="W103" s="59" t="s">
        <v>5</v>
      </c>
      <c r="X103" s="59" t="s">
        <v>5</v>
      </c>
      <c r="Y103" s="59"/>
      <c r="Z103" s="59"/>
      <c r="AA103" s="62">
        <v>150</v>
      </c>
      <c r="AB103" s="62" t="s">
        <v>5</v>
      </c>
      <c r="AC103" s="62" t="s">
        <v>5</v>
      </c>
      <c r="AD103" s="62"/>
    </row>
    <row r="104" spans="1:30" ht="15.6" customHeight="1" x14ac:dyDescent="0.25">
      <c r="A104" s="1758"/>
      <c r="B104" s="739" t="s">
        <v>939</v>
      </c>
      <c r="C104" s="761" t="s">
        <v>429</v>
      </c>
      <c r="D104" s="761" t="s">
        <v>1061</v>
      </c>
      <c r="E104" s="761" t="s">
        <v>1062</v>
      </c>
      <c r="F104" s="53" t="s">
        <v>5</v>
      </c>
      <c r="G104" s="53" t="s">
        <v>5</v>
      </c>
      <c r="H104" s="53" t="s">
        <v>5</v>
      </c>
      <c r="I104" s="53">
        <v>114</v>
      </c>
      <c r="J104" s="54"/>
      <c r="K104" s="54"/>
      <c r="L104" s="54"/>
      <c r="M104" s="54"/>
      <c r="N104" s="58" t="s">
        <v>5</v>
      </c>
      <c r="O104" s="58" t="s">
        <v>5</v>
      </c>
      <c r="P104" s="58" t="s">
        <v>5</v>
      </c>
      <c r="Q104" s="58">
        <f>(205821000/3653000)/366*1000</f>
        <v>153.94263865764947</v>
      </c>
      <c r="S104" s="447" t="s">
        <v>5</v>
      </c>
      <c r="T104" s="447" t="s">
        <v>5</v>
      </c>
      <c r="U104" s="447" t="s">
        <v>5</v>
      </c>
      <c r="V104" s="447" t="s">
        <v>5</v>
      </c>
      <c r="W104" s="447" t="s">
        <v>5</v>
      </c>
      <c r="X104" s="447" t="s">
        <v>5</v>
      </c>
      <c r="Y104" s="447">
        <v>114</v>
      </c>
      <c r="Z104" s="447">
        <v>114</v>
      </c>
      <c r="AA104" s="948" t="s">
        <v>5</v>
      </c>
      <c r="AB104" s="948" t="s">
        <v>5</v>
      </c>
      <c r="AC104" s="948" t="s">
        <v>5</v>
      </c>
      <c r="AD104" s="738">
        <v>153.94263865764947</v>
      </c>
    </row>
    <row r="105" spans="1:30" ht="15.75" customHeight="1" x14ac:dyDescent="0.25">
      <c r="A105" s="2004" t="s">
        <v>35</v>
      </c>
      <c r="B105" s="501" t="s">
        <v>712</v>
      </c>
      <c r="C105" s="457"/>
      <c r="D105" s="457" t="s">
        <v>1063</v>
      </c>
      <c r="E105" s="457" t="s">
        <v>1064</v>
      </c>
      <c r="F105" s="53" t="s">
        <v>5</v>
      </c>
      <c r="G105" s="53" t="s">
        <v>5</v>
      </c>
      <c r="H105" s="53">
        <v>199</v>
      </c>
      <c r="I105" s="53"/>
      <c r="J105" s="54"/>
      <c r="K105" s="54"/>
      <c r="L105" s="54"/>
      <c r="M105" s="54"/>
      <c r="N105" s="55" t="s">
        <v>5</v>
      </c>
      <c r="O105" s="55" t="s">
        <v>5</v>
      </c>
      <c r="P105" s="58">
        <f>(5837022/80170)/365*1000</f>
        <v>199.47413116989409</v>
      </c>
      <c r="Q105" s="58"/>
      <c r="S105" s="2450" t="s">
        <v>5</v>
      </c>
      <c r="T105" s="2450" t="s">
        <v>5</v>
      </c>
      <c r="U105" s="2450" t="s">
        <v>5</v>
      </c>
      <c r="V105" s="2450" t="s">
        <v>5</v>
      </c>
      <c r="W105" s="2434">
        <f>SUM(H105:H109)/5</f>
        <v>196.8</v>
      </c>
      <c r="X105" s="2450">
        <f>MEDIAN(H105:H109)</f>
        <v>193</v>
      </c>
      <c r="Y105" s="932"/>
      <c r="Z105" s="932"/>
      <c r="AA105" s="2437" t="s">
        <v>5</v>
      </c>
      <c r="AB105" s="2437" t="s">
        <v>5</v>
      </c>
      <c r="AC105" s="2444">
        <f>SUM(P105:P109)/5</f>
        <v>196.9402708539387</v>
      </c>
      <c r="AD105" s="2444"/>
    </row>
    <row r="106" spans="1:30" ht="15.75" customHeight="1" x14ac:dyDescent="0.25">
      <c r="A106" s="2005"/>
      <c r="B106" s="457" t="s">
        <v>713</v>
      </c>
      <c r="C106" s="457"/>
      <c r="D106" s="457" t="s">
        <v>1063</v>
      </c>
      <c r="E106" s="457" t="s">
        <v>1064</v>
      </c>
      <c r="F106" s="53" t="s">
        <v>5</v>
      </c>
      <c r="G106" s="53" t="s">
        <v>5</v>
      </c>
      <c r="H106" s="53">
        <v>193</v>
      </c>
      <c r="I106" s="53"/>
      <c r="J106" s="54"/>
      <c r="K106" s="54"/>
      <c r="L106" s="54"/>
      <c r="M106" s="54"/>
      <c r="N106" s="55" t="s">
        <v>5</v>
      </c>
      <c r="O106" s="55" t="s">
        <v>5</v>
      </c>
      <c r="P106" s="58">
        <f>(5150000/72960)/365*1000</f>
        <v>193.38800769045903</v>
      </c>
      <c r="Q106" s="58"/>
      <c r="S106" s="2451"/>
      <c r="T106" s="2451"/>
      <c r="U106" s="2451"/>
      <c r="V106" s="2451"/>
      <c r="W106" s="2429"/>
      <c r="X106" s="2451"/>
      <c r="Y106" s="933"/>
      <c r="Z106" s="933"/>
      <c r="AA106" s="2448"/>
      <c r="AB106" s="2448"/>
      <c r="AC106" s="2432"/>
      <c r="AD106" s="2432"/>
    </row>
    <row r="107" spans="1:30" ht="15.75" customHeight="1" x14ac:dyDescent="0.25">
      <c r="A107" s="2005"/>
      <c r="B107" s="457" t="s">
        <v>714</v>
      </c>
      <c r="C107" s="457"/>
      <c r="D107" s="457" t="s">
        <v>1063</v>
      </c>
      <c r="E107" s="457" t="s">
        <v>1064</v>
      </c>
      <c r="F107" s="53" t="s">
        <v>5</v>
      </c>
      <c r="G107" s="53" t="s">
        <v>5</v>
      </c>
      <c r="H107" s="53">
        <v>119</v>
      </c>
      <c r="I107" s="53"/>
      <c r="J107" s="54"/>
      <c r="K107" s="54"/>
      <c r="L107" s="54"/>
      <c r="M107" s="54"/>
      <c r="N107" s="55" t="s">
        <v>5</v>
      </c>
      <c r="O107" s="55" t="s">
        <v>5</v>
      </c>
      <c r="P107" s="58">
        <f>(1120449/25814)/365*1000</f>
        <v>118.91699417646366</v>
      </c>
      <c r="Q107" s="58"/>
      <c r="S107" s="2451"/>
      <c r="T107" s="2451"/>
      <c r="U107" s="2451"/>
      <c r="V107" s="2451"/>
      <c r="W107" s="2429"/>
      <c r="X107" s="2451"/>
      <c r="Y107" s="933"/>
      <c r="Z107" s="933"/>
      <c r="AA107" s="2448"/>
      <c r="AB107" s="2448"/>
      <c r="AC107" s="2432"/>
      <c r="AD107" s="2432"/>
    </row>
    <row r="108" spans="1:30" ht="15.75" customHeight="1" x14ac:dyDescent="0.25">
      <c r="A108" s="2005"/>
      <c r="B108" s="457" t="s">
        <v>715</v>
      </c>
      <c r="C108" s="457" t="s">
        <v>429</v>
      </c>
      <c r="D108" s="457" t="s">
        <v>1063</v>
      </c>
      <c r="E108" s="457" t="s">
        <v>1064</v>
      </c>
      <c r="F108" s="53" t="s">
        <v>5</v>
      </c>
      <c r="G108" s="53" t="s">
        <v>5</v>
      </c>
      <c r="H108" s="53">
        <v>289</v>
      </c>
      <c r="I108" s="53"/>
      <c r="J108" s="54"/>
      <c r="K108" s="54"/>
      <c r="L108" s="54"/>
      <c r="M108" s="54"/>
      <c r="N108" s="55" t="s">
        <v>5</v>
      </c>
      <c r="O108" s="55" t="s">
        <v>5</v>
      </c>
      <c r="P108" s="58">
        <f>(422466443/4000000)/365*1000</f>
        <v>289.36057739726027</v>
      </c>
      <c r="Q108" s="58"/>
      <c r="S108" s="2451"/>
      <c r="T108" s="2451"/>
      <c r="U108" s="2451"/>
      <c r="V108" s="2451"/>
      <c r="W108" s="2429"/>
      <c r="X108" s="2451"/>
      <c r="Y108" s="933"/>
      <c r="Z108" s="933"/>
      <c r="AA108" s="2448"/>
      <c r="AB108" s="2448"/>
      <c r="AC108" s="2432"/>
      <c r="AD108" s="2432"/>
    </row>
    <row r="109" spans="1:30" ht="16.5" customHeight="1" thickBot="1" x14ac:dyDescent="0.3">
      <c r="A109" s="2006"/>
      <c r="B109" s="268" t="s">
        <v>716</v>
      </c>
      <c r="C109" s="457"/>
      <c r="D109" s="457" t="s">
        <v>1063</v>
      </c>
      <c r="E109" s="457" t="s">
        <v>1064</v>
      </c>
      <c r="F109" s="53" t="s">
        <v>5</v>
      </c>
      <c r="G109" s="53" t="s">
        <v>5</v>
      </c>
      <c r="H109" s="53">
        <v>184</v>
      </c>
      <c r="I109" s="53"/>
      <c r="J109" s="54"/>
      <c r="K109" s="54"/>
      <c r="L109" s="54"/>
      <c r="M109" s="54"/>
      <c r="N109" s="55" t="s">
        <v>5</v>
      </c>
      <c r="O109" s="55" t="s">
        <v>5</v>
      </c>
      <c r="P109" s="58">
        <f>(67000000/1000000)/365*1000</f>
        <v>183.56164383561642</v>
      </c>
      <c r="Q109" s="58"/>
      <c r="S109" s="2452"/>
      <c r="T109" s="2452"/>
      <c r="U109" s="2452"/>
      <c r="V109" s="2452"/>
      <c r="W109" s="2436"/>
      <c r="X109" s="2452"/>
      <c r="Y109" s="934"/>
      <c r="Z109" s="934"/>
      <c r="AA109" s="2439"/>
      <c r="AB109" s="2439"/>
      <c r="AC109" s="2449"/>
      <c r="AD109" s="2449"/>
    </row>
    <row r="110" spans="1:30" ht="15.75" customHeight="1" x14ac:dyDescent="0.25">
      <c r="A110" s="1818" t="s">
        <v>45</v>
      </c>
      <c r="B110" s="541" t="s">
        <v>102</v>
      </c>
      <c r="C110" s="760" t="s">
        <v>429</v>
      </c>
      <c r="D110" s="760" t="s">
        <v>1065</v>
      </c>
      <c r="E110" s="760" t="s">
        <v>1066</v>
      </c>
      <c r="F110" s="53">
        <v>147</v>
      </c>
      <c r="G110" s="53">
        <v>150</v>
      </c>
      <c r="H110" s="53">
        <v>126</v>
      </c>
      <c r="I110" s="53">
        <v>129</v>
      </c>
      <c r="J110" s="54"/>
      <c r="K110" s="54"/>
      <c r="L110" s="54"/>
      <c r="M110" s="54"/>
      <c r="N110" s="58">
        <f>(138321/1778)/365*1000</f>
        <v>213.13928224725333</v>
      </c>
      <c r="O110" s="58">
        <f>(138620000/1799000)/366*1000</f>
        <v>210.52983290656314</v>
      </c>
      <c r="P110" s="58">
        <f>(85725000/1858000)/365*1000</f>
        <v>126.40635828774496</v>
      </c>
      <c r="Q110" s="58">
        <f>(87409000/1858000)/366*1000</f>
        <v>128.53735434423288</v>
      </c>
      <c r="S110" s="2434">
        <f>SUM(F110:F113)/4</f>
        <v>105.5</v>
      </c>
      <c r="T110" s="2434">
        <f>MEDIAN(F110:F114)</f>
        <v>96.5</v>
      </c>
      <c r="U110" s="2434">
        <f>SUM(G110:G114)/5</f>
        <v>99</v>
      </c>
      <c r="V110" s="2434">
        <f>MEDIAN(G110:G114)</f>
        <v>85</v>
      </c>
      <c r="W110" s="2434">
        <f>SUM(H110:H114)/5</f>
        <v>90.2</v>
      </c>
      <c r="X110" s="2434">
        <f>MEDIAN(H110:H114)</f>
        <v>82</v>
      </c>
      <c r="Y110" s="2434">
        <f>SUM(I110:I114)/5</f>
        <v>97.6</v>
      </c>
      <c r="Z110" s="2434">
        <f>MEDIAN(I110:I114)</f>
        <v>85</v>
      </c>
      <c r="AA110" s="2444">
        <f>SUM(N110:N113)/4</f>
        <v>151.44144777951647</v>
      </c>
      <c r="AB110" s="2444">
        <f>SUM(O110:O114)/5</f>
        <v>139.09814569817587</v>
      </c>
      <c r="AC110" s="2444">
        <f>SUM(P110:P114)/5</f>
        <v>90.245195583135157</v>
      </c>
      <c r="AD110" s="2444">
        <f>SUM(Q110:Q114)/5</f>
        <v>97.472542714408149</v>
      </c>
    </row>
    <row r="111" spans="1:30" ht="15.75" customHeight="1" x14ac:dyDescent="0.25">
      <c r="A111" s="1819"/>
      <c r="B111" s="542" t="s">
        <v>103</v>
      </c>
      <c r="C111" s="760"/>
      <c r="D111" s="760" t="s">
        <v>1065</v>
      </c>
      <c r="E111" s="760" t="s">
        <v>1066</v>
      </c>
      <c r="F111" s="53">
        <v>108</v>
      </c>
      <c r="G111" s="53">
        <v>100</v>
      </c>
      <c r="H111" s="53">
        <v>85</v>
      </c>
      <c r="I111" s="53">
        <v>116</v>
      </c>
      <c r="J111" s="57"/>
      <c r="K111" s="57"/>
      <c r="L111" s="57"/>
      <c r="M111" s="57"/>
      <c r="N111" s="58">
        <f>(11803/213.5)/365*1000</f>
        <v>151.46129415161531</v>
      </c>
      <c r="O111" s="58">
        <f>(11429000/213300)/366*1000</f>
        <v>146.39838704305743</v>
      </c>
      <c r="P111" s="58">
        <f>(6489000/209000)/365*1000</f>
        <v>85.062594219047</v>
      </c>
      <c r="Q111" s="58">
        <f>(8882000/209000)/366*1000</f>
        <v>116.113682118859</v>
      </c>
      <c r="S111" s="2429"/>
      <c r="T111" s="2429"/>
      <c r="U111" s="2435"/>
      <c r="V111" s="2429"/>
      <c r="W111" s="2435"/>
      <c r="X111" s="2435"/>
      <c r="Y111" s="2435"/>
      <c r="Z111" s="2429"/>
      <c r="AA111" s="2432"/>
      <c r="AB111" s="2445"/>
      <c r="AC111" s="2445"/>
      <c r="AD111" s="2445"/>
    </row>
    <row r="112" spans="1:30" ht="15.75" customHeight="1" x14ac:dyDescent="0.25">
      <c r="A112" s="1819"/>
      <c r="B112" s="542" t="s">
        <v>104</v>
      </c>
      <c r="C112" s="760"/>
      <c r="D112" s="760" t="s">
        <v>1065</v>
      </c>
      <c r="E112" s="760" t="s">
        <v>1066</v>
      </c>
      <c r="F112" s="53">
        <v>82</v>
      </c>
      <c r="G112" s="53">
        <v>80</v>
      </c>
      <c r="H112" s="53">
        <v>79</v>
      </c>
      <c r="I112" s="53">
        <v>78</v>
      </c>
      <c r="J112" s="57"/>
      <c r="K112" s="57"/>
      <c r="L112" s="57"/>
      <c r="M112" s="57"/>
      <c r="N112" s="58">
        <f>(7464/173)/365*1000</f>
        <v>118.20413334389104</v>
      </c>
      <c r="O112" s="58">
        <f>(6901000/170000)/366*1000</f>
        <v>110.91288974606236</v>
      </c>
      <c r="P112" s="58">
        <f>(4766000/166000)/365*1000</f>
        <v>78.65984485888761</v>
      </c>
      <c r="Q112" s="58">
        <f>(4749000/166000)/366*1000</f>
        <v>78.165119494370927</v>
      </c>
      <c r="S112" s="2429"/>
      <c r="T112" s="2429"/>
      <c r="U112" s="2435"/>
      <c r="V112" s="2429"/>
      <c r="W112" s="2435"/>
      <c r="X112" s="2435"/>
      <c r="Y112" s="2435"/>
      <c r="Z112" s="2429"/>
      <c r="AA112" s="2432"/>
      <c r="AB112" s="2445"/>
      <c r="AC112" s="2445"/>
      <c r="AD112" s="2445"/>
    </row>
    <row r="113" spans="1:30" ht="16.5" customHeight="1" x14ac:dyDescent="0.25">
      <c r="A113" s="1819"/>
      <c r="B113" s="543" t="s">
        <v>105</v>
      </c>
      <c r="C113" s="760"/>
      <c r="D113" s="760" t="s">
        <v>1065</v>
      </c>
      <c r="E113" s="760" t="s">
        <v>1066</v>
      </c>
      <c r="F113" s="53">
        <v>85</v>
      </c>
      <c r="G113" s="53">
        <v>85</v>
      </c>
      <c r="H113" s="53">
        <v>82</v>
      </c>
      <c r="I113" s="53">
        <v>85</v>
      </c>
      <c r="J113" s="57"/>
      <c r="K113" s="57"/>
      <c r="L113" s="57"/>
      <c r="M113" s="57"/>
      <c r="N113" s="58">
        <f>(6777/151)/365*1000</f>
        <v>122.96108137530619</v>
      </c>
      <c r="O113" s="58">
        <f>(7034000/167000)/366*1000</f>
        <v>115.08131278426752</v>
      </c>
      <c r="P113" s="58">
        <f>(4923000/164000)/365*1000</f>
        <v>82.241897761443369</v>
      </c>
      <c r="Q113" s="58">
        <f>(5111000/164000)/366*1000</f>
        <v>85.149273623883772</v>
      </c>
      <c r="S113" s="2429"/>
      <c r="T113" s="2429"/>
      <c r="U113" s="2435"/>
      <c r="V113" s="2429"/>
      <c r="W113" s="2435"/>
      <c r="X113" s="2435"/>
      <c r="Y113" s="2435"/>
      <c r="Z113" s="2429"/>
      <c r="AA113" s="2432"/>
      <c r="AB113" s="2445"/>
      <c r="AC113" s="2445"/>
      <c r="AD113" s="2445"/>
    </row>
    <row r="114" spans="1:30" ht="16.5" customHeight="1" thickBot="1" x14ac:dyDescent="0.3">
      <c r="A114" s="1820"/>
      <c r="B114" s="544" t="s">
        <v>613</v>
      </c>
      <c r="C114" s="760"/>
      <c r="D114" s="760" t="s">
        <v>1065</v>
      </c>
      <c r="E114" s="760" t="s">
        <v>1066</v>
      </c>
      <c r="F114" s="53" t="s">
        <v>5</v>
      </c>
      <c r="G114" s="53">
        <v>80</v>
      </c>
      <c r="H114" s="53">
        <v>79</v>
      </c>
      <c r="I114" s="53">
        <v>80</v>
      </c>
      <c r="J114" s="57"/>
      <c r="K114" s="57"/>
      <c r="L114" s="57"/>
      <c r="M114" s="57"/>
      <c r="N114" s="58" t="s">
        <v>5</v>
      </c>
      <c r="O114" s="58">
        <f>(2884000/70000)/366*1000</f>
        <v>112.56830601092898</v>
      </c>
      <c r="P114" s="58">
        <f>(2907000/101000)/365*1000</f>
        <v>78.855282788552827</v>
      </c>
      <c r="Q114" s="58">
        <f>(2935000/101000)/366*1000</f>
        <v>79.397283990694149</v>
      </c>
      <c r="S114" s="2436"/>
      <c r="T114" s="2436"/>
      <c r="U114" s="2436"/>
      <c r="V114" s="2436"/>
      <c r="W114" s="2436"/>
      <c r="X114" s="2436"/>
      <c r="Y114" s="2436"/>
      <c r="Z114" s="2436"/>
      <c r="AA114" s="2449"/>
      <c r="AB114" s="2449"/>
      <c r="AC114" s="2449"/>
      <c r="AD114" s="2449"/>
    </row>
    <row r="115" spans="1:30" ht="16.5" customHeight="1" thickBot="1" x14ac:dyDescent="0.3">
      <c r="A115" s="959" t="s">
        <v>754</v>
      </c>
      <c r="B115" s="260" t="s">
        <v>755</v>
      </c>
      <c r="C115" s="764"/>
      <c r="D115" s="764" t="s">
        <v>1067</v>
      </c>
      <c r="E115" s="764" t="s">
        <v>1068</v>
      </c>
      <c r="F115" s="53" t="s">
        <v>5</v>
      </c>
      <c r="G115" s="53" t="s">
        <v>5</v>
      </c>
      <c r="H115" s="53" t="s">
        <v>5</v>
      </c>
      <c r="I115" s="53"/>
      <c r="J115" s="57"/>
      <c r="K115" s="57"/>
      <c r="L115" s="57"/>
      <c r="M115" s="57"/>
      <c r="N115" s="58" t="s">
        <v>5</v>
      </c>
      <c r="O115" s="58" t="s">
        <v>5</v>
      </c>
      <c r="P115" s="58" t="s">
        <v>5</v>
      </c>
      <c r="Q115" s="58"/>
      <c r="S115" s="938" t="s">
        <v>5</v>
      </c>
      <c r="T115" s="936" t="s">
        <v>5</v>
      </c>
      <c r="U115" s="938" t="s">
        <v>5</v>
      </c>
      <c r="V115" s="936" t="s">
        <v>5</v>
      </c>
      <c r="W115" s="938" t="s">
        <v>5</v>
      </c>
      <c r="X115" s="938" t="s">
        <v>5</v>
      </c>
      <c r="Y115" s="936"/>
      <c r="Z115" s="936"/>
      <c r="AA115" s="945" t="s">
        <v>5</v>
      </c>
      <c r="AB115" s="945" t="s">
        <v>5</v>
      </c>
      <c r="AC115" s="945" t="s">
        <v>5</v>
      </c>
      <c r="AD115" s="945"/>
    </row>
    <row r="116" spans="1:30" ht="16.5" customHeight="1" x14ac:dyDescent="0.25">
      <c r="A116" s="1833" t="s">
        <v>466</v>
      </c>
      <c r="B116" s="299" t="s">
        <v>606</v>
      </c>
      <c r="C116" s="763" t="s">
        <v>429</v>
      </c>
      <c r="D116" s="763" t="s">
        <v>1069</v>
      </c>
      <c r="E116" s="763" t="s">
        <v>1070</v>
      </c>
      <c r="F116" s="53" t="s">
        <v>5</v>
      </c>
      <c r="G116" s="53">
        <v>260</v>
      </c>
      <c r="H116" s="53"/>
      <c r="I116" s="53"/>
      <c r="J116" s="57"/>
      <c r="K116" s="57"/>
      <c r="L116" s="57"/>
      <c r="M116" s="57"/>
      <c r="N116" s="58" t="s">
        <v>5</v>
      </c>
      <c r="O116" s="58">
        <f>(782355600/8244000)/366*1000</f>
        <v>259.28961748633884</v>
      </c>
      <c r="P116" s="58"/>
      <c r="Q116" s="58"/>
      <c r="S116" s="2434" t="s">
        <v>5</v>
      </c>
      <c r="T116" s="2434" t="s">
        <v>5</v>
      </c>
      <c r="U116" s="2434">
        <f>SUM(G116:G120)/5</f>
        <v>214.2</v>
      </c>
      <c r="V116" s="2434">
        <f>MEDIAN(G116:G120)</f>
        <v>219</v>
      </c>
      <c r="W116" s="2434"/>
      <c r="X116" s="2434"/>
      <c r="Y116" s="935"/>
      <c r="Z116" s="935"/>
      <c r="AA116" s="2444" t="s">
        <v>5</v>
      </c>
      <c r="AB116" s="2444">
        <f>SUM(O116:O120)/5</f>
        <v>213.61475409836066</v>
      </c>
      <c r="AC116" s="2444"/>
      <c r="AD116" s="2444"/>
    </row>
    <row r="117" spans="1:30" ht="16.5" customHeight="1" x14ac:dyDescent="0.25">
      <c r="A117" s="1834"/>
      <c r="B117" s="298" t="s">
        <v>607</v>
      </c>
      <c r="C117" s="763"/>
      <c r="D117" s="763" t="s">
        <v>1069</v>
      </c>
      <c r="E117" s="763" t="s">
        <v>1070</v>
      </c>
      <c r="F117" s="53" t="s">
        <v>5</v>
      </c>
      <c r="G117" s="53">
        <v>162</v>
      </c>
      <c r="H117" s="53"/>
      <c r="I117" s="53"/>
      <c r="J117" s="57"/>
      <c r="K117" s="57"/>
      <c r="L117" s="57"/>
      <c r="M117" s="57"/>
      <c r="N117" s="58" t="s">
        <v>5</v>
      </c>
      <c r="O117" s="58">
        <f>(116959140/1978000)/366*1000</f>
        <v>161.55737704918033</v>
      </c>
      <c r="P117" s="58"/>
      <c r="Q117" s="58"/>
      <c r="S117" s="2429"/>
      <c r="T117" s="2429"/>
      <c r="U117" s="2435"/>
      <c r="V117" s="2429"/>
      <c r="W117" s="2435"/>
      <c r="X117" s="2429"/>
      <c r="Y117" s="936"/>
      <c r="Z117" s="936"/>
      <c r="AA117" s="2432"/>
      <c r="AB117" s="2445"/>
      <c r="AC117" s="2445"/>
      <c r="AD117" s="2445"/>
    </row>
    <row r="118" spans="1:30" ht="16.5" customHeight="1" x14ac:dyDescent="0.25">
      <c r="A118" s="1834"/>
      <c r="B118" s="298" t="s">
        <v>608</v>
      </c>
      <c r="C118" s="763"/>
      <c r="D118" s="763" t="s">
        <v>1069</v>
      </c>
      <c r="E118" s="763" t="s">
        <v>1070</v>
      </c>
      <c r="F118" s="53" t="s">
        <v>5</v>
      </c>
      <c r="G118" s="53">
        <v>219</v>
      </c>
      <c r="H118" s="53"/>
      <c r="I118" s="53"/>
      <c r="J118" s="57"/>
      <c r="K118" s="57"/>
      <c r="L118" s="57"/>
      <c r="M118" s="57"/>
      <c r="N118" s="58" t="s">
        <v>5</v>
      </c>
      <c r="O118" s="58">
        <f>(123819315/1549000)/366*1000</f>
        <v>218.40163934426229</v>
      </c>
      <c r="P118" s="58"/>
      <c r="Q118" s="58"/>
      <c r="S118" s="2429"/>
      <c r="T118" s="2429"/>
      <c r="U118" s="2435"/>
      <c r="V118" s="2429"/>
      <c r="W118" s="2435"/>
      <c r="X118" s="2429"/>
      <c r="Y118" s="936"/>
      <c r="Z118" s="936"/>
      <c r="AA118" s="2432"/>
      <c r="AB118" s="2445"/>
      <c r="AC118" s="2445"/>
      <c r="AD118" s="2445"/>
    </row>
    <row r="119" spans="1:30" ht="16.5" customHeight="1" x14ac:dyDescent="0.25">
      <c r="A119" s="1834"/>
      <c r="B119" s="298" t="s">
        <v>609</v>
      </c>
      <c r="C119" s="763"/>
      <c r="D119" s="763" t="s">
        <v>1069</v>
      </c>
      <c r="E119" s="763" t="s">
        <v>1070</v>
      </c>
      <c r="F119" s="53" t="s">
        <v>5</v>
      </c>
      <c r="G119" s="53">
        <v>185</v>
      </c>
      <c r="H119" s="53"/>
      <c r="I119" s="53"/>
      <c r="J119" s="57"/>
      <c r="K119" s="57"/>
      <c r="L119" s="57"/>
      <c r="M119" s="57"/>
      <c r="N119" s="58" t="s">
        <v>5</v>
      </c>
      <c r="O119" s="58">
        <f>(104326125/1545000)/366*1000</f>
        <v>184.49453551912569</v>
      </c>
      <c r="P119" s="58"/>
      <c r="Q119" s="58"/>
      <c r="S119" s="2429"/>
      <c r="T119" s="2429"/>
      <c r="U119" s="2435"/>
      <c r="V119" s="2429"/>
      <c r="W119" s="2435"/>
      <c r="X119" s="2429"/>
      <c r="Y119" s="936"/>
      <c r="Z119" s="936"/>
      <c r="AA119" s="2432"/>
      <c r="AB119" s="2445"/>
      <c r="AC119" s="2445"/>
      <c r="AD119" s="2445"/>
    </row>
    <row r="120" spans="1:30" ht="16.5" customHeight="1" thickBot="1" x14ac:dyDescent="0.3">
      <c r="A120" s="1835"/>
      <c r="B120" s="293" t="s">
        <v>610</v>
      </c>
      <c r="C120" s="763"/>
      <c r="D120" s="763" t="s">
        <v>1069</v>
      </c>
      <c r="E120" s="763" t="s">
        <v>1070</v>
      </c>
      <c r="F120" s="53" t="s">
        <v>5</v>
      </c>
      <c r="G120" s="53">
        <v>245</v>
      </c>
      <c r="H120" s="53"/>
      <c r="I120" s="53"/>
      <c r="J120" s="57"/>
      <c r="K120" s="57"/>
      <c r="L120" s="57"/>
      <c r="M120" s="57"/>
      <c r="N120" s="58" t="s">
        <v>5</v>
      </c>
      <c r="O120" s="58">
        <f>(40062400/448000)/366*1000</f>
        <v>244.33060109289616</v>
      </c>
      <c r="P120" s="58"/>
      <c r="Q120" s="58"/>
      <c r="S120" s="2436"/>
      <c r="T120" s="2436"/>
      <c r="U120" s="2436"/>
      <c r="V120" s="2436"/>
      <c r="W120" s="2436"/>
      <c r="X120" s="2436"/>
      <c r="Y120" s="937"/>
      <c r="Z120" s="937"/>
      <c r="AA120" s="2449"/>
      <c r="AB120" s="2449"/>
      <c r="AC120" s="2449"/>
      <c r="AD120" s="2449"/>
    </row>
    <row r="121" spans="1:30" ht="16.5" thickBot="1" x14ac:dyDescent="0.3">
      <c r="A121" s="267" t="s">
        <v>16</v>
      </c>
      <c r="B121" s="771" t="s">
        <v>106</v>
      </c>
      <c r="C121" s="762" t="s">
        <v>429</v>
      </c>
      <c r="D121" s="276" t="s">
        <v>1071</v>
      </c>
      <c r="E121" s="276" t="s">
        <v>1072</v>
      </c>
      <c r="F121" s="53">
        <v>163</v>
      </c>
      <c r="G121" s="53">
        <v>59</v>
      </c>
      <c r="H121" s="53"/>
      <c r="I121" s="53"/>
      <c r="J121" s="57"/>
      <c r="K121" s="57"/>
      <c r="L121" s="57"/>
      <c r="M121" s="57"/>
      <c r="N121" s="58">
        <f>(46908000/780092)/365*1000</f>
        <v>164.74347704264457</v>
      </c>
      <c r="O121" s="58">
        <f>(47858580/815308)/366*1000</f>
        <v>160.38251500167249</v>
      </c>
      <c r="P121" s="58"/>
      <c r="Q121" s="58"/>
      <c r="S121" s="59">
        <v>163</v>
      </c>
      <c r="T121" s="59">
        <f>F121</f>
        <v>163</v>
      </c>
      <c r="U121" s="59">
        <f>G121</f>
        <v>59</v>
      </c>
      <c r="V121" s="59">
        <f>G121</f>
        <v>59</v>
      </c>
      <c r="W121" s="59"/>
      <c r="X121" s="59"/>
      <c r="Y121" s="59"/>
      <c r="Z121" s="59"/>
      <c r="AA121" s="64">
        <f>N121</f>
        <v>164.74347704264457</v>
      </c>
      <c r="AB121" s="64">
        <f>O121</f>
        <v>160.38251500167249</v>
      </c>
      <c r="AC121" s="64"/>
      <c r="AD121" s="64"/>
    </row>
    <row r="122" spans="1:30" ht="15.75" customHeight="1" x14ac:dyDescent="0.25">
      <c r="A122" s="1818" t="s">
        <v>17</v>
      </c>
      <c r="B122" s="772" t="s">
        <v>107</v>
      </c>
      <c r="C122" s="760"/>
      <c r="D122" s="639" t="s">
        <v>1073</v>
      </c>
      <c r="E122" s="639" t="s">
        <v>1074</v>
      </c>
      <c r="F122" s="53">
        <v>147</v>
      </c>
      <c r="G122" s="53">
        <v>147</v>
      </c>
      <c r="H122" s="53" t="s">
        <v>5</v>
      </c>
      <c r="I122" s="53" t="s">
        <v>5</v>
      </c>
      <c r="J122" s="54"/>
      <c r="K122" s="54"/>
      <c r="L122" s="54"/>
      <c r="M122" s="54"/>
      <c r="N122" s="58">
        <f>(220946196/2811824)/365*1000</f>
        <v>215.2809151055032</v>
      </c>
      <c r="O122" s="58">
        <f>(81859817/982590)/366*1000</f>
        <v>227.62362957672312</v>
      </c>
      <c r="P122" s="58" t="s">
        <v>5</v>
      </c>
      <c r="Q122" s="58">
        <f>(300000000/3600000)/366*1000</f>
        <v>227.68670309653916</v>
      </c>
      <c r="S122" s="2434">
        <f>SUM(F122:F126)/5</f>
        <v>236.4</v>
      </c>
      <c r="T122" s="2434">
        <f>MEDIAN(F122:F126)</f>
        <v>190</v>
      </c>
      <c r="U122" s="2434">
        <f>SUM(G122:G126)/5</f>
        <v>237.2</v>
      </c>
      <c r="V122" s="2434">
        <f>MEDIAN(G122:G126)</f>
        <v>194</v>
      </c>
      <c r="W122" s="2434" t="s">
        <v>5</v>
      </c>
      <c r="X122" s="2434" t="s">
        <v>5</v>
      </c>
      <c r="Y122" s="2434" t="s">
        <v>5</v>
      </c>
      <c r="Z122" s="2434" t="s">
        <v>5</v>
      </c>
      <c r="AA122" s="2444">
        <f>SUM(N122:N126)/5</f>
        <v>299.55927401644999</v>
      </c>
      <c r="AB122" s="2444">
        <f>SUM(O122:O126)/5</f>
        <v>286.84696710497769</v>
      </c>
      <c r="AC122" s="2444" t="s">
        <v>5</v>
      </c>
      <c r="AD122" s="2444">
        <f>SUM(Q122:Q126)/5</f>
        <v>214.63277065340827</v>
      </c>
    </row>
    <row r="123" spans="1:30" ht="15.75" customHeight="1" x14ac:dyDescent="0.25">
      <c r="A123" s="1819"/>
      <c r="B123" s="660" t="s">
        <v>108</v>
      </c>
      <c r="C123" s="760"/>
      <c r="D123" s="639" t="s">
        <v>1073</v>
      </c>
      <c r="E123" s="639" t="s">
        <v>1074</v>
      </c>
      <c r="F123" s="53">
        <v>464</v>
      </c>
      <c r="G123" s="53">
        <v>464</v>
      </c>
      <c r="H123" s="53" t="s">
        <v>5</v>
      </c>
      <c r="I123" s="53" t="s">
        <v>5</v>
      </c>
      <c r="J123" s="54"/>
      <c r="K123" s="54"/>
      <c r="L123" s="54"/>
      <c r="M123" s="54"/>
      <c r="N123" s="58">
        <f>(200752766/1322750)/365*1000</f>
        <v>415.80614483628182</v>
      </c>
      <c r="O123" s="58">
        <f>(225539941/1342337)/366*1000</f>
        <v>459.07201171876773</v>
      </c>
      <c r="P123" s="58" t="s">
        <v>5</v>
      </c>
      <c r="Q123" s="58">
        <f>(186000000/1377380)/366*1000</f>
        <v>368.95898104479187</v>
      </c>
      <c r="S123" s="2429"/>
      <c r="T123" s="2429"/>
      <c r="U123" s="2435"/>
      <c r="V123" s="2429"/>
      <c r="W123" s="2435"/>
      <c r="X123" s="2429"/>
      <c r="Y123" s="2429"/>
      <c r="Z123" s="2429"/>
      <c r="AA123" s="2432"/>
      <c r="AB123" s="2432"/>
      <c r="AC123" s="2432"/>
      <c r="AD123" s="2432"/>
    </row>
    <row r="124" spans="1:30" ht="15.75" customHeight="1" x14ac:dyDescent="0.25">
      <c r="A124" s="1819"/>
      <c r="B124" s="660" t="s">
        <v>109</v>
      </c>
      <c r="C124" s="760"/>
      <c r="D124" s="639" t="s">
        <v>1073</v>
      </c>
      <c r="E124" s="639" t="s">
        <v>1074</v>
      </c>
      <c r="F124" s="53">
        <v>167</v>
      </c>
      <c r="G124" s="53">
        <v>167</v>
      </c>
      <c r="H124" s="53" t="s">
        <v>5</v>
      </c>
      <c r="I124" s="53" t="s">
        <v>5</v>
      </c>
      <c r="J124" s="57"/>
      <c r="K124" s="57"/>
      <c r="L124" s="57"/>
      <c r="M124" s="57"/>
      <c r="N124" s="58">
        <f>(92182589/963661)/365*1000</f>
        <v>262.0787168476927</v>
      </c>
      <c r="O124" s="58">
        <f>(82107310/963357)/366*1000</f>
        <v>232.86996676030384</v>
      </c>
      <c r="P124" s="58" t="s">
        <v>5</v>
      </c>
      <c r="Q124" s="58" t="s">
        <v>5</v>
      </c>
      <c r="S124" s="2429"/>
      <c r="T124" s="2429"/>
      <c r="U124" s="2435"/>
      <c r="V124" s="2429"/>
      <c r="W124" s="2435"/>
      <c r="X124" s="2429"/>
      <c r="Y124" s="2429"/>
      <c r="Z124" s="2429"/>
      <c r="AA124" s="2432"/>
      <c r="AB124" s="2432"/>
      <c r="AC124" s="2432"/>
      <c r="AD124" s="2432"/>
    </row>
    <row r="125" spans="1:30" ht="15.75" customHeight="1" x14ac:dyDescent="0.25">
      <c r="A125" s="1819"/>
      <c r="B125" s="660" t="s">
        <v>110</v>
      </c>
      <c r="C125" s="760" t="s">
        <v>429</v>
      </c>
      <c r="D125" s="639" t="s">
        <v>1073</v>
      </c>
      <c r="E125" s="639" t="s">
        <v>1074</v>
      </c>
      <c r="F125" s="53">
        <v>214</v>
      </c>
      <c r="G125" s="53">
        <v>214</v>
      </c>
      <c r="H125" s="53" t="s">
        <v>5</v>
      </c>
      <c r="I125" s="53" t="s">
        <v>5</v>
      </c>
      <c r="J125" s="57"/>
      <c r="K125" s="57"/>
      <c r="L125" s="57"/>
      <c r="M125" s="57"/>
      <c r="N125" s="58">
        <f>(453104350/3282277)/365*1000</f>
        <v>378.20750071426568</v>
      </c>
      <c r="O125" s="58">
        <f>(367400000/3655900)/366*1000</f>
        <v>274.57674898438739</v>
      </c>
      <c r="P125" s="58" t="s">
        <v>5</v>
      </c>
      <c r="Q125" s="58">
        <f>(391000000/4170000)/366*1000</f>
        <v>256.18849182948725</v>
      </c>
      <c r="S125" s="2429"/>
      <c r="T125" s="2429"/>
      <c r="U125" s="2435"/>
      <c r="V125" s="2429"/>
      <c r="W125" s="2435"/>
      <c r="X125" s="2429"/>
      <c r="Y125" s="2429"/>
      <c r="Z125" s="2429"/>
      <c r="AA125" s="2432"/>
      <c r="AB125" s="2432"/>
      <c r="AC125" s="2432"/>
      <c r="AD125" s="2432"/>
    </row>
    <row r="126" spans="1:30" ht="16.5" customHeight="1" thickBot="1" x14ac:dyDescent="0.3">
      <c r="A126" s="1819"/>
      <c r="B126" s="660" t="s">
        <v>111</v>
      </c>
      <c r="C126" s="760"/>
      <c r="D126" s="639" t="s">
        <v>1073</v>
      </c>
      <c r="E126" s="639" t="s">
        <v>1074</v>
      </c>
      <c r="F126" s="53">
        <v>190</v>
      </c>
      <c r="G126" s="53">
        <v>194</v>
      </c>
      <c r="H126" s="53" t="s">
        <v>5</v>
      </c>
      <c r="I126" s="53" t="s">
        <v>5</v>
      </c>
      <c r="J126" s="57"/>
      <c r="K126" s="57"/>
      <c r="L126" s="57"/>
      <c r="M126" s="57"/>
      <c r="N126" s="58">
        <f>(185375586/2243050)/365*1000</f>
        <v>226.42309257850656</v>
      </c>
      <c r="O126" s="58">
        <f>(198147353/2254907)/366*1000</f>
        <v>240.09247848470631</v>
      </c>
      <c r="P126" s="58" t="s">
        <v>5</v>
      </c>
      <c r="Q126" s="58">
        <f>(182253702/2260072)/366*1000</f>
        <v>220.32967729622308</v>
      </c>
      <c r="S126" s="2436"/>
      <c r="T126" s="2436"/>
      <c r="U126" s="2436"/>
      <c r="V126" s="2436"/>
      <c r="W126" s="2436"/>
      <c r="X126" s="2436"/>
      <c r="Y126" s="2436"/>
      <c r="Z126" s="2436"/>
      <c r="AA126" s="2449"/>
      <c r="AB126" s="2432"/>
      <c r="AC126" s="2432"/>
      <c r="AD126" s="2432"/>
    </row>
    <row r="127" spans="1:30" ht="15.75" customHeight="1" x14ac:dyDescent="0.25">
      <c r="A127" s="1818" t="s">
        <v>18</v>
      </c>
      <c r="B127" s="772" t="s">
        <v>112</v>
      </c>
      <c r="C127" s="760"/>
      <c r="D127" s="639" t="s">
        <v>1075</v>
      </c>
      <c r="E127" s="639" t="s">
        <v>1076</v>
      </c>
      <c r="F127" s="56">
        <v>223</v>
      </c>
      <c r="G127" s="56">
        <v>219</v>
      </c>
      <c r="H127" s="56">
        <v>217</v>
      </c>
      <c r="I127" s="56">
        <v>217</v>
      </c>
      <c r="J127" s="54"/>
      <c r="K127" s="54"/>
      <c r="L127" s="54"/>
      <c r="M127" s="54"/>
      <c r="N127" s="58">
        <f>(271266046/2388316)/365*1000</f>
        <v>311.17936092851301</v>
      </c>
      <c r="O127" s="58">
        <f>(264855386/2390841)/366*1000</f>
        <v>302.67533291775374</v>
      </c>
      <c r="P127" s="58">
        <f>(260822925/2405085)/365*1000</f>
        <v>297.1135557223065</v>
      </c>
      <c r="Q127" s="58">
        <f>(261573707/2436411)/366*1000</f>
        <v>293.3340309015357</v>
      </c>
      <c r="S127" s="2434">
        <f>SUM(F127:F134)/8</f>
        <v>224.125</v>
      </c>
      <c r="T127" s="2434">
        <f>MEDIAN(F127:F134)</f>
        <v>223</v>
      </c>
      <c r="U127" s="2434">
        <f>SUM(G127:G134)/8</f>
        <v>227.62625000000003</v>
      </c>
      <c r="V127" s="2434">
        <f>MEDIAN(G127:G134)</f>
        <v>218.95</v>
      </c>
      <c r="W127" s="2434">
        <f>SUM(H127:H134)/8</f>
        <v>216.25</v>
      </c>
      <c r="X127" s="2434">
        <f>MEDIAN(H127:H134)</f>
        <v>216.5</v>
      </c>
      <c r="Y127" s="2434">
        <f>SUM(I127:I134)/8</f>
        <v>216.125</v>
      </c>
      <c r="Z127" s="2434">
        <f>MEDIAN(I127:I134)</f>
        <v>217.5</v>
      </c>
      <c r="AA127" s="2444">
        <f>SUM(N127:N134)/8</f>
        <v>310.89029093407896</v>
      </c>
      <c r="AB127" s="2444">
        <f>SUM(O127:O134)/8</f>
        <v>302.93172674705261</v>
      </c>
      <c r="AC127" s="2444">
        <f>SUM(P127:P134)/8</f>
        <v>303.22331131761518</v>
      </c>
      <c r="AD127" s="2444">
        <f>SUM(Q127:Q134)/8</f>
        <v>294.85395343287848</v>
      </c>
    </row>
    <row r="128" spans="1:30" ht="15.75" customHeight="1" x14ac:dyDescent="0.25">
      <c r="A128" s="1819"/>
      <c r="B128" s="660" t="s">
        <v>113</v>
      </c>
      <c r="C128" s="760"/>
      <c r="D128" s="639" t="s">
        <v>1075</v>
      </c>
      <c r="E128" s="639" t="s">
        <v>1076</v>
      </c>
      <c r="F128" s="56">
        <v>253</v>
      </c>
      <c r="G128" s="56">
        <v>250</v>
      </c>
      <c r="H128" s="56">
        <v>243</v>
      </c>
      <c r="I128" s="56">
        <v>240</v>
      </c>
      <c r="J128" s="54"/>
      <c r="K128" s="54"/>
      <c r="L128" s="54"/>
      <c r="M128" s="54"/>
      <c r="N128" s="58">
        <f>(414576285/2665373)/365*1000</f>
        <v>426.14127116773687</v>
      </c>
      <c r="O128" s="58">
        <f>(409836627/2678051)/366*1000</f>
        <v>418.12952961613979</v>
      </c>
      <c r="P128" s="58">
        <f>(426432700/2690214)/365*1000</f>
        <v>434.28097806467724</v>
      </c>
      <c r="Q128" s="58">
        <f>(403349000/2704557)/366*1000</f>
        <v>407.47761947240588</v>
      </c>
      <c r="S128" s="2435"/>
      <c r="T128" s="2429"/>
      <c r="U128" s="2435"/>
      <c r="V128" s="2429"/>
      <c r="W128" s="2435"/>
      <c r="X128" s="2435"/>
      <c r="Y128" s="2435"/>
      <c r="Z128" s="2435"/>
      <c r="AA128" s="2445"/>
      <c r="AB128" s="2456"/>
      <c r="AC128" s="2456"/>
      <c r="AD128" s="2456"/>
    </row>
    <row r="129" spans="1:30" ht="15.75" customHeight="1" x14ac:dyDescent="0.25">
      <c r="A129" s="1819"/>
      <c r="B129" s="660" t="s">
        <v>114</v>
      </c>
      <c r="C129" s="760"/>
      <c r="D129" s="639" t="s">
        <v>1075</v>
      </c>
      <c r="E129" s="639" t="s">
        <v>1076</v>
      </c>
      <c r="F129" s="56">
        <v>223</v>
      </c>
      <c r="G129" s="56">
        <v>218.9</v>
      </c>
      <c r="H129" s="56">
        <v>215</v>
      </c>
      <c r="I129" s="56">
        <v>215</v>
      </c>
      <c r="J129" s="54"/>
      <c r="K129" s="54"/>
      <c r="L129" s="54"/>
      <c r="M129" s="54"/>
      <c r="N129" s="58">
        <f>(131340024/1205161)/365*1000</f>
        <v>298.57893027718359</v>
      </c>
      <c r="O129" s="58">
        <f>(129297820/1214101)/366*1000</f>
        <v>290.97474776846173</v>
      </c>
      <c r="P129" s="58">
        <f>(127155238/1222788)/365*1000</f>
        <v>284.89853929584945</v>
      </c>
      <c r="Q129" s="58">
        <f>(127414232/1229392)/366*1000</f>
        <v>283.16949918324724</v>
      </c>
      <c r="S129" s="2435"/>
      <c r="T129" s="2429"/>
      <c r="U129" s="2435"/>
      <c r="V129" s="2429"/>
      <c r="W129" s="2435"/>
      <c r="X129" s="2435"/>
      <c r="Y129" s="2435"/>
      <c r="Z129" s="2435"/>
      <c r="AA129" s="2445"/>
      <c r="AB129" s="2456"/>
      <c r="AC129" s="2456"/>
      <c r="AD129" s="2456"/>
    </row>
    <row r="130" spans="1:30" ht="15.75" customHeight="1" x14ac:dyDescent="0.25">
      <c r="A130" s="1819"/>
      <c r="B130" s="660" t="s">
        <v>115</v>
      </c>
      <c r="C130" s="760"/>
      <c r="D130" s="639" t="s">
        <v>1075</v>
      </c>
      <c r="E130" s="639" t="s">
        <v>1076</v>
      </c>
      <c r="F130" s="56">
        <v>203</v>
      </c>
      <c r="G130" s="56">
        <v>201</v>
      </c>
      <c r="H130" s="56">
        <v>198</v>
      </c>
      <c r="I130" s="56">
        <v>198</v>
      </c>
      <c r="J130" s="54"/>
      <c r="K130" s="54"/>
      <c r="L130" s="54"/>
      <c r="M130" s="54"/>
      <c r="N130" s="58">
        <f>(140884364/1457900)/365*1000</f>
        <v>264.7537958050001</v>
      </c>
      <c r="O130" s="58">
        <f>(140754155/1485100)/366*1000</f>
        <v>258.95508315202414</v>
      </c>
      <c r="P130" s="58">
        <f>(140068910/1514000)/365*1000</f>
        <v>253.46792493802138</v>
      </c>
      <c r="Q130" s="58">
        <f>(143387621/1549000)/366*1000</f>
        <v>252.91766060952421</v>
      </c>
      <c r="S130" s="2435"/>
      <c r="T130" s="2429"/>
      <c r="U130" s="2435"/>
      <c r="V130" s="2429"/>
      <c r="W130" s="2435"/>
      <c r="X130" s="2435"/>
      <c r="Y130" s="2435"/>
      <c r="Z130" s="2435"/>
      <c r="AA130" s="2445"/>
      <c r="AB130" s="2456"/>
      <c r="AC130" s="2456"/>
      <c r="AD130" s="2456"/>
    </row>
    <row r="131" spans="1:30" ht="15.75" customHeight="1" x14ac:dyDescent="0.25">
      <c r="A131" s="1819"/>
      <c r="B131" s="660" t="s">
        <v>116</v>
      </c>
      <c r="C131" s="760"/>
      <c r="D131" s="639" t="s">
        <v>1075</v>
      </c>
      <c r="E131" s="639" t="s">
        <v>1076</v>
      </c>
      <c r="F131" s="56">
        <v>205</v>
      </c>
      <c r="G131" s="56">
        <v>202</v>
      </c>
      <c r="H131" s="56">
        <v>199</v>
      </c>
      <c r="I131" s="56">
        <v>201</v>
      </c>
      <c r="J131" s="54"/>
      <c r="K131" s="54"/>
      <c r="L131" s="54"/>
      <c r="M131" s="54"/>
      <c r="N131" s="58">
        <f>(180085849/1906190)/365*1000</f>
        <v>258.83353058783905</v>
      </c>
      <c r="O131" s="58">
        <f>(178239705/1920858)/366*1000</f>
        <v>253.52927155895787</v>
      </c>
      <c r="P131" s="58">
        <f>(174573442/1935050)/365*1000</f>
        <v>247.16849835390607</v>
      </c>
      <c r="Q131" s="58">
        <f>(177141819/1950852)/366*1000</f>
        <v>248.0936744476806</v>
      </c>
      <c r="S131" s="2435"/>
      <c r="T131" s="2429"/>
      <c r="U131" s="2435"/>
      <c r="V131" s="2429"/>
      <c r="W131" s="2435"/>
      <c r="X131" s="2435"/>
      <c r="Y131" s="2435"/>
      <c r="Z131" s="2435"/>
      <c r="AA131" s="2445"/>
      <c r="AB131" s="2456"/>
      <c r="AC131" s="2456"/>
      <c r="AD131" s="2456"/>
    </row>
    <row r="132" spans="1:30" ht="15.75" customHeight="1" x14ac:dyDescent="0.25">
      <c r="A132" s="1819"/>
      <c r="B132" s="660" t="s">
        <v>117</v>
      </c>
      <c r="C132" s="760"/>
      <c r="D132" s="639" t="s">
        <v>1075</v>
      </c>
      <c r="E132" s="639" t="s">
        <v>1076</v>
      </c>
      <c r="F132" s="56">
        <v>221</v>
      </c>
      <c r="G132" s="56">
        <v>217.11</v>
      </c>
      <c r="H132" s="56">
        <v>216</v>
      </c>
      <c r="I132" s="56">
        <v>218</v>
      </c>
      <c r="J132" s="54"/>
      <c r="K132" s="54"/>
      <c r="L132" s="54"/>
      <c r="M132" s="54"/>
      <c r="N132" s="58">
        <f>(114855582/1019713)/365*1000</f>
        <v>308.58960060062026</v>
      </c>
      <c r="O132" s="58">
        <f>(113480466/1037351)/366*1000</f>
        <v>298.89200283490055</v>
      </c>
      <c r="P132" s="58">
        <f>(112856490/1049573)/365*1000</f>
        <v>294.59205125674788</v>
      </c>
      <c r="Q132" s="58">
        <f>(113429031/1053406)/366*1000</f>
        <v>294.20317071091455</v>
      </c>
      <c r="S132" s="2435"/>
      <c r="T132" s="2429"/>
      <c r="U132" s="2435"/>
      <c r="V132" s="2429"/>
      <c r="W132" s="2435"/>
      <c r="X132" s="2435"/>
      <c r="Y132" s="2435"/>
      <c r="Z132" s="2435"/>
      <c r="AA132" s="2445"/>
      <c r="AB132" s="2456"/>
      <c r="AC132" s="2456"/>
      <c r="AD132" s="2456"/>
    </row>
    <row r="133" spans="1:30" ht="15.75" customHeight="1" x14ac:dyDescent="0.25">
      <c r="A133" s="1819"/>
      <c r="B133" s="660" t="s">
        <v>118</v>
      </c>
      <c r="C133" s="760" t="s">
        <v>429</v>
      </c>
      <c r="D133" s="639" t="s">
        <v>1075</v>
      </c>
      <c r="E133" s="639" t="s">
        <v>1076</v>
      </c>
      <c r="F133" s="56">
        <v>231</v>
      </c>
      <c r="G133" s="56">
        <v>225</v>
      </c>
      <c r="H133" s="56">
        <v>220</v>
      </c>
      <c r="I133" s="56">
        <v>218</v>
      </c>
      <c r="J133" s="54"/>
      <c r="K133" s="54"/>
      <c r="L133" s="54"/>
      <c r="M133" s="54"/>
      <c r="N133" s="58">
        <f>(1510125357/12822722)/365*1000</f>
        <v>322.6561213138271</v>
      </c>
      <c r="O133" s="58">
        <f>(1473824018/12878752)/366*1000</f>
        <v>312.67327604685397</v>
      </c>
      <c r="P133" s="58">
        <f>(1457796533/13039856)/365*1000</f>
        <v>306.28889645020536</v>
      </c>
      <c r="Q133" s="58">
        <f>(1469239713/13295385)/366*1000</f>
        <v>301.93305088477729</v>
      </c>
      <c r="S133" s="2435"/>
      <c r="T133" s="2429"/>
      <c r="U133" s="2435"/>
      <c r="V133" s="2429"/>
      <c r="W133" s="2435"/>
      <c r="X133" s="2435"/>
      <c r="Y133" s="2435"/>
      <c r="Z133" s="2435"/>
      <c r="AA133" s="2445"/>
      <c r="AB133" s="2456"/>
      <c r="AC133" s="2456"/>
      <c r="AD133" s="2456"/>
    </row>
    <row r="134" spans="1:30" ht="16.5" customHeight="1" thickBot="1" x14ac:dyDescent="0.3">
      <c r="A134" s="1820"/>
      <c r="B134" s="660" t="s">
        <v>119</v>
      </c>
      <c r="C134" s="760"/>
      <c r="D134" s="639" t="s">
        <v>1075</v>
      </c>
      <c r="E134" s="639" t="s">
        <v>1076</v>
      </c>
      <c r="F134" s="56">
        <v>234</v>
      </c>
      <c r="G134" s="56">
        <v>288</v>
      </c>
      <c r="H134" s="56">
        <v>222</v>
      </c>
      <c r="I134" s="56">
        <v>222</v>
      </c>
      <c r="J134" s="57"/>
      <c r="K134" s="57"/>
      <c r="L134" s="57"/>
      <c r="M134" s="57"/>
      <c r="N134" s="58">
        <f>(398901588/3687311)/365*1000</f>
        <v>296.38971679191116</v>
      </c>
      <c r="O134" s="58">
        <f>(388841462/3693733)/366*1000</f>
        <v>287.62457008132924</v>
      </c>
      <c r="P134" s="58">
        <f>(417284300/3712122)/365*1000</f>
        <v>307.97604645920762</v>
      </c>
      <c r="Q134" s="58">
        <f>(378919225/3728079)/366*1000</f>
        <v>277.70292125294247</v>
      </c>
      <c r="S134" s="2436"/>
      <c r="T134" s="2436"/>
      <c r="U134" s="2436"/>
      <c r="V134" s="2436"/>
      <c r="W134" s="2436"/>
      <c r="X134" s="2436"/>
      <c r="Y134" s="2436"/>
      <c r="Z134" s="2436"/>
      <c r="AA134" s="2449"/>
      <c r="AB134" s="2449"/>
      <c r="AC134" s="2449"/>
      <c r="AD134" s="2449"/>
    </row>
    <row r="135" spans="1:30" ht="16.5" customHeight="1" thickBot="1" x14ac:dyDescent="0.3">
      <c r="A135" s="961" t="s">
        <v>742</v>
      </c>
      <c r="B135" s="773" t="s">
        <v>743</v>
      </c>
      <c r="C135" s="922"/>
      <c r="D135" s="764" t="s">
        <v>1077</v>
      </c>
      <c r="E135" s="764" t="s">
        <v>1078</v>
      </c>
      <c r="F135" s="56" t="s">
        <v>5</v>
      </c>
      <c r="G135" s="56" t="s">
        <v>5</v>
      </c>
      <c r="H135" s="56">
        <v>88</v>
      </c>
      <c r="I135" s="56"/>
      <c r="J135" s="57"/>
      <c r="K135" s="57"/>
      <c r="L135" s="57"/>
      <c r="M135" s="57"/>
      <c r="N135" s="58" t="s">
        <v>5</v>
      </c>
      <c r="O135" s="58" t="s">
        <v>5</v>
      </c>
      <c r="P135" s="58">
        <f>(114975000/3600000)/365*1000</f>
        <v>87.5</v>
      </c>
      <c r="Q135" s="58"/>
      <c r="S135" s="938" t="s">
        <v>5</v>
      </c>
      <c r="T135" s="936" t="s">
        <v>5</v>
      </c>
      <c r="U135" s="938" t="s">
        <v>5</v>
      </c>
      <c r="V135" s="936" t="s">
        <v>5</v>
      </c>
      <c r="W135" s="938">
        <f>H135</f>
        <v>88</v>
      </c>
      <c r="X135" s="938">
        <f>MEDIAN(H135)</f>
        <v>88</v>
      </c>
      <c r="Y135" s="936"/>
      <c r="Z135" s="936"/>
      <c r="AA135" s="945" t="s">
        <v>5</v>
      </c>
      <c r="AB135" s="945" t="s">
        <v>5</v>
      </c>
      <c r="AC135" s="945">
        <f>P135</f>
        <v>87.5</v>
      </c>
      <c r="AD135" s="945"/>
    </row>
    <row r="136" spans="1:30" ht="15.75" customHeight="1" x14ac:dyDescent="0.25">
      <c r="A136" s="1833" t="s">
        <v>19</v>
      </c>
      <c r="B136" s="479" t="s">
        <v>120</v>
      </c>
      <c r="C136" s="762"/>
      <c r="D136" s="276" t="s">
        <v>1079</v>
      </c>
      <c r="E136" s="276" t="s">
        <v>1080</v>
      </c>
      <c r="F136" s="53">
        <v>82</v>
      </c>
      <c r="G136" s="53"/>
      <c r="H136" s="53"/>
      <c r="I136" s="53"/>
      <c r="J136" s="54"/>
      <c r="K136" s="54"/>
      <c r="L136" s="54"/>
      <c r="M136" s="54"/>
      <c r="N136" s="58">
        <f>(14546000/336217)/365*1000</f>
        <v>118.53075482358282</v>
      </c>
      <c r="O136" s="58"/>
      <c r="P136" s="58"/>
      <c r="Q136" s="58"/>
      <c r="S136" s="2434">
        <f>SUM(F136:F140)/5</f>
        <v>74.599999999999994</v>
      </c>
      <c r="T136" s="2434">
        <f>MEDIAN(F136:F140)</f>
        <v>80</v>
      </c>
      <c r="U136" s="935"/>
      <c r="V136" s="935"/>
      <c r="W136" s="935"/>
      <c r="X136" s="935"/>
      <c r="Y136" s="935"/>
      <c r="Z136" s="935"/>
      <c r="AA136" s="2444">
        <f>SUM(N136:N140)/5</f>
        <v>117.03758131923519</v>
      </c>
      <c r="AB136" s="2444"/>
      <c r="AC136" s="2444"/>
      <c r="AD136" s="2444"/>
    </row>
    <row r="137" spans="1:30" ht="15.75" customHeight="1" x14ac:dyDescent="0.25">
      <c r="A137" s="1834"/>
      <c r="B137" s="479" t="s">
        <v>121</v>
      </c>
      <c r="C137" s="762"/>
      <c r="D137" s="276" t="s">
        <v>1079</v>
      </c>
      <c r="E137" s="276" t="s">
        <v>1080</v>
      </c>
      <c r="F137" s="53">
        <v>83</v>
      </c>
      <c r="G137" s="53"/>
      <c r="H137" s="53"/>
      <c r="I137" s="53"/>
      <c r="J137" s="57"/>
      <c r="K137" s="57"/>
      <c r="L137" s="57"/>
      <c r="M137" s="57"/>
      <c r="N137" s="58">
        <f>(9232000/186494)/365*1000</f>
        <v>135.62447416502144</v>
      </c>
      <c r="O137" s="58"/>
      <c r="P137" s="58"/>
      <c r="Q137" s="58"/>
      <c r="S137" s="2429"/>
      <c r="T137" s="2429"/>
      <c r="U137" s="938"/>
      <c r="V137" s="936"/>
      <c r="W137" s="938"/>
      <c r="X137" s="938"/>
      <c r="Y137" s="936"/>
      <c r="Z137" s="936"/>
      <c r="AA137" s="2432"/>
      <c r="AB137" s="2456"/>
      <c r="AC137" s="2456"/>
      <c r="AD137" s="2456"/>
    </row>
    <row r="138" spans="1:30" ht="15.75" customHeight="1" x14ac:dyDescent="0.25">
      <c r="A138" s="1834"/>
      <c r="B138" s="479" t="s">
        <v>122</v>
      </c>
      <c r="C138" s="762"/>
      <c r="D138" s="276" t="s">
        <v>1079</v>
      </c>
      <c r="E138" s="276" t="s">
        <v>1080</v>
      </c>
      <c r="F138" s="53">
        <v>67</v>
      </c>
      <c r="G138" s="53"/>
      <c r="H138" s="53"/>
      <c r="I138" s="53"/>
      <c r="J138" s="54"/>
      <c r="K138" s="54"/>
      <c r="L138" s="54"/>
      <c r="M138" s="54"/>
      <c r="N138" s="58">
        <f>(4916600/113012)/365*1000</f>
        <v>119.19209452360253</v>
      </c>
      <c r="O138" s="58"/>
      <c r="P138" s="58"/>
      <c r="Q138" s="58"/>
      <c r="S138" s="2429"/>
      <c r="T138" s="2429"/>
      <c r="U138" s="938"/>
      <c r="V138" s="936"/>
      <c r="W138" s="938"/>
      <c r="X138" s="938"/>
      <c r="Y138" s="936"/>
      <c r="Z138" s="936"/>
      <c r="AA138" s="2432"/>
      <c r="AB138" s="2456"/>
      <c r="AC138" s="2456"/>
      <c r="AD138" s="2456"/>
    </row>
    <row r="139" spans="1:30" ht="15.75" customHeight="1" x14ac:dyDescent="0.25">
      <c r="A139" s="1834"/>
      <c r="B139" s="479" t="s">
        <v>123</v>
      </c>
      <c r="C139" s="762"/>
      <c r="D139" s="276" t="s">
        <v>1079</v>
      </c>
      <c r="E139" s="276" t="s">
        <v>1080</v>
      </c>
      <c r="F139" s="53">
        <v>61</v>
      </c>
      <c r="G139" s="53"/>
      <c r="H139" s="53"/>
      <c r="I139" s="53"/>
      <c r="J139" s="54"/>
      <c r="K139" s="54"/>
      <c r="L139" s="54"/>
      <c r="M139" s="54"/>
      <c r="N139" s="58">
        <f>(3526000/115623)/365*1000</f>
        <v>83.549760623775015</v>
      </c>
      <c r="O139" s="58"/>
      <c r="P139" s="58"/>
      <c r="Q139" s="58"/>
      <c r="S139" s="2429"/>
      <c r="T139" s="2429"/>
      <c r="U139" s="938"/>
      <c r="V139" s="936"/>
      <c r="W139" s="938"/>
      <c r="X139" s="938"/>
      <c r="Y139" s="936"/>
      <c r="Z139" s="936"/>
      <c r="AA139" s="2432"/>
      <c r="AB139" s="2456"/>
      <c r="AC139" s="2456"/>
      <c r="AD139" s="2456"/>
    </row>
    <row r="140" spans="1:30" ht="16.5" customHeight="1" thickBot="1" x14ac:dyDescent="0.3">
      <c r="A140" s="1835"/>
      <c r="B140" s="266" t="s">
        <v>124</v>
      </c>
      <c r="C140" s="762"/>
      <c r="D140" s="276" t="s">
        <v>1079</v>
      </c>
      <c r="E140" s="276" t="s">
        <v>1080</v>
      </c>
      <c r="F140" s="53">
        <v>80</v>
      </c>
      <c r="G140" s="53"/>
      <c r="H140" s="53"/>
      <c r="I140" s="53"/>
      <c r="J140" s="54"/>
      <c r="K140" s="54"/>
      <c r="L140" s="54"/>
      <c r="M140" s="54"/>
      <c r="N140" s="58">
        <f>(25947400/554122)/365*1000</f>
        <v>128.29082246019411</v>
      </c>
      <c r="O140" s="58"/>
      <c r="P140" s="58"/>
      <c r="Q140" s="58"/>
      <c r="S140" s="2436"/>
      <c r="T140" s="2436"/>
      <c r="U140" s="937"/>
      <c r="V140" s="937"/>
      <c r="W140" s="937"/>
      <c r="X140" s="937"/>
      <c r="Y140" s="937"/>
      <c r="Z140" s="937"/>
      <c r="AA140" s="2449"/>
      <c r="AB140" s="2449"/>
      <c r="AC140" s="2449"/>
      <c r="AD140" s="2449"/>
    </row>
    <row r="141" spans="1:30" ht="16.5" thickBot="1" x14ac:dyDescent="0.3">
      <c r="A141" s="270" t="s">
        <v>50</v>
      </c>
      <c r="B141" s="774"/>
      <c r="C141" s="923"/>
      <c r="D141" s="764" t="s">
        <v>1081</v>
      </c>
      <c r="E141" s="764" t="s">
        <v>1082</v>
      </c>
      <c r="F141" s="53"/>
      <c r="G141" s="53"/>
      <c r="H141" s="53"/>
      <c r="I141" s="53"/>
      <c r="J141" s="51"/>
      <c r="K141" s="51"/>
      <c r="L141" s="51"/>
      <c r="M141" s="51"/>
      <c r="N141" s="52"/>
      <c r="O141" s="52"/>
      <c r="P141" s="52"/>
      <c r="Q141" s="52"/>
      <c r="S141" s="49"/>
      <c r="T141" s="49"/>
      <c r="U141" s="49"/>
      <c r="V141" s="49"/>
      <c r="W141" s="49"/>
      <c r="X141" s="49"/>
      <c r="Y141" s="49"/>
      <c r="Z141" s="49"/>
      <c r="AA141" s="50"/>
      <c r="AB141" s="50"/>
      <c r="AC141" s="50"/>
      <c r="AD141" s="50"/>
    </row>
    <row r="142" spans="1:30" ht="16.5" thickBot="1" x14ac:dyDescent="0.3">
      <c r="A142" s="695" t="s">
        <v>586</v>
      </c>
      <c r="B142" s="775" t="s">
        <v>587</v>
      </c>
      <c r="C142" s="760"/>
      <c r="D142" s="639" t="s">
        <v>1083</v>
      </c>
      <c r="E142" s="639" t="s">
        <v>1084</v>
      </c>
      <c r="F142" s="56">
        <v>154.09</v>
      </c>
      <c r="G142" s="56">
        <v>194.084</v>
      </c>
      <c r="H142" s="56">
        <v>181.73099999999999</v>
      </c>
      <c r="I142" s="56">
        <v>205</v>
      </c>
      <c r="J142" s="54"/>
      <c r="K142" s="51"/>
      <c r="L142" s="51"/>
      <c r="M142" s="51"/>
      <c r="N142" s="58">
        <f>(70548780/540600)/365*1000</f>
        <v>357.53667918446774</v>
      </c>
      <c r="O142" s="58">
        <f>(75282108/598200)/366*1000</f>
        <v>343.84623816805612</v>
      </c>
      <c r="P142" s="58">
        <f>(83485655/702589)/365*1000</f>
        <v>325.54996152488616</v>
      </c>
      <c r="Q142" s="58">
        <f>(86702542/647700)/366*1000</f>
        <v>365.74369500823002</v>
      </c>
      <c r="S142" s="249">
        <v>154.09</v>
      </c>
      <c r="T142" s="480">
        <f>F142</f>
        <v>154.09</v>
      </c>
      <c r="U142" s="280">
        <f>G142</f>
        <v>194.084</v>
      </c>
      <c r="V142" s="480">
        <f>G142</f>
        <v>194.084</v>
      </c>
      <c r="W142" s="280">
        <v>181.73099999999999</v>
      </c>
      <c r="X142" s="280">
        <v>181.73099999999999</v>
      </c>
      <c r="Y142" s="480">
        <f>I142</f>
        <v>205</v>
      </c>
      <c r="Z142" s="480">
        <f>I142</f>
        <v>205</v>
      </c>
      <c r="AA142" s="64">
        <v>357.53667918446774</v>
      </c>
      <c r="AB142" s="64">
        <f>O142</f>
        <v>343.84623816805612</v>
      </c>
      <c r="AC142" s="64">
        <f>P142</f>
        <v>325.54996152488616</v>
      </c>
      <c r="AD142" s="64">
        <f>Q142</f>
        <v>365.74369500823002</v>
      </c>
    </row>
    <row r="143" spans="1:30" ht="16.5" thickBot="1" x14ac:dyDescent="0.3">
      <c r="A143" s="267" t="s">
        <v>36</v>
      </c>
      <c r="B143" s="268" t="s">
        <v>181</v>
      </c>
      <c r="C143" s="457"/>
      <c r="D143" s="261" t="s">
        <v>1085</v>
      </c>
      <c r="E143" s="261" t="s">
        <v>1086</v>
      </c>
      <c r="F143" s="53">
        <v>75</v>
      </c>
      <c r="G143" s="53"/>
      <c r="H143" s="53"/>
      <c r="I143" s="53"/>
      <c r="J143" s="54"/>
      <c r="K143" s="54"/>
      <c r="L143" s="54"/>
      <c r="M143" s="54"/>
      <c r="N143" s="58">
        <f>(15450000/632000)/365*1000</f>
        <v>66.975897346974165</v>
      </c>
      <c r="O143" s="58"/>
      <c r="P143" s="58"/>
      <c r="Q143" s="58"/>
      <c r="S143" s="932">
        <v>75</v>
      </c>
      <c r="T143" s="932">
        <f>F143</f>
        <v>75</v>
      </c>
      <c r="U143" s="932"/>
      <c r="V143" s="932"/>
      <c r="W143" s="932"/>
      <c r="X143" s="932"/>
      <c r="Y143" s="932"/>
      <c r="Z143" s="932"/>
      <c r="AA143" s="64">
        <f>N143</f>
        <v>66.975897346974165</v>
      </c>
      <c r="AB143" s="64"/>
      <c r="AC143" s="64"/>
      <c r="AD143" s="64"/>
    </row>
    <row r="144" spans="1:30" ht="16.5" thickBot="1" x14ac:dyDescent="0.3">
      <c r="A144" s="669" t="s">
        <v>774</v>
      </c>
      <c r="B144" s="776" t="s">
        <v>775</v>
      </c>
      <c r="C144" s="924"/>
      <c r="D144" s="747" t="s">
        <v>1087</v>
      </c>
      <c r="E144" s="747" t="s">
        <v>1088</v>
      </c>
      <c r="F144" s="53" t="s">
        <v>5</v>
      </c>
      <c r="G144" s="53" t="s">
        <v>5</v>
      </c>
      <c r="H144" s="56">
        <v>78.569999999999993</v>
      </c>
      <c r="I144" s="56">
        <v>74.180000000000007</v>
      </c>
      <c r="J144" s="54"/>
      <c r="K144" s="54"/>
      <c r="L144" s="54"/>
      <c r="M144" s="54"/>
      <c r="N144" s="58" t="s">
        <v>5</v>
      </c>
      <c r="O144" s="58" t="s">
        <v>5</v>
      </c>
      <c r="P144" s="58">
        <f>(17697312/429344)/365*1000</f>
        <v>112.92992635595202</v>
      </c>
      <c r="Q144" s="58">
        <f>(18105904/460297)/366*1000</f>
        <v>107.47339882751635</v>
      </c>
      <c r="S144" s="224" t="s">
        <v>5</v>
      </c>
      <c r="T144" s="224" t="s">
        <v>5</v>
      </c>
      <c r="U144" s="224" t="s">
        <v>5</v>
      </c>
      <c r="V144" s="224" t="s">
        <v>5</v>
      </c>
      <c r="W144" s="670">
        <v>78.569999999999993</v>
      </c>
      <c r="X144" s="670">
        <v>78.569999999999993</v>
      </c>
      <c r="Y144" s="670">
        <v>74.180000000000007</v>
      </c>
      <c r="Z144" s="670">
        <v>74.180000000000007</v>
      </c>
      <c r="AA144" s="64" t="s">
        <v>5</v>
      </c>
      <c r="AB144" s="64" t="s">
        <v>5</v>
      </c>
      <c r="AC144" s="64">
        <v>113</v>
      </c>
      <c r="AD144" s="64">
        <v>107</v>
      </c>
    </row>
    <row r="145" spans="1:30" ht="16.5" thickBot="1" x14ac:dyDescent="0.3">
      <c r="A145" s="267" t="s">
        <v>37</v>
      </c>
      <c r="B145" s="501" t="s">
        <v>37</v>
      </c>
      <c r="C145" s="457"/>
      <c r="D145" s="261" t="s">
        <v>1089</v>
      </c>
      <c r="E145" s="261" t="s">
        <v>1090</v>
      </c>
      <c r="F145" s="53">
        <v>166</v>
      </c>
      <c r="G145" s="53">
        <v>173</v>
      </c>
      <c r="H145" s="53">
        <v>183</v>
      </c>
      <c r="I145" s="53"/>
      <c r="J145" s="54"/>
      <c r="K145" s="54"/>
      <c r="L145" s="54"/>
      <c r="M145" s="54"/>
      <c r="N145" s="58">
        <f>(100.3/1.23)/365*1000</f>
        <v>223.41017930727253</v>
      </c>
      <c r="O145" s="58">
        <f>(207/1.25)/366*1000</f>
        <v>452.4590163934426</v>
      </c>
      <c r="P145" s="58">
        <f>(97000000/1219659)/365*1000</f>
        <v>217.89157843096655</v>
      </c>
      <c r="Q145" s="58"/>
      <c r="S145" s="71">
        <f>F145</f>
        <v>166</v>
      </c>
      <c r="T145" s="71">
        <f>F145</f>
        <v>166</v>
      </c>
      <c r="U145" s="71">
        <f>G145</f>
        <v>173</v>
      </c>
      <c r="V145" s="71">
        <f>G145</f>
        <v>173</v>
      </c>
      <c r="W145" s="71">
        <f>H145</f>
        <v>183</v>
      </c>
      <c r="X145" s="71">
        <f>H145</f>
        <v>183</v>
      </c>
      <c r="Y145" s="71"/>
      <c r="Z145" s="71"/>
      <c r="AA145" s="64">
        <f>N145</f>
        <v>223.41017930727253</v>
      </c>
      <c r="AB145" s="64">
        <f>O145</f>
        <v>452.4590163934426</v>
      </c>
      <c r="AC145" s="64">
        <f>P145</f>
        <v>217.89157843096655</v>
      </c>
      <c r="AD145" s="64"/>
    </row>
    <row r="146" spans="1:30" x14ac:dyDescent="0.25">
      <c r="A146" s="1795" t="s">
        <v>38</v>
      </c>
      <c r="B146" s="777" t="s">
        <v>889</v>
      </c>
      <c r="C146" s="754" t="s">
        <v>429</v>
      </c>
      <c r="D146" s="631" t="s">
        <v>1091</v>
      </c>
      <c r="E146" s="631" t="s">
        <v>1092</v>
      </c>
      <c r="F146" s="53" t="s">
        <v>5</v>
      </c>
      <c r="G146" s="53" t="s">
        <v>5</v>
      </c>
      <c r="H146" s="53" t="s">
        <v>5</v>
      </c>
      <c r="I146" s="53">
        <v>312</v>
      </c>
      <c r="J146" s="54"/>
      <c r="K146" s="54"/>
      <c r="L146" s="54"/>
      <c r="M146" s="54"/>
      <c r="N146" s="58" t="s">
        <v>5</v>
      </c>
      <c r="O146" s="58" t="s">
        <v>5</v>
      </c>
      <c r="P146" s="58" t="s">
        <v>5</v>
      </c>
      <c r="Q146" s="58">
        <f>(1005949414/8833416)/366*1000</f>
        <v>311.14754095886195</v>
      </c>
      <c r="S146" s="2450" t="s">
        <v>5</v>
      </c>
      <c r="T146" s="2450" t="s">
        <v>5</v>
      </c>
      <c r="U146" s="2466">
        <f>SUM(G147:G151)/5</f>
        <v>231.65734524921004</v>
      </c>
      <c r="V146" s="2466">
        <f>MEDIAN(G147:G151)</f>
        <v>224.6002343914102</v>
      </c>
      <c r="W146" s="2466">
        <f>SUM(H147:H151)/5</f>
        <v>204</v>
      </c>
      <c r="X146" s="2466">
        <f>MEDIAN(H147:H151)</f>
        <v>205</v>
      </c>
      <c r="Y146" s="2434">
        <f>SUM(I146:I151)/6</f>
        <v>224.83333333333334</v>
      </c>
      <c r="Z146" s="2450">
        <f>MEDIAN(I146:I151)</f>
        <v>224</v>
      </c>
      <c r="AA146" s="2462" t="s">
        <v>5</v>
      </c>
      <c r="AB146" s="2444" t="s">
        <v>5</v>
      </c>
      <c r="AC146" s="2444" t="s">
        <v>5</v>
      </c>
      <c r="AD146" s="2444">
        <f>SUM(Q146:Q151)/6</f>
        <v>224.21903426592721</v>
      </c>
    </row>
    <row r="147" spans="1:30" ht="16.5" customHeight="1" x14ac:dyDescent="0.25">
      <c r="A147" s="1796"/>
      <c r="B147" s="778" t="s">
        <v>620</v>
      </c>
      <c r="C147" s="924"/>
      <c r="D147" s="631" t="s">
        <v>1091</v>
      </c>
      <c r="E147" s="631" t="s">
        <v>1092</v>
      </c>
      <c r="F147" s="53" t="s">
        <v>5</v>
      </c>
      <c r="G147" s="444">
        <f>(172000000/2585518)/366*1000</f>
        <v>181.76062018955457</v>
      </c>
      <c r="H147" s="444">
        <v>240</v>
      </c>
      <c r="I147" s="444">
        <v>244</v>
      </c>
      <c r="J147" s="51"/>
      <c r="K147" s="51"/>
      <c r="L147" s="51"/>
      <c r="M147" s="51"/>
      <c r="N147" s="55" t="s">
        <v>5</v>
      </c>
      <c r="O147" s="58" t="s">
        <v>5</v>
      </c>
      <c r="P147" s="58" t="s">
        <v>5</v>
      </c>
      <c r="Q147" s="58">
        <f>(100955833/1133571)/366*1000</f>
        <v>243.33333270665668</v>
      </c>
      <c r="S147" s="2465"/>
      <c r="T147" s="2465"/>
      <c r="U147" s="2467"/>
      <c r="V147" s="2467"/>
      <c r="W147" s="2467"/>
      <c r="X147" s="2467"/>
      <c r="Y147" s="2435"/>
      <c r="Z147" s="2465"/>
      <c r="AA147" s="2463"/>
      <c r="AB147" s="2445"/>
      <c r="AC147" s="2445"/>
      <c r="AD147" s="2445"/>
    </row>
    <row r="148" spans="1:30" ht="15.75" customHeight="1" x14ac:dyDescent="0.25">
      <c r="A148" s="1796"/>
      <c r="B148" s="778" t="s">
        <v>621</v>
      </c>
      <c r="C148" s="924"/>
      <c r="D148" s="631" t="s">
        <v>1091</v>
      </c>
      <c r="E148" s="631" t="s">
        <v>1092</v>
      </c>
      <c r="F148" s="53" t="s">
        <v>5</v>
      </c>
      <c r="G148" s="444">
        <f>(722000000/7350683)/366*1000</f>
        <v>268.36657160000169</v>
      </c>
      <c r="H148" s="444">
        <v>205</v>
      </c>
      <c r="I148" s="444">
        <v>208</v>
      </c>
      <c r="J148" s="51"/>
      <c r="K148" s="51"/>
      <c r="L148" s="51"/>
      <c r="M148" s="51"/>
      <c r="N148" s="55" t="s">
        <v>5</v>
      </c>
      <c r="O148" s="58" t="s">
        <v>5</v>
      </c>
      <c r="P148" s="58" t="s">
        <v>5</v>
      </c>
      <c r="Q148" s="58">
        <f>(368071092/4848144)/366*1000</f>
        <v>207.43169371856021</v>
      </c>
      <c r="S148" s="2465"/>
      <c r="T148" s="2465"/>
      <c r="U148" s="2467"/>
      <c r="V148" s="2467"/>
      <c r="W148" s="2467"/>
      <c r="X148" s="2467"/>
      <c r="Y148" s="2435"/>
      <c r="Z148" s="2465"/>
      <c r="AA148" s="2463"/>
      <c r="AB148" s="2445"/>
      <c r="AC148" s="2445"/>
      <c r="AD148" s="2445"/>
    </row>
    <row r="149" spans="1:30" ht="15.75" customHeight="1" x14ac:dyDescent="0.25">
      <c r="A149" s="1796"/>
      <c r="B149" s="778" t="s">
        <v>622</v>
      </c>
      <c r="C149" s="924"/>
      <c r="D149" s="631" t="s">
        <v>1091</v>
      </c>
      <c r="E149" s="631" t="s">
        <v>1092</v>
      </c>
      <c r="F149" s="53" t="s">
        <v>5</v>
      </c>
      <c r="G149" s="444">
        <f>(451000000/5486372)/366*1000</f>
        <v>224.6002343914102</v>
      </c>
      <c r="H149" s="444">
        <v>125</v>
      </c>
      <c r="I149" s="444">
        <v>140</v>
      </c>
      <c r="J149" s="51"/>
      <c r="K149" s="51"/>
      <c r="L149" s="51"/>
      <c r="M149" s="51"/>
      <c r="N149" s="55" t="s">
        <v>5</v>
      </c>
      <c r="O149" s="58" t="s">
        <v>5</v>
      </c>
      <c r="P149" s="58" t="s">
        <v>5</v>
      </c>
      <c r="Q149" s="58">
        <f>(100539301/1967501)/366*1000</f>
        <v>139.61748619992926</v>
      </c>
      <c r="S149" s="2465"/>
      <c r="T149" s="2465"/>
      <c r="U149" s="2467"/>
      <c r="V149" s="2467"/>
      <c r="W149" s="2467"/>
      <c r="X149" s="2467"/>
      <c r="Y149" s="2435"/>
      <c r="Z149" s="2465"/>
      <c r="AA149" s="2463"/>
      <c r="AB149" s="2445"/>
      <c r="AC149" s="2445"/>
      <c r="AD149" s="2445"/>
    </row>
    <row r="150" spans="1:30" ht="15.75" customHeight="1" x14ac:dyDescent="0.25">
      <c r="A150" s="1796"/>
      <c r="B150" s="778" t="s">
        <v>623</v>
      </c>
      <c r="C150" s="924"/>
      <c r="D150" s="631" t="s">
        <v>1091</v>
      </c>
      <c r="E150" s="631" t="s">
        <v>1092</v>
      </c>
      <c r="F150" s="53" t="s">
        <v>5</v>
      </c>
      <c r="G150" s="444">
        <f>(512000000/4653458)/366*1000</f>
        <v>300.61668200833373</v>
      </c>
      <c r="H150" s="444">
        <v>250</v>
      </c>
      <c r="I150" s="444">
        <v>240</v>
      </c>
      <c r="J150" s="51"/>
      <c r="K150" s="51"/>
      <c r="L150" s="51"/>
      <c r="M150" s="51"/>
      <c r="N150" s="55" t="s">
        <v>5</v>
      </c>
      <c r="O150" s="58" t="s">
        <v>5</v>
      </c>
      <c r="P150" s="58" t="s">
        <v>5</v>
      </c>
      <c r="Q150" s="58">
        <f>(361510833/4126836)/366*1000</f>
        <v>239.34426189784196</v>
      </c>
      <c r="S150" s="2465"/>
      <c r="T150" s="2465"/>
      <c r="U150" s="2467"/>
      <c r="V150" s="2467"/>
      <c r="W150" s="2467"/>
      <c r="X150" s="2467"/>
      <c r="Y150" s="2435"/>
      <c r="Z150" s="2465"/>
      <c r="AA150" s="2463"/>
      <c r="AB150" s="2445"/>
      <c r="AC150" s="2445"/>
      <c r="AD150" s="2445"/>
    </row>
    <row r="151" spans="1:30" ht="16.5" customHeight="1" thickBot="1" x14ac:dyDescent="0.3">
      <c r="A151" s="1797"/>
      <c r="B151" s="779" t="s">
        <v>624</v>
      </c>
      <c r="C151" s="924"/>
      <c r="D151" s="631" t="s">
        <v>1091</v>
      </c>
      <c r="E151" s="631" t="s">
        <v>1092</v>
      </c>
      <c r="F151" s="53" t="s">
        <v>5</v>
      </c>
      <c r="G151" s="444">
        <f>(387000000/5779829)/366*1000</f>
        <v>182.94261805675009</v>
      </c>
      <c r="H151" s="444">
        <v>200</v>
      </c>
      <c r="I151" s="444">
        <v>205</v>
      </c>
      <c r="J151" s="51"/>
      <c r="K151" s="51"/>
      <c r="L151" s="51"/>
      <c r="M151" s="51"/>
      <c r="N151" s="55" t="s">
        <v>5</v>
      </c>
      <c r="O151" s="58" t="s">
        <v>5</v>
      </c>
      <c r="P151" s="58" t="s">
        <v>5</v>
      </c>
      <c r="Q151" s="58">
        <f>(188449306/2518534)/366*1000</f>
        <v>204.43989011371309</v>
      </c>
      <c r="S151" s="2452"/>
      <c r="T151" s="2452"/>
      <c r="U151" s="2468"/>
      <c r="V151" s="2468"/>
      <c r="W151" s="2468"/>
      <c r="X151" s="2468"/>
      <c r="Y151" s="2436"/>
      <c r="Z151" s="2452"/>
      <c r="AA151" s="2464"/>
      <c r="AB151" s="2449"/>
      <c r="AC151" s="2449"/>
      <c r="AD151" s="2449"/>
    </row>
    <row r="152" spans="1:30" x14ac:dyDescent="0.25">
      <c r="A152" s="2082" t="s">
        <v>39</v>
      </c>
      <c r="B152" s="780" t="s">
        <v>494</v>
      </c>
      <c r="C152" s="922"/>
      <c r="D152" s="764" t="s">
        <v>1093</v>
      </c>
      <c r="E152" s="764" t="s">
        <v>1094</v>
      </c>
      <c r="F152" s="53">
        <v>95</v>
      </c>
      <c r="G152" s="53"/>
      <c r="H152" s="53"/>
      <c r="I152" s="53"/>
      <c r="J152" s="54"/>
      <c r="K152" s="51"/>
      <c r="L152" s="51"/>
      <c r="M152" s="51"/>
      <c r="N152" s="58">
        <f>(131200/3786)/365*1000</f>
        <v>94.942433912974252</v>
      </c>
      <c r="O152" s="435"/>
      <c r="P152" s="435"/>
      <c r="Q152" s="435"/>
      <c r="S152" s="2435">
        <f>SUM(F152:F156)/5</f>
        <v>108.6</v>
      </c>
      <c r="T152" s="2435">
        <f>MEDIAN(F152:F156)</f>
        <v>104</v>
      </c>
      <c r="U152" s="938"/>
      <c r="V152" s="938"/>
      <c r="W152" s="938"/>
      <c r="X152" s="938"/>
      <c r="Y152" s="938"/>
      <c r="Z152" s="938"/>
      <c r="AA152" s="2444">
        <f>SUM(N152:N156)/5</f>
        <v>108.79611064088681</v>
      </c>
      <c r="AB152" s="2444"/>
      <c r="AC152" s="2444"/>
      <c r="AD152" s="2444"/>
    </row>
    <row r="153" spans="1:30" ht="16.5" customHeight="1" x14ac:dyDescent="0.25">
      <c r="A153" s="2083"/>
      <c r="B153" s="781" t="s">
        <v>495</v>
      </c>
      <c r="C153" s="922" t="s">
        <v>429</v>
      </c>
      <c r="D153" s="764" t="s">
        <v>1095</v>
      </c>
      <c r="E153" s="764" t="s">
        <v>1096</v>
      </c>
      <c r="F153" s="53">
        <v>104</v>
      </c>
      <c r="G153" s="53"/>
      <c r="H153" s="53"/>
      <c r="I153" s="53"/>
      <c r="J153" s="54"/>
      <c r="K153" s="51"/>
      <c r="L153" s="51"/>
      <c r="M153" s="51"/>
      <c r="N153" s="58">
        <f>(74300/1948)/365*1000</f>
        <v>104.49776377598381</v>
      </c>
      <c r="O153" s="58"/>
      <c r="P153" s="58"/>
      <c r="Q153" s="58"/>
      <c r="S153" s="2429"/>
      <c r="T153" s="2429"/>
      <c r="U153" s="938"/>
      <c r="V153" s="936"/>
      <c r="W153" s="938"/>
      <c r="X153" s="938"/>
      <c r="Y153" s="936"/>
      <c r="Z153" s="936"/>
      <c r="AA153" s="2432"/>
      <c r="AB153" s="2445"/>
      <c r="AC153" s="2445"/>
      <c r="AD153" s="2445"/>
    </row>
    <row r="154" spans="1:30" ht="16.5" customHeight="1" x14ac:dyDescent="0.25">
      <c r="A154" s="2083"/>
      <c r="B154" s="781" t="s">
        <v>496</v>
      </c>
      <c r="C154" s="922"/>
      <c r="D154" s="764" t="s">
        <v>1097</v>
      </c>
      <c r="E154" s="764" t="s">
        <v>1098</v>
      </c>
      <c r="F154" s="53">
        <v>115</v>
      </c>
      <c r="G154" s="53"/>
      <c r="H154" s="53"/>
      <c r="I154" s="53"/>
      <c r="J154" s="54"/>
      <c r="K154" s="51"/>
      <c r="L154" s="51"/>
      <c r="M154" s="51"/>
      <c r="N154" s="58">
        <f>(36900/876)/365*1000</f>
        <v>115.40626759241883</v>
      </c>
      <c r="O154" s="58"/>
      <c r="P154" s="58"/>
      <c r="Q154" s="58"/>
      <c r="S154" s="2429"/>
      <c r="T154" s="2429"/>
      <c r="U154" s="938"/>
      <c r="V154" s="936"/>
      <c r="W154" s="938"/>
      <c r="X154" s="938"/>
      <c r="Y154" s="936"/>
      <c r="Z154" s="936"/>
      <c r="AA154" s="2432"/>
      <c r="AB154" s="2445"/>
      <c r="AC154" s="2445"/>
      <c r="AD154" s="2445"/>
    </row>
    <row r="155" spans="1:30" ht="16.5" customHeight="1" x14ac:dyDescent="0.25">
      <c r="A155" s="2083"/>
      <c r="B155" s="781" t="s">
        <v>497</v>
      </c>
      <c r="C155" s="922"/>
      <c r="D155" s="764" t="s">
        <v>1099</v>
      </c>
      <c r="E155" s="764" t="s">
        <v>1100</v>
      </c>
      <c r="F155" s="53">
        <v>99</v>
      </c>
      <c r="G155" s="53"/>
      <c r="H155" s="53"/>
      <c r="I155" s="53"/>
      <c r="J155" s="54"/>
      <c r="K155" s="51"/>
      <c r="L155" s="51"/>
      <c r="M155" s="51"/>
      <c r="N155" s="58">
        <f>(21400/590)/365*1000</f>
        <v>99.373113536104015</v>
      </c>
      <c r="O155" s="58"/>
      <c r="P155" s="58"/>
      <c r="Q155" s="58"/>
      <c r="S155" s="2429"/>
      <c r="T155" s="2429"/>
      <c r="U155" s="938"/>
      <c r="V155" s="936"/>
      <c r="W155" s="938"/>
      <c r="X155" s="938"/>
      <c r="Y155" s="936"/>
      <c r="Z155" s="936"/>
      <c r="AA155" s="2432"/>
      <c r="AB155" s="2445"/>
      <c r="AC155" s="2445"/>
      <c r="AD155" s="2445"/>
    </row>
    <row r="156" spans="1:30" ht="15.75" thickBot="1" x14ac:dyDescent="0.3">
      <c r="A156" s="2084"/>
      <c r="B156" s="782" t="s">
        <v>498</v>
      </c>
      <c r="C156" s="922"/>
      <c r="D156" s="764" t="s">
        <v>1101</v>
      </c>
      <c r="E156" s="764" t="s">
        <v>1102</v>
      </c>
      <c r="F156" s="53">
        <v>130</v>
      </c>
      <c r="G156" s="53"/>
      <c r="H156" s="53"/>
      <c r="I156" s="53"/>
      <c r="J156" s="54"/>
      <c r="K156" s="51"/>
      <c r="L156" s="51"/>
      <c r="M156" s="51"/>
      <c r="N156" s="58">
        <f>(44000/929)/365*1000</f>
        <v>129.76097438695314</v>
      </c>
      <c r="O156" s="58"/>
      <c r="P156" s="58"/>
      <c r="Q156" s="58"/>
      <c r="S156" s="2436"/>
      <c r="T156" s="2436"/>
      <c r="U156" s="937"/>
      <c r="V156" s="937"/>
      <c r="W156" s="937"/>
      <c r="X156" s="937"/>
      <c r="Y156" s="937"/>
      <c r="Z156" s="937"/>
      <c r="AA156" s="2449"/>
      <c r="AB156" s="2449"/>
      <c r="AC156" s="2449"/>
      <c r="AD156" s="2449"/>
    </row>
    <row r="157" spans="1:30" ht="16.5" thickBot="1" x14ac:dyDescent="0.3">
      <c r="A157" s="961" t="s">
        <v>734</v>
      </c>
      <c r="B157" s="773" t="s">
        <v>735</v>
      </c>
      <c r="C157" s="922"/>
      <c r="D157" s="764" t="s">
        <v>1103</v>
      </c>
      <c r="E157" s="764" t="s">
        <v>1104</v>
      </c>
      <c r="F157" s="53" t="s">
        <v>5</v>
      </c>
      <c r="G157" s="53" t="s">
        <v>5</v>
      </c>
      <c r="H157" s="53" t="s">
        <v>5</v>
      </c>
      <c r="I157" s="53"/>
      <c r="J157" s="54" t="s">
        <v>5</v>
      </c>
      <c r="K157" s="54" t="s">
        <v>5</v>
      </c>
      <c r="L157" s="54" t="s">
        <v>5</v>
      </c>
      <c r="M157" s="54"/>
      <c r="N157" s="58" t="s">
        <v>5</v>
      </c>
      <c r="O157" s="58" t="s">
        <v>5</v>
      </c>
      <c r="P157" s="58" t="s">
        <v>5</v>
      </c>
      <c r="Q157" s="58"/>
      <c r="R157" s="63"/>
      <c r="S157" s="936" t="s">
        <v>5</v>
      </c>
      <c r="T157" s="936" t="s">
        <v>5</v>
      </c>
      <c r="U157" s="936" t="s">
        <v>5</v>
      </c>
      <c r="V157" s="936" t="s">
        <v>5</v>
      </c>
      <c r="W157" s="936" t="s">
        <v>5</v>
      </c>
      <c r="X157" s="936" t="s">
        <v>5</v>
      </c>
      <c r="Y157" s="936"/>
      <c r="Z157" s="936"/>
      <c r="AA157" s="927" t="s">
        <v>5</v>
      </c>
      <c r="AB157" s="927" t="s">
        <v>5</v>
      </c>
      <c r="AC157" s="927" t="s">
        <v>5</v>
      </c>
      <c r="AD157" s="927"/>
    </row>
    <row r="158" spans="1:30" ht="15.75" customHeight="1" x14ac:dyDescent="0.25">
      <c r="A158" s="1795" t="s">
        <v>20</v>
      </c>
      <c r="B158" s="783" t="s">
        <v>182</v>
      </c>
      <c r="C158" s="754" t="s">
        <v>429</v>
      </c>
      <c r="D158" s="631" t="s">
        <v>1105</v>
      </c>
      <c r="E158" s="631" t="s">
        <v>1106</v>
      </c>
      <c r="F158" s="56">
        <v>138.6</v>
      </c>
      <c r="G158" s="56">
        <v>133.5</v>
      </c>
      <c r="H158" s="56">
        <v>135.5</v>
      </c>
      <c r="I158" s="56" t="s">
        <v>5</v>
      </c>
      <c r="J158" s="54"/>
      <c r="K158" s="54"/>
      <c r="L158" s="54"/>
      <c r="M158" s="54"/>
      <c r="N158" s="58">
        <f>(39164000/774166)/365*1000</f>
        <v>138.59899574120575</v>
      </c>
      <c r="O158" s="58"/>
      <c r="P158" s="58" t="s">
        <v>5</v>
      </c>
      <c r="Q158" s="58" t="s">
        <v>5</v>
      </c>
      <c r="S158" s="2434">
        <f>(F158+F162+F163)/3</f>
        <v>121.04121430686008</v>
      </c>
      <c r="T158" s="2434">
        <f>MEDIAN(F158:F163)</f>
        <v>125</v>
      </c>
      <c r="U158" s="2434">
        <f>(G158+G162+G163)/3</f>
        <v>125.16666666666667</v>
      </c>
      <c r="V158" s="2434">
        <f>MEDIAN(G158:G163)</f>
        <v>121</v>
      </c>
      <c r="W158" s="2434">
        <f>SUM(H158:H163)/6</f>
        <v>124.73333333333335</v>
      </c>
      <c r="X158" s="2434">
        <f>MEDIAN(H158:H163)</f>
        <v>125.8</v>
      </c>
      <c r="Y158" s="2434" t="s">
        <v>5</v>
      </c>
      <c r="Z158" s="2434" t="s">
        <v>5</v>
      </c>
      <c r="AA158" s="2444">
        <f>(N158+N162+N163)/3</f>
        <v>150.94914616046287</v>
      </c>
      <c r="AB158" s="2444" t="s">
        <v>5</v>
      </c>
      <c r="AC158" s="2444" t="s">
        <v>5</v>
      </c>
      <c r="AD158" s="2444" t="s">
        <v>5</v>
      </c>
    </row>
    <row r="159" spans="1:30" ht="15.75" customHeight="1" x14ac:dyDescent="0.25">
      <c r="A159" s="1796"/>
      <c r="B159" s="783" t="s">
        <v>183</v>
      </c>
      <c r="C159" s="754"/>
      <c r="D159" s="631" t="s">
        <v>1105</v>
      </c>
      <c r="E159" s="631" t="s">
        <v>1106</v>
      </c>
      <c r="F159" s="53" t="s">
        <v>5</v>
      </c>
      <c r="G159" s="53"/>
      <c r="H159" s="56">
        <v>135.5</v>
      </c>
      <c r="I159" s="56" t="s">
        <v>5</v>
      </c>
      <c r="J159" s="54"/>
      <c r="K159" s="54"/>
      <c r="L159" s="54"/>
      <c r="M159" s="54"/>
      <c r="N159" s="55" t="s">
        <v>5</v>
      </c>
      <c r="O159" s="55"/>
      <c r="P159" s="55" t="s">
        <v>5</v>
      </c>
      <c r="Q159" s="55" t="s">
        <v>5</v>
      </c>
      <c r="S159" s="2429"/>
      <c r="T159" s="2429"/>
      <c r="U159" s="2435"/>
      <c r="V159" s="2429"/>
      <c r="W159" s="2435"/>
      <c r="X159" s="2429"/>
      <c r="Y159" s="2435"/>
      <c r="Z159" s="2435"/>
      <c r="AA159" s="2432"/>
      <c r="AB159" s="2456"/>
      <c r="AC159" s="2456"/>
      <c r="AD159" s="2456"/>
    </row>
    <row r="160" spans="1:30" ht="15.75" customHeight="1" x14ac:dyDescent="0.25">
      <c r="A160" s="1796"/>
      <c r="B160" s="783" t="s">
        <v>184</v>
      </c>
      <c r="C160" s="754"/>
      <c r="D160" s="631" t="s">
        <v>1105</v>
      </c>
      <c r="E160" s="631" t="s">
        <v>1106</v>
      </c>
      <c r="F160" s="53" t="s">
        <v>5</v>
      </c>
      <c r="G160" s="53"/>
      <c r="H160" s="56">
        <v>135.5</v>
      </c>
      <c r="I160" s="56" t="s">
        <v>5</v>
      </c>
      <c r="J160" s="54"/>
      <c r="K160" s="54"/>
      <c r="L160" s="54"/>
      <c r="M160" s="54"/>
      <c r="N160" s="55" t="s">
        <v>5</v>
      </c>
      <c r="O160" s="55"/>
      <c r="P160" s="55" t="s">
        <v>5</v>
      </c>
      <c r="Q160" s="55" t="s">
        <v>5</v>
      </c>
      <c r="S160" s="2429"/>
      <c r="T160" s="2429"/>
      <c r="U160" s="2435"/>
      <c r="V160" s="2429"/>
      <c r="W160" s="2435"/>
      <c r="X160" s="2429"/>
      <c r="Y160" s="2435"/>
      <c r="Z160" s="2435"/>
      <c r="AA160" s="2432"/>
      <c r="AB160" s="2456"/>
      <c r="AC160" s="2456"/>
      <c r="AD160" s="2456"/>
    </row>
    <row r="161" spans="1:30" ht="15.75" customHeight="1" x14ac:dyDescent="0.25">
      <c r="A161" s="1796"/>
      <c r="B161" s="783" t="s">
        <v>185</v>
      </c>
      <c r="C161" s="754"/>
      <c r="D161" s="631" t="s">
        <v>1105</v>
      </c>
      <c r="E161" s="631" t="s">
        <v>1106</v>
      </c>
      <c r="F161" s="53" t="s">
        <v>5</v>
      </c>
      <c r="G161" s="53"/>
      <c r="H161" s="56">
        <v>109.7</v>
      </c>
      <c r="I161" s="56" t="s">
        <v>5</v>
      </c>
      <c r="J161" s="54"/>
      <c r="K161" s="54"/>
      <c r="L161" s="54"/>
      <c r="M161" s="54"/>
      <c r="N161" s="55" t="s">
        <v>5</v>
      </c>
      <c r="O161" s="55"/>
      <c r="P161" s="55" t="s">
        <v>5</v>
      </c>
      <c r="Q161" s="55" t="s">
        <v>5</v>
      </c>
      <c r="S161" s="2429"/>
      <c r="T161" s="2429"/>
      <c r="U161" s="2435"/>
      <c r="V161" s="2429"/>
      <c r="W161" s="2435"/>
      <c r="X161" s="2429"/>
      <c r="Y161" s="2435"/>
      <c r="Z161" s="2435"/>
      <c r="AA161" s="2432"/>
      <c r="AB161" s="2456"/>
      <c r="AC161" s="2456"/>
      <c r="AD161" s="2456"/>
    </row>
    <row r="162" spans="1:30" ht="15.75" customHeight="1" x14ac:dyDescent="0.25">
      <c r="A162" s="1796"/>
      <c r="B162" s="783" t="s">
        <v>186</v>
      </c>
      <c r="C162" s="754"/>
      <c r="D162" s="631" t="s">
        <v>1105</v>
      </c>
      <c r="E162" s="631" t="s">
        <v>1106</v>
      </c>
      <c r="F162" s="53">
        <v>125</v>
      </c>
      <c r="G162" s="53">
        <v>121</v>
      </c>
      <c r="H162" s="56">
        <v>116.1</v>
      </c>
      <c r="I162" s="56" t="s">
        <v>5</v>
      </c>
      <c r="J162" s="54"/>
      <c r="K162" s="54"/>
      <c r="L162" s="54"/>
      <c r="M162" s="54"/>
      <c r="N162" s="58">
        <f>(12492237/212269)/365*1000</f>
        <v>161.23554004265844</v>
      </c>
      <c r="O162" s="58"/>
      <c r="P162" s="58" t="s">
        <v>5</v>
      </c>
      <c r="Q162" s="58" t="s">
        <v>5</v>
      </c>
      <c r="S162" s="2429"/>
      <c r="T162" s="2429"/>
      <c r="U162" s="2435"/>
      <c r="V162" s="2429"/>
      <c r="W162" s="2435"/>
      <c r="X162" s="2429"/>
      <c r="Y162" s="2435"/>
      <c r="Z162" s="2435"/>
      <c r="AA162" s="2432"/>
      <c r="AB162" s="2456"/>
      <c r="AC162" s="2456"/>
      <c r="AD162" s="2456"/>
    </row>
    <row r="163" spans="1:30" ht="15.75" customHeight="1" x14ac:dyDescent="0.25">
      <c r="A163" s="1796"/>
      <c r="B163" s="502" t="s">
        <v>187</v>
      </c>
      <c r="C163" s="457"/>
      <c r="D163" s="261" t="s">
        <v>1105</v>
      </c>
      <c r="E163" s="261" t="s">
        <v>1106</v>
      </c>
      <c r="F163" s="56">
        <f>(4345150/119615)/365*1000</f>
        <v>99.523642920580244</v>
      </c>
      <c r="G163" s="56">
        <v>121</v>
      </c>
      <c r="H163" s="56">
        <v>116.1</v>
      </c>
      <c r="I163" s="56"/>
      <c r="J163" s="54"/>
      <c r="K163" s="54"/>
      <c r="L163" s="54"/>
      <c r="M163" s="54"/>
      <c r="N163" s="58">
        <f>(6680463/119615)/365*1000</f>
        <v>153.01290269752442</v>
      </c>
      <c r="O163" s="58"/>
      <c r="P163" s="58"/>
      <c r="Q163" s="58"/>
      <c r="S163" s="2436"/>
      <c r="T163" s="2436"/>
      <c r="U163" s="2436"/>
      <c r="V163" s="2436"/>
      <c r="W163" s="2436"/>
      <c r="X163" s="2436"/>
      <c r="Y163" s="2436"/>
      <c r="Z163" s="2436"/>
      <c r="AA163" s="2449"/>
      <c r="AB163" s="2449"/>
      <c r="AC163" s="2449"/>
      <c r="AD163" s="2449"/>
    </row>
    <row r="164" spans="1:30" ht="15.75" customHeight="1" thickBot="1" x14ac:dyDescent="0.3">
      <c r="A164" s="1797"/>
      <c r="B164" s="783" t="s">
        <v>760</v>
      </c>
      <c r="C164" s="754"/>
      <c r="D164" s="631" t="s">
        <v>1105</v>
      </c>
      <c r="E164" s="631" t="s">
        <v>1106</v>
      </c>
      <c r="F164" s="56" t="s">
        <v>5</v>
      </c>
      <c r="G164" s="56" t="s">
        <v>5</v>
      </c>
      <c r="H164" s="56">
        <v>118.9</v>
      </c>
      <c r="I164" s="56">
        <v>119.2</v>
      </c>
      <c r="J164" s="54"/>
      <c r="K164" s="54"/>
      <c r="L164" s="54"/>
      <c r="M164" s="54"/>
      <c r="N164" s="58" t="s">
        <v>5</v>
      </c>
      <c r="O164" s="58" t="s">
        <v>5</v>
      </c>
      <c r="P164" s="58" t="s">
        <v>5</v>
      </c>
      <c r="Q164" s="58" t="s">
        <v>5</v>
      </c>
      <c r="S164" s="936" t="s">
        <v>5</v>
      </c>
      <c r="T164" s="936" t="s">
        <v>5</v>
      </c>
      <c r="U164" s="936" t="s">
        <v>5</v>
      </c>
      <c r="V164" s="936" t="s">
        <v>5</v>
      </c>
      <c r="W164" s="936">
        <v>118.9</v>
      </c>
      <c r="X164" s="936">
        <v>118.9</v>
      </c>
      <c r="Y164" s="936">
        <v>119.2</v>
      </c>
      <c r="Z164" s="936">
        <v>119.2</v>
      </c>
      <c r="AA164" s="927"/>
      <c r="AB164" s="927"/>
      <c r="AC164" s="927"/>
      <c r="AD164" s="927"/>
    </row>
    <row r="165" spans="1:30" ht="15.75" customHeight="1" x14ac:dyDescent="0.25">
      <c r="A165" s="2004" t="s">
        <v>527</v>
      </c>
      <c r="B165" s="784" t="s">
        <v>528</v>
      </c>
      <c r="C165" s="457"/>
      <c r="D165" s="261" t="s">
        <v>1107</v>
      </c>
      <c r="E165" s="261" t="s">
        <v>1108</v>
      </c>
      <c r="F165" s="53">
        <v>230</v>
      </c>
      <c r="G165" s="53"/>
      <c r="H165" s="53"/>
      <c r="I165" s="53"/>
      <c r="J165" s="54"/>
      <c r="K165" s="54"/>
      <c r="L165" s="54"/>
      <c r="M165" s="54"/>
      <c r="N165" s="58">
        <f>(28510000/190000)/365*1000</f>
        <v>411.10310021629414</v>
      </c>
      <c r="O165" s="58"/>
      <c r="P165" s="58"/>
      <c r="Q165" s="58"/>
      <c r="S165" s="2434">
        <f>SUM(F165:F169)/5</f>
        <v>227.6</v>
      </c>
      <c r="T165" s="2434">
        <f>MEDIAN(F165:F169)</f>
        <v>230</v>
      </c>
      <c r="U165" s="2434" t="s">
        <v>5</v>
      </c>
      <c r="V165" s="2434" t="s">
        <v>5</v>
      </c>
      <c r="W165" s="935"/>
      <c r="X165" s="935"/>
      <c r="Y165" s="935"/>
      <c r="Z165" s="935"/>
      <c r="AA165" s="2444">
        <f>SUM(N165:N169)/5</f>
        <v>369.50679688012059</v>
      </c>
      <c r="AB165" s="2444"/>
      <c r="AC165" s="2444"/>
      <c r="AD165" s="2444"/>
    </row>
    <row r="166" spans="1:30" ht="15.75" customHeight="1" x14ac:dyDescent="0.25">
      <c r="A166" s="2005"/>
      <c r="B166" s="502" t="s">
        <v>529</v>
      </c>
      <c r="C166" s="457"/>
      <c r="D166" s="261" t="s">
        <v>1107</v>
      </c>
      <c r="E166" s="261" t="s">
        <v>1108</v>
      </c>
      <c r="F166" s="53">
        <v>228</v>
      </c>
      <c r="G166" s="53"/>
      <c r="H166" s="53"/>
      <c r="I166" s="53"/>
      <c r="J166" s="54"/>
      <c r="K166" s="54"/>
      <c r="L166" s="54"/>
      <c r="M166" s="54"/>
      <c r="N166" s="58">
        <f>(15480000/110000)/365*1000</f>
        <v>385.55417185554171</v>
      </c>
      <c r="O166" s="58"/>
      <c r="P166" s="58"/>
      <c r="Q166" s="58"/>
      <c r="S166" s="2429"/>
      <c r="T166" s="2429"/>
      <c r="U166" s="2429"/>
      <c r="V166" s="2429"/>
      <c r="W166" s="938"/>
      <c r="X166" s="938"/>
      <c r="Y166" s="936"/>
      <c r="Z166" s="936"/>
      <c r="AA166" s="2432"/>
      <c r="AB166" s="2432"/>
      <c r="AC166" s="2432"/>
      <c r="AD166" s="2432"/>
    </row>
    <row r="167" spans="1:30" ht="15.75" customHeight="1" x14ac:dyDescent="0.25">
      <c r="A167" s="2005"/>
      <c r="B167" s="502" t="s">
        <v>530</v>
      </c>
      <c r="C167" s="457"/>
      <c r="D167" s="261" t="s">
        <v>1107</v>
      </c>
      <c r="E167" s="261" t="s">
        <v>1108</v>
      </c>
      <c r="F167" s="53">
        <v>231</v>
      </c>
      <c r="G167" s="53"/>
      <c r="H167" s="53"/>
      <c r="I167" s="53"/>
      <c r="J167" s="54"/>
      <c r="K167" s="54"/>
      <c r="L167" s="54"/>
      <c r="M167" s="54"/>
      <c r="N167" s="58">
        <f>(9814000/75000)/365*1000</f>
        <v>358.5022831050228</v>
      </c>
      <c r="O167" s="58"/>
      <c r="P167" s="58"/>
      <c r="Q167" s="58"/>
      <c r="S167" s="2429"/>
      <c r="T167" s="2429"/>
      <c r="U167" s="2429"/>
      <c r="V167" s="2429"/>
      <c r="W167" s="938"/>
      <c r="X167" s="938"/>
      <c r="Y167" s="936"/>
      <c r="Z167" s="936"/>
      <c r="AA167" s="2432"/>
      <c r="AB167" s="2432"/>
      <c r="AC167" s="2432"/>
      <c r="AD167" s="2432"/>
    </row>
    <row r="168" spans="1:30" ht="15.75" customHeight="1" x14ac:dyDescent="0.25">
      <c r="A168" s="2005"/>
      <c r="B168" s="502" t="s">
        <v>531</v>
      </c>
      <c r="C168" s="457"/>
      <c r="D168" s="261" t="s">
        <v>1107</v>
      </c>
      <c r="E168" s="261" t="s">
        <v>1108</v>
      </c>
      <c r="F168" s="53">
        <v>270</v>
      </c>
      <c r="G168" s="53"/>
      <c r="H168" s="53"/>
      <c r="I168" s="53"/>
      <c r="J168" s="54"/>
      <c r="K168" s="54"/>
      <c r="L168" s="54"/>
      <c r="M168" s="54"/>
      <c r="N168" s="58">
        <f>(12880000/120000)/365*1000</f>
        <v>294.06392694063925</v>
      </c>
      <c r="O168" s="58"/>
      <c r="P168" s="58"/>
      <c r="Q168" s="58"/>
      <c r="S168" s="2429"/>
      <c r="T168" s="2429"/>
      <c r="U168" s="2429"/>
      <c r="V168" s="2429"/>
      <c r="W168" s="938"/>
      <c r="X168" s="938"/>
      <c r="Y168" s="936"/>
      <c r="Z168" s="936"/>
      <c r="AA168" s="2432"/>
      <c r="AB168" s="2432"/>
      <c r="AC168" s="2432"/>
      <c r="AD168" s="2432"/>
    </row>
    <row r="169" spans="1:30" ht="15.75" customHeight="1" thickBot="1" x14ac:dyDescent="0.3">
      <c r="A169" s="2006"/>
      <c r="B169" s="785" t="s">
        <v>532</v>
      </c>
      <c r="C169" s="457"/>
      <c r="D169" s="261" t="s">
        <v>1107</v>
      </c>
      <c r="E169" s="261" t="s">
        <v>1108</v>
      </c>
      <c r="F169" s="53">
        <v>179</v>
      </c>
      <c r="G169" s="53"/>
      <c r="H169" s="53"/>
      <c r="I169" s="53"/>
      <c r="J169" s="54"/>
      <c r="K169" s="54"/>
      <c r="L169" s="54"/>
      <c r="M169" s="54"/>
      <c r="N169" s="58">
        <f>(8723000/60000)/365*1000</f>
        <v>398.310502283105</v>
      </c>
      <c r="O169" s="58"/>
      <c r="P169" s="58"/>
      <c r="Q169" s="58"/>
      <c r="S169" s="2436"/>
      <c r="T169" s="2436"/>
      <c r="U169" s="2436"/>
      <c r="V169" s="2436"/>
      <c r="W169" s="937"/>
      <c r="X169" s="937"/>
      <c r="Y169" s="937"/>
      <c r="Z169" s="937"/>
      <c r="AA169" s="2449"/>
      <c r="AB169" s="2449"/>
      <c r="AC169" s="2449"/>
      <c r="AD169" s="2449"/>
    </row>
    <row r="170" spans="1:30" ht="16.5" thickBot="1" x14ac:dyDescent="0.3">
      <c r="A170" s="267" t="s">
        <v>46</v>
      </c>
      <c r="B170" s="29"/>
      <c r="C170" s="29"/>
      <c r="D170" s="764" t="s">
        <v>1109</v>
      </c>
      <c r="E170" s="764" t="s">
        <v>1110</v>
      </c>
      <c r="F170" s="53" t="s">
        <v>5</v>
      </c>
      <c r="G170" s="53"/>
      <c r="H170" s="53"/>
      <c r="I170" s="53"/>
      <c r="J170" s="51"/>
      <c r="K170" s="51"/>
      <c r="L170" s="51"/>
      <c r="M170" s="51"/>
      <c r="N170" s="52"/>
      <c r="O170" s="52"/>
      <c r="P170" s="52"/>
      <c r="Q170" s="52"/>
      <c r="S170" s="59" t="s">
        <v>5</v>
      </c>
      <c r="T170" s="59" t="s">
        <v>5</v>
      </c>
      <c r="U170" s="59" t="s">
        <v>5</v>
      </c>
      <c r="V170" s="59" t="s">
        <v>5</v>
      </c>
      <c r="W170" s="59"/>
      <c r="X170" s="59"/>
      <c r="Y170" s="59"/>
      <c r="Z170" s="59"/>
      <c r="AA170" s="50"/>
      <c r="AB170" s="50"/>
      <c r="AC170" s="50"/>
      <c r="AD170" s="50"/>
    </row>
    <row r="171" spans="1:30" ht="15.75" customHeight="1" x14ac:dyDescent="0.25">
      <c r="A171" s="1818" t="s">
        <v>21</v>
      </c>
      <c r="B171" s="786" t="s">
        <v>125</v>
      </c>
      <c r="C171" s="760"/>
      <c r="D171" s="639" t="s">
        <v>1111</v>
      </c>
      <c r="E171" s="639" t="s">
        <v>1112</v>
      </c>
      <c r="F171" s="53">
        <v>150</v>
      </c>
      <c r="G171" s="53">
        <v>160</v>
      </c>
      <c r="H171" s="53">
        <v>160</v>
      </c>
      <c r="I171" s="53">
        <v>160</v>
      </c>
      <c r="J171" s="57"/>
      <c r="K171" s="57"/>
      <c r="L171" s="57"/>
      <c r="M171" s="57"/>
      <c r="N171" s="58">
        <f>(39400000/252400)/365*1000</f>
        <v>427.67514056835205</v>
      </c>
      <c r="O171" s="58">
        <f>(36000000/260000)/366*1000</f>
        <v>378.31021437578812</v>
      </c>
      <c r="P171" s="58">
        <f>(23100000/270000)/365*1000</f>
        <v>234.39878234398785</v>
      </c>
      <c r="Q171" s="58">
        <f>(31900000/270000)/366*1000</f>
        <v>322.80914794576</v>
      </c>
      <c r="S171" s="2434">
        <f>SUM(F171:F172)/2</f>
        <v>165</v>
      </c>
      <c r="T171" s="2434">
        <f>MEDIAN(F171:F173)</f>
        <v>165</v>
      </c>
      <c r="U171" s="2434">
        <v>160</v>
      </c>
      <c r="V171" s="2434">
        <f>MEDIAN(G171:G173)</f>
        <v>160</v>
      </c>
      <c r="W171" s="2434">
        <f>SUM(H171:H173)/3</f>
        <v>158.33333333333334</v>
      </c>
      <c r="X171" s="2434">
        <f>MEDIAN(H171:H173)</f>
        <v>160</v>
      </c>
      <c r="Y171" s="2434">
        <f>SUM(I171:I173)/3</f>
        <v>155</v>
      </c>
      <c r="Z171" s="2434">
        <f>MEDIAN(I171:I173)</f>
        <v>160</v>
      </c>
      <c r="AA171" s="2444">
        <f>SUM(N171:N172)/2</f>
        <v>370.28622280454488</v>
      </c>
      <c r="AB171" s="2444">
        <f>SUM(O171:O173)/3</f>
        <v>312.48956144038112</v>
      </c>
      <c r="AC171" s="2444">
        <f>SUM(P171:P173)/3</f>
        <v>259.96910407733429</v>
      </c>
      <c r="AD171" s="2444">
        <f>SUM(Q171:Q173)/3</f>
        <v>278.75124170890263</v>
      </c>
    </row>
    <row r="172" spans="1:30" ht="15.75" customHeight="1" x14ac:dyDescent="0.25">
      <c r="A172" s="1819"/>
      <c r="B172" s="660" t="s">
        <v>126</v>
      </c>
      <c r="C172" s="760" t="s">
        <v>429</v>
      </c>
      <c r="D172" s="639" t="s">
        <v>1111</v>
      </c>
      <c r="E172" s="639" t="s">
        <v>1112</v>
      </c>
      <c r="F172" s="53">
        <v>180</v>
      </c>
      <c r="G172" s="53">
        <v>160</v>
      </c>
      <c r="H172" s="53">
        <v>160</v>
      </c>
      <c r="I172" s="53">
        <v>160</v>
      </c>
      <c r="J172" s="57"/>
      <c r="K172" s="57"/>
      <c r="L172" s="57"/>
      <c r="M172" s="57"/>
      <c r="N172" s="58">
        <f>(69895000/612000)/365*1000</f>
        <v>312.89730504073776</v>
      </c>
      <c r="O172" s="58">
        <f>(52970000/625000)/366*1000</f>
        <v>231.56284153005464</v>
      </c>
      <c r="P172" s="58">
        <f>(56210000/646000)/365*1000</f>
        <v>238.39009287925697</v>
      </c>
      <c r="Q172" s="58">
        <f>(57170000/705000)/366*1000</f>
        <v>221.56338410262373</v>
      </c>
      <c r="S172" s="2429"/>
      <c r="T172" s="2429"/>
      <c r="U172" s="2435"/>
      <c r="V172" s="2429"/>
      <c r="W172" s="2435"/>
      <c r="X172" s="2429"/>
      <c r="Y172" s="2429"/>
      <c r="Z172" s="2429"/>
      <c r="AA172" s="2432"/>
      <c r="AB172" s="2456"/>
      <c r="AC172" s="2456"/>
      <c r="AD172" s="2456"/>
    </row>
    <row r="173" spans="1:30" ht="16.5" customHeight="1" thickBot="1" x14ac:dyDescent="0.3">
      <c r="A173" s="1820"/>
      <c r="B173" s="612" t="s">
        <v>127</v>
      </c>
      <c r="C173" s="760"/>
      <c r="D173" s="639" t="s">
        <v>1111</v>
      </c>
      <c r="E173" s="639" t="s">
        <v>1112</v>
      </c>
      <c r="F173" s="53" t="s">
        <v>5</v>
      </c>
      <c r="G173" s="446" t="s">
        <v>5</v>
      </c>
      <c r="H173" s="446">
        <v>155</v>
      </c>
      <c r="I173" s="446">
        <v>145</v>
      </c>
      <c r="J173" s="57"/>
      <c r="K173" s="57"/>
      <c r="L173" s="57"/>
      <c r="M173" s="57"/>
      <c r="N173" s="58" t="s">
        <v>5</v>
      </c>
      <c r="O173" s="58">
        <f>(20383000/170000)/366*1000</f>
        <v>327.59562841530055</v>
      </c>
      <c r="P173" s="58">
        <f>(20513976/183000)/365*1000</f>
        <v>307.11843700875812</v>
      </c>
      <c r="Q173" s="58">
        <f>(19229133/180000)/366*1000</f>
        <v>291.8811930783242</v>
      </c>
      <c r="S173" s="2436"/>
      <c r="T173" s="2436"/>
      <c r="U173" s="2436"/>
      <c r="V173" s="2436"/>
      <c r="W173" s="2436"/>
      <c r="X173" s="2436"/>
      <c r="Y173" s="2436"/>
      <c r="Z173" s="2436"/>
      <c r="AA173" s="2449"/>
      <c r="AB173" s="2449"/>
      <c r="AC173" s="2449"/>
      <c r="AD173" s="2449"/>
    </row>
    <row r="174" spans="1:30" ht="15.75" customHeight="1" x14ac:dyDescent="0.25">
      <c r="A174" s="1818" t="s">
        <v>22</v>
      </c>
      <c r="B174" s="786" t="s">
        <v>128</v>
      </c>
      <c r="C174" s="760"/>
      <c r="D174" s="639" t="s">
        <v>1113</v>
      </c>
      <c r="E174" s="639" t="s">
        <v>1114</v>
      </c>
      <c r="F174" s="53">
        <v>100</v>
      </c>
      <c r="G174" s="53">
        <v>93</v>
      </c>
      <c r="H174" s="53">
        <v>91</v>
      </c>
      <c r="I174" s="431">
        <f>(12000000/356083)/366*1000</f>
        <v>92.076524984067305</v>
      </c>
      <c r="J174" s="57"/>
      <c r="K174" s="57"/>
      <c r="L174" s="57"/>
      <c r="M174" s="57"/>
      <c r="N174" s="58">
        <f>(25900000/355372)/365*1000</f>
        <v>199.67500002698313</v>
      </c>
      <c r="O174" s="58">
        <f>(32478417/349693.872)/366*1000</f>
        <v>253.76150790053049</v>
      </c>
      <c r="P174" s="58" t="s">
        <v>5</v>
      </c>
      <c r="Q174" s="58">
        <f>(16000000/356083)/366*1000</f>
        <v>122.7686999787564</v>
      </c>
      <c r="S174" s="2434">
        <f>SUM(F174:F179)/5</f>
        <v>101.4</v>
      </c>
      <c r="T174" s="2434">
        <f>MEDIAN(F174:F179)</f>
        <v>99</v>
      </c>
      <c r="U174" s="2434">
        <f>SUM(G174:G179)/5</f>
        <v>98.6</v>
      </c>
      <c r="V174" s="2434">
        <f>MEDIAN(G174:G179)</f>
        <v>95</v>
      </c>
      <c r="W174" s="2434">
        <f>SUM(H174:H179)/5</f>
        <v>95.4</v>
      </c>
      <c r="X174" s="2434">
        <f>MEDIAN(H174:H179)</f>
        <v>91</v>
      </c>
      <c r="Y174" s="2434">
        <f>SUM(I174:I179)/6</f>
        <v>101.54827141701138</v>
      </c>
      <c r="Z174" s="2434">
        <f>MEDIAN(I174:I179)</f>
        <v>93.032883944181421</v>
      </c>
      <c r="AA174" s="2444">
        <f>SUM(N174:N179)/5</f>
        <v>252.31038579029328</v>
      </c>
      <c r="AB174" s="2444">
        <f>SUM(O174:O179)/5</f>
        <v>269.03211450286256</v>
      </c>
      <c r="AC174" s="2444" t="s">
        <v>5</v>
      </c>
      <c r="AD174" s="2444">
        <f>SUM(Q174:Q179)/6</f>
        <v>134.56129395320113</v>
      </c>
    </row>
    <row r="175" spans="1:30" ht="15.75" customHeight="1" x14ac:dyDescent="0.25">
      <c r="A175" s="1819"/>
      <c r="B175" s="660" t="s">
        <v>891</v>
      </c>
      <c r="C175" s="760" t="s">
        <v>429</v>
      </c>
      <c r="D175" s="639" t="s">
        <v>1113</v>
      </c>
      <c r="E175" s="639" t="s">
        <v>1114</v>
      </c>
      <c r="F175" s="53" t="s">
        <v>5</v>
      </c>
      <c r="G175" s="53" t="s">
        <v>5</v>
      </c>
      <c r="H175" s="53" t="s">
        <v>5</v>
      </c>
      <c r="I175" s="431">
        <f>(81500000/1752688)/366*1000</f>
        <v>127.04919279895525</v>
      </c>
      <c r="J175" s="57"/>
      <c r="K175" s="57"/>
      <c r="L175" s="57"/>
      <c r="M175" s="57"/>
      <c r="N175" s="58" t="s">
        <v>5</v>
      </c>
      <c r="O175" s="58" t="s">
        <v>5</v>
      </c>
      <c r="P175" s="58" t="s">
        <v>5</v>
      </c>
      <c r="Q175" s="58">
        <f>(105000000/1752688)/366*1000</f>
        <v>163.68300912748836</v>
      </c>
      <c r="S175" s="2435"/>
      <c r="T175" s="2435"/>
      <c r="U175" s="2435"/>
      <c r="V175" s="2435"/>
      <c r="W175" s="2435"/>
      <c r="X175" s="2435"/>
      <c r="Y175" s="2435"/>
      <c r="Z175" s="2435"/>
      <c r="AA175" s="2445"/>
      <c r="AB175" s="2445"/>
      <c r="AC175" s="2445"/>
      <c r="AD175" s="2445"/>
    </row>
    <row r="176" spans="1:30" ht="15.75" customHeight="1" x14ac:dyDescent="0.25">
      <c r="A176" s="1819"/>
      <c r="B176" s="660" t="s">
        <v>129</v>
      </c>
      <c r="C176" s="760"/>
      <c r="D176" s="639" t="s">
        <v>1113</v>
      </c>
      <c r="E176" s="639" t="s">
        <v>1114</v>
      </c>
      <c r="F176" s="53">
        <v>117</v>
      </c>
      <c r="G176" s="53">
        <v>116</v>
      </c>
      <c r="H176" s="53">
        <v>114</v>
      </c>
      <c r="I176" s="431">
        <f>(27500000/636574)/366*1000</f>
        <v>118.03280061997181</v>
      </c>
      <c r="J176" s="57"/>
      <c r="K176" s="57"/>
      <c r="L176" s="57"/>
      <c r="M176" s="57"/>
      <c r="N176" s="58">
        <f>(87600000/633178)/365*1000</f>
        <v>379.04033305010597</v>
      </c>
      <c r="O176" s="58">
        <f>(70755310/609096.42)/366*1000</f>
        <v>317.38902541190942</v>
      </c>
      <c r="P176" s="58" t="s">
        <v>5</v>
      </c>
      <c r="Q176" s="58">
        <f>(36100000/636574)/366*1000</f>
        <v>154.94487645021752</v>
      </c>
      <c r="S176" s="2435"/>
      <c r="T176" s="2429"/>
      <c r="U176" s="2435"/>
      <c r="V176" s="2429"/>
      <c r="W176" s="2435"/>
      <c r="X176" s="2435"/>
      <c r="Y176" s="2435"/>
      <c r="Z176" s="2435"/>
      <c r="AA176" s="2445"/>
      <c r="AB176" s="2456"/>
      <c r="AC176" s="2456"/>
      <c r="AD176" s="2456"/>
    </row>
    <row r="177" spans="1:30" ht="15.75" customHeight="1" x14ac:dyDescent="0.25">
      <c r="A177" s="1819"/>
      <c r="B177" s="660" t="s">
        <v>130</v>
      </c>
      <c r="C177" s="760"/>
      <c r="D177" s="639" t="s">
        <v>1113</v>
      </c>
      <c r="E177" s="639" t="s">
        <v>1114</v>
      </c>
      <c r="F177" s="53">
        <v>99</v>
      </c>
      <c r="G177" s="53">
        <v>95</v>
      </c>
      <c r="H177" s="53">
        <v>89</v>
      </c>
      <c r="I177" s="431">
        <f>(6900000/214286)/366*1000</f>
        <v>87.978024772469695</v>
      </c>
      <c r="J177" s="54"/>
      <c r="K177" s="54"/>
      <c r="L177" s="54"/>
      <c r="M177" s="54"/>
      <c r="N177" s="58">
        <f>(10900000/221606.65)/365*1000</f>
        <v>134.7568482201691</v>
      </c>
      <c r="O177" s="58">
        <f>(19769658/209157.26)/366*1000</f>
        <v>258.25285250147874</v>
      </c>
      <c r="P177" s="58" t="s">
        <v>5</v>
      </c>
      <c r="Q177" s="58">
        <f>(7600000/214286)/366*1000</f>
        <v>96.903331633444893</v>
      </c>
      <c r="S177" s="2435"/>
      <c r="T177" s="2429"/>
      <c r="U177" s="2435"/>
      <c r="V177" s="2429"/>
      <c r="W177" s="2435"/>
      <c r="X177" s="2435"/>
      <c r="Y177" s="2435"/>
      <c r="Z177" s="2435"/>
      <c r="AA177" s="2445"/>
      <c r="AB177" s="2456"/>
      <c r="AC177" s="2456"/>
      <c r="AD177" s="2456"/>
    </row>
    <row r="178" spans="1:30" ht="15.75" customHeight="1" x14ac:dyDescent="0.25">
      <c r="A178" s="1819"/>
      <c r="B178" s="660" t="s">
        <v>131</v>
      </c>
      <c r="C178" s="760"/>
      <c r="D178" s="639" t="s">
        <v>1113</v>
      </c>
      <c r="E178" s="639" t="s">
        <v>1114</v>
      </c>
      <c r="F178" s="53">
        <v>93</v>
      </c>
      <c r="G178" s="53">
        <v>91</v>
      </c>
      <c r="H178" s="53">
        <v>89</v>
      </c>
      <c r="I178" s="431">
        <f>(9800000/296970)/366*1000</f>
        <v>90.163842422308662</v>
      </c>
      <c r="J178" s="54"/>
      <c r="K178" s="54"/>
      <c r="L178" s="54"/>
      <c r="M178" s="54"/>
      <c r="N178" s="58">
        <f>(15000000/294118)/365*1000</f>
        <v>139.72585972622858</v>
      </c>
      <c r="O178" s="58">
        <f>(26153109/286663.21)/366*1000</f>
        <v>249.27015213153135</v>
      </c>
      <c r="P178" s="58" t="s">
        <v>5</v>
      </c>
      <c r="Q178" s="58">
        <f>(12900000/296970)/366*1000</f>
        <v>118.6850578824267</v>
      </c>
      <c r="S178" s="2435"/>
      <c r="T178" s="2429"/>
      <c r="U178" s="2435"/>
      <c r="V178" s="2429"/>
      <c r="W178" s="2435"/>
      <c r="X178" s="2435"/>
      <c r="Y178" s="2435"/>
      <c r="Z178" s="2435"/>
      <c r="AA178" s="2445"/>
      <c r="AB178" s="2456"/>
      <c r="AC178" s="2456"/>
      <c r="AD178" s="2456"/>
    </row>
    <row r="179" spans="1:30" ht="16.5" customHeight="1" thickBot="1" x14ac:dyDescent="0.3">
      <c r="A179" s="1820"/>
      <c r="B179" s="660" t="s">
        <v>132</v>
      </c>
      <c r="C179" s="760"/>
      <c r="D179" s="639" t="s">
        <v>1113</v>
      </c>
      <c r="E179" s="639" t="s">
        <v>1114</v>
      </c>
      <c r="F179" s="53">
        <v>98</v>
      </c>
      <c r="G179" s="53">
        <v>98</v>
      </c>
      <c r="H179" s="53">
        <v>94</v>
      </c>
      <c r="I179" s="431">
        <f>(3500000/101744)/366*1000</f>
        <v>93.989242904295537</v>
      </c>
      <c r="J179" s="54"/>
      <c r="K179" s="54"/>
      <c r="L179" s="54"/>
      <c r="M179" s="54"/>
      <c r="N179" s="58">
        <f>(17400000/116740)/365*1000</f>
        <v>408.35388792797949</v>
      </c>
      <c r="O179" s="58">
        <f>(10653138/109224.58)/366*1000</f>
        <v>266.48703456886267</v>
      </c>
      <c r="P179" s="58" t="s">
        <v>5</v>
      </c>
      <c r="Q179" s="58">
        <f>(5600000/101744)/366*1000</f>
        <v>150.38278864687285</v>
      </c>
      <c r="S179" s="2436"/>
      <c r="T179" s="2436"/>
      <c r="U179" s="2436"/>
      <c r="V179" s="2436"/>
      <c r="W179" s="2436"/>
      <c r="X179" s="2436"/>
      <c r="Y179" s="2436"/>
      <c r="Z179" s="2436"/>
      <c r="AA179" s="2449"/>
      <c r="AB179" s="2449"/>
      <c r="AC179" s="2449"/>
      <c r="AD179" s="2449"/>
    </row>
    <row r="180" spans="1:30" ht="15.75" customHeight="1" x14ac:dyDescent="0.25">
      <c r="A180" s="1878" t="s">
        <v>23</v>
      </c>
      <c r="B180" s="787" t="s">
        <v>133</v>
      </c>
      <c r="C180" s="788" t="s">
        <v>429</v>
      </c>
      <c r="D180" s="639" t="s">
        <v>1115</v>
      </c>
      <c r="E180" s="639" t="s">
        <v>1116</v>
      </c>
      <c r="F180" s="53">
        <v>127</v>
      </c>
      <c r="G180" s="53">
        <v>134</v>
      </c>
      <c r="H180" s="53">
        <v>142</v>
      </c>
      <c r="I180" s="53">
        <v>148</v>
      </c>
      <c r="J180" s="54"/>
      <c r="K180" s="54"/>
      <c r="L180" s="54"/>
      <c r="M180" s="54"/>
      <c r="N180" s="58">
        <f>(71626596/564657)/365*1000</f>
        <v>347.53354570131688</v>
      </c>
      <c r="O180" s="58">
        <f>(94688181/547733)/366*1000</f>
        <v>472.3302723209672</v>
      </c>
      <c r="P180" s="58">
        <f>(52405610/552700)/365*1000</f>
        <v>259.77386230980665</v>
      </c>
      <c r="Q180" s="58">
        <f>(51373177/501767)/366*1000</f>
        <v>279.73914503085985</v>
      </c>
      <c r="S180" s="2434">
        <f>SUM(F180:F186)/7</f>
        <v>84.714285714285708</v>
      </c>
      <c r="T180" s="2434">
        <f>MEDIAN(F180:F186)</f>
        <v>84</v>
      </c>
      <c r="U180" s="2434">
        <f>SUM(G180:G186)/7</f>
        <v>72.428571428571431</v>
      </c>
      <c r="V180" s="2434">
        <f>MEDIAN(G180:G186)</f>
        <v>70</v>
      </c>
      <c r="W180" s="2434">
        <f>SUM(H180:H186)/7</f>
        <v>171.14285714285714</v>
      </c>
      <c r="X180" s="2434">
        <f>MEDIAN(H180:H186)</f>
        <v>184</v>
      </c>
      <c r="Y180" s="2434">
        <f>SUM(I180:I186)/7</f>
        <v>132.42857142857142</v>
      </c>
      <c r="Z180" s="2434">
        <f>MEDIAN(I180:I186)</f>
        <v>137</v>
      </c>
      <c r="AA180" s="2444">
        <f>SUM(N180:N186)/7</f>
        <v>232.33921953998131</v>
      </c>
      <c r="AB180" s="2444">
        <f>SUM(O180:O186)/7</f>
        <v>213.12963181365041</v>
      </c>
      <c r="AC180" s="2444">
        <f>SUM(P180:P186)/7</f>
        <v>187.91982646956924</v>
      </c>
      <c r="AD180" s="2444">
        <f>SUM(Q180:Q186)/7</f>
        <v>203.75352229761822</v>
      </c>
    </row>
    <row r="181" spans="1:30" ht="15.75" customHeight="1" x14ac:dyDescent="0.25">
      <c r="A181" s="1757"/>
      <c r="B181" s="788" t="s">
        <v>134</v>
      </c>
      <c r="C181" s="788"/>
      <c r="D181" s="639" t="s">
        <v>1115</v>
      </c>
      <c r="E181" s="639" t="s">
        <v>1116</v>
      </c>
      <c r="F181" s="53">
        <v>90</v>
      </c>
      <c r="G181" s="53">
        <v>59</v>
      </c>
      <c r="H181" s="53">
        <v>138</v>
      </c>
      <c r="I181" s="53">
        <v>117</v>
      </c>
      <c r="J181" s="54"/>
      <c r="K181" s="54"/>
      <c r="L181" s="54"/>
      <c r="M181" s="54"/>
      <c r="N181" s="58">
        <f>(32756970/363749)/365*1000</f>
        <v>246.72266669508707</v>
      </c>
      <c r="O181" s="58">
        <f>(22423739/377835)/366*1000</f>
        <v>162.15291449465357</v>
      </c>
      <c r="P181" s="58">
        <f>(18980250/377835)/365*1000</f>
        <v>137.62802527957137</v>
      </c>
      <c r="Q181" s="58">
        <f>(19456433/342041)/366*1000</f>
        <v>155.41894979100306</v>
      </c>
      <c r="S181" s="2435"/>
      <c r="T181" s="2429"/>
      <c r="U181" s="2435"/>
      <c r="V181" s="2429"/>
      <c r="W181" s="2435"/>
      <c r="X181" s="2435"/>
      <c r="Y181" s="2429"/>
      <c r="Z181" s="2429"/>
      <c r="AA181" s="2445"/>
      <c r="AB181" s="2432"/>
      <c r="AC181" s="2432"/>
      <c r="AD181" s="2432"/>
    </row>
    <row r="182" spans="1:30" ht="15.75" customHeight="1" x14ac:dyDescent="0.25">
      <c r="A182" s="1757"/>
      <c r="B182" s="788" t="s">
        <v>135</v>
      </c>
      <c r="C182" s="788"/>
      <c r="D182" s="639" t="s">
        <v>1115</v>
      </c>
      <c r="E182" s="639" t="s">
        <v>1116</v>
      </c>
      <c r="F182" s="53">
        <v>67</v>
      </c>
      <c r="G182" s="53">
        <v>70</v>
      </c>
      <c r="H182" s="53">
        <v>184</v>
      </c>
      <c r="I182" s="53">
        <v>137</v>
      </c>
      <c r="J182" s="54"/>
      <c r="K182" s="54"/>
      <c r="L182" s="54"/>
      <c r="M182" s="54"/>
      <c r="N182" s="58">
        <f>(17625485/263131)/365*1000</f>
        <v>183.51695543284524</v>
      </c>
      <c r="O182" s="58">
        <f>(16746337/237591)/366*1000</f>
        <v>192.57892397305901</v>
      </c>
      <c r="P182" s="58">
        <f>(15962429/237591)/365*1000</f>
        <v>184.06708247274022</v>
      </c>
      <c r="Q182" s="58">
        <f>(16992901/209919)/366*1000</f>
        <v>221.1743160782521</v>
      </c>
      <c r="S182" s="2435"/>
      <c r="T182" s="2429"/>
      <c r="U182" s="2435"/>
      <c r="V182" s="2429"/>
      <c r="W182" s="2435"/>
      <c r="X182" s="2435"/>
      <c r="Y182" s="2429"/>
      <c r="Z182" s="2429"/>
      <c r="AA182" s="2445"/>
      <c r="AB182" s="2432"/>
      <c r="AC182" s="2432"/>
      <c r="AD182" s="2432"/>
    </row>
    <row r="183" spans="1:30" ht="15.75" customHeight="1" x14ac:dyDescent="0.25">
      <c r="A183" s="1757"/>
      <c r="B183" s="788" t="s">
        <v>136</v>
      </c>
      <c r="C183" s="788"/>
      <c r="D183" s="639" t="s">
        <v>1115</v>
      </c>
      <c r="E183" s="639" t="s">
        <v>1116</v>
      </c>
      <c r="F183" s="53">
        <v>90</v>
      </c>
      <c r="G183" s="53">
        <v>49</v>
      </c>
      <c r="H183" s="53">
        <v>226</v>
      </c>
      <c r="I183" s="53">
        <v>108</v>
      </c>
      <c r="J183" s="54"/>
      <c r="K183" s="54"/>
      <c r="L183" s="54"/>
      <c r="M183" s="54"/>
      <c r="N183" s="58">
        <f>(30047842/332906)/365*1000</f>
        <v>247.28558450289435</v>
      </c>
      <c r="O183" s="58">
        <f>(17038248/349603)/366*1000</f>
        <v>133.1584401848223</v>
      </c>
      <c r="P183" s="58">
        <f>(16483028/199494)/365*1000</f>
        <v>226.36761417344789</v>
      </c>
      <c r="Q183" s="58">
        <f>(10734282/182553)/366*1000</f>
        <v>160.65821621261929</v>
      </c>
      <c r="S183" s="2435"/>
      <c r="T183" s="2429"/>
      <c r="U183" s="2435"/>
      <c r="V183" s="2429"/>
      <c r="W183" s="2435"/>
      <c r="X183" s="2435"/>
      <c r="Y183" s="2429"/>
      <c r="Z183" s="2429"/>
      <c r="AA183" s="2445"/>
      <c r="AB183" s="2432"/>
      <c r="AC183" s="2432"/>
      <c r="AD183" s="2432"/>
    </row>
    <row r="184" spans="1:30" ht="15.75" customHeight="1" x14ac:dyDescent="0.25">
      <c r="A184" s="1757"/>
      <c r="B184" s="788" t="s">
        <v>137</v>
      </c>
      <c r="C184" s="788"/>
      <c r="D184" s="639" t="s">
        <v>1115</v>
      </c>
      <c r="E184" s="639" t="s">
        <v>1116</v>
      </c>
      <c r="F184" s="53">
        <v>61</v>
      </c>
      <c r="G184" s="53">
        <v>51</v>
      </c>
      <c r="H184" s="53">
        <v>132</v>
      </c>
      <c r="I184" s="53">
        <v>120</v>
      </c>
      <c r="J184" s="54"/>
      <c r="K184" s="54"/>
      <c r="L184" s="54"/>
      <c r="M184" s="54"/>
      <c r="N184" s="58">
        <f>(10096948/164192)/365*1000</f>
        <v>168.47880062899966</v>
      </c>
      <c r="O184" s="58">
        <f>(9230658/179679)/366*1000</f>
        <v>140.36352077416018</v>
      </c>
      <c r="P184" s="58">
        <f>(8729387/181494)/365*1000</f>
        <v>131.77366065612796</v>
      </c>
      <c r="Q184" s="58">
        <f>(9314212/155231)/366*1000</f>
        <v>163.9406218259669</v>
      </c>
      <c r="S184" s="2435"/>
      <c r="T184" s="2429"/>
      <c r="U184" s="2435"/>
      <c r="V184" s="2429"/>
      <c r="W184" s="2435"/>
      <c r="X184" s="2435"/>
      <c r="Y184" s="2429"/>
      <c r="Z184" s="2429"/>
      <c r="AA184" s="2445"/>
      <c r="AB184" s="2432"/>
      <c r="AC184" s="2432"/>
      <c r="AD184" s="2432"/>
    </row>
    <row r="185" spans="1:30" ht="15.75" customHeight="1" x14ac:dyDescent="0.25">
      <c r="A185" s="1757"/>
      <c r="B185" s="788" t="s">
        <v>138</v>
      </c>
      <c r="C185" s="788"/>
      <c r="D185" s="639" t="s">
        <v>1115</v>
      </c>
      <c r="E185" s="639" t="s">
        <v>1116</v>
      </c>
      <c r="F185" s="53">
        <v>74</v>
      </c>
      <c r="G185" s="53">
        <v>71</v>
      </c>
      <c r="H185" s="53">
        <v>187</v>
      </c>
      <c r="I185" s="53">
        <v>144</v>
      </c>
      <c r="J185" s="54"/>
      <c r="K185" s="54"/>
      <c r="L185" s="54"/>
      <c r="M185" s="54"/>
      <c r="N185" s="58">
        <f>(10928983/148443)/365*1000</f>
        <v>201.70987637060821</v>
      </c>
      <c r="O185" s="58">
        <f>(10127482/143396)/366*1000</f>
        <v>192.96713888110222</v>
      </c>
      <c r="P185" s="58">
        <f>(9763445/143396)/365*1000</f>
        <v>186.54051984407965</v>
      </c>
      <c r="Q185" s="58">
        <f>(10019390/135038)/366*1000</f>
        <v>202.72354828760203</v>
      </c>
      <c r="S185" s="2435"/>
      <c r="T185" s="2429"/>
      <c r="U185" s="2435"/>
      <c r="V185" s="2429"/>
      <c r="W185" s="2435"/>
      <c r="X185" s="2435"/>
      <c r="Y185" s="2429"/>
      <c r="Z185" s="2429"/>
      <c r="AA185" s="2445"/>
      <c r="AB185" s="2432"/>
      <c r="AC185" s="2432"/>
      <c r="AD185" s="2432"/>
    </row>
    <row r="186" spans="1:30" ht="16.5" customHeight="1" thickBot="1" x14ac:dyDescent="0.3">
      <c r="A186" s="1757"/>
      <c r="B186" s="789" t="s">
        <v>139</v>
      </c>
      <c r="C186" s="788"/>
      <c r="D186" s="639" t="s">
        <v>1115</v>
      </c>
      <c r="E186" s="639" t="s">
        <v>1116</v>
      </c>
      <c r="F186" s="53">
        <v>84</v>
      </c>
      <c r="G186" s="53">
        <v>73</v>
      </c>
      <c r="H186" s="53">
        <v>189</v>
      </c>
      <c r="I186" s="53">
        <v>153</v>
      </c>
      <c r="J186" s="54"/>
      <c r="K186" s="54"/>
      <c r="L186" s="54"/>
      <c r="M186" s="54"/>
      <c r="N186" s="58">
        <f>(4651856/55142)/365*1000</f>
        <v>231.12710744811773</v>
      </c>
      <c r="O186" s="58">
        <f>(4499502/61978)/366*1000</f>
        <v>198.35621206678837</v>
      </c>
      <c r="P186" s="58">
        <f>(4492171/65019)/365*1000</f>
        <v>189.28802055121085</v>
      </c>
      <c r="Q186" s="58">
        <f>(4739462/53373)/366*1000</f>
        <v>242.61985885702427</v>
      </c>
      <c r="S186" s="2436"/>
      <c r="T186" s="2436"/>
      <c r="U186" s="2436"/>
      <c r="V186" s="2436"/>
      <c r="W186" s="2436"/>
      <c r="X186" s="2436"/>
      <c r="Y186" s="2436"/>
      <c r="Z186" s="2436"/>
      <c r="AA186" s="2449"/>
      <c r="AB186" s="2432"/>
      <c r="AC186" s="2432"/>
      <c r="AD186" s="2432"/>
    </row>
    <row r="187" spans="1:30" ht="15.75" customHeight="1" x14ac:dyDescent="0.25">
      <c r="A187" s="1878" t="s">
        <v>40</v>
      </c>
      <c r="B187" s="754" t="s">
        <v>869</v>
      </c>
      <c r="C187" s="754"/>
      <c r="D187" s="631" t="s">
        <v>1117</v>
      </c>
      <c r="E187" s="631" t="s">
        <v>1118</v>
      </c>
      <c r="F187" s="53">
        <v>102</v>
      </c>
      <c r="G187" s="53">
        <v>102</v>
      </c>
      <c r="H187" s="53" t="s">
        <v>5</v>
      </c>
      <c r="I187" s="53">
        <v>138</v>
      </c>
      <c r="J187" s="54"/>
      <c r="K187" s="54"/>
      <c r="L187" s="54"/>
      <c r="M187" s="54"/>
      <c r="N187" s="58">
        <f>(31902000/528544)/365*1000</f>
        <v>165.36511572551652</v>
      </c>
      <c r="O187" s="58">
        <f>(31721000/609000)/366*1000</f>
        <v>142.3142839197107</v>
      </c>
      <c r="P187" s="58" t="s">
        <v>5</v>
      </c>
      <c r="Q187" s="58">
        <f>(32401863/644793)/366*1000</f>
        <v>137.29938186033169</v>
      </c>
      <c r="S187" s="2434">
        <f>SUM(F187:F227)/18</f>
        <v>101.16666666666667</v>
      </c>
      <c r="T187" s="2434">
        <f>MEDIAN(F187:F227)</f>
        <v>101</v>
      </c>
      <c r="U187" s="2434">
        <f>SUM(G187:G227)/20</f>
        <v>100.65</v>
      </c>
      <c r="V187" s="2434">
        <f>MEDIAN(G187:G227)</f>
        <v>101</v>
      </c>
      <c r="W187" s="2434">
        <f>SUM(H187:H227)/16</f>
        <v>103.1875</v>
      </c>
      <c r="X187" s="2434">
        <f>MEDIAN(H187:H227)</f>
        <v>96</v>
      </c>
      <c r="Y187" s="2434">
        <f>SUM(I187:I227)/31</f>
        <v>104.45161290322581</v>
      </c>
      <c r="Z187" s="2434">
        <f>MEDIAN(I187:I227)</f>
        <v>98</v>
      </c>
      <c r="AA187" s="2444">
        <f>SUM(N187:N227)/18</f>
        <v>150.11369114653505</v>
      </c>
      <c r="AB187" s="2444">
        <f>SUM(O187:O227)/20</f>
        <v>147.99157731840012</v>
      </c>
      <c r="AC187" s="2444">
        <f>SUM(P187:P227)/16</f>
        <v>194.0682119113572</v>
      </c>
      <c r="AD187" s="2444">
        <f>SUM(Q187:Q227)/31</f>
        <v>124.49634085019005</v>
      </c>
    </row>
    <row r="188" spans="1:30" ht="15.75" customHeight="1" x14ac:dyDescent="0.25">
      <c r="A188" s="1757"/>
      <c r="B188" s="457" t="s">
        <v>188</v>
      </c>
      <c r="C188" s="457"/>
      <c r="D188" s="261" t="s">
        <v>1117</v>
      </c>
      <c r="E188" s="261" t="s">
        <v>1118</v>
      </c>
      <c r="F188" s="53">
        <v>115</v>
      </c>
      <c r="G188" s="53">
        <v>109</v>
      </c>
      <c r="H188" s="53">
        <v>98</v>
      </c>
      <c r="I188" s="53" t="s">
        <v>5</v>
      </c>
      <c r="J188" s="54"/>
      <c r="K188" s="54"/>
      <c r="L188" s="54"/>
      <c r="M188" s="54"/>
      <c r="N188" s="58">
        <f>(23873000/345667)/365*1000</f>
        <v>189.2152836459795</v>
      </c>
      <c r="O188" s="58">
        <f>(24174000/364000)/366*1000</f>
        <v>181.45379210952981</v>
      </c>
      <c r="P188" s="58">
        <f>(22187647/357192)/365*1000</f>
        <v>170.18318991635516</v>
      </c>
      <c r="Q188" s="58" t="s">
        <v>5</v>
      </c>
      <c r="S188" s="2429"/>
      <c r="T188" s="2429"/>
      <c r="U188" s="2435"/>
      <c r="V188" s="2429"/>
      <c r="W188" s="2435"/>
      <c r="X188" s="2429"/>
      <c r="Y188" s="2429"/>
      <c r="Z188" s="2429"/>
      <c r="AA188" s="2432"/>
      <c r="AB188" s="2445"/>
      <c r="AC188" s="2445"/>
      <c r="AD188" s="2445"/>
    </row>
    <row r="189" spans="1:30" ht="15.75" customHeight="1" x14ac:dyDescent="0.25">
      <c r="A189" s="1757"/>
      <c r="B189" s="754" t="s">
        <v>189</v>
      </c>
      <c r="C189" s="754"/>
      <c r="D189" s="631" t="s">
        <v>1117</v>
      </c>
      <c r="E189" s="631" t="s">
        <v>1118</v>
      </c>
      <c r="F189" s="53">
        <v>118</v>
      </c>
      <c r="G189" s="53">
        <v>120</v>
      </c>
      <c r="H189" s="53" t="s">
        <v>5</v>
      </c>
      <c r="I189" s="53">
        <v>120</v>
      </c>
      <c r="J189" s="54"/>
      <c r="K189" s="54"/>
      <c r="L189" s="54"/>
      <c r="M189" s="54"/>
      <c r="N189" s="58">
        <f>(12811000/217038)/365*1000</f>
        <v>161.71652031895937</v>
      </c>
      <c r="O189" s="58">
        <f>(12313000/211000)/366*1000</f>
        <v>159.44112086602956</v>
      </c>
      <c r="P189" s="58" t="s">
        <v>5</v>
      </c>
      <c r="Q189" s="58">
        <f>(12345787/234900)/366*1000</f>
        <v>143.60007862897129</v>
      </c>
      <c r="S189" s="2429"/>
      <c r="T189" s="2429"/>
      <c r="U189" s="2435"/>
      <c r="V189" s="2429"/>
      <c r="W189" s="2435"/>
      <c r="X189" s="2429"/>
      <c r="Y189" s="2429"/>
      <c r="Z189" s="2429"/>
      <c r="AA189" s="2432"/>
      <c r="AB189" s="2445"/>
      <c r="AC189" s="2445"/>
      <c r="AD189" s="2445"/>
    </row>
    <row r="190" spans="1:30" ht="15.75" customHeight="1" x14ac:dyDescent="0.25">
      <c r="A190" s="1757"/>
      <c r="B190" s="754" t="s">
        <v>190</v>
      </c>
      <c r="C190" s="754"/>
      <c r="D190" s="631" t="s">
        <v>1117</v>
      </c>
      <c r="E190" s="631" t="s">
        <v>1118</v>
      </c>
      <c r="F190" s="53">
        <v>99</v>
      </c>
      <c r="G190" s="53">
        <v>103</v>
      </c>
      <c r="H190" s="53">
        <v>96</v>
      </c>
      <c r="I190" s="53">
        <v>87</v>
      </c>
      <c r="J190" s="54"/>
      <c r="K190" s="54"/>
      <c r="L190" s="54"/>
      <c r="M190" s="54"/>
      <c r="N190" s="58">
        <f>(17480000/344404)/365*1000</f>
        <v>139.05300449153935</v>
      </c>
      <c r="O190" s="58">
        <f>(16639000/293000)/366*1000</f>
        <v>155.15955165146684</v>
      </c>
      <c r="P190" s="58">
        <f>(13223283/251934)/365*1000</f>
        <v>143.80025166408552</v>
      </c>
      <c r="Q190" s="58">
        <f>(16797000/394814)/366*1000</f>
        <v>116.24066680247108</v>
      </c>
      <c r="S190" s="2429"/>
      <c r="T190" s="2429"/>
      <c r="U190" s="2435"/>
      <c r="V190" s="2429"/>
      <c r="W190" s="2435"/>
      <c r="X190" s="2429"/>
      <c r="Y190" s="2429"/>
      <c r="Z190" s="2429"/>
      <c r="AA190" s="2432"/>
      <c r="AB190" s="2445"/>
      <c r="AC190" s="2445"/>
      <c r="AD190" s="2445"/>
    </row>
    <row r="191" spans="1:30" ht="16.5" customHeight="1" x14ac:dyDescent="0.25">
      <c r="A191" s="1757"/>
      <c r="B191" s="754" t="s">
        <v>191</v>
      </c>
      <c r="C191" s="754"/>
      <c r="D191" s="631" t="s">
        <v>1117</v>
      </c>
      <c r="E191" s="631" t="s">
        <v>1118</v>
      </c>
      <c r="F191" s="53">
        <v>110</v>
      </c>
      <c r="G191" s="53">
        <v>120</v>
      </c>
      <c r="H191" s="53" t="s">
        <v>5</v>
      </c>
      <c r="I191" s="53">
        <v>110</v>
      </c>
      <c r="J191" s="54"/>
      <c r="K191" s="54"/>
      <c r="L191" s="54"/>
      <c r="M191" s="54"/>
      <c r="N191" s="58">
        <f>(23462000/398664)/365*1000</f>
        <v>161.23716225893114</v>
      </c>
      <c r="O191" s="58">
        <f>(24830000/374000)/366*1000</f>
        <v>181.39446538675082</v>
      </c>
      <c r="P191" s="58" t="s">
        <v>5</v>
      </c>
      <c r="Q191" s="58">
        <f>(23729678/408492)/366*1000</f>
        <v>158.71837341330973</v>
      </c>
      <c r="S191" s="2429"/>
      <c r="T191" s="2429"/>
      <c r="U191" s="2435"/>
      <c r="V191" s="2429"/>
      <c r="W191" s="2435"/>
      <c r="X191" s="2429"/>
      <c r="Y191" s="2429"/>
      <c r="Z191" s="2429"/>
      <c r="AA191" s="2432"/>
      <c r="AB191" s="2445"/>
      <c r="AC191" s="2445"/>
      <c r="AD191" s="2445"/>
    </row>
    <row r="192" spans="1:30" ht="16.5" customHeight="1" x14ac:dyDescent="0.25">
      <c r="A192" s="1757"/>
      <c r="B192" s="754" t="s">
        <v>218</v>
      </c>
      <c r="C192" s="754"/>
      <c r="D192" s="631" t="s">
        <v>1117</v>
      </c>
      <c r="E192" s="631" t="s">
        <v>1118</v>
      </c>
      <c r="F192" s="53">
        <v>77</v>
      </c>
      <c r="G192" s="53">
        <v>90</v>
      </c>
      <c r="H192" s="53" t="s">
        <v>5</v>
      </c>
      <c r="I192" s="53">
        <v>98</v>
      </c>
      <c r="J192" s="54"/>
      <c r="K192" s="54"/>
      <c r="L192" s="54"/>
      <c r="M192" s="54"/>
      <c r="N192" s="58">
        <f>(12542000/300111)/365*1000</f>
        <v>114.49644909922142</v>
      </c>
      <c r="O192" s="58">
        <f>(11388000/251000)/366*1000</f>
        <v>123.96316373848866</v>
      </c>
      <c r="P192" s="58" t="s">
        <v>5</v>
      </c>
      <c r="Q192" s="58">
        <f>(9947948/277517)/366*1000</f>
        <v>97.940615502292559</v>
      </c>
      <c r="S192" s="2429"/>
      <c r="T192" s="2429"/>
      <c r="U192" s="2435"/>
      <c r="V192" s="2429"/>
      <c r="W192" s="2435"/>
      <c r="X192" s="2429"/>
      <c r="Y192" s="2429"/>
      <c r="Z192" s="2429"/>
      <c r="AA192" s="2432"/>
      <c r="AB192" s="2445"/>
      <c r="AC192" s="2445"/>
      <c r="AD192" s="2445"/>
    </row>
    <row r="193" spans="1:30" ht="16.5" customHeight="1" x14ac:dyDescent="0.25">
      <c r="A193" s="1757"/>
      <c r="B193" s="790" t="s">
        <v>219</v>
      </c>
      <c r="C193" s="925"/>
      <c r="D193" s="631" t="s">
        <v>1117</v>
      </c>
      <c r="E193" s="631" t="s">
        <v>1118</v>
      </c>
      <c r="F193" s="53">
        <v>121</v>
      </c>
      <c r="G193" s="53">
        <v>110</v>
      </c>
      <c r="H193" s="53">
        <v>100</v>
      </c>
      <c r="I193" s="53">
        <v>143</v>
      </c>
      <c r="J193" s="54"/>
      <c r="K193" s="54"/>
      <c r="L193" s="54"/>
      <c r="M193" s="54"/>
      <c r="N193" s="58">
        <f>(13991000/241265)/365*1000</f>
        <v>158.87719664814651</v>
      </c>
      <c r="O193" s="58">
        <f>(14679000/246000)/366*1000</f>
        <v>163.03478608556577</v>
      </c>
      <c r="P193" s="58">
        <f>(9851309/154871)/365*1000</f>
        <v>174.27334795560742</v>
      </c>
      <c r="Q193" s="58">
        <f>(14076450/270134)/366*1000</f>
        <v>142.37469515736393</v>
      </c>
      <c r="S193" s="2429"/>
      <c r="T193" s="2429"/>
      <c r="U193" s="2435"/>
      <c r="V193" s="2429"/>
      <c r="W193" s="2435"/>
      <c r="X193" s="2429"/>
      <c r="Y193" s="2429"/>
      <c r="Z193" s="2429"/>
      <c r="AA193" s="2432"/>
      <c r="AB193" s="2445"/>
      <c r="AC193" s="2445"/>
      <c r="AD193" s="2445"/>
    </row>
    <row r="194" spans="1:30" ht="16.5" customHeight="1" x14ac:dyDescent="0.25">
      <c r="A194" s="1757"/>
      <c r="B194" s="790" t="s">
        <v>513</v>
      </c>
      <c r="C194" s="925"/>
      <c r="D194" s="631" t="s">
        <v>1117</v>
      </c>
      <c r="E194" s="631" t="s">
        <v>1118</v>
      </c>
      <c r="F194" s="53">
        <v>118</v>
      </c>
      <c r="G194" s="53">
        <v>112</v>
      </c>
      <c r="H194" s="53">
        <v>104</v>
      </c>
      <c r="I194" s="53">
        <v>106</v>
      </c>
      <c r="J194" s="54"/>
      <c r="K194" s="54"/>
      <c r="L194" s="54"/>
      <c r="M194" s="54"/>
      <c r="N194" s="58">
        <f>(42233000/645629)/365*1000</f>
        <v>179.21569402097563</v>
      </c>
      <c r="O194" s="58">
        <f>(41209000/690000)/366*1000</f>
        <v>163.17811039835271</v>
      </c>
      <c r="P194" s="58">
        <f>(38301923/319168)/365*1000</f>
        <v>328.78225681291906</v>
      </c>
      <c r="Q194" s="58">
        <f>(37739593/680885)/366*1000</f>
        <v>151.44061343178763</v>
      </c>
      <c r="S194" s="2429"/>
      <c r="T194" s="2429"/>
      <c r="U194" s="2435"/>
      <c r="V194" s="2429"/>
      <c r="W194" s="2435"/>
      <c r="X194" s="2429"/>
      <c r="Y194" s="2429"/>
      <c r="Z194" s="2429"/>
      <c r="AA194" s="2432"/>
      <c r="AB194" s="2445"/>
      <c r="AC194" s="2445"/>
      <c r="AD194" s="2445"/>
    </row>
    <row r="195" spans="1:30" ht="16.5" customHeight="1" x14ac:dyDescent="0.25">
      <c r="A195" s="1757"/>
      <c r="B195" s="790" t="s">
        <v>514</v>
      </c>
      <c r="C195" s="925"/>
      <c r="D195" s="631" t="s">
        <v>1117</v>
      </c>
      <c r="E195" s="631" t="s">
        <v>1118</v>
      </c>
      <c r="F195" s="53">
        <v>102</v>
      </c>
      <c r="G195" s="53">
        <v>102</v>
      </c>
      <c r="H195" s="53" t="s">
        <v>5</v>
      </c>
      <c r="I195" s="53">
        <v>96</v>
      </c>
      <c r="J195" s="54"/>
      <c r="K195" s="54"/>
      <c r="L195" s="54"/>
      <c r="M195" s="54"/>
      <c r="N195" s="58">
        <f>(12957000/249163)/365*1000</f>
        <v>142.47151518077041</v>
      </c>
      <c r="O195" s="58">
        <f>(13172000/257000)/366*1000</f>
        <v>140.03529586868234</v>
      </c>
      <c r="P195" s="58" t="s">
        <v>5</v>
      </c>
      <c r="Q195" s="58">
        <f>(21523422/277833)/366*1000</f>
        <v>211.6637114181045</v>
      </c>
      <c r="S195" s="2429"/>
      <c r="T195" s="2429"/>
      <c r="U195" s="2435"/>
      <c r="V195" s="2429"/>
      <c r="W195" s="2435"/>
      <c r="X195" s="2429"/>
      <c r="Y195" s="2429"/>
      <c r="Z195" s="2429"/>
      <c r="AA195" s="2432"/>
      <c r="AB195" s="2445"/>
      <c r="AC195" s="2445"/>
      <c r="AD195" s="2445"/>
    </row>
    <row r="196" spans="1:30" ht="16.5" customHeight="1" x14ac:dyDescent="0.25">
      <c r="A196" s="1757"/>
      <c r="B196" s="790" t="s">
        <v>515</v>
      </c>
      <c r="C196" s="925"/>
      <c r="D196" s="631" t="s">
        <v>1117</v>
      </c>
      <c r="E196" s="631" t="s">
        <v>1118</v>
      </c>
      <c r="F196" s="53">
        <v>100</v>
      </c>
      <c r="G196" s="53">
        <v>97</v>
      </c>
      <c r="H196" s="53" t="s">
        <v>5</v>
      </c>
      <c r="I196" s="53">
        <v>125</v>
      </c>
      <c r="J196" s="54"/>
      <c r="K196" s="54"/>
      <c r="L196" s="54"/>
      <c r="M196" s="54"/>
      <c r="N196" s="58">
        <f>(7569000/133629)/365*1000</f>
        <v>155.18327834055378</v>
      </c>
      <c r="O196" s="58">
        <f>(7537000/141000)/366*1000</f>
        <v>146.04890904158432</v>
      </c>
      <c r="P196" s="58" t="s">
        <v>5</v>
      </c>
      <c r="Q196" s="58">
        <f>(7260028/159413)/366*1000</f>
        <v>124.43239934323256</v>
      </c>
      <c r="S196" s="2429"/>
      <c r="T196" s="2429"/>
      <c r="U196" s="2435"/>
      <c r="V196" s="2429"/>
      <c r="W196" s="2435"/>
      <c r="X196" s="2429"/>
      <c r="Y196" s="2429"/>
      <c r="Z196" s="2429"/>
      <c r="AA196" s="2432"/>
      <c r="AB196" s="2445"/>
      <c r="AC196" s="2445"/>
      <c r="AD196" s="2445"/>
    </row>
    <row r="197" spans="1:30" ht="16.5" customHeight="1" x14ac:dyDescent="0.25">
      <c r="A197" s="1757"/>
      <c r="B197" s="790" t="s">
        <v>516</v>
      </c>
      <c r="C197" s="925"/>
      <c r="D197" s="631" t="s">
        <v>1117</v>
      </c>
      <c r="E197" s="631" t="s">
        <v>1118</v>
      </c>
      <c r="F197" s="53">
        <v>87</v>
      </c>
      <c r="G197" s="53">
        <v>81</v>
      </c>
      <c r="H197" s="53">
        <v>79</v>
      </c>
      <c r="I197" s="53">
        <v>76</v>
      </c>
      <c r="J197" s="54"/>
      <c r="K197" s="54"/>
      <c r="L197" s="54"/>
      <c r="M197" s="54"/>
      <c r="N197" s="58">
        <f>(8656000/193795)/365*1000</f>
        <v>122.37193164504082</v>
      </c>
      <c r="O197" s="58">
        <f>(8978000/217000)/366*1000</f>
        <v>113.041726473773</v>
      </c>
      <c r="P197" s="58">
        <f>(7597771/146710)/365*1000</f>
        <v>141.88406351921554</v>
      </c>
      <c r="Q197" s="58">
        <f>(8036416/221853)/366*1000</f>
        <v>98.972836810984418</v>
      </c>
      <c r="S197" s="2429"/>
      <c r="T197" s="2429"/>
      <c r="U197" s="2435"/>
      <c r="V197" s="2429"/>
      <c r="W197" s="2435"/>
      <c r="X197" s="2429"/>
      <c r="Y197" s="2429"/>
      <c r="Z197" s="2429"/>
      <c r="AA197" s="2432"/>
      <c r="AB197" s="2445"/>
      <c r="AC197" s="2445"/>
      <c r="AD197" s="2445"/>
    </row>
    <row r="198" spans="1:30" ht="16.5" customHeight="1" x14ac:dyDescent="0.25">
      <c r="A198" s="1757"/>
      <c r="B198" s="790" t="s">
        <v>875</v>
      </c>
      <c r="C198" s="925"/>
      <c r="D198" s="631" t="s">
        <v>1117</v>
      </c>
      <c r="E198" s="631" t="s">
        <v>1118</v>
      </c>
      <c r="F198" s="53">
        <v>89</v>
      </c>
      <c r="G198" s="53">
        <v>88</v>
      </c>
      <c r="H198" s="53" t="s">
        <v>5</v>
      </c>
      <c r="I198" s="53">
        <v>87</v>
      </c>
      <c r="J198" s="54"/>
      <c r="K198" s="54"/>
      <c r="L198" s="54"/>
      <c r="M198" s="54"/>
      <c r="N198" s="58">
        <f>(15741000/291732)/365*1000</f>
        <v>147.8275519903894</v>
      </c>
      <c r="O198" s="58">
        <f>(16371000/304000)/366*1000</f>
        <v>147.1365401207938</v>
      </c>
      <c r="P198" s="58" t="s">
        <v>5</v>
      </c>
      <c r="Q198" s="58">
        <f>(9765125/306586)/366*1000</f>
        <v>87.025074200736839</v>
      </c>
      <c r="S198" s="2429"/>
      <c r="T198" s="2429"/>
      <c r="U198" s="2435"/>
      <c r="V198" s="2429"/>
      <c r="W198" s="2435"/>
      <c r="X198" s="2429"/>
      <c r="Y198" s="2429"/>
      <c r="Z198" s="2429"/>
      <c r="AA198" s="2432"/>
      <c r="AB198" s="2445"/>
      <c r="AC198" s="2445"/>
      <c r="AD198" s="2445"/>
    </row>
    <row r="199" spans="1:30" ht="16.5" customHeight="1" x14ac:dyDescent="0.25">
      <c r="A199" s="1757"/>
      <c r="B199" s="790" t="s">
        <v>517</v>
      </c>
      <c r="C199" s="925"/>
      <c r="D199" s="631" t="s">
        <v>1117</v>
      </c>
      <c r="E199" s="631" t="s">
        <v>1118</v>
      </c>
      <c r="F199" s="53">
        <v>83</v>
      </c>
      <c r="G199" s="53">
        <v>80</v>
      </c>
      <c r="H199" s="53" t="s">
        <v>5</v>
      </c>
      <c r="I199" s="53">
        <v>98</v>
      </c>
      <c r="J199" s="54"/>
      <c r="K199" s="54"/>
      <c r="L199" s="54"/>
      <c r="M199" s="54"/>
      <c r="N199" s="58">
        <f>(7655000/179573)/365*1000</f>
        <v>116.79151509261429</v>
      </c>
      <c r="O199" s="58">
        <f>(7645000/193000)/366*1000</f>
        <v>108.22786602112177</v>
      </c>
      <c r="P199" s="58" t="s">
        <v>5</v>
      </c>
      <c r="Q199" s="58">
        <f>(7426136/207330)/366*1000</f>
        <v>97.863256986631228</v>
      </c>
      <c r="S199" s="2429"/>
      <c r="T199" s="2429"/>
      <c r="U199" s="2435"/>
      <c r="V199" s="2429"/>
      <c r="W199" s="2435"/>
      <c r="X199" s="2429"/>
      <c r="Y199" s="2429"/>
      <c r="Z199" s="2429"/>
      <c r="AA199" s="2432"/>
      <c r="AB199" s="2445"/>
      <c r="AC199" s="2445"/>
      <c r="AD199" s="2445"/>
    </row>
    <row r="200" spans="1:30" ht="16.5" customHeight="1" x14ac:dyDescent="0.25">
      <c r="A200" s="1757"/>
      <c r="B200" s="791" t="s">
        <v>518</v>
      </c>
      <c r="C200" s="263"/>
      <c r="D200" s="261" t="s">
        <v>1117</v>
      </c>
      <c r="E200" s="261" t="s">
        <v>1118</v>
      </c>
      <c r="F200" s="53">
        <v>100</v>
      </c>
      <c r="G200" s="53">
        <v>89</v>
      </c>
      <c r="H200" s="53" t="s">
        <v>5</v>
      </c>
      <c r="I200" s="53" t="s">
        <v>5</v>
      </c>
      <c r="J200" s="54"/>
      <c r="K200" s="54"/>
      <c r="L200" s="54"/>
      <c r="M200" s="54"/>
      <c r="N200" s="58">
        <f>(5590000/119443)/365*1000</f>
        <v>128.22072865844532</v>
      </c>
      <c r="O200" s="58">
        <f>(5013000/121000)/366*1000</f>
        <v>113.19604389649099</v>
      </c>
      <c r="P200" s="58" t="s">
        <v>5</v>
      </c>
      <c r="Q200" s="58" t="s">
        <v>5</v>
      </c>
      <c r="S200" s="2429"/>
      <c r="T200" s="2429"/>
      <c r="U200" s="2435"/>
      <c r="V200" s="2429"/>
      <c r="W200" s="2435"/>
      <c r="X200" s="2429"/>
      <c r="Y200" s="2429"/>
      <c r="Z200" s="2429"/>
      <c r="AA200" s="2432"/>
      <c r="AB200" s="2445"/>
      <c r="AC200" s="2445"/>
      <c r="AD200" s="2445"/>
    </row>
    <row r="201" spans="1:30" ht="16.5" customHeight="1" x14ac:dyDescent="0.25">
      <c r="A201" s="1757"/>
      <c r="B201" s="791" t="s">
        <v>519</v>
      </c>
      <c r="C201" s="263"/>
      <c r="D201" s="261" t="s">
        <v>1117</v>
      </c>
      <c r="E201" s="261" t="s">
        <v>1118</v>
      </c>
      <c r="F201" s="53">
        <v>103</v>
      </c>
      <c r="G201" s="53">
        <v>97</v>
      </c>
      <c r="H201" s="53" t="s">
        <v>5</v>
      </c>
      <c r="I201" s="53" t="s">
        <v>5</v>
      </c>
      <c r="J201" s="54"/>
      <c r="K201" s="54"/>
      <c r="L201" s="54"/>
      <c r="M201" s="54"/>
      <c r="N201" s="58">
        <f>(13722000/189610)/365*1000</f>
        <v>198.27287879302361</v>
      </c>
      <c r="O201" s="58">
        <f>(13424000/209000)/366*1000</f>
        <v>175.49088817423592</v>
      </c>
      <c r="P201" s="58" t="s">
        <v>5</v>
      </c>
      <c r="Q201" s="58" t="s">
        <v>5</v>
      </c>
      <c r="S201" s="2429"/>
      <c r="T201" s="2429"/>
      <c r="U201" s="2435"/>
      <c r="V201" s="2429"/>
      <c r="W201" s="2435"/>
      <c r="X201" s="2429"/>
      <c r="Y201" s="2429"/>
      <c r="Z201" s="2429"/>
      <c r="AA201" s="2432"/>
      <c r="AB201" s="2445"/>
      <c r="AC201" s="2445"/>
      <c r="AD201" s="2445"/>
    </row>
    <row r="202" spans="1:30" ht="16.5" customHeight="1" x14ac:dyDescent="0.25">
      <c r="A202" s="1757"/>
      <c r="B202" s="791" t="s">
        <v>596</v>
      </c>
      <c r="C202" s="263"/>
      <c r="D202" s="261" t="s">
        <v>1117</v>
      </c>
      <c r="E202" s="261" t="s">
        <v>1118</v>
      </c>
      <c r="F202" s="53">
        <v>91</v>
      </c>
      <c r="G202" s="53">
        <v>110</v>
      </c>
      <c r="H202" s="53" t="s">
        <v>5</v>
      </c>
      <c r="I202" s="53" t="s">
        <v>5</v>
      </c>
      <c r="J202" s="54"/>
      <c r="K202" s="54"/>
      <c r="L202" s="54"/>
      <c r="M202" s="54"/>
      <c r="N202" s="58">
        <f>(11798000/209969)/365*1000</f>
        <v>153.94314242213315</v>
      </c>
      <c r="O202" s="58">
        <f>(12369000/215000)/366*1000</f>
        <v>157.18642775447961</v>
      </c>
      <c r="P202" s="58" t="s">
        <v>5</v>
      </c>
      <c r="Q202" s="58" t="s">
        <v>5</v>
      </c>
      <c r="S202" s="2429"/>
      <c r="T202" s="2429"/>
      <c r="U202" s="2435"/>
      <c r="V202" s="2429"/>
      <c r="W202" s="2435"/>
      <c r="X202" s="2429"/>
      <c r="Y202" s="2429"/>
      <c r="Z202" s="2429"/>
      <c r="AA202" s="2432"/>
      <c r="AB202" s="2445"/>
      <c r="AC202" s="2445"/>
      <c r="AD202" s="2445"/>
    </row>
    <row r="203" spans="1:30" ht="16.5" customHeight="1" x14ac:dyDescent="0.25">
      <c r="A203" s="1757"/>
      <c r="B203" s="790" t="s">
        <v>873</v>
      </c>
      <c r="C203" s="925"/>
      <c r="D203" s="631" t="s">
        <v>1117</v>
      </c>
      <c r="E203" s="631" t="s">
        <v>1118</v>
      </c>
      <c r="F203" s="53">
        <v>109</v>
      </c>
      <c r="G203" s="53">
        <v>93</v>
      </c>
      <c r="H203" s="53">
        <v>94</v>
      </c>
      <c r="I203" s="53">
        <v>102</v>
      </c>
      <c r="J203" s="54"/>
      <c r="K203" s="54"/>
      <c r="L203" s="54"/>
      <c r="M203" s="54"/>
      <c r="N203" s="58">
        <f>(6054000/122386)/365*1000</f>
        <v>135.52449928801508</v>
      </c>
      <c r="O203" s="58">
        <f>(6349000/131000)/366*1000</f>
        <v>132.41980561464985</v>
      </c>
      <c r="P203" s="58">
        <f>(5116353/110721)/365*1000</f>
        <v>126.60114593845842</v>
      </c>
      <c r="Q203" s="58">
        <f>(4950821/132724)/366*1000</f>
        <v>101.91701073907758</v>
      </c>
      <c r="S203" s="2429"/>
      <c r="T203" s="2429"/>
      <c r="U203" s="2435"/>
      <c r="V203" s="2429"/>
      <c r="W203" s="2435"/>
      <c r="X203" s="2429"/>
      <c r="Y203" s="2429"/>
      <c r="Z203" s="2429"/>
      <c r="AA203" s="2432"/>
      <c r="AB203" s="2445"/>
      <c r="AC203" s="2445"/>
      <c r="AD203" s="2445"/>
    </row>
    <row r="204" spans="1:30" ht="16.5" customHeight="1" x14ac:dyDescent="0.25">
      <c r="A204" s="1757"/>
      <c r="B204" s="790" t="s">
        <v>520</v>
      </c>
      <c r="C204" s="925"/>
      <c r="D204" s="631" t="s">
        <v>1117</v>
      </c>
      <c r="E204" s="631" t="s">
        <v>1118</v>
      </c>
      <c r="F204" s="53">
        <v>97</v>
      </c>
      <c r="G204" s="53">
        <v>85</v>
      </c>
      <c r="H204" s="53">
        <v>91</v>
      </c>
      <c r="I204" s="53">
        <v>93</v>
      </c>
      <c r="J204" s="54"/>
      <c r="K204" s="54"/>
      <c r="L204" s="54"/>
      <c r="M204" s="54"/>
      <c r="N204" s="58">
        <f>(2705000/56032)/365*1000</f>
        <v>132.26297301737557</v>
      </c>
      <c r="O204" s="58">
        <f>(2625000/58000)/366*1000</f>
        <v>123.65743357829282</v>
      </c>
      <c r="P204" s="58">
        <f>(2418249/59091)/365*1000</f>
        <v>112.12096133129236</v>
      </c>
      <c r="Q204" s="58">
        <f>(1958820/57668)/366*1000</f>
        <v>92.806534180390415</v>
      </c>
      <c r="S204" s="2429"/>
      <c r="T204" s="2429"/>
      <c r="U204" s="2435"/>
      <c r="V204" s="2429"/>
      <c r="W204" s="2435"/>
      <c r="X204" s="2429"/>
      <c r="Y204" s="2429"/>
      <c r="Z204" s="2429"/>
      <c r="AA204" s="2432"/>
      <c r="AB204" s="2445"/>
      <c r="AC204" s="2445"/>
      <c r="AD204" s="2445"/>
    </row>
    <row r="205" spans="1:30" ht="16.5" customHeight="1" x14ac:dyDescent="0.25">
      <c r="A205" s="1757"/>
      <c r="B205" s="790" t="s">
        <v>597</v>
      </c>
      <c r="C205" s="925"/>
      <c r="D205" s="631" t="s">
        <v>1117</v>
      </c>
      <c r="E205" s="631" t="s">
        <v>1118</v>
      </c>
      <c r="F205" s="53" t="s">
        <v>5</v>
      </c>
      <c r="G205" s="53">
        <v>125</v>
      </c>
      <c r="H205" s="53">
        <v>101</v>
      </c>
      <c r="I205" s="53">
        <v>98</v>
      </c>
      <c r="J205" s="54"/>
      <c r="K205" s="54"/>
      <c r="L205" s="54"/>
      <c r="M205" s="54"/>
      <c r="N205" s="58" t="s">
        <v>5</v>
      </c>
      <c r="O205" s="58">
        <f>(11413000/170000)/366*1000</f>
        <v>183.42976534876246</v>
      </c>
      <c r="P205" s="58">
        <f>(9299905/115918)/365*1000</f>
        <v>219.80358340224919</v>
      </c>
      <c r="Q205" s="58">
        <f>(9165602/174524)/366*1000</f>
        <v>143.49102940169001</v>
      </c>
      <c r="S205" s="2429"/>
      <c r="T205" s="2429"/>
      <c r="U205" s="2435"/>
      <c r="V205" s="2429"/>
      <c r="W205" s="2435"/>
      <c r="X205" s="2429"/>
      <c r="Y205" s="2429"/>
      <c r="Z205" s="2429"/>
      <c r="AA205" s="2432"/>
      <c r="AB205" s="2445"/>
      <c r="AC205" s="2445"/>
      <c r="AD205" s="2445"/>
    </row>
    <row r="206" spans="1:30" ht="16.5" customHeight="1" x14ac:dyDescent="0.25">
      <c r="A206" s="1757"/>
      <c r="B206" s="791" t="s">
        <v>765</v>
      </c>
      <c r="C206" s="263"/>
      <c r="D206" s="261" t="s">
        <v>1117</v>
      </c>
      <c r="E206" s="261" t="s">
        <v>1118</v>
      </c>
      <c r="F206" s="53" t="s">
        <v>5</v>
      </c>
      <c r="G206" s="53" t="s">
        <v>5</v>
      </c>
      <c r="H206" s="53">
        <v>89</v>
      </c>
      <c r="I206" s="53" t="s">
        <v>5</v>
      </c>
      <c r="J206" s="54"/>
      <c r="K206" s="54"/>
      <c r="L206" s="54"/>
      <c r="M206" s="54"/>
      <c r="N206" s="58" t="s">
        <v>5</v>
      </c>
      <c r="O206" s="58" t="s">
        <v>5</v>
      </c>
      <c r="P206" s="58">
        <f>(1809823/37730)/365*1000</f>
        <v>131.418478083281</v>
      </c>
      <c r="Q206" s="58" t="s">
        <v>5</v>
      </c>
      <c r="S206" s="2429"/>
      <c r="T206" s="2429"/>
      <c r="U206" s="2429"/>
      <c r="V206" s="2429"/>
      <c r="W206" s="2429"/>
      <c r="X206" s="2429"/>
      <c r="Y206" s="2429"/>
      <c r="Z206" s="2429"/>
      <c r="AA206" s="2432"/>
      <c r="AB206" s="2432"/>
      <c r="AC206" s="2432"/>
      <c r="AD206" s="2432"/>
    </row>
    <row r="207" spans="1:30" ht="16.5" customHeight="1" x14ac:dyDescent="0.25">
      <c r="A207" s="1757"/>
      <c r="B207" s="790" t="s">
        <v>860</v>
      </c>
      <c r="C207" s="925" t="s">
        <v>429</v>
      </c>
      <c r="D207" s="631" t="s">
        <v>1117</v>
      </c>
      <c r="E207" s="631" t="s">
        <v>1118</v>
      </c>
      <c r="F207" s="53" t="s">
        <v>5</v>
      </c>
      <c r="G207" s="53" t="s">
        <v>5</v>
      </c>
      <c r="H207" s="53">
        <v>151</v>
      </c>
      <c r="I207" s="53">
        <v>148</v>
      </c>
      <c r="J207" s="54"/>
      <c r="K207" s="54"/>
      <c r="L207" s="54"/>
      <c r="M207" s="54"/>
      <c r="N207" s="58" t="s">
        <v>5</v>
      </c>
      <c r="O207" s="58" t="s">
        <v>5</v>
      </c>
      <c r="P207" s="58">
        <f>(125000000/1724575)/365*1000</f>
        <v>198.57979700775991</v>
      </c>
      <c r="Q207" s="58">
        <f>(129024380/1738970)/366*1000</f>
        <v>202.72093734526791</v>
      </c>
      <c r="S207" s="2429"/>
      <c r="T207" s="2429"/>
      <c r="U207" s="2429"/>
      <c r="V207" s="2429"/>
      <c r="W207" s="2429"/>
      <c r="X207" s="2429"/>
      <c r="Y207" s="2429"/>
      <c r="Z207" s="2429"/>
      <c r="AA207" s="2432"/>
      <c r="AB207" s="2432"/>
      <c r="AC207" s="2432"/>
      <c r="AD207" s="2432"/>
    </row>
    <row r="208" spans="1:30" ht="16.5" customHeight="1" x14ac:dyDescent="0.25">
      <c r="A208" s="1757"/>
      <c r="B208" s="791" t="s">
        <v>766</v>
      </c>
      <c r="C208" s="263"/>
      <c r="D208" s="261" t="s">
        <v>1117</v>
      </c>
      <c r="E208" s="261" t="s">
        <v>1118</v>
      </c>
      <c r="F208" s="53" t="s">
        <v>5</v>
      </c>
      <c r="G208" s="53" t="s">
        <v>5</v>
      </c>
      <c r="H208" s="53">
        <v>91</v>
      </c>
      <c r="I208" s="53" t="s">
        <v>5</v>
      </c>
      <c r="J208" s="54"/>
      <c r="K208" s="54"/>
      <c r="L208" s="54"/>
      <c r="M208" s="54"/>
      <c r="N208" s="58" t="s">
        <v>5</v>
      </c>
      <c r="O208" s="58" t="s">
        <v>5</v>
      </c>
      <c r="P208" s="58">
        <f>(2884224/59592)/365*1000</f>
        <v>132.60141565384339</v>
      </c>
      <c r="Q208" s="58" t="s">
        <v>5</v>
      </c>
      <c r="S208" s="2429"/>
      <c r="T208" s="2429"/>
      <c r="U208" s="2429"/>
      <c r="V208" s="2429"/>
      <c r="W208" s="2429"/>
      <c r="X208" s="2429"/>
      <c r="Y208" s="2429"/>
      <c r="Z208" s="2429"/>
      <c r="AA208" s="2432"/>
      <c r="AB208" s="2432"/>
      <c r="AC208" s="2432"/>
      <c r="AD208" s="2432"/>
    </row>
    <row r="209" spans="1:30" ht="16.5" customHeight="1" x14ac:dyDescent="0.25">
      <c r="A209" s="1757"/>
      <c r="B209" s="791" t="s">
        <v>767</v>
      </c>
      <c r="C209" s="263"/>
      <c r="D209" s="261" t="s">
        <v>1117</v>
      </c>
      <c r="E209" s="261" t="s">
        <v>1118</v>
      </c>
      <c r="F209" s="53" t="s">
        <v>5</v>
      </c>
      <c r="G209" s="53" t="s">
        <v>5</v>
      </c>
      <c r="H209" s="53">
        <v>72</v>
      </c>
      <c r="I209" s="53" t="s">
        <v>5</v>
      </c>
      <c r="J209" s="54"/>
      <c r="K209" s="54"/>
      <c r="L209" s="54"/>
      <c r="M209" s="54"/>
      <c r="N209" s="58" t="s">
        <v>5</v>
      </c>
      <c r="O209" s="58" t="s">
        <v>5</v>
      </c>
      <c r="P209" s="58">
        <f>(2781567/69645)/365*1000</f>
        <v>109.42252145666329</v>
      </c>
      <c r="Q209" s="58" t="s">
        <v>5</v>
      </c>
      <c r="S209" s="2429"/>
      <c r="T209" s="2429"/>
      <c r="U209" s="2429"/>
      <c r="V209" s="2429"/>
      <c r="W209" s="2429"/>
      <c r="X209" s="2429"/>
      <c r="Y209" s="2429"/>
      <c r="Z209" s="2429"/>
      <c r="AA209" s="2432"/>
      <c r="AB209" s="2432"/>
      <c r="AC209" s="2432"/>
      <c r="AD209" s="2432"/>
    </row>
    <row r="210" spans="1:30" ht="16.5" customHeight="1" x14ac:dyDescent="0.25">
      <c r="A210" s="1757"/>
      <c r="B210" s="791" t="s">
        <v>768</v>
      </c>
      <c r="C210" s="263"/>
      <c r="D210" s="261" t="s">
        <v>1117</v>
      </c>
      <c r="E210" s="261" t="s">
        <v>1118</v>
      </c>
      <c r="F210" s="53" t="s">
        <v>5</v>
      </c>
      <c r="G210" s="53" t="s">
        <v>5</v>
      </c>
      <c r="H210" s="53">
        <v>102</v>
      </c>
      <c r="I210" s="53" t="s">
        <v>5</v>
      </c>
      <c r="J210" s="54"/>
      <c r="K210" s="54"/>
      <c r="L210" s="54"/>
      <c r="M210" s="54"/>
      <c r="N210" s="58" t="s">
        <v>5</v>
      </c>
      <c r="O210" s="58" t="s">
        <v>5</v>
      </c>
      <c r="P210" s="58">
        <f>(9308419/70789)/365*1000</f>
        <v>360.26102654676822</v>
      </c>
      <c r="Q210" s="58" t="s">
        <v>5</v>
      </c>
      <c r="S210" s="2429"/>
      <c r="T210" s="2429"/>
      <c r="U210" s="2429"/>
      <c r="V210" s="2429"/>
      <c r="W210" s="2429"/>
      <c r="X210" s="2429"/>
      <c r="Y210" s="2429"/>
      <c r="Z210" s="2429"/>
      <c r="AA210" s="2432"/>
      <c r="AB210" s="2432"/>
      <c r="AC210" s="2432"/>
      <c r="AD210" s="2432"/>
    </row>
    <row r="211" spans="1:30" ht="16.5" customHeight="1" x14ac:dyDescent="0.25">
      <c r="A211" s="1757"/>
      <c r="B211" s="790" t="s">
        <v>769</v>
      </c>
      <c r="C211" s="925"/>
      <c r="D211" s="631" t="s">
        <v>1117</v>
      </c>
      <c r="E211" s="631" t="s">
        <v>1118</v>
      </c>
      <c r="F211" s="53" t="s">
        <v>5</v>
      </c>
      <c r="G211" s="53" t="s">
        <v>5</v>
      </c>
      <c r="H211" s="53">
        <v>103</v>
      </c>
      <c r="I211" s="53">
        <v>112</v>
      </c>
      <c r="J211" s="54"/>
      <c r="K211" s="54"/>
      <c r="L211" s="54"/>
      <c r="M211" s="54"/>
      <c r="N211" s="58" t="s">
        <v>5</v>
      </c>
      <c r="O211" s="58" t="s">
        <v>5</v>
      </c>
      <c r="P211" s="58">
        <f>(11154810/148450)/365*1000</f>
        <v>205.86812588528954</v>
      </c>
      <c r="Q211" s="58">
        <f>(10780288/262672)/366*1000</f>
        <v>112.1335307829316</v>
      </c>
      <c r="S211" s="2429"/>
      <c r="T211" s="2429"/>
      <c r="U211" s="2429"/>
      <c r="V211" s="2429"/>
      <c r="W211" s="2429"/>
      <c r="X211" s="2429"/>
      <c r="Y211" s="2429"/>
      <c r="Z211" s="2429"/>
      <c r="AA211" s="2432"/>
      <c r="AB211" s="2432"/>
      <c r="AC211" s="2432"/>
      <c r="AD211" s="2432"/>
    </row>
    <row r="212" spans="1:30" ht="16.5" customHeight="1" x14ac:dyDescent="0.25">
      <c r="A212" s="1757"/>
      <c r="B212" s="791" t="s">
        <v>770</v>
      </c>
      <c r="C212" s="263"/>
      <c r="D212" s="261" t="s">
        <v>1117</v>
      </c>
      <c r="E212" s="261" t="s">
        <v>1118</v>
      </c>
      <c r="F212" s="53" t="s">
        <v>5</v>
      </c>
      <c r="G212" s="53" t="s">
        <v>5</v>
      </c>
      <c r="H212" s="53">
        <v>91</v>
      </c>
      <c r="I212" s="53" t="s">
        <v>5</v>
      </c>
      <c r="J212" s="54"/>
      <c r="K212" s="54"/>
      <c r="L212" s="54"/>
      <c r="M212" s="54"/>
      <c r="N212" s="58" t="s">
        <v>5</v>
      </c>
      <c r="O212" s="58" t="s">
        <v>5</v>
      </c>
      <c r="P212" s="58">
        <f>(3572695/43674)/365*1000</f>
        <v>224.11973896258769</v>
      </c>
      <c r="Q212" s="58" t="s">
        <v>5</v>
      </c>
      <c r="S212" s="2429"/>
      <c r="T212" s="2429"/>
      <c r="U212" s="2429"/>
      <c r="V212" s="2429"/>
      <c r="W212" s="2429"/>
      <c r="X212" s="2429"/>
      <c r="Y212" s="2429"/>
      <c r="Z212" s="2429"/>
      <c r="AA212" s="2432"/>
      <c r="AB212" s="2432"/>
      <c r="AC212" s="2432"/>
      <c r="AD212" s="2432"/>
    </row>
    <row r="213" spans="1:30" ht="16.5" customHeight="1" x14ac:dyDescent="0.25">
      <c r="A213" s="1757"/>
      <c r="B213" s="790" t="s">
        <v>771</v>
      </c>
      <c r="C213" s="925"/>
      <c r="D213" s="631" t="s">
        <v>1117</v>
      </c>
      <c r="E213" s="631" t="s">
        <v>1118</v>
      </c>
      <c r="F213" s="53" t="s">
        <v>5</v>
      </c>
      <c r="G213" s="53" t="s">
        <v>5</v>
      </c>
      <c r="H213" s="53">
        <v>110</v>
      </c>
      <c r="I213" s="53">
        <v>144</v>
      </c>
      <c r="J213" s="54"/>
      <c r="K213" s="54"/>
      <c r="L213" s="54"/>
      <c r="M213" s="54"/>
      <c r="N213" s="58" t="s">
        <v>5</v>
      </c>
      <c r="O213" s="58" t="s">
        <v>5</v>
      </c>
      <c r="P213" s="58">
        <f>(16629345/307022)/365*1000</f>
        <v>148.39278395381601</v>
      </c>
      <c r="Q213" s="58">
        <f>(17306861/314440)/366*1000</f>
        <v>150.38323834270724</v>
      </c>
      <c r="S213" s="2429"/>
      <c r="T213" s="2429"/>
      <c r="U213" s="2429"/>
      <c r="V213" s="2429"/>
      <c r="W213" s="2429"/>
      <c r="X213" s="2429"/>
      <c r="Y213" s="2429"/>
      <c r="Z213" s="2429"/>
      <c r="AA213" s="2432"/>
      <c r="AB213" s="2432"/>
      <c r="AC213" s="2432"/>
      <c r="AD213" s="2432"/>
    </row>
    <row r="214" spans="1:30" ht="16.5" customHeight="1" x14ac:dyDescent="0.25">
      <c r="A214" s="1757"/>
      <c r="B214" s="791" t="s">
        <v>772</v>
      </c>
      <c r="C214" s="263"/>
      <c r="D214" s="261" t="s">
        <v>1117</v>
      </c>
      <c r="E214" s="261" t="s">
        <v>1118</v>
      </c>
      <c r="F214" s="53" t="s">
        <v>5</v>
      </c>
      <c r="G214" s="53" t="s">
        <v>5</v>
      </c>
      <c r="H214" s="53">
        <v>79</v>
      </c>
      <c r="I214" s="53" t="s">
        <v>5</v>
      </c>
      <c r="J214" s="54"/>
      <c r="K214" s="54"/>
      <c r="L214" s="54"/>
      <c r="M214" s="54"/>
      <c r="N214" s="58" t="s">
        <v>5</v>
      </c>
      <c r="O214" s="58" t="s">
        <v>5</v>
      </c>
      <c r="P214" s="58">
        <f>(5785263/89559)/365*1000</f>
        <v>176.97870249152353</v>
      </c>
      <c r="Q214" s="58" t="s">
        <v>5</v>
      </c>
      <c r="S214" s="2429"/>
      <c r="T214" s="2429"/>
      <c r="U214" s="2429"/>
      <c r="V214" s="2429"/>
      <c r="W214" s="2429"/>
      <c r="X214" s="2429"/>
      <c r="Y214" s="2429"/>
      <c r="Z214" s="2429"/>
      <c r="AA214" s="2432"/>
      <c r="AB214" s="2432"/>
      <c r="AC214" s="2432"/>
      <c r="AD214" s="2432"/>
    </row>
    <row r="215" spans="1:30" ht="16.5" customHeight="1" x14ac:dyDescent="0.25">
      <c r="A215" s="1757"/>
      <c r="B215" s="790" t="s">
        <v>861</v>
      </c>
      <c r="C215" s="925"/>
      <c r="D215" s="631" t="s">
        <v>1117</v>
      </c>
      <c r="E215" s="631" t="s">
        <v>1118</v>
      </c>
      <c r="F215" s="53" t="s">
        <v>5</v>
      </c>
      <c r="G215" s="53" t="s">
        <v>5</v>
      </c>
      <c r="H215" s="53" t="s">
        <v>5</v>
      </c>
      <c r="I215" s="53">
        <v>64</v>
      </c>
      <c r="J215" s="54"/>
      <c r="K215" s="54"/>
      <c r="L215" s="54"/>
      <c r="M215" s="54"/>
      <c r="N215" s="58" t="s">
        <v>5</v>
      </c>
      <c r="O215" s="58" t="s">
        <v>5</v>
      </c>
      <c r="P215" s="58" t="s">
        <v>5</v>
      </c>
      <c r="Q215" s="58">
        <f>(9985921/210786)/366*1000</f>
        <v>129.43903844880563</v>
      </c>
      <c r="S215" s="2429"/>
      <c r="T215" s="2429"/>
      <c r="U215" s="2429"/>
      <c r="V215" s="2429"/>
      <c r="W215" s="2429"/>
      <c r="X215" s="2429"/>
      <c r="Y215" s="2429"/>
      <c r="Z215" s="2429"/>
      <c r="AA215" s="2432"/>
      <c r="AB215" s="2432"/>
      <c r="AC215" s="2432"/>
      <c r="AD215" s="2432"/>
    </row>
    <row r="216" spans="1:30" ht="16.5" customHeight="1" x14ac:dyDescent="0.25">
      <c r="A216" s="1757"/>
      <c r="B216" s="790" t="s">
        <v>862</v>
      </c>
      <c r="C216" s="925"/>
      <c r="D216" s="631" t="s">
        <v>1117</v>
      </c>
      <c r="E216" s="631" t="s">
        <v>1118</v>
      </c>
      <c r="F216" s="53" t="s">
        <v>5</v>
      </c>
      <c r="G216" s="53" t="s">
        <v>5</v>
      </c>
      <c r="H216" s="53" t="s">
        <v>5</v>
      </c>
      <c r="I216" s="53">
        <v>89</v>
      </c>
      <c r="J216" s="54"/>
      <c r="K216" s="54"/>
      <c r="L216" s="54"/>
      <c r="M216" s="54"/>
      <c r="N216" s="58" t="s">
        <v>5</v>
      </c>
      <c r="O216" s="58" t="s">
        <v>5</v>
      </c>
      <c r="P216" s="58" t="s">
        <v>5</v>
      </c>
      <c r="Q216" s="58">
        <f>(8883376/225438)/366*1000</f>
        <v>107.6638327419648</v>
      </c>
      <c r="S216" s="2429"/>
      <c r="T216" s="2429"/>
      <c r="U216" s="2429"/>
      <c r="V216" s="2429"/>
      <c r="W216" s="2429"/>
      <c r="X216" s="2429"/>
      <c r="Y216" s="2429"/>
      <c r="Z216" s="2429"/>
      <c r="AA216" s="2432"/>
      <c r="AB216" s="2432"/>
      <c r="AC216" s="2432"/>
      <c r="AD216" s="2432"/>
    </row>
    <row r="217" spans="1:30" ht="16.5" customHeight="1" x14ac:dyDescent="0.25">
      <c r="A217" s="1757"/>
      <c r="B217" s="790" t="s">
        <v>863</v>
      </c>
      <c r="C217" s="925"/>
      <c r="D217" s="631" t="s">
        <v>1117</v>
      </c>
      <c r="E217" s="631" t="s">
        <v>1118</v>
      </c>
      <c r="F217" s="53" t="s">
        <v>5</v>
      </c>
      <c r="G217" s="53" t="s">
        <v>5</v>
      </c>
      <c r="H217" s="53" t="s">
        <v>5</v>
      </c>
      <c r="I217" s="53">
        <v>89</v>
      </c>
      <c r="J217" s="54"/>
      <c r="K217" s="54"/>
      <c r="L217" s="54"/>
      <c r="M217" s="54"/>
      <c r="N217" s="58" t="s">
        <v>5</v>
      </c>
      <c r="O217" s="58" t="s">
        <v>5</v>
      </c>
      <c r="P217" s="58" t="s">
        <v>5</v>
      </c>
      <c r="Q217" s="58">
        <f>(11821638/140220)/366*1000</f>
        <v>230.34914689095123</v>
      </c>
      <c r="S217" s="2429"/>
      <c r="T217" s="2429"/>
      <c r="U217" s="2429"/>
      <c r="V217" s="2429"/>
      <c r="W217" s="2429"/>
      <c r="X217" s="2429"/>
      <c r="Y217" s="2429"/>
      <c r="Z217" s="2429"/>
      <c r="AA217" s="2432"/>
      <c r="AB217" s="2432"/>
      <c r="AC217" s="2432"/>
      <c r="AD217" s="2432"/>
    </row>
    <row r="218" spans="1:30" ht="16.5" customHeight="1" x14ac:dyDescent="0.25">
      <c r="A218" s="1757"/>
      <c r="B218" s="790" t="s">
        <v>864</v>
      </c>
      <c r="C218" s="925"/>
      <c r="D218" s="631" t="s">
        <v>1117</v>
      </c>
      <c r="E218" s="631" t="s">
        <v>1118</v>
      </c>
      <c r="F218" s="53" t="s">
        <v>5</v>
      </c>
      <c r="G218" s="53" t="s">
        <v>5</v>
      </c>
      <c r="H218" s="53" t="s">
        <v>5</v>
      </c>
      <c r="I218" s="53">
        <v>102</v>
      </c>
      <c r="J218" s="54"/>
      <c r="K218" s="54"/>
      <c r="L218" s="54"/>
      <c r="M218" s="54"/>
      <c r="N218" s="58" t="s">
        <v>5</v>
      </c>
      <c r="O218" s="58" t="s">
        <v>5</v>
      </c>
      <c r="P218" s="58" t="s">
        <v>5</v>
      </c>
      <c r="Q218" s="58">
        <f>(8589139/230885)/366*1000</f>
        <v>101.64191219080868</v>
      </c>
      <c r="S218" s="2429"/>
      <c r="T218" s="2429"/>
      <c r="U218" s="2429"/>
      <c r="V218" s="2429"/>
      <c r="W218" s="2429"/>
      <c r="X218" s="2429"/>
      <c r="Y218" s="2429"/>
      <c r="Z218" s="2429"/>
      <c r="AA218" s="2432"/>
      <c r="AB218" s="2432"/>
      <c r="AC218" s="2432"/>
      <c r="AD218" s="2432"/>
    </row>
    <row r="219" spans="1:30" ht="16.5" customHeight="1" x14ac:dyDescent="0.25">
      <c r="A219" s="1757"/>
      <c r="B219" s="790" t="s">
        <v>865</v>
      </c>
      <c r="C219" s="925"/>
      <c r="D219" s="631" t="s">
        <v>1117</v>
      </c>
      <c r="E219" s="631" t="s">
        <v>1118</v>
      </c>
      <c r="F219" s="53" t="s">
        <v>5</v>
      </c>
      <c r="G219" s="53" t="s">
        <v>5</v>
      </c>
      <c r="H219" s="53" t="s">
        <v>5</v>
      </c>
      <c r="I219" s="53">
        <v>153</v>
      </c>
      <c r="J219" s="54"/>
      <c r="K219" s="54"/>
      <c r="L219" s="54"/>
      <c r="M219" s="54"/>
      <c r="N219" s="58" t="s">
        <v>5</v>
      </c>
      <c r="O219" s="58" t="s">
        <v>5</v>
      </c>
      <c r="P219" s="58" t="s">
        <v>5</v>
      </c>
      <c r="Q219" s="58">
        <f>(9499920/248773)/366*1000</f>
        <v>104.33634507671849</v>
      </c>
      <c r="S219" s="2429"/>
      <c r="T219" s="2429"/>
      <c r="U219" s="2429"/>
      <c r="V219" s="2429"/>
      <c r="W219" s="2429"/>
      <c r="X219" s="2429"/>
      <c r="Y219" s="2429"/>
      <c r="Z219" s="2429"/>
      <c r="AA219" s="2432"/>
      <c r="AB219" s="2432"/>
      <c r="AC219" s="2432"/>
      <c r="AD219" s="2432"/>
    </row>
    <row r="220" spans="1:30" ht="16.5" customHeight="1" x14ac:dyDescent="0.25">
      <c r="A220" s="1757"/>
      <c r="B220" s="790" t="s">
        <v>866</v>
      </c>
      <c r="C220" s="925"/>
      <c r="D220" s="631" t="s">
        <v>1117</v>
      </c>
      <c r="E220" s="631" t="s">
        <v>1118</v>
      </c>
      <c r="F220" s="53" t="s">
        <v>5</v>
      </c>
      <c r="G220" s="53" t="s">
        <v>5</v>
      </c>
      <c r="H220" s="53" t="s">
        <v>5</v>
      </c>
      <c r="I220" s="53">
        <v>113</v>
      </c>
      <c r="J220" s="54"/>
      <c r="K220" s="54"/>
      <c r="L220" s="54"/>
      <c r="M220" s="54"/>
      <c r="N220" s="58" t="s">
        <v>5</v>
      </c>
      <c r="O220" s="58" t="s">
        <v>5</v>
      </c>
      <c r="P220" s="58" t="s">
        <v>5</v>
      </c>
      <c r="Q220" s="58">
        <f>(5587329/135122)/366*1000</f>
        <v>112.97883564118499</v>
      </c>
      <c r="S220" s="2429"/>
      <c r="T220" s="2429"/>
      <c r="U220" s="2429"/>
      <c r="V220" s="2429"/>
      <c r="W220" s="2429"/>
      <c r="X220" s="2429"/>
      <c r="Y220" s="2429"/>
      <c r="Z220" s="2429"/>
      <c r="AA220" s="2432"/>
      <c r="AB220" s="2432"/>
      <c r="AC220" s="2432"/>
      <c r="AD220" s="2432"/>
    </row>
    <row r="221" spans="1:30" ht="16.5" customHeight="1" x14ac:dyDescent="0.25">
      <c r="A221" s="1757"/>
      <c r="B221" s="790" t="s">
        <v>867</v>
      </c>
      <c r="C221" s="925"/>
      <c r="D221" s="631" t="s">
        <v>1117</v>
      </c>
      <c r="E221" s="631" t="s">
        <v>1118</v>
      </c>
      <c r="F221" s="53" t="s">
        <v>5</v>
      </c>
      <c r="G221" s="53" t="s">
        <v>5</v>
      </c>
      <c r="H221" s="53" t="s">
        <v>5</v>
      </c>
      <c r="I221" s="53">
        <v>90</v>
      </c>
      <c r="J221" s="54"/>
      <c r="K221" s="54"/>
      <c r="L221" s="54"/>
      <c r="M221" s="54"/>
      <c r="N221" s="58" t="s">
        <v>5</v>
      </c>
      <c r="O221" s="58" t="s">
        <v>5</v>
      </c>
      <c r="P221" s="58" t="s">
        <v>5</v>
      </c>
      <c r="Q221" s="58">
        <f>(3591233/82273)/366*1000</f>
        <v>119.26284469823543</v>
      </c>
      <c r="S221" s="2429"/>
      <c r="T221" s="2429"/>
      <c r="U221" s="2429"/>
      <c r="V221" s="2429"/>
      <c r="W221" s="2429"/>
      <c r="X221" s="2429"/>
      <c r="Y221" s="2429"/>
      <c r="Z221" s="2429"/>
      <c r="AA221" s="2432"/>
      <c r="AB221" s="2432"/>
      <c r="AC221" s="2432"/>
      <c r="AD221" s="2432"/>
    </row>
    <row r="222" spans="1:30" ht="16.5" customHeight="1" x14ac:dyDescent="0.25">
      <c r="A222" s="1757"/>
      <c r="B222" s="790" t="s">
        <v>868</v>
      </c>
      <c r="C222" s="925"/>
      <c r="D222" s="631" t="s">
        <v>1117</v>
      </c>
      <c r="E222" s="631" t="s">
        <v>1118</v>
      </c>
      <c r="F222" s="53" t="s">
        <v>5</v>
      </c>
      <c r="G222" s="53" t="s">
        <v>5</v>
      </c>
      <c r="H222" s="53" t="s">
        <v>5</v>
      </c>
      <c r="I222" s="53">
        <v>109</v>
      </c>
      <c r="J222" s="54"/>
      <c r="K222" s="54"/>
      <c r="L222" s="54"/>
      <c r="M222" s="54"/>
      <c r="N222" s="58" t="s">
        <v>5</v>
      </c>
      <c r="O222" s="58" t="s">
        <v>5</v>
      </c>
      <c r="P222" s="58" t="s">
        <v>5</v>
      </c>
      <c r="Q222" s="58">
        <f>(3944222/99328)/366*1000</f>
        <v>108.49471288589373</v>
      </c>
      <c r="S222" s="2429"/>
      <c r="T222" s="2429"/>
      <c r="U222" s="2429"/>
      <c r="V222" s="2429"/>
      <c r="W222" s="2429"/>
      <c r="X222" s="2429"/>
      <c r="Y222" s="2429"/>
      <c r="Z222" s="2429"/>
      <c r="AA222" s="2432"/>
      <c r="AB222" s="2432"/>
      <c r="AC222" s="2432"/>
      <c r="AD222" s="2432"/>
    </row>
    <row r="223" spans="1:30" ht="16.5" customHeight="1" x14ac:dyDescent="0.25">
      <c r="A223" s="1757"/>
      <c r="B223" s="790" t="s">
        <v>870</v>
      </c>
      <c r="C223" s="925"/>
      <c r="D223" s="631" t="s">
        <v>1117</v>
      </c>
      <c r="E223" s="631" t="s">
        <v>1118</v>
      </c>
      <c r="F223" s="53" t="s">
        <v>5</v>
      </c>
      <c r="G223" s="53" t="s">
        <v>5</v>
      </c>
      <c r="H223" s="53" t="s">
        <v>5</v>
      </c>
      <c r="I223" s="53">
        <v>80</v>
      </c>
      <c r="J223" s="54"/>
      <c r="K223" s="54"/>
      <c r="L223" s="54"/>
      <c r="M223" s="54"/>
      <c r="N223" s="58" t="s">
        <v>5</v>
      </c>
      <c r="O223" s="58" t="s">
        <v>5</v>
      </c>
      <c r="P223" s="58" t="s">
        <v>5</v>
      </c>
      <c r="Q223" s="58">
        <f>(3286949/113460)/366*1000</f>
        <v>79.153313702429003</v>
      </c>
      <c r="S223" s="2429"/>
      <c r="T223" s="2429"/>
      <c r="U223" s="2429"/>
      <c r="V223" s="2429"/>
      <c r="W223" s="2429"/>
      <c r="X223" s="2429"/>
      <c r="Y223" s="2429"/>
      <c r="Z223" s="2429"/>
      <c r="AA223" s="2432"/>
      <c r="AB223" s="2432"/>
      <c r="AC223" s="2432"/>
      <c r="AD223" s="2432"/>
    </row>
    <row r="224" spans="1:30" ht="16.5" customHeight="1" x14ac:dyDescent="0.25">
      <c r="A224" s="1757"/>
      <c r="B224" s="790" t="s">
        <v>871</v>
      </c>
      <c r="C224" s="925"/>
      <c r="D224" s="631" t="s">
        <v>1117</v>
      </c>
      <c r="E224" s="631" t="s">
        <v>1118</v>
      </c>
      <c r="F224" s="53" t="s">
        <v>5</v>
      </c>
      <c r="G224" s="53" t="s">
        <v>5</v>
      </c>
      <c r="H224" s="53" t="s">
        <v>5</v>
      </c>
      <c r="I224" s="53">
        <v>72</v>
      </c>
      <c r="J224" s="54"/>
      <c r="K224" s="54"/>
      <c r="L224" s="54"/>
      <c r="M224" s="54"/>
      <c r="N224" s="58" t="s">
        <v>5</v>
      </c>
      <c r="O224" s="58" t="s">
        <v>5</v>
      </c>
      <c r="P224" s="58" t="s">
        <v>5</v>
      </c>
      <c r="Q224" s="58">
        <f>(1215606/46197)/366*1000</f>
        <v>71.894882110363426</v>
      </c>
      <c r="S224" s="2429"/>
      <c r="T224" s="2429"/>
      <c r="U224" s="2429"/>
      <c r="V224" s="2429"/>
      <c r="W224" s="2429"/>
      <c r="X224" s="2429"/>
      <c r="Y224" s="2429"/>
      <c r="Z224" s="2429"/>
      <c r="AA224" s="2432"/>
      <c r="AB224" s="2432"/>
      <c r="AC224" s="2432"/>
      <c r="AD224" s="2432"/>
    </row>
    <row r="225" spans="1:30" ht="16.5" customHeight="1" x14ac:dyDescent="0.25">
      <c r="A225" s="1757"/>
      <c r="B225" s="790" t="s">
        <v>872</v>
      </c>
      <c r="C225" s="925"/>
      <c r="D225" s="631" t="s">
        <v>1117</v>
      </c>
      <c r="E225" s="631" t="s">
        <v>1118</v>
      </c>
      <c r="F225" s="53" t="s">
        <v>5</v>
      </c>
      <c r="G225" s="53" t="s">
        <v>5</v>
      </c>
      <c r="H225" s="53" t="s">
        <v>5</v>
      </c>
      <c r="I225" s="53">
        <v>86</v>
      </c>
      <c r="J225" s="54"/>
      <c r="K225" s="54"/>
      <c r="L225" s="54"/>
      <c r="M225" s="54"/>
      <c r="N225" s="58" t="s">
        <v>5</v>
      </c>
      <c r="O225" s="58" t="s">
        <v>5</v>
      </c>
      <c r="P225" s="58" t="s">
        <v>5</v>
      </c>
      <c r="Q225" s="58">
        <f>(14335922/347718)/366*1000</f>
        <v>112.64641402616409</v>
      </c>
      <c r="S225" s="2429"/>
      <c r="T225" s="2429"/>
      <c r="U225" s="2429"/>
      <c r="V225" s="2429"/>
      <c r="W225" s="2429"/>
      <c r="X225" s="2429"/>
      <c r="Y225" s="2429"/>
      <c r="Z225" s="2429"/>
      <c r="AA225" s="2432"/>
      <c r="AB225" s="2432"/>
      <c r="AC225" s="2432"/>
      <c r="AD225" s="2432"/>
    </row>
    <row r="226" spans="1:30" ht="16.5" customHeight="1" x14ac:dyDescent="0.25">
      <c r="A226" s="1757"/>
      <c r="B226" s="790" t="s">
        <v>874</v>
      </c>
      <c r="C226" s="925"/>
      <c r="D226" s="631" t="s">
        <v>1117</v>
      </c>
      <c r="E226" s="631" t="s">
        <v>1118</v>
      </c>
      <c r="F226" s="53" t="s">
        <v>5</v>
      </c>
      <c r="G226" s="53" t="s">
        <v>5</v>
      </c>
      <c r="H226" s="53" t="s">
        <v>5</v>
      </c>
      <c r="I226" s="53">
        <v>90</v>
      </c>
      <c r="J226" s="54"/>
      <c r="K226" s="54"/>
      <c r="L226" s="54"/>
      <c r="M226" s="54"/>
      <c r="N226" s="58" t="s">
        <v>5</v>
      </c>
      <c r="O226" s="58" t="s">
        <v>5</v>
      </c>
      <c r="P226" s="58" t="s">
        <v>5</v>
      </c>
      <c r="Q226" s="58">
        <f>(8112483/246325)/366*1000</f>
        <v>89.983777928998904</v>
      </c>
      <c r="S226" s="2429"/>
      <c r="T226" s="2429"/>
      <c r="U226" s="2429"/>
      <c r="V226" s="2429"/>
      <c r="W226" s="2429"/>
      <c r="X226" s="2429"/>
      <c r="Y226" s="2429"/>
      <c r="Z226" s="2429"/>
      <c r="AA226" s="2432"/>
      <c r="AB226" s="2432"/>
      <c r="AC226" s="2432"/>
      <c r="AD226" s="2432"/>
    </row>
    <row r="227" spans="1:30" ht="16.5" customHeight="1" thickBot="1" x14ac:dyDescent="0.3">
      <c r="A227" s="1758"/>
      <c r="B227" s="792" t="s">
        <v>598</v>
      </c>
      <c r="C227" s="925"/>
      <c r="D227" s="631" t="s">
        <v>1117</v>
      </c>
      <c r="E227" s="631" t="s">
        <v>1118</v>
      </c>
      <c r="F227" s="53" t="s">
        <v>5</v>
      </c>
      <c r="G227" s="53">
        <v>100</v>
      </c>
      <c r="H227" s="53" t="s">
        <v>5</v>
      </c>
      <c r="I227" s="53">
        <v>120</v>
      </c>
      <c r="J227" s="54"/>
      <c r="K227" s="54"/>
      <c r="L227" s="54"/>
      <c r="M227" s="54"/>
      <c r="N227" s="58" t="s">
        <v>5</v>
      </c>
      <c r="O227" s="58">
        <f>(12519000/228000)/366*1000</f>
        <v>150.02157031924071</v>
      </c>
      <c r="P227" s="58" t="s">
        <v>5</v>
      </c>
      <c r="Q227" s="58">
        <f>(11074683/251073)/366*1000</f>
        <v>120.51752566509133</v>
      </c>
      <c r="S227" s="2436"/>
      <c r="T227" s="2436"/>
      <c r="U227" s="2436"/>
      <c r="V227" s="2436"/>
      <c r="W227" s="2436"/>
      <c r="X227" s="2436"/>
      <c r="Y227" s="2436"/>
      <c r="Z227" s="2436"/>
      <c r="AA227" s="2449"/>
      <c r="AB227" s="2449"/>
      <c r="AC227" s="2449"/>
      <c r="AD227" s="2449"/>
    </row>
    <row r="228" spans="1:30" ht="16.5" customHeight="1" x14ac:dyDescent="0.25">
      <c r="A228" s="2460" t="s">
        <v>693</v>
      </c>
      <c r="B228" s="790" t="s">
        <v>887</v>
      </c>
      <c r="C228" s="925" t="s">
        <v>429</v>
      </c>
      <c r="D228" s="631" t="s">
        <v>1119</v>
      </c>
      <c r="E228" s="631" t="s">
        <v>1120</v>
      </c>
      <c r="F228" s="53" t="s">
        <v>5</v>
      </c>
      <c r="G228" s="53" t="s">
        <v>5</v>
      </c>
      <c r="H228" s="53" t="s">
        <v>5</v>
      </c>
      <c r="I228" s="56">
        <v>148.30000000000001</v>
      </c>
      <c r="J228" s="54"/>
      <c r="K228" s="54"/>
      <c r="L228" s="54"/>
      <c r="M228" s="54"/>
      <c r="N228" s="58" t="s">
        <v>5</v>
      </c>
      <c r="O228" s="58" t="s">
        <v>5</v>
      </c>
      <c r="P228" s="58" t="s">
        <v>5</v>
      </c>
      <c r="Q228" s="58">
        <f>(1011110563/11900000)/366*1000</f>
        <v>232.15102240896357</v>
      </c>
      <c r="S228" s="2434" t="s">
        <v>5</v>
      </c>
      <c r="T228" s="2434" t="s">
        <v>5</v>
      </c>
      <c r="U228" s="2434" t="s">
        <v>5</v>
      </c>
      <c r="V228" s="2434" t="s">
        <v>5</v>
      </c>
      <c r="W228" s="2434">
        <v>146</v>
      </c>
      <c r="X228" s="2434">
        <v>146</v>
      </c>
      <c r="Y228" s="2434">
        <f>I229</f>
        <v>136.5</v>
      </c>
      <c r="Z228" s="2434">
        <f>I229</f>
        <v>136.5</v>
      </c>
      <c r="AA228" s="2444" t="s">
        <v>5</v>
      </c>
      <c r="AB228" s="2444" t="s">
        <v>5</v>
      </c>
      <c r="AC228" s="2444">
        <f>P229</f>
        <v>228.63329878885025</v>
      </c>
      <c r="AD228" s="2444">
        <f>Q229</f>
        <v>217.46775951684421</v>
      </c>
    </row>
    <row r="229" spans="1:30" ht="16.5" customHeight="1" thickBot="1" x14ac:dyDescent="0.3">
      <c r="A229" s="2461"/>
      <c r="B229" s="790" t="s">
        <v>694</v>
      </c>
      <c r="C229" s="925"/>
      <c r="D229" s="631" t="s">
        <v>1119</v>
      </c>
      <c r="E229" s="631" t="s">
        <v>1120</v>
      </c>
      <c r="F229" s="53" t="s">
        <v>5</v>
      </c>
      <c r="G229" s="53" t="s">
        <v>5</v>
      </c>
      <c r="H229" s="53">
        <v>146</v>
      </c>
      <c r="I229" s="56">
        <v>136.5</v>
      </c>
      <c r="J229" s="54"/>
      <c r="K229" s="54"/>
      <c r="L229" s="54"/>
      <c r="M229" s="54"/>
      <c r="N229" s="58" t="s">
        <v>5</v>
      </c>
      <c r="O229" s="58" t="s">
        <v>5</v>
      </c>
      <c r="P229" s="58">
        <f>(9665967838/115827851)/365*1000</f>
        <v>228.63329878885025</v>
      </c>
      <c r="Q229" s="58">
        <f>(9455672158/118800000)/366*1000</f>
        <v>217.46775951684421</v>
      </c>
      <c r="S229" s="2436"/>
      <c r="T229" s="2436"/>
      <c r="U229" s="2436"/>
      <c r="V229" s="2436"/>
      <c r="W229" s="2436"/>
      <c r="X229" s="2436"/>
      <c r="Y229" s="2436"/>
      <c r="Z229" s="2436"/>
      <c r="AA229" s="2449"/>
      <c r="AB229" s="2449"/>
      <c r="AC229" s="2449"/>
      <c r="AD229" s="2449"/>
    </row>
    <row r="230" spans="1:30" ht="16.5" customHeight="1" x14ac:dyDescent="0.25">
      <c r="A230" s="1818" t="s">
        <v>47</v>
      </c>
      <c r="B230" s="824" t="s">
        <v>1154</v>
      </c>
      <c r="C230" s="926" t="s">
        <v>429</v>
      </c>
      <c r="D230" s="631"/>
      <c r="E230" s="631" t="s">
        <v>1121</v>
      </c>
      <c r="F230" s="53" t="s">
        <v>5</v>
      </c>
      <c r="G230" s="53" t="s">
        <v>5</v>
      </c>
      <c r="H230" s="53" t="s">
        <v>5</v>
      </c>
      <c r="I230" s="56" t="s">
        <v>5</v>
      </c>
      <c r="J230" s="54"/>
      <c r="K230" s="54"/>
      <c r="L230" s="54"/>
      <c r="M230" s="54"/>
      <c r="N230" s="58" t="s">
        <v>5</v>
      </c>
      <c r="O230" s="58" t="s">
        <v>5</v>
      </c>
      <c r="P230" s="58" t="s">
        <v>5</v>
      </c>
      <c r="Q230" s="58" t="s">
        <v>5</v>
      </c>
      <c r="S230" s="2450">
        <v>154</v>
      </c>
      <c r="T230" s="2450">
        <f>MEDIAN(F231:F238)</f>
        <v>154</v>
      </c>
      <c r="U230" s="2450">
        <f>SUM(G231:G238)/8</f>
        <v>149</v>
      </c>
      <c r="V230" s="2450">
        <f>MEDIAN(G231:G238)</f>
        <v>149</v>
      </c>
      <c r="W230" s="2450">
        <v>150</v>
      </c>
      <c r="X230" s="2450">
        <v>150</v>
      </c>
      <c r="Y230" s="2434" t="s">
        <v>5</v>
      </c>
      <c r="Z230" s="2434" t="s">
        <v>5</v>
      </c>
      <c r="AA230" s="2444">
        <f>SUM(N231:N238)/8</f>
        <v>177.90694583424724</v>
      </c>
      <c r="AB230" s="2444">
        <f>SUM(O231:O238)/8</f>
        <v>148.59289536013827</v>
      </c>
      <c r="AC230" s="2444">
        <v>150</v>
      </c>
      <c r="AD230" s="2444" t="s">
        <v>5</v>
      </c>
    </row>
    <row r="231" spans="1:30" ht="16.5" customHeight="1" x14ac:dyDescent="0.25">
      <c r="A231" s="1819"/>
      <c r="B231" s="790" t="s">
        <v>534</v>
      </c>
      <c r="C231" s="925"/>
      <c r="D231" s="261"/>
      <c r="E231" s="631" t="s">
        <v>1121</v>
      </c>
      <c r="F231" s="53">
        <v>154</v>
      </c>
      <c r="G231" s="53">
        <v>149</v>
      </c>
      <c r="H231" s="53">
        <v>150</v>
      </c>
      <c r="I231" s="53" t="s">
        <v>5</v>
      </c>
      <c r="J231" s="54"/>
      <c r="K231" s="54"/>
      <c r="L231" s="54"/>
      <c r="M231" s="54"/>
      <c r="N231" s="58">
        <f>(10943400/168528)/365*1000</f>
        <v>177.90466752242466</v>
      </c>
      <c r="O231" s="58">
        <f>(59741814/1098498)/366*1000</f>
        <v>148.59289684642121</v>
      </c>
      <c r="P231" s="58">
        <v>150</v>
      </c>
      <c r="Q231" s="58" t="s">
        <v>5</v>
      </c>
      <c r="S231" s="2451"/>
      <c r="T231" s="2451"/>
      <c r="U231" s="2451"/>
      <c r="V231" s="2451"/>
      <c r="W231" s="2451"/>
      <c r="X231" s="2451"/>
      <c r="Y231" s="2429"/>
      <c r="Z231" s="2429"/>
      <c r="AA231" s="2432"/>
      <c r="AB231" s="2432"/>
      <c r="AC231" s="2432"/>
      <c r="AD231" s="2432"/>
    </row>
    <row r="232" spans="1:30" ht="16.5" customHeight="1" x14ac:dyDescent="0.25">
      <c r="A232" s="1819"/>
      <c r="B232" s="790" t="s">
        <v>535</v>
      </c>
      <c r="C232" s="925"/>
      <c r="D232" s="261"/>
      <c r="E232" s="631" t="s">
        <v>1121</v>
      </c>
      <c r="F232" s="53">
        <v>154</v>
      </c>
      <c r="G232" s="53">
        <v>149</v>
      </c>
      <c r="H232" s="53">
        <v>150</v>
      </c>
      <c r="I232" s="53" t="s">
        <v>5</v>
      </c>
      <c r="J232" s="54"/>
      <c r="K232" s="54"/>
      <c r="L232" s="54"/>
      <c r="M232" s="54"/>
      <c r="N232" s="58">
        <f>(11920350/183573)/365*1000</f>
        <v>177.90466545017475</v>
      </c>
      <c r="O232" s="58">
        <f>(65075133/1196564)/366*1000</f>
        <v>148.59289585518664</v>
      </c>
      <c r="P232" s="58">
        <v>150</v>
      </c>
      <c r="Q232" s="58" t="s">
        <v>5</v>
      </c>
      <c r="S232" s="2451"/>
      <c r="T232" s="2451"/>
      <c r="U232" s="2451"/>
      <c r="V232" s="2451"/>
      <c r="W232" s="2451"/>
      <c r="X232" s="2451"/>
      <c r="Y232" s="2429"/>
      <c r="Z232" s="2429"/>
      <c r="AA232" s="2432"/>
      <c r="AB232" s="2432"/>
      <c r="AC232" s="2432"/>
      <c r="AD232" s="2432"/>
    </row>
    <row r="233" spans="1:30" ht="16.5" customHeight="1" x14ac:dyDescent="0.25">
      <c r="A233" s="1819"/>
      <c r="B233" s="790" t="s">
        <v>536</v>
      </c>
      <c r="C233" s="925"/>
      <c r="D233" s="261"/>
      <c r="E233" s="631" t="s">
        <v>1121</v>
      </c>
      <c r="F233" s="53">
        <v>154</v>
      </c>
      <c r="G233" s="53">
        <v>149</v>
      </c>
      <c r="H233" s="53">
        <v>150</v>
      </c>
      <c r="I233" s="53" t="s">
        <v>5</v>
      </c>
      <c r="J233" s="54"/>
      <c r="K233" s="54"/>
      <c r="L233" s="54"/>
      <c r="M233" s="54"/>
      <c r="N233" s="58">
        <f>(7900180/121663)/365*1000</f>
        <v>177.90395409552031</v>
      </c>
      <c r="O233" s="58">
        <f>(43128393/793020)/366*1000</f>
        <v>148.59289720847181</v>
      </c>
      <c r="P233" s="58">
        <v>150</v>
      </c>
      <c r="Q233" s="58" t="s">
        <v>5</v>
      </c>
      <c r="S233" s="2451"/>
      <c r="T233" s="2451"/>
      <c r="U233" s="2451"/>
      <c r="V233" s="2451"/>
      <c r="W233" s="2451"/>
      <c r="X233" s="2451"/>
      <c r="Y233" s="2429"/>
      <c r="Z233" s="2429"/>
      <c r="AA233" s="2432"/>
      <c r="AB233" s="2432"/>
      <c r="AC233" s="2432"/>
      <c r="AD233" s="2432"/>
    </row>
    <row r="234" spans="1:30" ht="16.5" customHeight="1" x14ac:dyDescent="0.25">
      <c r="A234" s="1819"/>
      <c r="B234" s="790" t="s">
        <v>537</v>
      </c>
      <c r="C234" s="925"/>
      <c r="D234" s="261"/>
      <c r="E234" s="631" t="s">
        <v>1121</v>
      </c>
      <c r="F234" s="53">
        <v>154</v>
      </c>
      <c r="G234" s="53">
        <v>149</v>
      </c>
      <c r="H234" s="53">
        <v>150</v>
      </c>
      <c r="I234" s="53" t="s">
        <v>5</v>
      </c>
      <c r="J234" s="54"/>
      <c r="K234" s="54"/>
      <c r="L234" s="54"/>
      <c r="M234" s="54"/>
      <c r="N234" s="58">
        <f>(6384480/98321)/365*1000</f>
        <v>177.90427301794389</v>
      </c>
      <c r="O234" s="58">
        <f>(34853932/640874)/366*1000</f>
        <v>148.59289408584462</v>
      </c>
      <c r="P234" s="58">
        <v>150</v>
      </c>
      <c r="Q234" s="58" t="s">
        <v>5</v>
      </c>
      <c r="S234" s="2451"/>
      <c r="T234" s="2451"/>
      <c r="U234" s="2451"/>
      <c r="V234" s="2451"/>
      <c r="W234" s="2451"/>
      <c r="X234" s="2451"/>
      <c r="Y234" s="2429"/>
      <c r="Z234" s="2429"/>
      <c r="AA234" s="2432"/>
      <c r="AB234" s="2432"/>
      <c r="AC234" s="2432"/>
      <c r="AD234" s="2432"/>
    </row>
    <row r="235" spans="1:30" ht="16.5" customHeight="1" x14ac:dyDescent="0.25">
      <c r="A235" s="1819"/>
      <c r="B235" s="790" t="s">
        <v>538</v>
      </c>
      <c r="C235" s="925"/>
      <c r="D235" s="261"/>
      <c r="E235" s="631" t="s">
        <v>1121</v>
      </c>
      <c r="F235" s="53">
        <v>154</v>
      </c>
      <c r="G235" s="53">
        <v>149</v>
      </c>
      <c r="H235" s="53">
        <v>150</v>
      </c>
      <c r="I235" s="53" t="s">
        <v>5</v>
      </c>
      <c r="J235" s="54"/>
      <c r="K235" s="54"/>
      <c r="L235" s="54"/>
      <c r="M235" s="54"/>
      <c r="N235" s="58">
        <f>(6513700/100311)/365*1000</f>
        <v>177.90425202278448</v>
      </c>
      <c r="O235" s="58">
        <f>(35559360/653845)/366*1000</f>
        <v>148.59289481677675</v>
      </c>
      <c r="P235" s="58">
        <v>150</v>
      </c>
      <c r="Q235" s="58" t="s">
        <v>5</v>
      </c>
      <c r="S235" s="2451"/>
      <c r="T235" s="2451"/>
      <c r="U235" s="2451"/>
      <c r="V235" s="2451"/>
      <c r="W235" s="2451"/>
      <c r="X235" s="2451"/>
      <c r="Y235" s="2429"/>
      <c r="Z235" s="2429"/>
      <c r="AA235" s="2432"/>
      <c r="AB235" s="2432"/>
      <c r="AC235" s="2432"/>
      <c r="AD235" s="2432"/>
    </row>
    <row r="236" spans="1:30" ht="16.5" customHeight="1" x14ac:dyDescent="0.25">
      <c r="A236" s="1819"/>
      <c r="B236" s="790" t="s">
        <v>539</v>
      </c>
      <c r="C236" s="925"/>
      <c r="D236" s="261"/>
      <c r="E236" s="631" t="s">
        <v>1121</v>
      </c>
      <c r="F236" s="53">
        <v>154</v>
      </c>
      <c r="G236" s="53">
        <v>149</v>
      </c>
      <c r="H236" s="53">
        <v>150</v>
      </c>
      <c r="I236" s="53" t="s">
        <v>5</v>
      </c>
      <c r="J236" s="54"/>
      <c r="K236" s="54"/>
      <c r="L236" s="54"/>
      <c r="M236" s="54"/>
      <c r="N236" s="58">
        <f>(3605280/55521)/365*1000</f>
        <v>177.90528722564068</v>
      </c>
      <c r="O236" s="58">
        <f>(19681823/361898)/366*1000</f>
        <v>148.59289821329665</v>
      </c>
      <c r="P236" s="58">
        <v>150</v>
      </c>
      <c r="Q236" s="58" t="s">
        <v>5</v>
      </c>
      <c r="S236" s="2451"/>
      <c r="T236" s="2451"/>
      <c r="U236" s="2451"/>
      <c r="V236" s="2451"/>
      <c r="W236" s="2451"/>
      <c r="X236" s="2451"/>
      <c r="Y236" s="2429"/>
      <c r="Z236" s="2429"/>
      <c r="AA236" s="2432"/>
      <c r="AB236" s="2432"/>
      <c r="AC236" s="2432"/>
      <c r="AD236" s="2432"/>
    </row>
    <row r="237" spans="1:30" ht="16.5" customHeight="1" x14ac:dyDescent="0.25">
      <c r="A237" s="1819"/>
      <c r="B237" s="790" t="s">
        <v>540</v>
      </c>
      <c r="C237" s="925"/>
      <c r="D237" s="261"/>
      <c r="E237" s="631" t="s">
        <v>1121</v>
      </c>
      <c r="F237" s="53">
        <v>154</v>
      </c>
      <c r="G237" s="53">
        <v>149</v>
      </c>
      <c r="H237" s="53">
        <v>150</v>
      </c>
      <c r="I237" s="53" t="s">
        <v>5</v>
      </c>
      <c r="J237" s="54"/>
      <c r="K237" s="54"/>
      <c r="L237" s="54"/>
      <c r="M237" s="54"/>
      <c r="N237" s="58">
        <f>(2312680/35615)/365*1000</f>
        <v>177.90564618955764</v>
      </c>
      <c r="O237" s="58">
        <f>(12625423/232149)/366*1000</f>
        <v>148.59289187905441</v>
      </c>
      <c r="P237" s="58">
        <v>150</v>
      </c>
      <c r="Q237" s="58" t="s">
        <v>5</v>
      </c>
      <c r="S237" s="2451"/>
      <c r="T237" s="2451"/>
      <c r="U237" s="2451"/>
      <c r="V237" s="2451"/>
      <c r="W237" s="2451"/>
      <c r="X237" s="2451"/>
      <c r="Y237" s="2429"/>
      <c r="Z237" s="2429"/>
      <c r="AA237" s="2432"/>
      <c r="AB237" s="2432"/>
      <c r="AC237" s="2432"/>
      <c r="AD237" s="2432"/>
    </row>
    <row r="238" spans="1:30" ht="15.75" customHeight="1" thickBot="1" x14ac:dyDescent="0.3">
      <c r="A238" s="1820"/>
      <c r="B238" s="792" t="s">
        <v>541</v>
      </c>
      <c r="C238" s="925"/>
      <c r="D238" s="261"/>
      <c r="E238" s="631" t="s">
        <v>1121</v>
      </c>
      <c r="F238" s="53">
        <v>154</v>
      </c>
      <c r="G238" s="53">
        <v>149</v>
      </c>
      <c r="H238" s="53">
        <v>150</v>
      </c>
      <c r="I238" s="53" t="s">
        <v>5</v>
      </c>
      <c r="J238" s="54"/>
      <c r="K238" s="54"/>
      <c r="L238" s="54"/>
      <c r="M238" s="54"/>
      <c r="N238" s="58">
        <f>(245610/3782)/365*1000</f>
        <v>177.92282114993151</v>
      </c>
      <c r="O238" s="58">
        <f>(1351576/24852)/366*1000</f>
        <v>148.59289397605409</v>
      </c>
      <c r="P238" s="58">
        <v>150</v>
      </c>
      <c r="Q238" s="58" t="s">
        <v>5</v>
      </c>
      <c r="S238" s="2452"/>
      <c r="T238" s="2452"/>
      <c r="U238" s="2452"/>
      <c r="V238" s="2452"/>
      <c r="W238" s="2452"/>
      <c r="X238" s="2452"/>
      <c r="Y238" s="2436"/>
      <c r="Z238" s="2436"/>
      <c r="AA238" s="2449"/>
      <c r="AB238" s="2449"/>
      <c r="AC238" s="2449"/>
      <c r="AD238" s="2449"/>
    </row>
    <row r="239" spans="1:30" ht="15.75" customHeight="1" x14ac:dyDescent="0.25">
      <c r="A239" s="2150" t="s">
        <v>41</v>
      </c>
      <c r="B239" s="457" t="s">
        <v>192</v>
      </c>
      <c r="C239" s="457" t="s">
        <v>429</v>
      </c>
      <c r="D239" s="261" t="s">
        <v>1122</v>
      </c>
      <c r="E239" s="261" t="s">
        <v>1123</v>
      </c>
      <c r="F239" s="53"/>
      <c r="G239" s="53"/>
      <c r="H239" s="53"/>
      <c r="I239" s="53"/>
      <c r="J239" s="54"/>
      <c r="K239" s="54"/>
      <c r="L239" s="54"/>
      <c r="M239" s="54"/>
      <c r="N239" s="52"/>
      <c r="O239" s="52"/>
      <c r="P239" s="52"/>
      <c r="Q239" s="52"/>
      <c r="S239" s="447"/>
      <c r="T239" s="447"/>
      <c r="U239" s="447"/>
      <c r="V239" s="447"/>
      <c r="W239" s="447"/>
      <c r="X239" s="447"/>
      <c r="Y239" s="447"/>
      <c r="Z239" s="447"/>
      <c r="AA239" s="948"/>
      <c r="AB239" s="2457"/>
      <c r="AC239" s="2457"/>
      <c r="AD239" s="2457"/>
    </row>
    <row r="240" spans="1:30" ht="15.75" customHeight="1" x14ac:dyDescent="0.25">
      <c r="A240" s="2151"/>
      <c r="B240" s="457" t="s">
        <v>193</v>
      </c>
      <c r="C240" s="457"/>
      <c r="D240" s="261" t="s">
        <v>1122</v>
      </c>
      <c r="E240" s="261" t="s">
        <v>1123</v>
      </c>
      <c r="F240" s="53"/>
      <c r="G240" s="53"/>
      <c r="H240" s="53"/>
      <c r="I240" s="53"/>
      <c r="J240" s="54"/>
      <c r="K240" s="54"/>
      <c r="L240" s="54"/>
      <c r="M240" s="54"/>
      <c r="N240" s="52"/>
      <c r="O240" s="52"/>
      <c r="P240" s="52"/>
      <c r="Q240" s="52"/>
      <c r="S240" s="71"/>
      <c r="T240" s="71"/>
      <c r="U240" s="449"/>
      <c r="V240" s="71"/>
      <c r="W240" s="449"/>
      <c r="X240" s="449"/>
      <c r="Y240" s="71"/>
      <c r="Z240" s="71"/>
      <c r="AA240" s="949"/>
      <c r="AB240" s="2458"/>
      <c r="AC240" s="2458"/>
      <c r="AD240" s="2458"/>
    </row>
    <row r="241" spans="1:30" ht="15.75" customHeight="1" x14ac:dyDescent="0.25">
      <c r="A241" s="2152"/>
      <c r="B241" s="268" t="s">
        <v>194</v>
      </c>
      <c r="C241" s="457"/>
      <c r="D241" s="261" t="s">
        <v>1122</v>
      </c>
      <c r="E241" s="261" t="s">
        <v>1123</v>
      </c>
      <c r="F241" s="53"/>
      <c r="G241" s="53"/>
      <c r="H241" s="53"/>
      <c r="I241" s="53"/>
      <c r="J241" s="54"/>
      <c r="K241" s="54"/>
      <c r="L241" s="54"/>
      <c r="M241" s="54"/>
      <c r="N241" s="52"/>
      <c r="O241" s="52"/>
      <c r="P241" s="52"/>
      <c r="Q241" s="52"/>
      <c r="S241" s="448"/>
      <c r="T241" s="448"/>
      <c r="U241" s="448"/>
      <c r="V241" s="448"/>
      <c r="W241" s="448"/>
      <c r="X241" s="448"/>
      <c r="Y241" s="448"/>
      <c r="Z241" s="448"/>
      <c r="AA241" s="950"/>
      <c r="AB241" s="2459"/>
      <c r="AC241" s="2459"/>
      <c r="AD241" s="2459"/>
    </row>
    <row r="242" spans="1:30" ht="16.5" thickBot="1" x14ac:dyDescent="0.3">
      <c r="A242" s="267" t="s">
        <v>42</v>
      </c>
      <c r="B242" s="278" t="s">
        <v>42</v>
      </c>
      <c r="C242" s="278" t="s">
        <v>429</v>
      </c>
      <c r="D242" s="764" t="s">
        <v>1124</v>
      </c>
      <c r="E242" s="764" t="s">
        <v>1125</v>
      </c>
      <c r="F242" s="53">
        <v>154</v>
      </c>
      <c r="G242" s="53"/>
      <c r="H242" s="53"/>
      <c r="I242" s="53"/>
      <c r="J242" s="54"/>
      <c r="K242" s="54"/>
      <c r="L242" s="54"/>
      <c r="M242" s="54"/>
      <c r="N242" s="58">
        <f>(476084188/5076700)/365*1000</f>
        <v>256.92679124153301</v>
      </c>
      <c r="O242" s="58"/>
      <c r="P242" s="58"/>
      <c r="Q242" s="58"/>
      <c r="S242" s="59">
        <v>154</v>
      </c>
      <c r="T242" s="59">
        <f>F242</f>
        <v>154</v>
      </c>
      <c r="U242" s="59"/>
      <c r="V242" s="59"/>
      <c r="W242" s="59"/>
      <c r="X242" s="59"/>
      <c r="Y242" s="59"/>
      <c r="Z242" s="59"/>
      <c r="AA242" s="64">
        <f>N242</f>
        <v>256.92679124153301</v>
      </c>
      <c r="AB242" s="64"/>
      <c r="AC242" s="64"/>
      <c r="AD242" s="64"/>
    </row>
    <row r="243" spans="1:30" ht="15.75" customHeight="1" x14ac:dyDescent="0.25">
      <c r="A243" s="1833" t="s">
        <v>24</v>
      </c>
      <c r="B243" s="793" t="s">
        <v>140</v>
      </c>
      <c r="C243" s="762" t="s">
        <v>429</v>
      </c>
      <c r="D243" s="276" t="s">
        <v>1126</v>
      </c>
      <c r="E243" s="276" t="s">
        <v>1127</v>
      </c>
      <c r="F243" s="53">
        <v>98</v>
      </c>
      <c r="G243" s="53"/>
      <c r="H243" s="53"/>
      <c r="I243" s="53"/>
      <c r="J243" s="54"/>
      <c r="K243" s="54"/>
      <c r="L243" s="54"/>
      <c r="M243" s="54"/>
      <c r="N243" s="55"/>
      <c r="O243" s="55"/>
      <c r="P243" s="55"/>
      <c r="Q243" s="55"/>
      <c r="S243" s="2434">
        <f>SUM(F243:F245)/3</f>
        <v>93.666666666666671</v>
      </c>
      <c r="T243" s="2434">
        <f>MEDIAN(F243:F245)</f>
        <v>94</v>
      </c>
      <c r="U243" s="935"/>
      <c r="V243" s="935"/>
      <c r="W243" s="935"/>
      <c r="X243" s="935"/>
      <c r="Y243" s="935"/>
      <c r="Z243" s="935"/>
      <c r="AA243" s="943"/>
      <c r="AB243" s="2437"/>
      <c r="AC243" s="2437"/>
      <c r="AD243" s="2437"/>
    </row>
    <row r="244" spans="1:30" ht="15.75" customHeight="1" x14ac:dyDescent="0.25">
      <c r="A244" s="1834"/>
      <c r="B244" s="479" t="s">
        <v>141</v>
      </c>
      <c r="C244" s="762"/>
      <c r="D244" s="276" t="s">
        <v>1126</v>
      </c>
      <c r="E244" s="276" t="s">
        <v>1127</v>
      </c>
      <c r="F244" s="53">
        <v>89</v>
      </c>
      <c r="G244" s="53"/>
      <c r="H244" s="53"/>
      <c r="I244" s="53"/>
      <c r="J244" s="54"/>
      <c r="K244" s="54"/>
      <c r="L244" s="54"/>
      <c r="M244" s="54"/>
      <c r="N244" s="55"/>
      <c r="O244" s="55"/>
      <c r="P244" s="55"/>
      <c r="Q244" s="55"/>
      <c r="S244" s="2429"/>
      <c r="T244" s="2429"/>
      <c r="U244" s="938"/>
      <c r="V244" s="936"/>
      <c r="W244" s="938"/>
      <c r="X244" s="938"/>
      <c r="Y244" s="936"/>
      <c r="Z244" s="936"/>
      <c r="AA244" s="947"/>
      <c r="AB244" s="2443"/>
      <c r="AC244" s="2443"/>
      <c r="AD244" s="2443"/>
    </row>
    <row r="245" spans="1:30" ht="16.5" customHeight="1" thickBot="1" x14ac:dyDescent="0.3">
      <c r="A245" s="1835"/>
      <c r="B245" s="266" t="s">
        <v>142</v>
      </c>
      <c r="C245" s="762"/>
      <c r="D245" s="276" t="s">
        <v>1126</v>
      </c>
      <c r="E245" s="276" t="s">
        <v>1127</v>
      </c>
      <c r="F245" s="53">
        <v>94</v>
      </c>
      <c r="G245" s="53"/>
      <c r="H245" s="53"/>
      <c r="I245" s="53"/>
      <c r="J245" s="54"/>
      <c r="K245" s="54"/>
      <c r="L245" s="54"/>
      <c r="M245" s="54"/>
      <c r="N245" s="55"/>
      <c r="O245" s="55"/>
      <c r="P245" s="55"/>
      <c r="Q245" s="55"/>
      <c r="S245" s="2436"/>
      <c r="T245" s="2436"/>
      <c r="U245" s="937"/>
      <c r="V245" s="937"/>
      <c r="W245" s="937"/>
      <c r="X245" s="937"/>
      <c r="Y245" s="937"/>
      <c r="Z245" s="937"/>
      <c r="AA245" s="944"/>
      <c r="AB245" s="2439"/>
      <c r="AC245" s="2439"/>
      <c r="AD245" s="2439"/>
    </row>
    <row r="246" spans="1:30" ht="16.5" thickBot="1" x14ac:dyDescent="0.3">
      <c r="A246" s="267" t="s">
        <v>43</v>
      </c>
      <c r="B246" s="457" t="s">
        <v>644</v>
      </c>
      <c r="C246" s="457" t="s">
        <v>429</v>
      </c>
      <c r="D246" s="261" t="s">
        <v>1128</v>
      </c>
      <c r="E246" s="261" t="s">
        <v>1129</v>
      </c>
      <c r="F246" s="53" t="s">
        <v>5</v>
      </c>
      <c r="G246" s="56">
        <f>(134830059/3848500)/366*1000</f>
        <v>95.722525488959917</v>
      </c>
      <c r="H246" s="56"/>
      <c r="I246" s="56"/>
      <c r="J246" s="54"/>
      <c r="K246" s="54"/>
      <c r="L246" s="54"/>
      <c r="M246" s="54"/>
      <c r="N246" s="55" t="s">
        <v>5</v>
      </c>
      <c r="O246" s="58">
        <v>205</v>
      </c>
      <c r="P246" s="58"/>
      <c r="Q246" s="58"/>
      <c r="S246" s="59" t="s">
        <v>5</v>
      </c>
      <c r="T246" s="59" t="s">
        <v>5</v>
      </c>
      <c r="U246" s="249">
        <f>G246</f>
        <v>95.722525488959917</v>
      </c>
      <c r="V246" s="249">
        <f>G246</f>
        <v>95.722525488959917</v>
      </c>
      <c r="W246" s="249"/>
      <c r="X246" s="249"/>
      <c r="Y246" s="249"/>
      <c r="Z246" s="249"/>
      <c r="AA246" s="62" t="s">
        <v>5</v>
      </c>
      <c r="AB246" s="64">
        <f>O246</f>
        <v>205</v>
      </c>
      <c r="AC246" s="64"/>
      <c r="AD246" s="64"/>
    </row>
    <row r="247" spans="1:30" ht="16.5" thickBot="1" x14ac:dyDescent="0.3">
      <c r="A247" s="279" t="s">
        <v>450</v>
      </c>
      <c r="B247" s="794" t="s">
        <v>177</v>
      </c>
      <c r="C247" s="457"/>
      <c r="D247" s="261"/>
      <c r="E247" s="261"/>
      <c r="F247" s="53">
        <f>0.177*1000</f>
        <v>177</v>
      </c>
      <c r="G247" s="53"/>
      <c r="H247" s="53"/>
      <c r="I247" s="53"/>
      <c r="J247" s="54"/>
      <c r="K247" s="54"/>
      <c r="L247" s="54"/>
      <c r="M247" s="54"/>
      <c r="N247" s="58">
        <f>(122913000/1140000)/365*1000</f>
        <v>295.39293439077147</v>
      </c>
      <c r="O247" s="58"/>
      <c r="P247" s="58"/>
      <c r="Q247" s="58"/>
      <c r="S247" s="447">
        <f>F247</f>
        <v>177</v>
      </c>
      <c r="T247" s="447">
        <f>F247</f>
        <v>177</v>
      </c>
      <c r="U247" s="447"/>
      <c r="V247" s="447"/>
      <c r="W247" s="447"/>
      <c r="X247" s="447"/>
      <c r="Y247" s="447"/>
      <c r="Z247" s="447"/>
      <c r="AA247" s="235">
        <f>N247</f>
        <v>295.39293439077147</v>
      </c>
      <c r="AB247" s="235"/>
      <c r="AC247" s="235"/>
      <c r="AD247" s="235"/>
    </row>
    <row r="248" spans="1:30" ht="15.75" customHeight="1" x14ac:dyDescent="0.25">
      <c r="A248" s="1818" t="s">
        <v>25</v>
      </c>
      <c r="B248" s="786" t="s">
        <v>143</v>
      </c>
      <c r="C248" s="760" t="s">
        <v>429</v>
      </c>
      <c r="D248" s="639" t="s">
        <v>1130</v>
      </c>
      <c r="E248" s="639" t="s">
        <v>1131</v>
      </c>
      <c r="F248" s="53">
        <v>285</v>
      </c>
      <c r="G248" s="53">
        <v>286</v>
      </c>
      <c r="H248" s="53">
        <v>284</v>
      </c>
      <c r="I248" s="53">
        <v>193</v>
      </c>
      <c r="J248" s="54"/>
      <c r="K248" s="54"/>
      <c r="L248" s="54"/>
      <c r="M248" s="54"/>
      <c r="N248" s="58">
        <f>(1087377092/10464051)/365*1000</f>
        <v>284.70000008103415</v>
      </c>
      <c r="O248" s="58">
        <f>(1112924698/10442426)/366*1000</f>
        <v>291.1945809707417</v>
      </c>
      <c r="P248" s="58">
        <f>(1098861672/10388055)/365*1000</f>
        <v>289.81170423988624</v>
      </c>
      <c r="Q248" s="58">
        <f>(1107967645/10204057)/366*1000</f>
        <v>296.66964842829083</v>
      </c>
      <c r="S248" s="2434">
        <f>SUM(F248:F255)/8</f>
        <v>271.375</v>
      </c>
      <c r="T248" s="2434">
        <f>MEDIAN(F248:F255)</f>
        <v>271.5</v>
      </c>
      <c r="U248" s="2434">
        <f>SUM(G248:G255)/8</f>
        <v>275.375</v>
      </c>
      <c r="V248" s="2434">
        <f>MEDIAN(G248:G255)</f>
        <v>276</v>
      </c>
      <c r="W248" s="2434">
        <f>SUM(H248:H255)/8</f>
        <v>277.375</v>
      </c>
      <c r="X248" s="2434">
        <f>MEDIAN(H248:H255)</f>
        <v>279</v>
      </c>
      <c r="Y248" s="2434">
        <f>SUM(I248:I255)/8</f>
        <v>182.25</v>
      </c>
      <c r="Z248" s="2434">
        <f>MEDIAN(I248:I255)</f>
        <v>185</v>
      </c>
      <c r="AA248" s="2444">
        <f>SUM(N248:N255)/8</f>
        <v>271.23749974729202</v>
      </c>
      <c r="AB248" s="2444">
        <f>SUM(O248:O255)/8</f>
        <v>278.69283404646825</v>
      </c>
      <c r="AC248" s="2444">
        <f>SUM(P248:P255)/8</f>
        <v>281.49095611418716</v>
      </c>
      <c r="AD248" s="2444">
        <f>SUM(Q248:Q255)/8</f>
        <v>290.82974629097413</v>
      </c>
    </row>
    <row r="249" spans="1:30" ht="15.75" customHeight="1" x14ac:dyDescent="0.25">
      <c r="A249" s="1819"/>
      <c r="B249" s="660" t="s">
        <v>144</v>
      </c>
      <c r="C249" s="760"/>
      <c r="D249" s="639" t="s">
        <v>1130</v>
      </c>
      <c r="E249" s="639" t="s">
        <v>1131</v>
      </c>
      <c r="F249" s="53">
        <v>254</v>
      </c>
      <c r="G249" s="53">
        <v>256</v>
      </c>
      <c r="H249" s="53">
        <v>258</v>
      </c>
      <c r="I249" s="53">
        <v>160</v>
      </c>
      <c r="J249" s="54"/>
      <c r="K249" s="54"/>
      <c r="L249" s="54"/>
      <c r="M249" s="54"/>
      <c r="N249" s="58">
        <f>(330244527/3569150)/365*1000</f>
        <v>253.5000002878549</v>
      </c>
      <c r="O249" s="58">
        <f>(338963883/3571946)/366*1000</f>
        <v>259.27906745198624</v>
      </c>
      <c r="P249" s="58">
        <f>(339738282/3562753)/365*1000</f>
        <v>261.25577992598141</v>
      </c>
      <c r="Q249" s="58">
        <f>(344551295/3540369)/366*1000</f>
        <v>265.90363345581125</v>
      </c>
      <c r="S249" s="2435"/>
      <c r="T249" s="2429"/>
      <c r="U249" s="2435"/>
      <c r="V249" s="2429"/>
      <c r="W249" s="2435"/>
      <c r="X249" s="2435"/>
      <c r="Y249" s="2429"/>
      <c r="Z249" s="2429"/>
      <c r="AA249" s="2445"/>
      <c r="AB249" s="2456"/>
      <c r="AC249" s="2456"/>
      <c r="AD249" s="2456"/>
    </row>
    <row r="250" spans="1:30" ht="15.75" customHeight="1" x14ac:dyDescent="0.25">
      <c r="A250" s="1819"/>
      <c r="B250" s="660" t="s">
        <v>145</v>
      </c>
      <c r="C250" s="760"/>
      <c r="D250" s="639" t="s">
        <v>1130</v>
      </c>
      <c r="E250" s="639" t="s">
        <v>1131</v>
      </c>
      <c r="F250" s="53">
        <v>270</v>
      </c>
      <c r="G250" s="53">
        <v>272</v>
      </c>
      <c r="H250" s="53">
        <v>277</v>
      </c>
      <c r="I250" s="53">
        <v>183</v>
      </c>
      <c r="J250" s="54"/>
      <c r="K250" s="54"/>
      <c r="L250" s="54"/>
      <c r="M250" s="54"/>
      <c r="N250" s="58">
        <f>(246363270/2503590)/365*1000</f>
        <v>269.59999960604512</v>
      </c>
      <c r="O250" s="58">
        <f>(257106820/2524026)/366*1000</f>
        <v>278.31632886239049</v>
      </c>
      <c r="P250" s="58">
        <f>(261068155/2522020)/365*1000</f>
        <v>283.60410273434871</v>
      </c>
      <c r="Q250" s="58">
        <f>(266821593/2509849)/366*1000</f>
        <v>290.46398643967797</v>
      </c>
      <c r="S250" s="2435"/>
      <c r="T250" s="2429"/>
      <c r="U250" s="2435"/>
      <c r="V250" s="2429"/>
      <c r="W250" s="2435"/>
      <c r="X250" s="2435"/>
      <c r="Y250" s="2429"/>
      <c r="Z250" s="2429"/>
      <c r="AA250" s="2445"/>
      <c r="AB250" s="2456"/>
      <c r="AC250" s="2456"/>
      <c r="AD250" s="2456"/>
    </row>
    <row r="251" spans="1:30" ht="15.75" customHeight="1" x14ac:dyDescent="0.25">
      <c r="A251" s="1819"/>
      <c r="B251" s="660" t="s">
        <v>146</v>
      </c>
      <c r="C251" s="760"/>
      <c r="D251" s="639" t="s">
        <v>1130</v>
      </c>
      <c r="E251" s="639" t="s">
        <v>1131</v>
      </c>
      <c r="F251" s="53">
        <v>301</v>
      </c>
      <c r="G251" s="53">
        <v>296</v>
      </c>
      <c r="H251" s="53">
        <v>295</v>
      </c>
      <c r="I251" s="53">
        <v>182</v>
      </c>
      <c r="J251" s="54"/>
      <c r="K251" s="54"/>
      <c r="L251" s="54"/>
      <c r="M251" s="54"/>
      <c r="N251" s="58">
        <f>(296900137/2699718)/365*1000</f>
        <v>301.29999980616952</v>
      </c>
      <c r="O251" s="58">
        <f>(308643844/2844966)/366*1000</f>
        <v>296.41450592268257</v>
      </c>
      <c r="P251" s="58">
        <f>(310962650/2884226)/365*1000</f>
        <v>295.38339428096987</v>
      </c>
      <c r="Q251" s="58">
        <f>(329691333/2965367)/366*1000</f>
        <v>303.77217787993152</v>
      </c>
      <c r="S251" s="2435"/>
      <c r="T251" s="2429"/>
      <c r="U251" s="2435"/>
      <c r="V251" s="2429"/>
      <c r="W251" s="2435"/>
      <c r="X251" s="2435"/>
      <c r="Y251" s="2429"/>
      <c r="Z251" s="2429"/>
      <c r="AA251" s="2445"/>
      <c r="AB251" s="2456"/>
      <c r="AC251" s="2456"/>
      <c r="AD251" s="2456"/>
    </row>
    <row r="252" spans="1:30" ht="15.75" customHeight="1" x14ac:dyDescent="0.25">
      <c r="A252" s="1819"/>
      <c r="B252" s="660" t="s">
        <v>147</v>
      </c>
      <c r="C252" s="760"/>
      <c r="D252" s="639" t="s">
        <v>1130</v>
      </c>
      <c r="E252" s="639" t="s">
        <v>1131</v>
      </c>
      <c r="F252" s="53">
        <v>263</v>
      </c>
      <c r="G252" s="53">
        <v>266</v>
      </c>
      <c r="H252" s="53">
        <v>270</v>
      </c>
      <c r="I252" s="53">
        <v>188</v>
      </c>
      <c r="J252" s="54"/>
      <c r="K252" s="54"/>
      <c r="L252" s="54"/>
      <c r="M252" s="54"/>
      <c r="N252" s="58">
        <f>(136543349/1424025)/365*1000</f>
        <v>262.69999973545947</v>
      </c>
      <c r="O252" s="58">
        <f>(145416757/1476306)/366*1000</f>
        <v>269.12682310838471</v>
      </c>
      <c r="P252" s="58">
        <f>(147795372/1481922)/365*1000</f>
        <v>273.23896088813058</v>
      </c>
      <c r="Q252" s="58">
        <f>(153831074/1486409)/366*1000</f>
        <v>282.76435414096449</v>
      </c>
      <c r="S252" s="2435"/>
      <c r="T252" s="2429"/>
      <c r="U252" s="2435"/>
      <c r="V252" s="2429"/>
      <c r="W252" s="2435"/>
      <c r="X252" s="2435"/>
      <c r="Y252" s="2429"/>
      <c r="Z252" s="2429"/>
      <c r="AA252" s="2445"/>
      <c r="AB252" s="2456"/>
      <c r="AC252" s="2456"/>
      <c r="AD252" s="2456"/>
    </row>
    <row r="253" spans="1:30" ht="15.75" customHeight="1" x14ac:dyDescent="0.25">
      <c r="A253" s="1819"/>
      <c r="B253" s="660" t="s">
        <v>148</v>
      </c>
      <c r="C253" s="760"/>
      <c r="D253" s="639" t="s">
        <v>1130</v>
      </c>
      <c r="E253" s="639" t="s">
        <v>1131</v>
      </c>
      <c r="F253" s="53">
        <v>273</v>
      </c>
      <c r="G253" s="53">
        <v>295</v>
      </c>
      <c r="H253" s="53">
        <v>297</v>
      </c>
      <c r="I253" s="53">
        <v>190</v>
      </c>
      <c r="J253" s="54"/>
      <c r="K253" s="54"/>
      <c r="L253" s="54"/>
      <c r="M253" s="54"/>
      <c r="N253" s="58">
        <f>(148478920/1490625)/365*1000</f>
        <v>272.89999942563389</v>
      </c>
      <c r="O253" s="58">
        <f>(170269789/1535095)/366*1000</f>
        <v>303.05486157680173</v>
      </c>
      <c r="P253" s="58">
        <f>(175155596/1544418)/365*1000</f>
        <v>310.71791782113354</v>
      </c>
      <c r="Q253" s="58">
        <f>(190554231/1529882)/366*1000</f>
        <v>340.31381205206418</v>
      </c>
      <c r="S253" s="2435"/>
      <c r="T253" s="2429"/>
      <c r="U253" s="2435"/>
      <c r="V253" s="2429"/>
      <c r="W253" s="2435"/>
      <c r="X253" s="2435"/>
      <c r="Y253" s="2429"/>
      <c r="Z253" s="2429"/>
      <c r="AA253" s="2445"/>
      <c r="AB253" s="2456"/>
      <c r="AC253" s="2456"/>
      <c r="AD253" s="2456"/>
    </row>
    <row r="254" spans="1:30" ht="15.75" customHeight="1" x14ac:dyDescent="0.25">
      <c r="A254" s="1819"/>
      <c r="B254" s="660" t="s">
        <v>149</v>
      </c>
      <c r="C254" s="760"/>
      <c r="D254" s="639" t="s">
        <v>1130</v>
      </c>
      <c r="E254" s="639" t="s">
        <v>1131</v>
      </c>
      <c r="F254" s="53">
        <v>251</v>
      </c>
      <c r="G254" s="53">
        <v>252</v>
      </c>
      <c r="H254" s="53">
        <v>257</v>
      </c>
      <c r="I254" s="53">
        <v>175</v>
      </c>
      <c r="J254" s="54"/>
      <c r="K254" s="54"/>
      <c r="L254" s="54"/>
      <c r="M254" s="54"/>
      <c r="N254" s="58">
        <f>(100004562/1090271)/365*1000</f>
        <v>251.29999914687539</v>
      </c>
      <c r="O254" s="58">
        <f>(104690006/1137252)/366*1000</f>
        <v>251.51704965967338</v>
      </c>
      <c r="P254" s="58">
        <f>(108016465/1152779)/365*1000</f>
        <v>256.71487817521415</v>
      </c>
      <c r="Q254" s="58">
        <f>(113163907/1173964)/366*1000</f>
        <v>263.37349589275351</v>
      </c>
      <c r="S254" s="2435"/>
      <c r="T254" s="2429"/>
      <c r="U254" s="2435"/>
      <c r="V254" s="2429"/>
      <c r="W254" s="2435"/>
      <c r="X254" s="2435"/>
      <c r="Y254" s="2429"/>
      <c r="Z254" s="2429"/>
      <c r="AA254" s="2445"/>
      <c r="AB254" s="2456"/>
      <c r="AC254" s="2456"/>
      <c r="AD254" s="2456"/>
    </row>
    <row r="255" spans="1:30" ht="16.5" customHeight="1" thickBot="1" x14ac:dyDescent="0.3">
      <c r="A255" s="1820"/>
      <c r="B255" s="612" t="s">
        <v>150</v>
      </c>
      <c r="C255" s="760"/>
      <c r="D255" s="639" t="s">
        <v>1130</v>
      </c>
      <c r="E255" s="639" t="s">
        <v>1131</v>
      </c>
      <c r="F255" s="53">
        <v>274</v>
      </c>
      <c r="G255" s="53">
        <v>280</v>
      </c>
      <c r="H255" s="53">
        <v>281</v>
      </c>
      <c r="I255" s="53">
        <v>187</v>
      </c>
      <c r="J255" s="54"/>
      <c r="K255" s="54"/>
      <c r="L255" s="54"/>
      <c r="M255" s="54"/>
      <c r="N255" s="58">
        <f>(1116758880/11170549)/365*1000</f>
        <v>273.8999998892636</v>
      </c>
      <c r="O255" s="58">
        <f>(1232625800/12000558)/366*1000</f>
        <v>280.63945481908496</v>
      </c>
      <c r="P255" s="58">
        <f>(1256149393/12238599)/365*1000</f>
        <v>281.20091084783235</v>
      </c>
      <c r="Q255" s="58">
        <f>(1330751425/12830733)/366*1000</f>
        <v>283.37686203829952</v>
      </c>
      <c r="S255" s="2436"/>
      <c r="T255" s="2436"/>
      <c r="U255" s="2436"/>
      <c r="V255" s="2436"/>
      <c r="W255" s="2436"/>
      <c r="X255" s="2436"/>
      <c r="Y255" s="2436"/>
      <c r="Z255" s="2436"/>
      <c r="AA255" s="2449"/>
      <c r="AB255" s="2449"/>
      <c r="AC255" s="2449"/>
      <c r="AD255" s="2449"/>
    </row>
    <row r="256" spans="1:30" ht="15.75" customHeight="1" x14ac:dyDescent="0.25">
      <c r="A256" s="1818" t="s">
        <v>26</v>
      </c>
      <c r="B256" s="786" t="s">
        <v>151</v>
      </c>
      <c r="C256" s="760"/>
      <c r="D256" s="639" t="s">
        <v>1132</v>
      </c>
      <c r="E256" s="639" t="s">
        <v>1133</v>
      </c>
      <c r="F256" s="53">
        <v>107</v>
      </c>
      <c r="G256" s="53">
        <v>105</v>
      </c>
      <c r="H256" s="53">
        <v>107</v>
      </c>
      <c r="I256" s="53">
        <v>127</v>
      </c>
      <c r="J256" s="54"/>
      <c r="K256" s="54"/>
      <c r="L256" s="54"/>
      <c r="M256" s="54"/>
      <c r="N256" s="58">
        <f>(165785525/2872797)/365*1000</f>
        <v>158.10616545764256</v>
      </c>
      <c r="O256" s="58">
        <f>(163164774/2868692)/366*1000</f>
        <v>155.40371480891744</v>
      </c>
      <c r="P256" s="58">
        <f>(177024485/2853570)/365*1000</f>
        <v>169.96204370003045</v>
      </c>
      <c r="Q256" s="58" t="s">
        <v>5</v>
      </c>
      <c r="S256" s="2434">
        <f>SUM(F256:F260)/5</f>
        <v>113.8</v>
      </c>
      <c r="T256" s="2434">
        <f>MEDIAN(F256:F260)</f>
        <v>109</v>
      </c>
      <c r="U256" s="2434">
        <f>SUM(G256:G260)/5</f>
        <v>111.2</v>
      </c>
      <c r="V256" s="2434">
        <f>MEDIAN(G256:G260)</f>
        <v>107</v>
      </c>
      <c r="W256" s="2434">
        <f>SUM(H256:H260)/5</f>
        <v>107</v>
      </c>
      <c r="X256" s="2434">
        <f>MEDIAN(H256:H260)</f>
        <v>107</v>
      </c>
      <c r="Y256" s="2434">
        <v>127</v>
      </c>
      <c r="Z256" s="2434">
        <v>127</v>
      </c>
      <c r="AA256" s="2444">
        <f>SUM(N256:N260)/5</f>
        <v>169.24370538844676</v>
      </c>
      <c r="AB256" s="2444">
        <f>SUM(O256:O260)/5</f>
        <v>162.82519297403695</v>
      </c>
      <c r="AC256" s="2444">
        <f>SUM(P256:P260)/5</f>
        <v>169.96204368582275</v>
      </c>
      <c r="AD256" s="2444" t="s">
        <v>5</v>
      </c>
    </row>
    <row r="257" spans="1:30" ht="15.75" customHeight="1" x14ac:dyDescent="0.25">
      <c r="A257" s="1819"/>
      <c r="B257" s="660" t="s">
        <v>152</v>
      </c>
      <c r="C257" s="760"/>
      <c r="D257" s="639" t="s">
        <v>1132</v>
      </c>
      <c r="E257" s="639" t="s">
        <v>1133</v>
      </c>
      <c r="F257" s="53">
        <v>109</v>
      </c>
      <c r="G257" s="53">
        <v>107</v>
      </c>
      <c r="H257" s="53">
        <v>107</v>
      </c>
      <c r="I257" s="53">
        <v>127</v>
      </c>
      <c r="J257" s="54"/>
      <c r="K257" s="54"/>
      <c r="L257" s="54"/>
      <c r="M257" s="54"/>
      <c r="N257" s="58">
        <f>(71085609/1040120)/365*1000</f>
        <v>187.24290769400156</v>
      </c>
      <c r="O257" s="58">
        <f>(69961550/1057209)/366*1000</f>
        <v>180.80793481353655</v>
      </c>
      <c r="P257" s="58">
        <f>(64036253/1032241)/365*1000</f>
        <v>169.96204281858198</v>
      </c>
      <c r="Q257" s="58" t="s">
        <v>5</v>
      </c>
      <c r="S257" s="2435"/>
      <c r="T257" s="2429"/>
      <c r="U257" s="2435"/>
      <c r="V257" s="2429"/>
      <c r="W257" s="2435"/>
      <c r="X257" s="2435"/>
      <c r="Y257" s="2435"/>
      <c r="Z257" s="2435"/>
      <c r="AA257" s="2445"/>
      <c r="AB257" s="2456"/>
      <c r="AC257" s="2456"/>
      <c r="AD257" s="2456"/>
    </row>
    <row r="258" spans="1:30" ht="15.75" customHeight="1" x14ac:dyDescent="0.25">
      <c r="A258" s="1819"/>
      <c r="B258" s="660" t="s">
        <v>153</v>
      </c>
      <c r="C258" s="760" t="s">
        <v>429</v>
      </c>
      <c r="D258" s="639" t="s">
        <v>1132</v>
      </c>
      <c r="E258" s="639" t="s">
        <v>1133</v>
      </c>
      <c r="F258" s="53">
        <v>124</v>
      </c>
      <c r="G258" s="53">
        <v>124</v>
      </c>
      <c r="H258" s="53">
        <v>107</v>
      </c>
      <c r="I258" s="53">
        <v>127</v>
      </c>
      <c r="J258" s="54"/>
      <c r="K258" s="54"/>
      <c r="L258" s="54"/>
      <c r="M258" s="54"/>
      <c r="N258" s="58">
        <f>(210931527/3265038)/365*1000</f>
        <v>176.99475305357794</v>
      </c>
      <c r="O258" s="58">
        <f>(198797454/3207247)/366*1000</f>
        <v>169.35472778459246</v>
      </c>
      <c r="P258" s="58">
        <f>(387022485/6238661)/365*1000</f>
        <v>169.96204399348926</v>
      </c>
      <c r="Q258" s="58" t="s">
        <v>5</v>
      </c>
      <c r="S258" s="2435"/>
      <c r="T258" s="2429"/>
      <c r="U258" s="2435"/>
      <c r="V258" s="2429"/>
      <c r="W258" s="2435"/>
      <c r="X258" s="2435"/>
      <c r="Y258" s="2435"/>
      <c r="Z258" s="2435"/>
      <c r="AA258" s="2445"/>
      <c r="AB258" s="2456"/>
      <c r="AC258" s="2456"/>
      <c r="AD258" s="2456"/>
    </row>
    <row r="259" spans="1:30" ht="15.75" customHeight="1" x14ac:dyDescent="0.25">
      <c r="A259" s="1819"/>
      <c r="B259" s="660" t="s">
        <v>214</v>
      </c>
      <c r="C259" s="760"/>
      <c r="D259" s="639" t="s">
        <v>1132</v>
      </c>
      <c r="E259" s="639" t="s">
        <v>1133</v>
      </c>
      <c r="F259" s="53">
        <v>122</v>
      </c>
      <c r="G259" s="53">
        <v>116</v>
      </c>
      <c r="H259" s="53">
        <v>107</v>
      </c>
      <c r="I259" s="53">
        <v>127</v>
      </c>
      <c r="J259" s="54"/>
      <c r="K259" s="54"/>
      <c r="L259" s="54"/>
      <c r="M259" s="54"/>
      <c r="N259" s="58">
        <f>(66265792/1051433)/365*1000</f>
        <v>172.66921912142112</v>
      </c>
      <c r="O259" s="58">
        <f>(63271348/1068394)/366*1000</f>
        <v>161.80597749437536</v>
      </c>
      <c r="P259" s="58">
        <f>(66158262/1066447)/365*1000</f>
        <v>169.96204436673094</v>
      </c>
      <c r="Q259" s="58" t="s">
        <v>5</v>
      </c>
      <c r="S259" s="2435"/>
      <c r="T259" s="2429"/>
      <c r="U259" s="2435"/>
      <c r="V259" s="2429"/>
      <c r="W259" s="2435"/>
      <c r="X259" s="2435"/>
      <c r="Y259" s="2435"/>
      <c r="Z259" s="2435"/>
      <c r="AA259" s="2445"/>
      <c r="AB259" s="2456"/>
      <c r="AC259" s="2456"/>
      <c r="AD259" s="2456"/>
    </row>
    <row r="260" spans="1:30" ht="16.5" customHeight="1" thickBot="1" x14ac:dyDescent="0.3">
      <c r="A260" s="1820"/>
      <c r="B260" s="612" t="s">
        <v>154</v>
      </c>
      <c r="C260" s="760"/>
      <c r="D260" s="639" t="s">
        <v>1132</v>
      </c>
      <c r="E260" s="639" t="s">
        <v>1133</v>
      </c>
      <c r="F260" s="53">
        <v>107</v>
      </c>
      <c r="G260" s="53">
        <v>104</v>
      </c>
      <c r="H260" s="53">
        <v>107</v>
      </c>
      <c r="I260" s="53">
        <v>127</v>
      </c>
      <c r="J260" s="54"/>
      <c r="K260" s="54"/>
      <c r="L260" s="54"/>
      <c r="M260" s="54"/>
      <c r="N260" s="58">
        <f>(44728405/810444)/365*1000</f>
        <v>151.20548161559063</v>
      </c>
      <c r="O260" s="58">
        <f>(42925843/799188)/366*1000</f>
        <v>146.7536099687631</v>
      </c>
      <c r="P260" s="58">
        <f>(48786714/786424)/365*1000</f>
        <v>169.96204355028115</v>
      </c>
      <c r="Q260" s="58" t="s">
        <v>5</v>
      </c>
      <c r="S260" s="2436"/>
      <c r="T260" s="2436"/>
      <c r="U260" s="2436"/>
      <c r="V260" s="2436"/>
      <c r="W260" s="2436"/>
      <c r="X260" s="2436"/>
      <c r="Y260" s="2436"/>
      <c r="Z260" s="2436"/>
      <c r="AA260" s="2449"/>
      <c r="AB260" s="2449"/>
      <c r="AC260" s="2449"/>
      <c r="AD260" s="2449"/>
    </row>
    <row r="261" spans="1:30" ht="15.75" customHeight="1" x14ac:dyDescent="0.25">
      <c r="A261" s="1818" t="s">
        <v>48</v>
      </c>
      <c r="B261" s="786" t="s">
        <v>155</v>
      </c>
      <c r="C261" s="760" t="s">
        <v>429</v>
      </c>
      <c r="D261" s="639" t="s">
        <v>1134</v>
      </c>
      <c r="E261" s="639" t="s">
        <v>1135</v>
      </c>
      <c r="F261" s="53">
        <v>186</v>
      </c>
      <c r="G261" s="53">
        <v>198</v>
      </c>
      <c r="H261" s="53" t="s">
        <v>5</v>
      </c>
      <c r="I261" s="53">
        <v>148</v>
      </c>
      <c r="J261" s="54"/>
      <c r="K261" s="54"/>
      <c r="L261" s="54"/>
      <c r="M261" s="54"/>
      <c r="N261" s="58">
        <f>(85000000/1255000)/365*1000</f>
        <v>185.55913332969493</v>
      </c>
      <c r="O261" s="58">
        <f>(93000000/1285300)/366*1000</f>
        <v>197.69576025498927</v>
      </c>
      <c r="P261" s="58" t="s">
        <v>5</v>
      </c>
      <c r="Q261" s="58">
        <f>(80000000/1039150)/366*1000</f>
        <v>210.34425729940585</v>
      </c>
      <c r="S261" s="2434">
        <f>SUM(F261:F265)/5</f>
        <v>218.8</v>
      </c>
      <c r="T261" s="2434">
        <f>MEDIAN(F261:F265)</f>
        <v>221</v>
      </c>
      <c r="U261" s="2434">
        <f>SUM(G261:G265)/5</f>
        <v>219.6</v>
      </c>
      <c r="V261" s="2434">
        <f>MEDIAN(G261:G265)</f>
        <v>219</v>
      </c>
      <c r="W261" s="2434" t="s">
        <v>5</v>
      </c>
      <c r="X261" s="2434" t="s">
        <v>5</v>
      </c>
      <c r="Y261" s="2434">
        <f>SUM(I261:I265)/5</f>
        <v>159.19999999999999</v>
      </c>
      <c r="Z261" s="2434">
        <f>MEDIAN(I261:I265)</f>
        <v>153</v>
      </c>
      <c r="AA261" s="2444">
        <f>SUM(N261:N265)/5</f>
        <v>218.77971713445277</v>
      </c>
      <c r="AB261" s="2444">
        <f>SUM(O261:O265)/5</f>
        <v>219.08352564623266</v>
      </c>
      <c r="AC261" s="2444" t="s">
        <v>5</v>
      </c>
      <c r="AD261" s="2444">
        <f>SUM(Q261:Q265)/5</f>
        <v>220.79968709078676</v>
      </c>
    </row>
    <row r="262" spans="1:30" ht="15.75" customHeight="1" x14ac:dyDescent="0.25">
      <c r="A262" s="1819"/>
      <c r="B262" s="660" t="s">
        <v>156</v>
      </c>
      <c r="C262" s="760"/>
      <c r="D262" s="639" t="s">
        <v>1134</v>
      </c>
      <c r="E262" s="639" t="s">
        <v>1135</v>
      </c>
      <c r="F262" s="53">
        <v>235</v>
      </c>
      <c r="G262" s="53">
        <v>225</v>
      </c>
      <c r="H262" s="53" t="s">
        <v>5</v>
      </c>
      <c r="I262" s="53">
        <v>153</v>
      </c>
      <c r="J262" s="54"/>
      <c r="K262" s="54"/>
      <c r="L262" s="54"/>
      <c r="M262" s="54"/>
      <c r="N262" s="58">
        <f>(44000000/513000)/365*1000</f>
        <v>234.98624796389754</v>
      </c>
      <c r="O262" s="58">
        <f>(43100000/524200)/366*1000</f>
        <v>224.64624731310579</v>
      </c>
      <c r="P262" s="58" t="s">
        <v>5</v>
      </c>
      <c r="Q262" s="58">
        <f>(43500000/545000)/366*1000</f>
        <v>218.07790645209806</v>
      </c>
      <c r="S262" s="2429"/>
      <c r="T262" s="2429"/>
      <c r="U262" s="2435"/>
      <c r="V262" s="2429"/>
      <c r="W262" s="2435"/>
      <c r="X262" s="2429"/>
      <c r="Y262" s="2429"/>
      <c r="Z262" s="2429"/>
      <c r="AA262" s="2432"/>
      <c r="AB262" s="2456"/>
      <c r="AC262" s="2456"/>
      <c r="AD262" s="2456"/>
    </row>
    <row r="263" spans="1:30" ht="15.75" customHeight="1" x14ac:dyDescent="0.25">
      <c r="A263" s="1819"/>
      <c r="B263" s="660" t="s">
        <v>157</v>
      </c>
      <c r="C263" s="760"/>
      <c r="D263" s="639" t="s">
        <v>1134</v>
      </c>
      <c r="E263" s="639" t="s">
        <v>1135</v>
      </c>
      <c r="F263" s="53">
        <v>221</v>
      </c>
      <c r="G263" s="53">
        <v>219</v>
      </c>
      <c r="H263" s="53" t="s">
        <v>5</v>
      </c>
      <c r="I263" s="53">
        <v>163</v>
      </c>
      <c r="J263" s="54"/>
      <c r="K263" s="54"/>
      <c r="L263" s="54"/>
      <c r="M263" s="54"/>
      <c r="N263" s="58">
        <f>(23741000/294000)/365*1000</f>
        <v>221.23753611033453</v>
      </c>
      <c r="O263" s="58">
        <f>(24527269/307207)/366*1000</f>
        <v>218.14085022432235</v>
      </c>
      <c r="P263" s="58" t="s">
        <v>5</v>
      </c>
      <c r="Q263" s="58">
        <f>(25790000/324110)/366*1000</f>
        <v>217.40915391168721</v>
      </c>
      <c r="S263" s="2429"/>
      <c r="T263" s="2429"/>
      <c r="U263" s="2435"/>
      <c r="V263" s="2429"/>
      <c r="W263" s="2435"/>
      <c r="X263" s="2429"/>
      <c r="Y263" s="2429"/>
      <c r="Z263" s="2429"/>
      <c r="AA263" s="2432"/>
      <c r="AB263" s="2456"/>
      <c r="AC263" s="2456"/>
      <c r="AD263" s="2456"/>
    </row>
    <row r="264" spans="1:30" ht="15.75" customHeight="1" x14ac:dyDescent="0.25">
      <c r="A264" s="1819"/>
      <c r="B264" s="660" t="s">
        <v>158</v>
      </c>
      <c r="C264" s="760"/>
      <c r="D264" s="639" t="s">
        <v>1134</v>
      </c>
      <c r="E264" s="639" t="s">
        <v>1135</v>
      </c>
      <c r="F264" s="53">
        <v>210</v>
      </c>
      <c r="G264" s="53">
        <v>216</v>
      </c>
      <c r="H264" s="53" t="s">
        <v>5</v>
      </c>
      <c r="I264" s="53">
        <v>143</v>
      </c>
      <c r="J264" s="54"/>
      <c r="K264" s="54"/>
      <c r="L264" s="54"/>
      <c r="M264" s="54"/>
      <c r="N264" s="58">
        <f>(13723000/179000)/365*1000</f>
        <v>210.04056018979108</v>
      </c>
      <c r="O264" s="58">
        <f>(14325232/181690)/366*1000</f>
        <v>215.42175211666301</v>
      </c>
      <c r="P264" s="58" t="s">
        <v>5</v>
      </c>
      <c r="Q264" s="58">
        <f>(14343000/192117)/366*1000</f>
        <v>203.98259701204961</v>
      </c>
      <c r="S264" s="2429"/>
      <c r="T264" s="2429"/>
      <c r="U264" s="2435"/>
      <c r="V264" s="2429"/>
      <c r="W264" s="2435"/>
      <c r="X264" s="2429"/>
      <c r="Y264" s="2429"/>
      <c r="Z264" s="2429"/>
      <c r="AA264" s="2432"/>
      <c r="AB264" s="2456"/>
      <c r="AC264" s="2456"/>
      <c r="AD264" s="2456"/>
    </row>
    <row r="265" spans="1:30" ht="16.5" customHeight="1" thickBot="1" x14ac:dyDescent="0.3">
      <c r="A265" s="1820"/>
      <c r="B265" s="612" t="s">
        <v>159</v>
      </c>
      <c r="C265" s="760"/>
      <c r="D265" s="639" t="s">
        <v>1134</v>
      </c>
      <c r="E265" s="639" t="s">
        <v>1135</v>
      </c>
      <c r="F265" s="53">
        <v>242</v>
      </c>
      <c r="G265" s="53">
        <v>240</v>
      </c>
      <c r="H265" s="53" t="s">
        <v>5</v>
      </c>
      <c r="I265" s="53">
        <v>189</v>
      </c>
      <c r="J265" s="54"/>
      <c r="K265" s="54"/>
      <c r="L265" s="54"/>
      <c r="M265" s="54"/>
      <c r="N265" s="58">
        <f>(11619000/131500)/365*1000</f>
        <v>242.07510807854575</v>
      </c>
      <c r="O265" s="58">
        <f>(11922000/136000)/366*1000</f>
        <v>239.5130183220829</v>
      </c>
      <c r="P265" s="58" t="s">
        <v>5</v>
      </c>
      <c r="Q265" s="58">
        <f>(12544000/134836)/366*1000</f>
        <v>254.18452077869296</v>
      </c>
      <c r="S265" s="2436"/>
      <c r="T265" s="2436"/>
      <c r="U265" s="2436"/>
      <c r="V265" s="2436"/>
      <c r="W265" s="2436"/>
      <c r="X265" s="2436"/>
      <c r="Y265" s="2436"/>
      <c r="Z265" s="2436"/>
      <c r="AA265" s="2449"/>
      <c r="AB265" s="2449"/>
      <c r="AC265" s="2449"/>
      <c r="AD265" s="2449"/>
    </row>
    <row r="266" spans="1:30" ht="15.75" customHeight="1" x14ac:dyDescent="0.25">
      <c r="A266" s="1818" t="s">
        <v>28</v>
      </c>
      <c r="B266" s="786" t="s">
        <v>160</v>
      </c>
      <c r="C266" s="760"/>
      <c r="D266" s="639" t="s">
        <v>1136</v>
      </c>
      <c r="E266" s="639" t="s">
        <v>1137</v>
      </c>
      <c r="F266" s="53" t="s">
        <v>5</v>
      </c>
      <c r="G266" s="53" t="s">
        <v>5</v>
      </c>
      <c r="H266" s="53" t="s">
        <v>5</v>
      </c>
      <c r="I266" s="53">
        <v>171</v>
      </c>
      <c r="J266" s="54"/>
      <c r="K266" s="54"/>
      <c r="L266" s="54"/>
      <c r="M266" s="54"/>
      <c r="N266" s="58">
        <f>(64825000/463252)/365*1000</f>
        <v>383.38256440560946</v>
      </c>
      <c r="O266" s="58">
        <f>(62433000/469880)/366*1000</f>
        <v>363.0330450606852</v>
      </c>
      <c r="P266" s="58">
        <f>(58754000/482545)/365*1000</f>
        <v>333.58518482980577</v>
      </c>
      <c r="Q266" s="58">
        <f>(52062000/493700)/366*1000</f>
        <v>288.12214227130698</v>
      </c>
      <c r="S266" s="2434">
        <f>SUM(F267:F270)/4</f>
        <v>189.5</v>
      </c>
      <c r="T266" s="2434">
        <f>MEDIAN(F266:F270)</f>
        <v>191</v>
      </c>
      <c r="U266" s="2434">
        <f>SUM(G267:G270)/4</f>
        <v>181.75</v>
      </c>
      <c r="V266" s="2434">
        <f>MEDIAN(G266:G270)</f>
        <v>183.5</v>
      </c>
      <c r="W266" s="2434">
        <v>172</v>
      </c>
      <c r="X266" s="2434">
        <v>172</v>
      </c>
      <c r="Y266" s="2434">
        <f>SUM(I266:I270)/3</f>
        <v>177.66666666666666</v>
      </c>
      <c r="Z266" s="2434">
        <f>MEDIAN(I266:I270)</f>
        <v>173</v>
      </c>
      <c r="AA266" s="2444">
        <f>SUM(N266:N270)/5</f>
        <v>340.68270563311978</v>
      </c>
      <c r="AB266" s="2444">
        <f>SUM(O266:O270)/5</f>
        <v>322.82503728801601</v>
      </c>
      <c r="AC266" s="2444">
        <f>SUM(P266:P270)/5</f>
        <v>332.58804365006398</v>
      </c>
      <c r="AD266" s="2444">
        <f>SUM(Q266:Q270)/5</f>
        <v>253.38673629509321</v>
      </c>
    </row>
    <row r="267" spans="1:30" ht="15.75" customHeight="1" x14ac:dyDescent="0.25">
      <c r="A267" s="1819"/>
      <c r="B267" s="660" t="s">
        <v>603</v>
      </c>
      <c r="C267" s="760"/>
      <c r="D267" s="639" t="s">
        <v>1136</v>
      </c>
      <c r="E267" s="639" t="s">
        <v>1137</v>
      </c>
      <c r="F267" s="53">
        <v>165</v>
      </c>
      <c r="G267" s="53">
        <v>153</v>
      </c>
      <c r="H267" s="53" t="s">
        <v>5</v>
      </c>
      <c r="I267" s="53" t="s">
        <v>5</v>
      </c>
      <c r="J267" s="54"/>
      <c r="K267" s="54"/>
      <c r="L267" s="54"/>
      <c r="M267" s="54"/>
      <c r="N267" s="58">
        <f>(45583000/382906)/365*1000</f>
        <v>326.15036459822858</v>
      </c>
      <c r="O267" s="58">
        <f>(44195000/394012)/366*1000</f>
        <v>306.4662145320919</v>
      </c>
      <c r="P267" s="58">
        <f>(51045000/404783)/365*1000</f>
        <v>345.49206628858707</v>
      </c>
      <c r="Q267" s="58">
        <f>(34085000/415680)/366*1000</f>
        <v>224.03872041124532</v>
      </c>
      <c r="S267" s="2435"/>
      <c r="T267" s="2429"/>
      <c r="U267" s="2435"/>
      <c r="V267" s="2429"/>
      <c r="W267" s="2435"/>
      <c r="X267" s="2435"/>
      <c r="Y267" s="2429"/>
      <c r="Z267" s="2429"/>
      <c r="AA267" s="2445"/>
      <c r="AB267" s="2456"/>
      <c r="AC267" s="2456"/>
      <c r="AD267" s="2456"/>
    </row>
    <row r="268" spans="1:30" ht="15.75" customHeight="1" x14ac:dyDescent="0.25">
      <c r="A268" s="1819"/>
      <c r="B268" s="660" t="s">
        <v>162</v>
      </c>
      <c r="C268" s="760"/>
      <c r="D268" s="639" t="s">
        <v>1136</v>
      </c>
      <c r="E268" s="639" t="s">
        <v>1137</v>
      </c>
      <c r="F268" s="53">
        <v>200</v>
      </c>
      <c r="G268" s="53">
        <v>189</v>
      </c>
      <c r="H268" s="53" t="s">
        <v>5</v>
      </c>
      <c r="I268" s="53" t="s">
        <v>5</v>
      </c>
      <c r="J268" s="54"/>
      <c r="K268" s="54"/>
      <c r="L268" s="54"/>
      <c r="M268" s="54"/>
      <c r="N268" s="58">
        <f>(28636000/228254)/365*1000</f>
        <v>343.71706309877572</v>
      </c>
      <c r="O268" s="58">
        <f>(28636000/233774)/366*1000</f>
        <v>334.68408445109355</v>
      </c>
      <c r="P268" s="58">
        <f>(29972000/230958)/365*1000</f>
        <v>355.54113082530455</v>
      </c>
      <c r="Q268" s="58">
        <f>(21481000/241500)/366*1000</f>
        <v>243.02797859462152</v>
      </c>
      <c r="S268" s="2435"/>
      <c r="T268" s="2429"/>
      <c r="U268" s="2435"/>
      <c r="V268" s="2429"/>
      <c r="W268" s="2435"/>
      <c r="X268" s="2435"/>
      <c r="Y268" s="2429"/>
      <c r="Z268" s="2429"/>
      <c r="AA268" s="2445"/>
      <c r="AB268" s="2456"/>
      <c r="AC268" s="2456"/>
      <c r="AD268" s="2456"/>
    </row>
    <row r="269" spans="1:30" ht="15.75" customHeight="1" x14ac:dyDescent="0.25">
      <c r="A269" s="1819"/>
      <c r="B269" s="660" t="s">
        <v>161</v>
      </c>
      <c r="C269" s="760"/>
      <c r="D269" s="639" t="s">
        <v>1136</v>
      </c>
      <c r="E269" s="639" t="s">
        <v>1137</v>
      </c>
      <c r="F269" s="53">
        <v>211</v>
      </c>
      <c r="G269" s="53">
        <v>207</v>
      </c>
      <c r="H269" s="53" t="s">
        <v>5</v>
      </c>
      <c r="I269" s="53">
        <v>173</v>
      </c>
      <c r="J269" s="54"/>
      <c r="K269" s="54"/>
      <c r="L269" s="54"/>
      <c r="M269" s="54"/>
      <c r="N269" s="58">
        <f>(27309000/205980)/365*1000</f>
        <v>363.23515915230496</v>
      </c>
      <c r="O269" s="58">
        <f>(25442000/208334)/366*1000</f>
        <v>333.66450604407248</v>
      </c>
      <c r="P269" s="58">
        <f>(28314000/211551)/365*1000</f>
        <v>366.68511488825874</v>
      </c>
      <c r="Q269" s="58">
        <f>(21163000/213640)/366*1000</f>
        <v>270.65345614858967</v>
      </c>
      <c r="S269" s="2435"/>
      <c r="T269" s="2429"/>
      <c r="U269" s="2435"/>
      <c r="V269" s="2429"/>
      <c r="W269" s="2435"/>
      <c r="X269" s="2435"/>
      <c r="Y269" s="2429"/>
      <c r="Z269" s="2429"/>
      <c r="AA269" s="2445"/>
      <c r="AB269" s="2456"/>
      <c r="AC269" s="2456"/>
      <c r="AD269" s="2456"/>
    </row>
    <row r="270" spans="1:30" ht="16.5" customHeight="1" thickBot="1" x14ac:dyDescent="0.3">
      <c r="A270" s="1820"/>
      <c r="B270" s="612" t="s">
        <v>163</v>
      </c>
      <c r="C270" s="760" t="s">
        <v>429</v>
      </c>
      <c r="D270" s="639" t="s">
        <v>1136</v>
      </c>
      <c r="E270" s="639" t="s">
        <v>1137</v>
      </c>
      <c r="F270" s="53">
        <v>182</v>
      </c>
      <c r="G270" s="53">
        <v>178</v>
      </c>
      <c r="H270" s="53">
        <v>182</v>
      </c>
      <c r="I270" s="53">
        <v>189</v>
      </c>
      <c r="J270" s="54"/>
      <c r="K270" s="54"/>
      <c r="L270" s="54"/>
      <c r="M270" s="54"/>
      <c r="N270" s="58">
        <f>(13793000/131702)/365*1000</f>
        <v>286.9283769106803</v>
      </c>
      <c r="O270" s="58">
        <f>(13618000/134675)/366*1000</f>
        <v>276.27733635213696</v>
      </c>
      <c r="P270" s="58">
        <f>(13258000/138831)/365*1000</f>
        <v>261.63672141836383</v>
      </c>
      <c r="Q270" s="58">
        <f>(12500000/141660)/366*1000</f>
        <v>241.09138404970261</v>
      </c>
      <c r="S270" s="2436"/>
      <c r="T270" s="2436"/>
      <c r="U270" s="2436"/>
      <c r="V270" s="2436"/>
      <c r="W270" s="2436"/>
      <c r="X270" s="2436"/>
      <c r="Y270" s="2436"/>
      <c r="Z270" s="2436"/>
      <c r="AA270" s="2449"/>
      <c r="AB270" s="2449"/>
      <c r="AC270" s="2449"/>
      <c r="AD270" s="2449"/>
    </row>
    <row r="271" spans="1:30" ht="16.5" customHeight="1" thickBot="1" x14ac:dyDescent="0.3">
      <c r="A271" s="962" t="s">
        <v>706</v>
      </c>
      <c r="B271" s="479"/>
      <c r="C271" s="762"/>
      <c r="D271" s="276" t="s">
        <v>1138</v>
      </c>
      <c r="E271" s="276" t="s">
        <v>1139</v>
      </c>
      <c r="F271" s="53" t="s">
        <v>5</v>
      </c>
      <c r="G271" s="53" t="s">
        <v>5</v>
      </c>
      <c r="H271" s="53" t="s">
        <v>5</v>
      </c>
      <c r="I271" s="53"/>
      <c r="J271" s="54"/>
      <c r="K271" s="54"/>
      <c r="L271" s="54"/>
      <c r="M271" s="54"/>
      <c r="N271" s="58" t="s">
        <v>5</v>
      </c>
      <c r="O271" s="58" t="s">
        <v>5</v>
      </c>
      <c r="P271" s="58" t="s">
        <v>5</v>
      </c>
      <c r="Q271" s="58"/>
      <c r="S271" s="937" t="s">
        <v>5</v>
      </c>
      <c r="T271" s="937" t="s">
        <v>5</v>
      </c>
      <c r="U271" s="937" t="s">
        <v>5</v>
      </c>
      <c r="V271" s="937" t="s">
        <v>5</v>
      </c>
      <c r="W271" s="937" t="s">
        <v>5</v>
      </c>
      <c r="X271" s="937" t="s">
        <v>5</v>
      </c>
      <c r="Y271" s="937"/>
      <c r="Z271" s="937"/>
      <c r="AA271" s="928" t="s">
        <v>5</v>
      </c>
      <c r="AB271" s="928" t="s">
        <v>5</v>
      </c>
      <c r="AC271" s="928" t="s">
        <v>5</v>
      </c>
      <c r="AD271" s="928"/>
    </row>
    <row r="272" spans="1:30" ht="16.5" customHeight="1" thickBot="1" x14ac:dyDescent="0.3">
      <c r="A272" s="962" t="s">
        <v>737</v>
      </c>
      <c r="B272" s="795" t="s">
        <v>738</v>
      </c>
      <c r="C272" s="797"/>
      <c r="D272" s="276" t="s">
        <v>1140</v>
      </c>
      <c r="E272" s="276" t="s">
        <v>1141</v>
      </c>
      <c r="F272" s="53" t="s">
        <v>5</v>
      </c>
      <c r="G272" s="53" t="s">
        <v>5</v>
      </c>
      <c r="H272" s="53">
        <v>240</v>
      </c>
      <c r="I272" s="53"/>
      <c r="J272" s="54"/>
      <c r="K272" s="54"/>
      <c r="L272" s="54"/>
      <c r="M272" s="54"/>
      <c r="N272" s="58" t="s">
        <v>5</v>
      </c>
      <c r="O272" s="58" t="s">
        <v>5</v>
      </c>
      <c r="P272" s="58">
        <f>(1350500000/11597000)/365*1000</f>
        <v>319.04802966284387</v>
      </c>
      <c r="Q272" s="58"/>
      <c r="S272" s="937" t="s">
        <v>5</v>
      </c>
      <c r="T272" s="937" t="s">
        <v>5</v>
      </c>
      <c r="U272" s="937" t="s">
        <v>5</v>
      </c>
      <c r="V272" s="937" t="s">
        <v>5</v>
      </c>
      <c r="W272" s="937">
        <v>240</v>
      </c>
      <c r="X272" s="937">
        <v>240</v>
      </c>
      <c r="Y272" s="937"/>
      <c r="Z272" s="937"/>
      <c r="AA272" s="928" t="s">
        <v>5</v>
      </c>
      <c r="AB272" s="928" t="s">
        <v>5</v>
      </c>
      <c r="AC272" s="928">
        <v>319</v>
      </c>
      <c r="AD272" s="928"/>
    </row>
    <row r="273" spans="1:30" ht="16.5" thickBot="1" x14ac:dyDescent="0.3">
      <c r="A273" s="267" t="s">
        <v>29</v>
      </c>
      <c r="B273" s="479" t="s">
        <v>164</v>
      </c>
      <c r="C273" s="762"/>
      <c r="D273" s="276" t="s">
        <v>1142</v>
      </c>
      <c r="E273" s="276" t="s">
        <v>1143</v>
      </c>
      <c r="F273" s="53"/>
      <c r="G273" s="53"/>
      <c r="H273" s="53"/>
      <c r="I273" s="53"/>
      <c r="J273" s="54"/>
      <c r="K273" s="54"/>
      <c r="L273" s="54"/>
      <c r="M273" s="54"/>
      <c r="N273" s="55"/>
      <c r="O273" s="55"/>
      <c r="P273" s="55"/>
      <c r="Q273" s="55"/>
      <c r="S273" s="59"/>
      <c r="T273" s="59"/>
      <c r="U273" s="59"/>
      <c r="V273" s="59"/>
      <c r="W273" s="59"/>
      <c r="X273" s="59"/>
      <c r="Y273" s="59"/>
      <c r="Z273" s="59"/>
      <c r="AA273" s="62"/>
      <c r="AB273" s="62"/>
      <c r="AC273" s="62"/>
      <c r="AD273" s="62"/>
    </row>
    <row r="274" spans="1:30" ht="15.6" customHeight="1" x14ac:dyDescent="0.25">
      <c r="A274" s="1878" t="s">
        <v>927</v>
      </c>
      <c r="B274" s="787" t="s">
        <v>928</v>
      </c>
      <c r="C274" s="788" t="s">
        <v>429</v>
      </c>
      <c r="D274" s="639" t="s">
        <v>1144</v>
      </c>
      <c r="E274" s="639" t="s">
        <v>1145</v>
      </c>
      <c r="F274" s="53" t="s">
        <v>5</v>
      </c>
      <c r="G274" s="53" t="s">
        <v>5</v>
      </c>
      <c r="H274" s="53" t="s">
        <v>5</v>
      </c>
      <c r="I274" s="53">
        <v>145</v>
      </c>
      <c r="J274" s="54"/>
      <c r="K274" s="54"/>
      <c r="L274" s="54"/>
      <c r="M274" s="54"/>
      <c r="N274" s="55" t="s">
        <v>5</v>
      </c>
      <c r="O274" s="55" t="s">
        <v>5</v>
      </c>
      <c r="P274" s="55" t="s">
        <v>5</v>
      </c>
      <c r="Q274" s="58">
        <f>(291270000/5346518)/366*1000</f>
        <v>148.848217125828</v>
      </c>
      <c r="S274" s="2450" t="s">
        <v>5</v>
      </c>
      <c r="T274" s="2450" t="s">
        <v>5</v>
      </c>
      <c r="U274" s="2450" t="s">
        <v>5</v>
      </c>
      <c r="V274" s="2450" t="s">
        <v>5</v>
      </c>
      <c r="W274" s="2450" t="s">
        <v>5</v>
      </c>
      <c r="X274" s="2450" t="s">
        <v>5</v>
      </c>
      <c r="Y274" s="2450">
        <f>SUM(I274:I276)/3</f>
        <v>125</v>
      </c>
      <c r="Z274" s="2450">
        <f>MEDIAN(I274:I276)</f>
        <v>137</v>
      </c>
      <c r="AA274" s="2437" t="s">
        <v>5</v>
      </c>
      <c r="AB274" s="2437" t="s">
        <v>5</v>
      </c>
      <c r="AC274" s="2437" t="s">
        <v>5</v>
      </c>
      <c r="AD274" s="2453">
        <f>SUM(Q274:Q276)/3</f>
        <v>125.8521809426304</v>
      </c>
    </row>
    <row r="275" spans="1:30" ht="15.6" customHeight="1" x14ac:dyDescent="0.25">
      <c r="A275" s="1757"/>
      <c r="B275" s="788" t="s">
        <v>929</v>
      </c>
      <c r="C275" s="788"/>
      <c r="D275" s="639" t="s">
        <v>1144</v>
      </c>
      <c r="E275" s="639" t="s">
        <v>1145</v>
      </c>
      <c r="F275" s="53" t="s">
        <v>5</v>
      </c>
      <c r="G275" s="53" t="s">
        <v>5</v>
      </c>
      <c r="H275" s="53" t="s">
        <v>5</v>
      </c>
      <c r="I275" s="53">
        <v>137</v>
      </c>
      <c r="J275" s="54"/>
      <c r="K275" s="54"/>
      <c r="L275" s="54"/>
      <c r="M275" s="54"/>
      <c r="N275" s="55" t="s">
        <v>5</v>
      </c>
      <c r="O275" s="55" t="s">
        <v>5</v>
      </c>
      <c r="P275" s="55" t="s">
        <v>5</v>
      </c>
      <c r="Q275" s="58">
        <f>(748967250/15029310)/366*1000</f>
        <v>136.15785465582766</v>
      </c>
      <c r="S275" s="2451"/>
      <c r="T275" s="2451"/>
      <c r="U275" s="2451"/>
      <c r="V275" s="2451"/>
      <c r="W275" s="2451"/>
      <c r="X275" s="2451"/>
      <c r="Y275" s="2451"/>
      <c r="Z275" s="2451"/>
      <c r="AA275" s="2448"/>
      <c r="AB275" s="2448"/>
      <c r="AC275" s="2448"/>
      <c r="AD275" s="2454"/>
    </row>
    <row r="276" spans="1:30" ht="16.149999999999999" customHeight="1" thickBot="1" x14ac:dyDescent="0.3">
      <c r="A276" s="1758"/>
      <c r="B276" s="789" t="s">
        <v>930</v>
      </c>
      <c r="C276" s="788"/>
      <c r="D276" s="639" t="s">
        <v>1144</v>
      </c>
      <c r="E276" s="639" t="s">
        <v>1145</v>
      </c>
      <c r="F276" s="53" t="s">
        <v>5</v>
      </c>
      <c r="G276" s="53" t="s">
        <v>5</v>
      </c>
      <c r="H276" s="53" t="s">
        <v>5</v>
      </c>
      <c r="I276" s="53">
        <v>93</v>
      </c>
      <c r="J276" s="54"/>
      <c r="K276" s="54"/>
      <c r="L276" s="54"/>
      <c r="M276" s="54"/>
      <c r="N276" s="55" t="s">
        <v>5</v>
      </c>
      <c r="O276" s="55" t="s">
        <v>5</v>
      </c>
      <c r="P276" s="55" t="s">
        <v>5</v>
      </c>
      <c r="Q276" s="58">
        <f>(143066135/4223545)/366*1000</f>
        <v>92.550471046235501</v>
      </c>
      <c r="S276" s="2452"/>
      <c r="T276" s="2452"/>
      <c r="U276" s="2452"/>
      <c r="V276" s="2452"/>
      <c r="W276" s="2452"/>
      <c r="X276" s="2452"/>
      <c r="Y276" s="2452"/>
      <c r="Z276" s="2452"/>
      <c r="AA276" s="2439"/>
      <c r="AB276" s="2439"/>
      <c r="AC276" s="2439"/>
      <c r="AD276" s="2455"/>
    </row>
    <row r="277" spans="1:30" x14ac:dyDescent="0.25">
      <c r="A277" s="1878" t="s">
        <v>505</v>
      </c>
      <c r="B277" s="787" t="s">
        <v>746</v>
      </c>
      <c r="C277" s="788" t="s">
        <v>429</v>
      </c>
      <c r="D277" s="639" t="s">
        <v>1146</v>
      </c>
      <c r="E277" s="639" t="s">
        <v>1147</v>
      </c>
      <c r="F277" s="53" t="s">
        <v>5</v>
      </c>
      <c r="G277" s="53" t="s">
        <v>5</v>
      </c>
      <c r="H277" s="53">
        <v>61</v>
      </c>
      <c r="I277" s="431">
        <f>(42177641/4818700)/366*1000</f>
        <v>23.915051006319757</v>
      </c>
      <c r="J277" s="54"/>
      <c r="K277" s="54"/>
      <c r="L277" s="54"/>
      <c r="M277" s="54"/>
      <c r="N277" s="55" t="s">
        <v>5</v>
      </c>
      <c r="O277" s="55" t="s">
        <v>5</v>
      </c>
      <c r="P277" s="58">
        <f>(42518659/1910070)/365*1000</f>
        <v>60.987019696832448</v>
      </c>
      <c r="Q277" s="58">
        <f>(47667664/4818700)/366*1000</f>
        <v>27.027936814012715</v>
      </c>
      <c r="S277" s="2450" t="s">
        <v>5</v>
      </c>
      <c r="T277" s="2450" t="s">
        <v>5</v>
      </c>
      <c r="U277" s="2450" t="s">
        <v>5</v>
      </c>
      <c r="V277" s="2450" t="s">
        <v>5</v>
      </c>
      <c r="W277" s="2450">
        <f>SUM(H277:H280)/4</f>
        <v>43</v>
      </c>
      <c r="X277" s="2434">
        <f>MEDIAN(H277:H280)</f>
        <v>41.5</v>
      </c>
      <c r="Y277" s="2434">
        <f>SUM(I277:I280)/4</f>
        <v>18.105788011476488</v>
      </c>
      <c r="Z277" s="2434">
        <f>MEDIAN(I277:I280)</f>
        <v>17.392485463338218</v>
      </c>
      <c r="AA277" s="2437" t="s">
        <v>5</v>
      </c>
      <c r="AB277" s="2437" t="s">
        <v>5</v>
      </c>
      <c r="AC277" s="2444">
        <f>SUM(P277:P280)/4</f>
        <v>43.122508125104339</v>
      </c>
      <c r="AD277" s="2444">
        <f>SUM(Q277:Q280)/4</f>
        <v>21.363461909971285</v>
      </c>
    </row>
    <row r="278" spans="1:30" ht="15.6" customHeight="1" x14ac:dyDescent="0.25">
      <c r="A278" s="1757"/>
      <c r="B278" s="788" t="s">
        <v>747</v>
      </c>
      <c r="C278" s="788"/>
      <c r="D278" s="639" t="s">
        <v>1146</v>
      </c>
      <c r="E278" s="639" t="s">
        <v>1147</v>
      </c>
      <c r="F278" s="53" t="s">
        <v>5</v>
      </c>
      <c r="G278" s="53" t="s">
        <v>5</v>
      </c>
      <c r="H278" s="53">
        <v>28</v>
      </c>
      <c r="I278" s="431">
        <f>(3500962/496900)/366*1000</f>
        <v>19.250291699245707</v>
      </c>
      <c r="J278" s="54"/>
      <c r="K278" s="54"/>
      <c r="L278" s="54"/>
      <c r="M278" s="54"/>
      <c r="N278" s="55" t="s">
        <v>5</v>
      </c>
      <c r="O278" s="55" t="s">
        <v>5</v>
      </c>
      <c r="P278" s="58">
        <f>(3538935/348886)/365*1000</f>
        <v>27.790488379491077</v>
      </c>
      <c r="Q278" s="58">
        <f>(4282128/496900)/366*1000</f>
        <v>23.545589210482039</v>
      </c>
      <c r="S278" s="2451"/>
      <c r="T278" s="2451"/>
      <c r="U278" s="2451"/>
      <c r="V278" s="2451"/>
      <c r="W278" s="2451"/>
      <c r="X278" s="2429"/>
      <c r="Y278" s="2429"/>
      <c r="Z278" s="2429"/>
      <c r="AA278" s="2448"/>
      <c r="AB278" s="2448"/>
      <c r="AC278" s="2432"/>
      <c r="AD278" s="2432"/>
    </row>
    <row r="279" spans="1:30" ht="16.149999999999999" customHeight="1" x14ac:dyDescent="0.25">
      <c r="A279" s="1757"/>
      <c r="B279" s="788" t="s">
        <v>748</v>
      </c>
      <c r="C279" s="788"/>
      <c r="D279" s="639" t="s">
        <v>1146</v>
      </c>
      <c r="E279" s="639" t="s">
        <v>1147</v>
      </c>
      <c r="F279" s="53" t="s">
        <v>5</v>
      </c>
      <c r="G279" s="53" t="s">
        <v>5</v>
      </c>
      <c r="H279" s="53">
        <v>38</v>
      </c>
      <c r="I279" s="431">
        <f>(4531497/797000)/366*1000</f>
        <v>15.534679227430733</v>
      </c>
      <c r="J279" s="54"/>
      <c r="K279" s="54"/>
      <c r="L279" s="54"/>
      <c r="M279" s="54"/>
      <c r="N279" s="55" t="s">
        <v>5</v>
      </c>
      <c r="O279" s="55" t="s">
        <v>5</v>
      </c>
      <c r="P279" s="58">
        <f>(4067951/289838)/365*1000</f>
        <v>38.452760621025234</v>
      </c>
      <c r="Q279" s="58">
        <f>(4957023/797000)/366*1000</f>
        <v>16.993448793631856</v>
      </c>
      <c r="S279" s="2451"/>
      <c r="T279" s="2451"/>
      <c r="U279" s="2451"/>
      <c r="V279" s="2451"/>
      <c r="W279" s="2451"/>
      <c r="X279" s="2429"/>
      <c r="Y279" s="2429"/>
      <c r="Z279" s="2429"/>
      <c r="AA279" s="2448"/>
      <c r="AB279" s="2448"/>
      <c r="AC279" s="2432"/>
      <c r="AD279" s="2432"/>
    </row>
    <row r="280" spans="1:30" ht="15.75" thickBot="1" x14ac:dyDescent="0.3">
      <c r="A280" s="1758"/>
      <c r="B280" s="789" t="s">
        <v>749</v>
      </c>
      <c r="C280" s="788"/>
      <c r="D280" s="639" t="s">
        <v>1146</v>
      </c>
      <c r="E280" s="639" t="s">
        <v>1147</v>
      </c>
      <c r="F280" s="53" t="s">
        <v>5</v>
      </c>
      <c r="G280" s="53" t="s">
        <v>5</v>
      </c>
      <c r="H280" s="53">
        <v>45</v>
      </c>
      <c r="I280" s="431">
        <f>(2562564/510200)/366*1000</f>
        <v>13.723130112909756</v>
      </c>
      <c r="J280" s="54"/>
      <c r="K280" s="54"/>
      <c r="L280" s="54"/>
      <c r="M280" s="54"/>
      <c r="N280" s="55" t="s">
        <v>5</v>
      </c>
      <c r="O280" s="55" t="s">
        <v>5</v>
      </c>
      <c r="P280" s="58">
        <f>(2583385/156381)/365*1000</f>
        <v>45.259763803068601</v>
      </c>
      <c r="Q280" s="58">
        <f>(3340073/510200)/366*1000</f>
        <v>17.88687282175853</v>
      </c>
      <c r="S280" s="2452"/>
      <c r="T280" s="2452"/>
      <c r="U280" s="2452"/>
      <c r="V280" s="2452"/>
      <c r="W280" s="2452"/>
      <c r="X280" s="2436"/>
      <c r="Y280" s="2436"/>
      <c r="Z280" s="2436"/>
      <c r="AA280" s="2439"/>
      <c r="AB280" s="2439"/>
      <c r="AC280" s="2449"/>
      <c r="AD280" s="2449"/>
    </row>
    <row r="281" spans="1:30" ht="15.75" customHeight="1" x14ac:dyDescent="0.25">
      <c r="A281" s="1818" t="s">
        <v>456</v>
      </c>
      <c r="B281" s="660" t="s">
        <v>165</v>
      </c>
      <c r="C281" s="760"/>
      <c r="D281" s="639" t="s">
        <v>1148</v>
      </c>
      <c r="E281" s="639" t="s">
        <v>1149</v>
      </c>
      <c r="F281" s="53">
        <v>126</v>
      </c>
      <c r="G281" s="53">
        <v>126</v>
      </c>
      <c r="H281" s="53">
        <v>121</v>
      </c>
      <c r="I281" s="53">
        <v>130</v>
      </c>
      <c r="J281" s="54"/>
      <c r="K281" s="54"/>
      <c r="L281" s="54"/>
      <c r="M281" s="54"/>
      <c r="N281" s="55" t="s">
        <v>5</v>
      </c>
      <c r="O281" s="55" t="s">
        <v>5</v>
      </c>
      <c r="P281" s="55" t="s">
        <v>5</v>
      </c>
      <c r="Q281" s="55" t="s">
        <v>5</v>
      </c>
      <c r="S281" s="2434">
        <f>SUM(F281:F285)/5</f>
        <v>143</v>
      </c>
      <c r="T281" s="2434">
        <f>MEDIAN(F281:F285)</f>
        <v>142</v>
      </c>
      <c r="U281" s="2434">
        <f>SUM(G281:G285)/5</f>
        <v>143</v>
      </c>
      <c r="V281" s="2434">
        <f>MEDIAN(G281:G285)</f>
        <v>142</v>
      </c>
      <c r="W281" s="2434">
        <f>SUM(H281:H285)/5</f>
        <v>136.4</v>
      </c>
      <c r="X281" s="2434">
        <f>MEDIAN(H281:H285)</f>
        <v>134</v>
      </c>
      <c r="Y281" s="2434">
        <f>SUM(I281:I285)/5</f>
        <v>137</v>
      </c>
      <c r="Z281" s="2434">
        <f>MEDIAN(I281:I285)</f>
        <v>133</v>
      </c>
      <c r="AA281" s="2437" t="s">
        <v>5</v>
      </c>
      <c r="AB281" s="2437" t="s">
        <v>5</v>
      </c>
      <c r="AC281" s="2437" t="s">
        <v>5</v>
      </c>
      <c r="AD281" s="2437" t="s">
        <v>5</v>
      </c>
    </row>
    <row r="282" spans="1:30" ht="15.75" customHeight="1" x14ac:dyDescent="0.25">
      <c r="A282" s="1819"/>
      <c r="B282" s="660" t="s">
        <v>166</v>
      </c>
      <c r="C282" s="760" t="s">
        <v>429</v>
      </c>
      <c r="D282" s="639" t="s">
        <v>1148</v>
      </c>
      <c r="E282" s="639" t="s">
        <v>1149</v>
      </c>
      <c r="F282" s="53">
        <v>150</v>
      </c>
      <c r="G282" s="53">
        <v>150</v>
      </c>
      <c r="H282" s="53">
        <v>144</v>
      </c>
      <c r="I282" s="53">
        <v>143</v>
      </c>
      <c r="J282" s="54"/>
      <c r="K282" s="54"/>
      <c r="L282" s="54"/>
      <c r="M282" s="54"/>
      <c r="N282" s="55" t="s">
        <v>5</v>
      </c>
      <c r="O282" s="55" t="s">
        <v>5</v>
      </c>
      <c r="P282" s="55" t="s">
        <v>5</v>
      </c>
      <c r="Q282" s="55" t="s">
        <v>5</v>
      </c>
      <c r="S282" s="2435"/>
      <c r="T282" s="2429"/>
      <c r="U282" s="2435"/>
      <c r="V282" s="2429"/>
      <c r="W282" s="2435"/>
      <c r="X282" s="2435"/>
      <c r="Y282" s="2429"/>
      <c r="Z282" s="2429"/>
      <c r="AA282" s="2438"/>
      <c r="AB282" s="2443"/>
      <c r="AC282" s="2443"/>
      <c r="AD282" s="2443"/>
    </row>
    <row r="283" spans="1:30" ht="15.75" customHeight="1" x14ac:dyDescent="0.25">
      <c r="A283" s="1819"/>
      <c r="B283" s="660" t="s">
        <v>167</v>
      </c>
      <c r="C283" s="760" t="s">
        <v>429</v>
      </c>
      <c r="D283" s="639" t="s">
        <v>1148</v>
      </c>
      <c r="E283" s="639" t="s">
        <v>1149</v>
      </c>
      <c r="F283" s="53">
        <v>163</v>
      </c>
      <c r="G283" s="53">
        <v>163</v>
      </c>
      <c r="H283" s="53">
        <v>155</v>
      </c>
      <c r="I283" s="53">
        <v>149</v>
      </c>
      <c r="J283" s="54"/>
      <c r="K283" s="54"/>
      <c r="L283" s="54"/>
      <c r="M283" s="54"/>
      <c r="N283" s="55" t="s">
        <v>5</v>
      </c>
      <c r="O283" s="55" t="s">
        <v>5</v>
      </c>
      <c r="P283" s="55" t="s">
        <v>5</v>
      </c>
      <c r="Q283" s="55" t="s">
        <v>5</v>
      </c>
      <c r="S283" s="2435"/>
      <c r="T283" s="2429"/>
      <c r="U283" s="2435"/>
      <c r="V283" s="2429"/>
      <c r="W283" s="2435"/>
      <c r="X283" s="2435"/>
      <c r="Y283" s="2429"/>
      <c r="Z283" s="2429"/>
      <c r="AA283" s="2438"/>
      <c r="AB283" s="2443"/>
      <c r="AC283" s="2443"/>
      <c r="AD283" s="2443"/>
    </row>
    <row r="284" spans="1:30" ht="15.75" customHeight="1" x14ac:dyDescent="0.25">
      <c r="A284" s="1819"/>
      <c r="B284" s="660" t="s">
        <v>168</v>
      </c>
      <c r="C284" s="760"/>
      <c r="D284" s="639" t="s">
        <v>1148</v>
      </c>
      <c r="E284" s="639" t="s">
        <v>1149</v>
      </c>
      <c r="F284" s="53">
        <v>134</v>
      </c>
      <c r="G284" s="53">
        <v>134</v>
      </c>
      <c r="H284" s="53">
        <v>128</v>
      </c>
      <c r="I284" s="53">
        <v>130</v>
      </c>
      <c r="J284" s="54"/>
      <c r="K284" s="54"/>
      <c r="L284" s="54"/>
      <c r="M284" s="54"/>
      <c r="N284" s="55" t="s">
        <v>5</v>
      </c>
      <c r="O284" s="55" t="s">
        <v>5</v>
      </c>
      <c r="P284" s="55" t="s">
        <v>5</v>
      </c>
      <c r="Q284" s="55" t="s">
        <v>5</v>
      </c>
      <c r="S284" s="2435"/>
      <c r="T284" s="2429"/>
      <c r="U284" s="2435"/>
      <c r="V284" s="2429"/>
      <c r="W284" s="2435"/>
      <c r="X284" s="2435"/>
      <c r="Y284" s="2429"/>
      <c r="Z284" s="2429"/>
      <c r="AA284" s="2438"/>
      <c r="AB284" s="2443"/>
      <c r="AC284" s="2443"/>
      <c r="AD284" s="2443"/>
    </row>
    <row r="285" spans="1:30" ht="16.5" customHeight="1" thickBot="1" x14ac:dyDescent="0.3">
      <c r="A285" s="1820"/>
      <c r="B285" s="612" t="s">
        <v>169</v>
      </c>
      <c r="C285" s="760"/>
      <c r="D285" s="639" t="s">
        <v>1148</v>
      </c>
      <c r="E285" s="639" t="s">
        <v>1149</v>
      </c>
      <c r="F285" s="53">
        <v>142</v>
      </c>
      <c r="G285" s="53">
        <v>142</v>
      </c>
      <c r="H285" s="53">
        <v>134</v>
      </c>
      <c r="I285" s="53">
        <v>133</v>
      </c>
      <c r="J285" s="54"/>
      <c r="K285" s="54"/>
      <c r="L285" s="54"/>
      <c r="M285" s="54"/>
      <c r="N285" s="55" t="s">
        <v>5</v>
      </c>
      <c r="O285" s="55" t="s">
        <v>5</v>
      </c>
      <c r="P285" s="55" t="s">
        <v>5</v>
      </c>
      <c r="Q285" s="55" t="s">
        <v>5</v>
      </c>
      <c r="S285" s="2436"/>
      <c r="T285" s="2436"/>
      <c r="U285" s="2436"/>
      <c r="V285" s="2436"/>
      <c r="W285" s="2436"/>
      <c r="X285" s="2436"/>
      <c r="Y285" s="2436"/>
      <c r="Z285" s="2436"/>
      <c r="AA285" s="2439"/>
      <c r="AB285" s="2439"/>
      <c r="AC285" s="2439"/>
      <c r="AD285" s="2439"/>
    </row>
    <row r="286" spans="1:30" ht="15.75" customHeight="1" x14ac:dyDescent="0.25">
      <c r="A286" s="2440" t="s">
        <v>31</v>
      </c>
      <c r="B286" s="786" t="s">
        <v>170</v>
      </c>
      <c r="C286" s="760"/>
      <c r="D286" s="639" t="s">
        <v>1150</v>
      </c>
      <c r="E286" s="639" t="s">
        <v>1151</v>
      </c>
      <c r="F286" s="53">
        <v>138</v>
      </c>
      <c r="G286" s="53">
        <v>469</v>
      </c>
      <c r="H286" s="53">
        <v>476</v>
      </c>
      <c r="I286" s="53">
        <v>447</v>
      </c>
      <c r="J286" s="54"/>
      <c r="K286" s="54"/>
      <c r="L286" s="54"/>
      <c r="M286" s="54"/>
      <c r="N286" s="58">
        <f>(1233121585/8934000)/365*1000</f>
        <v>378.15259697446419</v>
      </c>
      <c r="O286" s="58">
        <f>(1240410720/9175000)/366*1000</f>
        <v>369.38423192031092</v>
      </c>
      <c r="P286" s="58">
        <f>(1209012873/9320000)/365*1000</f>
        <v>355.40386648245044</v>
      </c>
      <c r="Q286" s="58">
        <f>(1394110665/9000000)/366*1000</f>
        <v>423.22728142076505</v>
      </c>
      <c r="S286" s="2434">
        <f>(F286+F287+F288+F290+F291+F292)/6</f>
        <v>137.83333333333334</v>
      </c>
      <c r="T286" s="2434">
        <f>MEDIAN(F286:F292)</f>
        <v>144.5</v>
      </c>
      <c r="U286" s="2434">
        <f>SUM(G286:G292)/5</f>
        <v>432.4</v>
      </c>
      <c r="V286" s="2434">
        <f>MEDIAN(G286:G292)</f>
        <v>466</v>
      </c>
      <c r="W286" s="2434">
        <f>SUM(H286:H292)/2</f>
        <v>401</v>
      </c>
      <c r="X286" s="2434">
        <f>MEDIAN(H286:H292)</f>
        <v>401</v>
      </c>
      <c r="Y286" s="2434">
        <f>SUM(I286:I292)/3</f>
        <v>471</v>
      </c>
      <c r="Z286" s="2434">
        <f>MEDIAN(I286:I292)</f>
        <v>447</v>
      </c>
      <c r="AA286" s="2444">
        <f>(N286+N287+N288+N290+N291+N292)/6</f>
        <v>377.65751280976593</v>
      </c>
      <c r="AB286" s="2444">
        <f>SUM(O286:O292)/7</f>
        <v>473.98151743659679</v>
      </c>
      <c r="AC286" s="2444">
        <f>SUM(P286:P292)/6</f>
        <v>381.81592154426374</v>
      </c>
      <c r="AD286" s="2444">
        <f>SUM(Q286:Q292)/7</f>
        <v>367.55626578764316</v>
      </c>
    </row>
    <row r="287" spans="1:30" ht="15" customHeight="1" x14ac:dyDescent="0.25">
      <c r="A287" s="2441"/>
      <c r="B287" s="660" t="s">
        <v>171</v>
      </c>
      <c r="C287" s="760" t="s">
        <v>429</v>
      </c>
      <c r="D287" s="639" t="s">
        <v>1150</v>
      </c>
      <c r="E287" s="639" t="s">
        <v>1151</v>
      </c>
      <c r="F287" s="53">
        <v>51</v>
      </c>
      <c r="G287" s="53" t="s">
        <v>5</v>
      </c>
      <c r="H287" s="53" t="s">
        <v>5</v>
      </c>
      <c r="I287" s="53" t="s">
        <v>5</v>
      </c>
      <c r="J287" s="54"/>
      <c r="K287" s="54"/>
      <c r="L287" s="54"/>
      <c r="M287" s="54"/>
      <c r="N287" s="58">
        <f>(111060795/2190000)/365*1000</f>
        <v>138.93888159129295</v>
      </c>
      <c r="O287" s="58">
        <f>(109927133/2201000)/366*1000</f>
        <v>136.45949928373344</v>
      </c>
      <c r="P287" s="58">
        <f>(99615830/2201000)/365*1000</f>
        <v>123.99821998717893</v>
      </c>
      <c r="Q287" s="58">
        <f>(99650985/2200000)/366*1000</f>
        <v>123.75929582712371</v>
      </c>
      <c r="S287" s="2435"/>
      <c r="T287" s="2429"/>
      <c r="U287" s="2435"/>
      <c r="V287" s="2429"/>
      <c r="W287" s="2435"/>
      <c r="X287" s="2435"/>
      <c r="Y287" s="2429"/>
      <c r="Z287" s="2429"/>
      <c r="AA287" s="2445"/>
      <c r="AB287" s="2446"/>
      <c r="AC287" s="2446"/>
      <c r="AD287" s="2446"/>
    </row>
    <row r="288" spans="1:30" ht="15" customHeight="1" x14ac:dyDescent="0.25">
      <c r="A288" s="2441"/>
      <c r="B288" s="660" t="s">
        <v>172</v>
      </c>
      <c r="C288" s="760"/>
      <c r="D288" s="639" t="s">
        <v>1150</v>
      </c>
      <c r="E288" s="639" t="s">
        <v>1151</v>
      </c>
      <c r="F288" s="53">
        <v>151</v>
      </c>
      <c r="G288" s="53">
        <v>466</v>
      </c>
      <c r="H288" s="53">
        <v>326</v>
      </c>
      <c r="I288" s="53">
        <v>428</v>
      </c>
      <c r="J288" s="54"/>
      <c r="K288" s="54"/>
      <c r="L288" s="54"/>
      <c r="M288" s="54"/>
      <c r="N288" s="58">
        <f>(619365288/4100000)/365*1000</f>
        <v>413.87590243902434</v>
      </c>
      <c r="O288" s="58">
        <f>(1135623000/4000000)/366*1000</f>
        <v>775.69877049180332</v>
      </c>
      <c r="P288" s="58">
        <f>(684668856/3894000)/365*1000</f>
        <v>481.71676551913373</v>
      </c>
      <c r="Q288" s="58">
        <f>(632163893/4000000)/366*1000</f>
        <v>431.80593784153012</v>
      </c>
      <c r="S288" s="2435"/>
      <c r="T288" s="2429"/>
      <c r="U288" s="2435"/>
      <c r="V288" s="2429"/>
      <c r="W288" s="2435"/>
      <c r="X288" s="2435"/>
      <c r="Y288" s="2429"/>
      <c r="Z288" s="2429"/>
      <c r="AA288" s="2445"/>
      <c r="AB288" s="2446"/>
      <c r="AC288" s="2446"/>
      <c r="AD288" s="2446"/>
    </row>
    <row r="289" spans="1:30" ht="15" customHeight="1" x14ac:dyDescent="0.25">
      <c r="A289" s="2441"/>
      <c r="B289" s="660" t="s">
        <v>173</v>
      </c>
      <c r="C289" s="760"/>
      <c r="D289" s="639" t="s">
        <v>1150</v>
      </c>
      <c r="E289" s="639" t="s">
        <v>1151</v>
      </c>
      <c r="F289" s="53" t="s">
        <v>5</v>
      </c>
      <c r="G289" s="53" t="s">
        <v>5</v>
      </c>
      <c r="H289" s="53" t="s">
        <v>5</v>
      </c>
      <c r="I289" s="53" t="s">
        <v>5</v>
      </c>
      <c r="J289" s="54"/>
      <c r="K289" s="54"/>
      <c r="L289" s="54"/>
      <c r="M289" s="54"/>
      <c r="N289" s="55" t="s">
        <v>5</v>
      </c>
      <c r="O289" s="58">
        <f>(1381674650/5296000)/366*1000</f>
        <v>712.81483189704977</v>
      </c>
      <c r="P289" s="58">
        <f>(695542318/5296000)/365*1000</f>
        <v>359.81786098580477</v>
      </c>
      <c r="Q289" s="58">
        <f>(677476985/5296000)/366*1000</f>
        <v>349.51473067620884</v>
      </c>
      <c r="S289" s="2435"/>
      <c r="T289" s="2429"/>
      <c r="U289" s="2435"/>
      <c r="V289" s="2429"/>
      <c r="W289" s="2435"/>
      <c r="X289" s="2435"/>
      <c r="Y289" s="2429"/>
      <c r="Z289" s="2429"/>
      <c r="AA289" s="2445"/>
      <c r="AB289" s="2446"/>
      <c r="AC289" s="2446"/>
      <c r="AD289" s="2446"/>
    </row>
    <row r="290" spans="1:30" ht="15" customHeight="1" x14ac:dyDescent="0.25">
      <c r="A290" s="2441"/>
      <c r="B290" s="660" t="s">
        <v>174</v>
      </c>
      <c r="C290" s="760"/>
      <c r="D290" s="639" t="s">
        <v>1150</v>
      </c>
      <c r="E290" s="639" t="s">
        <v>1151</v>
      </c>
      <c r="F290" s="53">
        <v>198</v>
      </c>
      <c r="G290" s="53">
        <v>322</v>
      </c>
      <c r="H290" s="53" t="s">
        <v>5</v>
      </c>
      <c r="I290" s="53">
        <v>538</v>
      </c>
      <c r="J290" s="54"/>
      <c r="K290" s="54"/>
      <c r="L290" s="54"/>
      <c r="M290" s="54"/>
      <c r="N290" s="58">
        <f>(232275798/1173000)/365*1000</f>
        <v>542.51666608275229</v>
      </c>
      <c r="O290" s="58">
        <f>(245389203/1135000)/366*1000</f>
        <v>590.71568570809563</v>
      </c>
      <c r="P290" s="58">
        <f>(252120619/1161000)/365*1000</f>
        <v>594.95385178105801</v>
      </c>
      <c r="Q290" s="58">
        <f>(246062603/1249000)/366*1000</f>
        <v>538.2723730897286</v>
      </c>
      <c r="S290" s="2435"/>
      <c r="T290" s="2429"/>
      <c r="U290" s="2435"/>
      <c r="V290" s="2429"/>
      <c r="W290" s="2435"/>
      <c r="X290" s="2435"/>
      <c r="Y290" s="2429"/>
      <c r="Z290" s="2429"/>
      <c r="AA290" s="2445"/>
      <c r="AB290" s="2446"/>
      <c r="AC290" s="2446"/>
      <c r="AD290" s="2446"/>
    </row>
    <row r="291" spans="1:30" ht="15.75" customHeight="1" x14ac:dyDescent="0.25">
      <c r="A291" s="2441"/>
      <c r="B291" s="660" t="s">
        <v>175</v>
      </c>
      <c r="C291" s="760"/>
      <c r="D291" s="639" t="s">
        <v>1150</v>
      </c>
      <c r="E291" s="639" t="s">
        <v>1151</v>
      </c>
      <c r="F291" s="53">
        <v>145</v>
      </c>
      <c r="G291" s="53">
        <v>526</v>
      </c>
      <c r="H291" s="53" t="s">
        <v>5</v>
      </c>
      <c r="I291" s="53" t="s">
        <v>5</v>
      </c>
      <c r="J291" s="54"/>
      <c r="K291" s="54"/>
      <c r="L291" s="54"/>
      <c r="M291" s="54"/>
      <c r="N291" s="58">
        <f>(326495803/2248000)/365*1000</f>
        <v>397.91327816506606</v>
      </c>
      <c r="O291" s="58">
        <f>(326207707/2334000)/366*1000</f>
        <v>381.86713280982946</v>
      </c>
      <c r="P291" s="58">
        <f>(320428617/2341000)/365*1000</f>
        <v>375.00496450995649</v>
      </c>
      <c r="Q291" s="58">
        <f>(323408802/2266000)/366*1000</f>
        <v>389.9517239882511</v>
      </c>
      <c r="S291" s="2435"/>
      <c r="T291" s="2429"/>
      <c r="U291" s="2435"/>
      <c r="V291" s="2429"/>
      <c r="W291" s="2435"/>
      <c r="X291" s="2435"/>
      <c r="Y291" s="2429"/>
      <c r="Z291" s="2429"/>
      <c r="AA291" s="2445"/>
      <c r="AB291" s="2446"/>
      <c r="AC291" s="2446"/>
      <c r="AD291" s="2446"/>
    </row>
    <row r="292" spans="1:30" ht="15.75" thickBot="1" x14ac:dyDescent="0.3">
      <c r="A292" s="2442"/>
      <c r="B292" s="660" t="s">
        <v>212</v>
      </c>
      <c r="C292" s="760"/>
      <c r="D292" s="639" t="s">
        <v>1150</v>
      </c>
      <c r="E292" s="639" t="s">
        <v>1151</v>
      </c>
      <c r="F292" s="233">
        <v>144</v>
      </c>
      <c r="G292" s="233">
        <v>379</v>
      </c>
      <c r="H292" s="233" t="s">
        <v>5</v>
      </c>
      <c r="I292" s="233" t="s">
        <v>5</v>
      </c>
      <c r="J292" s="234"/>
      <c r="K292" s="234"/>
      <c r="L292" s="234"/>
      <c r="M292" s="234"/>
      <c r="N292" s="238">
        <f>(67252637/467000)/365*1000</f>
        <v>394.5477516059957</v>
      </c>
      <c r="O292" s="58">
        <f>(64220276/500000)/366*1000</f>
        <v>350.93046994535518</v>
      </c>
      <c r="P292" s="58" t="s">
        <v>5</v>
      </c>
      <c r="Q292" s="58">
        <f>(59978537/518000)/366*1000</f>
        <v>316.36251766989471</v>
      </c>
      <c r="S292" s="2430"/>
      <c r="T292" s="2430"/>
      <c r="U292" s="2430"/>
      <c r="V292" s="2430"/>
      <c r="W292" s="2430"/>
      <c r="X292" s="2430"/>
      <c r="Y292" s="2430"/>
      <c r="Z292" s="2430"/>
      <c r="AA292" s="2433"/>
      <c r="AB292" s="2447"/>
      <c r="AC292" s="2447"/>
      <c r="AD292" s="2447"/>
    </row>
    <row r="293" spans="1:30" ht="16.5" customHeight="1" x14ac:dyDescent="0.25">
      <c r="A293" s="2425" t="s">
        <v>718</v>
      </c>
      <c r="B293" s="796" t="s">
        <v>761</v>
      </c>
      <c r="C293" s="797" t="s">
        <v>429</v>
      </c>
      <c r="D293" s="276" t="s">
        <v>1152</v>
      </c>
      <c r="E293" s="276" t="s">
        <v>1153</v>
      </c>
      <c r="F293" s="53" t="s">
        <v>5</v>
      </c>
      <c r="G293" s="53" t="s">
        <v>5</v>
      </c>
      <c r="H293" s="53">
        <v>54</v>
      </c>
      <c r="I293" s="53"/>
      <c r="J293" s="54"/>
      <c r="K293" s="54"/>
      <c r="L293" s="54"/>
      <c r="M293" s="54"/>
      <c r="N293" s="58" t="s">
        <v>5</v>
      </c>
      <c r="O293" s="58" t="s">
        <v>5</v>
      </c>
      <c r="P293" s="58">
        <f>(51120000/1882299)/365*1000</f>
        <v>74.40624179290748</v>
      </c>
      <c r="Q293" s="58"/>
      <c r="S293" s="2428" t="s">
        <v>5</v>
      </c>
      <c r="T293" s="2428" t="s">
        <v>5</v>
      </c>
      <c r="U293" s="2428" t="s">
        <v>5</v>
      </c>
      <c r="V293" s="2428" t="s">
        <v>5</v>
      </c>
      <c r="W293" s="2428">
        <f>SUM(H293:H296)/4</f>
        <v>63.75</v>
      </c>
      <c r="X293" s="2428">
        <f>MEDIAN(H293:H296)</f>
        <v>62</v>
      </c>
      <c r="Y293" s="954"/>
      <c r="Z293" s="954"/>
      <c r="AA293" s="2431" t="s">
        <v>5</v>
      </c>
      <c r="AB293" s="2431" t="s">
        <v>5</v>
      </c>
      <c r="AC293" s="2431">
        <f>SUM(P293:P296)/4</f>
        <v>107.16850082551831</v>
      </c>
      <c r="AD293" s="2431"/>
    </row>
    <row r="294" spans="1:30" x14ac:dyDescent="0.25">
      <c r="A294" s="2426"/>
      <c r="B294" s="797" t="s">
        <v>762</v>
      </c>
      <c r="C294" s="797"/>
      <c r="D294" s="276" t="s">
        <v>1152</v>
      </c>
      <c r="E294" s="276" t="s">
        <v>1153</v>
      </c>
      <c r="F294" s="53" t="s">
        <v>5</v>
      </c>
      <c r="G294" s="53" t="s">
        <v>5</v>
      </c>
      <c r="H294" s="53">
        <v>70</v>
      </c>
      <c r="I294" s="53"/>
      <c r="J294" s="54"/>
      <c r="K294" s="54"/>
      <c r="L294" s="54"/>
      <c r="M294" s="54"/>
      <c r="N294" s="58" t="s">
        <v>5</v>
      </c>
      <c r="O294" s="58" t="s">
        <v>5</v>
      </c>
      <c r="P294" s="58">
        <f>(21930000/601171)/365*1000</f>
        <v>99.9419329622053</v>
      </c>
      <c r="Q294" s="58"/>
      <c r="S294" s="2429"/>
      <c r="T294" s="2429"/>
      <c r="U294" s="2429"/>
      <c r="V294" s="2429"/>
      <c r="W294" s="2429"/>
      <c r="X294" s="2429"/>
      <c r="Y294" s="936"/>
      <c r="Z294" s="936"/>
      <c r="AA294" s="2432"/>
      <c r="AB294" s="2432"/>
      <c r="AC294" s="2432"/>
      <c r="AD294" s="2432"/>
    </row>
    <row r="295" spans="1:30" x14ac:dyDescent="0.25">
      <c r="A295" s="2426"/>
      <c r="B295" s="797" t="s">
        <v>763</v>
      </c>
      <c r="C295" s="797"/>
      <c r="D295" s="276" t="s">
        <v>1152</v>
      </c>
      <c r="E295" s="276" t="s">
        <v>1153</v>
      </c>
      <c r="F295" s="53" t="s">
        <v>5</v>
      </c>
      <c r="G295" s="53" t="s">
        <v>5</v>
      </c>
      <c r="H295" s="53">
        <v>97</v>
      </c>
      <c r="I295" s="53"/>
      <c r="J295" s="54"/>
      <c r="K295" s="54"/>
      <c r="L295" s="54"/>
      <c r="M295" s="54"/>
      <c r="N295" s="58" t="s">
        <v>5</v>
      </c>
      <c r="O295" s="58" t="s">
        <v>5</v>
      </c>
      <c r="P295" s="58">
        <f>(34460000/453296)/365*1000</f>
        <v>208.27662036309516</v>
      </c>
      <c r="Q295" s="58"/>
      <c r="S295" s="2429"/>
      <c r="T295" s="2429"/>
      <c r="U295" s="2429"/>
      <c r="V295" s="2429"/>
      <c r="W295" s="2429"/>
      <c r="X295" s="2429"/>
      <c r="Y295" s="936"/>
      <c r="Z295" s="936"/>
      <c r="AA295" s="2432"/>
      <c r="AB295" s="2432"/>
      <c r="AC295" s="2432"/>
      <c r="AD295" s="2432"/>
    </row>
    <row r="296" spans="1:30" ht="15.75" thickBot="1" x14ac:dyDescent="0.3">
      <c r="A296" s="2427"/>
      <c r="B296" s="798" t="s">
        <v>764</v>
      </c>
      <c r="C296" s="797"/>
      <c r="D296" s="276" t="s">
        <v>1152</v>
      </c>
      <c r="E296" s="276" t="s">
        <v>1153</v>
      </c>
      <c r="F296" s="53" t="s">
        <v>5</v>
      </c>
      <c r="G296" s="53" t="s">
        <v>5</v>
      </c>
      <c r="H296" s="53">
        <v>34</v>
      </c>
      <c r="I296" s="53"/>
      <c r="J296" s="54"/>
      <c r="K296" s="54"/>
      <c r="L296" s="54"/>
      <c r="M296" s="54"/>
      <c r="N296" s="58" t="s">
        <v>5</v>
      </c>
      <c r="O296" s="58" t="s">
        <v>5</v>
      </c>
      <c r="P296" s="58">
        <f>(3650000/217159)/365*1000</f>
        <v>46.049208183865282</v>
      </c>
      <c r="Q296" s="58"/>
      <c r="S296" s="2430"/>
      <c r="T296" s="2430"/>
      <c r="U296" s="2430"/>
      <c r="V296" s="2430"/>
      <c r="W296" s="2430"/>
      <c r="X296" s="2430"/>
      <c r="Y296" s="497"/>
      <c r="Z296" s="497"/>
      <c r="AA296" s="2433"/>
      <c r="AB296" s="2433"/>
      <c r="AC296" s="2433"/>
      <c r="AD296" s="2433"/>
    </row>
    <row r="297" spans="1:30" x14ac:dyDescent="0.25">
      <c r="N297" s="63"/>
      <c r="O297" s="63"/>
      <c r="P297" s="63"/>
      <c r="Q297" s="63"/>
    </row>
    <row r="298" spans="1:30" ht="15.75" thickBot="1" x14ac:dyDescent="0.3">
      <c r="N298" s="63"/>
      <c r="O298" s="63"/>
      <c r="P298" s="63"/>
      <c r="Q298" s="63"/>
    </row>
    <row r="299" spans="1:30" ht="16.5" thickBot="1" x14ac:dyDescent="0.3">
      <c r="A299" s="250" t="s">
        <v>58</v>
      </c>
      <c r="B299" s="758" t="s">
        <v>1190</v>
      </c>
      <c r="C299" s="758" t="s">
        <v>1022</v>
      </c>
      <c r="D299" s="46" t="s">
        <v>1217</v>
      </c>
      <c r="E299" s="46" t="s">
        <v>1218</v>
      </c>
      <c r="N299" s="63"/>
      <c r="O299" s="63"/>
      <c r="P299" s="63"/>
      <c r="Q299" s="63"/>
    </row>
    <row r="300" spans="1:30" ht="14.45" customHeight="1" x14ac:dyDescent="0.25">
      <c r="A300" s="787" t="s">
        <v>749</v>
      </c>
      <c r="B300" s="1108"/>
      <c r="C300" s="1109" t="s">
        <v>1147</v>
      </c>
      <c r="D300" s="53">
        <v>45</v>
      </c>
      <c r="E300" s="431">
        <v>13.723130112909756</v>
      </c>
      <c r="N300" s="63"/>
      <c r="O300" s="63"/>
      <c r="P300" s="63"/>
      <c r="Q300" s="63"/>
    </row>
    <row r="301" spans="1:30" ht="14.45" customHeight="1" x14ac:dyDescent="0.25">
      <c r="A301" s="788" t="s">
        <v>748</v>
      </c>
      <c r="B301" s="760"/>
      <c r="C301" s="1046" t="s">
        <v>1147</v>
      </c>
      <c r="D301" s="53">
        <v>38</v>
      </c>
      <c r="E301" s="431">
        <v>15.534679227430733</v>
      </c>
    </row>
    <row r="302" spans="1:30" ht="14.45" customHeight="1" x14ac:dyDescent="0.25">
      <c r="A302" s="788" t="s">
        <v>747</v>
      </c>
      <c r="B302" s="760"/>
      <c r="C302" s="1046" t="s">
        <v>1147</v>
      </c>
      <c r="D302" s="53">
        <v>28</v>
      </c>
      <c r="E302" s="431">
        <v>19.250291699245707</v>
      </c>
    </row>
    <row r="303" spans="1:30" ht="14.45" customHeight="1" x14ac:dyDescent="0.25">
      <c r="A303" s="788" t="s">
        <v>746</v>
      </c>
      <c r="B303" s="760" t="s">
        <v>429</v>
      </c>
      <c r="C303" s="1046" t="s">
        <v>1147</v>
      </c>
      <c r="D303" s="53">
        <v>61</v>
      </c>
      <c r="E303" s="431">
        <v>23.915051006319757</v>
      </c>
    </row>
    <row r="304" spans="1:30" ht="14.45" customHeight="1" x14ac:dyDescent="0.25">
      <c r="A304" s="754" t="s">
        <v>861</v>
      </c>
      <c r="B304" s="925"/>
      <c r="C304" s="803" t="s">
        <v>1118</v>
      </c>
      <c r="D304" s="53" t="s">
        <v>5</v>
      </c>
      <c r="E304" s="53">
        <v>64</v>
      </c>
    </row>
    <row r="305" spans="1:5" ht="14.45" customHeight="1" x14ac:dyDescent="0.25">
      <c r="A305" s="1104" t="s">
        <v>629</v>
      </c>
      <c r="B305" s="759"/>
      <c r="C305" s="802" t="s">
        <v>1032</v>
      </c>
      <c r="D305" s="56">
        <v>72</v>
      </c>
      <c r="E305" s="56">
        <v>71</v>
      </c>
    </row>
    <row r="306" spans="1:5" ht="15" customHeight="1" x14ac:dyDescent="0.25">
      <c r="A306" s="754" t="s">
        <v>871</v>
      </c>
      <c r="B306" s="925"/>
      <c r="C306" s="803" t="s">
        <v>1118</v>
      </c>
      <c r="D306" s="53" t="s">
        <v>5</v>
      </c>
      <c r="E306" s="53">
        <v>72</v>
      </c>
    </row>
    <row r="307" spans="1:5" x14ac:dyDescent="0.25">
      <c r="A307" s="924" t="s">
        <v>1306</v>
      </c>
      <c r="B307" s="1105"/>
      <c r="C307" s="1054" t="s">
        <v>1088</v>
      </c>
      <c r="D307" s="56">
        <v>78.569999999999993</v>
      </c>
      <c r="E307" s="56">
        <v>74.180000000000007</v>
      </c>
    </row>
    <row r="308" spans="1:5" ht="14.45" customHeight="1" x14ac:dyDescent="0.25">
      <c r="A308" s="754" t="s">
        <v>516</v>
      </c>
      <c r="B308" s="925"/>
      <c r="C308" s="803" t="s">
        <v>1118</v>
      </c>
      <c r="D308" s="53">
        <v>79</v>
      </c>
      <c r="E308" s="53">
        <v>76</v>
      </c>
    </row>
    <row r="309" spans="1:5" ht="14.45" customHeight="1" x14ac:dyDescent="0.25">
      <c r="A309" s="1104" t="s">
        <v>69</v>
      </c>
      <c r="B309" s="759"/>
      <c r="C309" s="802" t="s">
        <v>1032</v>
      </c>
      <c r="D309" s="56">
        <v>104</v>
      </c>
      <c r="E309" s="56">
        <v>78</v>
      </c>
    </row>
    <row r="310" spans="1:5" ht="14.45" customHeight="1" x14ac:dyDescent="0.25">
      <c r="A310" s="788" t="s">
        <v>104</v>
      </c>
      <c r="B310" s="760"/>
      <c r="C310" s="1046" t="s">
        <v>1066</v>
      </c>
      <c r="D310" s="53">
        <v>79</v>
      </c>
      <c r="E310" s="53">
        <v>78</v>
      </c>
    </row>
    <row r="311" spans="1:5" ht="14.45" customHeight="1" x14ac:dyDescent="0.25">
      <c r="A311" s="788" t="s">
        <v>613</v>
      </c>
      <c r="B311" s="760"/>
      <c r="C311" s="1046" t="s">
        <v>1066</v>
      </c>
      <c r="D311" s="53">
        <v>79</v>
      </c>
      <c r="E311" s="53">
        <v>80</v>
      </c>
    </row>
    <row r="312" spans="1:5" ht="14.45" customHeight="1" x14ac:dyDescent="0.25">
      <c r="A312" s="754" t="s">
        <v>870</v>
      </c>
      <c r="B312" s="925"/>
      <c r="C312" s="803" t="s">
        <v>1118</v>
      </c>
      <c r="D312" s="53" t="s">
        <v>5</v>
      </c>
      <c r="E312" s="53">
        <v>80</v>
      </c>
    </row>
    <row r="313" spans="1:5" ht="14.45" customHeight="1" x14ac:dyDescent="0.25">
      <c r="A313" s="788" t="s">
        <v>105</v>
      </c>
      <c r="B313" s="760"/>
      <c r="C313" s="1046" t="s">
        <v>1066</v>
      </c>
      <c r="D313" s="53">
        <v>82</v>
      </c>
      <c r="E313" s="53">
        <v>85</v>
      </c>
    </row>
    <row r="314" spans="1:5" ht="14.45" customHeight="1" x14ac:dyDescent="0.25">
      <c r="A314" s="754" t="s">
        <v>872</v>
      </c>
      <c r="B314" s="925"/>
      <c r="C314" s="803" t="s">
        <v>1118</v>
      </c>
      <c r="D314" s="53" t="s">
        <v>5</v>
      </c>
      <c r="E314" s="53">
        <v>86</v>
      </c>
    </row>
    <row r="315" spans="1:5" ht="14.45" customHeight="1" x14ac:dyDescent="0.25">
      <c r="A315" s="1104" t="s">
        <v>67</v>
      </c>
      <c r="B315" s="759"/>
      <c r="C315" s="802" t="s">
        <v>1032</v>
      </c>
      <c r="D315" s="56">
        <v>120</v>
      </c>
      <c r="E315" s="56">
        <v>87</v>
      </c>
    </row>
    <row r="316" spans="1:5" ht="14.45" customHeight="1" x14ac:dyDescent="0.25">
      <c r="A316" s="1104" t="s">
        <v>216</v>
      </c>
      <c r="B316" s="759"/>
      <c r="C316" s="802" t="s">
        <v>1032</v>
      </c>
      <c r="D316" s="56" t="s">
        <v>5</v>
      </c>
      <c r="E316" s="56">
        <v>87</v>
      </c>
    </row>
    <row r="317" spans="1:5" ht="14.45" customHeight="1" x14ac:dyDescent="0.25">
      <c r="A317" s="754" t="s">
        <v>190</v>
      </c>
      <c r="B317" s="925"/>
      <c r="C317" s="803" t="s">
        <v>1118</v>
      </c>
      <c r="D317" s="53">
        <v>96</v>
      </c>
      <c r="E317" s="53">
        <v>87</v>
      </c>
    </row>
    <row r="318" spans="1:5" ht="14.45" customHeight="1" x14ac:dyDescent="0.25">
      <c r="A318" s="754" t="s">
        <v>875</v>
      </c>
      <c r="B318" s="925"/>
      <c r="C318" s="803" t="s">
        <v>1118</v>
      </c>
      <c r="D318" s="53" t="s">
        <v>5</v>
      </c>
      <c r="E318" s="53">
        <v>87</v>
      </c>
    </row>
    <row r="319" spans="1:5" ht="14.45" customHeight="1" x14ac:dyDescent="0.25">
      <c r="A319" s="788" t="s">
        <v>130</v>
      </c>
      <c r="B319" s="760"/>
      <c r="C319" s="1046" t="s">
        <v>1114</v>
      </c>
      <c r="D319" s="53">
        <v>89</v>
      </c>
      <c r="E319" s="431">
        <v>87.978024772469695</v>
      </c>
    </row>
    <row r="320" spans="1:5" ht="14.45" customHeight="1" x14ac:dyDescent="0.25">
      <c r="A320" s="1104" t="s">
        <v>70</v>
      </c>
      <c r="B320" s="759"/>
      <c r="C320" s="802" t="s">
        <v>1032</v>
      </c>
      <c r="D320" s="56">
        <v>110</v>
      </c>
      <c r="E320" s="56">
        <v>88</v>
      </c>
    </row>
    <row r="321" spans="1:5" ht="14.45" customHeight="1" x14ac:dyDescent="0.25">
      <c r="A321" s="754" t="s">
        <v>862</v>
      </c>
      <c r="B321" s="925"/>
      <c r="C321" s="803" t="s">
        <v>1118</v>
      </c>
      <c r="D321" s="53" t="s">
        <v>5</v>
      </c>
      <c r="E321" s="53">
        <v>89</v>
      </c>
    </row>
    <row r="322" spans="1:5" ht="15" customHeight="1" x14ac:dyDescent="0.25">
      <c r="A322" s="754" t="s">
        <v>863</v>
      </c>
      <c r="B322" s="925"/>
      <c r="C322" s="803" t="s">
        <v>1118</v>
      </c>
      <c r="D322" s="53" t="s">
        <v>5</v>
      </c>
      <c r="E322" s="53">
        <v>89</v>
      </c>
    </row>
    <row r="323" spans="1:5" ht="14.45" customHeight="1" x14ac:dyDescent="0.25">
      <c r="A323" s="754" t="s">
        <v>867</v>
      </c>
      <c r="B323" s="925"/>
      <c r="C323" s="803" t="s">
        <v>1118</v>
      </c>
      <c r="D323" s="53" t="s">
        <v>5</v>
      </c>
      <c r="E323" s="53">
        <v>90</v>
      </c>
    </row>
    <row r="324" spans="1:5" ht="14.45" customHeight="1" x14ac:dyDescent="0.25">
      <c r="A324" s="754" t="s">
        <v>874</v>
      </c>
      <c r="B324" s="925"/>
      <c r="C324" s="803" t="s">
        <v>1118</v>
      </c>
      <c r="D324" s="53" t="s">
        <v>5</v>
      </c>
      <c r="E324" s="53">
        <v>90</v>
      </c>
    </row>
    <row r="325" spans="1:5" ht="15" customHeight="1" x14ac:dyDescent="0.25">
      <c r="A325" s="788" t="s">
        <v>131</v>
      </c>
      <c r="B325" s="760"/>
      <c r="C325" s="1046" t="s">
        <v>1114</v>
      </c>
      <c r="D325" s="53">
        <v>89</v>
      </c>
      <c r="E325" s="431">
        <v>90.163842422308662</v>
      </c>
    </row>
    <row r="326" spans="1:5" ht="14.45" customHeight="1" x14ac:dyDescent="0.25">
      <c r="A326" s="788" t="s">
        <v>128</v>
      </c>
      <c r="B326" s="760"/>
      <c r="C326" s="1046" t="s">
        <v>1114</v>
      </c>
      <c r="D326" s="53">
        <v>91</v>
      </c>
      <c r="E326" s="431">
        <v>92.076524984067305</v>
      </c>
    </row>
    <row r="327" spans="1:5" ht="14.45" customHeight="1" x14ac:dyDescent="0.25">
      <c r="A327" s="1104" t="s">
        <v>68</v>
      </c>
      <c r="B327" s="759" t="s">
        <v>429</v>
      </c>
      <c r="C327" s="802" t="s">
        <v>1032</v>
      </c>
      <c r="D327" s="56">
        <v>92</v>
      </c>
      <c r="E327" s="56">
        <v>93</v>
      </c>
    </row>
    <row r="328" spans="1:5" ht="14.45" customHeight="1" x14ac:dyDescent="0.25">
      <c r="A328" s="754" t="s">
        <v>520</v>
      </c>
      <c r="B328" s="925"/>
      <c r="C328" s="803" t="s">
        <v>1118</v>
      </c>
      <c r="D328" s="53">
        <v>91</v>
      </c>
      <c r="E328" s="53">
        <v>93</v>
      </c>
    </row>
    <row r="329" spans="1:5" ht="14.45" customHeight="1" x14ac:dyDescent="0.25">
      <c r="A329" s="788" t="s">
        <v>930</v>
      </c>
      <c r="B329" s="760"/>
      <c r="C329" s="1046" t="s">
        <v>1145</v>
      </c>
      <c r="D329" s="53" t="s">
        <v>5</v>
      </c>
      <c r="E329" s="53">
        <v>93</v>
      </c>
    </row>
    <row r="330" spans="1:5" ht="15" customHeight="1" x14ac:dyDescent="0.25">
      <c r="A330" s="788" t="s">
        <v>132</v>
      </c>
      <c r="B330" s="760"/>
      <c r="C330" s="1046" t="s">
        <v>1114</v>
      </c>
      <c r="D330" s="53">
        <v>94</v>
      </c>
      <c r="E330" s="431">
        <v>93.989242904295537</v>
      </c>
    </row>
    <row r="331" spans="1:5" ht="14.45" customHeight="1" x14ac:dyDescent="0.25">
      <c r="A331" s="1104" t="s">
        <v>72</v>
      </c>
      <c r="B331" s="759"/>
      <c r="C331" s="802" t="s">
        <v>1032</v>
      </c>
      <c r="D331" s="56">
        <v>92</v>
      </c>
      <c r="E331" s="56">
        <v>94</v>
      </c>
    </row>
    <row r="332" spans="1:5" ht="14.45" customHeight="1" x14ac:dyDescent="0.25">
      <c r="A332" s="754" t="s">
        <v>514</v>
      </c>
      <c r="B332" s="925"/>
      <c r="C332" s="803" t="s">
        <v>1118</v>
      </c>
      <c r="D332" s="53" t="s">
        <v>5</v>
      </c>
      <c r="E332" s="53">
        <v>96</v>
      </c>
    </row>
    <row r="333" spans="1:5" ht="14.45" customHeight="1" x14ac:dyDescent="0.25">
      <c r="A333" s="788" t="s">
        <v>913</v>
      </c>
      <c r="B333" s="760"/>
      <c r="C333" s="1046" t="s">
        <v>1052</v>
      </c>
      <c r="D333" s="53" t="s">
        <v>5</v>
      </c>
      <c r="E333" s="53">
        <v>97</v>
      </c>
    </row>
    <row r="334" spans="1:5" ht="14.45" customHeight="1" x14ac:dyDescent="0.25">
      <c r="A334" s="788" t="s">
        <v>213</v>
      </c>
      <c r="B334" s="760"/>
      <c r="C334" s="1046" t="s">
        <v>1054</v>
      </c>
      <c r="D334" s="56">
        <v>108</v>
      </c>
      <c r="E334" s="56">
        <v>98</v>
      </c>
    </row>
    <row r="335" spans="1:5" ht="15" customHeight="1" x14ac:dyDescent="0.25">
      <c r="A335" s="754" t="s">
        <v>218</v>
      </c>
      <c r="B335" s="925"/>
      <c r="C335" s="803" t="s">
        <v>1118</v>
      </c>
      <c r="D335" s="53" t="s">
        <v>5</v>
      </c>
      <c r="E335" s="53">
        <v>98</v>
      </c>
    </row>
    <row r="336" spans="1:5" ht="14.45" customHeight="1" x14ac:dyDescent="0.25">
      <c r="A336" s="754" t="s">
        <v>517</v>
      </c>
      <c r="B336" s="925"/>
      <c r="C336" s="803" t="s">
        <v>1118</v>
      </c>
      <c r="D336" s="53" t="s">
        <v>5</v>
      </c>
      <c r="E336" s="53">
        <v>98</v>
      </c>
    </row>
    <row r="337" spans="1:5" ht="14.45" customHeight="1" x14ac:dyDescent="0.25">
      <c r="A337" s="754" t="s">
        <v>597</v>
      </c>
      <c r="B337" s="925"/>
      <c r="C337" s="803" t="s">
        <v>1118</v>
      </c>
      <c r="D337" s="53">
        <v>101</v>
      </c>
      <c r="E337" s="53">
        <v>98</v>
      </c>
    </row>
    <row r="338" spans="1:5" ht="14.45" customHeight="1" x14ac:dyDescent="0.25">
      <c r="A338" s="788" t="s">
        <v>90</v>
      </c>
      <c r="B338" s="760"/>
      <c r="C338" s="1046" t="s">
        <v>1054</v>
      </c>
      <c r="D338" s="56">
        <v>102</v>
      </c>
      <c r="E338" s="56">
        <v>99.1</v>
      </c>
    </row>
    <row r="339" spans="1:5" ht="14.45" customHeight="1" x14ac:dyDescent="0.25">
      <c r="A339" s="1104" t="s">
        <v>78</v>
      </c>
      <c r="B339" s="759" t="s">
        <v>429</v>
      </c>
      <c r="C339" s="802" t="s">
        <v>1044</v>
      </c>
      <c r="D339" s="53">
        <v>100</v>
      </c>
      <c r="E339" s="53">
        <v>100</v>
      </c>
    </row>
    <row r="340" spans="1:5" ht="14.45" customHeight="1" x14ac:dyDescent="0.25">
      <c r="A340" s="754" t="s">
        <v>873</v>
      </c>
      <c r="B340" s="925"/>
      <c r="C340" s="803" t="s">
        <v>1118</v>
      </c>
      <c r="D340" s="53">
        <v>94</v>
      </c>
      <c r="E340" s="53">
        <v>102</v>
      </c>
    </row>
    <row r="341" spans="1:5" ht="14.45" customHeight="1" x14ac:dyDescent="0.25">
      <c r="A341" s="754" t="s">
        <v>864</v>
      </c>
      <c r="B341" s="925"/>
      <c r="C341" s="803" t="s">
        <v>1118</v>
      </c>
      <c r="D341" s="53" t="s">
        <v>5</v>
      </c>
      <c r="E341" s="53">
        <v>102</v>
      </c>
    </row>
    <row r="342" spans="1:5" ht="14.45" customHeight="1" x14ac:dyDescent="0.25">
      <c r="A342" s="788" t="s">
        <v>87</v>
      </c>
      <c r="B342" s="760"/>
      <c r="C342" s="1046" t="s">
        <v>1054</v>
      </c>
      <c r="D342" s="56">
        <v>105</v>
      </c>
      <c r="E342" s="56">
        <v>102.3</v>
      </c>
    </row>
    <row r="343" spans="1:5" ht="14.45" customHeight="1" x14ac:dyDescent="0.25">
      <c r="A343" s="1104" t="s">
        <v>77</v>
      </c>
      <c r="B343" s="759"/>
      <c r="C343" s="802" t="s">
        <v>1036</v>
      </c>
      <c r="D343" s="56" t="s">
        <v>5</v>
      </c>
      <c r="E343" s="56">
        <v>103.164</v>
      </c>
    </row>
    <row r="344" spans="1:5" ht="14.45" customHeight="1" x14ac:dyDescent="0.25">
      <c r="A344" s="788" t="s">
        <v>88</v>
      </c>
      <c r="B344" s="760" t="s">
        <v>429</v>
      </c>
      <c r="C344" s="1046" t="s">
        <v>1054</v>
      </c>
      <c r="D344" s="56">
        <v>101</v>
      </c>
      <c r="E344" s="56">
        <v>104.3</v>
      </c>
    </row>
    <row r="345" spans="1:5" ht="14.45" customHeight="1" x14ac:dyDescent="0.25">
      <c r="A345" s="754" t="s">
        <v>513</v>
      </c>
      <c r="B345" s="925"/>
      <c r="C345" s="803" t="s">
        <v>1118</v>
      </c>
      <c r="D345" s="53">
        <v>104</v>
      </c>
      <c r="E345" s="53">
        <v>106</v>
      </c>
    </row>
    <row r="346" spans="1:5" ht="15" customHeight="1" x14ac:dyDescent="0.25">
      <c r="A346" s="1104" t="s">
        <v>76</v>
      </c>
      <c r="B346" s="759"/>
      <c r="C346" s="802" t="s">
        <v>1036</v>
      </c>
      <c r="D346" s="56" t="s">
        <v>5</v>
      </c>
      <c r="E346" s="56">
        <v>106.72</v>
      </c>
    </row>
    <row r="347" spans="1:5" x14ac:dyDescent="0.25">
      <c r="A347" s="1104" t="s">
        <v>80</v>
      </c>
      <c r="B347" s="759"/>
      <c r="C347" s="802" t="s">
        <v>1044</v>
      </c>
      <c r="D347" s="53">
        <v>129</v>
      </c>
      <c r="E347" s="53">
        <v>108</v>
      </c>
    </row>
    <row r="348" spans="1:5" ht="14.45" customHeight="1" x14ac:dyDescent="0.25">
      <c r="A348" s="788" t="s">
        <v>911</v>
      </c>
      <c r="B348" s="760" t="s">
        <v>429</v>
      </c>
      <c r="C348" s="1046" t="s">
        <v>1052</v>
      </c>
      <c r="D348" s="53" t="s">
        <v>5</v>
      </c>
      <c r="E348" s="53">
        <v>108</v>
      </c>
    </row>
    <row r="349" spans="1:5" ht="15" customHeight="1" x14ac:dyDescent="0.25">
      <c r="A349" s="788" t="s">
        <v>136</v>
      </c>
      <c r="B349" s="760"/>
      <c r="C349" s="1046" t="s">
        <v>1116</v>
      </c>
      <c r="D349" s="53">
        <v>226</v>
      </c>
      <c r="E349" s="53">
        <v>108</v>
      </c>
    </row>
    <row r="350" spans="1:5" ht="14.45" customHeight="1" x14ac:dyDescent="0.25">
      <c r="A350" s="754" t="s">
        <v>868</v>
      </c>
      <c r="B350" s="925"/>
      <c r="C350" s="803" t="s">
        <v>1118</v>
      </c>
      <c r="D350" s="53" t="s">
        <v>5</v>
      </c>
      <c r="E350" s="53">
        <v>109</v>
      </c>
    </row>
    <row r="351" spans="1:5" ht="14.45" customHeight="1" x14ac:dyDescent="0.25">
      <c r="A351" s="788" t="s">
        <v>912</v>
      </c>
      <c r="B351" s="760"/>
      <c r="C351" s="1046" t="s">
        <v>1052</v>
      </c>
      <c r="D351" s="53" t="s">
        <v>5</v>
      </c>
      <c r="E351" s="53">
        <v>110</v>
      </c>
    </row>
    <row r="352" spans="1:5" ht="14.45" customHeight="1" x14ac:dyDescent="0.25">
      <c r="A352" s="788" t="s">
        <v>93</v>
      </c>
      <c r="B352" s="760"/>
      <c r="C352" s="1046" t="s">
        <v>1056</v>
      </c>
      <c r="D352" s="431">
        <v>110</v>
      </c>
      <c r="E352" s="431">
        <v>110</v>
      </c>
    </row>
    <row r="353" spans="1:5" ht="15" customHeight="1" x14ac:dyDescent="0.25">
      <c r="A353" s="754" t="s">
        <v>191</v>
      </c>
      <c r="B353" s="925"/>
      <c r="C353" s="803" t="s">
        <v>1118</v>
      </c>
      <c r="D353" s="53" t="s">
        <v>5</v>
      </c>
      <c r="E353" s="53">
        <v>110</v>
      </c>
    </row>
    <row r="354" spans="1:5" ht="14.45" customHeight="1" x14ac:dyDescent="0.25">
      <c r="A354" s="754" t="s">
        <v>769</v>
      </c>
      <c r="B354" s="925"/>
      <c r="C354" s="803" t="s">
        <v>1118</v>
      </c>
      <c r="D354" s="53">
        <v>103</v>
      </c>
      <c r="E354" s="53">
        <v>112</v>
      </c>
    </row>
    <row r="355" spans="1:5" ht="14.45" customHeight="1" x14ac:dyDescent="0.25">
      <c r="A355" s="754" t="s">
        <v>866</v>
      </c>
      <c r="B355" s="925"/>
      <c r="C355" s="803" t="s">
        <v>1118</v>
      </c>
      <c r="D355" s="53" t="s">
        <v>5</v>
      </c>
      <c r="E355" s="53">
        <v>113</v>
      </c>
    </row>
    <row r="356" spans="1:5" ht="14.45" customHeight="1" x14ac:dyDescent="0.25">
      <c r="A356" s="788" t="s">
        <v>939</v>
      </c>
      <c r="B356" s="760" t="s">
        <v>429</v>
      </c>
      <c r="C356" s="1046" t="s">
        <v>1062</v>
      </c>
      <c r="D356" s="53" t="s">
        <v>5</v>
      </c>
      <c r="E356" s="53">
        <v>114</v>
      </c>
    </row>
    <row r="357" spans="1:5" ht="14.45" customHeight="1" x14ac:dyDescent="0.25">
      <c r="A357" s="788" t="s">
        <v>635</v>
      </c>
      <c r="B357" s="760"/>
      <c r="C357" s="1046" t="s">
        <v>1058</v>
      </c>
      <c r="D357" s="53">
        <v>123</v>
      </c>
      <c r="E357" s="53">
        <v>116</v>
      </c>
    </row>
    <row r="358" spans="1:5" ht="14.45" customHeight="1" x14ac:dyDescent="0.25">
      <c r="A358" s="788" t="s">
        <v>103</v>
      </c>
      <c r="B358" s="760"/>
      <c r="C358" s="1046" t="s">
        <v>1066</v>
      </c>
      <c r="D358" s="53">
        <v>85</v>
      </c>
      <c r="E358" s="53">
        <v>116</v>
      </c>
    </row>
    <row r="359" spans="1:5" ht="14.45" customHeight="1" x14ac:dyDescent="0.25">
      <c r="A359" s="788" t="s">
        <v>134</v>
      </c>
      <c r="B359" s="760"/>
      <c r="C359" s="1046" t="s">
        <v>1116</v>
      </c>
      <c r="D359" s="53">
        <v>138</v>
      </c>
      <c r="E359" s="53">
        <v>117</v>
      </c>
    </row>
    <row r="360" spans="1:5" ht="14.45" customHeight="1" x14ac:dyDescent="0.25">
      <c r="A360" s="788" t="s">
        <v>89</v>
      </c>
      <c r="B360" s="760"/>
      <c r="C360" s="1046" t="s">
        <v>1054</v>
      </c>
      <c r="D360" s="56">
        <v>134</v>
      </c>
      <c r="E360" s="56">
        <v>117.6</v>
      </c>
    </row>
    <row r="361" spans="1:5" ht="15" customHeight="1" x14ac:dyDescent="0.25">
      <c r="A361" s="788" t="s">
        <v>129</v>
      </c>
      <c r="B361" s="760"/>
      <c r="C361" s="1046" t="s">
        <v>1114</v>
      </c>
      <c r="D361" s="53">
        <v>114</v>
      </c>
      <c r="E361" s="431">
        <v>118.03280061997181</v>
      </c>
    </row>
    <row r="362" spans="1:5" ht="14.45" customHeight="1" x14ac:dyDescent="0.25">
      <c r="A362" s="788" t="s">
        <v>99</v>
      </c>
      <c r="B362" s="760"/>
      <c r="C362" s="1046" t="s">
        <v>1058</v>
      </c>
      <c r="D362" s="53">
        <v>98</v>
      </c>
      <c r="E362" s="53">
        <v>119</v>
      </c>
    </row>
    <row r="363" spans="1:5" ht="14.45" customHeight="1" x14ac:dyDescent="0.25">
      <c r="A363" s="754" t="s">
        <v>1309</v>
      </c>
      <c r="B363" s="925"/>
      <c r="C363" s="803" t="s">
        <v>1106</v>
      </c>
      <c r="D363" s="56">
        <v>118.9</v>
      </c>
      <c r="E363" s="56">
        <v>119.2</v>
      </c>
    </row>
    <row r="364" spans="1:5" ht="14.45" customHeight="1" x14ac:dyDescent="0.25">
      <c r="A364" s="788" t="s">
        <v>137</v>
      </c>
      <c r="B364" s="760"/>
      <c r="C364" s="1046" t="s">
        <v>1116</v>
      </c>
      <c r="D364" s="53">
        <v>132</v>
      </c>
      <c r="E364" s="53">
        <v>120</v>
      </c>
    </row>
    <row r="365" spans="1:5" ht="14.45" customHeight="1" x14ac:dyDescent="0.25">
      <c r="A365" s="754" t="s">
        <v>189</v>
      </c>
      <c r="B365" s="925"/>
      <c r="C365" s="803" t="s">
        <v>1118</v>
      </c>
      <c r="D365" s="53" t="s">
        <v>5</v>
      </c>
      <c r="E365" s="53">
        <v>120</v>
      </c>
    </row>
    <row r="366" spans="1:5" ht="14.45" customHeight="1" x14ac:dyDescent="0.25">
      <c r="A366" s="754" t="s">
        <v>598</v>
      </c>
      <c r="B366" s="925"/>
      <c r="C366" s="803" t="s">
        <v>1118</v>
      </c>
      <c r="D366" s="53" t="s">
        <v>5</v>
      </c>
      <c r="E366" s="53">
        <v>120</v>
      </c>
    </row>
    <row r="367" spans="1:5" ht="15" customHeight="1" x14ac:dyDescent="0.25">
      <c r="A367" s="1104" t="s">
        <v>75</v>
      </c>
      <c r="B367" s="759"/>
      <c r="C367" s="802" t="s">
        <v>1036</v>
      </c>
      <c r="D367" s="53" t="s">
        <v>5</v>
      </c>
      <c r="E367" s="56">
        <v>123.43899999999999</v>
      </c>
    </row>
    <row r="368" spans="1:5" ht="14.45" customHeight="1" x14ac:dyDescent="0.25">
      <c r="A368" s="754" t="s">
        <v>515</v>
      </c>
      <c r="B368" s="925"/>
      <c r="C368" s="803" t="s">
        <v>1118</v>
      </c>
      <c r="D368" s="53" t="s">
        <v>5</v>
      </c>
      <c r="E368" s="53">
        <v>125</v>
      </c>
    </row>
    <row r="369" spans="1:5" ht="14.45" customHeight="1" x14ac:dyDescent="0.25">
      <c r="A369" s="788" t="s">
        <v>151</v>
      </c>
      <c r="B369" s="760"/>
      <c r="C369" s="1046" t="s">
        <v>1133</v>
      </c>
      <c r="D369" s="53">
        <v>107</v>
      </c>
      <c r="E369" s="53">
        <v>127</v>
      </c>
    </row>
    <row r="370" spans="1:5" ht="14.45" customHeight="1" x14ac:dyDescent="0.25">
      <c r="A370" s="788" t="s">
        <v>152</v>
      </c>
      <c r="B370" s="760"/>
      <c r="C370" s="1046" t="s">
        <v>1133</v>
      </c>
      <c r="D370" s="53">
        <v>107</v>
      </c>
      <c r="E370" s="53">
        <v>127</v>
      </c>
    </row>
    <row r="371" spans="1:5" ht="14.45" customHeight="1" x14ac:dyDescent="0.25">
      <c r="A371" s="788" t="s">
        <v>153</v>
      </c>
      <c r="B371" s="760" t="s">
        <v>429</v>
      </c>
      <c r="C371" s="1046" t="s">
        <v>1133</v>
      </c>
      <c r="D371" s="53">
        <v>107</v>
      </c>
      <c r="E371" s="53">
        <v>127</v>
      </c>
    </row>
    <row r="372" spans="1:5" ht="14.45" customHeight="1" x14ac:dyDescent="0.25">
      <c r="A372" s="788" t="s">
        <v>214</v>
      </c>
      <c r="B372" s="760"/>
      <c r="C372" s="1046" t="s">
        <v>1133</v>
      </c>
      <c r="D372" s="53">
        <v>107</v>
      </c>
      <c r="E372" s="53">
        <v>127</v>
      </c>
    </row>
    <row r="373" spans="1:5" ht="14.45" customHeight="1" x14ac:dyDescent="0.25">
      <c r="A373" s="788" t="s">
        <v>154</v>
      </c>
      <c r="B373" s="760"/>
      <c r="C373" s="1046" t="s">
        <v>1133</v>
      </c>
      <c r="D373" s="53">
        <v>107</v>
      </c>
      <c r="E373" s="53">
        <v>127</v>
      </c>
    </row>
    <row r="374" spans="1:5" ht="14.45" customHeight="1" x14ac:dyDescent="0.25">
      <c r="A374" s="788" t="s">
        <v>891</v>
      </c>
      <c r="B374" s="760" t="s">
        <v>429</v>
      </c>
      <c r="C374" s="1046" t="s">
        <v>1114</v>
      </c>
      <c r="D374" s="53" t="s">
        <v>5</v>
      </c>
      <c r="E374" s="431">
        <v>127.04919279895525</v>
      </c>
    </row>
    <row r="375" spans="1:5" ht="14.45" customHeight="1" x14ac:dyDescent="0.25">
      <c r="A375" s="788" t="s">
        <v>94</v>
      </c>
      <c r="B375" s="760"/>
      <c r="C375" s="1046" t="s">
        <v>1056</v>
      </c>
      <c r="D375" s="431">
        <v>140</v>
      </c>
      <c r="E375" s="431">
        <v>129</v>
      </c>
    </row>
    <row r="376" spans="1:5" ht="14.45" customHeight="1" x14ac:dyDescent="0.25">
      <c r="A376" s="788" t="s">
        <v>102</v>
      </c>
      <c r="B376" s="760" t="s">
        <v>429</v>
      </c>
      <c r="C376" s="1046" t="s">
        <v>1066</v>
      </c>
      <c r="D376" s="53">
        <v>126</v>
      </c>
      <c r="E376" s="53">
        <v>129</v>
      </c>
    </row>
    <row r="377" spans="1:5" ht="14.45" customHeight="1" x14ac:dyDescent="0.25">
      <c r="A377" s="788" t="s">
        <v>165</v>
      </c>
      <c r="B377" s="760"/>
      <c r="C377" s="1046" t="s">
        <v>1149</v>
      </c>
      <c r="D377" s="53">
        <v>121</v>
      </c>
      <c r="E377" s="53">
        <v>130</v>
      </c>
    </row>
    <row r="378" spans="1:5" ht="15" customHeight="1" x14ac:dyDescent="0.25">
      <c r="A378" s="788" t="s">
        <v>168</v>
      </c>
      <c r="B378" s="760"/>
      <c r="C378" s="1046" t="s">
        <v>1149</v>
      </c>
      <c r="D378" s="53">
        <v>128</v>
      </c>
      <c r="E378" s="53">
        <v>130</v>
      </c>
    </row>
    <row r="379" spans="1:5" ht="14.45" customHeight="1" x14ac:dyDescent="0.25">
      <c r="A379" s="788" t="s">
        <v>633</v>
      </c>
      <c r="B379" s="760"/>
      <c r="C379" s="1046" t="s">
        <v>1058</v>
      </c>
      <c r="D379" s="53">
        <v>136</v>
      </c>
      <c r="E379" s="53">
        <v>131</v>
      </c>
    </row>
    <row r="380" spans="1:5" ht="14.45" customHeight="1" x14ac:dyDescent="0.25">
      <c r="A380" s="788" t="s">
        <v>95</v>
      </c>
      <c r="B380" s="760"/>
      <c r="C380" s="1046" t="s">
        <v>1056</v>
      </c>
      <c r="D380" s="431">
        <v>129</v>
      </c>
      <c r="E380" s="431">
        <v>132</v>
      </c>
    </row>
    <row r="381" spans="1:5" ht="14.45" customHeight="1" x14ac:dyDescent="0.25">
      <c r="A381" s="788" t="s">
        <v>169</v>
      </c>
      <c r="B381" s="760"/>
      <c r="C381" s="1046" t="s">
        <v>1149</v>
      </c>
      <c r="D381" s="53">
        <v>134</v>
      </c>
      <c r="E381" s="53">
        <v>133</v>
      </c>
    </row>
    <row r="382" spans="1:5" ht="14.45" customHeight="1" x14ac:dyDescent="0.25">
      <c r="A382" s="754" t="s">
        <v>547</v>
      </c>
      <c r="B382" s="925"/>
      <c r="C382" s="803" t="s">
        <v>1030</v>
      </c>
      <c r="D382" s="53" t="s">
        <v>5</v>
      </c>
      <c r="E382" s="53">
        <v>135</v>
      </c>
    </row>
    <row r="383" spans="1:5" ht="14.45" customHeight="1" x14ac:dyDescent="0.25">
      <c r="A383" s="788" t="s">
        <v>91</v>
      </c>
      <c r="B383" s="760"/>
      <c r="C383" s="1046" t="s">
        <v>1056</v>
      </c>
      <c r="D383" s="56">
        <v>140</v>
      </c>
      <c r="E383" s="56">
        <v>136</v>
      </c>
    </row>
    <row r="384" spans="1:5" ht="15" customHeight="1" x14ac:dyDescent="0.25">
      <c r="A384" s="788" t="s">
        <v>92</v>
      </c>
      <c r="B384" s="760" t="s">
        <v>429</v>
      </c>
      <c r="C384" s="1046" t="s">
        <v>1056</v>
      </c>
      <c r="D384" s="56">
        <v>140</v>
      </c>
      <c r="E384" s="56">
        <v>136</v>
      </c>
    </row>
    <row r="385" spans="1:5" ht="14.45" customHeight="1" x14ac:dyDescent="0.25">
      <c r="A385" s="788" t="s">
        <v>195</v>
      </c>
      <c r="B385" s="760"/>
      <c r="C385" s="1046" t="s">
        <v>1056</v>
      </c>
      <c r="D385" s="56">
        <v>140</v>
      </c>
      <c r="E385" s="56">
        <v>136</v>
      </c>
    </row>
    <row r="386" spans="1:5" ht="14.45" customHeight="1" x14ac:dyDescent="0.25">
      <c r="A386" s="754" t="s">
        <v>1307</v>
      </c>
      <c r="B386" s="925"/>
      <c r="C386" s="803" t="s">
        <v>1120</v>
      </c>
      <c r="D386" s="53">
        <v>146</v>
      </c>
      <c r="E386" s="56">
        <v>136.5</v>
      </c>
    </row>
    <row r="387" spans="1:5" ht="14.45" customHeight="1" x14ac:dyDescent="0.25">
      <c r="A387" s="788" t="s">
        <v>135</v>
      </c>
      <c r="B387" s="760"/>
      <c r="C387" s="1046" t="s">
        <v>1116</v>
      </c>
      <c r="D387" s="53">
        <v>184</v>
      </c>
      <c r="E387" s="53">
        <v>137</v>
      </c>
    </row>
    <row r="388" spans="1:5" ht="14.45" customHeight="1" x14ac:dyDescent="0.25">
      <c r="A388" s="788" t="s">
        <v>929</v>
      </c>
      <c r="B388" s="760"/>
      <c r="C388" s="1046" t="s">
        <v>1145</v>
      </c>
      <c r="D388" s="53" t="s">
        <v>5</v>
      </c>
      <c r="E388" s="53">
        <v>137</v>
      </c>
    </row>
    <row r="389" spans="1:5" ht="15" customHeight="1" x14ac:dyDescent="0.25">
      <c r="A389" s="754" t="s">
        <v>869</v>
      </c>
      <c r="B389" s="925"/>
      <c r="C389" s="803" t="s">
        <v>1118</v>
      </c>
      <c r="D389" s="53" t="s">
        <v>5</v>
      </c>
      <c r="E389" s="53">
        <v>138</v>
      </c>
    </row>
    <row r="390" spans="1:5" ht="14.45" customHeight="1" x14ac:dyDescent="0.25">
      <c r="A390" s="924" t="s">
        <v>622</v>
      </c>
      <c r="B390" s="1105"/>
      <c r="C390" s="803" t="s">
        <v>1092</v>
      </c>
      <c r="D390" s="444">
        <v>125</v>
      </c>
      <c r="E390" s="444">
        <v>140</v>
      </c>
    </row>
    <row r="391" spans="1:5" ht="14.45" customHeight="1" x14ac:dyDescent="0.25">
      <c r="A391" s="788" t="s">
        <v>878</v>
      </c>
      <c r="B391" s="760" t="s">
        <v>429</v>
      </c>
      <c r="C391" s="1046" t="s">
        <v>1050</v>
      </c>
      <c r="D391" s="53">
        <v>133</v>
      </c>
      <c r="E391" s="53">
        <v>142</v>
      </c>
    </row>
    <row r="392" spans="1:5" ht="14.45" customHeight="1" x14ac:dyDescent="0.25">
      <c r="A392" s="754" t="s">
        <v>219</v>
      </c>
      <c r="B392" s="925"/>
      <c r="C392" s="803" t="s">
        <v>1118</v>
      </c>
      <c r="D392" s="53">
        <v>100</v>
      </c>
      <c r="E392" s="53">
        <v>143</v>
      </c>
    </row>
    <row r="393" spans="1:5" ht="14.45" customHeight="1" x14ac:dyDescent="0.25">
      <c r="A393" s="788" t="s">
        <v>158</v>
      </c>
      <c r="B393" s="760"/>
      <c r="C393" s="1046" t="s">
        <v>1135</v>
      </c>
      <c r="D393" s="53" t="s">
        <v>5</v>
      </c>
      <c r="E393" s="53">
        <v>143</v>
      </c>
    </row>
    <row r="394" spans="1:5" ht="14.45" customHeight="1" x14ac:dyDescent="0.25">
      <c r="A394" s="788" t="s">
        <v>166</v>
      </c>
      <c r="B394" s="760" t="s">
        <v>429</v>
      </c>
      <c r="C394" s="1046" t="s">
        <v>1149</v>
      </c>
      <c r="D394" s="53">
        <v>144</v>
      </c>
      <c r="E394" s="53">
        <v>143</v>
      </c>
    </row>
    <row r="395" spans="1:5" ht="14.45" customHeight="1" x14ac:dyDescent="0.25">
      <c r="A395" s="788" t="s">
        <v>138</v>
      </c>
      <c r="B395" s="760"/>
      <c r="C395" s="1046" t="s">
        <v>1116</v>
      </c>
      <c r="D395" s="53">
        <v>187</v>
      </c>
      <c r="E395" s="53">
        <v>144</v>
      </c>
    </row>
    <row r="396" spans="1:5" ht="14.45" customHeight="1" x14ac:dyDescent="0.25">
      <c r="A396" s="754" t="s">
        <v>771</v>
      </c>
      <c r="B396" s="925"/>
      <c r="C396" s="803" t="s">
        <v>1118</v>
      </c>
      <c r="D396" s="53">
        <v>110</v>
      </c>
      <c r="E396" s="53">
        <v>144</v>
      </c>
    </row>
    <row r="397" spans="1:5" ht="15" customHeight="1" x14ac:dyDescent="0.25">
      <c r="A397" s="1104" t="s">
        <v>71</v>
      </c>
      <c r="B397" s="759"/>
      <c r="C397" s="802" t="s">
        <v>1032</v>
      </c>
      <c r="D397" s="56">
        <v>146</v>
      </c>
      <c r="E397" s="56">
        <v>145</v>
      </c>
    </row>
    <row r="398" spans="1:5" x14ac:dyDescent="0.25">
      <c r="A398" s="788" t="s">
        <v>127</v>
      </c>
      <c r="B398" s="760"/>
      <c r="C398" s="1046" t="s">
        <v>1112</v>
      </c>
      <c r="D398" s="446">
        <v>155</v>
      </c>
      <c r="E398" s="446">
        <v>145</v>
      </c>
    </row>
    <row r="399" spans="1:5" x14ac:dyDescent="0.25">
      <c r="A399" s="788" t="s">
        <v>928</v>
      </c>
      <c r="B399" s="760" t="s">
        <v>429</v>
      </c>
      <c r="C399" s="1046" t="s">
        <v>1145</v>
      </c>
      <c r="D399" s="53" t="s">
        <v>5</v>
      </c>
      <c r="E399" s="53">
        <v>145</v>
      </c>
    </row>
    <row r="400" spans="1:5" x14ac:dyDescent="0.25">
      <c r="A400" s="788" t="s">
        <v>631</v>
      </c>
      <c r="B400" s="760"/>
      <c r="C400" s="1046" t="s">
        <v>1058</v>
      </c>
      <c r="D400" s="53">
        <v>144</v>
      </c>
      <c r="E400" s="53">
        <v>146</v>
      </c>
    </row>
    <row r="401" spans="1:5" x14ac:dyDescent="0.25">
      <c r="A401" s="788" t="s">
        <v>86</v>
      </c>
      <c r="B401" s="760"/>
      <c r="C401" s="1046" t="s">
        <v>1050</v>
      </c>
      <c r="D401" s="53">
        <v>147</v>
      </c>
      <c r="E401" s="53">
        <v>148</v>
      </c>
    </row>
    <row r="402" spans="1:5" ht="14.45" customHeight="1" x14ac:dyDescent="0.25">
      <c r="A402" s="788" t="s">
        <v>133</v>
      </c>
      <c r="B402" s="760" t="s">
        <v>429</v>
      </c>
      <c r="C402" s="1046" t="s">
        <v>1116</v>
      </c>
      <c r="D402" s="53">
        <v>142</v>
      </c>
      <c r="E402" s="53">
        <v>148</v>
      </c>
    </row>
    <row r="403" spans="1:5" ht="14.45" customHeight="1" x14ac:dyDescent="0.25">
      <c r="A403" s="754" t="s">
        <v>860</v>
      </c>
      <c r="B403" s="925" t="s">
        <v>429</v>
      </c>
      <c r="C403" s="803" t="s">
        <v>1118</v>
      </c>
      <c r="D403" s="53">
        <v>151</v>
      </c>
      <c r="E403" s="53">
        <v>148</v>
      </c>
    </row>
    <row r="404" spans="1:5" ht="14.45" customHeight="1" x14ac:dyDescent="0.25">
      <c r="A404" s="788" t="s">
        <v>155</v>
      </c>
      <c r="B404" s="760" t="s">
        <v>429</v>
      </c>
      <c r="C404" s="1046" t="s">
        <v>1135</v>
      </c>
      <c r="D404" s="53" t="s">
        <v>5</v>
      </c>
      <c r="E404" s="53">
        <v>148</v>
      </c>
    </row>
    <row r="405" spans="1:5" ht="14.45" customHeight="1" x14ac:dyDescent="0.25">
      <c r="A405" s="754" t="s">
        <v>887</v>
      </c>
      <c r="B405" s="925" t="s">
        <v>429</v>
      </c>
      <c r="C405" s="803" t="s">
        <v>1120</v>
      </c>
      <c r="D405" s="53" t="s">
        <v>5</v>
      </c>
      <c r="E405" s="56">
        <v>148.30000000000001</v>
      </c>
    </row>
    <row r="406" spans="1:5" ht="14.45" customHeight="1" x14ac:dyDescent="0.25">
      <c r="A406" s="754" t="s">
        <v>178</v>
      </c>
      <c r="B406" s="925"/>
      <c r="C406" s="803" t="s">
        <v>1028</v>
      </c>
      <c r="D406" s="53">
        <v>159</v>
      </c>
      <c r="E406" s="53">
        <v>149</v>
      </c>
    </row>
    <row r="407" spans="1:5" ht="15" customHeight="1" x14ac:dyDescent="0.25">
      <c r="A407" s="788" t="s">
        <v>100</v>
      </c>
      <c r="B407" s="760"/>
      <c r="C407" s="1046" t="s">
        <v>1058</v>
      </c>
      <c r="D407" s="53">
        <v>152</v>
      </c>
      <c r="E407" s="53">
        <v>149</v>
      </c>
    </row>
    <row r="408" spans="1:5" ht="14.45" customHeight="1" x14ac:dyDescent="0.25">
      <c r="A408" s="788" t="s">
        <v>167</v>
      </c>
      <c r="B408" s="760" t="s">
        <v>429</v>
      </c>
      <c r="C408" s="1046" t="s">
        <v>1149</v>
      </c>
      <c r="D408" s="53">
        <v>155</v>
      </c>
      <c r="E408" s="53">
        <v>149</v>
      </c>
    </row>
    <row r="409" spans="1:5" ht="14.45" customHeight="1" x14ac:dyDescent="0.25">
      <c r="A409" s="788" t="s">
        <v>98</v>
      </c>
      <c r="B409" s="760"/>
      <c r="C409" s="1046" t="s">
        <v>1058</v>
      </c>
      <c r="D409" s="53">
        <v>110</v>
      </c>
      <c r="E409" s="56">
        <v>149.1</v>
      </c>
    </row>
    <row r="410" spans="1:5" ht="14.45" customHeight="1" x14ac:dyDescent="0.25">
      <c r="A410" s="1104" t="s">
        <v>549</v>
      </c>
      <c r="B410" s="759"/>
      <c r="C410" s="802" t="s">
        <v>1040</v>
      </c>
      <c r="D410" s="56">
        <v>163</v>
      </c>
      <c r="E410" s="56">
        <v>150</v>
      </c>
    </row>
    <row r="411" spans="1:5" ht="14.45" customHeight="1" x14ac:dyDescent="0.25">
      <c r="A411" s="788" t="s">
        <v>879</v>
      </c>
      <c r="B411" s="760"/>
      <c r="C411" s="1046" t="s">
        <v>1050</v>
      </c>
      <c r="D411" s="53">
        <v>147</v>
      </c>
      <c r="E411" s="53">
        <v>151</v>
      </c>
    </row>
    <row r="412" spans="1:5" ht="14.45" customHeight="1" x14ac:dyDescent="0.25">
      <c r="A412" s="788" t="s">
        <v>139</v>
      </c>
      <c r="B412" s="760"/>
      <c r="C412" s="1046" t="s">
        <v>1116</v>
      </c>
      <c r="D412" s="53">
        <v>189</v>
      </c>
      <c r="E412" s="53">
        <v>153</v>
      </c>
    </row>
    <row r="413" spans="1:5" ht="14.45" customHeight="1" x14ac:dyDescent="0.25">
      <c r="A413" s="754" t="s">
        <v>865</v>
      </c>
      <c r="B413" s="925"/>
      <c r="C413" s="803" t="s">
        <v>1118</v>
      </c>
      <c r="D413" s="53" t="s">
        <v>5</v>
      </c>
      <c r="E413" s="53">
        <v>153</v>
      </c>
    </row>
    <row r="414" spans="1:5" ht="15" customHeight="1" x14ac:dyDescent="0.25">
      <c r="A414" s="788" t="s">
        <v>156</v>
      </c>
      <c r="B414" s="760"/>
      <c r="C414" s="1046" t="s">
        <v>1135</v>
      </c>
      <c r="D414" s="53" t="s">
        <v>5</v>
      </c>
      <c r="E414" s="53">
        <v>153</v>
      </c>
    </row>
    <row r="415" spans="1:5" ht="14.45" customHeight="1" x14ac:dyDescent="0.25">
      <c r="A415" s="754" t="s">
        <v>933</v>
      </c>
      <c r="B415" s="925" t="s">
        <v>429</v>
      </c>
      <c r="C415" s="803" t="s">
        <v>1034</v>
      </c>
      <c r="D415" s="53">
        <v>181</v>
      </c>
      <c r="E415" s="56">
        <v>153.69999999999999</v>
      </c>
    </row>
    <row r="416" spans="1:5" ht="14.45" customHeight="1" x14ac:dyDescent="0.25">
      <c r="A416" s="754" t="s">
        <v>176</v>
      </c>
      <c r="B416" s="925"/>
      <c r="C416" s="803" t="s">
        <v>1028</v>
      </c>
      <c r="D416" s="53" t="s">
        <v>5</v>
      </c>
      <c r="E416" s="53">
        <v>154</v>
      </c>
    </row>
    <row r="417" spans="1:5" ht="15" customHeight="1" x14ac:dyDescent="0.25">
      <c r="A417" s="754" t="s">
        <v>1308</v>
      </c>
      <c r="B417" s="925"/>
      <c r="C417" s="803" t="s">
        <v>1034</v>
      </c>
      <c r="D417" s="53">
        <v>162</v>
      </c>
      <c r="E417" s="56">
        <v>154</v>
      </c>
    </row>
    <row r="418" spans="1:5" ht="14.45" customHeight="1" x14ac:dyDescent="0.25">
      <c r="A418" s="788" t="s">
        <v>632</v>
      </c>
      <c r="B418" s="760"/>
      <c r="C418" s="1046" t="s">
        <v>1058</v>
      </c>
      <c r="D418" s="53">
        <v>142</v>
      </c>
      <c r="E418" s="53">
        <v>154</v>
      </c>
    </row>
    <row r="419" spans="1:5" ht="14.45" customHeight="1" x14ac:dyDescent="0.25">
      <c r="A419" s="788" t="s">
        <v>85</v>
      </c>
      <c r="B419" s="760"/>
      <c r="C419" s="1046" t="s">
        <v>1050</v>
      </c>
      <c r="D419" s="53">
        <v>147</v>
      </c>
      <c r="E419" s="53">
        <v>155</v>
      </c>
    </row>
    <row r="420" spans="1:5" ht="14.45" customHeight="1" x14ac:dyDescent="0.25">
      <c r="A420" s="1104" t="s">
        <v>722</v>
      </c>
      <c r="B420" s="759"/>
      <c r="C420" s="802" t="s">
        <v>1040</v>
      </c>
      <c r="D420" s="56" t="s">
        <v>5</v>
      </c>
      <c r="E420" s="56">
        <v>156</v>
      </c>
    </row>
    <row r="421" spans="1:5" ht="14.45" customHeight="1" x14ac:dyDescent="0.25">
      <c r="A421" s="788" t="s">
        <v>97</v>
      </c>
      <c r="B421" s="760"/>
      <c r="C421" s="1046" t="s">
        <v>1058</v>
      </c>
      <c r="D421" s="56">
        <v>153</v>
      </c>
      <c r="E421" s="56">
        <v>157</v>
      </c>
    </row>
    <row r="422" spans="1:5" ht="14.45" customHeight="1" x14ac:dyDescent="0.25">
      <c r="A422" s="754" t="s">
        <v>1310</v>
      </c>
      <c r="B422" s="925"/>
      <c r="C422" s="803" t="s">
        <v>1034</v>
      </c>
      <c r="D422" s="53">
        <v>179</v>
      </c>
      <c r="E422" s="56">
        <v>159.19999999999999</v>
      </c>
    </row>
    <row r="423" spans="1:5" ht="15" customHeight="1" x14ac:dyDescent="0.25">
      <c r="A423" s="788" t="s">
        <v>125</v>
      </c>
      <c r="B423" s="760"/>
      <c r="C423" s="1046" t="s">
        <v>1112</v>
      </c>
      <c r="D423" s="53">
        <v>160</v>
      </c>
      <c r="E423" s="53">
        <v>160</v>
      </c>
    </row>
    <row r="424" spans="1:5" ht="14.45" customHeight="1" x14ac:dyDescent="0.25">
      <c r="A424" s="788" t="s">
        <v>126</v>
      </c>
      <c r="B424" s="760" t="s">
        <v>429</v>
      </c>
      <c r="C424" s="1046" t="s">
        <v>1112</v>
      </c>
      <c r="D424" s="53">
        <v>160</v>
      </c>
      <c r="E424" s="53">
        <v>160</v>
      </c>
    </row>
    <row r="425" spans="1:5" ht="14.45" customHeight="1" x14ac:dyDescent="0.25">
      <c r="A425" s="788" t="s">
        <v>144</v>
      </c>
      <c r="B425" s="760"/>
      <c r="C425" s="1046" t="s">
        <v>1131</v>
      </c>
      <c r="D425" s="53">
        <v>258</v>
      </c>
      <c r="E425" s="53">
        <v>160</v>
      </c>
    </row>
    <row r="426" spans="1:5" ht="14.45" customHeight="1" x14ac:dyDescent="0.25">
      <c r="A426" s="788" t="s">
        <v>157</v>
      </c>
      <c r="B426" s="760"/>
      <c r="C426" s="1046" t="s">
        <v>1135</v>
      </c>
      <c r="D426" s="53" t="s">
        <v>5</v>
      </c>
      <c r="E426" s="53">
        <v>163</v>
      </c>
    </row>
    <row r="427" spans="1:5" ht="14.45" customHeight="1" x14ac:dyDescent="0.25">
      <c r="A427" s="1104" t="s">
        <v>73</v>
      </c>
      <c r="B427" s="759" t="s">
        <v>429</v>
      </c>
      <c r="C427" s="802" t="s">
        <v>1036</v>
      </c>
      <c r="D427" s="53" t="s">
        <v>5</v>
      </c>
      <c r="E427" s="56">
        <v>165.40799999999999</v>
      </c>
    </row>
    <row r="428" spans="1:5" ht="14.45" customHeight="1" x14ac:dyDescent="0.25">
      <c r="A428" s="1104" t="s">
        <v>548</v>
      </c>
      <c r="B428" s="759"/>
      <c r="C428" s="802" t="s">
        <v>1040</v>
      </c>
      <c r="D428" s="56">
        <v>181</v>
      </c>
      <c r="E428" s="56">
        <v>168</v>
      </c>
    </row>
    <row r="429" spans="1:5" ht="14.45" customHeight="1" x14ac:dyDescent="0.25">
      <c r="A429" s="788" t="s">
        <v>160</v>
      </c>
      <c r="B429" s="760"/>
      <c r="C429" s="1046" t="s">
        <v>1137</v>
      </c>
      <c r="D429" s="53" t="s">
        <v>5</v>
      </c>
      <c r="E429" s="53">
        <v>171</v>
      </c>
    </row>
    <row r="430" spans="1:5" ht="15" customHeight="1" x14ac:dyDescent="0.25">
      <c r="A430" s="788" t="s">
        <v>634</v>
      </c>
      <c r="B430" s="760"/>
      <c r="C430" s="1046" t="s">
        <v>1058</v>
      </c>
      <c r="D430" s="53">
        <v>188</v>
      </c>
      <c r="E430" s="53">
        <v>172</v>
      </c>
    </row>
    <row r="431" spans="1:5" ht="14.45" customHeight="1" x14ac:dyDescent="0.25">
      <c r="A431" s="788" t="s">
        <v>161</v>
      </c>
      <c r="B431" s="760"/>
      <c r="C431" s="1046" t="s">
        <v>1137</v>
      </c>
      <c r="D431" s="53" t="s">
        <v>5</v>
      </c>
      <c r="E431" s="53">
        <v>173</v>
      </c>
    </row>
    <row r="432" spans="1:5" ht="14.45" customHeight="1" x14ac:dyDescent="0.25">
      <c r="A432" s="788" t="s">
        <v>149</v>
      </c>
      <c r="B432" s="760"/>
      <c r="C432" s="1046" t="s">
        <v>1131</v>
      </c>
      <c r="D432" s="53">
        <v>257</v>
      </c>
      <c r="E432" s="53">
        <v>175</v>
      </c>
    </row>
    <row r="433" spans="1:5" ht="14.45" customHeight="1" x14ac:dyDescent="0.25">
      <c r="A433" s="1104" t="s">
        <v>552</v>
      </c>
      <c r="B433" s="759"/>
      <c r="C433" s="802" t="s">
        <v>1040</v>
      </c>
      <c r="D433" s="56">
        <v>179</v>
      </c>
      <c r="E433" s="56">
        <v>179</v>
      </c>
    </row>
    <row r="434" spans="1:5" ht="14.45" customHeight="1" x14ac:dyDescent="0.25">
      <c r="A434" s="788" t="s">
        <v>146</v>
      </c>
      <c r="B434" s="760"/>
      <c r="C434" s="1046" t="s">
        <v>1131</v>
      </c>
      <c r="D434" s="53">
        <v>295</v>
      </c>
      <c r="E434" s="53">
        <v>182</v>
      </c>
    </row>
    <row r="435" spans="1:5" ht="14.45" customHeight="1" x14ac:dyDescent="0.25">
      <c r="A435" s="788" t="s">
        <v>145</v>
      </c>
      <c r="B435" s="760"/>
      <c r="C435" s="1046" t="s">
        <v>1131</v>
      </c>
      <c r="D435" s="53">
        <v>277</v>
      </c>
      <c r="E435" s="53">
        <v>183</v>
      </c>
    </row>
    <row r="436" spans="1:5" ht="14.45" customHeight="1" x14ac:dyDescent="0.25">
      <c r="A436" s="788" t="s">
        <v>101</v>
      </c>
      <c r="B436" s="760" t="s">
        <v>429</v>
      </c>
      <c r="C436" s="1046" t="s">
        <v>1058</v>
      </c>
      <c r="D436" s="53">
        <v>187</v>
      </c>
      <c r="E436" s="56">
        <v>186.7</v>
      </c>
    </row>
    <row r="437" spans="1:5" ht="14.45" customHeight="1" x14ac:dyDescent="0.25">
      <c r="A437" s="788" t="s">
        <v>150</v>
      </c>
      <c r="B437" s="760"/>
      <c r="C437" s="1046" t="s">
        <v>1131</v>
      </c>
      <c r="D437" s="53">
        <v>281</v>
      </c>
      <c r="E437" s="53">
        <v>187</v>
      </c>
    </row>
    <row r="438" spans="1:5" ht="14.45" customHeight="1" x14ac:dyDescent="0.25">
      <c r="A438" s="788" t="s">
        <v>147</v>
      </c>
      <c r="B438" s="760"/>
      <c r="C438" s="1046" t="s">
        <v>1131</v>
      </c>
      <c r="D438" s="53">
        <v>270</v>
      </c>
      <c r="E438" s="53">
        <v>188</v>
      </c>
    </row>
    <row r="439" spans="1:5" ht="14.45" customHeight="1" x14ac:dyDescent="0.25">
      <c r="A439" s="788" t="s">
        <v>159</v>
      </c>
      <c r="B439" s="760"/>
      <c r="C439" s="1046" t="s">
        <v>1135</v>
      </c>
      <c r="D439" s="53" t="s">
        <v>5</v>
      </c>
      <c r="E439" s="53">
        <v>189</v>
      </c>
    </row>
    <row r="440" spans="1:5" ht="14.45" customHeight="1" x14ac:dyDescent="0.25">
      <c r="A440" s="788" t="s">
        <v>163</v>
      </c>
      <c r="B440" s="760" t="s">
        <v>429</v>
      </c>
      <c r="C440" s="1046" t="s">
        <v>1137</v>
      </c>
      <c r="D440" s="53">
        <v>182</v>
      </c>
      <c r="E440" s="53">
        <v>189</v>
      </c>
    </row>
    <row r="441" spans="1:5" ht="14.45" customHeight="1" x14ac:dyDescent="0.25">
      <c r="A441" s="754" t="s">
        <v>544</v>
      </c>
      <c r="B441" s="925" t="s">
        <v>429</v>
      </c>
      <c r="C441" s="803" t="s">
        <v>1028</v>
      </c>
      <c r="D441" s="53">
        <v>189</v>
      </c>
      <c r="E441" s="53">
        <v>190</v>
      </c>
    </row>
    <row r="442" spans="1:5" ht="14.45" customHeight="1" x14ac:dyDescent="0.25">
      <c r="A442" s="788" t="s">
        <v>148</v>
      </c>
      <c r="B442" s="760"/>
      <c r="C442" s="1046" t="s">
        <v>1131</v>
      </c>
      <c r="D442" s="53">
        <v>297</v>
      </c>
      <c r="E442" s="53">
        <v>190</v>
      </c>
    </row>
    <row r="443" spans="1:5" ht="14.45" customHeight="1" x14ac:dyDescent="0.25">
      <c r="A443" s="1104" t="s">
        <v>74</v>
      </c>
      <c r="B443" s="759"/>
      <c r="C443" s="802" t="s">
        <v>1036</v>
      </c>
      <c r="D443" s="53" t="s">
        <v>5</v>
      </c>
      <c r="E443" s="56">
        <v>190.684</v>
      </c>
    </row>
    <row r="444" spans="1:5" ht="14.45" customHeight="1" x14ac:dyDescent="0.25">
      <c r="A444" s="788" t="s">
        <v>143</v>
      </c>
      <c r="B444" s="760" t="s">
        <v>429</v>
      </c>
      <c r="C444" s="1046" t="s">
        <v>1131</v>
      </c>
      <c r="D444" s="53">
        <v>284</v>
      </c>
      <c r="E444" s="53">
        <v>193</v>
      </c>
    </row>
    <row r="445" spans="1:5" ht="14.45" customHeight="1" x14ac:dyDescent="0.25">
      <c r="A445" s="788" t="s">
        <v>630</v>
      </c>
      <c r="B445" s="760"/>
      <c r="C445" s="1046" t="s">
        <v>1058</v>
      </c>
      <c r="D445" s="53">
        <v>207</v>
      </c>
      <c r="E445" s="53">
        <v>195</v>
      </c>
    </row>
    <row r="446" spans="1:5" ht="14.45" customHeight="1" x14ac:dyDescent="0.25">
      <c r="A446" s="788" t="s">
        <v>115</v>
      </c>
      <c r="B446" s="760"/>
      <c r="C446" s="1046" t="s">
        <v>1076</v>
      </c>
      <c r="D446" s="56">
        <v>198</v>
      </c>
      <c r="E446" s="56">
        <v>198</v>
      </c>
    </row>
    <row r="447" spans="1:5" ht="14.45" customHeight="1" x14ac:dyDescent="0.25">
      <c r="A447" s="788" t="s">
        <v>116</v>
      </c>
      <c r="B447" s="760"/>
      <c r="C447" s="1046" t="s">
        <v>1076</v>
      </c>
      <c r="D447" s="56">
        <v>199</v>
      </c>
      <c r="E447" s="56">
        <v>201</v>
      </c>
    </row>
    <row r="448" spans="1:5" ht="14.45" customHeight="1" x14ac:dyDescent="0.25">
      <c r="A448" s="924" t="s">
        <v>1301</v>
      </c>
      <c r="B448" s="1105"/>
      <c r="C448" s="1054" t="s">
        <v>1024</v>
      </c>
      <c r="D448" s="53" t="s">
        <v>5</v>
      </c>
      <c r="E448" s="53">
        <v>204</v>
      </c>
    </row>
    <row r="449" spans="1:5" ht="14.45" customHeight="1" x14ac:dyDescent="0.25">
      <c r="A449" s="788" t="s">
        <v>1305</v>
      </c>
      <c r="B449" s="760"/>
      <c r="C449" s="1046" t="s">
        <v>1084</v>
      </c>
      <c r="D449" s="56">
        <v>181.73099999999999</v>
      </c>
      <c r="E449" s="56">
        <v>205</v>
      </c>
    </row>
    <row r="450" spans="1:5" ht="14.45" customHeight="1" x14ac:dyDescent="0.25">
      <c r="A450" s="924" t="s">
        <v>624</v>
      </c>
      <c r="B450" s="1105"/>
      <c r="C450" s="803" t="s">
        <v>1092</v>
      </c>
      <c r="D450" s="444">
        <v>200</v>
      </c>
      <c r="E450" s="444">
        <v>205</v>
      </c>
    </row>
    <row r="451" spans="1:5" ht="14.45" customHeight="1" x14ac:dyDescent="0.25">
      <c r="A451" s="754" t="s">
        <v>180</v>
      </c>
      <c r="B451" s="925"/>
      <c r="C451" s="803" t="s">
        <v>1028</v>
      </c>
      <c r="D451" s="53">
        <v>200</v>
      </c>
      <c r="E451" s="53">
        <v>206</v>
      </c>
    </row>
    <row r="452" spans="1:5" ht="14.45" customHeight="1" x14ac:dyDescent="0.25">
      <c r="A452" s="924" t="s">
        <v>621</v>
      </c>
      <c r="B452" s="1105"/>
      <c r="C452" s="803" t="s">
        <v>1092</v>
      </c>
      <c r="D452" s="444">
        <v>205</v>
      </c>
      <c r="E452" s="444">
        <v>208</v>
      </c>
    </row>
    <row r="453" spans="1:5" ht="14.45" customHeight="1" x14ac:dyDescent="0.25">
      <c r="A453" s="788" t="s">
        <v>114</v>
      </c>
      <c r="B453" s="760"/>
      <c r="C453" s="1046" t="s">
        <v>1076</v>
      </c>
      <c r="D453" s="56">
        <v>215</v>
      </c>
      <c r="E453" s="56">
        <v>215</v>
      </c>
    </row>
    <row r="454" spans="1:5" ht="14.45" customHeight="1" x14ac:dyDescent="0.25">
      <c r="A454" s="1104" t="s">
        <v>84</v>
      </c>
      <c r="B454" s="759" t="s">
        <v>429</v>
      </c>
      <c r="C454" s="802" t="s">
        <v>1046</v>
      </c>
      <c r="D454" s="56">
        <v>211</v>
      </c>
      <c r="E454" s="56">
        <v>217</v>
      </c>
    </row>
    <row r="455" spans="1:5" ht="14.45" customHeight="1" x14ac:dyDescent="0.25">
      <c r="A455" s="788" t="s">
        <v>112</v>
      </c>
      <c r="B455" s="760"/>
      <c r="C455" s="1046" t="s">
        <v>1076</v>
      </c>
      <c r="D455" s="56">
        <v>217</v>
      </c>
      <c r="E455" s="56">
        <v>217</v>
      </c>
    </row>
    <row r="456" spans="1:5" ht="14.45" customHeight="1" x14ac:dyDescent="0.25">
      <c r="A456" s="788" t="s">
        <v>117</v>
      </c>
      <c r="B456" s="760"/>
      <c r="C456" s="1046" t="s">
        <v>1076</v>
      </c>
      <c r="D456" s="56">
        <v>216</v>
      </c>
      <c r="E456" s="56">
        <v>218</v>
      </c>
    </row>
    <row r="457" spans="1:5" ht="14.45" customHeight="1" x14ac:dyDescent="0.25">
      <c r="A457" s="788" t="s">
        <v>118</v>
      </c>
      <c r="B457" s="760" t="s">
        <v>429</v>
      </c>
      <c r="C457" s="1046" t="s">
        <v>1076</v>
      </c>
      <c r="D457" s="56">
        <v>220</v>
      </c>
      <c r="E457" s="56">
        <v>218</v>
      </c>
    </row>
    <row r="458" spans="1:5" ht="14.45" customHeight="1" x14ac:dyDescent="0.25">
      <c r="A458" s="788" t="s">
        <v>119</v>
      </c>
      <c r="B458" s="760"/>
      <c r="C458" s="1046" t="s">
        <v>1076</v>
      </c>
      <c r="D458" s="56">
        <v>222</v>
      </c>
      <c r="E458" s="56">
        <v>222</v>
      </c>
    </row>
    <row r="459" spans="1:5" ht="14.45" customHeight="1" x14ac:dyDescent="0.25">
      <c r="A459" s="754" t="s">
        <v>179</v>
      </c>
      <c r="B459" s="925"/>
      <c r="C459" s="803" t="s">
        <v>1028</v>
      </c>
      <c r="D459" s="53">
        <v>245</v>
      </c>
      <c r="E459" s="53">
        <v>223</v>
      </c>
    </row>
    <row r="460" spans="1:5" ht="14.45" customHeight="1" x14ac:dyDescent="0.25">
      <c r="A460" s="1104" t="s">
        <v>79</v>
      </c>
      <c r="B460" s="759"/>
      <c r="C460" s="802" t="s">
        <v>1044</v>
      </c>
      <c r="D460" s="53">
        <v>200</v>
      </c>
      <c r="E460" s="53">
        <v>223</v>
      </c>
    </row>
    <row r="461" spans="1:5" ht="14.45" customHeight="1" x14ac:dyDescent="0.25">
      <c r="A461" s="924" t="s">
        <v>623</v>
      </c>
      <c r="B461" s="1105"/>
      <c r="C461" s="803" t="s">
        <v>1092</v>
      </c>
      <c r="D461" s="444">
        <v>250</v>
      </c>
      <c r="E461" s="444">
        <v>240</v>
      </c>
    </row>
    <row r="462" spans="1:5" ht="14.45" customHeight="1" x14ac:dyDescent="0.25">
      <c r="A462" s="788" t="s">
        <v>113</v>
      </c>
      <c r="B462" s="760"/>
      <c r="C462" s="1046" t="s">
        <v>1076</v>
      </c>
      <c r="D462" s="56">
        <v>243</v>
      </c>
      <c r="E462" s="56">
        <v>240</v>
      </c>
    </row>
    <row r="463" spans="1:5" ht="14.45" customHeight="1" x14ac:dyDescent="0.25">
      <c r="A463" s="924" t="s">
        <v>620</v>
      </c>
      <c r="B463" s="1105"/>
      <c r="C463" s="803" t="s">
        <v>1092</v>
      </c>
      <c r="D463" s="444">
        <v>240</v>
      </c>
      <c r="E463" s="444">
        <v>244</v>
      </c>
    </row>
    <row r="464" spans="1:5" ht="14.45" customHeight="1" x14ac:dyDescent="0.25">
      <c r="A464" s="1104" t="s">
        <v>468</v>
      </c>
      <c r="B464" s="759"/>
      <c r="C464" s="802" t="s">
        <v>1044</v>
      </c>
      <c r="D464" s="53">
        <v>284</v>
      </c>
      <c r="E464" s="53">
        <v>246</v>
      </c>
    </row>
    <row r="465" spans="1:5" ht="14.45" customHeight="1" x14ac:dyDescent="0.25">
      <c r="A465" s="1104" t="s">
        <v>83</v>
      </c>
      <c r="B465" s="759"/>
      <c r="C465" s="802" t="s">
        <v>1048</v>
      </c>
      <c r="D465" s="53">
        <v>273</v>
      </c>
      <c r="E465" s="53">
        <v>267</v>
      </c>
    </row>
    <row r="466" spans="1:5" ht="14.45" customHeight="1" x14ac:dyDescent="0.25">
      <c r="A466" s="1104" t="s">
        <v>81</v>
      </c>
      <c r="B466" s="759"/>
      <c r="C466" s="802" t="s">
        <v>1044</v>
      </c>
      <c r="D466" s="53">
        <v>313</v>
      </c>
      <c r="E466" s="53">
        <v>292</v>
      </c>
    </row>
    <row r="467" spans="1:5" ht="14.45" customHeight="1" x14ac:dyDescent="0.25">
      <c r="A467" s="924" t="s">
        <v>1303</v>
      </c>
      <c r="B467" s="1105"/>
      <c r="C467" s="1054" t="s">
        <v>1024</v>
      </c>
      <c r="D467" s="53" t="s">
        <v>5</v>
      </c>
      <c r="E467" s="53">
        <v>298</v>
      </c>
    </row>
    <row r="468" spans="1:5" ht="15" customHeight="1" x14ac:dyDescent="0.25">
      <c r="A468" s="924" t="s">
        <v>1300</v>
      </c>
      <c r="B468" s="1105"/>
      <c r="C468" s="1054" t="s">
        <v>1024</v>
      </c>
      <c r="D468" s="53" t="s">
        <v>5</v>
      </c>
      <c r="E468" s="53">
        <v>298</v>
      </c>
    </row>
    <row r="469" spans="1:5" ht="14.45" customHeight="1" x14ac:dyDescent="0.25">
      <c r="A469" s="924" t="s">
        <v>1302</v>
      </c>
      <c r="B469" s="1105"/>
      <c r="C469" s="1054" t="s">
        <v>1024</v>
      </c>
      <c r="D469" s="53" t="s">
        <v>5</v>
      </c>
      <c r="E469" s="53">
        <v>312</v>
      </c>
    </row>
    <row r="470" spans="1:5" ht="15" customHeight="1" x14ac:dyDescent="0.25">
      <c r="A470" s="754" t="s">
        <v>889</v>
      </c>
      <c r="B470" s="925" t="s">
        <v>429</v>
      </c>
      <c r="C470" s="803" t="s">
        <v>1092</v>
      </c>
      <c r="D470" s="53" t="s">
        <v>5</v>
      </c>
      <c r="E470" s="53">
        <v>312</v>
      </c>
    </row>
    <row r="471" spans="1:5" ht="14.45" customHeight="1" x14ac:dyDescent="0.25">
      <c r="A471" s="1104" t="s">
        <v>82</v>
      </c>
      <c r="B471" s="759" t="s">
        <v>429</v>
      </c>
      <c r="C471" s="802" t="s">
        <v>1048</v>
      </c>
      <c r="D471" s="53">
        <v>327</v>
      </c>
      <c r="E471" s="53">
        <v>326</v>
      </c>
    </row>
    <row r="472" spans="1:5" ht="14.45" customHeight="1" x14ac:dyDescent="0.25">
      <c r="A472" s="924" t="s">
        <v>1298</v>
      </c>
      <c r="B472" s="1105"/>
      <c r="C472" s="1054" t="s">
        <v>1024</v>
      </c>
      <c r="D472" s="53" t="s">
        <v>5</v>
      </c>
      <c r="E472" s="53">
        <v>328</v>
      </c>
    </row>
    <row r="473" spans="1:5" ht="14.45" customHeight="1" x14ac:dyDescent="0.25">
      <c r="A473" s="924" t="s">
        <v>217</v>
      </c>
      <c r="B473" s="1105" t="s">
        <v>429</v>
      </c>
      <c r="C473" s="1054" t="s">
        <v>1024</v>
      </c>
      <c r="D473" s="53" t="s">
        <v>5</v>
      </c>
      <c r="E473" s="53">
        <v>336</v>
      </c>
    </row>
    <row r="474" spans="1:5" ht="14.45" customHeight="1" x14ac:dyDescent="0.25">
      <c r="A474" s="1104" t="s">
        <v>723</v>
      </c>
      <c r="B474" s="759"/>
      <c r="C474" s="802" t="s">
        <v>1040</v>
      </c>
      <c r="D474" s="56">
        <v>352</v>
      </c>
      <c r="E474" s="56">
        <v>349</v>
      </c>
    </row>
    <row r="475" spans="1:5" ht="14.45" customHeight="1" x14ac:dyDescent="0.25">
      <c r="A475" s="924" t="s">
        <v>1299</v>
      </c>
      <c r="B475" s="1105"/>
      <c r="C475" s="1054" t="s">
        <v>1024</v>
      </c>
      <c r="D475" s="53" t="s">
        <v>5</v>
      </c>
      <c r="E475" s="53">
        <v>397</v>
      </c>
    </row>
    <row r="476" spans="1:5" ht="14.45" customHeight="1" x14ac:dyDescent="0.25">
      <c r="A476" s="788" t="s">
        <v>172</v>
      </c>
      <c r="B476" s="760"/>
      <c r="C476" s="1046" t="s">
        <v>1151</v>
      </c>
      <c r="D476" s="53">
        <v>326</v>
      </c>
      <c r="E476" s="53">
        <v>428</v>
      </c>
    </row>
    <row r="477" spans="1:5" ht="14.45" customHeight="1" x14ac:dyDescent="0.25">
      <c r="A477" s="788" t="s">
        <v>170</v>
      </c>
      <c r="B477" s="760"/>
      <c r="C477" s="1046" t="s">
        <v>1151</v>
      </c>
      <c r="D477" s="53">
        <v>476</v>
      </c>
      <c r="E477" s="53">
        <v>447</v>
      </c>
    </row>
    <row r="478" spans="1:5" ht="15" customHeight="1" x14ac:dyDescent="0.25">
      <c r="A478" s="788" t="s">
        <v>174</v>
      </c>
      <c r="B478" s="760"/>
      <c r="C478" s="1046" t="s">
        <v>1151</v>
      </c>
      <c r="D478" s="53" t="s">
        <v>5</v>
      </c>
      <c r="E478" s="53">
        <v>538</v>
      </c>
    </row>
    <row r="479" spans="1:5" ht="14.45" customHeight="1" x14ac:dyDescent="0.25">
      <c r="A479" s="924" t="s">
        <v>526</v>
      </c>
      <c r="B479" s="1105" t="s">
        <v>429</v>
      </c>
      <c r="C479" s="1054" t="s">
        <v>1026</v>
      </c>
      <c r="D479" s="53" t="s">
        <v>5</v>
      </c>
      <c r="E479" s="53" t="s">
        <v>5</v>
      </c>
    </row>
    <row r="480" spans="1:5" ht="14.45" customHeight="1" x14ac:dyDescent="0.25">
      <c r="A480" s="457" t="s">
        <v>779</v>
      </c>
      <c r="B480" s="263"/>
      <c r="C480" s="804" t="s">
        <v>1028</v>
      </c>
      <c r="D480" s="53">
        <v>170</v>
      </c>
      <c r="E480" s="53" t="s">
        <v>5</v>
      </c>
    </row>
    <row r="481" spans="1:5" ht="14.45" customHeight="1" x14ac:dyDescent="0.25">
      <c r="A481" s="1084" t="s">
        <v>728</v>
      </c>
      <c r="B481" s="1089"/>
      <c r="C481" s="805" t="s">
        <v>1042</v>
      </c>
      <c r="D481" s="56">
        <v>151.80000000000001</v>
      </c>
      <c r="E481" s="56" t="s">
        <v>5</v>
      </c>
    </row>
    <row r="482" spans="1:5" ht="14.45" customHeight="1" x14ac:dyDescent="0.25">
      <c r="A482" s="1084" t="s">
        <v>492</v>
      </c>
      <c r="B482" s="1089"/>
      <c r="C482" s="805" t="s">
        <v>1042</v>
      </c>
      <c r="D482" s="56">
        <v>130.5</v>
      </c>
      <c r="E482" s="56" t="s">
        <v>5</v>
      </c>
    </row>
    <row r="483" spans="1:5" ht="14.45" customHeight="1" x14ac:dyDescent="0.25">
      <c r="A483" s="1084" t="s">
        <v>729</v>
      </c>
      <c r="B483" s="1089"/>
      <c r="C483" s="805" t="s">
        <v>1042</v>
      </c>
      <c r="D483" s="56">
        <v>162.19999999999999</v>
      </c>
      <c r="E483" s="56" t="s">
        <v>5</v>
      </c>
    </row>
    <row r="484" spans="1:5" ht="14.45" customHeight="1" x14ac:dyDescent="0.25">
      <c r="A484" s="1084" t="s">
        <v>493</v>
      </c>
      <c r="B484" s="1089"/>
      <c r="C484" s="805" t="s">
        <v>1042</v>
      </c>
      <c r="D484" s="56">
        <v>151.5</v>
      </c>
      <c r="E484" s="56" t="s">
        <v>5</v>
      </c>
    </row>
    <row r="485" spans="1:5" ht="14.45" customHeight="1" x14ac:dyDescent="0.25">
      <c r="A485" s="1084" t="s">
        <v>730</v>
      </c>
      <c r="B485" s="1089"/>
      <c r="C485" s="805" t="s">
        <v>1042</v>
      </c>
      <c r="D485" s="56">
        <v>150.30000000000001</v>
      </c>
      <c r="E485" s="56" t="s">
        <v>5</v>
      </c>
    </row>
    <row r="486" spans="1:5" ht="15" customHeight="1" x14ac:dyDescent="0.25">
      <c r="A486" s="1084" t="s">
        <v>731</v>
      </c>
      <c r="B486" s="1089" t="s">
        <v>429</v>
      </c>
      <c r="C486" s="805" t="s">
        <v>1042</v>
      </c>
      <c r="D486" s="56">
        <v>180</v>
      </c>
      <c r="E486" s="56" t="s">
        <v>5</v>
      </c>
    </row>
    <row r="487" spans="1:5" ht="14.45" customHeight="1" x14ac:dyDescent="0.25">
      <c r="A487" s="457" t="s">
        <v>712</v>
      </c>
      <c r="B487" s="263"/>
      <c r="C487" s="804" t="s">
        <v>1064</v>
      </c>
      <c r="D487" s="53">
        <v>199</v>
      </c>
      <c r="E487" s="53" t="s">
        <v>5</v>
      </c>
    </row>
    <row r="488" spans="1:5" ht="14.45" customHeight="1" x14ac:dyDescent="0.25">
      <c r="A488" s="457" t="s">
        <v>713</v>
      </c>
      <c r="B488" s="263"/>
      <c r="C488" s="804" t="s">
        <v>1064</v>
      </c>
      <c r="D488" s="53">
        <v>193</v>
      </c>
      <c r="E488" s="53" t="s">
        <v>5</v>
      </c>
    </row>
    <row r="489" spans="1:5" ht="14.45" customHeight="1" x14ac:dyDescent="0.25">
      <c r="A489" s="457" t="s">
        <v>714</v>
      </c>
      <c r="B489" s="263"/>
      <c r="C489" s="804" t="s">
        <v>1064</v>
      </c>
      <c r="D489" s="53">
        <v>119</v>
      </c>
      <c r="E489" s="53" t="s">
        <v>5</v>
      </c>
    </row>
    <row r="490" spans="1:5" ht="14.45" customHeight="1" x14ac:dyDescent="0.25">
      <c r="A490" s="457" t="s">
        <v>715</v>
      </c>
      <c r="B490" s="263" t="s">
        <v>429</v>
      </c>
      <c r="C490" s="804" t="s">
        <v>1064</v>
      </c>
      <c r="D490" s="53">
        <v>289</v>
      </c>
      <c r="E490" s="53" t="s">
        <v>5</v>
      </c>
    </row>
    <row r="491" spans="1:5" ht="15" customHeight="1" x14ac:dyDescent="0.25">
      <c r="A491" s="457" t="s">
        <v>716</v>
      </c>
      <c r="B491" s="263"/>
      <c r="C491" s="804" t="s">
        <v>1064</v>
      </c>
      <c r="D491" s="53">
        <v>184</v>
      </c>
      <c r="E491" s="53" t="s">
        <v>5</v>
      </c>
    </row>
    <row r="492" spans="1:5" ht="14.45" customHeight="1" x14ac:dyDescent="0.25">
      <c r="A492" s="922" t="s">
        <v>1311</v>
      </c>
      <c r="B492" s="1091"/>
      <c r="C492" s="1106" t="s">
        <v>1078</v>
      </c>
      <c r="D492" s="56">
        <v>88</v>
      </c>
      <c r="E492" s="56" t="s">
        <v>5</v>
      </c>
    </row>
    <row r="493" spans="1:5" ht="14.45" customHeight="1" x14ac:dyDescent="0.25">
      <c r="A493" s="457" t="s">
        <v>37</v>
      </c>
      <c r="B493" s="263"/>
      <c r="C493" s="804" t="s">
        <v>1090</v>
      </c>
      <c r="D493" s="53">
        <v>183</v>
      </c>
      <c r="E493" s="53" t="s">
        <v>5</v>
      </c>
    </row>
    <row r="494" spans="1:5" ht="14.45" customHeight="1" x14ac:dyDescent="0.25">
      <c r="A494" s="754" t="s">
        <v>182</v>
      </c>
      <c r="B494" s="925" t="s">
        <v>429</v>
      </c>
      <c r="C494" s="803" t="s">
        <v>1106</v>
      </c>
      <c r="D494" s="56">
        <v>135.5</v>
      </c>
      <c r="E494" s="56" t="s">
        <v>5</v>
      </c>
    </row>
    <row r="495" spans="1:5" ht="14.45" customHeight="1" x14ac:dyDescent="0.25">
      <c r="A495" s="754" t="s">
        <v>183</v>
      </c>
      <c r="B495" s="925"/>
      <c r="C495" s="803" t="s">
        <v>1106</v>
      </c>
      <c r="D495" s="56">
        <v>135.5</v>
      </c>
      <c r="E495" s="56" t="s">
        <v>5</v>
      </c>
    </row>
    <row r="496" spans="1:5" ht="15" customHeight="1" x14ac:dyDescent="0.25">
      <c r="A496" s="754" t="s">
        <v>184</v>
      </c>
      <c r="B496" s="925"/>
      <c r="C496" s="803" t="s">
        <v>1106</v>
      </c>
      <c r="D496" s="56">
        <v>135.5</v>
      </c>
      <c r="E496" s="56" t="s">
        <v>5</v>
      </c>
    </row>
    <row r="497" spans="1:5" ht="14.45" customHeight="1" x14ac:dyDescent="0.25">
      <c r="A497" s="754" t="s">
        <v>185</v>
      </c>
      <c r="B497" s="925"/>
      <c r="C497" s="803" t="s">
        <v>1106</v>
      </c>
      <c r="D497" s="56">
        <v>109.7</v>
      </c>
      <c r="E497" s="56" t="s">
        <v>5</v>
      </c>
    </row>
    <row r="498" spans="1:5" ht="14.45" customHeight="1" x14ac:dyDescent="0.25">
      <c r="A498" s="754" t="s">
        <v>186</v>
      </c>
      <c r="B498" s="925"/>
      <c r="C498" s="803" t="s">
        <v>1106</v>
      </c>
      <c r="D498" s="56">
        <v>116.1</v>
      </c>
      <c r="E498" s="56" t="s">
        <v>5</v>
      </c>
    </row>
    <row r="499" spans="1:5" ht="15" customHeight="1" x14ac:dyDescent="0.25">
      <c r="A499" s="457" t="s">
        <v>187</v>
      </c>
      <c r="B499" s="263"/>
      <c r="C499" s="804" t="s">
        <v>1106</v>
      </c>
      <c r="D499" s="56">
        <v>116.1</v>
      </c>
      <c r="E499" s="56" t="s">
        <v>5</v>
      </c>
    </row>
    <row r="500" spans="1:5" x14ac:dyDescent="0.25">
      <c r="A500" s="457" t="s">
        <v>188</v>
      </c>
      <c r="B500" s="263"/>
      <c r="C500" s="804" t="s">
        <v>1118</v>
      </c>
      <c r="D500" s="53">
        <v>98</v>
      </c>
      <c r="E500" s="53" t="s">
        <v>5</v>
      </c>
    </row>
    <row r="501" spans="1:5" ht="14.45" customHeight="1" x14ac:dyDescent="0.25">
      <c r="A501" s="457" t="s">
        <v>765</v>
      </c>
      <c r="B501" s="263"/>
      <c r="C501" s="804" t="s">
        <v>1118</v>
      </c>
      <c r="D501" s="53">
        <v>89</v>
      </c>
      <c r="E501" s="53" t="s">
        <v>5</v>
      </c>
    </row>
    <row r="502" spans="1:5" ht="14.45" customHeight="1" x14ac:dyDescent="0.25">
      <c r="A502" s="457" t="s">
        <v>766</v>
      </c>
      <c r="B502" s="263"/>
      <c r="C502" s="804" t="s">
        <v>1118</v>
      </c>
      <c r="D502" s="53">
        <v>91</v>
      </c>
      <c r="E502" s="53" t="s">
        <v>5</v>
      </c>
    </row>
    <row r="503" spans="1:5" ht="15" customHeight="1" x14ac:dyDescent="0.25">
      <c r="A503" s="457" t="s">
        <v>767</v>
      </c>
      <c r="B503" s="263"/>
      <c r="C503" s="804" t="s">
        <v>1118</v>
      </c>
      <c r="D503" s="53">
        <v>72</v>
      </c>
      <c r="E503" s="53" t="s">
        <v>5</v>
      </c>
    </row>
    <row r="504" spans="1:5" ht="14.45" customHeight="1" x14ac:dyDescent="0.25">
      <c r="A504" s="457" t="s">
        <v>768</v>
      </c>
      <c r="B504" s="263"/>
      <c r="C504" s="804" t="s">
        <v>1118</v>
      </c>
      <c r="D504" s="53">
        <v>102</v>
      </c>
      <c r="E504" s="53" t="s">
        <v>5</v>
      </c>
    </row>
    <row r="505" spans="1:5" ht="14.45" customHeight="1" x14ac:dyDescent="0.25">
      <c r="A505" s="457" t="s">
        <v>770</v>
      </c>
      <c r="B505" s="263"/>
      <c r="C505" s="804" t="s">
        <v>1118</v>
      </c>
      <c r="D505" s="53">
        <v>91</v>
      </c>
      <c r="E505" s="53" t="s">
        <v>5</v>
      </c>
    </row>
    <row r="506" spans="1:5" ht="14.45" customHeight="1" x14ac:dyDescent="0.25">
      <c r="A506" s="457" t="s">
        <v>772</v>
      </c>
      <c r="B506" s="263"/>
      <c r="C506" s="804" t="s">
        <v>1118</v>
      </c>
      <c r="D506" s="53">
        <v>79</v>
      </c>
      <c r="E506" s="53" t="s">
        <v>5</v>
      </c>
    </row>
    <row r="507" spans="1:5" ht="15" customHeight="1" x14ac:dyDescent="0.25">
      <c r="A507" s="754" t="s">
        <v>534</v>
      </c>
      <c r="B507" s="925"/>
      <c r="C507" s="803" t="s">
        <v>1121</v>
      </c>
      <c r="D507" s="53">
        <v>150</v>
      </c>
      <c r="E507" s="53" t="s">
        <v>5</v>
      </c>
    </row>
    <row r="508" spans="1:5" ht="14.45" customHeight="1" x14ac:dyDescent="0.25">
      <c r="A508" s="754" t="s">
        <v>535</v>
      </c>
      <c r="B508" s="925"/>
      <c r="C508" s="803" t="s">
        <v>1121</v>
      </c>
      <c r="D508" s="53">
        <v>150</v>
      </c>
      <c r="E508" s="53" t="s">
        <v>5</v>
      </c>
    </row>
    <row r="509" spans="1:5" ht="14.45" customHeight="1" x14ac:dyDescent="0.25">
      <c r="A509" s="754" t="s">
        <v>536</v>
      </c>
      <c r="B509" s="925"/>
      <c r="C509" s="803" t="s">
        <v>1121</v>
      </c>
      <c r="D509" s="53">
        <v>150</v>
      </c>
      <c r="E509" s="53" t="s">
        <v>5</v>
      </c>
    </row>
    <row r="510" spans="1:5" ht="14.45" customHeight="1" x14ac:dyDescent="0.25">
      <c r="A510" s="754" t="s">
        <v>537</v>
      </c>
      <c r="B510" s="925"/>
      <c r="C510" s="803" t="s">
        <v>1121</v>
      </c>
      <c r="D510" s="53">
        <v>150</v>
      </c>
      <c r="E510" s="53" t="s">
        <v>5</v>
      </c>
    </row>
    <row r="511" spans="1:5" ht="14.45" customHeight="1" x14ac:dyDescent="0.25">
      <c r="A511" s="754" t="s">
        <v>538</v>
      </c>
      <c r="B511" s="925"/>
      <c r="C511" s="803" t="s">
        <v>1121</v>
      </c>
      <c r="D511" s="53">
        <v>150</v>
      </c>
      <c r="E511" s="53" t="s">
        <v>5</v>
      </c>
    </row>
    <row r="512" spans="1:5" ht="15" customHeight="1" x14ac:dyDescent="0.25">
      <c r="A512" s="754" t="s">
        <v>539</v>
      </c>
      <c r="B512" s="925"/>
      <c r="C512" s="803" t="s">
        <v>1121</v>
      </c>
      <c r="D512" s="53">
        <v>150</v>
      </c>
      <c r="E512" s="53" t="s">
        <v>5</v>
      </c>
    </row>
    <row r="513" spans="1:5" ht="14.45" customHeight="1" x14ac:dyDescent="0.25">
      <c r="A513" s="754" t="s">
        <v>540</v>
      </c>
      <c r="B513" s="925"/>
      <c r="C513" s="803" t="s">
        <v>1121</v>
      </c>
      <c r="D513" s="53">
        <v>150</v>
      </c>
      <c r="E513" s="53" t="s">
        <v>5</v>
      </c>
    </row>
    <row r="514" spans="1:5" ht="14.45" customHeight="1" x14ac:dyDescent="0.25">
      <c r="A514" s="754" t="s">
        <v>541</v>
      </c>
      <c r="B514" s="925"/>
      <c r="C514" s="803" t="s">
        <v>1121</v>
      </c>
      <c r="D514" s="53">
        <v>150</v>
      </c>
      <c r="E514" s="53" t="s">
        <v>5</v>
      </c>
    </row>
    <row r="515" spans="1:5" ht="14.45" customHeight="1" x14ac:dyDescent="0.25">
      <c r="A515" s="797" t="s">
        <v>1312</v>
      </c>
      <c r="B515" s="762"/>
      <c r="C515" s="1048" t="s">
        <v>1141</v>
      </c>
      <c r="D515" s="53">
        <v>240</v>
      </c>
      <c r="E515" s="53" t="s">
        <v>5</v>
      </c>
    </row>
    <row r="516" spans="1:5" ht="14.45" customHeight="1" x14ac:dyDescent="0.25">
      <c r="A516" s="797" t="s">
        <v>761</v>
      </c>
      <c r="B516" s="762" t="s">
        <v>429</v>
      </c>
      <c r="C516" s="1048" t="s">
        <v>1153</v>
      </c>
      <c r="D516" s="53">
        <v>54</v>
      </c>
      <c r="E516" s="53" t="s">
        <v>5</v>
      </c>
    </row>
    <row r="517" spans="1:5" ht="14.45" customHeight="1" x14ac:dyDescent="0.25">
      <c r="A517" s="797" t="s">
        <v>762</v>
      </c>
      <c r="B517" s="762"/>
      <c r="C517" s="1048" t="s">
        <v>1153</v>
      </c>
      <c r="D517" s="53">
        <v>70</v>
      </c>
      <c r="E517" s="53" t="s">
        <v>5</v>
      </c>
    </row>
    <row r="518" spans="1:5" ht="14.45" customHeight="1" x14ac:dyDescent="0.25">
      <c r="A518" s="797" t="s">
        <v>763</v>
      </c>
      <c r="B518" s="762"/>
      <c r="C518" s="1048" t="s">
        <v>1153</v>
      </c>
      <c r="D518" s="53">
        <v>97</v>
      </c>
      <c r="E518" s="53" t="s">
        <v>5</v>
      </c>
    </row>
    <row r="519" spans="1:5" ht="15" customHeight="1" thickBot="1" x14ac:dyDescent="0.3">
      <c r="A519" s="798" t="s">
        <v>764</v>
      </c>
      <c r="B519" s="1101"/>
      <c r="C519" s="1107" t="s">
        <v>1153</v>
      </c>
      <c r="D519" s="53">
        <v>34</v>
      </c>
      <c r="E519" s="53" t="s">
        <v>5</v>
      </c>
    </row>
  </sheetData>
  <sortState ref="A300:E519">
    <sortCondition ref="E300:E519"/>
  </sortState>
  <mergeCells count="509">
    <mergeCell ref="W7:W13"/>
    <mergeCell ref="X7:X13"/>
    <mergeCell ref="Y7:Y13"/>
    <mergeCell ref="F5:I5"/>
    <mergeCell ref="J5:M5"/>
    <mergeCell ref="N5:Q5"/>
    <mergeCell ref="S5:Z5"/>
    <mergeCell ref="AA5:AD5"/>
    <mergeCell ref="A7:A13"/>
    <mergeCell ref="S7:S13"/>
    <mergeCell ref="T7:T13"/>
    <mergeCell ref="U7:U13"/>
    <mergeCell ref="V7:V13"/>
    <mergeCell ref="AC7:AC13"/>
    <mergeCell ref="AD7:AD13"/>
    <mergeCell ref="Z7:Z13"/>
    <mergeCell ref="AA7:AA13"/>
    <mergeCell ref="AB7:AB13"/>
    <mergeCell ref="Z15:Z23"/>
    <mergeCell ref="AA15:AA23"/>
    <mergeCell ref="AB15:AB23"/>
    <mergeCell ref="AC15:AC23"/>
    <mergeCell ref="AD15:AD23"/>
    <mergeCell ref="A24:A29"/>
    <mergeCell ref="S25:S29"/>
    <mergeCell ref="T25:T29"/>
    <mergeCell ref="U25:U29"/>
    <mergeCell ref="V25:V29"/>
    <mergeCell ref="W25:W29"/>
    <mergeCell ref="AA25:AA29"/>
    <mergeCell ref="AB25:AB29"/>
    <mergeCell ref="AC25:AC29"/>
    <mergeCell ref="AD25:AD29"/>
    <mergeCell ref="A15:A23"/>
    <mergeCell ref="S15:S23"/>
    <mergeCell ref="T15:T23"/>
    <mergeCell ref="U15:U23"/>
    <mergeCell ref="V15:V23"/>
    <mergeCell ref="W15:W23"/>
    <mergeCell ref="X15:X23"/>
    <mergeCell ref="Y15:Y23"/>
    <mergeCell ref="A30:A37"/>
    <mergeCell ref="S30:S37"/>
    <mergeCell ref="T30:T37"/>
    <mergeCell ref="U30:U37"/>
    <mergeCell ref="V30:V37"/>
    <mergeCell ref="AC30:AC37"/>
    <mergeCell ref="AD30:AD37"/>
    <mergeCell ref="A38:A40"/>
    <mergeCell ref="S38:S40"/>
    <mergeCell ref="T38:T40"/>
    <mergeCell ref="U38:U40"/>
    <mergeCell ref="V38:V40"/>
    <mergeCell ref="W38:W40"/>
    <mergeCell ref="X38:X40"/>
    <mergeCell ref="Y38:Y40"/>
    <mergeCell ref="W30:W37"/>
    <mergeCell ref="X30:X37"/>
    <mergeCell ref="Y30:Y37"/>
    <mergeCell ref="Z30:Z37"/>
    <mergeCell ref="AA30:AA37"/>
    <mergeCell ref="AB30:AB37"/>
    <mergeCell ref="Z38:Z40"/>
    <mergeCell ref="AA38:AA40"/>
    <mergeCell ref="AB38:AB40"/>
    <mergeCell ref="AC38:AC40"/>
    <mergeCell ref="AD38:AD40"/>
    <mergeCell ref="A42:A46"/>
    <mergeCell ref="S42:S46"/>
    <mergeCell ref="T42:T46"/>
    <mergeCell ref="U42:U46"/>
    <mergeCell ref="V42:V46"/>
    <mergeCell ref="A56:A62"/>
    <mergeCell ref="S56:S62"/>
    <mergeCell ref="T56:T62"/>
    <mergeCell ref="U56:U62"/>
    <mergeCell ref="V56:V62"/>
    <mergeCell ref="AC42:AC46"/>
    <mergeCell ref="AD42:AD46"/>
    <mergeCell ref="A48:A55"/>
    <mergeCell ref="S48:S55"/>
    <mergeCell ref="T48:T55"/>
    <mergeCell ref="U48:U55"/>
    <mergeCell ref="V48:V55"/>
    <mergeCell ref="W48:W55"/>
    <mergeCell ref="X48:X55"/>
    <mergeCell ref="Y48:Y55"/>
    <mergeCell ref="W42:W46"/>
    <mergeCell ref="X42:X46"/>
    <mergeCell ref="Y42:Y46"/>
    <mergeCell ref="Z42:Z46"/>
    <mergeCell ref="AA42:AA46"/>
    <mergeCell ref="AB42:AB46"/>
    <mergeCell ref="W56:W62"/>
    <mergeCell ref="X56:X62"/>
    <mergeCell ref="AA56:AA62"/>
    <mergeCell ref="AB56:AB62"/>
    <mergeCell ref="AC56:AC62"/>
    <mergeCell ref="AD56:AD62"/>
    <mergeCell ref="Z48:Z55"/>
    <mergeCell ref="AA48:AA55"/>
    <mergeCell ref="AB48:AB55"/>
    <mergeCell ref="AC48:AC55"/>
    <mergeCell ref="AD48:AD55"/>
    <mergeCell ref="AD63:AD67"/>
    <mergeCell ref="A69:A70"/>
    <mergeCell ref="S69:S70"/>
    <mergeCell ref="T69:T70"/>
    <mergeCell ref="U69:U70"/>
    <mergeCell ref="V69:V70"/>
    <mergeCell ref="W69:W70"/>
    <mergeCell ref="X69:X70"/>
    <mergeCell ref="Y69:Y70"/>
    <mergeCell ref="Z69:Z70"/>
    <mergeCell ref="X63:X67"/>
    <mergeCell ref="Y63:Y67"/>
    <mergeCell ref="Z63:Z67"/>
    <mergeCell ref="AA63:AA67"/>
    <mergeCell ref="AB63:AB67"/>
    <mergeCell ref="AC63:AC67"/>
    <mergeCell ref="A63:A67"/>
    <mergeCell ref="S63:S67"/>
    <mergeCell ref="AD69:AD70"/>
    <mergeCell ref="A71:A74"/>
    <mergeCell ref="S71:S74"/>
    <mergeCell ref="T71:T74"/>
    <mergeCell ref="U71:U74"/>
    <mergeCell ref="V71:V74"/>
    <mergeCell ref="W71:W74"/>
    <mergeCell ref="AD71:AD74"/>
    <mergeCell ref="X71:X74"/>
    <mergeCell ref="Y71:Y74"/>
    <mergeCell ref="Z71:Z74"/>
    <mergeCell ref="AA71:AA74"/>
    <mergeCell ref="AB71:AB74"/>
    <mergeCell ref="AC71:AC74"/>
    <mergeCell ref="T63:T67"/>
    <mergeCell ref="U63:U67"/>
    <mergeCell ref="V63:V67"/>
    <mergeCell ref="W63:W67"/>
    <mergeCell ref="AA69:AA70"/>
    <mergeCell ref="AB69:AB70"/>
    <mergeCell ref="AC69:AC70"/>
    <mergeCell ref="AA75:AA79"/>
    <mergeCell ref="AB75:AB79"/>
    <mergeCell ref="AC75:AC79"/>
    <mergeCell ref="AD75:AD79"/>
    <mergeCell ref="A80:A84"/>
    <mergeCell ref="S80:S84"/>
    <mergeCell ref="T80:T84"/>
    <mergeCell ref="U80:U84"/>
    <mergeCell ref="V80:V84"/>
    <mergeCell ref="W80:W84"/>
    <mergeCell ref="AD80:AD84"/>
    <mergeCell ref="X80:X84"/>
    <mergeCell ref="Y80:Y84"/>
    <mergeCell ref="Z80:Z84"/>
    <mergeCell ref="AA80:AA84"/>
    <mergeCell ref="AB80:AB84"/>
    <mergeCell ref="AC80:AC84"/>
    <mergeCell ref="A75:A79"/>
    <mergeCell ref="S75:S79"/>
    <mergeCell ref="T75:T79"/>
    <mergeCell ref="U75:U79"/>
    <mergeCell ref="V75:V79"/>
    <mergeCell ref="W75:W79"/>
    <mergeCell ref="X75:X79"/>
    <mergeCell ref="Y75:Y79"/>
    <mergeCell ref="Z75:Z79"/>
    <mergeCell ref="AA85:AA90"/>
    <mergeCell ref="AB85:AB90"/>
    <mergeCell ref="AC85:AC90"/>
    <mergeCell ref="AD85:AD90"/>
    <mergeCell ref="A91:A101"/>
    <mergeCell ref="S91:S101"/>
    <mergeCell ref="T91:T101"/>
    <mergeCell ref="U91:U101"/>
    <mergeCell ref="V91:V101"/>
    <mergeCell ref="W91:W101"/>
    <mergeCell ref="A85:A90"/>
    <mergeCell ref="S85:S90"/>
    <mergeCell ref="T85:T90"/>
    <mergeCell ref="U85:U90"/>
    <mergeCell ref="V85:V90"/>
    <mergeCell ref="W85:W90"/>
    <mergeCell ref="X85:X90"/>
    <mergeCell ref="Y85:Y90"/>
    <mergeCell ref="Z85:Z90"/>
    <mergeCell ref="AD91:AD101"/>
    <mergeCell ref="X91:X101"/>
    <mergeCell ref="Y91:Y101"/>
    <mergeCell ref="Z91:Z101"/>
    <mergeCell ref="AA91:AA101"/>
    <mergeCell ref="A103:A104"/>
    <mergeCell ref="A105:A109"/>
    <mergeCell ref="S105:S109"/>
    <mergeCell ref="T105:T109"/>
    <mergeCell ref="U105:U109"/>
    <mergeCell ref="V105:V109"/>
    <mergeCell ref="W105:W109"/>
    <mergeCell ref="X105:X109"/>
    <mergeCell ref="AA105:AA109"/>
    <mergeCell ref="AB91:AB101"/>
    <mergeCell ref="AC91:AC101"/>
    <mergeCell ref="AA110:AA114"/>
    <mergeCell ref="AB110:AB114"/>
    <mergeCell ref="AC110:AC114"/>
    <mergeCell ref="AD110:AD114"/>
    <mergeCell ref="AB105:AB109"/>
    <mergeCell ref="AC105:AC109"/>
    <mergeCell ref="AD105:AD109"/>
    <mergeCell ref="AA116:AA120"/>
    <mergeCell ref="AB116:AB120"/>
    <mergeCell ref="AC116:AC120"/>
    <mergeCell ref="AD116:AD120"/>
    <mergeCell ref="X110:X114"/>
    <mergeCell ref="Y110:Y114"/>
    <mergeCell ref="T122:T126"/>
    <mergeCell ref="U122:U126"/>
    <mergeCell ref="V122:V126"/>
    <mergeCell ref="AC122:AC126"/>
    <mergeCell ref="AD122:AD126"/>
    <mergeCell ref="Z122:Z126"/>
    <mergeCell ref="AA122:AA126"/>
    <mergeCell ref="AB122:AB126"/>
    <mergeCell ref="Y122:Y126"/>
    <mergeCell ref="A116:A120"/>
    <mergeCell ref="S116:S120"/>
    <mergeCell ref="T116:T120"/>
    <mergeCell ref="U116:U120"/>
    <mergeCell ref="V116:V120"/>
    <mergeCell ref="Z110:Z114"/>
    <mergeCell ref="A110:A114"/>
    <mergeCell ref="S110:S114"/>
    <mergeCell ref="T110:T114"/>
    <mergeCell ref="U110:U114"/>
    <mergeCell ref="V110:V114"/>
    <mergeCell ref="W110:W114"/>
    <mergeCell ref="W116:W120"/>
    <mergeCell ref="X116:X120"/>
    <mergeCell ref="Z127:Z134"/>
    <mergeCell ref="AA127:AA134"/>
    <mergeCell ref="AB127:AB134"/>
    <mergeCell ref="AC127:AC134"/>
    <mergeCell ref="AD127:AD134"/>
    <mergeCell ref="A122:A126"/>
    <mergeCell ref="S122:S126"/>
    <mergeCell ref="A136:A140"/>
    <mergeCell ref="S136:S140"/>
    <mergeCell ref="T136:T140"/>
    <mergeCell ref="AA136:AA140"/>
    <mergeCell ref="AB136:AB140"/>
    <mergeCell ref="AC136:AC140"/>
    <mergeCell ref="AD136:AD140"/>
    <mergeCell ref="A127:A134"/>
    <mergeCell ref="S127:S134"/>
    <mergeCell ref="T127:T134"/>
    <mergeCell ref="U127:U134"/>
    <mergeCell ref="V127:V134"/>
    <mergeCell ref="W127:W134"/>
    <mergeCell ref="X127:X134"/>
    <mergeCell ref="Y127:Y134"/>
    <mergeCell ref="W122:W126"/>
    <mergeCell ref="X122:X126"/>
    <mergeCell ref="AA146:AA151"/>
    <mergeCell ref="AB146:AB151"/>
    <mergeCell ref="AC146:AC151"/>
    <mergeCell ref="AD146:AD151"/>
    <mergeCell ref="A152:A156"/>
    <mergeCell ref="S152:S156"/>
    <mergeCell ref="T152:T156"/>
    <mergeCell ref="AA152:AA156"/>
    <mergeCell ref="AB152:AB156"/>
    <mergeCell ref="AC152:AC156"/>
    <mergeCell ref="AD152:AD156"/>
    <mergeCell ref="A146:A151"/>
    <mergeCell ref="S146:S151"/>
    <mergeCell ref="T146:T151"/>
    <mergeCell ref="U146:U151"/>
    <mergeCell ref="V146:V151"/>
    <mergeCell ref="W146:W151"/>
    <mergeCell ref="X146:X151"/>
    <mergeCell ref="Y146:Y151"/>
    <mergeCell ref="Z146:Z151"/>
    <mergeCell ref="AA158:AA163"/>
    <mergeCell ref="AB158:AB163"/>
    <mergeCell ref="AC158:AC163"/>
    <mergeCell ref="AD158:AD163"/>
    <mergeCell ref="A165:A169"/>
    <mergeCell ref="S165:S169"/>
    <mergeCell ref="T165:T169"/>
    <mergeCell ref="U165:U169"/>
    <mergeCell ref="V165:V169"/>
    <mergeCell ref="AA165:AA169"/>
    <mergeCell ref="AB165:AB169"/>
    <mergeCell ref="AC165:AC169"/>
    <mergeCell ref="AD165:AD169"/>
    <mergeCell ref="A158:A164"/>
    <mergeCell ref="S158:S163"/>
    <mergeCell ref="T158:T163"/>
    <mergeCell ref="U158:U163"/>
    <mergeCell ref="V158:V163"/>
    <mergeCell ref="W158:W163"/>
    <mergeCell ref="X158:X163"/>
    <mergeCell ref="Y158:Y163"/>
    <mergeCell ref="Z158:Z163"/>
    <mergeCell ref="A171:A173"/>
    <mergeCell ref="S171:S173"/>
    <mergeCell ref="T171:T173"/>
    <mergeCell ref="U171:U173"/>
    <mergeCell ref="V171:V173"/>
    <mergeCell ref="W171:W173"/>
    <mergeCell ref="AD171:AD173"/>
    <mergeCell ref="A174:A179"/>
    <mergeCell ref="S174:S179"/>
    <mergeCell ref="T174:T179"/>
    <mergeCell ref="U174:U179"/>
    <mergeCell ref="V174:V179"/>
    <mergeCell ref="W174:W179"/>
    <mergeCell ref="X174:X179"/>
    <mergeCell ref="Y174:Y179"/>
    <mergeCell ref="Z174:Z179"/>
    <mergeCell ref="X171:X173"/>
    <mergeCell ref="Y171:Y173"/>
    <mergeCell ref="Z171:Z173"/>
    <mergeCell ref="AA171:AA173"/>
    <mergeCell ref="AB171:AB173"/>
    <mergeCell ref="AC171:AC173"/>
    <mergeCell ref="AA174:AA179"/>
    <mergeCell ref="AB174:AB179"/>
    <mergeCell ref="AC174:AC179"/>
    <mergeCell ref="AD174:AD179"/>
    <mergeCell ref="A180:A186"/>
    <mergeCell ref="S180:S186"/>
    <mergeCell ref="T180:T186"/>
    <mergeCell ref="U180:U186"/>
    <mergeCell ref="V180:V186"/>
    <mergeCell ref="W180:W186"/>
    <mergeCell ref="AD180:AD186"/>
    <mergeCell ref="X180:X186"/>
    <mergeCell ref="Y180:Y186"/>
    <mergeCell ref="Z180:Z186"/>
    <mergeCell ref="AA180:AA186"/>
    <mergeCell ref="AB180:AB186"/>
    <mergeCell ref="AC180:AC186"/>
    <mergeCell ref="AD228:AD229"/>
    <mergeCell ref="X228:X229"/>
    <mergeCell ref="Y228:Y229"/>
    <mergeCell ref="Z228:Z229"/>
    <mergeCell ref="AA228:AA229"/>
    <mergeCell ref="AB228:AB229"/>
    <mergeCell ref="AC228:AC229"/>
    <mergeCell ref="Y187:Y227"/>
    <mergeCell ref="Z187:Z227"/>
    <mergeCell ref="AA187:AA227"/>
    <mergeCell ref="AB187:AB227"/>
    <mergeCell ref="AC187:AC227"/>
    <mergeCell ref="AD187:AD227"/>
    <mergeCell ref="U187:U227"/>
    <mergeCell ref="V187:V227"/>
    <mergeCell ref="W187:W227"/>
    <mergeCell ref="X187:X227"/>
    <mergeCell ref="A243:A245"/>
    <mergeCell ref="S243:S245"/>
    <mergeCell ref="T243:T245"/>
    <mergeCell ref="AB243:AB245"/>
    <mergeCell ref="AC243:AC245"/>
    <mergeCell ref="A228:A229"/>
    <mergeCell ref="S228:S229"/>
    <mergeCell ref="T228:T229"/>
    <mergeCell ref="U228:U229"/>
    <mergeCell ref="V228:V229"/>
    <mergeCell ref="W228:W229"/>
    <mergeCell ref="A187:A227"/>
    <mergeCell ref="S187:S227"/>
    <mergeCell ref="T187:T227"/>
    <mergeCell ref="AD243:AD245"/>
    <mergeCell ref="AA230:AA238"/>
    <mergeCell ref="AB230:AB238"/>
    <mergeCell ref="AC230:AC238"/>
    <mergeCell ref="AD230:AD238"/>
    <mergeCell ref="A239:A241"/>
    <mergeCell ref="AB239:AB241"/>
    <mergeCell ref="AC239:AC241"/>
    <mergeCell ref="AD239:AD241"/>
    <mergeCell ref="A230:A238"/>
    <mergeCell ref="S230:S238"/>
    <mergeCell ref="T230:T238"/>
    <mergeCell ref="U230:U238"/>
    <mergeCell ref="V230:V238"/>
    <mergeCell ref="W230:W238"/>
    <mergeCell ref="X230:X238"/>
    <mergeCell ref="Y230:Y238"/>
    <mergeCell ref="Z230:Z238"/>
    <mergeCell ref="AD248:AD255"/>
    <mergeCell ref="A256:A260"/>
    <mergeCell ref="S256:S260"/>
    <mergeCell ref="T256:T260"/>
    <mergeCell ref="U256:U260"/>
    <mergeCell ref="V256:V260"/>
    <mergeCell ref="W256:W260"/>
    <mergeCell ref="X256:X260"/>
    <mergeCell ref="Y256:Y260"/>
    <mergeCell ref="Z256:Z260"/>
    <mergeCell ref="X248:X255"/>
    <mergeCell ref="Y248:Y255"/>
    <mergeCell ref="Z248:Z255"/>
    <mergeCell ref="AA248:AA255"/>
    <mergeCell ref="AB248:AB255"/>
    <mergeCell ref="AC248:AC255"/>
    <mergeCell ref="A248:A255"/>
    <mergeCell ref="S248:S255"/>
    <mergeCell ref="T248:T255"/>
    <mergeCell ref="U248:U255"/>
    <mergeCell ref="V248:V255"/>
    <mergeCell ref="W248:W255"/>
    <mergeCell ref="AA256:AA260"/>
    <mergeCell ref="AB256:AB260"/>
    <mergeCell ref="Y266:Y270"/>
    <mergeCell ref="Z266:Z270"/>
    <mergeCell ref="AC256:AC260"/>
    <mergeCell ref="AD256:AD260"/>
    <mergeCell ref="A261:A265"/>
    <mergeCell ref="S261:S265"/>
    <mergeCell ref="T261:T265"/>
    <mergeCell ref="U261:U265"/>
    <mergeCell ref="V261:V265"/>
    <mergeCell ref="W261:W265"/>
    <mergeCell ref="AD261:AD265"/>
    <mergeCell ref="X261:X265"/>
    <mergeCell ref="Y261:Y265"/>
    <mergeCell ref="Z261:Z265"/>
    <mergeCell ref="AA261:AA265"/>
    <mergeCell ref="AB261:AB265"/>
    <mergeCell ref="AC261:AC265"/>
    <mergeCell ref="AA266:AA270"/>
    <mergeCell ref="AB266:AB270"/>
    <mergeCell ref="AC266:AC270"/>
    <mergeCell ref="AD266:AD270"/>
    <mergeCell ref="A266:A270"/>
    <mergeCell ref="S266:S270"/>
    <mergeCell ref="T266:T270"/>
    <mergeCell ref="A274:A276"/>
    <mergeCell ref="S274:S276"/>
    <mergeCell ref="T274:T276"/>
    <mergeCell ref="U274:U276"/>
    <mergeCell ref="V274:V276"/>
    <mergeCell ref="W274:W276"/>
    <mergeCell ref="AD274:AD276"/>
    <mergeCell ref="X274:X276"/>
    <mergeCell ref="Y274:Y276"/>
    <mergeCell ref="Z274:Z276"/>
    <mergeCell ref="AA274:AA276"/>
    <mergeCell ref="AB274:AB276"/>
    <mergeCell ref="AC274:AC276"/>
    <mergeCell ref="U266:U270"/>
    <mergeCell ref="V266:V270"/>
    <mergeCell ref="W266:W270"/>
    <mergeCell ref="X266:X270"/>
    <mergeCell ref="AA277:AA280"/>
    <mergeCell ref="AB277:AB280"/>
    <mergeCell ref="AC277:AC280"/>
    <mergeCell ref="AD277:AD280"/>
    <mergeCell ref="A281:A285"/>
    <mergeCell ref="S281:S285"/>
    <mergeCell ref="T281:T285"/>
    <mergeCell ref="U281:U285"/>
    <mergeCell ref="V281:V285"/>
    <mergeCell ref="W281:W285"/>
    <mergeCell ref="A277:A280"/>
    <mergeCell ref="S277:S280"/>
    <mergeCell ref="T277:T280"/>
    <mergeCell ref="U277:U280"/>
    <mergeCell ref="V277:V280"/>
    <mergeCell ref="W277:W280"/>
    <mergeCell ref="X277:X280"/>
    <mergeCell ref="Y277:Y280"/>
    <mergeCell ref="Z277:Z280"/>
    <mergeCell ref="AD281:AD285"/>
    <mergeCell ref="AB281:AB285"/>
    <mergeCell ref="AC281:AC285"/>
    <mergeCell ref="AB293:AB296"/>
    <mergeCell ref="AC293:AC296"/>
    <mergeCell ref="AD293:AD296"/>
    <mergeCell ref="AA286:AA292"/>
    <mergeCell ref="AB286:AB292"/>
    <mergeCell ref="AC286:AC292"/>
    <mergeCell ref="AD286:AD292"/>
    <mergeCell ref="A293:A296"/>
    <mergeCell ref="S293:S296"/>
    <mergeCell ref="T293:T296"/>
    <mergeCell ref="U293:U296"/>
    <mergeCell ref="V293:V296"/>
    <mergeCell ref="W293:W296"/>
    <mergeCell ref="X293:X296"/>
    <mergeCell ref="AA293:AA296"/>
    <mergeCell ref="X281:X285"/>
    <mergeCell ref="Y281:Y285"/>
    <mergeCell ref="Z281:Z285"/>
    <mergeCell ref="AA281:AA285"/>
    <mergeCell ref="A286:A292"/>
    <mergeCell ref="S286:S292"/>
    <mergeCell ref="T286:T292"/>
    <mergeCell ref="U286:U292"/>
    <mergeCell ref="V286:V292"/>
    <mergeCell ref="W286:W292"/>
    <mergeCell ref="X286:X292"/>
    <mergeCell ref="Y286:Y292"/>
    <mergeCell ref="Z286:Z292"/>
  </mergeCells>
  <pageMargins left="0.70866141732283472" right="0.70866141732283472" top="0.74803149606299213" bottom="0.74803149606299213" header="0.31496062992125984" footer="0.31496062992125984"/>
  <pageSetup paperSize="8" scale="70" orientation="portrait" r:id="rId1"/>
  <rowBreaks count="1" manualBreakCount="1">
    <brk id="157" max="16383" man="1"/>
  </rowBreaks>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AD345"/>
  <sheetViews>
    <sheetView zoomScaleNormal="100" workbookViewId="0">
      <selection activeCell="C304" sqref="A1:XFD1048576"/>
    </sheetView>
  </sheetViews>
  <sheetFormatPr defaultRowHeight="15" x14ac:dyDescent="0.25"/>
  <cols>
    <col min="1" max="1" width="33.28515625" customWidth="1"/>
    <col min="2" max="2" width="11" customWidth="1"/>
    <col min="3" max="3" width="11.42578125" customWidth="1"/>
    <col min="4" max="4" width="17.7109375" customWidth="1"/>
    <col min="5" max="5" width="17.28515625" bestFit="1" customWidth="1"/>
    <col min="6" max="7" width="19.28515625" customWidth="1"/>
    <col min="8" max="8" width="13.28515625" bestFit="1" customWidth="1"/>
    <col min="9" max="9" width="19.28515625" customWidth="1"/>
    <col min="10" max="13" width="13" customWidth="1"/>
    <col min="14" max="17" width="11.85546875" customWidth="1"/>
    <col min="18" max="18" width="1.7109375" customWidth="1"/>
    <col min="19" max="26" width="14.140625" customWidth="1"/>
    <col min="27" max="28" width="15.7109375" customWidth="1"/>
    <col min="29" max="29" width="15.5703125" customWidth="1"/>
    <col min="30" max="30" width="14.28515625" bestFit="1" customWidth="1"/>
  </cols>
  <sheetData>
    <row r="1" spans="1:30" ht="18.75" x14ac:dyDescent="0.3">
      <c r="A1" s="843" t="s">
        <v>1221</v>
      </c>
      <c r="B1" s="852"/>
      <c r="C1" s="852"/>
      <c r="D1" s="853"/>
      <c r="E1" s="41"/>
    </row>
    <row r="2" spans="1:30" ht="16.5" thickBot="1" x14ac:dyDescent="0.3">
      <c r="A2" s="530" t="s">
        <v>57</v>
      </c>
      <c r="B2" s="527"/>
      <c r="C2" s="527"/>
      <c r="D2" s="528"/>
      <c r="E2" s="41"/>
      <c r="F2" s="397"/>
    </row>
    <row r="3" spans="1:30" ht="15.75" x14ac:dyDescent="0.25">
      <c r="A3" s="25"/>
      <c r="B3" s="41"/>
      <c r="C3" s="41"/>
      <c r="D3" s="41"/>
      <c r="E3" s="41"/>
      <c r="F3" s="41"/>
      <c r="G3" s="41"/>
      <c r="H3" s="443"/>
      <c r="I3" s="443"/>
    </row>
    <row r="4" spans="1:30" ht="21" x14ac:dyDescent="0.35">
      <c r="B4" s="41"/>
      <c r="C4" s="41"/>
      <c r="D4" s="41"/>
      <c r="E4" s="41"/>
      <c r="F4" s="41"/>
      <c r="G4" s="41"/>
      <c r="H4" s="41"/>
      <c r="I4" s="41"/>
      <c r="O4" s="394" t="s">
        <v>673</v>
      </c>
      <c r="P4" s="451"/>
      <c r="Q4" s="394" t="s">
        <v>673</v>
      </c>
    </row>
    <row r="5" spans="1:30" ht="19.5" thickBot="1" x14ac:dyDescent="0.35">
      <c r="F5" s="2484" t="s">
        <v>220</v>
      </c>
      <c r="G5" s="2484"/>
      <c r="H5" s="2484"/>
      <c r="I5" s="2484"/>
      <c r="J5" s="2485" t="s">
        <v>64</v>
      </c>
      <c r="K5" s="2485"/>
      <c r="L5" s="2485"/>
      <c r="M5" s="2485"/>
      <c r="N5" s="2486" t="s">
        <v>65</v>
      </c>
      <c r="O5" s="2486"/>
      <c r="P5" s="2486"/>
      <c r="Q5" s="2486"/>
      <c r="R5" s="43"/>
      <c r="S5" s="2487" t="s">
        <v>759</v>
      </c>
      <c r="T5" s="2487"/>
      <c r="U5" s="2487"/>
      <c r="V5" s="2487"/>
      <c r="W5" s="2487"/>
      <c r="X5" s="2487"/>
      <c r="Y5" s="2487"/>
      <c r="Z5" s="2487"/>
      <c r="AA5" s="2488" t="s">
        <v>66</v>
      </c>
      <c r="AB5" s="2488"/>
      <c r="AC5" s="2488"/>
      <c r="AD5" s="2488"/>
    </row>
    <row r="6" spans="1:30" ht="16.5" thickBot="1" x14ac:dyDescent="0.3">
      <c r="A6" s="42" t="s">
        <v>3</v>
      </c>
      <c r="B6" s="45" t="s">
        <v>58</v>
      </c>
      <c r="C6" s="758" t="s">
        <v>1190</v>
      </c>
      <c r="D6" s="758" t="s">
        <v>1021</v>
      </c>
      <c r="E6" s="758" t="s">
        <v>1022</v>
      </c>
      <c r="F6" s="46" t="s">
        <v>226</v>
      </c>
      <c r="G6" s="46" t="s">
        <v>565</v>
      </c>
      <c r="H6" s="46" t="s">
        <v>658</v>
      </c>
      <c r="I6" s="46" t="s">
        <v>792</v>
      </c>
      <c r="J6" s="47" t="s">
        <v>227</v>
      </c>
      <c r="K6" s="47" t="s">
        <v>566</v>
      </c>
      <c r="L6" s="47" t="s">
        <v>659</v>
      </c>
      <c r="M6" s="47" t="s">
        <v>793</v>
      </c>
      <c r="N6" s="48" t="s">
        <v>237</v>
      </c>
      <c r="O6" s="48" t="s">
        <v>575</v>
      </c>
      <c r="P6" s="48" t="s">
        <v>674</v>
      </c>
      <c r="Q6" s="48" t="s">
        <v>802</v>
      </c>
      <c r="R6" s="44"/>
      <c r="S6" s="748" t="s">
        <v>238</v>
      </c>
      <c r="T6" s="748" t="s">
        <v>758</v>
      </c>
      <c r="U6" s="60" t="s">
        <v>576</v>
      </c>
      <c r="V6" s="461" t="s">
        <v>757</v>
      </c>
      <c r="W6" s="60" t="s">
        <v>675</v>
      </c>
      <c r="X6" s="461" t="s">
        <v>683</v>
      </c>
      <c r="Y6" s="60" t="s">
        <v>803</v>
      </c>
      <c r="Z6" s="461" t="s">
        <v>804</v>
      </c>
      <c r="AA6" s="61" t="s">
        <v>239</v>
      </c>
      <c r="AB6" s="61" t="s">
        <v>577</v>
      </c>
      <c r="AC6" s="61" t="s">
        <v>676</v>
      </c>
      <c r="AD6" s="61" t="s">
        <v>805</v>
      </c>
    </row>
    <row r="7" spans="1:30" ht="15.75" x14ac:dyDescent="0.25">
      <c r="A7" s="2489" t="s">
        <v>33</v>
      </c>
      <c r="B7" s="746" t="s">
        <v>217</v>
      </c>
      <c r="C7" s="747" t="s">
        <v>429</v>
      </c>
      <c r="D7" s="747" t="s">
        <v>1023</v>
      </c>
      <c r="E7" s="747" t="s">
        <v>1024</v>
      </c>
      <c r="F7" s="53">
        <v>375</v>
      </c>
      <c r="G7" s="53" t="s">
        <v>5</v>
      </c>
      <c r="H7" s="53" t="s">
        <v>5</v>
      </c>
      <c r="I7" s="53">
        <v>336</v>
      </c>
      <c r="J7" s="54"/>
      <c r="K7" s="54"/>
      <c r="L7" s="54"/>
      <c r="M7" s="54"/>
      <c r="N7" s="58">
        <f>(1058109815/7739416)/365*1000</f>
        <v>374.56715080310971</v>
      </c>
      <c r="O7" s="58" t="s">
        <v>5</v>
      </c>
      <c r="P7" s="58" t="s">
        <v>5</v>
      </c>
      <c r="Q7" s="666">
        <f>(1089829725/2815687)/366*1000</f>
        <v>1057.5311972752281</v>
      </c>
      <c r="R7" s="44"/>
      <c r="S7" s="2479">
        <v>375</v>
      </c>
      <c r="T7" s="2479">
        <f>MEDIAN(F7)</f>
        <v>375</v>
      </c>
      <c r="U7" s="2479" t="s">
        <v>5</v>
      </c>
      <c r="V7" s="2479" t="s">
        <v>5</v>
      </c>
      <c r="W7" s="2479" t="s">
        <v>5</v>
      </c>
      <c r="X7" s="2479" t="s">
        <v>5</v>
      </c>
      <c r="Y7" s="2482">
        <f>SUM(I7:I13)/7</f>
        <v>310.42857142857144</v>
      </c>
      <c r="Z7" s="2498">
        <f>MEDIAN(I7:I13)</f>
        <v>312</v>
      </c>
      <c r="AA7" s="2501">
        <v>375</v>
      </c>
      <c r="AB7" s="2492" t="s">
        <v>5</v>
      </c>
      <c r="AC7" s="2492" t="s">
        <v>5</v>
      </c>
      <c r="AD7" s="2495">
        <f>SUM(Q7:Q13)</f>
        <v>2735.6323970216176</v>
      </c>
    </row>
    <row r="8" spans="1:30" ht="15.75" x14ac:dyDescent="0.25">
      <c r="A8" s="2490"/>
      <c r="B8" s="747" t="s">
        <v>942</v>
      </c>
      <c r="C8" s="747"/>
      <c r="D8" s="747" t="s">
        <v>1023</v>
      </c>
      <c r="E8" s="747" t="s">
        <v>1024</v>
      </c>
      <c r="F8" s="53" t="s">
        <v>5</v>
      </c>
      <c r="G8" s="53" t="s">
        <v>5</v>
      </c>
      <c r="H8" s="53" t="s">
        <v>5</v>
      </c>
      <c r="I8" s="53">
        <v>298</v>
      </c>
      <c r="J8" s="54"/>
      <c r="K8" s="54"/>
      <c r="L8" s="54"/>
      <c r="M8" s="54"/>
      <c r="N8" s="58" t="s">
        <v>5</v>
      </c>
      <c r="O8" s="58" t="s">
        <v>5</v>
      </c>
      <c r="P8" s="58" t="s">
        <v>5</v>
      </c>
      <c r="Q8" s="665">
        <f>(339977506/3133488)/366*1000</f>
        <v>296.44290631318398</v>
      </c>
      <c r="R8" s="44"/>
      <c r="S8" s="2480"/>
      <c r="T8" s="2480"/>
      <c r="U8" s="2480"/>
      <c r="V8" s="2480"/>
      <c r="W8" s="2480"/>
      <c r="X8" s="2480"/>
      <c r="Y8" s="2483"/>
      <c r="Z8" s="2499"/>
      <c r="AA8" s="2502"/>
      <c r="AB8" s="2493"/>
      <c r="AC8" s="2493"/>
      <c r="AD8" s="2496"/>
    </row>
    <row r="9" spans="1:30" ht="15.75" x14ac:dyDescent="0.25">
      <c r="A9" s="2490"/>
      <c r="B9" s="747" t="s">
        <v>943</v>
      </c>
      <c r="C9" s="747"/>
      <c r="D9" s="747" t="s">
        <v>1023</v>
      </c>
      <c r="E9" s="747" t="s">
        <v>1024</v>
      </c>
      <c r="F9" s="53" t="s">
        <v>5</v>
      </c>
      <c r="G9" s="53" t="s">
        <v>5</v>
      </c>
      <c r="H9" s="53" t="s">
        <v>5</v>
      </c>
      <c r="I9" s="53">
        <v>204</v>
      </c>
      <c r="J9" s="54"/>
      <c r="K9" s="54"/>
      <c r="L9" s="54"/>
      <c r="M9" s="54"/>
      <c r="N9" s="58" t="s">
        <v>5</v>
      </c>
      <c r="O9" s="58" t="s">
        <v>5</v>
      </c>
      <c r="P9" s="58" t="s">
        <v>5</v>
      </c>
      <c r="Q9" s="665">
        <f>(38815089/672352)/366*1000</f>
        <v>157.73308585042494</v>
      </c>
      <c r="R9" s="44"/>
      <c r="S9" s="2480"/>
      <c r="T9" s="2480"/>
      <c r="U9" s="2480"/>
      <c r="V9" s="2480"/>
      <c r="W9" s="2480"/>
      <c r="X9" s="2480"/>
      <c r="Y9" s="2483"/>
      <c r="Z9" s="2499"/>
      <c r="AA9" s="2502"/>
      <c r="AB9" s="2493"/>
      <c r="AC9" s="2493"/>
      <c r="AD9" s="2496"/>
    </row>
    <row r="10" spans="1:30" ht="15.75" x14ac:dyDescent="0.25">
      <c r="A10" s="2490"/>
      <c r="B10" s="747" t="s">
        <v>944</v>
      </c>
      <c r="C10" s="747"/>
      <c r="D10" s="747" t="s">
        <v>1023</v>
      </c>
      <c r="E10" s="747" t="s">
        <v>1024</v>
      </c>
      <c r="F10" s="53" t="s">
        <v>5</v>
      </c>
      <c r="G10" s="53" t="s">
        <v>5</v>
      </c>
      <c r="H10" s="53" t="s">
        <v>5</v>
      </c>
      <c r="I10" s="53">
        <v>397</v>
      </c>
      <c r="J10" s="54"/>
      <c r="K10" s="54"/>
      <c r="L10" s="54"/>
      <c r="M10" s="54"/>
      <c r="N10" s="58" t="s">
        <v>5</v>
      </c>
      <c r="O10" s="58" t="s">
        <v>5</v>
      </c>
      <c r="P10" s="58" t="s">
        <v>5</v>
      </c>
      <c r="Q10" s="665">
        <f>(33835865/250995)/366*1000</f>
        <v>368.32494105155473</v>
      </c>
      <c r="R10" s="44"/>
      <c r="S10" s="2480"/>
      <c r="T10" s="2480"/>
      <c r="U10" s="2480"/>
      <c r="V10" s="2480"/>
      <c r="W10" s="2480"/>
      <c r="X10" s="2480"/>
      <c r="Y10" s="2483"/>
      <c r="Z10" s="2499"/>
      <c r="AA10" s="2502"/>
      <c r="AB10" s="2493"/>
      <c r="AC10" s="2493"/>
      <c r="AD10" s="2496"/>
    </row>
    <row r="11" spans="1:30" ht="15.75" x14ac:dyDescent="0.25">
      <c r="A11" s="2490"/>
      <c r="B11" s="747" t="s">
        <v>945</v>
      </c>
      <c r="C11" s="747"/>
      <c r="D11" s="747" t="s">
        <v>1023</v>
      </c>
      <c r="E11" s="747" t="s">
        <v>1024</v>
      </c>
      <c r="F11" s="53" t="s">
        <v>5</v>
      </c>
      <c r="G11" s="53" t="s">
        <v>5</v>
      </c>
      <c r="H11" s="53" t="s">
        <v>5</v>
      </c>
      <c r="I11" s="53">
        <v>298</v>
      </c>
      <c r="J11" s="54"/>
      <c r="K11" s="54"/>
      <c r="L11" s="54"/>
      <c r="M11" s="54"/>
      <c r="N11" s="58" t="s">
        <v>5</v>
      </c>
      <c r="O11" s="58" t="s">
        <v>5</v>
      </c>
      <c r="P11" s="58" t="s">
        <v>5</v>
      </c>
      <c r="Q11" s="665">
        <f>(90816380/697282)/366*1000</f>
        <v>355.85629027043535</v>
      </c>
      <c r="R11" s="44"/>
      <c r="S11" s="2480"/>
      <c r="T11" s="2480"/>
      <c r="U11" s="2480"/>
      <c r="V11" s="2480"/>
      <c r="W11" s="2480"/>
      <c r="X11" s="2480"/>
      <c r="Y11" s="2483"/>
      <c r="Z11" s="2499"/>
      <c r="AA11" s="2502"/>
      <c r="AB11" s="2493"/>
      <c r="AC11" s="2493"/>
      <c r="AD11" s="2496"/>
    </row>
    <row r="12" spans="1:30" ht="15.75" x14ac:dyDescent="0.25">
      <c r="A12" s="2490"/>
      <c r="B12" s="747" t="s">
        <v>946</v>
      </c>
      <c r="C12" s="747"/>
      <c r="D12" s="747" t="s">
        <v>1023</v>
      </c>
      <c r="E12" s="747" t="s">
        <v>1024</v>
      </c>
      <c r="F12" s="53" t="s">
        <v>5</v>
      </c>
      <c r="G12" s="53" t="s">
        <v>5</v>
      </c>
      <c r="H12" s="53" t="s">
        <v>5</v>
      </c>
      <c r="I12" s="53">
        <v>328</v>
      </c>
      <c r="J12" s="54"/>
      <c r="K12" s="54"/>
      <c r="L12" s="54"/>
      <c r="M12" s="54"/>
      <c r="N12" s="58" t="s">
        <v>5</v>
      </c>
      <c r="O12" s="58" t="s">
        <v>5</v>
      </c>
      <c r="P12" s="58" t="s">
        <v>5</v>
      </c>
      <c r="Q12" s="665">
        <f>(151511865/1192817)/366*1000</f>
        <v>347.04975219358465</v>
      </c>
      <c r="R12" s="44"/>
      <c r="S12" s="2480"/>
      <c r="T12" s="2480"/>
      <c r="U12" s="2480"/>
      <c r="V12" s="2480"/>
      <c r="W12" s="2480"/>
      <c r="X12" s="2480"/>
      <c r="Y12" s="2483"/>
      <c r="Z12" s="2499"/>
      <c r="AA12" s="2502"/>
      <c r="AB12" s="2493"/>
      <c r="AC12" s="2493"/>
      <c r="AD12" s="2496"/>
    </row>
    <row r="13" spans="1:30" ht="16.5" thickBot="1" x14ac:dyDescent="0.3">
      <c r="A13" s="2491"/>
      <c r="B13" s="747" t="s">
        <v>947</v>
      </c>
      <c r="C13" s="747"/>
      <c r="D13" s="747" t="s">
        <v>1023</v>
      </c>
      <c r="E13" s="747" t="s">
        <v>1024</v>
      </c>
      <c r="F13" s="53" t="s">
        <v>5</v>
      </c>
      <c r="G13" s="53" t="s">
        <v>5</v>
      </c>
      <c r="H13" s="53" t="s">
        <v>5</v>
      </c>
      <c r="I13" s="53">
        <v>312</v>
      </c>
      <c r="J13" s="54"/>
      <c r="K13" s="54"/>
      <c r="L13" s="54"/>
      <c r="M13" s="54"/>
      <c r="N13" s="58" t="s">
        <v>5</v>
      </c>
      <c r="O13" s="58" t="s">
        <v>5</v>
      </c>
      <c r="P13" s="58" t="s">
        <v>5</v>
      </c>
      <c r="Q13" s="665">
        <f>(29888270/534807)/366*1000</f>
        <v>152.69422406720625</v>
      </c>
      <c r="R13" s="44"/>
      <c r="S13" s="2481"/>
      <c r="T13" s="2481"/>
      <c r="U13" s="2481"/>
      <c r="V13" s="2481"/>
      <c r="W13" s="2481"/>
      <c r="X13" s="2481"/>
      <c r="Y13" s="2468"/>
      <c r="Z13" s="2500"/>
      <c r="AA13" s="2503"/>
      <c r="AB13" s="2494"/>
      <c r="AC13" s="2494"/>
      <c r="AD13" s="2497"/>
    </row>
    <row r="14" spans="1:30" ht="16.5" customHeight="1" thickBot="1" x14ac:dyDescent="0.3">
      <c r="A14" s="745" t="s">
        <v>524</v>
      </c>
      <c r="B14" s="645" t="s">
        <v>526</v>
      </c>
      <c r="C14" s="747" t="s">
        <v>429</v>
      </c>
      <c r="D14" s="747" t="s">
        <v>1025</v>
      </c>
      <c r="E14" s="747" t="s">
        <v>1026</v>
      </c>
      <c r="F14" s="53" t="s">
        <v>5</v>
      </c>
      <c r="G14" s="53" t="s">
        <v>5</v>
      </c>
      <c r="H14" s="53" t="s">
        <v>5</v>
      </c>
      <c r="I14" s="53" t="s">
        <v>5</v>
      </c>
      <c r="J14" s="54"/>
      <c r="K14" s="54"/>
      <c r="L14" s="54"/>
      <c r="M14" s="54"/>
      <c r="N14" s="55" t="s">
        <v>5</v>
      </c>
      <c r="O14" s="55" t="s">
        <v>5</v>
      </c>
      <c r="P14" s="55" t="s">
        <v>5</v>
      </c>
      <c r="Q14" s="55" t="s">
        <v>5</v>
      </c>
      <c r="S14" s="248" t="s">
        <v>5</v>
      </c>
      <c r="T14" s="71" t="s">
        <v>5</v>
      </c>
      <c r="U14" s="449" t="s">
        <v>5</v>
      </c>
      <c r="V14" s="71" t="s">
        <v>5</v>
      </c>
      <c r="W14" s="449" t="s">
        <v>5</v>
      </c>
      <c r="X14" s="449" t="s">
        <v>5</v>
      </c>
      <c r="Y14" s="71" t="s">
        <v>5</v>
      </c>
      <c r="Z14" s="71" t="s">
        <v>5</v>
      </c>
      <c r="AA14" s="450" t="s">
        <v>5</v>
      </c>
      <c r="AB14" s="450" t="s">
        <v>5</v>
      </c>
      <c r="AC14" s="450" t="s">
        <v>5</v>
      </c>
      <c r="AD14" s="450" t="s">
        <v>5</v>
      </c>
    </row>
    <row r="15" spans="1:30" ht="15.75" customHeight="1" x14ac:dyDescent="0.25">
      <c r="A15" s="1878" t="s">
        <v>34</v>
      </c>
      <c r="B15" s="664" t="s">
        <v>176</v>
      </c>
      <c r="C15" s="631"/>
      <c r="D15" s="631" t="s">
        <v>1027</v>
      </c>
      <c r="E15" s="631" t="s">
        <v>1028</v>
      </c>
      <c r="F15" s="53">
        <v>80</v>
      </c>
      <c r="G15" s="53" t="s">
        <v>5</v>
      </c>
      <c r="H15" s="53" t="s">
        <v>5</v>
      </c>
      <c r="I15" s="53">
        <v>154</v>
      </c>
      <c r="J15" s="54"/>
      <c r="K15" s="54"/>
      <c r="L15" s="54"/>
      <c r="M15" s="54"/>
      <c r="N15" s="58">
        <f>(59412000/2043185)/365*1000</f>
        <v>79.666110870883458</v>
      </c>
      <c r="O15" s="58" t="s">
        <v>5</v>
      </c>
      <c r="P15" s="58" t="s">
        <v>5</v>
      </c>
      <c r="Q15" s="58">
        <f>(132902000/1443000)/366*1000</f>
        <v>251.64256311797294</v>
      </c>
      <c r="S15" s="2434">
        <f>SUM(F15:F23)/7</f>
        <v>223.71428571428572</v>
      </c>
      <c r="T15" s="2434">
        <f>MEDIAN(F15:F23)</f>
        <v>211</v>
      </c>
      <c r="U15" s="2434" t="s">
        <v>5</v>
      </c>
      <c r="V15" s="2434" t="s">
        <v>5</v>
      </c>
      <c r="W15" s="2434">
        <f>SUM(H15:H23)/5</f>
        <v>192.6</v>
      </c>
      <c r="X15" s="2434">
        <f>MEDIAN(H15:H23)</f>
        <v>189</v>
      </c>
      <c r="Y15" s="2434">
        <f>SUM(I15:I23)/5</f>
        <v>184.4</v>
      </c>
      <c r="Z15" s="2434">
        <f>MEDIAN(I15:I23)</f>
        <v>190</v>
      </c>
      <c r="AA15" s="2444">
        <f>SUM(N15:N23)/7</f>
        <v>224.04207736065382</v>
      </c>
      <c r="AB15" s="2444" t="s">
        <v>5</v>
      </c>
      <c r="AC15" s="2444">
        <f>SUM(P15:P23)/5</f>
        <v>192.50908069202137</v>
      </c>
      <c r="AD15" s="2476">
        <f>SUM(Q15:Q23)/5</f>
        <v>791.74333674479021</v>
      </c>
    </row>
    <row r="16" spans="1:30" ht="15.75" customHeight="1" x14ac:dyDescent="0.25">
      <c r="A16" s="1757"/>
      <c r="B16" s="261" t="s">
        <v>177</v>
      </c>
      <c r="C16" s="261"/>
      <c r="D16" s="261" t="s">
        <v>1027</v>
      </c>
      <c r="E16" s="261" t="s">
        <v>1028</v>
      </c>
      <c r="F16" s="53">
        <v>215</v>
      </c>
      <c r="G16" s="53" t="s">
        <v>5</v>
      </c>
      <c r="H16" s="53" t="s">
        <v>5</v>
      </c>
      <c r="I16" s="53"/>
      <c r="J16" s="54"/>
      <c r="K16" s="54"/>
      <c r="L16" s="54"/>
      <c r="M16" s="54"/>
      <c r="N16" s="58">
        <f>(95488000/1203186)/365*1000</f>
        <v>217.43185085606845</v>
      </c>
      <c r="O16" s="58" t="s">
        <v>5</v>
      </c>
      <c r="P16" s="58" t="s">
        <v>5</v>
      </c>
      <c r="Q16" s="58"/>
      <c r="S16" s="2429"/>
      <c r="T16" s="2429"/>
      <c r="U16" s="2429"/>
      <c r="V16" s="2429"/>
      <c r="W16" s="2429"/>
      <c r="X16" s="2429"/>
      <c r="Y16" s="2435"/>
      <c r="Z16" s="2435"/>
      <c r="AA16" s="2432"/>
      <c r="AB16" s="2432"/>
      <c r="AC16" s="2432"/>
      <c r="AD16" s="2477"/>
    </row>
    <row r="17" spans="1:30" ht="15.75" customHeight="1" x14ac:dyDescent="0.25">
      <c r="A17" s="1757"/>
      <c r="B17" s="631" t="s">
        <v>178</v>
      </c>
      <c r="C17" s="631"/>
      <c r="D17" s="631" t="s">
        <v>1027</v>
      </c>
      <c r="E17" s="631" t="s">
        <v>1028</v>
      </c>
      <c r="F17" s="53">
        <v>148</v>
      </c>
      <c r="G17" s="53" t="s">
        <v>5</v>
      </c>
      <c r="H17" s="53">
        <v>159</v>
      </c>
      <c r="I17" s="53">
        <v>149</v>
      </c>
      <c r="J17" s="54"/>
      <c r="K17" s="54"/>
      <c r="L17" s="54"/>
      <c r="M17" s="54"/>
      <c r="N17" s="58">
        <f>(219742000/4077036)/365*1000</f>
        <v>147.6643514338183</v>
      </c>
      <c r="O17" s="58" t="s">
        <v>5</v>
      </c>
      <c r="P17" s="58">
        <f>(257032000/4440000)/365*1000</f>
        <v>158.60298654819201</v>
      </c>
      <c r="Q17" s="58">
        <f>(130731000/1633000)/366*1000</f>
        <v>218.73149086966561</v>
      </c>
      <c r="S17" s="2429"/>
      <c r="T17" s="2429"/>
      <c r="U17" s="2429"/>
      <c r="V17" s="2429"/>
      <c r="W17" s="2429"/>
      <c r="X17" s="2429"/>
      <c r="Y17" s="2435"/>
      <c r="Z17" s="2435"/>
      <c r="AA17" s="2432"/>
      <c r="AB17" s="2432"/>
      <c r="AC17" s="2432"/>
      <c r="AD17" s="2477"/>
    </row>
    <row r="18" spans="1:30" ht="15.75" customHeight="1" x14ac:dyDescent="0.25">
      <c r="A18" s="1757"/>
      <c r="B18" s="631" t="s">
        <v>179</v>
      </c>
      <c r="C18" s="631"/>
      <c r="D18" s="631" t="s">
        <v>1027</v>
      </c>
      <c r="E18" s="631" t="s">
        <v>1028</v>
      </c>
      <c r="F18" s="53">
        <v>287</v>
      </c>
      <c r="G18" s="53" t="s">
        <v>5</v>
      </c>
      <c r="H18" s="53">
        <v>245</v>
      </c>
      <c r="I18" s="53">
        <v>223</v>
      </c>
      <c r="J18" s="54"/>
      <c r="K18" s="54"/>
      <c r="L18" s="54"/>
      <c r="M18" s="54"/>
      <c r="N18" s="58">
        <f>(177681000/1696065)/365*1000</f>
        <v>287.01568647072639</v>
      </c>
      <c r="O18" s="58" t="s">
        <v>5</v>
      </c>
      <c r="P18" s="58">
        <f>(175537000/1961000)/365*1000</f>
        <v>245.24389988334161</v>
      </c>
      <c r="Q18" s="666">
        <f>(221025000/206000)/366*1000</f>
        <v>2931.5215661308293</v>
      </c>
      <c r="S18" s="2429"/>
      <c r="T18" s="2429"/>
      <c r="U18" s="2429"/>
      <c r="V18" s="2429"/>
      <c r="W18" s="2429"/>
      <c r="X18" s="2429"/>
      <c r="Y18" s="2435"/>
      <c r="Z18" s="2435"/>
      <c r="AA18" s="2432"/>
      <c r="AB18" s="2432"/>
      <c r="AC18" s="2432"/>
      <c r="AD18" s="2477"/>
    </row>
    <row r="19" spans="1:30" ht="16.5" customHeight="1" x14ac:dyDescent="0.25">
      <c r="A19" s="1757"/>
      <c r="B19" s="631" t="s">
        <v>180</v>
      </c>
      <c r="C19" s="631"/>
      <c r="D19" s="631" t="s">
        <v>1027</v>
      </c>
      <c r="E19" s="631" t="s">
        <v>1028</v>
      </c>
      <c r="F19" s="53">
        <v>200</v>
      </c>
      <c r="G19" s="53" t="s">
        <v>5</v>
      </c>
      <c r="H19" s="53">
        <v>200</v>
      </c>
      <c r="I19" s="53">
        <v>206</v>
      </c>
      <c r="J19" s="54"/>
      <c r="K19" s="54"/>
      <c r="L19" s="54"/>
      <c r="M19" s="54"/>
      <c r="N19" s="58">
        <f>(334488000/4575532)/365*1000</f>
        <v>200.28391877754427</v>
      </c>
      <c r="O19" s="58" t="s">
        <v>5</v>
      </c>
      <c r="P19" s="58">
        <f>(352843000/4833000)/365*1000</f>
        <v>200.01927388473646</v>
      </c>
      <c r="Q19" s="665">
        <f>(513878000/5037000)/366*1000</f>
        <v>278.74493773399251</v>
      </c>
      <c r="S19" s="2429"/>
      <c r="T19" s="2429"/>
      <c r="U19" s="2429"/>
      <c r="V19" s="2429"/>
      <c r="W19" s="2429"/>
      <c r="X19" s="2429"/>
      <c r="Y19" s="2435"/>
      <c r="Z19" s="2435"/>
      <c r="AA19" s="2432"/>
      <c r="AB19" s="2432"/>
      <c r="AC19" s="2432"/>
      <c r="AD19" s="2477"/>
    </row>
    <row r="20" spans="1:30" ht="16.5" customHeight="1" x14ac:dyDescent="0.25">
      <c r="A20" s="1757"/>
      <c r="B20" s="631" t="s">
        <v>544</v>
      </c>
      <c r="C20" s="631" t="s">
        <v>429</v>
      </c>
      <c r="D20" s="631" t="s">
        <v>1027</v>
      </c>
      <c r="E20" s="631" t="s">
        <v>1028</v>
      </c>
      <c r="F20" s="53">
        <v>211</v>
      </c>
      <c r="G20" s="53" t="s">
        <v>5</v>
      </c>
      <c r="H20" s="53">
        <v>189</v>
      </c>
      <c r="I20" s="53">
        <v>190</v>
      </c>
      <c r="J20" s="54"/>
      <c r="K20" s="54"/>
      <c r="L20" s="54"/>
      <c r="M20" s="54"/>
      <c r="N20" s="58">
        <f>(27609000/358222)/365*1000</f>
        <v>211.15703639198867</v>
      </c>
      <c r="O20" s="58" t="s">
        <v>5</v>
      </c>
      <c r="P20" s="58">
        <f>(29458000/428000)/365*1000</f>
        <v>188.5674049417488</v>
      </c>
      <c r="Q20" s="58">
        <f>(41321000/406000)/366*1000</f>
        <v>278.07612587149049</v>
      </c>
      <c r="S20" s="2429"/>
      <c r="T20" s="2429"/>
      <c r="U20" s="2429"/>
      <c r="V20" s="2429"/>
      <c r="W20" s="2429"/>
      <c r="X20" s="2429"/>
      <c r="Y20" s="2435"/>
      <c r="Z20" s="2435"/>
      <c r="AA20" s="2432"/>
      <c r="AB20" s="2432"/>
      <c r="AC20" s="2432"/>
      <c r="AD20" s="2477"/>
    </row>
    <row r="21" spans="1:30" ht="16.5" customHeight="1" x14ac:dyDescent="0.25">
      <c r="A21" s="1757"/>
      <c r="B21" s="261" t="s">
        <v>545</v>
      </c>
      <c r="C21" s="261"/>
      <c r="D21" s="261" t="s">
        <v>1027</v>
      </c>
      <c r="E21" s="261" t="s">
        <v>1028</v>
      </c>
      <c r="F21" s="53" t="s">
        <v>5</v>
      </c>
      <c r="G21" s="53" t="s">
        <v>5</v>
      </c>
      <c r="H21" s="53" t="s">
        <v>5</v>
      </c>
      <c r="I21" s="53"/>
      <c r="J21" s="54"/>
      <c r="K21" s="54"/>
      <c r="L21" s="54"/>
      <c r="M21" s="54"/>
      <c r="N21" s="58" t="s">
        <v>5</v>
      </c>
      <c r="O21" s="58" t="s">
        <v>5</v>
      </c>
      <c r="P21" s="58" t="s">
        <v>5</v>
      </c>
      <c r="Q21" s="58"/>
      <c r="S21" s="2429"/>
      <c r="T21" s="2429"/>
      <c r="U21" s="2429"/>
      <c r="V21" s="2429"/>
      <c r="W21" s="2429"/>
      <c r="X21" s="2429"/>
      <c r="Y21" s="2435"/>
      <c r="Z21" s="2435"/>
      <c r="AA21" s="2432"/>
      <c r="AB21" s="2432"/>
      <c r="AC21" s="2432"/>
      <c r="AD21" s="2477"/>
    </row>
    <row r="22" spans="1:30" ht="16.5" customHeight="1" x14ac:dyDescent="0.25">
      <c r="A22" s="1757"/>
      <c r="B22" s="261" t="s">
        <v>779</v>
      </c>
      <c r="C22" s="261"/>
      <c r="D22" s="261" t="s">
        <v>1027</v>
      </c>
      <c r="E22" s="261" t="s">
        <v>1028</v>
      </c>
      <c r="F22" s="53" t="s">
        <v>5</v>
      </c>
      <c r="G22" s="53" t="s">
        <v>5</v>
      </c>
      <c r="H22" s="53">
        <v>170</v>
      </c>
      <c r="I22" s="53"/>
      <c r="J22" s="54"/>
      <c r="K22" s="54"/>
      <c r="L22" s="54"/>
      <c r="M22" s="54"/>
      <c r="N22" s="58"/>
      <c r="O22" s="58" t="s">
        <v>5</v>
      </c>
      <c r="P22" s="58">
        <f>(192109000/3094000)/365*1000</f>
        <v>170.11183820208799</v>
      </c>
      <c r="Q22" s="58"/>
      <c r="S22" s="2429"/>
      <c r="T22" s="2429"/>
      <c r="U22" s="2429"/>
      <c r="V22" s="2429"/>
      <c r="W22" s="2429"/>
      <c r="X22" s="2429"/>
      <c r="Y22" s="2435"/>
      <c r="Z22" s="2435"/>
      <c r="AA22" s="2432"/>
      <c r="AB22" s="2432"/>
      <c r="AC22" s="2432"/>
      <c r="AD22" s="2477"/>
    </row>
    <row r="23" spans="1:30" ht="16.5" customHeight="1" thickBot="1" x14ac:dyDescent="0.3">
      <c r="A23" s="1758"/>
      <c r="B23" s="262" t="s">
        <v>546</v>
      </c>
      <c r="C23" s="261"/>
      <c r="D23" s="261" t="s">
        <v>1027</v>
      </c>
      <c r="E23" s="261" t="s">
        <v>1028</v>
      </c>
      <c r="F23" s="53">
        <v>425</v>
      </c>
      <c r="G23" s="53" t="s">
        <v>5</v>
      </c>
      <c r="H23" s="53" t="s">
        <v>5</v>
      </c>
      <c r="I23" s="53"/>
      <c r="J23" s="54"/>
      <c r="K23" s="54"/>
      <c r="L23" s="54"/>
      <c r="M23" s="54"/>
      <c r="N23" s="58">
        <f>(19786920/127532)/365*1000</f>
        <v>425.07558672354708</v>
      </c>
      <c r="O23" s="58" t="s">
        <v>5</v>
      </c>
      <c r="P23" s="58" t="s">
        <v>5</v>
      </c>
      <c r="Q23" s="58"/>
      <c r="S23" s="2436"/>
      <c r="T23" s="2436"/>
      <c r="U23" s="2436"/>
      <c r="V23" s="2436"/>
      <c r="W23" s="2436"/>
      <c r="X23" s="2436"/>
      <c r="Y23" s="2436"/>
      <c r="Z23" s="2436"/>
      <c r="AA23" s="2449"/>
      <c r="AB23" s="2449"/>
      <c r="AC23" s="2449"/>
      <c r="AD23" s="2478"/>
    </row>
    <row r="24" spans="1:30" ht="16.5" customHeight="1" x14ac:dyDescent="0.25">
      <c r="A24" s="1795" t="s">
        <v>4</v>
      </c>
      <c r="B24" s="664" t="s">
        <v>547</v>
      </c>
      <c r="C24" s="631"/>
      <c r="D24" s="631" t="s">
        <v>1029</v>
      </c>
      <c r="E24" s="631" t="s">
        <v>1030</v>
      </c>
      <c r="F24" s="53">
        <v>138</v>
      </c>
      <c r="G24" s="53" t="s">
        <v>5</v>
      </c>
      <c r="H24" s="53" t="s">
        <v>5</v>
      </c>
      <c r="I24" s="53">
        <v>135</v>
      </c>
      <c r="J24" s="54"/>
      <c r="K24" s="54"/>
      <c r="L24" s="54"/>
      <c r="M24" s="54"/>
      <c r="N24" s="58">
        <f>(519000000/7537000)/365*1000</f>
        <v>188.6583266842481</v>
      </c>
      <c r="O24" s="58" t="s">
        <v>5</v>
      </c>
      <c r="P24" s="58" t="s">
        <v>5</v>
      </c>
      <c r="Q24" s="58" t="s">
        <v>5</v>
      </c>
      <c r="S24" s="939">
        <f>F24</f>
        <v>138</v>
      </c>
      <c r="T24" s="933">
        <f>MEDIAN(F24)</f>
        <v>138</v>
      </c>
      <c r="U24" s="939" t="s">
        <v>5</v>
      </c>
      <c r="V24" s="933" t="s">
        <v>5</v>
      </c>
      <c r="W24" s="939" t="s">
        <v>5</v>
      </c>
      <c r="X24" s="939" t="s">
        <v>5</v>
      </c>
      <c r="Y24" s="933">
        <v>135</v>
      </c>
      <c r="Z24" s="933">
        <v>135</v>
      </c>
      <c r="AA24" s="945">
        <f>N24</f>
        <v>188.6583266842481</v>
      </c>
      <c r="AB24" s="945" t="s">
        <v>5</v>
      </c>
      <c r="AC24" s="945" t="s">
        <v>5</v>
      </c>
      <c r="AD24" s="945" t="s">
        <v>5</v>
      </c>
    </row>
    <row r="25" spans="1:30" ht="15.75" customHeight="1" x14ac:dyDescent="0.25">
      <c r="A25" s="1796"/>
      <c r="B25" s="452" t="s">
        <v>59</v>
      </c>
      <c r="C25" s="452"/>
      <c r="D25" s="261" t="s">
        <v>1029</v>
      </c>
      <c r="E25" s="261" t="s">
        <v>1030</v>
      </c>
      <c r="F25" s="53" t="s">
        <v>5</v>
      </c>
      <c r="G25" s="53" t="s">
        <v>5</v>
      </c>
      <c r="H25" s="53"/>
      <c r="I25" s="53"/>
      <c r="J25" s="54"/>
      <c r="K25" s="54"/>
      <c r="L25" s="54"/>
      <c r="M25" s="54"/>
      <c r="N25" s="58">
        <f>(16000000/270061)/365*1000</f>
        <v>162.31746323369967</v>
      </c>
      <c r="O25" s="58">
        <f>(15903812/276000)/366*1000</f>
        <v>157.43854438900766</v>
      </c>
      <c r="P25" s="58"/>
      <c r="Q25" s="58"/>
      <c r="S25" s="2434">
        <f>(F26+F29)/2</f>
        <v>134.5</v>
      </c>
      <c r="T25" s="2434">
        <f>MEDIAN(F25:F29)</f>
        <v>134.5</v>
      </c>
      <c r="U25" s="2434">
        <v>143</v>
      </c>
      <c r="V25" s="2434">
        <f>MEDIAN(G24:G29)</f>
        <v>143</v>
      </c>
      <c r="W25" s="2434"/>
      <c r="X25" s="935"/>
      <c r="Y25" s="935"/>
      <c r="Z25" s="935"/>
      <c r="AA25" s="2444">
        <f>SUM(N25:N29)/5</f>
        <v>202.26689487944762</v>
      </c>
      <c r="AB25" s="2444">
        <f>SUM(O25:O29)/5</f>
        <v>170.18585319933598</v>
      </c>
      <c r="AC25" s="2444"/>
      <c r="AD25" s="2444"/>
    </row>
    <row r="26" spans="1:30" ht="15.75" customHeight="1" x14ac:dyDescent="0.25">
      <c r="A26" s="1796"/>
      <c r="B26" s="452" t="s">
        <v>60</v>
      </c>
      <c r="C26" s="452"/>
      <c r="D26" s="261" t="s">
        <v>1029</v>
      </c>
      <c r="E26" s="261" t="s">
        <v>1030</v>
      </c>
      <c r="F26" s="53">
        <v>121</v>
      </c>
      <c r="G26" s="53" t="s">
        <v>5</v>
      </c>
      <c r="H26" s="53"/>
      <c r="I26" s="53"/>
      <c r="J26" s="54"/>
      <c r="K26" s="54"/>
      <c r="L26" s="54"/>
      <c r="M26" s="54"/>
      <c r="N26" s="58">
        <f>(10000000/147814)/365*1000</f>
        <v>185.34956278818382</v>
      </c>
      <c r="O26" s="58">
        <f>(8227059/153000)/366*1000</f>
        <v>146.91701489338905</v>
      </c>
      <c r="P26" s="58"/>
      <c r="Q26" s="58"/>
      <c r="S26" s="2429"/>
      <c r="T26" s="2429"/>
      <c r="U26" s="2435"/>
      <c r="V26" s="2429"/>
      <c r="W26" s="2435"/>
      <c r="X26" s="938"/>
      <c r="Y26" s="936"/>
      <c r="Z26" s="936"/>
      <c r="AA26" s="2432"/>
      <c r="AB26" s="2456"/>
      <c r="AC26" s="2456"/>
      <c r="AD26" s="2456"/>
    </row>
    <row r="27" spans="1:30" ht="15.75" customHeight="1" x14ac:dyDescent="0.25">
      <c r="A27" s="1796"/>
      <c r="B27" s="452" t="s">
        <v>61</v>
      </c>
      <c r="C27" s="452"/>
      <c r="D27" s="261" t="s">
        <v>1029</v>
      </c>
      <c r="E27" s="261" t="s">
        <v>1030</v>
      </c>
      <c r="F27" s="53" t="s">
        <v>5</v>
      </c>
      <c r="G27" s="53" t="s">
        <v>5</v>
      </c>
      <c r="H27" s="53"/>
      <c r="I27" s="53"/>
      <c r="J27" s="54"/>
      <c r="K27" s="54"/>
      <c r="L27" s="54"/>
      <c r="M27" s="54"/>
      <c r="N27" s="58">
        <f>(20500000/207671)/365*1000</f>
        <v>270.44885208644365</v>
      </c>
      <c r="O27" s="58">
        <f>(14394652/206000)/366*1000</f>
        <v>190.92063239429146</v>
      </c>
      <c r="P27" s="58"/>
      <c r="Q27" s="58"/>
      <c r="S27" s="2429"/>
      <c r="T27" s="2429"/>
      <c r="U27" s="2435"/>
      <c r="V27" s="2429"/>
      <c r="W27" s="2435"/>
      <c r="X27" s="938"/>
      <c r="Y27" s="936"/>
      <c r="Z27" s="936"/>
      <c r="AA27" s="2432"/>
      <c r="AB27" s="2456"/>
      <c r="AC27" s="2456"/>
      <c r="AD27" s="2456"/>
    </row>
    <row r="28" spans="1:30" ht="15.75" customHeight="1" x14ac:dyDescent="0.25">
      <c r="A28" s="1796"/>
      <c r="B28" s="452" t="s">
        <v>62</v>
      </c>
      <c r="C28" s="452"/>
      <c r="D28" s="261" t="s">
        <v>1029</v>
      </c>
      <c r="E28" s="261" t="s">
        <v>1030</v>
      </c>
      <c r="F28" s="53" t="s">
        <v>5</v>
      </c>
      <c r="G28" s="53" t="s">
        <v>5</v>
      </c>
      <c r="H28" s="53"/>
      <c r="I28" s="53"/>
      <c r="J28" s="54"/>
      <c r="K28" s="54"/>
      <c r="L28" s="54"/>
      <c r="M28" s="54"/>
      <c r="N28" s="58">
        <f>(12200000/166660)/365*1000</f>
        <v>200.55596744417721</v>
      </c>
      <c r="O28" s="58">
        <f>(10702950/169000)/366*1000</f>
        <v>173.03569696381805</v>
      </c>
      <c r="P28" s="58"/>
      <c r="Q28" s="58"/>
      <c r="S28" s="2429"/>
      <c r="T28" s="2429"/>
      <c r="U28" s="2435"/>
      <c r="V28" s="2429"/>
      <c r="W28" s="2435"/>
      <c r="X28" s="938"/>
      <c r="Y28" s="936"/>
      <c r="Z28" s="936"/>
      <c r="AA28" s="2432"/>
      <c r="AB28" s="2456"/>
      <c r="AC28" s="2456"/>
      <c r="AD28" s="2456"/>
    </row>
    <row r="29" spans="1:30" ht="16.5" customHeight="1" thickBot="1" x14ac:dyDescent="0.3">
      <c r="A29" s="1797"/>
      <c r="B29" s="453" t="s">
        <v>63</v>
      </c>
      <c r="C29" s="452" t="s">
        <v>429</v>
      </c>
      <c r="D29" s="261" t="s">
        <v>1029</v>
      </c>
      <c r="E29" s="261" t="s">
        <v>1030</v>
      </c>
      <c r="F29" s="53">
        <v>148</v>
      </c>
      <c r="G29" s="53">
        <v>143</v>
      </c>
      <c r="H29" s="53"/>
      <c r="I29" s="53"/>
      <c r="J29" s="54"/>
      <c r="K29" s="54"/>
      <c r="L29" s="54"/>
      <c r="M29" s="54"/>
      <c r="N29" s="58">
        <f>(122621000/1743711)/365*1000</f>
        <v>192.66262884473369</v>
      </c>
      <c r="O29" s="58">
        <f>(118971569/1780000)/366*1000</f>
        <v>182.61737735617365</v>
      </c>
      <c r="P29" s="58"/>
      <c r="Q29" s="58"/>
      <c r="S29" s="2436"/>
      <c r="T29" s="2436"/>
      <c r="U29" s="2436"/>
      <c r="V29" s="2436"/>
      <c r="W29" s="2436"/>
      <c r="X29" s="937"/>
      <c r="Y29" s="937"/>
      <c r="Z29" s="937"/>
      <c r="AA29" s="2449"/>
      <c r="AB29" s="2449"/>
      <c r="AC29" s="2449"/>
      <c r="AD29" s="2449"/>
    </row>
    <row r="30" spans="1:30" ht="15.75" customHeight="1" x14ac:dyDescent="0.25">
      <c r="A30" s="1878" t="s">
        <v>6</v>
      </c>
      <c r="B30" s="683" t="s">
        <v>67</v>
      </c>
      <c r="C30" s="759"/>
      <c r="D30" s="759" t="s">
        <v>1031</v>
      </c>
      <c r="E30" s="759" t="s">
        <v>1032</v>
      </c>
      <c r="F30" s="56">
        <v>101</v>
      </c>
      <c r="G30" s="56">
        <v>118</v>
      </c>
      <c r="H30" s="56">
        <v>120</v>
      </c>
      <c r="I30" s="56">
        <v>87</v>
      </c>
      <c r="J30" s="57"/>
      <c r="K30" s="193"/>
      <c r="L30" s="193"/>
      <c r="M30" s="193"/>
      <c r="N30" s="247">
        <f>(3576000/97000)/365*1000</f>
        <v>101.00268323683095</v>
      </c>
      <c r="O30" s="58" t="s">
        <v>5</v>
      </c>
      <c r="P30" s="58" t="s">
        <v>5</v>
      </c>
      <c r="Q30" s="58" t="s">
        <v>5</v>
      </c>
      <c r="S30" s="2434">
        <f>SUM(F30:F36)/7</f>
        <v>108.57142857142857</v>
      </c>
      <c r="T30" s="2434">
        <f>MEDIAN(F30:F37)</f>
        <v>102</v>
      </c>
      <c r="U30" s="2434">
        <f>SUM(G30:G37)/7</f>
        <v>108.28571428571429</v>
      </c>
      <c r="V30" s="2434">
        <f>MEDIAN(G30:G37)</f>
        <v>107</v>
      </c>
      <c r="W30" s="2434">
        <f>SUM(H30:H37)/7</f>
        <v>105.14285714285714</v>
      </c>
      <c r="X30" s="2434">
        <f>MEDIAN(H30:H37)</f>
        <v>104</v>
      </c>
      <c r="Y30" s="2434">
        <f>SUM(I30:I37)/8</f>
        <v>92.875</v>
      </c>
      <c r="Z30" s="2434">
        <f>MEDIAN(I30:I37)</f>
        <v>87.5</v>
      </c>
      <c r="AA30" s="2444">
        <f>SUM(N30:N36)/7</f>
        <v>108.57264981594652</v>
      </c>
      <c r="AB30" s="2444">
        <f>SUM(O30:O37)/1</f>
        <v>139.87461236813328</v>
      </c>
      <c r="AC30" s="2444" t="s">
        <v>5</v>
      </c>
      <c r="AD30" s="2444" t="s">
        <v>5</v>
      </c>
    </row>
    <row r="31" spans="1:30" ht="15.75" customHeight="1" x14ac:dyDescent="0.25">
      <c r="A31" s="1757"/>
      <c r="B31" s="682" t="s">
        <v>71</v>
      </c>
      <c r="C31" s="759"/>
      <c r="D31" s="759" t="s">
        <v>1031</v>
      </c>
      <c r="E31" s="759" t="s">
        <v>1032</v>
      </c>
      <c r="F31" s="56">
        <v>155</v>
      </c>
      <c r="G31" s="56">
        <v>148</v>
      </c>
      <c r="H31" s="56">
        <v>146</v>
      </c>
      <c r="I31" s="56">
        <v>145</v>
      </c>
      <c r="J31" s="57"/>
      <c r="K31" s="193"/>
      <c r="L31" s="193"/>
      <c r="M31" s="193"/>
      <c r="N31" s="247">
        <f>(27835000/492000)/365*1000</f>
        <v>155.00055685488363</v>
      </c>
      <c r="O31" s="247" t="s">
        <v>5</v>
      </c>
      <c r="P31" s="247" t="s">
        <v>5</v>
      </c>
      <c r="Q31" s="247" t="s">
        <v>5</v>
      </c>
      <c r="S31" s="2429"/>
      <c r="T31" s="2429"/>
      <c r="U31" s="2435"/>
      <c r="V31" s="2429"/>
      <c r="W31" s="2435"/>
      <c r="X31" s="2429"/>
      <c r="Y31" s="2429"/>
      <c r="Z31" s="2429"/>
      <c r="AA31" s="2432"/>
      <c r="AB31" s="2445"/>
      <c r="AC31" s="2445"/>
      <c r="AD31" s="2445"/>
    </row>
    <row r="32" spans="1:30" ht="15.75" customHeight="1" x14ac:dyDescent="0.25">
      <c r="A32" s="1757"/>
      <c r="B32" s="682" t="s">
        <v>68</v>
      </c>
      <c r="C32" s="759" t="s">
        <v>429</v>
      </c>
      <c r="D32" s="759" t="s">
        <v>1031</v>
      </c>
      <c r="E32" s="759" t="s">
        <v>1032</v>
      </c>
      <c r="F32" s="56">
        <v>115</v>
      </c>
      <c r="G32" s="56">
        <v>95</v>
      </c>
      <c r="H32" s="56">
        <v>92</v>
      </c>
      <c r="I32" s="56">
        <v>93</v>
      </c>
      <c r="J32" s="57"/>
      <c r="K32" s="193"/>
      <c r="L32" s="193"/>
      <c r="M32" s="193"/>
      <c r="N32" s="247">
        <f>(46592000/1110000)/365*1000</f>
        <v>114.99938294458842</v>
      </c>
      <c r="O32" s="58">
        <f>(58676383/1146155)/366*1000</f>
        <v>139.87461236813328</v>
      </c>
      <c r="P32" s="58">
        <f>(60983902/1174169)/365*1000</f>
        <v>142.29568619308111</v>
      </c>
      <c r="Q32" s="58" t="s">
        <v>5</v>
      </c>
      <c r="S32" s="2429"/>
      <c r="T32" s="2429"/>
      <c r="U32" s="2435"/>
      <c r="V32" s="2429"/>
      <c r="W32" s="2435"/>
      <c r="X32" s="2429"/>
      <c r="Y32" s="2429"/>
      <c r="Z32" s="2429"/>
      <c r="AA32" s="2432"/>
      <c r="AB32" s="2445"/>
      <c r="AC32" s="2445"/>
      <c r="AD32" s="2445"/>
    </row>
    <row r="33" spans="1:30" ht="15.75" customHeight="1" x14ac:dyDescent="0.25">
      <c r="A33" s="1757"/>
      <c r="B33" s="682" t="s">
        <v>72</v>
      </c>
      <c r="C33" s="759"/>
      <c r="D33" s="759" t="s">
        <v>1031</v>
      </c>
      <c r="E33" s="759" t="s">
        <v>1032</v>
      </c>
      <c r="F33" s="56">
        <v>92</v>
      </c>
      <c r="G33" s="56">
        <v>94</v>
      </c>
      <c r="H33" s="56">
        <v>92</v>
      </c>
      <c r="I33" s="56">
        <v>94</v>
      </c>
      <c r="J33" s="57"/>
      <c r="K33" s="193"/>
      <c r="L33" s="193"/>
      <c r="M33" s="193"/>
      <c r="N33" s="247">
        <f>(6515000/194000)/365*1000</f>
        <v>92.006778703572948</v>
      </c>
      <c r="O33" s="247" t="s">
        <v>5</v>
      </c>
      <c r="P33" s="247" t="s">
        <v>5</v>
      </c>
      <c r="Q33" s="247" t="s">
        <v>5</v>
      </c>
      <c r="S33" s="2429"/>
      <c r="T33" s="2429"/>
      <c r="U33" s="2435"/>
      <c r="V33" s="2429"/>
      <c r="W33" s="2435"/>
      <c r="X33" s="2429"/>
      <c r="Y33" s="2429"/>
      <c r="Z33" s="2429"/>
      <c r="AA33" s="2432"/>
      <c r="AB33" s="2445"/>
      <c r="AC33" s="2445"/>
      <c r="AD33" s="2445"/>
    </row>
    <row r="34" spans="1:30" ht="15.75" customHeight="1" x14ac:dyDescent="0.25">
      <c r="A34" s="1757"/>
      <c r="B34" s="682" t="s">
        <v>69</v>
      </c>
      <c r="C34" s="759"/>
      <c r="D34" s="759" t="s">
        <v>1031</v>
      </c>
      <c r="E34" s="759" t="s">
        <v>1032</v>
      </c>
      <c r="F34" s="56">
        <v>102</v>
      </c>
      <c r="G34" s="56">
        <v>107</v>
      </c>
      <c r="H34" s="56">
        <v>104</v>
      </c>
      <c r="I34" s="56">
        <v>78</v>
      </c>
      <c r="J34" s="57"/>
      <c r="K34" s="193"/>
      <c r="L34" s="193"/>
      <c r="M34" s="193"/>
      <c r="N34" s="247">
        <f>(2792000/75000)/365*1000</f>
        <v>101.99086757990868</v>
      </c>
      <c r="O34" s="247" t="s">
        <v>5</v>
      </c>
      <c r="P34" s="247" t="s">
        <v>5</v>
      </c>
      <c r="Q34" s="247" t="s">
        <v>5</v>
      </c>
      <c r="S34" s="2429"/>
      <c r="T34" s="2429"/>
      <c r="U34" s="2435"/>
      <c r="V34" s="2429"/>
      <c r="W34" s="2435"/>
      <c r="X34" s="2429"/>
      <c r="Y34" s="2429"/>
      <c r="Z34" s="2429"/>
      <c r="AA34" s="2432"/>
      <c r="AB34" s="2445"/>
      <c r="AC34" s="2445"/>
      <c r="AD34" s="2445"/>
    </row>
    <row r="35" spans="1:30" ht="16.5" customHeight="1" x14ac:dyDescent="0.25">
      <c r="A35" s="1757"/>
      <c r="B35" s="734" t="s">
        <v>70</v>
      </c>
      <c r="C35" s="759"/>
      <c r="D35" s="759" t="s">
        <v>1031</v>
      </c>
      <c r="E35" s="759" t="s">
        <v>1032</v>
      </c>
      <c r="F35" s="56">
        <v>106</v>
      </c>
      <c r="G35" s="56">
        <v>112</v>
      </c>
      <c r="H35" s="56">
        <v>110</v>
      </c>
      <c r="I35" s="56">
        <v>88</v>
      </c>
      <c r="J35" s="57"/>
      <c r="K35" s="193"/>
      <c r="L35" s="193"/>
      <c r="M35" s="193"/>
      <c r="N35" s="247">
        <f>(2515000/65000)/365*1000</f>
        <v>106.00632244467862</v>
      </c>
      <c r="O35" s="247" t="s">
        <v>5</v>
      </c>
      <c r="P35" s="247" t="s">
        <v>5</v>
      </c>
      <c r="Q35" s="247" t="s">
        <v>5</v>
      </c>
      <c r="S35" s="2429"/>
      <c r="T35" s="2429"/>
      <c r="U35" s="2435"/>
      <c r="V35" s="2429"/>
      <c r="W35" s="2435"/>
      <c r="X35" s="2429"/>
      <c r="Y35" s="2429"/>
      <c r="Z35" s="2429"/>
      <c r="AA35" s="2432"/>
      <c r="AB35" s="2445"/>
      <c r="AC35" s="2445"/>
      <c r="AD35" s="2445"/>
    </row>
    <row r="36" spans="1:30" ht="16.5" customHeight="1" x14ac:dyDescent="0.25">
      <c r="A36" s="1757"/>
      <c r="B36" s="732" t="s">
        <v>216</v>
      </c>
      <c r="C36" s="759"/>
      <c r="D36" s="759" t="s">
        <v>1031</v>
      </c>
      <c r="E36" s="759" t="s">
        <v>1032</v>
      </c>
      <c r="F36" s="56">
        <v>89</v>
      </c>
      <c r="G36" s="56" t="s">
        <v>5</v>
      </c>
      <c r="H36" s="56" t="s">
        <v>5</v>
      </c>
      <c r="I36" s="56">
        <v>87</v>
      </c>
      <c r="J36" s="57"/>
      <c r="K36" s="193"/>
      <c r="L36" s="193"/>
      <c r="M36" s="193"/>
      <c r="N36" s="236">
        <f>(7959000/245000)/365*1000</f>
        <v>89.001956947162427</v>
      </c>
      <c r="O36" s="236" t="s">
        <v>5</v>
      </c>
      <c r="P36" s="236" t="s">
        <v>5</v>
      </c>
      <c r="Q36" s="236" t="s">
        <v>5</v>
      </c>
      <c r="S36" s="2429"/>
      <c r="T36" s="2429"/>
      <c r="U36" s="2435"/>
      <c r="V36" s="2429"/>
      <c r="W36" s="2435"/>
      <c r="X36" s="2429"/>
      <c r="Y36" s="2429"/>
      <c r="Z36" s="2429"/>
      <c r="AA36" s="2432"/>
      <c r="AB36" s="2445"/>
      <c r="AC36" s="2445"/>
      <c r="AD36" s="2445"/>
    </row>
    <row r="37" spans="1:30" ht="16.5" customHeight="1" thickBot="1" x14ac:dyDescent="0.3">
      <c r="A37" s="1758"/>
      <c r="B37" s="733" t="s">
        <v>629</v>
      </c>
      <c r="C37" s="759"/>
      <c r="D37" s="759" t="s">
        <v>1031</v>
      </c>
      <c r="E37" s="759" t="s">
        <v>1032</v>
      </c>
      <c r="F37" s="56" t="s">
        <v>5</v>
      </c>
      <c r="G37" s="56">
        <v>84</v>
      </c>
      <c r="H37" s="56">
        <v>72</v>
      </c>
      <c r="I37" s="56">
        <v>71</v>
      </c>
      <c r="J37" s="57"/>
      <c r="K37" s="193"/>
      <c r="L37" s="193"/>
      <c r="M37" s="193"/>
      <c r="N37" s="236" t="s">
        <v>5</v>
      </c>
      <c r="O37" s="236" t="s">
        <v>5</v>
      </c>
      <c r="P37" s="236" t="s">
        <v>5</v>
      </c>
      <c r="Q37" s="236" t="s">
        <v>5</v>
      </c>
      <c r="S37" s="2436"/>
      <c r="T37" s="2436"/>
      <c r="U37" s="2436"/>
      <c r="V37" s="2436"/>
      <c r="W37" s="2436"/>
      <c r="X37" s="2436"/>
      <c r="Y37" s="2436"/>
      <c r="Z37" s="2436"/>
      <c r="AA37" s="2449"/>
      <c r="AB37" s="2449"/>
      <c r="AC37" s="2449"/>
      <c r="AD37" s="2449"/>
    </row>
    <row r="38" spans="1:30" ht="15.75" customHeight="1" x14ac:dyDescent="0.25">
      <c r="A38" s="1878" t="s">
        <v>49</v>
      </c>
      <c r="B38" s="726" t="s">
        <v>460</v>
      </c>
      <c r="C38" s="631"/>
      <c r="D38" s="631" t="s">
        <v>1033</v>
      </c>
      <c r="E38" s="631" t="s">
        <v>1034</v>
      </c>
      <c r="F38" s="53">
        <v>178</v>
      </c>
      <c r="G38" s="53">
        <v>176</v>
      </c>
      <c r="H38" s="53">
        <v>179</v>
      </c>
      <c r="I38" s="56">
        <v>159.19999999999999</v>
      </c>
      <c r="J38" s="54"/>
      <c r="K38" s="54"/>
      <c r="L38" s="54"/>
      <c r="M38" s="54"/>
      <c r="N38" s="55" t="s">
        <v>5</v>
      </c>
      <c r="O38" s="58" t="s">
        <v>5</v>
      </c>
      <c r="P38" s="58" t="s">
        <v>5</v>
      </c>
      <c r="Q38" s="58">
        <f>(1621213200/27900000)/366*1000</f>
        <v>158.76502732240436</v>
      </c>
      <c r="S38" s="2450">
        <v>149</v>
      </c>
      <c r="T38" s="2450">
        <f>F39</f>
        <v>149</v>
      </c>
      <c r="U38" s="2434">
        <v>163</v>
      </c>
      <c r="V38" s="2434">
        <f>G39</f>
        <v>163</v>
      </c>
      <c r="W38" s="2434">
        <v>162</v>
      </c>
      <c r="X38" s="2434">
        <f>H39</f>
        <v>162</v>
      </c>
      <c r="Y38" s="2434">
        <f>I39</f>
        <v>154</v>
      </c>
      <c r="Z38" s="2434">
        <f>I39</f>
        <v>154</v>
      </c>
      <c r="AA38" s="2437" t="s">
        <v>5</v>
      </c>
      <c r="AB38" s="2437">
        <v>155</v>
      </c>
      <c r="AC38" s="2437" t="s">
        <v>5</v>
      </c>
      <c r="AD38" s="2444">
        <f>Q39</f>
        <v>153.57923497050413</v>
      </c>
    </row>
    <row r="39" spans="1:30" ht="15.75" customHeight="1" x14ac:dyDescent="0.25">
      <c r="A39" s="1757"/>
      <c r="B39" s="727" t="s">
        <v>459</v>
      </c>
      <c r="C39" s="631"/>
      <c r="D39" s="631" t="s">
        <v>1033</v>
      </c>
      <c r="E39" s="631" t="s">
        <v>1034</v>
      </c>
      <c r="F39" s="53">
        <v>149</v>
      </c>
      <c r="G39" s="53">
        <v>163</v>
      </c>
      <c r="H39" s="53">
        <v>162</v>
      </c>
      <c r="I39" s="56">
        <v>154</v>
      </c>
      <c r="J39" s="54"/>
      <c r="K39" s="54"/>
      <c r="L39" s="54"/>
      <c r="M39" s="54"/>
      <c r="N39" s="55" t="s">
        <v>5</v>
      </c>
      <c r="O39" s="58">
        <f>(9355778000/165176000)/366*1000</f>
        <v>154.75756146581585</v>
      </c>
      <c r="P39" s="58" t="s">
        <v>5</v>
      </c>
      <c r="Q39" s="58">
        <f>(9892596546/175993534)/366*1000</f>
        <v>153.57923497050413</v>
      </c>
      <c r="S39" s="2465"/>
      <c r="T39" s="2451"/>
      <c r="U39" s="2435"/>
      <c r="V39" s="2429"/>
      <c r="W39" s="2435"/>
      <c r="X39" s="2435"/>
      <c r="Y39" s="2435"/>
      <c r="Z39" s="2435"/>
      <c r="AA39" s="2438"/>
      <c r="AB39" s="2438"/>
      <c r="AC39" s="2438"/>
      <c r="AD39" s="2438"/>
    </row>
    <row r="40" spans="1:30" ht="16.5" customHeight="1" thickBot="1" x14ac:dyDescent="0.3">
      <c r="A40" s="1758"/>
      <c r="B40" s="728" t="s">
        <v>933</v>
      </c>
      <c r="C40" s="631" t="s">
        <v>429</v>
      </c>
      <c r="D40" s="631" t="s">
        <v>1033</v>
      </c>
      <c r="E40" s="631" t="s">
        <v>1034</v>
      </c>
      <c r="F40" s="53">
        <v>172</v>
      </c>
      <c r="G40" s="53">
        <v>187</v>
      </c>
      <c r="H40" s="53">
        <v>181</v>
      </c>
      <c r="I40" s="56">
        <v>153.69999999999999</v>
      </c>
      <c r="J40" s="54"/>
      <c r="K40" s="54"/>
      <c r="L40" s="54"/>
      <c r="M40" s="54"/>
      <c r="N40" s="55" t="s">
        <v>5</v>
      </c>
      <c r="O40" s="55" t="s">
        <v>5</v>
      </c>
      <c r="P40" s="55" t="s">
        <v>5</v>
      </c>
      <c r="Q40" s="58">
        <f>(145300295/2590000)/366*1000</f>
        <v>153.28005464480873</v>
      </c>
      <c r="S40" s="2452"/>
      <c r="T40" s="2452"/>
      <c r="U40" s="2436"/>
      <c r="V40" s="2436"/>
      <c r="W40" s="2436"/>
      <c r="X40" s="2436"/>
      <c r="Y40" s="2436"/>
      <c r="Z40" s="2436"/>
      <c r="AA40" s="2439"/>
      <c r="AB40" s="2439"/>
      <c r="AC40" s="2439"/>
      <c r="AD40" s="2439"/>
    </row>
    <row r="41" spans="1:30" ht="16.5" customHeight="1" thickBot="1" x14ac:dyDescent="0.3">
      <c r="A41" s="961" t="s">
        <v>487</v>
      </c>
      <c r="B41" s="263" t="s">
        <v>488</v>
      </c>
      <c r="C41" s="263"/>
      <c r="D41" s="263" t="s">
        <v>1033</v>
      </c>
      <c r="E41" s="263" t="s">
        <v>1034</v>
      </c>
      <c r="F41" s="53">
        <v>184</v>
      </c>
      <c r="G41" s="53"/>
      <c r="H41" s="53"/>
      <c r="I41" s="53"/>
      <c r="J41" s="54"/>
      <c r="K41" s="54"/>
      <c r="L41" s="54"/>
      <c r="M41" s="54"/>
      <c r="N41" s="58">
        <f>(1700000000/25380000)/365*1000</f>
        <v>183.51198765072272</v>
      </c>
      <c r="O41" s="58"/>
      <c r="P41" s="58"/>
      <c r="Q41" s="58"/>
      <c r="S41" s="933">
        <v>184</v>
      </c>
      <c r="T41" s="933"/>
      <c r="U41" s="939"/>
      <c r="V41" s="933"/>
      <c r="W41" s="939"/>
      <c r="X41" s="939"/>
      <c r="Y41" s="933"/>
      <c r="Z41" s="933"/>
      <c r="AA41" s="927">
        <f>N41</f>
        <v>183.51198765072272</v>
      </c>
      <c r="AB41" s="927"/>
      <c r="AC41" s="927"/>
      <c r="AD41" s="927"/>
    </row>
    <row r="42" spans="1:30" ht="15.75" customHeight="1" x14ac:dyDescent="0.25">
      <c r="A42" s="1818" t="s">
        <v>7</v>
      </c>
      <c r="B42" s="621" t="s">
        <v>73</v>
      </c>
      <c r="C42" s="759" t="s">
        <v>429</v>
      </c>
      <c r="D42" s="759" t="s">
        <v>1035</v>
      </c>
      <c r="E42" s="759" t="s">
        <v>1036</v>
      </c>
      <c r="F42" s="53">
        <v>140</v>
      </c>
      <c r="G42" s="53">
        <v>134</v>
      </c>
      <c r="H42" s="53" t="s">
        <v>5</v>
      </c>
      <c r="I42" s="56">
        <v>165.40799999999999</v>
      </c>
      <c r="J42" s="54"/>
      <c r="K42" s="54"/>
      <c r="L42" s="54"/>
      <c r="M42" s="54"/>
      <c r="N42" s="58">
        <f>(69850000/1291591)/365*1000</f>
        <v>148.16599296038657</v>
      </c>
      <c r="O42" s="58">
        <f>(59221157/1210819)/366*1000</f>
        <v>133.63387912702922</v>
      </c>
      <c r="P42" s="58" t="s">
        <v>5</v>
      </c>
      <c r="Q42" s="58">
        <f>(79913078/1323637)/366*1000</f>
        <v>164.95590797884839</v>
      </c>
      <c r="S42" s="2434">
        <f>SUM(F42:F46)/5</f>
        <v>97.6</v>
      </c>
      <c r="T42" s="2434">
        <f>MEDIAN(F42:F46)</f>
        <v>94</v>
      </c>
      <c r="U42" s="2434">
        <f>SUM(G42:G46)/5</f>
        <v>103</v>
      </c>
      <c r="V42" s="2434">
        <f>MEDIAN(G42:G46)</f>
        <v>103</v>
      </c>
      <c r="W42" s="2434" t="s">
        <v>5</v>
      </c>
      <c r="X42" s="2434" t="s">
        <v>5</v>
      </c>
      <c r="Y42" s="2434">
        <f>SUM(I42:I46)/5</f>
        <v>137.88299999999998</v>
      </c>
      <c r="Z42" s="2434">
        <f>MEDIAN(I42:I46)</f>
        <v>123.43899999999999</v>
      </c>
      <c r="AA42" s="2444">
        <f>SUM(N42:N46)/5</f>
        <v>272.54121427264681</v>
      </c>
      <c r="AB42" s="2444">
        <f>SUM(O42:O46)/5</f>
        <v>102.84152595976893</v>
      </c>
      <c r="AC42" s="2444" t="s">
        <v>5</v>
      </c>
      <c r="AD42" s="2444">
        <f>SUM(Q42:Q46)/5</f>
        <v>137.50593522931229</v>
      </c>
    </row>
    <row r="43" spans="1:30" ht="15.75" customHeight="1" x14ac:dyDescent="0.25">
      <c r="A43" s="1819"/>
      <c r="B43" s="682" t="s">
        <v>74</v>
      </c>
      <c r="C43" s="759"/>
      <c r="D43" s="759" t="s">
        <v>1035</v>
      </c>
      <c r="E43" s="759" t="s">
        <v>1036</v>
      </c>
      <c r="F43" s="53">
        <v>111</v>
      </c>
      <c r="G43" s="53">
        <v>116</v>
      </c>
      <c r="H43" s="53" t="s">
        <v>5</v>
      </c>
      <c r="I43" s="56">
        <v>190.684</v>
      </c>
      <c r="J43" s="54"/>
      <c r="K43" s="54"/>
      <c r="L43" s="54"/>
      <c r="M43" s="54"/>
      <c r="N43" s="58">
        <f>(25980000/200271)/365*1000</f>
        <v>355.40883199155553</v>
      </c>
      <c r="O43" s="58">
        <f>(8437642/199283)/366*1000</f>
        <v>115.68305709301177</v>
      </c>
      <c r="P43" s="58" t="s">
        <v>5</v>
      </c>
      <c r="Q43" s="58">
        <f>(28888234/415063)/366*1000</f>
        <v>190.16294175317043</v>
      </c>
      <c r="S43" s="2429"/>
      <c r="T43" s="2429"/>
      <c r="U43" s="2435"/>
      <c r="V43" s="2429"/>
      <c r="W43" s="2435"/>
      <c r="X43" s="2429"/>
      <c r="Y43" s="2429"/>
      <c r="Z43" s="2429"/>
      <c r="AA43" s="2432"/>
      <c r="AB43" s="2456"/>
      <c r="AC43" s="2456"/>
      <c r="AD43" s="2456"/>
    </row>
    <row r="44" spans="1:30" ht="15.75" customHeight="1" x14ac:dyDescent="0.25">
      <c r="A44" s="1819"/>
      <c r="B44" s="682" t="s">
        <v>75</v>
      </c>
      <c r="C44" s="759"/>
      <c r="D44" s="759" t="s">
        <v>1035</v>
      </c>
      <c r="E44" s="759" t="s">
        <v>1036</v>
      </c>
      <c r="F44" s="53">
        <v>94</v>
      </c>
      <c r="G44" s="53">
        <v>103</v>
      </c>
      <c r="H44" s="53" t="s">
        <v>5</v>
      </c>
      <c r="I44" s="56">
        <v>123.43899999999999</v>
      </c>
      <c r="J44" s="54"/>
      <c r="K44" s="54"/>
      <c r="L44" s="54"/>
      <c r="M44" s="54"/>
      <c r="N44" s="58">
        <f>(12190000/106954)/365*1000</f>
        <v>312.25816962406833</v>
      </c>
      <c r="O44" s="58">
        <f>(3949242/105047)/366*1000</f>
        <v>102.71858014531202</v>
      </c>
      <c r="P44" s="58" t="s">
        <v>5</v>
      </c>
      <c r="Q44" s="58">
        <f>(10611592/235525)/366*1000</f>
        <v>123.10124515455821</v>
      </c>
      <c r="S44" s="2429"/>
      <c r="T44" s="2429"/>
      <c r="U44" s="2435"/>
      <c r="V44" s="2429"/>
      <c r="W44" s="2435"/>
      <c r="X44" s="2429"/>
      <c r="Y44" s="2429"/>
      <c r="Z44" s="2429"/>
      <c r="AA44" s="2432"/>
      <c r="AB44" s="2456"/>
      <c r="AC44" s="2456"/>
      <c r="AD44" s="2456"/>
    </row>
    <row r="45" spans="1:30" ht="15.75" customHeight="1" x14ac:dyDescent="0.25">
      <c r="A45" s="1819"/>
      <c r="B45" s="682" t="s">
        <v>76</v>
      </c>
      <c r="C45" s="759"/>
      <c r="D45" s="759" t="s">
        <v>1035</v>
      </c>
      <c r="E45" s="759" t="s">
        <v>1036</v>
      </c>
      <c r="F45" s="56">
        <v>66</v>
      </c>
      <c r="G45" s="56">
        <v>77</v>
      </c>
      <c r="H45" s="56" t="s">
        <v>5</v>
      </c>
      <c r="I45" s="56">
        <v>106.72</v>
      </c>
      <c r="J45" s="54"/>
      <c r="K45" s="54"/>
      <c r="L45" s="54"/>
      <c r="M45" s="54"/>
      <c r="N45" s="58">
        <f>(3820000/33880)/365*1000</f>
        <v>308.90653555659787</v>
      </c>
      <c r="O45" s="58">
        <f>(933395/33211)/366*1000</f>
        <v>76.78960473462196</v>
      </c>
      <c r="P45" s="58" t="s">
        <v>5</v>
      </c>
      <c r="Q45" s="58">
        <f>(3598210/92374)/366*1000</f>
        <v>106.42794361387379</v>
      </c>
      <c r="S45" s="2429"/>
      <c r="T45" s="2429"/>
      <c r="U45" s="2435"/>
      <c r="V45" s="2429"/>
      <c r="W45" s="2435"/>
      <c r="X45" s="2429"/>
      <c r="Y45" s="2429"/>
      <c r="Z45" s="2429"/>
      <c r="AA45" s="2432"/>
      <c r="AB45" s="2456"/>
      <c r="AC45" s="2456"/>
      <c r="AD45" s="2456"/>
    </row>
    <row r="46" spans="1:30" ht="16.5" customHeight="1" thickBot="1" x14ac:dyDescent="0.3">
      <c r="A46" s="1820"/>
      <c r="B46" s="683" t="s">
        <v>77</v>
      </c>
      <c r="C46" s="759"/>
      <c r="D46" s="759" t="s">
        <v>1035</v>
      </c>
      <c r="E46" s="759" t="s">
        <v>1036</v>
      </c>
      <c r="F46" s="56">
        <v>77</v>
      </c>
      <c r="G46" s="56">
        <v>85</v>
      </c>
      <c r="H46" s="56" t="s">
        <v>5</v>
      </c>
      <c r="I46" s="56">
        <v>103.164</v>
      </c>
      <c r="J46" s="54"/>
      <c r="K46" s="54"/>
      <c r="L46" s="54"/>
      <c r="M46" s="54"/>
      <c r="N46" s="58">
        <f>(12010000/138272)/365*1000</f>
        <v>237.96654123062584</v>
      </c>
      <c r="O46" s="58">
        <f>(4301531/137649)/366*1000</f>
        <v>85.382508698869671</v>
      </c>
      <c r="P46" s="58" t="s">
        <v>5</v>
      </c>
      <c r="Q46" s="58">
        <f>(13633931/362078)/366*1000</f>
        <v>102.88163764611053</v>
      </c>
      <c r="S46" s="2436"/>
      <c r="T46" s="2436"/>
      <c r="U46" s="2436"/>
      <c r="V46" s="2436"/>
      <c r="W46" s="2436"/>
      <c r="X46" s="2436"/>
      <c r="Y46" s="2436"/>
      <c r="Z46" s="2436"/>
      <c r="AA46" s="2449"/>
      <c r="AB46" s="2449"/>
      <c r="AC46" s="2449"/>
      <c r="AD46" s="2449"/>
    </row>
    <row r="47" spans="1:30" ht="16.5" customHeight="1" thickBot="1" x14ac:dyDescent="0.3">
      <c r="A47" s="959" t="s">
        <v>501</v>
      </c>
      <c r="B47" s="264" t="s">
        <v>502</v>
      </c>
      <c r="C47" s="452"/>
      <c r="D47" s="452" t="s">
        <v>1037</v>
      </c>
      <c r="E47" s="452" t="s">
        <v>1038</v>
      </c>
      <c r="F47" s="56">
        <v>45</v>
      </c>
      <c r="G47" s="56"/>
      <c r="H47" s="56"/>
      <c r="I47" s="56"/>
      <c r="J47" s="54"/>
      <c r="K47" s="54"/>
      <c r="L47" s="54"/>
      <c r="M47" s="54"/>
      <c r="N47" s="58">
        <f>(41301218/2520000)/365*1000</f>
        <v>44.90238964992389</v>
      </c>
      <c r="O47" s="58"/>
      <c r="P47" s="58"/>
      <c r="Q47" s="58"/>
      <c r="S47" s="935">
        <v>45</v>
      </c>
      <c r="T47" s="935"/>
      <c r="U47" s="935"/>
      <c r="V47" s="935"/>
      <c r="W47" s="227"/>
      <c r="X47" s="227"/>
      <c r="Y47" s="227"/>
      <c r="Z47" s="227"/>
      <c r="AA47" s="237">
        <f>N47</f>
        <v>44.90238964992389</v>
      </c>
      <c r="AB47" s="237"/>
      <c r="AC47" s="237"/>
      <c r="AD47" s="237"/>
    </row>
    <row r="48" spans="1:30" ht="16.5" customHeight="1" x14ac:dyDescent="0.25">
      <c r="A48" s="2474" t="s">
        <v>343</v>
      </c>
      <c r="B48" s="740" t="s">
        <v>548</v>
      </c>
      <c r="C48" s="724"/>
      <c r="D48" s="724" t="s">
        <v>1039</v>
      </c>
      <c r="E48" s="724" t="s">
        <v>1040</v>
      </c>
      <c r="F48" s="56">
        <v>198</v>
      </c>
      <c r="G48" s="56">
        <v>199</v>
      </c>
      <c r="H48" s="56">
        <v>181</v>
      </c>
      <c r="I48" s="56">
        <v>168</v>
      </c>
      <c r="J48" s="54"/>
      <c r="K48" s="54"/>
      <c r="L48" s="54"/>
      <c r="M48" s="54"/>
      <c r="N48" s="58">
        <f>(138402310/1137761)/365*1000</f>
        <v>333.27246316133534</v>
      </c>
      <c r="O48" s="58">
        <f>(149296000/1120225)/366*1000</f>
        <v>364.13449825348562</v>
      </c>
      <c r="P48" s="58">
        <f>(128618000/1195196)/365*1000</f>
        <v>294.82869938636077</v>
      </c>
      <c r="Q48" s="58">
        <f>(116275000/1312428)/366*1000</f>
        <v>242.06376032102415</v>
      </c>
      <c r="S48" s="2470">
        <f>SUM(F48:F53)/5</f>
        <v>194.6</v>
      </c>
      <c r="T48" s="2470">
        <f>MEDIAN(F48:F55)</f>
        <v>198</v>
      </c>
      <c r="U48" s="2470">
        <f>(G48+G50+G53)/3</f>
        <v>192.33333333333334</v>
      </c>
      <c r="V48" s="2470">
        <f>MEDIAN(G48:G55)</f>
        <v>199</v>
      </c>
      <c r="W48" s="2470">
        <f>SUM(H48:H55)/4</f>
        <v>218.75</v>
      </c>
      <c r="X48" s="2470">
        <f>MEDIAN(H48:H55)</f>
        <v>180</v>
      </c>
      <c r="Y48" s="2470">
        <f>SUM(I48:I55)/5</f>
        <v>200.4</v>
      </c>
      <c r="Z48" s="2470">
        <f>MEDIAN(I48:I55)</f>
        <v>168</v>
      </c>
      <c r="AA48" s="2469">
        <f>SUM(N48:N53)/5</f>
        <v>310.64151097464878</v>
      </c>
      <c r="AB48" s="2469">
        <f>(O48+O50+O53)/3</f>
        <v>295.20757822901845</v>
      </c>
      <c r="AC48" s="2469">
        <f>SUM(P48:P55)/4</f>
        <v>316.84315033209089</v>
      </c>
      <c r="AD48" s="2469">
        <f>SUM(Q48:Q55)/5</f>
        <v>290.92561552334928</v>
      </c>
    </row>
    <row r="49" spans="1:30" ht="16.5" customHeight="1" x14ac:dyDescent="0.25">
      <c r="A49" s="1757"/>
      <c r="B49" s="724" t="s">
        <v>940</v>
      </c>
      <c r="C49" s="724" t="s">
        <v>429</v>
      </c>
      <c r="D49" s="724" t="s">
        <v>1039</v>
      </c>
      <c r="E49" s="724" t="s">
        <v>1040</v>
      </c>
      <c r="F49" s="56" t="s">
        <v>5</v>
      </c>
      <c r="G49" s="56" t="s">
        <v>5</v>
      </c>
      <c r="H49" s="56" t="s">
        <v>5</v>
      </c>
      <c r="I49" s="56" t="s">
        <v>5</v>
      </c>
      <c r="J49" s="54"/>
      <c r="K49" s="54"/>
      <c r="L49" s="54"/>
      <c r="M49" s="54"/>
      <c r="N49" s="58" t="s">
        <v>5</v>
      </c>
      <c r="O49" s="58" t="s">
        <v>5</v>
      </c>
      <c r="P49" s="58" t="s">
        <v>5</v>
      </c>
      <c r="Q49" s="58" t="s">
        <v>5</v>
      </c>
      <c r="S49" s="2429"/>
      <c r="T49" s="2429"/>
      <c r="U49" s="2429"/>
      <c r="V49" s="2429"/>
      <c r="W49" s="2429"/>
      <c r="X49" s="2429"/>
      <c r="Y49" s="2429"/>
      <c r="Z49" s="2429"/>
      <c r="AA49" s="2432"/>
      <c r="AB49" s="2432"/>
      <c r="AC49" s="2432"/>
      <c r="AD49" s="2432"/>
    </row>
    <row r="50" spans="1:30" ht="16.5" customHeight="1" x14ac:dyDescent="0.25">
      <c r="A50" s="1757"/>
      <c r="B50" s="742" t="s">
        <v>549</v>
      </c>
      <c r="C50" s="724"/>
      <c r="D50" s="724" t="s">
        <v>1039</v>
      </c>
      <c r="E50" s="724" t="s">
        <v>1040</v>
      </c>
      <c r="F50" s="56">
        <v>149</v>
      </c>
      <c r="G50" s="56">
        <v>172</v>
      </c>
      <c r="H50" s="56">
        <v>163</v>
      </c>
      <c r="I50" s="56">
        <v>150</v>
      </c>
      <c r="J50" s="54"/>
      <c r="K50" s="54"/>
      <c r="L50" s="54"/>
      <c r="M50" s="54"/>
      <c r="N50" s="58">
        <f>(63140000/683200)/365*1000</f>
        <v>253.20008982708288</v>
      </c>
      <c r="O50" s="58">
        <f>(64906000/704800)/366*1000</f>
        <v>251.61577442424471</v>
      </c>
      <c r="P50" s="58">
        <f>(61628000/709253)/365*1000</f>
        <v>238.05868373688708</v>
      </c>
      <c r="Q50" s="58">
        <f>(58577000/735600)/366*1000</f>
        <v>217.57265917269126</v>
      </c>
      <c r="S50" s="2435"/>
      <c r="T50" s="2429"/>
      <c r="U50" s="2435"/>
      <c r="V50" s="2429"/>
      <c r="W50" s="2435"/>
      <c r="X50" s="2435"/>
      <c r="Y50" s="2429"/>
      <c r="Z50" s="2429"/>
      <c r="AA50" s="2445"/>
      <c r="AB50" s="2445"/>
      <c r="AC50" s="2445"/>
      <c r="AD50" s="2445"/>
    </row>
    <row r="51" spans="1:30" ht="16.5" customHeight="1" x14ac:dyDescent="0.25">
      <c r="A51" s="1757"/>
      <c r="B51" s="454" t="s">
        <v>550</v>
      </c>
      <c r="C51" s="452"/>
      <c r="D51" s="452" t="s">
        <v>1039</v>
      </c>
      <c r="E51" s="452" t="s">
        <v>1040</v>
      </c>
      <c r="F51" s="56">
        <v>185</v>
      </c>
      <c r="G51" s="56" t="s">
        <v>5</v>
      </c>
      <c r="H51" s="56" t="s">
        <v>5</v>
      </c>
      <c r="I51" s="56" t="s">
        <v>5</v>
      </c>
      <c r="J51" s="54"/>
      <c r="K51" s="54"/>
      <c r="L51" s="54"/>
      <c r="M51" s="54"/>
      <c r="N51" s="58">
        <f>(20909060/210564)/365*1000</f>
        <v>272.05550754360172</v>
      </c>
      <c r="O51" s="58" t="s">
        <v>5</v>
      </c>
      <c r="P51" s="58" t="s">
        <v>5</v>
      </c>
      <c r="Q51" s="58" t="s">
        <v>5</v>
      </c>
      <c r="S51" s="2435"/>
      <c r="T51" s="2429"/>
      <c r="U51" s="2435"/>
      <c r="V51" s="2429"/>
      <c r="W51" s="2435"/>
      <c r="X51" s="2435"/>
      <c r="Y51" s="2429"/>
      <c r="Z51" s="2429"/>
      <c r="AA51" s="2445"/>
      <c r="AB51" s="2445"/>
      <c r="AC51" s="2445"/>
      <c r="AD51" s="2445"/>
    </row>
    <row r="52" spans="1:30" ht="16.5" customHeight="1" x14ac:dyDescent="0.25">
      <c r="A52" s="1757"/>
      <c r="B52" s="454" t="s">
        <v>551</v>
      </c>
      <c r="C52" s="452"/>
      <c r="D52" s="452" t="s">
        <v>1039</v>
      </c>
      <c r="E52" s="452" t="s">
        <v>1040</v>
      </c>
      <c r="F52" s="56">
        <v>240</v>
      </c>
      <c r="G52" s="56" t="s">
        <v>5</v>
      </c>
      <c r="H52" s="56" t="s">
        <v>5</v>
      </c>
      <c r="I52" s="56" t="s">
        <v>5</v>
      </c>
      <c r="J52" s="54"/>
      <c r="K52" s="54"/>
      <c r="L52" s="54"/>
      <c r="M52" s="54"/>
      <c r="N52" s="58">
        <f>(36541390/193255)/365*1000</f>
        <v>518.03781149400515</v>
      </c>
      <c r="O52" s="58" t="s">
        <v>5</v>
      </c>
      <c r="P52" s="58" t="s">
        <v>5</v>
      </c>
      <c r="Q52" s="58" t="s">
        <v>5</v>
      </c>
      <c r="S52" s="2435"/>
      <c r="T52" s="2429"/>
      <c r="U52" s="2435"/>
      <c r="V52" s="2429"/>
      <c r="W52" s="2435"/>
      <c r="X52" s="2435"/>
      <c r="Y52" s="2429"/>
      <c r="Z52" s="2429"/>
      <c r="AA52" s="2445"/>
      <c r="AB52" s="2445"/>
      <c r="AC52" s="2445"/>
      <c r="AD52" s="2445"/>
    </row>
    <row r="53" spans="1:30" ht="16.5" customHeight="1" x14ac:dyDescent="0.25">
      <c r="A53" s="1757"/>
      <c r="B53" s="733" t="s">
        <v>552</v>
      </c>
      <c r="C53" s="724"/>
      <c r="D53" s="724" t="s">
        <v>1039</v>
      </c>
      <c r="E53" s="724" t="s">
        <v>1040</v>
      </c>
      <c r="F53" s="56">
        <v>201</v>
      </c>
      <c r="G53" s="56">
        <v>206</v>
      </c>
      <c r="H53" s="56">
        <v>179</v>
      </c>
      <c r="I53" s="56">
        <v>179</v>
      </c>
      <c r="J53" s="54"/>
      <c r="K53" s="54"/>
      <c r="L53" s="54"/>
      <c r="M53" s="54"/>
      <c r="N53" s="58">
        <f>(37453200/580902)/365*1000</f>
        <v>176.64168284721873</v>
      </c>
      <c r="O53" s="58">
        <f>(55313850/560008)/366*1000</f>
        <v>269.87246200932492</v>
      </c>
      <c r="P53" s="58">
        <f>(53950000/603828)/365*1000</f>
        <v>244.78530173837945</v>
      </c>
      <c r="Q53" s="58">
        <f>(39947120/612382)/366*1000</f>
        <v>178.23047805458333</v>
      </c>
      <c r="S53" s="2435"/>
      <c r="T53" s="2429"/>
      <c r="U53" s="2435"/>
      <c r="V53" s="2429"/>
      <c r="W53" s="2435"/>
      <c r="X53" s="2435"/>
      <c r="Y53" s="2429"/>
      <c r="Z53" s="2429"/>
      <c r="AA53" s="2445"/>
      <c r="AB53" s="2445"/>
      <c r="AC53" s="2445"/>
      <c r="AD53" s="2445"/>
    </row>
    <row r="54" spans="1:30" ht="16.5" customHeight="1" x14ac:dyDescent="0.25">
      <c r="A54" s="1757"/>
      <c r="B54" s="733" t="s">
        <v>722</v>
      </c>
      <c r="C54" s="724"/>
      <c r="D54" s="724" t="s">
        <v>1039</v>
      </c>
      <c r="E54" s="724" t="s">
        <v>1040</v>
      </c>
      <c r="F54" s="56" t="s">
        <v>5</v>
      </c>
      <c r="G54" s="56" t="s">
        <v>5</v>
      </c>
      <c r="H54" s="56" t="s">
        <v>5</v>
      </c>
      <c r="I54" s="56">
        <v>156</v>
      </c>
      <c r="J54" s="54"/>
      <c r="K54" s="54"/>
      <c r="L54" s="54"/>
      <c r="M54" s="54"/>
      <c r="N54" s="58" t="s">
        <v>5</v>
      </c>
      <c r="O54" s="58" t="s">
        <v>5</v>
      </c>
      <c r="P54" s="58" t="s">
        <v>5</v>
      </c>
      <c r="Q54" s="58">
        <f>(32294400/258609)/366*1000</f>
        <v>341.19487556028787</v>
      </c>
      <c r="S54" s="2435"/>
      <c r="T54" s="2429"/>
      <c r="U54" s="2435"/>
      <c r="V54" s="2429"/>
      <c r="W54" s="2435"/>
      <c r="X54" s="2435"/>
      <c r="Y54" s="2429"/>
      <c r="Z54" s="2429"/>
      <c r="AA54" s="2445"/>
      <c r="AB54" s="2445"/>
      <c r="AC54" s="2445"/>
      <c r="AD54" s="2445"/>
    </row>
    <row r="55" spans="1:30" ht="16.5" customHeight="1" thickBot="1" x14ac:dyDescent="0.3">
      <c r="A55" s="2475"/>
      <c r="B55" s="741" t="s">
        <v>723</v>
      </c>
      <c r="C55" s="724"/>
      <c r="D55" s="724" t="s">
        <v>1039</v>
      </c>
      <c r="E55" s="724" t="s">
        <v>1040</v>
      </c>
      <c r="F55" s="56" t="s">
        <v>5</v>
      </c>
      <c r="G55" s="56" t="s">
        <v>5</v>
      </c>
      <c r="H55" s="56">
        <v>352</v>
      </c>
      <c r="I55" s="56">
        <v>349</v>
      </c>
      <c r="J55" s="54"/>
      <c r="K55" s="54"/>
      <c r="L55" s="54"/>
      <c r="M55" s="54"/>
      <c r="N55" s="58" t="s">
        <v>5</v>
      </c>
      <c r="O55" s="58" t="s">
        <v>5</v>
      </c>
      <c r="P55" s="58">
        <f>(112762000/630870)/365*1000</f>
        <v>489.69991646673617</v>
      </c>
      <c r="Q55" s="58">
        <f>(112080000/643926)/366*1000</f>
        <v>475.56630450815976</v>
      </c>
      <c r="S55" s="2471"/>
      <c r="T55" s="2471"/>
      <c r="U55" s="2471"/>
      <c r="V55" s="2471"/>
      <c r="W55" s="2471"/>
      <c r="X55" s="2471"/>
      <c r="Y55" s="2471"/>
      <c r="Z55" s="2471"/>
      <c r="AA55" s="2472"/>
      <c r="AB55" s="2472"/>
      <c r="AC55" s="2472"/>
      <c r="AD55" s="2472"/>
    </row>
    <row r="56" spans="1:30" ht="16.5" customHeight="1" x14ac:dyDescent="0.25">
      <c r="A56" s="2473" t="s">
        <v>489</v>
      </c>
      <c r="B56" s="499" t="s">
        <v>728</v>
      </c>
      <c r="C56" s="452"/>
      <c r="D56" s="452" t="s">
        <v>1041</v>
      </c>
      <c r="E56" s="452" t="s">
        <v>1042</v>
      </c>
      <c r="F56" s="56" t="s">
        <v>5</v>
      </c>
      <c r="G56" s="56" t="s">
        <v>5</v>
      </c>
      <c r="H56" s="56">
        <v>151.80000000000001</v>
      </c>
      <c r="I56" s="56"/>
      <c r="J56" s="54"/>
      <c r="K56" s="54"/>
      <c r="L56" s="54"/>
      <c r="M56" s="54"/>
      <c r="N56" s="58" t="s">
        <v>5</v>
      </c>
      <c r="O56" s="58" t="s">
        <v>5</v>
      </c>
      <c r="P56" s="58">
        <f>(23896831/381358)/365*1000</f>
        <v>171.67797676465079</v>
      </c>
      <c r="Q56" s="58"/>
      <c r="S56" s="2470">
        <v>182</v>
      </c>
      <c r="T56" s="2470">
        <f>F62</f>
        <v>182</v>
      </c>
      <c r="U56" s="2470" t="s">
        <v>5</v>
      </c>
      <c r="V56" s="2470" t="s">
        <v>5</v>
      </c>
      <c r="W56" s="2470">
        <f>SUM(H56:H61)/6</f>
        <v>154.38333333333333</v>
      </c>
      <c r="X56" s="2470">
        <f>MEDIAN(H56:H61)</f>
        <v>151.65</v>
      </c>
      <c r="Y56" s="946"/>
      <c r="Z56" s="946"/>
      <c r="AA56" s="2469" t="s">
        <v>5</v>
      </c>
      <c r="AB56" s="2469" t="s">
        <v>5</v>
      </c>
      <c r="AC56" s="2469">
        <f>SUM(P56:P61)/6</f>
        <v>170.76136901988318</v>
      </c>
      <c r="AD56" s="2469"/>
    </row>
    <row r="57" spans="1:30" ht="16.5" customHeight="1" x14ac:dyDescent="0.25">
      <c r="A57" s="2005"/>
      <c r="B57" s="498" t="s">
        <v>492</v>
      </c>
      <c r="C57" s="452"/>
      <c r="D57" s="452" t="s">
        <v>1041</v>
      </c>
      <c r="E57" s="452" t="s">
        <v>1042</v>
      </c>
      <c r="F57" s="56" t="s">
        <v>5</v>
      </c>
      <c r="G57" s="56" t="s">
        <v>5</v>
      </c>
      <c r="H57" s="56">
        <v>130.5</v>
      </c>
      <c r="I57" s="56"/>
      <c r="J57" s="54"/>
      <c r="K57" s="54"/>
      <c r="L57" s="54"/>
      <c r="M57" s="54"/>
      <c r="N57" s="58" t="s">
        <v>5</v>
      </c>
      <c r="O57" s="58" t="s">
        <v>5</v>
      </c>
      <c r="P57" s="58">
        <f>(14823354/275548)/365*1000</f>
        <v>147.38604078825935</v>
      </c>
      <c r="Q57" s="58"/>
      <c r="S57" s="2435"/>
      <c r="T57" s="2429"/>
      <c r="U57" s="2435"/>
      <c r="V57" s="2429"/>
      <c r="W57" s="2435"/>
      <c r="X57" s="2435"/>
      <c r="Y57" s="936"/>
      <c r="Z57" s="936"/>
      <c r="AA57" s="2445"/>
      <c r="AB57" s="2445"/>
      <c r="AC57" s="2445"/>
      <c r="AD57" s="2445"/>
    </row>
    <row r="58" spans="1:30" ht="16.5" customHeight="1" x14ac:dyDescent="0.25">
      <c r="A58" s="2005"/>
      <c r="B58" s="498" t="s">
        <v>729</v>
      </c>
      <c r="C58" s="452"/>
      <c r="D58" s="452" t="s">
        <v>1041</v>
      </c>
      <c r="E58" s="452" t="s">
        <v>1042</v>
      </c>
      <c r="F58" s="56" t="s">
        <v>5</v>
      </c>
      <c r="G58" s="56" t="s">
        <v>5</v>
      </c>
      <c r="H58" s="56">
        <v>162.19999999999999</v>
      </c>
      <c r="I58" s="56"/>
      <c r="J58" s="54"/>
      <c r="K58" s="54"/>
      <c r="L58" s="54"/>
      <c r="M58" s="54"/>
      <c r="N58" s="58" t="s">
        <v>5</v>
      </c>
      <c r="O58" s="58" t="s">
        <v>5</v>
      </c>
      <c r="P58" s="58">
        <f>(20054941/313984)/365*1000</f>
        <v>174.99313288453055</v>
      </c>
      <c r="Q58" s="58"/>
      <c r="S58" s="2435"/>
      <c r="T58" s="2429"/>
      <c r="U58" s="2435"/>
      <c r="V58" s="2429"/>
      <c r="W58" s="2435"/>
      <c r="X58" s="2435"/>
      <c r="Y58" s="936"/>
      <c r="Z58" s="936"/>
      <c r="AA58" s="2445"/>
      <c r="AB58" s="2445"/>
      <c r="AC58" s="2445"/>
      <c r="AD58" s="2445"/>
    </row>
    <row r="59" spans="1:30" ht="16.5" customHeight="1" x14ac:dyDescent="0.25">
      <c r="A59" s="2005"/>
      <c r="B59" s="498" t="s">
        <v>493</v>
      </c>
      <c r="C59" s="452"/>
      <c r="D59" s="452" t="s">
        <v>1041</v>
      </c>
      <c r="E59" s="452" t="s">
        <v>1042</v>
      </c>
      <c r="F59" s="56" t="s">
        <v>5</v>
      </c>
      <c r="G59" s="56" t="s">
        <v>5</v>
      </c>
      <c r="H59" s="56">
        <v>151.5</v>
      </c>
      <c r="I59" s="56"/>
      <c r="J59" s="54"/>
      <c r="K59" s="54"/>
      <c r="L59" s="54"/>
      <c r="M59" s="54"/>
      <c r="N59" s="58" t="s">
        <v>5</v>
      </c>
      <c r="O59" s="58" t="s">
        <v>5</v>
      </c>
      <c r="P59" s="58">
        <f>(17860295/282974)/365*1000</f>
        <v>172.92159374533756</v>
      </c>
      <c r="Q59" s="58"/>
      <c r="S59" s="2435"/>
      <c r="T59" s="2429"/>
      <c r="U59" s="2435"/>
      <c r="V59" s="2429"/>
      <c r="W59" s="2435"/>
      <c r="X59" s="2435"/>
      <c r="Y59" s="936"/>
      <c r="Z59" s="936"/>
      <c r="AA59" s="2445"/>
      <c r="AB59" s="2445"/>
      <c r="AC59" s="2445"/>
      <c r="AD59" s="2445"/>
    </row>
    <row r="60" spans="1:30" ht="16.5" customHeight="1" x14ac:dyDescent="0.25">
      <c r="A60" s="2005"/>
      <c r="B60" s="498" t="s">
        <v>730</v>
      </c>
      <c r="C60" s="452"/>
      <c r="D60" s="452" t="s">
        <v>1041</v>
      </c>
      <c r="E60" s="452" t="s">
        <v>1042</v>
      </c>
      <c r="F60" s="56" t="s">
        <v>5</v>
      </c>
      <c r="G60" s="56" t="s">
        <v>5</v>
      </c>
      <c r="H60" s="56">
        <v>150.30000000000001</v>
      </c>
      <c r="I60" s="56"/>
      <c r="J60" s="54"/>
      <c r="K60" s="54"/>
      <c r="L60" s="54"/>
      <c r="M60" s="54"/>
      <c r="N60" s="58" t="s">
        <v>5</v>
      </c>
      <c r="O60" s="58" t="s">
        <v>5</v>
      </c>
      <c r="P60" s="58">
        <f>(15436565/258843)/365*1000</f>
        <v>163.38845904316358</v>
      </c>
      <c r="Q60" s="58"/>
      <c r="S60" s="2435"/>
      <c r="T60" s="2429"/>
      <c r="U60" s="2435"/>
      <c r="V60" s="2429"/>
      <c r="W60" s="2435"/>
      <c r="X60" s="2435"/>
      <c r="Y60" s="936"/>
      <c r="Z60" s="936"/>
      <c r="AA60" s="2445"/>
      <c r="AB60" s="2445"/>
      <c r="AC60" s="2445"/>
      <c r="AD60" s="2445"/>
    </row>
    <row r="61" spans="1:30" ht="16.5" customHeight="1" x14ac:dyDescent="0.25">
      <c r="A61" s="2005"/>
      <c r="B61" s="498" t="s">
        <v>731</v>
      </c>
      <c r="C61" s="452" t="s">
        <v>429</v>
      </c>
      <c r="D61" s="452" t="s">
        <v>1041</v>
      </c>
      <c r="E61" s="452" t="s">
        <v>1042</v>
      </c>
      <c r="F61" s="56" t="s">
        <v>5</v>
      </c>
      <c r="G61" s="56" t="s">
        <v>5</v>
      </c>
      <c r="H61" s="56">
        <v>180</v>
      </c>
      <c r="I61" s="56"/>
      <c r="J61" s="54"/>
      <c r="K61" s="54"/>
      <c r="L61" s="54"/>
      <c r="M61" s="54"/>
      <c r="N61" s="58" t="s">
        <v>5</v>
      </c>
      <c r="O61" s="58" t="s">
        <v>5</v>
      </c>
      <c r="P61" s="58">
        <f>(407819808/5753392)/365*1000</f>
        <v>194.20101089335705</v>
      </c>
      <c r="Q61" s="58"/>
      <c r="S61" s="2435"/>
      <c r="T61" s="2429"/>
      <c r="U61" s="2435"/>
      <c r="V61" s="2429"/>
      <c r="W61" s="2435"/>
      <c r="X61" s="2435"/>
      <c r="Y61" s="936"/>
      <c r="Z61" s="936"/>
      <c r="AA61" s="2445"/>
      <c r="AB61" s="2445"/>
      <c r="AC61" s="2445"/>
      <c r="AD61" s="2445"/>
    </row>
    <row r="62" spans="1:30" ht="16.5" customHeight="1" thickBot="1" x14ac:dyDescent="0.3">
      <c r="A62" s="2006"/>
      <c r="B62" s="500" t="s">
        <v>490</v>
      </c>
      <c r="C62" s="452"/>
      <c r="D62" s="452" t="s">
        <v>1041</v>
      </c>
      <c r="E62" s="452" t="s">
        <v>1042</v>
      </c>
      <c r="F62" s="56">
        <v>182</v>
      </c>
      <c r="G62" s="56" t="s">
        <v>5</v>
      </c>
      <c r="H62" s="56" t="s">
        <v>5</v>
      </c>
      <c r="I62" s="56"/>
      <c r="J62" s="54"/>
      <c r="K62" s="54"/>
      <c r="L62" s="54"/>
      <c r="M62" s="54"/>
      <c r="N62" s="55" t="s">
        <v>5</v>
      </c>
      <c r="O62" s="55" t="s">
        <v>5</v>
      </c>
      <c r="P62" s="55" t="s">
        <v>5</v>
      </c>
      <c r="Q62" s="55"/>
      <c r="S62" s="2436"/>
      <c r="T62" s="2436"/>
      <c r="U62" s="2436"/>
      <c r="V62" s="2436"/>
      <c r="W62" s="2436"/>
      <c r="X62" s="2436"/>
      <c r="Y62" s="937"/>
      <c r="Z62" s="937"/>
      <c r="AA62" s="2449"/>
      <c r="AB62" s="2449"/>
      <c r="AC62" s="2449"/>
      <c r="AD62" s="2449"/>
    </row>
    <row r="63" spans="1:30" ht="15.75" customHeight="1" x14ac:dyDescent="0.25">
      <c r="A63" s="1818" t="s">
        <v>8</v>
      </c>
      <c r="B63" s="765" t="s">
        <v>78</v>
      </c>
      <c r="C63" s="759" t="s">
        <v>429</v>
      </c>
      <c r="D63" s="759" t="s">
        <v>1043</v>
      </c>
      <c r="E63" s="759" t="s">
        <v>1044</v>
      </c>
      <c r="F63" s="53">
        <v>150</v>
      </c>
      <c r="G63" s="53">
        <v>150</v>
      </c>
      <c r="H63" s="53">
        <v>100</v>
      </c>
      <c r="I63" s="53">
        <v>100</v>
      </c>
      <c r="J63" s="54"/>
      <c r="K63" s="54"/>
      <c r="L63" s="54"/>
      <c r="M63" s="54"/>
      <c r="N63" s="58">
        <f>(1028920000/15720000)/365*1000</f>
        <v>179.32308550315454</v>
      </c>
      <c r="O63" s="58">
        <f>(1110964000/16000000)/366*1000</f>
        <v>189.71379781420762</v>
      </c>
      <c r="P63" s="58">
        <f>(1189370000/16000000)/365*1000</f>
        <v>203.65924657534245</v>
      </c>
      <c r="Q63" s="58">
        <f>(1292710000/16000000)/366*1000</f>
        <v>220.74965846994536</v>
      </c>
      <c r="S63" s="2434">
        <f>SUM(F63:F67)/5</f>
        <v>194.4</v>
      </c>
      <c r="T63" s="2434">
        <f>MEDIAN(F63:F67)</f>
        <v>199</v>
      </c>
      <c r="U63" s="2434">
        <f>SUM(G63:G67)/5</f>
        <v>204.2</v>
      </c>
      <c r="V63" s="2434">
        <f>MEDIAN(G63:G67)</f>
        <v>200</v>
      </c>
      <c r="W63" s="2434">
        <f>SUM(H63:H67)/5</f>
        <v>205.2</v>
      </c>
      <c r="X63" s="2434">
        <f>MEDIAN(H63:H67)</f>
        <v>200</v>
      </c>
      <c r="Y63" s="2434">
        <f>SUM(I63:I67)/5</f>
        <v>193.8</v>
      </c>
      <c r="Z63" s="2434">
        <f>MEDIAN(I63:I67)</f>
        <v>223</v>
      </c>
      <c r="AA63" s="2444">
        <f>SUM(N63:N67)/5</f>
        <v>365.6939958115766</v>
      </c>
      <c r="AB63" s="2444">
        <f>SUM(O63:O67)/5</f>
        <v>348.05531538891074</v>
      </c>
      <c r="AC63" s="2444">
        <f>SUM(P63:P67)/5</f>
        <v>339.50911671648419</v>
      </c>
      <c r="AD63" s="2444">
        <f>SUM(Q63:Q67)/5</f>
        <v>321.50662519875038</v>
      </c>
    </row>
    <row r="64" spans="1:30" ht="15.75" customHeight="1" x14ac:dyDescent="0.25">
      <c r="A64" s="1819"/>
      <c r="B64" s="766" t="s">
        <v>79</v>
      </c>
      <c r="C64" s="759"/>
      <c r="D64" s="759" t="s">
        <v>1043</v>
      </c>
      <c r="E64" s="759" t="s">
        <v>1044</v>
      </c>
      <c r="F64" s="53">
        <v>199</v>
      </c>
      <c r="G64" s="53">
        <v>200</v>
      </c>
      <c r="H64" s="53">
        <v>200</v>
      </c>
      <c r="I64" s="53">
        <v>223</v>
      </c>
      <c r="J64" s="54"/>
      <c r="K64" s="54"/>
      <c r="L64" s="54"/>
      <c r="M64" s="54"/>
      <c r="N64" s="58">
        <f>(2250792400/13473400)/365*1000</f>
        <v>457.68362258583176</v>
      </c>
      <c r="O64" s="58">
        <f>(2188110200/15894500)/366*1000</f>
        <v>376.13282389498931</v>
      </c>
      <c r="P64" s="58">
        <f>(2241827100/16460000)/365*1000</f>
        <v>373.14654038848852</v>
      </c>
      <c r="Q64" s="58">
        <f>(2168853900/15825600)/366*1000</f>
        <v>374.44585531473388</v>
      </c>
      <c r="S64" s="2435"/>
      <c r="T64" s="2429"/>
      <c r="U64" s="2435"/>
      <c r="V64" s="2429"/>
      <c r="W64" s="2435"/>
      <c r="X64" s="2435"/>
      <c r="Y64" s="2435"/>
      <c r="Z64" s="2435"/>
      <c r="AA64" s="2445"/>
      <c r="AB64" s="2445"/>
      <c r="AC64" s="2445"/>
      <c r="AD64" s="2445"/>
    </row>
    <row r="65" spans="1:30" ht="15.75" customHeight="1" x14ac:dyDescent="0.25">
      <c r="A65" s="1819"/>
      <c r="B65" s="766" t="s">
        <v>80</v>
      </c>
      <c r="C65" s="759"/>
      <c r="D65" s="759" t="s">
        <v>1043</v>
      </c>
      <c r="E65" s="759" t="s">
        <v>1044</v>
      </c>
      <c r="F65" s="53">
        <v>90</v>
      </c>
      <c r="G65" s="53">
        <v>100</v>
      </c>
      <c r="H65" s="53">
        <v>129</v>
      </c>
      <c r="I65" s="53">
        <v>108</v>
      </c>
      <c r="J65" s="54"/>
      <c r="K65" s="54"/>
      <c r="L65" s="54"/>
      <c r="M65" s="54"/>
      <c r="N65" s="58">
        <f>(616024800/6462600)/365*1000</f>
        <v>261.1548259341738</v>
      </c>
      <c r="O65" s="58">
        <f>(710219300/6494100)/366*1000</f>
        <v>298.80813210612439</v>
      </c>
      <c r="P65" s="58">
        <f>(766772900/7876000)/365*1000</f>
        <v>266.7277388563835</v>
      </c>
      <c r="Q65" s="58">
        <f>(801744700/9400700)/366*1000</f>
        <v>233.02086968177758</v>
      </c>
      <c r="S65" s="2435"/>
      <c r="T65" s="2429"/>
      <c r="U65" s="2435"/>
      <c r="V65" s="2429"/>
      <c r="W65" s="2435"/>
      <c r="X65" s="2435"/>
      <c r="Y65" s="2435"/>
      <c r="Z65" s="2435"/>
      <c r="AA65" s="2445"/>
      <c r="AB65" s="2445"/>
      <c r="AC65" s="2445"/>
      <c r="AD65" s="2445"/>
    </row>
    <row r="66" spans="1:30" ht="16.5" customHeight="1" x14ac:dyDescent="0.25">
      <c r="A66" s="1819"/>
      <c r="B66" s="766" t="s">
        <v>81</v>
      </c>
      <c r="C66" s="759"/>
      <c r="D66" s="759" t="s">
        <v>1043</v>
      </c>
      <c r="E66" s="759" t="s">
        <v>1044</v>
      </c>
      <c r="F66" s="53">
        <v>314</v>
      </c>
      <c r="G66" s="53">
        <v>319</v>
      </c>
      <c r="H66" s="53">
        <v>313</v>
      </c>
      <c r="I66" s="53">
        <v>292</v>
      </c>
      <c r="J66" s="54"/>
      <c r="K66" s="54"/>
      <c r="L66" s="54"/>
      <c r="M66" s="54"/>
      <c r="N66" s="58">
        <f>(521700000/3360000)/365*1000</f>
        <v>425.39138943248531</v>
      </c>
      <c r="O66" s="58">
        <f>(552830000/3570000)/366*1000</f>
        <v>423.09929436255374</v>
      </c>
      <c r="P66" s="58">
        <f>(558220000/3614000)/365*1000</f>
        <v>423.17926480733217</v>
      </c>
      <c r="Q66" s="58">
        <f>(575842600/3928600)/366*1000</f>
        <v>400.48374412219874</v>
      </c>
      <c r="S66" s="2435"/>
      <c r="T66" s="2429"/>
      <c r="U66" s="2435"/>
      <c r="V66" s="2429"/>
      <c r="W66" s="2435"/>
      <c r="X66" s="2435"/>
      <c r="Y66" s="2435"/>
      <c r="Z66" s="2435"/>
      <c r="AA66" s="2445"/>
      <c r="AB66" s="2445"/>
      <c r="AC66" s="2445"/>
      <c r="AD66" s="2445"/>
    </row>
    <row r="67" spans="1:30" ht="16.5" customHeight="1" thickBot="1" x14ac:dyDescent="0.3">
      <c r="A67" s="1820"/>
      <c r="B67" s="767" t="s">
        <v>468</v>
      </c>
      <c r="C67" s="759"/>
      <c r="D67" s="759" t="s">
        <v>1043</v>
      </c>
      <c r="E67" s="759" t="s">
        <v>1044</v>
      </c>
      <c r="F67" s="53">
        <v>219</v>
      </c>
      <c r="G67" s="53">
        <v>252</v>
      </c>
      <c r="H67" s="53">
        <v>284</v>
      </c>
      <c r="I67" s="53">
        <v>246</v>
      </c>
      <c r="J67" s="54"/>
      <c r="K67" s="54"/>
      <c r="L67" s="54"/>
      <c r="M67" s="54"/>
      <c r="N67" s="58">
        <f>(1411200000/7657300)/365*1000</f>
        <v>504.91705560223755</v>
      </c>
      <c r="O67" s="58">
        <f>(1445510000/8727700)/366*1000</f>
        <v>452.52252876667848</v>
      </c>
      <c r="P67" s="58">
        <f>(1487591100/9459800)/365*1000</f>
        <v>430.83279295487432</v>
      </c>
      <c r="Q67" s="58">
        <f>(1505590000/10858700)/366*1000</f>
        <v>378.83299840509648</v>
      </c>
      <c r="S67" s="2436"/>
      <c r="T67" s="2436"/>
      <c r="U67" s="2436"/>
      <c r="V67" s="2436"/>
      <c r="W67" s="2436"/>
      <c r="X67" s="2436"/>
      <c r="Y67" s="2436"/>
      <c r="Z67" s="2436"/>
      <c r="AA67" s="2449"/>
      <c r="AB67" s="2449"/>
      <c r="AC67" s="2449"/>
      <c r="AD67" s="2449"/>
    </row>
    <row r="68" spans="1:30" ht="16.5" thickBot="1" x14ac:dyDescent="0.3">
      <c r="A68" s="694" t="s">
        <v>585</v>
      </c>
      <c r="B68" s="682" t="s">
        <v>84</v>
      </c>
      <c r="C68" s="759" t="s">
        <v>429</v>
      </c>
      <c r="D68" s="759" t="s">
        <v>1045</v>
      </c>
      <c r="E68" s="759" t="s">
        <v>1046</v>
      </c>
      <c r="F68" s="53">
        <v>221</v>
      </c>
      <c r="G68" s="56">
        <v>208.69</v>
      </c>
      <c r="H68" s="56">
        <v>211</v>
      </c>
      <c r="I68" s="56">
        <v>217</v>
      </c>
      <c r="J68" s="54"/>
      <c r="K68" s="54"/>
      <c r="L68" s="54"/>
      <c r="M68" s="54"/>
      <c r="N68" s="58">
        <f>(894000000/7091600)/365*1000</f>
        <v>345.38257494685973</v>
      </c>
      <c r="O68" s="58">
        <f>(894000000/7167900)/366*1000</f>
        <v>340.77246485297951</v>
      </c>
      <c r="P68" s="58">
        <f>(915000000/7258100)/365*1000</f>
        <v>345.3864392979558</v>
      </c>
      <c r="Q68" s="58">
        <f>(944000000/7335600)/366*1000</f>
        <v>351.6051819452527</v>
      </c>
      <c r="S68" s="59">
        <v>221</v>
      </c>
      <c r="T68" s="59">
        <f>F68</f>
        <v>221</v>
      </c>
      <c r="U68" s="249">
        <v>208.69</v>
      </c>
      <c r="V68" s="249">
        <f>G68</f>
        <v>208.69</v>
      </c>
      <c r="W68" s="249">
        <v>211</v>
      </c>
      <c r="X68" s="249">
        <v>211</v>
      </c>
      <c r="Y68" s="249">
        <f>I68</f>
        <v>217</v>
      </c>
      <c r="Z68" s="249">
        <f>I68</f>
        <v>217</v>
      </c>
      <c r="AA68" s="64">
        <f>N68</f>
        <v>345.38257494685973</v>
      </c>
      <c r="AB68" s="64">
        <v>340.77246485297951</v>
      </c>
      <c r="AC68" s="64">
        <f>P68</f>
        <v>345.3864392979558</v>
      </c>
      <c r="AD68" s="64">
        <f>Q68</f>
        <v>351.6051819452527</v>
      </c>
    </row>
    <row r="69" spans="1:30" ht="15.75" customHeight="1" x14ac:dyDescent="0.25">
      <c r="A69" s="1818" t="s">
        <v>9</v>
      </c>
      <c r="B69" s="621" t="s">
        <v>82</v>
      </c>
      <c r="C69" s="759" t="s">
        <v>429</v>
      </c>
      <c r="D69" s="759" t="s">
        <v>1047</v>
      </c>
      <c r="E69" s="759" t="s">
        <v>1048</v>
      </c>
      <c r="F69" s="53">
        <v>346</v>
      </c>
      <c r="G69" s="53">
        <v>340</v>
      </c>
      <c r="H69" s="53">
        <v>327</v>
      </c>
      <c r="I69" s="53">
        <v>326</v>
      </c>
      <c r="J69" s="57"/>
      <c r="K69" s="57"/>
      <c r="L69" s="57"/>
      <c r="M69" s="57"/>
      <c r="N69" s="58">
        <f>(460634000/2605234)/365*1000</f>
        <v>484.41366837071433</v>
      </c>
      <c r="O69" s="58">
        <f>(482817000/2626712)/366*1000</f>
        <v>502.21422491218715</v>
      </c>
      <c r="P69" s="58">
        <f>(603554526/3939008)/365*1000</f>
        <v>419.79453807547901</v>
      </c>
      <c r="Q69" s="58">
        <f>(670800000/3932626)/366*1000</f>
        <v>466.04657682828258</v>
      </c>
      <c r="S69" s="2434">
        <f>SUM(F69:F70)/2</f>
        <v>315.5</v>
      </c>
      <c r="T69" s="2434">
        <f>MEDIAN(F69:F70)</f>
        <v>315.5</v>
      </c>
      <c r="U69" s="2434">
        <f>SUM(G69:G70)/2</f>
        <v>303</v>
      </c>
      <c r="V69" s="2434">
        <f>MEDIAN(G69:G70)</f>
        <v>303</v>
      </c>
      <c r="W69" s="2434">
        <f>SUM(H69:H70)/2</f>
        <v>300</v>
      </c>
      <c r="X69" s="2434">
        <f>MEDIAN(H69:H70)</f>
        <v>300</v>
      </c>
      <c r="Y69" s="2434">
        <f>SUM(I69:I70)/2</f>
        <v>296.5</v>
      </c>
      <c r="Z69" s="2434">
        <f>MEDIAN(I69:I70)</f>
        <v>296.5</v>
      </c>
      <c r="AA69" s="2444">
        <f>SUM(N69:N70)/2</f>
        <v>542.80385582347571</v>
      </c>
      <c r="AB69" s="2444">
        <f>SUM(O69:O70)/2</f>
        <v>424.4506275541948</v>
      </c>
      <c r="AC69" s="2444">
        <f>SUM(P69:P70)/2</f>
        <v>439.96275029230736</v>
      </c>
      <c r="AD69" s="2444">
        <f>SUM(Q69:Q70)/2</f>
        <v>483.82476399344552</v>
      </c>
    </row>
    <row r="70" spans="1:30" ht="16.5" customHeight="1" thickBot="1" x14ac:dyDescent="0.3">
      <c r="A70" s="1820"/>
      <c r="B70" s="622" t="s">
        <v>83</v>
      </c>
      <c r="C70" s="759"/>
      <c r="D70" s="759" t="s">
        <v>1047</v>
      </c>
      <c r="E70" s="759" t="s">
        <v>1048</v>
      </c>
      <c r="F70" s="53">
        <v>285</v>
      </c>
      <c r="G70" s="53">
        <v>266</v>
      </c>
      <c r="H70" s="53">
        <v>273</v>
      </c>
      <c r="I70" s="53">
        <v>267</v>
      </c>
      <c r="J70" s="57"/>
      <c r="K70" s="57"/>
      <c r="L70" s="57"/>
      <c r="M70" s="57"/>
      <c r="N70" s="58">
        <f>(331907000/1512547)/365*1000</f>
        <v>601.19404327623704</v>
      </c>
      <c r="O70" s="58">
        <f>(348008000/2742651)/366*1000</f>
        <v>346.68703019620244</v>
      </c>
      <c r="P70" s="58">
        <f>(446240835/2657021)/365*1000</f>
        <v>460.13096250913571</v>
      </c>
      <c r="Q70" s="58">
        <f>(488022597/2658268)/366*1000</f>
        <v>501.60295115860845</v>
      </c>
      <c r="S70" s="2436"/>
      <c r="T70" s="2436"/>
      <c r="U70" s="2436"/>
      <c r="V70" s="2436"/>
      <c r="W70" s="2436"/>
      <c r="X70" s="2436"/>
      <c r="Y70" s="2436"/>
      <c r="Z70" s="2436"/>
      <c r="AA70" s="2449"/>
      <c r="AB70" s="2449"/>
      <c r="AC70" s="2449"/>
      <c r="AD70" s="2449"/>
    </row>
    <row r="71" spans="1:30" ht="15.75" customHeight="1" x14ac:dyDescent="0.25">
      <c r="A71" s="1818" t="s">
        <v>10</v>
      </c>
      <c r="B71" s="541" t="s">
        <v>85</v>
      </c>
      <c r="C71" s="760"/>
      <c r="D71" s="760" t="s">
        <v>1049</v>
      </c>
      <c r="E71" s="760" t="s">
        <v>1050</v>
      </c>
      <c r="F71" s="53">
        <v>128</v>
      </c>
      <c r="G71" s="53">
        <v>153</v>
      </c>
      <c r="H71" s="53">
        <v>147</v>
      </c>
      <c r="I71" s="53">
        <v>155</v>
      </c>
      <c r="J71" s="54"/>
      <c r="K71" s="54"/>
      <c r="L71" s="54"/>
      <c r="M71" s="54"/>
      <c r="N71" s="58">
        <f>(4132321/72000)/365*1000</f>
        <v>157.24204718417047</v>
      </c>
      <c r="O71" s="58">
        <f>(4067350/55000)/366*1000</f>
        <v>202.0541480377546</v>
      </c>
      <c r="P71" s="58">
        <f>(3697821/55000)/365*1000</f>
        <v>184.20029887920299</v>
      </c>
      <c r="Q71" s="58">
        <f>(3989805/55000)/366*1000</f>
        <v>198.20193740685542</v>
      </c>
      <c r="S71" s="2434">
        <f>SUM(F71:F74)/4</f>
        <v>146.25</v>
      </c>
      <c r="T71" s="2434">
        <f>MEDIAN(F71:F74)</f>
        <v>151.5</v>
      </c>
      <c r="U71" s="2434">
        <f>SUM(G71:G74)/4</f>
        <v>151</v>
      </c>
      <c r="V71" s="2434">
        <f>MEDIAN(G71:G74)</f>
        <v>152.5</v>
      </c>
      <c r="W71" s="2434">
        <f>SUM(H71:H74)/4</f>
        <v>143.5</v>
      </c>
      <c r="X71" s="2434">
        <f>MEDIAN(H71:H74)</f>
        <v>147</v>
      </c>
      <c r="Y71" s="2434">
        <f>SUM(I71:I74)/4</f>
        <v>149</v>
      </c>
      <c r="Z71" s="2434">
        <f>MEDIAN(I71:I74)</f>
        <v>149.5</v>
      </c>
      <c r="AA71" s="2444">
        <f>SUM(N71:N74)/4</f>
        <v>183.28351618853816</v>
      </c>
      <c r="AB71" s="2444">
        <f>SUM(O71:O74)/4</f>
        <v>188.57138710672317</v>
      </c>
      <c r="AC71" s="2444">
        <f>SUM(P71:P74)/4</f>
        <v>171.55428862640483</v>
      </c>
      <c r="AD71" s="2444">
        <f>SUM(Q71:Q74)/4</f>
        <v>180.38668084533862</v>
      </c>
    </row>
    <row r="72" spans="1:30" ht="15.75" customHeight="1" x14ac:dyDescent="0.25">
      <c r="A72" s="1819"/>
      <c r="B72" s="542" t="s">
        <v>878</v>
      </c>
      <c r="C72" s="760" t="s">
        <v>429</v>
      </c>
      <c r="D72" s="760" t="s">
        <v>1049</v>
      </c>
      <c r="E72" s="760" t="s">
        <v>1050</v>
      </c>
      <c r="F72" s="53">
        <v>152</v>
      </c>
      <c r="G72" s="53">
        <v>145</v>
      </c>
      <c r="H72" s="53">
        <v>133</v>
      </c>
      <c r="I72" s="53">
        <v>142</v>
      </c>
      <c r="J72" s="54"/>
      <c r="K72" s="54"/>
      <c r="L72" s="54"/>
      <c r="M72" s="54"/>
      <c r="N72" s="58">
        <f>(14297346/230000)/365*1000</f>
        <v>170.3078737343657</v>
      </c>
      <c r="O72" s="58">
        <f>(14121092/238500)/366*1000</f>
        <v>161.77030850832273</v>
      </c>
      <c r="P72" s="58">
        <f>(12997342/238500)/365*1000</f>
        <v>149.30463800580111</v>
      </c>
      <c r="Q72" s="58">
        <f>(14112802/240000)/366*1000</f>
        <v>160.6648679417122</v>
      </c>
      <c r="S72" s="2435"/>
      <c r="T72" s="2429"/>
      <c r="U72" s="2435"/>
      <c r="V72" s="2429"/>
      <c r="W72" s="2435"/>
      <c r="X72" s="2435"/>
      <c r="Y72" s="2429"/>
      <c r="Z72" s="2429"/>
      <c r="AA72" s="2445"/>
      <c r="AB72" s="2456"/>
      <c r="AC72" s="2456"/>
      <c r="AD72" s="2456"/>
    </row>
    <row r="73" spans="1:30" ht="15.75" customHeight="1" x14ac:dyDescent="0.25">
      <c r="A73" s="1819"/>
      <c r="B73" s="542" t="s">
        <v>879</v>
      </c>
      <c r="C73" s="760"/>
      <c r="D73" s="760" t="s">
        <v>1049</v>
      </c>
      <c r="E73" s="760" t="s">
        <v>1050</v>
      </c>
      <c r="F73" s="53">
        <v>154</v>
      </c>
      <c r="G73" s="53">
        <v>154</v>
      </c>
      <c r="H73" s="53">
        <v>147</v>
      </c>
      <c r="I73" s="53">
        <v>151</v>
      </c>
      <c r="J73" s="54"/>
      <c r="K73" s="54"/>
      <c r="L73" s="54"/>
      <c r="M73" s="54"/>
      <c r="N73" s="58">
        <f>(10477986/160000)/365*1000</f>
        <v>179.4175684931507</v>
      </c>
      <c r="O73" s="58">
        <f>(10441181/160000)/366*1000</f>
        <v>178.29885587431693</v>
      </c>
      <c r="P73" s="58">
        <f>(11385562/180000)/365*1000</f>
        <v>173.29622526636226</v>
      </c>
      <c r="Q73" s="58">
        <f>(11773501/180000)/366*1000</f>
        <v>178.71130843958713</v>
      </c>
      <c r="S73" s="2435"/>
      <c r="T73" s="2429"/>
      <c r="U73" s="2435"/>
      <c r="V73" s="2429"/>
      <c r="W73" s="2435"/>
      <c r="X73" s="2435"/>
      <c r="Y73" s="2429"/>
      <c r="Z73" s="2429"/>
      <c r="AA73" s="2445"/>
      <c r="AB73" s="2456"/>
      <c r="AC73" s="2456"/>
      <c r="AD73" s="2456"/>
    </row>
    <row r="74" spans="1:30" ht="16.5" customHeight="1" thickBot="1" x14ac:dyDescent="0.3">
      <c r="A74" s="1820"/>
      <c r="B74" s="612" t="s">
        <v>86</v>
      </c>
      <c r="C74" s="760"/>
      <c r="D74" s="760" t="s">
        <v>1049</v>
      </c>
      <c r="E74" s="760" t="s">
        <v>1050</v>
      </c>
      <c r="F74" s="53">
        <v>151</v>
      </c>
      <c r="G74" s="53">
        <v>152</v>
      </c>
      <c r="H74" s="53">
        <v>147</v>
      </c>
      <c r="I74" s="53">
        <v>148</v>
      </c>
      <c r="J74" s="54"/>
      <c r="K74" s="54"/>
      <c r="L74" s="54"/>
      <c r="M74" s="54"/>
      <c r="N74" s="58">
        <f>(2889278/35000)/365*1000</f>
        <v>226.16657534246573</v>
      </c>
      <c r="O74" s="58">
        <f>(2873101/37000)/366*1000</f>
        <v>212.16223600649832</v>
      </c>
      <c r="P74" s="58">
        <f>(2815934/43000)/365*1000</f>
        <v>179.41599235425292</v>
      </c>
      <c r="Q74" s="58">
        <f>(3029963/45000)/366*1000</f>
        <v>183.96860959319977</v>
      </c>
      <c r="S74" s="2436"/>
      <c r="T74" s="2436"/>
      <c r="U74" s="2436"/>
      <c r="V74" s="2436"/>
      <c r="W74" s="2436"/>
      <c r="X74" s="2436"/>
      <c r="Y74" s="2436"/>
      <c r="Z74" s="2436"/>
      <c r="AA74" s="2449"/>
      <c r="AB74" s="2449"/>
      <c r="AC74" s="2449"/>
      <c r="AD74" s="2449"/>
    </row>
    <row r="75" spans="1:30" ht="16.5" customHeight="1" x14ac:dyDescent="0.25">
      <c r="A75" s="1818" t="s">
        <v>910</v>
      </c>
      <c r="B75" s="660" t="s">
        <v>911</v>
      </c>
      <c r="C75" s="760" t="s">
        <v>429</v>
      </c>
      <c r="D75" s="760" t="s">
        <v>1051</v>
      </c>
      <c r="E75" s="760" t="s">
        <v>1052</v>
      </c>
      <c r="F75" s="53" t="s">
        <v>5</v>
      </c>
      <c r="G75" s="53" t="s">
        <v>5</v>
      </c>
      <c r="H75" s="53" t="s">
        <v>5</v>
      </c>
      <c r="I75" s="53">
        <v>108</v>
      </c>
      <c r="J75" s="54"/>
      <c r="K75" s="54"/>
      <c r="L75" s="54"/>
      <c r="M75" s="54"/>
      <c r="N75" s="58" t="s">
        <v>5</v>
      </c>
      <c r="O75" s="58" t="s">
        <v>5</v>
      </c>
      <c r="P75" s="58" t="s">
        <v>5</v>
      </c>
      <c r="Q75" s="58">
        <f>(157810700/1280000)/366*1000</f>
        <v>336.85685621584702</v>
      </c>
      <c r="S75" s="2434" t="s">
        <v>5</v>
      </c>
      <c r="T75" s="2434" t="s">
        <v>5</v>
      </c>
      <c r="U75" s="2434" t="s">
        <v>5</v>
      </c>
      <c r="V75" s="2434" t="s">
        <v>5</v>
      </c>
      <c r="W75" s="2434" t="s">
        <v>5</v>
      </c>
      <c r="X75" s="2434" t="s">
        <v>5</v>
      </c>
      <c r="Y75" s="2434">
        <f>SUM(I75:I79)/3</f>
        <v>105</v>
      </c>
      <c r="Z75" s="2434">
        <f>MEDIAN(I75:I79)</f>
        <v>108</v>
      </c>
      <c r="AA75" s="2444" t="s">
        <v>5</v>
      </c>
      <c r="AB75" s="2444" t="s">
        <v>5</v>
      </c>
      <c r="AC75" s="2444" t="s">
        <v>5</v>
      </c>
      <c r="AD75" s="2444">
        <f>SUM(Q75:Q79)/4</f>
        <v>314.87878795263543</v>
      </c>
    </row>
    <row r="76" spans="1:30" ht="16.5" customHeight="1" x14ac:dyDescent="0.25">
      <c r="A76" s="1819"/>
      <c r="B76" s="660" t="s">
        <v>912</v>
      </c>
      <c r="C76" s="760"/>
      <c r="D76" s="760" t="s">
        <v>1051</v>
      </c>
      <c r="E76" s="760" t="s">
        <v>1052</v>
      </c>
      <c r="F76" s="53" t="s">
        <v>5</v>
      </c>
      <c r="G76" s="53" t="s">
        <v>5</v>
      </c>
      <c r="H76" s="53" t="s">
        <v>5</v>
      </c>
      <c r="I76" s="53">
        <v>110</v>
      </c>
      <c r="J76" s="54"/>
      <c r="K76" s="54"/>
      <c r="L76" s="54"/>
      <c r="M76" s="54"/>
      <c r="N76" s="58" t="s">
        <v>5</v>
      </c>
      <c r="O76" s="58" t="s">
        <v>5</v>
      </c>
      <c r="P76" s="58" t="s">
        <v>5</v>
      </c>
      <c r="Q76" s="58">
        <f>(48515042/408770)/366*1000</f>
        <v>324.27712298564359</v>
      </c>
      <c r="S76" s="2435"/>
      <c r="T76" s="2435"/>
      <c r="U76" s="2435"/>
      <c r="V76" s="2435"/>
      <c r="W76" s="2435"/>
      <c r="X76" s="2435"/>
      <c r="Y76" s="2435"/>
      <c r="Z76" s="2435"/>
      <c r="AA76" s="2445"/>
      <c r="AB76" s="2445"/>
      <c r="AC76" s="2445"/>
      <c r="AD76" s="2445"/>
    </row>
    <row r="77" spans="1:30" ht="16.5" customHeight="1" x14ac:dyDescent="0.25">
      <c r="A77" s="1819"/>
      <c r="B77" s="660" t="s">
        <v>913</v>
      </c>
      <c r="C77" s="760"/>
      <c r="D77" s="760" t="s">
        <v>1051</v>
      </c>
      <c r="E77" s="760" t="s">
        <v>1052</v>
      </c>
      <c r="F77" s="53" t="s">
        <v>5</v>
      </c>
      <c r="G77" s="53" t="s">
        <v>5</v>
      </c>
      <c r="H77" s="53" t="s">
        <v>5</v>
      </c>
      <c r="I77" s="53">
        <v>97</v>
      </c>
      <c r="J77" s="54"/>
      <c r="K77" s="54"/>
      <c r="L77" s="54"/>
      <c r="M77" s="54"/>
      <c r="N77" s="58" t="s">
        <v>5</v>
      </c>
      <c r="O77" s="58" t="s">
        <v>5</v>
      </c>
      <c r="P77" s="58" t="s">
        <v>5</v>
      </c>
      <c r="Q77" s="58">
        <f>(30439000/300738)/366*1000</f>
        <v>276.54192907669358</v>
      </c>
      <c r="S77" s="2435"/>
      <c r="T77" s="2435"/>
      <c r="U77" s="2435"/>
      <c r="V77" s="2435"/>
      <c r="W77" s="2435"/>
      <c r="X77" s="2435"/>
      <c r="Y77" s="2435"/>
      <c r="Z77" s="2435"/>
      <c r="AA77" s="2445"/>
      <c r="AB77" s="2445"/>
      <c r="AC77" s="2445"/>
      <c r="AD77" s="2445"/>
    </row>
    <row r="78" spans="1:30" ht="16.5" customHeight="1" x14ac:dyDescent="0.25">
      <c r="A78" s="1819"/>
      <c r="B78" s="660" t="s">
        <v>914</v>
      </c>
      <c r="C78" s="760"/>
      <c r="D78" s="760" t="s">
        <v>1051</v>
      </c>
      <c r="E78" s="760" t="s">
        <v>1052</v>
      </c>
      <c r="F78" s="53" t="s">
        <v>5</v>
      </c>
      <c r="G78" s="53" t="s">
        <v>5</v>
      </c>
      <c r="H78" s="53" t="s">
        <v>5</v>
      </c>
      <c r="I78" s="53" t="s">
        <v>5</v>
      </c>
      <c r="J78" s="54"/>
      <c r="K78" s="54"/>
      <c r="L78" s="54"/>
      <c r="M78" s="54"/>
      <c r="N78" s="58" t="s">
        <v>5</v>
      </c>
      <c r="O78" s="58" t="s">
        <v>5</v>
      </c>
      <c r="P78" s="58" t="s">
        <v>5</v>
      </c>
      <c r="Q78" s="58">
        <f>(27222000/231100)/366*1000</f>
        <v>321.83924353235773</v>
      </c>
      <c r="S78" s="2435"/>
      <c r="T78" s="2435"/>
      <c r="U78" s="2435"/>
      <c r="V78" s="2435"/>
      <c r="W78" s="2435"/>
      <c r="X78" s="2435"/>
      <c r="Y78" s="2435"/>
      <c r="Z78" s="2435"/>
      <c r="AA78" s="2445"/>
      <c r="AB78" s="2445"/>
      <c r="AC78" s="2445"/>
      <c r="AD78" s="2445"/>
    </row>
    <row r="79" spans="1:30" ht="16.5" customHeight="1" thickBot="1" x14ac:dyDescent="0.3">
      <c r="A79" s="1820"/>
      <c r="B79" s="768" t="s">
        <v>915</v>
      </c>
      <c r="C79" s="760"/>
      <c r="D79" s="760" t="s">
        <v>1051</v>
      </c>
      <c r="E79" s="760" t="s">
        <v>1052</v>
      </c>
      <c r="F79" s="53" t="s">
        <v>5</v>
      </c>
      <c r="G79" s="53" t="s">
        <v>5</v>
      </c>
      <c r="H79" s="53" t="s">
        <v>5</v>
      </c>
      <c r="I79" s="53" t="s">
        <v>5</v>
      </c>
      <c r="J79" s="54"/>
      <c r="K79" s="54"/>
      <c r="L79" s="54"/>
      <c r="M79" s="54"/>
      <c r="N79" s="58" t="s">
        <v>5</v>
      </c>
      <c r="O79" s="58" t="s">
        <v>5</v>
      </c>
      <c r="P79" s="58" t="s">
        <v>5</v>
      </c>
      <c r="Q79" s="58" t="s">
        <v>5</v>
      </c>
      <c r="S79" s="2436"/>
      <c r="T79" s="2436"/>
      <c r="U79" s="2436"/>
      <c r="V79" s="2436"/>
      <c r="W79" s="2436"/>
      <c r="X79" s="2436"/>
      <c r="Y79" s="2436"/>
      <c r="Z79" s="2436"/>
      <c r="AA79" s="2449"/>
      <c r="AB79" s="2449"/>
      <c r="AC79" s="2449"/>
      <c r="AD79" s="2449"/>
    </row>
    <row r="80" spans="1:30" ht="15.75" customHeight="1" x14ac:dyDescent="0.25">
      <c r="A80" s="1818" t="s">
        <v>11</v>
      </c>
      <c r="B80" s="769" t="s">
        <v>87</v>
      </c>
      <c r="C80" s="760"/>
      <c r="D80" s="760" t="s">
        <v>1053</v>
      </c>
      <c r="E80" s="760" t="s">
        <v>1054</v>
      </c>
      <c r="F80" s="56">
        <v>113.5</v>
      </c>
      <c r="G80" s="56">
        <v>105</v>
      </c>
      <c r="H80" s="56">
        <v>105</v>
      </c>
      <c r="I80" s="56">
        <v>102.3</v>
      </c>
      <c r="J80" s="54"/>
      <c r="K80" s="54"/>
      <c r="L80" s="54"/>
      <c r="M80" s="54"/>
      <c r="N80" s="58">
        <f>(6534050/107224)/365*1000</f>
        <v>166.95429054423514</v>
      </c>
      <c r="O80" s="58">
        <f>(6516715/111919)/366*1000</f>
        <v>159.09034427074187</v>
      </c>
      <c r="P80" s="58">
        <f>(6634064/115038)/365*1000</f>
        <v>157.9957736419199</v>
      </c>
      <c r="Q80" s="58">
        <f>(6751983/118990)/366*1000</f>
        <v>155.03858293643628</v>
      </c>
      <c r="S80" s="2434">
        <f>SUM(F80:F84)/5</f>
        <v>110.64000000000001</v>
      </c>
      <c r="T80" s="2434">
        <f>MEDIAN(F80:F84)</f>
        <v>111.4</v>
      </c>
      <c r="U80" s="2434">
        <f>SUM(G80:G84)/5</f>
        <v>107</v>
      </c>
      <c r="V80" s="2434">
        <f>MEDIAN(G80:G84)</f>
        <v>105</v>
      </c>
      <c r="W80" s="2434">
        <f>SUM(H80:H84)/5</f>
        <v>110</v>
      </c>
      <c r="X80" s="2434">
        <f>MEDIAN(H80:H84)</f>
        <v>105</v>
      </c>
      <c r="Y80" s="2434">
        <f>SUM(I80:I84)/5</f>
        <v>104.26000000000002</v>
      </c>
      <c r="Z80" s="2434">
        <f>MEDIAN(I80:I84)</f>
        <v>102.3</v>
      </c>
      <c r="AA80" s="2444">
        <f>SUM(N80:N84)/5</f>
        <v>188.21984580085626</v>
      </c>
      <c r="AB80" s="2444">
        <f>SUM(O80:O84)/5</f>
        <v>178.85835841945706</v>
      </c>
      <c r="AC80" s="2444">
        <f>SUM(P80:P84)/5</f>
        <v>175.55547117663582</v>
      </c>
      <c r="AD80" s="2444">
        <f>SUM(Q80:Q84)/5</f>
        <v>172.37530481975369</v>
      </c>
    </row>
    <row r="81" spans="1:30" ht="15.75" customHeight="1" x14ac:dyDescent="0.25">
      <c r="A81" s="1819"/>
      <c r="B81" s="768" t="s">
        <v>213</v>
      </c>
      <c r="C81" s="760"/>
      <c r="D81" s="760" t="s">
        <v>1053</v>
      </c>
      <c r="E81" s="760" t="s">
        <v>1054</v>
      </c>
      <c r="F81" s="56">
        <v>106.7</v>
      </c>
      <c r="G81" s="56">
        <v>105</v>
      </c>
      <c r="H81" s="56">
        <v>108</v>
      </c>
      <c r="I81" s="56">
        <v>98</v>
      </c>
      <c r="J81" s="54"/>
      <c r="K81" s="54"/>
      <c r="L81" s="54"/>
      <c r="M81" s="54"/>
      <c r="N81" s="58">
        <f>(14060873/263847)/365*1000</f>
        <v>146.00484267786783</v>
      </c>
      <c r="O81" s="58">
        <f>(14323721/269794)/366*1000</f>
        <v>145.0582656648256</v>
      </c>
      <c r="P81" s="58">
        <f>(14351361/274306)/365*1000</f>
        <v>143.33918055118727</v>
      </c>
      <c r="Q81" s="58">
        <f>(13894911/274535)/366*1000</f>
        <v>138.28560185374556</v>
      </c>
      <c r="S81" s="2435"/>
      <c r="T81" s="2429"/>
      <c r="U81" s="2429"/>
      <c r="V81" s="2429"/>
      <c r="W81" s="2429"/>
      <c r="X81" s="2435"/>
      <c r="Y81" s="2429"/>
      <c r="Z81" s="2429"/>
      <c r="AA81" s="2445"/>
      <c r="AB81" s="2456"/>
      <c r="AC81" s="2456"/>
      <c r="AD81" s="2456"/>
    </row>
    <row r="82" spans="1:30" ht="15.75" customHeight="1" x14ac:dyDescent="0.25">
      <c r="A82" s="1819"/>
      <c r="B82" s="768" t="s">
        <v>88</v>
      </c>
      <c r="C82" s="760" t="s">
        <v>429</v>
      </c>
      <c r="D82" s="760" t="s">
        <v>1053</v>
      </c>
      <c r="E82" s="760" t="s">
        <v>1054</v>
      </c>
      <c r="F82" s="56">
        <v>107.3</v>
      </c>
      <c r="G82" s="56">
        <v>104</v>
      </c>
      <c r="H82" s="56">
        <v>101</v>
      </c>
      <c r="I82" s="56">
        <v>104.3</v>
      </c>
      <c r="J82" s="54"/>
      <c r="K82" s="54"/>
      <c r="L82" s="54"/>
      <c r="M82" s="54"/>
      <c r="N82" s="58">
        <f>(48714039/533875)/365*1000</f>
        <v>249.98945548666862</v>
      </c>
      <c r="O82" s="58">
        <f>(47971981/554245)/366*1000</f>
        <v>236.48564504650076</v>
      </c>
      <c r="P82" s="58">
        <f>(48215000/574871)/365*1000</f>
        <v>229.78353475990073</v>
      </c>
      <c r="Q82" s="58">
        <f>(52001662/591481)/366*1000</f>
        <v>240.21235460791976</v>
      </c>
      <c r="S82" s="2435"/>
      <c r="T82" s="2429"/>
      <c r="U82" s="2429"/>
      <c r="V82" s="2429"/>
      <c r="W82" s="2429"/>
      <c r="X82" s="2435"/>
      <c r="Y82" s="2429"/>
      <c r="Z82" s="2429"/>
      <c r="AA82" s="2445"/>
      <c r="AB82" s="2456"/>
      <c r="AC82" s="2456"/>
      <c r="AD82" s="2456"/>
    </row>
    <row r="83" spans="1:30" ht="15.75" customHeight="1" x14ac:dyDescent="0.25">
      <c r="A83" s="1819"/>
      <c r="B83" s="768" t="s">
        <v>89</v>
      </c>
      <c r="C83" s="760"/>
      <c r="D83" s="760" t="s">
        <v>1053</v>
      </c>
      <c r="E83" s="760" t="s">
        <v>1054</v>
      </c>
      <c r="F83" s="56">
        <v>114.3</v>
      </c>
      <c r="G83" s="56">
        <v>112</v>
      </c>
      <c r="H83" s="56">
        <v>134</v>
      </c>
      <c r="I83" s="56">
        <v>117.6</v>
      </c>
      <c r="J83" s="54"/>
      <c r="K83" s="54"/>
      <c r="L83" s="54"/>
      <c r="M83" s="54"/>
      <c r="N83" s="58">
        <f>(6964493/91549)/365*1000</f>
        <v>208.42174944265943</v>
      </c>
      <c r="O83" s="58">
        <f>(6846631/92000)/366*1000</f>
        <v>203.33306604894275</v>
      </c>
      <c r="P83" s="58">
        <f>(6727000/92000)/365*1000</f>
        <v>200.32757593805837</v>
      </c>
      <c r="Q83" s="58">
        <f>(6618827/96500)/366*1000</f>
        <v>187.40131374047962</v>
      </c>
      <c r="S83" s="2435"/>
      <c r="T83" s="2429"/>
      <c r="U83" s="2429"/>
      <c r="V83" s="2429"/>
      <c r="W83" s="2429"/>
      <c r="X83" s="2435"/>
      <c r="Y83" s="2429"/>
      <c r="Z83" s="2429"/>
      <c r="AA83" s="2445"/>
      <c r="AB83" s="2456"/>
      <c r="AC83" s="2456"/>
      <c r="AD83" s="2456"/>
    </row>
    <row r="84" spans="1:30" ht="16.5" customHeight="1" thickBot="1" x14ac:dyDescent="0.3">
      <c r="A84" s="1820"/>
      <c r="B84" s="770" t="s">
        <v>90</v>
      </c>
      <c r="C84" s="760"/>
      <c r="D84" s="760" t="s">
        <v>1053</v>
      </c>
      <c r="E84" s="760" t="s">
        <v>1054</v>
      </c>
      <c r="F84" s="56">
        <v>111.4</v>
      </c>
      <c r="G84" s="56">
        <v>109</v>
      </c>
      <c r="H84" s="56">
        <v>102</v>
      </c>
      <c r="I84" s="56">
        <v>99.1</v>
      </c>
      <c r="J84" s="54"/>
      <c r="K84" s="54"/>
      <c r="L84" s="54"/>
      <c r="M84" s="54"/>
      <c r="N84" s="58">
        <f>(9602412/155000)/365*1000</f>
        <v>169.72889085285021</v>
      </c>
      <c r="O84" s="58">
        <f>(8582926/156000)/366*1000</f>
        <v>150.32447106627433</v>
      </c>
      <c r="P84" s="58">
        <f>(8812802/165000)/365*1000</f>
        <v>146.33129099211288</v>
      </c>
      <c r="Q84" s="58">
        <f>(8666037/168000)/366*1000</f>
        <v>140.93867096018735</v>
      </c>
      <c r="S84" s="2436"/>
      <c r="T84" s="2436"/>
      <c r="U84" s="2436"/>
      <c r="V84" s="2436"/>
      <c r="W84" s="2436"/>
      <c r="X84" s="2436"/>
      <c r="Y84" s="2436"/>
      <c r="Z84" s="2436"/>
      <c r="AA84" s="2449"/>
      <c r="AB84" s="2449"/>
      <c r="AC84" s="2449"/>
      <c r="AD84" s="2449"/>
    </row>
    <row r="85" spans="1:30" ht="15.75" customHeight="1" x14ac:dyDescent="0.25">
      <c r="A85" s="1818" t="s">
        <v>12</v>
      </c>
      <c r="B85" s="541" t="s">
        <v>91</v>
      </c>
      <c r="C85" s="760"/>
      <c r="D85" s="760" t="s">
        <v>1055</v>
      </c>
      <c r="E85" s="760" t="s">
        <v>1056</v>
      </c>
      <c r="F85" s="53">
        <v>158</v>
      </c>
      <c r="G85" s="56">
        <f>(70742102/1048631)/366*1000</f>
        <v>184.32073026068187</v>
      </c>
      <c r="H85" s="56">
        <v>140</v>
      </c>
      <c r="I85" s="56">
        <v>136</v>
      </c>
      <c r="J85" s="57"/>
      <c r="K85" s="57"/>
      <c r="L85" s="57"/>
      <c r="M85" s="57"/>
      <c r="N85" s="58">
        <f>(71360000/1016100)/365*1000</f>
        <v>192.40906339441835</v>
      </c>
      <c r="O85" s="58">
        <v>244</v>
      </c>
      <c r="P85" s="58"/>
      <c r="Q85" s="58">
        <f>(72672287/1101131)/366*1000</f>
        <v>180.32201545700357</v>
      </c>
      <c r="S85" s="2434">
        <f>SUM(F85:F90)/6</f>
        <v>144.83333333333334</v>
      </c>
      <c r="T85" s="2434">
        <f>MEDIAN(F85:F90)</f>
        <v>149</v>
      </c>
      <c r="U85" s="2434">
        <f>SUM(G85:G90)/6</f>
        <v>185.53315336067666</v>
      </c>
      <c r="V85" s="2434">
        <f>MEDIAN(G85:G90)</f>
        <v>184.32073026068187</v>
      </c>
      <c r="W85" s="2434">
        <f>SUM(H85:H90)/6</f>
        <v>133.16666666666666</v>
      </c>
      <c r="X85" s="2434">
        <f>MEDIAN(H85:H90)</f>
        <v>140</v>
      </c>
      <c r="Y85" s="2434">
        <f>SUM(I85:I90)/6</f>
        <v>129.83333333333334</v>
      </c>
      <c r="Z85" s="2434">
        <f>MEDIAN(I85:I90)</f>
        <v>134</v>
      </c>
      <c r="AA85" s="2444">
        <f>SUM(N85:N90)/6</f>
        <v>191.53202138591564</v>
      </c>
      <c r="AB85" s="2444">
        <f>SUM(O85:O90)/6</f>
        <v>234.66666666666666</v>
      </c>
      <c r="AC85" s="2444">
        <f>SUM(P85:P90)/4</f>
        <v>176.73577848400879</v>
      </c>
      <c r="AD85" s="2444">
        <f>SUM(Q85:Q90)/6</f>
        <v>172.55301793194084</v>
      </c>
    </row>
    <row r="86" spans="1:30" ht="15.75" customHeight="1" x14ac:dyDescent="0.25">
      <c r="A86" s="1819"/>
      <c r="B86" s="542" t="s">
        <v>92</v>
      </c>
      <c r="C86" s="760" t="s">
        <v>429</v>
      </c>
      <c r="D86" s="760" t="s">
        <v>1055</v>
      </c>
      <c r="E86" s="760" t="s">
        <v>1056</v>
      </c>
      <c r="F86" s="53">
        <v>158</v>
      </c>
      <c r="G86" s="56">
        <f>(70742102/1048631)/366*1000</f>
        <v>184.32073026068187</v>
      </c>
      <c r="H86" s="56">
        <v>140</v>
      </c>
      <c r="I86" s="56">
        <v>136</v>
      </c>
      <c r="J86" s="57"/>
      <c r="K86" s="57"/>
      <c r="L86" s="57"/>
      <c r="M86" s="57"/>
      <c r="N86" s="58">
        <f>(71360000/1016100)/365*1000</f>
        <v>192.40906339441835</v>
      </c>
      <c r="O86" s="58">
        <v>244</v>
      </c>
      <c r="P86" s="58">
        <f>(71244379/1075960)/365*1000</f>
        <v>181.41016343735345</v>
      </c>
      <c r="Q86" s="58">
        <f>(72672287/1101131)/366*1000</f>
        <v>180.32201545700357</v>
      </c>
      <c r="S86" s="2435"/>
      <c r="T86" s="2429"/>
      <c r="U86" s="2435"/>
      <c r="V86" s="2429"/>
      <c r="W86" s="2435"/>
      <c r="X86" s="2435"/>
      <c r="Y86" s="2435"/>
      <c r="Z86" s="2435"/>
      <c r="AA86" s="2445"/>
      <c r="AB86" s="2456"/>
      <c r="AC86" s="2456"/>
      <c r="AD86" s="2456"/>
    </row>
    <row r="87" spans="1:30" ht="15.75" customHeight="1" x14ac:dyDescent="0.25">
      <c r="A87" s="1819"/>
      <c r="B87" s="542" t="s">
        <v>93</v>
      </c>
      <c r="C87" s="760"/>
      <c r="D87" s="760" t="s">
        <v>1055</v>
      </c>
      <c r="E87" s="760" t="s">
        <v>1056</v>
      </c>
      <c r="F87" s="53">
        <v>118</v>
      </c>
      <c r="G87" s="431">
        <f>(8596300/143900)/366*1000</f>
        <v>163.21861341171197</v>
      </c>
      <c r="H87" s="431">
        <v>110</v>
      </c>
      <c r="I87" s="431">
        <v>110</v>
      </c>
      <c r="J87" s="57"/>
      <c r="K87" s="57"/>
      <c r="L87" s="57"/>
      <c r="M87" s="57"/>
      <c r="N87" s="58">
        <f>(8575271/139400)/365*1000</f>
        <v>168.53581887148445</v>
      </c>
      <c r="O87" s="58">
        <v>191</v>
      </c>
      <c r="P87" s="58">
        <f>(10638000/193200)/365*1000</f>
        <v>150.85510082532119</v>
      </c>
      <c r="Q87" s="58">
        <f>(10884808/197000)/366*1000</f>
        <v>150.96402318937061</v>
      </c>
      <c r="S87" s="2435"/>
      <c r="T87" s="2429"/>
      <c r="U87" s="2435"/>
      <c r="V87" s="2429"/>
      <c r="W87" s="2435"/>
      <c r="X87" s="2435"/>
      <c r="Y87" s="2435"/>
      <c r="Z87" s="2435"/>
      <c r="AA87" s="2445"/>
      <c r="AB87" s="2456"/>
      <c r="AC87" s="2456"/>
      <c r="AD87" s="2456"/>
    </row>
    <row r="88" spans="1:30" ht="15.75" customHeight="1" x14ac:dyDescent="0.25">
      <c r="A88" s="1819"/>
      <c r="B88" s="542" t="s">
        <v>94</v>
      </c>
      <c r="C88" s="760"/>
      <c r="D88" s="760" t="s">
        <v>1055</v>
      </c>
      <c r="E88" s="760" t="s">
        <v>1056</v>
      </c>
      <c r="F88" s="53">
        <v>140</v>
      </c>
      <c r="G88" s="431">
        <f>(15268220/213000)/366*1000</f>
        <v>195.85186895507837</v>
      </c>
      <c r="H88" s="431">
        <v>140</v>
      </c>
      <c r="I88" s="431">
        <v>129</v>
      </c>
      <c r="J88" s="57"/>
      <c r="K88" s="57"/>
      <c r="L88" s="57"/>
      <c r="M88" s="57"/>
      <c r="N88" s="58">
        <f>(15451651/204688)/365*1000</f>
        <v>206.81862351949752</v>
      </c>
      <c r="O88" s="58">
        <v>241</v>
      </c>
      <c r="P88" s="58">
        <f>(15348533/218000)/365*1000</f>
        <v>192.89346487369613</v>
      </c>
      <c r="Q88" s="58">
        <f>(13883849/223000)/366*1000</f>
        <v>170.10768457938201</v>
      </c>
      <c r="S88" s="2435"/>
      <c r="T88" s="2429"/>
      <c r="U88" s="2435"/>
      <c r="V88" s="2429"/>
      <c r="W88" s="2435"/>
      <c r="X88" s="2435"/>
      <c r="Y88" s="2435"/>
      <c r="Z88" s="2435"/>
      <c r="AA88" s="2445"/>
      <c r="AB88" s="2456"/>
      <c r="AC88" s="2456"/>
      <c r="AD88" s="2456"/>
    </row>
    <row r="89" spans="1:30" ht="16.5" customHeight="1" x14ac:dyDescent="0.25">
      <c r="A89" s="1819"/>
      <c r="B89" s="542" t="s">
        <v>95</v>
      </c>
      <c r="C89" s="760"/>
      <c r="D89" s="760" t="s">
        <v>1055</v>
      </c>
      <c r="E89" s="760" t="s">
        <v>1056</v>
      </c>
      <c r="F89" s="53">
        <v>137</v>
      </c>
      <c r="G89" s="431">
        <f>(12835000/174325)/366*1000</f>
        <v>201.1662470152242</v>
      </c>
      <c r="H89" s="431">
        <v>129</v>
      </c>
      <c r="I89" s="431">
        <v>132</v>
      </c>
      <c r="J89" s="57"/>
      <c r="K89" s="57"/>
      <c r="L89" s="57"/>
      <c r="M89" s="57"/>
      <c r="N89" s="58">
        <f>(12522614/174500)/365*1000</f>
        <v>196.61049574125681</v>
      </c>
      <c r="O89" s="58">
        <v>244</v>
      </c>
      <c r="P89" s="58">
        <f>(12084496/182129)/365*1000</f>
        <v>181.78438479966445</v>
      </c>
      <c r="Q89" s="58">
        <f>(11777334/185702)/366*1000</f>
        <v>173.28035345188158</v>
      </c>
      <c r="S89" s="2435"/>
      <c r="T89" s="2429"/>
      <c r="U89" s="2435"/>
      <c r="V89" s="2429"/>
      <c r="W89" s="2435"/>
      <c r="X89" s="2435"/>
      <c r="Y89" s="2435"/>
      <c r="Z89" s="2435"/>
      <c r="AA89" s="2445"/>
      <c r="AB89" s="2456"/>
      <c r="AC89" s="2456"/>
      <c r="AD89" s="2456"/>
    </row>
    <row r="90" spans="1:30" ht="16.5" customHeight="1" thickBot="1" x14ac:dyDescent="0.3">
      <c r="A90" s="1820"/>
      <c r="B90" s="548" t="s">
        <v>195</v>
      </c>
      <c r="C90" s="760"/>
      <c r="D90" s="760" t="s">
        <v>1055</v>
      </c>
      <c r="E90" s="760" t="s">
        <v>1056</v>
      </c>
      <c r="F90" s="53">
        <v>158</v>
      </c>
      <c r="G90" s="56">
        <f>(70742102/1048631)/366*1000</f>
        <v>184.32073026068187</v>
      </c>
      <c r="H90" s="56">
        <v>140</v>
      </c>
      <c r="I90" s="56">
        <v>136</v>
      </c>
      <c r="J90" s="54"/>
      <c r="K90" s="54"/>
      <c r="L90" s="54"/>
      <c r="M90" s="54"/>
      <c r="N90" s="58">
        <f>(71360000/1016100)/365*1000</f>
        <v>192.40906339441835</v>
      </c>
      <c r="O90" s="58">
        <v>244</v>
      </c>
      <c r="P90" s="58"/>
      <c r="Q90" s="58">
        <f>(72672287/1101131)/366*1000</f>
        <v>180.32201545700357</v>
      </c>
      <c r="S90" s="2436"/>
      <c r="T90" s="2436"/>
      <c r="U90" s="2436"/>
      <c r="V90" s="2436"/>
      <c r="W90" s="2436"/>
      <c r="X90" s="2436"/>
      <c r="Y90" s="2436"/>
      <c r="Z90" s="2436"/>
      <c r="AA90" s="2449"/>
      <c r="AB90" s="2449"/>
      <c r="AC90" s="2449"/>
      <c r="AD90" s="2449"/>
    </row>
    <row r="91" spans="1:30" ht="15.75" customHeight="1" x14ac:dyDescent="0.25">
      <c r="A91" s="1818" t="s">
        <v>13</v>
      </c>
      <c r="B91" s="541" t="s">
        <v>97</v>
      </c>
      <c r="C91" s="760"/>
      <c r="D91" s="760" t="s">
        <v>1057</v>
      </c>
      <c r="E91" s="760" t="s">
        <v>1058</v>
      </c>
      <c r="F91" s="53" t="s">
        <v>5</v>
      </c>
      <c r="G91" s="56">
        <v>155.69999999999999</v>
      </c>
      <c r="H91" s="56">
        <v>153</v>
      </c>
      <c r="I91" s="56">
        <v>157</v>
      </c>
      <c r="J91" s="54"/>
      <c r="K91" s="54"/>
      <c r="L91" s="54"/>
      <c r="M91" s="54"/>
      <c r="N91" s="58" t="s">
        <v>5</v>
      </c>
      <c r="O91" s="58" t="s">
        <v>5</v>
      </c>
      <c r="P91" s="58" t="s">
        <v>5</v>
      </c>
      <c r="Q91" s="58" t="s">
        <v>5</v>
      </c>
      <c r="S91" s="2450" t="s">
        <v>5</v>
      </c>
      <c r="T91" s="2450" t="s">
        <v>5</v>
      </c>
      <c r="U91" s="2434">
        <f>SUM(G91:G101)/11</f>
        <v>158.79090909090908</v>
      </c>
      <c r="V91" s="2434">
        <f>MEDIAN(G91:G101)</f>
        <v>146</v>
      </c>
      <c r="W91" s="2434">
        <f>SUM(H91:H101)/11</f>
        <v>149.09090909090909</v>
      </c>
      <c r="X91" s="2434">
        <f>MEDIAN(H91:H101)</f>
        <v>144</v>
      </c>
      <c r="Y91" s="2434">
        <f>SUM(I91:I101)/11</f>
        <v>152.25454545454545</v>
      </c>
      <c r="Z91" s="2434">
        <f>MEDIAN(I91:I101)</f>
        <v>149.1</v>
      </c>
      <c r="AA91" s="2444" t="s">
        <v>5</v>
      </c>
      <c r="AB91" s="2444" t="s">
        <v>5</v>
      </c>
      <c r="AC91" s="2444" t="s">
        <v>5</v>
      </c>
      <c r="AD91" s="2444" t="s">
        <v>5</v>
      </c>
    </row>
    <row r="92" spans="1:30" ht="15.75" customHeight="1" x14ac:dyDescent="0.25">
      <c r="A92" s="1819"/>
      <c r="B92" s="542" t="s">
        <v>98</v>
      </c>
      <c r="C92" s="760"/>
      <c r="D92" s="760" t="s">
        <v>1057</v>
      </c>
      <c r="E92" s="760" t="s">
        <v>1058</v>
      </c>
      <c r="F92" s="53" t="s">
        <v>5</v>
      </c>
      <c r="G92" s="53">
        <v>148</v>
      </c>
      <c r="H92" s="53">
        <v>110</v>
      </c>
      <c r="I92" s="56">
        <v>149.1</v>
      </c>
      <c r="J92" s="54"/>
      <c r="K92" s="54"/>
      <c r="L92" s="54"/>
      <c r="M92" s="54"/>
      <c r="N92" s="55" t="s">
        <v>5</v>
      </c>
      <c r="O92" s="55" t="s">
        <v>5</v>
      </c>
      <c r="P92" s="58" t="s">
        <v>5</v>
      </c>
      <c r="Q92" s="58" t="s">
        <v>5</v>
      </c>
      <c r="S92" s="2465"/>
      <c r="T92" s="2451"/>
      <c r="U92" s="2435"/>
      <c r="V92" s="2429"/>
      <c r="W92" s="2435"/>
      <c r="X92" s="2435"/>
      <c r="Y92" s="2429"/>
      <c r="Z92" s="2429"/>
      <c r="AA92" s="2445"/>
      <c r="AB92" s="2445"/>
      <c r="AC92" s="2445"/>
      <c r="AD92" s="2445"/>
    </row>
    <row r="93" spans="1:30" ht="15.75" customHeight="1" x14ac:dyDescent="0.25">
      <c r="A93" s="1819"/>
      <c r="B93" s="542" t="s">
        <v>99</v>
      </c>
      <c r="C93" s="760"/>
      <c r="D93" s="760" t="s">
        <v>1057</v>
      </c>
      <c r="E93" s="760" t="s">
        <v>1058</v>
      </c>
      <c r="F93" s="53" t="s">
        <v>5</v>
      </c>
      <c r="G93" s="53">
        <v>98</v>
      </c>
      <c r="H93" s="53">
        <v>98</v>
      </c>
      <c r="I93" s="53">
        <v>119</v>
      </c>
      <c r="J93" s="54"/>
      <c r="K93" s="54"/>
      <c r="L93" s="54"/>
      <c r="M93" s="54"/>
      <c r="N93" s="55" t="s">
        <v>5</v>
      </c>
      <c r="O93" s="55" t="s">
        <v>5</v>
      </c>
      <c r="P93" s="55" t="s">
        <v>5</v>
      </c>
      <c r="Q93" s="55" t="s">
        <v>5</v>
      </c>
      <c r="S93" s="2465"/>
      <c r="T93" s="2451"/>
      <c r="U93" s="2435"/>
      <c r="V93" s="2429"/>
      <c r="W93" s="2435"/>
      <c r="X93" s="2435"/>
      <c r="Y93" s="2429"/>
      <c r="Z93" s="2429"/>
      <c r="AA93" s="2445"/>
      <c r="AB93" s="2445"/>
      <c r="AC93" s="2445"/>
      <c r="AD93" s="2445"/>
    </row>
    <row r="94" spans="1:30" ht="15.75" customHeight="1" x14ac:dyDescent="0.25">
      <c r="A94" s="1819"/>
      <c r="B94" s="542" t="s">
        <v>100</v>
      </c>
      <c r="C94" s="760"/>
      <c r="D94" s="760" t="s">
        <v>1057</v>
      </c>
      <c r="E94" s="760" t="s">
        <v>1058</v>
      </c>
      <c r="F94" s="53" t="s">
        <v>5</v>
      </c>
      <c r="G94" s="53">
        <v>165</v>
      </c>
      <c r="H94" s="53">
        <v>152</v>
      </c>
      <c r="I94" s="53">
        <v>149</v>
      </c>
      <c r="J94" s="54"/>
      <c r="K94" s="54"/>
      <c r="L94" s="54"/>
      <c r="M94" s="54"/>
      <c r="N94" s="58" t="s">
        <v>5</v>
      </c>
      <c r="O94" s="58" t="s">
        <v>5</v>
      </c>
      <c r="P94" s="58" t="s">
        <v>5</v>
      </c>
      <c r="Q94" s="58" t="s">
        <v>5</v>
      </c>
      <c r="S94" s="2465"/>
      <c r="T94" s="2451"/>
      <c r="U94" s="2435"/>
      <c r="V94" s="2429"/>
      <c r="W94" s="2435"/>
      <c r="X94" s="2435"/>
      <c r="Y94" s="2429"/>
      <c r="Z94" s="2429"/>
      <c r="AA94" s="2445"/>
      <c r="AB94" s="2445"/>
      <c r="AC94" s="2445"/>
      <c r="AD94" s="2445"/>
    </row>
    <row r="95" spans="1:30" ht="16.5" customHeight="1" x14ac:dyDescent="0.25">
      <c r="A95" s="1819"/>
      <c r="B95" s="641" t="s">
        <v>101</v>
      </c>
      <c r="C95" s="760" t="s">
        <v>429</v>
      </c>
      <c r="D95" s="760" t="s">
        <v>1057</v>
      </c>
      <c r="E95" s="760" t="s">
        <v>1058</v>
      </c>
      <c r="F95" s="53" t="s">
        <v>5</v>
      </c>
      <c r="G95" s="53">
        <v>120</v>
      </c>
      <c r="H95" s="53">
        <v>187</v>
      </c>
      <c r="I95" s="56">
        <v>186.7</v>
      </c>
      <c r="J95" s="54"/>
      <c r="K95" s="54"/>
      <c r="L95" s="54"/>
      <c r="M95" s="54"/>
      <c r="N95" s="58" t="s">
        <v>5</v>
      </c>
      <c r="O95" s="58" t="s">
        <v>5</v>
      </c>
      <c r="P95" s="58" t="s">
        <v>5</v>
      </c>
      <c r="Q95" s="58" t="s">
        <v>5</v>
      </c>
      <c r="S95" s="2465"/>
      <c r="T95" s="2451"/>
      <c r="U95" s="2435"/>
      <c r="V95" s="2429"/>
      <c r="W95" s="2435"/>
      <c r="X95" s="2435"/>
      <c r="Y95" s="2429"/>
      <c r="Z95" s="2429"/>
      <c r="AA95" s="2445"/>
      <c r="AB95" s="2445"/>
      <c r="AC95" s="2445"/>
      <c r="AD95" s="2445"/>
    </row>
    <row r="96" spans="1:30" ht="16.5" customHeight="1" x14ac:dyDescent="0.25">
      <c r="A96" s="1819"/>
      <c r="B96" s="641" t="s">
        <v>630</v>
      </c>
      <c r="C96" s="760"/>
      <c r="D96" s="760" t="s">
        <v>1057</v>
      </c>
      <c r="E96" s="760" t="s">
        <v>1058</v>
      </c>
      <c r="F96" s="53" t="s">
        <v>5</v>
      </c>
      <c r="G96" s="53">
        <v>174</v>
      </c>
      <c r="H96" s="53">
        <v>207</v>
      </c>
      <c r="I96" s="53">
        <v>195</v>
      </c>
      <c r="J96" s="54"/>
      <c r="K96" s="54"/>
      <c r="L96" s="54"/>
      <c r="M96" s="54"/>
      <c r="N96" s="58" t="s">
        <v>5</v>
      </c>
      <c r="O96" s="58" t="s">
        <v>5</v>
      </c>
      <c r="P96" s="58" t="s">
        <v>5</v>
      </c>
      <c r="Q96" s="58" t="s">
        <v>5</v>
      </c>
      <c r="S96" s="2465"/>
      <c r="T96" s="2451"/>
      <c r="U96" s="2435"/>
      <c r="V96" s="2429"/>
      <c r="W96" s="2435"/>
      <c r="X96" s="2435"/>
      <c r="Y96" s="2429"/>
      <c r="Z96" s="2429"/>
      <c r="AA96" s="2445"/>
      <c r="AB96" s="2445"/>
      <c r="AC96" s="2445"/>
      <c r="AD96" s="2445"/>
    </row>
    <row r="97" spans="1:30" ht="16.5" customHeight="1" x14ac:dyDescent="0.25">
      <c r="A97" s="1819"/>
      <c r="B97" s="641" t="s">
        <v>631</v>
      </c>
      <c r="C97" s="760"/>
      <c r="D97" s="760" t="s">
        <v>1057</v>
      </c>
      <c r="E97" s="760" t="s">
        <v>1058</v>
      </c>
      <c r="F97" s="53" t="s">
        <v>5</v>
      </c>
      <c r="G97" s="53">
        <v>139</v>
      </c>
      <c r="H97" s="53">
        <v>144</v>
      </c>
      <c r="I97" s="53">
        <v>146</v>
      </c>
      <c r="J97" s="54"/>
      <c r="K97" s="54"/>
      <c r="L97" s="54"/>
      <c r="M97" s="54"/>
      <c r="N97" s="58" t="s">
        <v>5</v>
      </c>
      <c r="O97" s="58" t="s">
        <v>5</v>
      </c>
      <c r="P97" s="58" t="s">
        <v>5</v>
      </c>
      <c r="Q97" s="58" t="s">
        <v>5</v>
      </c>
      <c r="S97" s="2465"/>
      <c r="T97" s="2451"/>
      <c r="U97" s="2435"/>
      <c r="V97" s="2429"/>
      <c r="W97" s="2435"/>
      <c r="X97" s="2435"/>
      <c r="Y97" s="2429"/>
      <c r="Z97" s="2429"/>
      <c r="AA97" s="2445"/>
      <c r="AB97" s="2445"/>
      <c r="AC97" s="2445"/>
      <c r="AD97" s="2445"/>
    </row>
    <row r="98" spans="1:30" ht="16.5" customHeight="1" x14ac:dyDescent="0.25">
      <c r="A98" s="1819"/>
      <c r="B98" s="641" t="s">
        <v>632</v>
      </c>
      <c r="C98" s="760"/>
      <c r="D98" s="760" t="s">
        <v>1057</v>
      </c>
      <c r="E98" s="760" t="s">
        <v>1058</v>
      </c>
      <c r="F98" s="53" t="s">
        <v>5</v>
      </c>
      <c r="G98" s="53">
        <v>146</v>
      </c>
      <c r="H98" s="53">
        <v>142</v>
      </c>
      <c r="I98" s="53">
        <v>154</v>
      </c>
      <c r="J98" s="54"/>
      <c r="K98" s="54"/>
      <c r="L98" s="54"/>
      <c r="M98" s="54"/>
      <c r="N98" s="58" t="s">
        <v>5</v>
      </c>
      <c r="O98" s="58" t="s">
        <v>5</v>
      </c>
      <c r="P98" s="58" t="s">
        <v>5</v>
      </c>
      <c r="Q98" s="58" t="s">
        <v>5</v>
      </c>
      <c r="S98" s="2465"/>
      <c r="T98" s="2451"/>
      <c r="U98" s="2435"/>
      <c r="V98" s="2429"/>
      <c r="W98" s="2435"/>
      <c r="X98" s="2435"/>
      <c r="Y98" s="2429"/>
      <c r="Z98" s="2429"/>
      <c r="AA98" s="2445"/>
      <c r="AB98" s="2445"/>
      <c r="AC98" s="2445"/>
      <c r="AD98" s="2445"/>
    </row>
    <row r="99" spans="1:30" ht="16.5" customHeight="1" x14ac:dyDescent="0.25">
      <c r="A99" s="1819"/>
      <c r="B99" s="641" t="s">
        <v>633</v>
      </c>
      <c r="C99" s="760"/>
      <c r="D99" s="760" t="s">
        <v>1057</v>
      </c>
      <c r="E99" s="760" t="s">
        <v>1058</v>
      </c>
      <c r="F99" s="53" t="s">
        <v>5</v>
      </c>
      <c r="G99" s="53">
        <v>131</v>
      </c>
      <c r="H99" s="53">
        <v>136</v>
      </c>
      <c r="I99" s="53">
        <v>131</v>
      </c>
      <c r="J99" s="54"/>
      <c r="K99" s="54"/>
      <c r="L99" s="54"/>
      <c r="M99" s="54"/>
      <c r="N99" s="58" t="s">
        <v>5</v>
      </c>
      <c r="O99" s="58" t="s">
        <v>5</v>
      </c>
      <c r="P99" s="58" t="s">
        <v>5</v>
      </c>
      <c r="Q99" s="58" t="s">
        <v>5</v>
      </c>
      <c r="S99" s="2465"/>
      <c r="T99" s="2451"/>
      <c r="U99" s="2435"/>
      <c r="V99" s="2429"/>
      <c r="W99" s="2435"/>
      <c r="X99" s="2435"/>
      <c r="Y99" s="2429"/>
      <c r="Z99" s="2429"/>
      <c r="AA99" s="2445"/>
      <c r="AB99" s="2445"/>
      <c r="AC99" s="2445"/>
      <c r="AD99" s="2445"/>
    </row>
    <row r="100" spans="1:30" ht="16.5" customHeight="1" x14ac:dyDescent="0.25">
      <c r="A100" s="1819"/>
      <c r="B100" s="641" t="s">
        <v>634</v>
      </c>
      <c r="C100" s="760"/>
      <c r="D100" s="760" t="s">
        <v>1057</v>
      </c>
      <c r="E100" s="760" t="s">
        <v>1058</v>
      </c>
      <c r="F100" s="53" t="s">
        <v>5</v>
      </c>
      <c r="G100" s="53">
        <v>360</v>
      </c>
      <c r="H100" s="53">
        <v>188</v>
      </c>
      <c r="I100" s="53">
        <v>172</v>
      </c>
      <c r="J100" s="54"/>
      <c r="K100" s="54"/>
      <c r="L100" s="54"/>
      <c r="M100" s="54"/>
      <c r="N100" s="58" t="s">
        <v>5</v>
      </c>
      <c r="O100" s="58" t="s">
        <v>5</v>
      </c>
      <c r="P100" s="58" t="s">
        <v>5</v>
      </c>
      <c r="Q100" s="58" t="s">
        <v>5</v>
      </c>
      <c r="S100" s="2465"/>
      <c r="T100" s="2451"/>
      <c r="U100" s="2435"/>
      <c r="V100" s="2429"/>
      <c r="W100" s="2435"/>
      <c r="X100" s="2435"/>
      <c r="Y100" s="2429"/>
      <c r="Z100" s="2429"/>
      <c r="AA100" s="2445"/>
      <c r="AB100" s="2445"/>
      <c r="AC100" s="2445"/>
      <c r="AD100" s="2445"/>
    </row>
    <row r="101" spans="1:30" ht="16.5" customHeight="1" thickBot="1" x14ac:dyDescent="0.3">
      <c r="A101" s="1820"/>
      <c r="B101" s="544" t="s">
        <v>635</v>
      </c>
      <c r="C101" s="760"/>
      <c r="D101" s="760" t="s">
        <v>1057</v>
      </c>
      <c r="E101" s="760" t="s">
        <v>1058</v>
      </c>
      <c r="F101" s="53" t="s">
        <v>5</v>
      </c>
      <c r="G101" s="53">
        <v>110</v>
      </c>
      <c r="H101" s="53">
        <v>123</v>
      </c>
      <c r="I101" s="53">
        <v>116</v>
      </c>
      <c r="J101" s="54"/>
      <c r="K101" s="54"/>
      <c r="L101" s="54"/>
      <c r="M101" s="54"/>
      <c r="N101" s="58" t="s">
        <v>5</v>
      </c>
      <c r="O101" s="58" t="s">
        <v>5</v>
      </c>
      <c r="P101" s="58" t="s">
        <v>5</v>
      </c>
      <c r="Q101" s="58" t="s">
        <v>5</v>
      </c>
      <c r="S101" s="2452"/>
      <c r="T101" s="2452"/>
      <c r="U101" s="2436"/>
      <c r="V101" s="2436"/>
      <c r="W101" s="2436"/>
      <c r="X101" s="2436"/>
      <c r="Y101" s="2436"/>
      <c r="Z101" s="2436"/>
      <c r="AA101" s="2449"/>
      <c r="AB101" s="2449"/>
      <c r="AC101" s="2449"/>
      <c r="AD101" s="2449"/>
    </row>
    <row r="102" spans="1:30" ht="16.5" customHeight="1" thickBot="1" x14ac:dyDescent="0.3">
      <c r="A102" s="962" t="s">
        <v>521</v>
      </c>
      <c r="B102" s="266" t="s">
        <v>523</v>
      </c>
      <c r="C102" s="762"/>
      <c r="D102" s="762" t="s">
        <v>1059</v>
      </c>
      <c r="E102" s="762" t="s">
        <v>1060</v>
      </c>
      <c r="F102" s="53">
        <v>143</v>
      </c>
      <c r="G102" s="53"/>
      <c r="H102" s="53"/>
      <c r="I102" s="53"/>
      <c r="J102" s="54"/>
      <c r="K102" s="54"/>
      <c r="L102" s="54"/>
      <c r="M102" s="54"/>
      <c r="N102" s="58">
        <f>(62636000/1200392)/365*1000</f>
        <v>142.95786664027648</v>
      </c>
      <c r="O102" s="58"/>
      <c r="P102" s="58"/>
      <c r="Q102" s="58"/>
      <c r="S102" s="934">
        <v>143</v>
      </c>
      <c r="T102" s="934">
        <f>F102</f>
        <v>143</v>
      </c>
      <c r="U102" s="934"/>
      <c r="V102" s="934"/>
      <c r="W102" s="934"/>
      <c r="X102" s="934"/>
      <c r="Y102" s="934"/>
      <c r="Z102" s="934"/>
      <c r="AA102" s="928">
        <v>143</v>
      </c>
      <c r="AB102" s="928"/>
      <c r="AC102" s="928"/>
      <c r="AD102" s="928"/>
    </row>
    <row r="103" spans="1:30" ht="16.149999999999999" customHeight="1" x14ac:dyDescent="0.25">
      <c r="A103" s="1878" t="s">
        <v>14</v>
      </c>
      <c r="B103" s="737" t="s">
        <v>96</v>
      </c>
      <c r="C103" s="763"/>
      <c r="D103" s="763" t="s">
        <v>1061</v>
      </c>
      <c r="E103" s="763" t="s">
        <v>1062</v>
      </c>
      <c r="F103" s="53">
        <v>121</v>
      </c>
      <c r="G103" s="53">
        <v>120</v>
      </c>
      <c r="H103" s="53" t="s">
        <v>5</v>
      </c>
      <c r="I103" s="53"/>
      <c r="J103" s="54"/>
      <c r="K103" s="54"/>
      <c r="L103" s="54"/>
      <c r="M103" s="54"/>
      <c r="N103" s="58">
        <f>(4455/81.15)/365*1000</f>
        <v>150.40640113437823</v>
      </c>
      <c r="O103" s="58" t="s">
        <v>5</v>
      </c>
      <c r="P103" s="58" t="s">
        <v>5</v>
      </c>
      <c r="Q103" s="58"/>
      <c r="S103" s="59">
        <v>121</v>
      </c>
      <c r="T103" s="59">
        <f>F103</f>
        <v>121</v>
      </c>
      <c r="U103" s="59">
        <v>120</v>
      </c>
      <c r="V103" s="59">
        <f>G103</f>
        <v>120</v>
      </c>
      <c r="W103" s="59" t="s">
        <v>5</v>
      </c>
      <c r="X103" s="59" t="s">
        <v>5</v>
      </c>
      <c r="Y103" s="59"/>
      <c r="Z103" s="59"/>
      <c r="AA103" s="62">
        <v>150</v>
      </c>
      <c r="AB103" s="62" t="s">
        <v>5</v>
      </c>
      <c r="AC103" s="62" t="s">
        <v>5</v>
      </c>
      <c r="AD103" s="62"/>
    </row>
    <row r="104" spans="1:30" ht="15.6" customHeight="1" x14ac:dyDescent="0.25">
      <c r="A104" s="1758"/>
      <c r="B104" s="739" t="s">
        <v>939</v>
      </c>
      <c r="C104" s="761" t="s">
        <v>429</v>
      </c>
      <c r="D104" s="761" t="s">
        <v>1061</v>
      </c>
      <c r="E104" s="761" t="s">
        <v>1062</v>
      </c>
      <c r="F104" s="53" t="s">
        <v>5</v>
      </c>
      <c r="G104" s="53" t="s">
        <v>5</v>
      </c>
      <c r="H104" s="53" t="s">
        <v>5</v>
      </c>
      <c r="I104" s="53">
        <v>114</v>
      </c>
      <c r="J104" s="54"/>
      <c r="K104" s="54"/>
      <c r="L104" s="54"/>
      <c r="M104" s="54"/>
      <c r="N104" s="58" t="s">
        <v>5</v>
      </c>
      <c r="O104" s="58" t="s">
        <v>5</v>
      </c>
      <c r="P104" s="58" t="s">
        <v>5</v>
      </c>
      <c r="Q104" s="58">
        <f>(205821000/3653000)/366*1000</f>
        <v>153.94263865764947</v>
      </c>
      <c r="S104" s="447" t="s">
        <v>5</v>
      </c>
      <c r="T104" s="447" t="s">
        <v>5</v>
      </c>
      <c r="U104" s="447" t="s">
        <v>5</v>
      </c>
      <c r="V104" s="447" t="s">
        <v>5</v>
      </c>
      <c r="W104" s="447" t="s">
        <v>5</v>
      </c>
      <c r="X104" s="447" t="s">
        <v>5</v>
      </c>
      <c r="Y104" s="447">
        <v>114</v>
      </c>
      <c r="Z104" s="447">
        <v>114</v>
      </c>
      <c r="AA104" s="948" t="s">
        <v>5</v>
      </c>
      <c r="AB104" s="948" t="s">
        <v>5</v>
      </c>
      <c r="AC104" s="948" t="s">
        <v>5</v>
      </c>
      <c r="AD104" s="738">
        <v>153.94263865764947</v>
      </c>
    </row>
    <row r="105" spans="1:30" ht="15.75" customHeight="1" x14ac:dyDescent="0.25">
      <c r="A105" s="2004" t="s">
        <v>35</v>
      </c>
      <c r="B105" s="501" t="s">
        <v>712</v>
      </c>
      <c r="C105" s="457"/>
      <c r="D105" s="457" t="s">
        <v>1063</v>
      </c>
      <c r="E105" s="457" t="s">
        <v>1064</v>
      </c>
      <c r="F105" s="53" t="s">
        <v>5</v>
      </c>
      <c r="G105" s="53" t="s">
        <v>5</v>
      </c>
      <c r="H105" s="53">
        <v>199</v>
      </c>
      <c r="I105" s="53"/>
      <c r="J105" s="54"/>
      <c r="K105" s="54"/>
      <c r="L105" s="54"/>
      <c r="M105" s="54"/>
      <c r="N105" s="55" t="s">
        <v>5</v>
      </c>
      <c r="O105" s="55" t="s">
        <v>5</v>
      </c>
      <c r="P105" s="58">
        <f>(5837022/80170)/365*1000</f>
        <v>199.47413116989409</v>
      </c>
      <c r="Q105" s="58"/>
      <c r="S105" s="2450" t="s">
        <v>5</v>
      </c>
      <c r="T105" s="2450" t="s">
        <v>5</v>
      </c>
      <c r="U105" s="2450" t="s">
        <v>5</v>
      </c>
      <c r="V105" s="2450" t="s">
        <v>5</v>
      </c>
      <c r="W105" s="2434">
        <f>SUM(H105:H109)/5</f>
        <v>196.8</v>
      </c>
      <c r="X105" s="2450">
        <f>MEDIAN(H105:H109)</f>
        <v>193</v>
      </c>
      <c r="Y105" s="932"/>
      <c r="Z105" s="932"/>
      <c r="AA105" s="2437" t="s">
        <v>5</v>
      </c>
      <c r="AB105" s="2437" t="s">
        <v>5</v>
      </c>
      <c r="AC105" s="2444">
        <f>SUM(P105:P109)/5</f>
        <v>196.9402708539387</v>
      </c>
      <c r="AD105" s="2444"/>
    </row>
    <row r="106" spans="1:30" ht="15.75" customHeight="1" x14ac:dyDescent="0.25">
      <c r="A106" s="2005"/>
      <c r="B106" s="457" t="s">
        <v>713</v>
      </c>
      <c r="C106" s="457"/>
      <c r="D106" s="457" t="s">
        <v>1063</v>
      </c>
      <c r="E106" s="457" t="s">
        <v>1064</v>
      </c>
      <c r="F106" s="53" t="s">
        <v>5</v>
      </c>
      <c r="G106" s="53" t="s">
        <v>5</v>
      </c>
      <c r="H106" s="53">
        <v>193</v>
      </c>
      <c r="I106" s="53"/>
      <c r="J106" s="54"/>
      <c r="K106" s="54"/>
      <c r="L106" s="54"/>
      <c r="M106" s="54"/>
      <c r="N106" s="55" t="s">
        <v>5</v>
      </c>
      <c r="O106" s="55" t="s">
        <v>5</v>
      </c>
      <c r="P106" s="58">
        <f>(5150000/72960)/365*1000</f>
        <v>193.38800769045903</v>
      </c>
      <c r="Q106" s="58"/>
      <c r="S106" s="2451"/>
      <c r="T106" s="2451"/>
      <c r="U106" s="2451"/>
      <c r="V106" s="2451"/>
      <c r="W106" s="2429"/>
      <c r="X106" s="2451"/>
      <c r="Y106" s="933"/>
      <c r="Z106" s="933"/>
      <c r="AA106" s="2448"/>
      <c r="AB106" s="2448"/>
      <c r="AC106" s="2432"/>
      <c r="AD106" s="2432"/>
    </row>
    <row r="107" spans="1:30" ht="15.75" customHeight="1" x14ac:dyDescent="0.25">
      <c r="A107" s="2005"/>
      <c r="B107" s="457" t="s">
        <v>714</v>
      </c>
      <c r="C107" s="457"/>
      <c r="D107" s="457" t="s">
        <v>1063</v>
      </c>
      <c r="E107" s="457" t="s">
        <v>1064</v>
      </c>
      <c r="F107" s="53" t="s">
        <v>5</v>
      </c>
      <c r="G107" s="53" t="s">
        <v>5</v>
      </c>
      <c r="H107" s="53">
        <v>119</v>
      </c>
      <c r="I107" s="53"/>
      <c r="J107" s="54"/>
      <c r="K107" s="54"/>
      <c r="L107" s="54"/>
      <c r="M107" s="54"/>
      <c r="N107" s="55" t="s">
        <v>5</v>
      </c>
      <c r="O107" s="55" t="s">
        <v>5</v>
      </c>
      <c r="P107" s="58">
        <f>(1120449/25814)/365*1000</f>
        <v>118.91699417646366</v>
      </c>
      <c r="Q107" s="58"/>
      <c r="S107" s="2451"/>
      <c r="T107" s="2451"/>
      <c r="U107" s="2451"/>
      <c r="V107" s="2451"/>
      <c r="W107" s="2429"/>
      <c r="X107" s="2451"/>
      <c r="Y107" s="933"/>
      <c r="Z107" s="933"/>
      <c r="AA107" s="2448"/>
      <c r="AB107" s="2448"/>
      <c r="AC107" s="2432"/>
      <c r="AD107" s="2432"/>
    </row>
    <row r="108" spans="1:30" ht="15.75" customHeight="1" x14ac:dyDescent="0.25">
      <c r="A108" s="2005"/>
      <c r="B108" s="457" t="s">
        <v>715</v>
      </c>
      <c r="C108" s="457" t="s">
        <v>429</v>
      </c>
      <c r="D108" s="457" t="s">
        <v>1063</v>
      </c>
      <c r="E108" s="457" t="s">
        <v>1064</v>
      </c>
      <c r="F108" s="53" t="s">
        <v>5</v>
      </c>
      <c r="G108" s="53" t="s">
        <v>5</v>
      </c>
      <c r="H108" s="53">
        <v>289</v>
      </c>
      <c r="I108" s="53"/>
      <c r="J108" s="54"/>
      <c r="K108" s="54"/>
      <c r="L108" s="54"/>
      <c r="M108" s="54"/>
      <c r="N108" s="55" t="s">
        <v>5</v>
      </c>
      <c r="O108" s="55" t="s">
        <v>5</v>
      </c>
      <c r="P108" s="58">
        <f>(422466443/4000000)/365*1000</f>
        <v>289.36057739726027</v>
      </c>
      <c r="Q108" s="58"/>
      <c r="S108" s="2451"/>
      <c r="T108" s="2451"/>
      <c r="U108" s="2451"/>
      <c r="V108" s="2451"/>
      <c r="W108" s="2429"/>
      <c r="X108" s="2451"/>
      <c r="Y108" s="933"/>
      <c r="Z108" s="933"/>
      <c r="AA108" s="2448"/>
      <c r="AB108" s="2448"/>
      <c r="AC108" s="2432"/>
      <c r="AD108" s="2432"/>
    </row>
    <row r="109" spans="1:30" ht="16.5" customHeight="1" thickBot="1" x14ac:dyDescent="0.3">
      <c r="A109" s="2006"/>
      <c r="B109" s="268" t="s">
        <v>716</v>
      </c>
      <c r="C109" s="457"/>
      <c r="D109" s="457" t="s">
        <v>1063</v>
      </c>
      <c r="E109" s="457" t="s">
        <v>1064</v>
      </c>
      <c r="F109" s="53" t="s">
        <v>5</v>
      </c>
      <c r="G109" s="53" t="s">
        <v>5</v>
      </c>
      <c r="H109" s="53">
        <v>184</v>
      </c>
      <c r="I109" s="53"/>
      <c r="J109" s="54"/>
      <c r="K109" s="54"/>
      <c r="L109" s="54"/>
      <c r="M109" s="54"/>
      <c r="N109" s="55" t="s">
        <v>5</v>
      </c>
      <c r="O109" s="55" t="s">
        <v>5</v>
      </c>
      <c r="P109" s="58">
        <f>(67000000/1000000)/365*1000</f>
        <v>183.56164383561642</v>
      </c>
      <c r="Q109" s="58"/>
      <c r="S109" s="2452"/>
      <c r="T109" s="2452"/>
      <c r="U109" s="2452"/>
      <c r="V109" s="2452"/>
      <c r="W109" s="2436"/>
      <c r="X109" s="2452"/>
      <c r="Y109" s="934"/>
      <c r="Z109" s="934"/>
      <c r="AA109" s="2439"/>
      <c r="AB109" s="2439"/>
      <c r="AC109" s="2449"/>
      <c r="AD109" s="2449"/>
    </row>
    <row r="110" spans="1:30" ht="15.75" customHeight="1" x14ac:dyDescent="0.25">
      <c r="A110" s="1818" t="s">
        <v>45</v>
      </c>
      <c r="B110" s="541" t="s">
        <v>102</v>
      </c>
      <c r="C110" s="760" t="s">
        <v>429</v>
      </c>
      <c r="D110" s="760" t="s">
        <v>1065</v>
      </c>
      <c r="E110" s="760" t="s">
        <v>1066</v>
      </c>
      <c r="F110" s="53">
        <v>147</v>
      </c>
      <c r="G110" s="53">
        <v>150</v>
      </c>
      <c r="H110" s="53">
        <v>126</v>
      </c>
      <c r="I110" s="53">
        <v>129</v>
      </c>
      <c r="J110" s="54"/>
      <c r="K110" s="54"/>
      <c r="L110" s="54"/>
      <c r="M110" s="54"/>
      <c r="N110" s="58">
        <f>(138321/1778)/365*1000</f>
        <v>213.13928224725333</v>
      </c>
      <c r="O110" s="58">
        <f>(138620000/1799000)/366*1000</f>
        <v>210.52983290656314</v>
      </c>
      <c r="P110" s="58">
        <f>(85725000/1858000)/365*1000</f>
        <v>126.40635828774496</v>
      </c>
      <c r="Q110" s="58">
        <f>(87409000/1858000)/366*1000</f>
        <v>128.53735434423288</v>
      </c>
      <c r="S110" s="2434">
        <f>SUM(F110:F113)/4</f>
        <v>105.5</v>
      </c>
      <c r="T110" s="2434">
        <f>MEDIAN(F110:F114)</f>
        <v>96.5</v>
      </c>
      <c r="U110" s="2434">
        <f>SUM(G110:G114)/5</f>
        <v>99</v>
      </c>
      <c r="V110" s="2434">
        <f>MEDIAN(G110:G114)</f>
        <v>85</v>
      </c>
      <c r="W110" s="2434">
        <f>SUM(H110:H114)/5</f>
        <v>90.2</v>
      </c>
      <c r="X110" s="2434">
        <f>MEDIAN(H110:H114)</f>
        <v>82</v>
      </c>
      <c r="Y110" s="2434">
        <f>SUM(I110:I114)/5</f>
        <v>97.6</v>
      </c>
      <c r="Z110" s="2434">
        <f>MEDIAN(I110:I114)</f>
        <v>85</v>
      </c>
      <c r="AA110" s="2444">
        <f>SUM(N110:N113)/4</f>
        <v>151.44144777951647</v>
      </c>
      <c r="AB110" s="2444">
        <f>SUM(O110:O114)/5</f>
        <v>139.09814569817587</v>
      </c>
      <c r="AC110" s="2444">
        <f>SUM(P110:P114)/5</f>
        <v>90.245195583135157</v>
      </c>
      <c r="AD110" s="2444">
        <f>SUM(Q110:Q114)/5</f>
        <v>97.472542714408149</v>
      </c>
    </row>
    <row r="111" spans="1:30" ht="15.75" customHeight="1" x14ac:dyDescent="0.25">
      <c r="A111" s="1819"/>
      <c r="B111" s="542" t="s">
        <v>103</v>
      </c>
      <c r="C111" s="760"/>
      <c r="D111" s="760" t="s">
        <v>1065</v>
      </c>
      <c r="E111" s="760" t="s">
        <v>1066</v>
      </c>
      <c r="F111" s="53">
        <v>108</v>
      </c>
      <c r="G111" s="53">
        <v>100</v>
      </c>
      <c r="H111" s="53">
        <v>85</v>
      </c>
      <c r="I111" s="53">
        <v>116</v>
      </c>
      <c r="J111" s="57"/>
      <c r="K111" s="57"/>
      <c r="L111" s="57"/>
      <c r="M111" s="57"/>
      <c r="N111" s="58">
        <f>(11803/213.5)/365*1000</f>
        <v>151.46129415161531</v>
      </c>
      <c r="O111" s="58">
        <f>(11429000/213300)/366*1000</f>
        <v>146.39838704305743</v>
      </c>
      <c r="P111" s="58">
        <f>(6489000/209000)/365*1000</f>
        <v>85.062594219047</v>
      </c>
      <c r="Q111" s="58">
        <f>(8882000/209000)/366*1000</f>
        <v>116.113682118859</v>
      </c>
      <c r="S111" s="2429"/>
      <c r="T111" s="2429"/>
      <c r="U111" s="2435"/>
      <c r="V111" s="2429"/>
      <c r="W111" s="2435"/>
      <c r="X111" s="2435"/>
      <c r="Y111" s="2435"/>
      <c r="Z111" s="2429"/>
      <c r="AA111" s="2432"/>
      <c r="AB111" s="2445"/>
      <c r="AC111" s="2445"/>
      <c r="AD111" s="2445"/>
    </row>
    <row r="112" spans="1:30" ht="15.75" customHeight="1" x14ac:dyDescent="0.25">
      <c r="A112" s="1819"/>
      <c r="B112" s="542" t="s">
        <v>104</v>
      </c>
      <c r="C112" s="760"/>
      <c r="D112" s="760" t="s">
        <v>1065</v>
      </c>
      <c r="E112" s="760" t="s">
        <v>1066</v>
      </c>
      <c r="F112" s="53">
        <v>82</v>
      </c>
      <c r="G112" s="53">
        <v>80</v>
      </c>
      <c r="H112" s="53">
        <v>79</v>
      </c>
      <c r="I112" s="53">
        <v>78</v>
      </c>
      <c r="J112" s="57"/>
      <c r="K112" s="57"/>
      <c r="L112" s="57"/>
      <c r="M112" s="57"/>
      <c r="N112" s="58">
        <f>(7464/173)/365*1000</f>
        <v>118.20413334389104</v>
      </c>
      <c r="O112" s="58">
        <f>(6901000/170000)/366*1000</f>
        <v>110.91288974606236</v>
      </c>
      <c r="P112" s="58">
        <f>(4766000/166000)/365*1000</f>
        <v>78.65984485888761</v>
      </c>
      <c r="Q112" s="58">
        <f>(4749000/166000)/366*1000</f>
        <v>78.165119494370927</v>
      </c>
      <c r="S112" s="2429"/>
      <c r="T112" s="2429"/>
      <c r="U112" s="2435"/>
      <c r="V112" s="2429"/>
      <c r="W112" s="2435"/>
      <c r="X112" s="2435"/>
      <c r="Y112" s="2435"/>
      <c r="Z112" s="2429"/>
      <c r="AA112" s="2432"/>
      <c r="AB112" s="2445"/>
      <c r="AC112" s="2445"/>
      <c r="AD112" s="2445"/>
    </row>
    <row r="113" spans="1:30" ht="16.5" customHeight="1" x14ac:dyDescent="0.25">
      <c r="A113" s="1819"/>
      <c r="B113" s="543" t="s">
        <v>105</v>
      </c>
      <c r="C113" s="760"/>
      <c r="D113" s="760" t="s">
        <v>1065</v>
      </c>
      <c r="E113" s="760" t="s">
        <v>1066</v>
      </c>
      <c r="F113" s="53">
        <v>85</v>
      </c>
      <c r="G113" s="53">
        <v>85</v>
      </c>
      <c r="H113" s="53">
        <v>82</v>
      </c>
      <c r="I113" s="53">
        <v>85</v>
      </c>
      <c r="J113" s="57"/>
      <c r="K113" s="57"/>
      <c r="L113" s="57"/>
      <c r="M113" s="57"/>
      <c r="N113" s="58">
        <f>(6777/151)/365*1000</f>
        <v>122.96108137530619</v>
      </c>
      <c r="O113" s="58">
        <f>(7034000/167000)/366*1000</f>
        <v>115.08131278426752</v>
      </c>
      <c r="P113" s="58">
        <f>(4923000/164000)/365*1000</f>
        <v>82.241897761443369</v>
      </c>
      <c r="Q113" s="58">
        <f>(5111000/164000)/366*1000</f>
        <v>85.149273623883772</v>
      </c>
      <c r="S113" s="2429"/>
      <c r="T113" s="2429"/>
      <c r="U113" s="2435"/>
      <c r="V113" s="2429"/>
      <c r="W113" s="2435"/>
      <c r="X113" s="2435"/>
      <c r="Y113" s="2435"/>
      <c r="Z113" s="2429"/>
      <c r="AA113" s="2432"/>
      <c r="AB113" s="2445"/>
      <c r="AC113" s="2445"/>
      <c r="AD113" s="2445"/>
    </row>
    <row r="114" spans="1:30" ht="16.5" customHeight="1" thickBot="1" x14ac:dyDescent="0.3">
      <c r="A114" s="1820"/>
      <c r="B114" s="544" t="s">
        <v>613</v>
      </c>
      <c r="C114" s="760"/>
      <c r="D114" s="760" t="s">
        <v>1065</v>
      </c>
      <c r="E114" s="760" t="s">
        <v>1066</v>
      </c>
      <c r="F114" s="53" t="s">
        <v>5</v>
      </c>
      <c r="G114" s="53">
        <v>80</v>
      </c>
      <c r="H114" s="53">
        <v>79</v>
      </c>
      <c r="I114" s="53">
        <v>80</v>
      </c>
      <c r="J114" s="57"/>
      <c r="K114" s="57"/>
      <c r="L114" s="57"/>
      <c r="M114" s="57"/>
      <c r="N114" s="58" t="s">
        <v>5</v>
      </c>
      <c r="O114" s="58">
        <f>(2884000/70000)/366*1000</f>
        <v>112.56830601092898</v>
      </c>
      <c r="P114" s="58">
        <f>(2907000/101000)/365*1000</f>
        <v>78.855282788552827</v>
      </c>
      <c r="Q114" s="58">
        <f>(2935000/101000)/366*1000</f>
        <v>79.397283990694149</v>
      </c>
      <c r="S114" s="2436"/>
      <c r="T114" s="2436"/>
      <c r="U114" s="2436"/>
      <c r="V114" s="2436"/>
      <c r="W114" s="2436"/>
      <c r="X114" s="2436"/>
      <c r="Y114" s="2436"/>
      <c r="Z114" s="2436"/>
      <c r="AA114" s="2449"/>
      <c r="AB114" s="2449"/>
      <c r="AC114" s="2449"/>
      <c r="AD114" s="2449"/>
    </row>
    <row r="115" spans="1:30" ht="16.5" customHeight="1" thickBot="1" x14ac:dyDescent="0.3">
      <c r="A115" s="959" t="s">
        <v>754</v>
      </c>
      <c r="B115" s="260" t="s">
        <v>755</v>
      </c>
      <c r="C115" s="764"/>
      <c r="D115" s="764" t="s">
        <v>1067</v>
      </c>
      <c r="E115" s="764" t="s">
        <v>1068</v>
      </c>
      <c r="F115" s="53" t="s">
        <v>5</v>
      </c>
      <c r="G115" s="53" t="s">
        <v>5</v>
      </c>
      <c r="H115" s="53" t="s">
        <v>5</v>
      </c>
      <c r="I115" s="53"/>
      <c r="J115" s="57"/>
      <c r="K115" s="57"/>
      <c r="L115" s="57"/>
      <c r="M115" s="57"/>
      <c r="N115" s="58" t="s">
        <v>5</v>
      </c>
      <c r="O115" s="58" t="s">
        <v>5</v>
      </c>
      <c r="P115" s="58" t="s">
        <v>5</v>
      </c>
      <c r="Q115" s="58"/>
      <c r="S115" s="938" t="s">
        <v>5</v>
      </c>
      <c r="T115" s="936" t="s">
        <v>5</v>
      </c>
      <c r="U115" s="938" t="s">
        <v>5</v>
      </c>
      <c r="V115" s="936" t="s">
        <v>5</v>
      </c>
      <c r="W115" s="938" t="s">
        <v>5</v>
      </c>
      <c r="X115" s="938" t="s">
        <v>5</v>
      </c>
      <c r="Y115" s="936"/>
      <c r="Z115" s="936"/>
      <c r="AA115" s="945" t="s">
        <v>5</v>
      </c>
      <c r="AB115" s="945" t="s">
        <v>5</v>
      </c>
      <c r="AC115" s="945" t="s">
        <v>5</v>
      </c>
      <c r="AD115" s="945"/>
    </row>
    <row r="116" spans="1:30" ht="16.5" customHeight="1" x14ac:dyDescent="0.25">
      <c r="A116" s="1833" t="s">
        <v>466</v>
      </c>
      <c r="B116" s="299" t="s">
        <v>606</v>
      </c>
      <c r="C116" s="763" t="s">
        <v>429</v>
      </c>
      <c r="D116" s="763" t="s">
        <v>1069</v>
      </c>
      <c r="E116" s="763" t="s">
        <v>1070</v>
      </c>
      <c r="F116" s="53" t="s">
        <v>5</v>
      </c>
      <c r="G116" s="53">
        <v>260</v>
      </c>
      <c r="H116" s="53"/>
      <c r="I116" s="53"/>
      <c r="J116" s="57"/>
      <c r="K116" s="57"/>
      <c r="L116" s="57"/>
      <c r="M116" s="57"/>
      <c r="N116" s="58" t="s">
        <v>5</v>
      </c>
      <c r="O116" s="58">
        <f>(782355600/8244000)/366*1000</f>
        <v>259.28961748633884</v>
      </c>
      <c r="P116" s="58"/>
      <c r="Q116" s="58"/>
      <c r="S116" s="2434" t="s">
        <v>5</v>
      </c>
      <c r="T116" s="2434" t="s">
        <v>5</v>
      </c>
      <c r="U116" s="2434">
        <f>SUM(G116:G120)/5</f>
        <v>214.2</v>
      </c>
      <c r="V116" s="2434">
        <f>MEDIAN(G116:G120)</f>
        <v>219</v>
      </c>
      <c r="W116" s="2434"/>
      <c r="X116" s="2434"/>
      <c r="Y116" s="935"/>
      <c r="Z116" s="935"/>
      <c r="AA116" s="2444" t="s">
        <v>5</v>
      </c>
      <c r="AB116" s="2444">
        <f>SUM(O116:O120)/5</f>
        <v>213.61475409836066</v>
      </c>
      <c r="AC116" s="2444"/>
      <c r="AD116" s="2444"/>
    </row>
    <row r="117" spans="1:30" ht="16.5" customHeight="1" x14ac:dyDescent="0.25">
      <c r="A117" s="1834"/>
      <c r="B117" s="298" t="s">
        <v>607</v>
      </c>
      <c r="C117" s="763"/>
      <c r="D117" s="763" t="s">
        <v>1069</v>
      </c>
      <c r="E117" s="763" t="s">
        <v>1070</v>
      </c>
      <c r="F117" s="53" t="s">
        <v>5</v>
      </c>
      <c r="G117" s="53">
        <v>162</v>
      </c>
      <c r="H117" s="53"/>
      <c r="I117" s="53"/>
      <c r="J117" s="57"/>
      <c r="K117" s="57"/>
      <c r="L117" s="57"/>
      <c r="M117" s="57"/>
      <c r="N117" s="58" t="s">
        <v>5</v>
      </c>
      <c r="O117" s="58">
        <f>(116959140/1978000)/366*1000</f>
        <v>161.55737704918033</v>
      </c>
      <c r="P117" s="58"/>
      <c r="Q117" s="58"/>
      <c r="S117" s="2429"/>
      <c r="T117" s="2429"/>
      <c r="U117" s="2435"/>
      <c r="V117" s="2429"/>
      <c r="W117" s="2435"/>
      <c r="X117" s="2429"/>
      <c r="Y117" s="936"/>
      <c r="Z117" s="936"/>
      <c r="AA117" s="2432"/>
      <c r="AB117" s="2445"/>
      <c r="AC117" s="2445"/>
      <c r="AD117" s="2445"/>
    </row>
    <row r="118" spans="1:30" ht="16.5" customHeight="1" x14ac:dyDescent="0.25">
      <c r="A118" s="1834"/>
      <c r="B118" s="298" t="s">
        <v>608</v>
      </c>
      <c r="C118" s="763"/>
      <c r="D118" s="763" t="s">
        <v>1069</v>
      </c>
      <c r="E118" s="763" t="s">
        <v>1070</v>
      </c>
      <c r="F118" s="53" t="s">
        <v>5</v>
      </c>
      <c r="G118" s="53">
        <v>219</v>
      </c>
      <c r="H118" s="53"/>
      <c r="I118" s="53"/>
      <c r="J118" s="57"/>
      <c r="K118" s="57"/>
      <c r="L118" s="57"/>
      <c r="M118" s="57"/>
      <c r="N118" s="58" t="s">
        <v>5</v>
      </c>
      <c r="O118" s="58">
        <f>(123819315/1549000)/366*1000</f>
        <v>218.40163934426229</v>
      </c>
      <c r="P118" s="58"/>
      <c r="Q118" s="58"/>
      <c r="S118" s="2429"/>
      <c r="T118" s="2429"/>
      <c r="U118" s="2435"/>
      <c r="V118" s="2429"/>
      <c r="W118" s="2435"/>
      <c r="X118" s="2429"/>
      <c r="Y118" s="936"/>
      <c r="Z118" s="936"/>
      <c r="AA118" s="2432"/>
      <c r="AB118" s="2445"/>
      <c r="AC118" s="2445"/>
      <c r="AD118" s="2445"/>
    </row>
    <row r="119" spans="1:30" ht="16.5" customHeight="1" x14ac:dyDescent="0.25">
      <c r="A119" s="1834"/>
      <c r="B119" s="298" t="s">
        <v>609</v>
      </c>
      <c r="C119" s="763"/>
      <c r="D119" s="763" t="s">
        <v>1069</v>
      </c>
      <c r="E119" s="763" t="s">
        <v>1070</v>
      </c>
      <c r="F119" s="53" t="s">
        <v>5</v>
      </c>
      <c r="G119" s="53">
        <v>185</v>
      </c>
      <c r="H119" s="53"/>
      <c r="I119" s="53"/>
      <c r="J119" s="57"/>
      <c r="K119" s="57"/>
      <c r="L119" s="57"/>
      <c r="M119" s="57"/>
      <c r="N119" s="58" t="s">
        <v>5</v>
      </c>
      <c r="O119" s="58">
        <f>(104326125/1545000)/366*1000</f>
        <v>184.49453551912569</v>
      </c>
      <c r="P119" s="58"/>
      <c r="Q119" s="58"/>
      <c r="S119" s="2429"/>
      <c r="T119" s="2429"/>
      <c r="U119" s="2435"/>
      <c r="V119" s="2429"/>
      <c r="W119" s="2435"/>
      <c r="X119" s="2429"/>
      <c r="Y119" s="936"/>
      <c r="Z119" s="936"/>
      <c r="AA119" s="2432"/>
      <c r="AB119" s="2445"/>
      <c r="AC119" s="2445"/>
      <c r="AD119" s="2445"/>
    </row>
    <row r="120" spans="1:30" ht="16.5" customHeight="1" thickBot="1" x14ac:dyDescent="0.3">
      <c r="A120" s="1835"/>
      <c r="B120" s="293" t="s">
        <v>610</v>
      </c>
      <c r="C120" s="763"/>
      <c r="D120" s="763" t="s">
        <v>1069</v>
      </c>
      <c r="E120" s="763" t="s">
        <v>1070</v>
      </c>
      <c r="F120" s="53" t="s">
        <v>5</v>
      </c>
      <c r="G120" s="53">
        <v>245</v>
      </c>
      <c r="H120" s="53"/>
      <c r="I120" s="53"/>
      <c r="J120" s="57"/>
      <c r="K120" s="57"/>
      <c r="L120" s="57"/>
      <c r="M120" s="57"/>
      <c r="N120" s="58" t="s">
        <v>5</v>
      </c>
      <c r="O120" s="58">
        <f>(40062400/448000)/366*1000</f>
        <v>244.33060109289616</v>
      </c>
      <c r="P120" s="58"/>
      <c r="Q120" s="58"/>
      <c r="S120" s="2436"/>
      <c r="T120" s="2436"/>
      <c r="U120" s="2436"/>
      <c r="V120" s="2436"/>
      <c r="W120" s="2436"/>
      <c r="X120" s="2436"/>
      <c r="Y120" s="937"/>
      <c r="Z120" s="937"/>
      <c r="AA120" s="2449"/>
      <c r="AB120" s="2449"/>
      <c r="AC120" s="2449"/>
      <c r="AD120" s="2449"/>
    </row>
    <row r="121" spans="1:30" ht="16.5" thickBot="1" x14ac:dyDescent="0.3">
      <c r="A121" s="267" t="s">
        <v>16</v>
      </c>
      <c r="B121" s="771" t="s">
        <v>106</v>
      </c>
      <c r="C121" s="762" t="s">
        <v>429</v>
      </c>
      <c r="D121" s="276" t="s">
        <v>1071</v>
      </c>
      <c r="E121" s="276" t="s">
        <v>1072</v>
      </c>
      <c r="F121" s="53">
        <v>163</v>
      </c>
      <c r="G121" s="53">
        <v>59</v>
      </c>
      <c r="H121" s="53"/>
      <c r="I121" s="53"/>
      <c r="J121" s="57"/>
      <c r="K121" s="57"/>
      <c r="L121" s="57"/>
      <c r="M121" s="57"/>
      <c r="N121" s="58">
        <f>(46908000/780092)/365*1000</f>
        <v>164.74347704264457</v>
      </c>
      <c r="O121" s="58">
        <f>(47858580/815308)/366*1000</f>
        <v>160.38251500167249</v>
      </c>
      <c r="P121" s="58"/>
      <c r="Q121" s="58"/>
      <c r="S121" s="59">
        <v>163</v>
      </c>
      <c r="T121" s="59">
        <f>F121</f>
        <v>163</v>
      </c>
      <c r="U121" s="59">
        <f>G121</f>
        <v>59</v>
      </c>
      <c r="V121" s="59">
        <f>G121</f>
        <v>59</v>
      </c>
      <c r="W121" s="59"/>
      <c r="X121" s="59"/>
      <c r="Y121" s="59"/>
      <c r="Z121" s="59"/>
      <c r="AA121" s="64">
        <f>N121</f>
        <v>164.74347704264457</v>
      </c>
      <c r="AB121" s="64">
        <f>O121</f>
        <v>160.38251500167249</v>
      </c>
      <c r="AC121" s="64"/>
      <c r="AD121" s="64"/>
    </row>
    <row r="122" spans="1:30" ht="15.75" customHeight="1" x14ac:dyDescent="0.25">
      <c r="A122" s="1818" t="s">
        <v>17</v>
      </c>
      <c r="B122" s="772" t="s">
        <v>107</v>
      </c>
      <c r="C122" s="760"/>
      <c r="D122" s="639" t="s">
        <v>1073</v>
      </c>
      <c r="E122" s="639" t="s">
        <v>1074</v>
      </c>
      <c r="F122" s="53">
        <v>147</v>
      </c>
      <c r="G122" s="53">
        <v>147</v>
      </c>
      <c r="H122" s="53" t="s">
        <v>5</v>
      </c>
      <c r="I122" s="53" t="s">
        <v>5</v>
      </c>
      <c r="J122" s="54"/>
      <c r="K122" s="54"/>
      <c r="L122" s="54"/>
      <c r="M122" s="54"/>
      <c r="N122" s="58">
        <f>(220946196/2811824)/365*1000</f>
        <v>215.2809151055032</v>
      </c>
      <c r="O122" s="58">
        <f>(81859817/982590)/366*1000</f>
        <v>227.62362957672312</v>
      </c>
      <c r="P122" s="58" t="s">
        <v>5</v>
      </c>
      <c r="Q122" s="58">
        <f>(300000000/3600000)/366*1000</f>
        <v>227.68670309653916</v>
      </c>
      <c r="S122" s="2434">
        <f>SUM(F122:F126)/5</f>
        <v>236.4</v>
      </c>
      <c r="T122" s="2434">
        <f>MEDIAN(F122:F126)</f>
        <v>190</v>
      </c>
      <c r="U122" s="2434">
        <f>SUM(G122:G126)/5</f>
        <v>237.2</v>
      </c>
      <c r="V122" s="2434">
        <f>MEDIAN(G122:G126)</f>
        <v>194</v>
      </c>
      <c r="W122" s="2434" t="s">
        <v>5</v>
      </c>
      <c r="X122" s="2434" t="s">
        <v>5</v>
      </c>
      <c r="Y122" s="2434" t="s">
        <v>5</v>
      </c>
      <c r="Z122" s="2434" t="s">
        <v>5</v>
      </c>
      <c r="AA122" s="2444">
        <f>SUM(N122:N126)/5</f>
        <v>299.55927401644999</v>
      </c>
      <c r="AB122" s="2444">
        <f>SUM(O122:O126)/5</f>
        <v>286.84696710497769</v>
      </c>
      <c r="AC122" s="2444" t="s">
        <v>5</v>
      </c>
      <c r="AD122" s="2444">
        <f>SUM(Q122:Q126)/5</f>
        <v>214.63277065340827</v>
      </c>
    </row>
    <row r="123" spans="1:30" ht="15.75" customHeight="1" x14ac:dyDescent="0.25">
      <c r="A123" s="1819"/>
      <c r="B123" s="660" t="s">
        <v>108</v>
      </c>
      <c r="C123" s="760"/>
      <c r="D123" s="639" t="s">
        <v>1073</v>
      </c>
      <c r="E123" s="639" t="s">
        <v>1074</v>
      </c>
      <c r="F123" s="53">
        <v>464</v>
      </c>
      <c r="G123" s="53">
        <v>464</v>
      </c>
      <c r="H123" s="53" t="s">
        <v>5</v>
      </c>
      <c r="I123" s="53" t="s">
        <v>5</v>
      </c>
      <c r="J123" s="54"/>
      <c r="K123" s="54"/>
      <c r="L123" s="54"/>
      <c r="M123" s="54"/>
      <c r="N123" s="58">
        <f>(200752766/1322750)/365*1000</f>
        <v>415.80614483628182</v>
      </c>
      <c r="O123" s="58">
        <f>(225539941/1342337)/366*1000</f>
        <v>459.07201171876773</v>
      </c>
      <c r="P123" s="58" t="s">
        <v>5</v>
      </c>
      <c r="Q123" s="58">
        <f>(186000000/1377380)/366*1000</f>
        <v>368.95898104479187</v>
      </c>
      <c r="S123" s="2429"/>
      <c r="T123" s="2429"/>
      <c r="U123" s="2435"/>
      <c r="V123" s="2429"/>
      <c r="W123" s="2435"/>
      <c r="X123" s="2429"/>
      <c r="Y123" s="2429"/>
      <c r="Z123" s="2429"/>
      <c r="AA123" s="2432"/>
      <c r="AB123" s="2432"/>
      <c r="AC123" s="2432"/>
      <c r="AD123" s="2432"/>
    </row>
    <row r="124" spans="1:30" ht="15.75" customHeight="1" x14ac:dyDescent="0.25">
      <c r="A124" s="1819"/>
      <c r="B124" s="660" t="s">
        <v>109</v>
      </c>
      <c r="C124" s="760"/>
      <c r="D124" s="639" t="s">
        <v>1073</v>
      </c>
      <c r="E124" s="639" t="s">
        <v>1074</v>
      </c>
      <c r="F124" s="53">
        <v>167</v>
      </c>
      <c r="G124" s="53">
        <v>167</v>
      </c>
      <c r="H124" s="53" t="s">
        <v>5</v>
      </c>
      <c r="I124" s="53" t="s">
        <v>5</v>
      </c>
      <c r="J124" s="57"/>
      <c r="K124" s="57"/>
      <c r="L124" s="57"/>
      <c r="M124" s="57"/>
      <c r="N124" s="58">
        <f>(92182589/963661)/365*1000</f>
        <v>262.0787168476927</v>
      </c>
      <c r="O124" s="58">
        <f>(82107310/963357)/366*1000</f>
        <v>232.86996676030384</v>
      </c>
      <c r="P124" s="58" t="s">
        <v>5</v>
      </c>
      <c r="Q124" s="58" t="s">
        <v>5</v>
      </c>
      <c r="S124" s="2429"/>
      <c r="T124" s="2429"/>
      <c r="U124" s="2435"/>
      <c r="V124" s="2429"/>
      <c r="W124" s="2435"/>
      <c r="X124" s="2429"/>
      <c r="Y124" s="2429"/>
      <c r="Z124" s="2429"/>
      <c r="AA124" s="2432"/>
      <c r="AB124" s="2432"/>
      <c r="AC124" s="2432"/>
      <c r="AD124" s="2432"/>
    </row>
    <row r="125" spans="1:30" ht="15.75" customHeight="1" x14ac:dyDescent="0.25">
      <c r="A125" s="1819"/>
      <c r="B125" s="660" t="s">
        <v>110</v>
      </c>
      <c r="C125" s="760" t="s">
        <v>429</v>
      </c>
      <c r="D125" s="639" t="s">
        <v>1073</v>
      </c>
      <c r="E125" s="639" t="s">
        <v>1074</v>
      </c>
      <c r="F125" s="53">
        <v>214</v>
      </c>
      <c r="G125" s="53">
        <v>214</v>
      </c>
      <c r="H125" s="53" t="s">
        <v>5</v>
      </c>
      <c r="I125" s="53" t="s">
        <v>5</v>
      </c>
      <c r="J125" s="57"/>
      <c r="K125" s="57"/>
      <c r="L125" s="57"/>
      <c r="M125" s="57"/>
      <c r="N125" s="58">
        <f>(453104350/3282277)/365*1000</f>
        <v>378.20750071426568</v>
      </c>
      <c r="O125" s="58">
        <f>(367400000/3655900)/366*1000</f>
        <v>274.57674898438739</v>
      </c>
      <c r="P125" s="58" t="s">
        <v>5</v>
      </c>
      <c r="Q125" s="58">
        <f>(391000000/4170000)/366*1000</f>
        <v>256.18849182948725</v>
      </c>
      <c r="S125" s="2429"/>
      <c r="T125" s="2429"/>
      <c r="U125" s="2435"/>
      <c r="V125" s="2429"/>
      <c r="W125" s="2435"/>
      <c r="X125" s="2429"/>
      <c r="Y125" s="2429"/>
      <c r="Z125" s="2429"/>
      <c r="AA125" s="2432"/>
      <c r="AB125" s="2432"/>
      <c r="AC125" s="2432"/>
      <c r="AD125" s="2432"/>
    </row>
    <row r="126" spans="1:30" ht="16.5" customHeight="1" thickBot="1" x14ac:dyDescent="0.3">
      <c r="A126" s="1819"/>
      <c r="B126" s="660" t="s">
        <v>111</v>
      </c>
      <c r="C126" s="760"/>
      <c r="D126" s="639" t="s">
        <v>1073</v>
      </c>
      <c r="E126" s="639" t="s">
        <v>1074</v>
      </c>
      <c r="F126" s="53">
        <v>190</v>
      </c>
      <c r="G126" s="53">
        <v>194</v>
      </c>
      <c r="H126" s="53" t="s">
        <v>5</v>
      </c>
      <c r="I126" s="53" t="s">
        <v>5</v>
      </c>
      <c r="J126" s="57"/>
      <c r="K126" s="57"/>
      <c r="L126" s="57"/>
      <c r="M126" s="57"/>
      <c r="N126" s="58">
        <f>(185375586/2243050)/365*1000</f>
        <v>226.42309257850656</v>
      </c>
      <c r="O126" s="58">
        <f>(198147353/2254907)/366*1000</f>
        <v>240.09247848470631</v>
      </c>
      <c r="P126" s="58" t="s">
        <v>5</v>
      </c>
      <c r="Q126" s="58">
        <f>(182253702/2260072)/366*1000</f>
        <v>220.32967729622308</v>
      </c>
      <c r="S126" s="2436"/>
      <c r="T126" s="2436"/>
      <c r="U126" s="2436"/>
      <c r="V126" s="2436"/>
      <c r="W126" s="2436"/>
      <c r="X126" s="2436"/>
      <c r="Y126" s="2436"/>
      <c r="Z126" s="2436"/>
      <c r="AA126" s="2449"/>
      <c r="AB126" s="2432"/>
      <c r="AC126" s="2432"/>
      <c r="AD126" s="2432"/>
    </row>
    <row r="127" spans="1:30" ht="15.75" customHeight="1" x14ac:dyDescent="0.25">
      <c r="A127" s="1818" t="s">
        <v>18</v>
      </c>
      <c r="B127" s="772" t="s">
        <v>112</v>
      </c>
      <c r="C127" s="760"/>
      <c r="D127" s="639" t="s">
        <v>1075</v>
      </c>
      <c r="E127" s="639" t="s">
        <v>1076</v>
      </c>
      <c r="F127" s="56">
        <v>223</v>
      </c>
      <c r="G127" s="56">
        <v>219</v>
      </c>
      <c r="H127" s="56">
        <v>217</v>
      </c>
      <c r="I127" s="56">
        <v>217</v>
      </c>
      <c r="J127" s="54"/>
      <c r="K127" s="54"/>
      <c r="L127" s="54"/>
      <c r="M127" s="54"/>
      <c r="N127" s="58">
        <f>(271266046/2388316)/365*1000</f>
        <v>311.17936092851301</v>
      </c>
      <c r="O127" s="58">
        <f>(264855386/2390841)/366*1000</f>
        <v>302.67533291775374</v>
      </c>
      <c r="P127" s="58">
        <f>(260822925/2405085)/365*1000</f>
        <v>297.1135557223065</v>
      </c>
      <c r="Q127" s="58">
        <f>(261573707/2436411)/366*1000</f>
        <v>293.3340309015357</v>
      </c>
      <c r="S127" s="2434">
        <f>SUM(F127:F134)/8</f>
        <v>224.125</v>
      </c>
      <c r="T127" s="2434">
        <f>MEDIAN(F127:F134)</f>
        <v>223</v>
      </c>
      <c r="U127" s="2434">
        <f>SUM(G127:G134)/8</f>
        <v>227.62625000000003</v>
      </c>
      <c r="V127" s="2434">
        <f>MEDIAN(G127:G134)</f>
        <v>218.95</v>
      </c>
      <c r="W127" s="2434">
        <f>SUM(H127:H134)/8</f>
        <v>216.25</v>
      </c>
      <c r="X127" s="2434">
        <f>MEDIAN(H127:H134)</f>
        <v>216.5</v>
      </c>
      <c r="Y127" s="2434">
        <f>SUM(I127:I134)/8</f>
        <v>216.125</v>
      </c>
      <c r="Z127" s="2434">
        <f>MEDIAN(I127:I134)</f>
        <v>217.5</v>
      </c>
      <c r="AA127" s="2444">
        <f>SUM(N127:N134)/8</f>
        <v>310.89029093407896</v>
      </c>
      <c r="AB127" s="2444">
        <f>SUM(O127:O134)/8</f>
        <v>302.93172674705261</v>
      </c>
      <c r="AC127" s="2444">
        <f>SUM(P127:P134)/8</f>
        <v>303.22331131761518</v>
      </c>
      <c r="AD127" s="2444">
        <f>SUM(Q127:Q134)/8</f>
        <v>294.85395343287848</v>
      </c>
    </row>
    <row r="128" spans="1:30" ht="15.75" customHeight="1" x14ac:dyDescent="0.25">
      <c r="A128" s="1819"/>
      <c r="B128" s="660" t="s">
        <v>113</v>
      </c>
      <c r="C128" s="760"/>
      <c r="D128" s="639" t="s">
        <v>1075</v>
      </c>
      <c r="E128" s="639" t="s">
        <v>1076</v>
      </c>
      <c r="F128" s="56">
        <v>253</v>
      </c>
      <c r="G128" s="56">
        <v>250</v>
      </c>
      <c r="H128" s="56">
        <v>243</v>
      </c>
      <c r="I128" s="56">
        <v>240</v>
      </c>
      <c r="J128" s="54"/>
      <c r="K128" s="54"/>
      <c r="L128" s="54"/>
      <c r="M128" s="54"/>
      <c r="N128" s="58">
        <f>(414576285/2665373)/365*1000</f>
        <v>426.14127116773687</v>
      </c>
      <c r="O128" s="58">
        <f>(409836627/2678051)/366*1000</f>
        <v>418.12952961613979</v>
      </c>
      <c r="P128" s="58">
        <f>(426432700/2690214)/365*1000</f>
        <v>434.28097806467724</v>
      </c>
      <c r="Q128" s="58">
        <f>(403349000/2704557)/366*1000</f>
        <v>407.47761947240588</v>
      </c>
      <c r="S128" s="2435"/>
      <c r="T128" s="2429"/>
      <c r="U128" s="2435"/>
      <c r="V128" s="2429"/>
      <c r="W128" s="2435"/>
      <c r="X128" s="2435"/>
      <c r="Y128" s="2435"/>
      <c r="Z128" s="2435"/>
      <c r="AA128" s="2445"/>
      <c r="AB128" s="2456"/>
      <c r="AC128" s="2456"/>
      <c r="AD128" s="2456"/>
    </row>
    <row r="129" spans="1:30" ht="15.75" customHeight="1" x14ac:dyDescent="0.25">
      <c r="A129" s="1819"/>
      <c r="B129" s="660" t="s">
        <v>114</v>
      </c>
      <c r="C129" s="760"/>
      <c r="D129" s="639" t="s">
        <v>1075</v>
      </c>
      <c r="E129" s="639" t="s">
        <v>1076</v>
      </c>
      <c r="F129" s="56">
        <v>223</v>
      </c>
      <c r="G129" s="56">
        <v>218.9</v>
      </c>
      <c r="H129" s="56">
        <v>215</v>
      </c>
      <c r="I129" s="56">
        <v>215</v>
      </c>
      <c r="J129" s="54"/>
      <c r="K129" s="54"/>
      <c r="L129" s="54"/>
      <c r="M129" s="54"/>
      <c r="N129" s="58">
        <f>(131340024/1205161)/365*1000</f>
        <v>298.57893027718359</v>
      </c>
      <c r="O129" s="58">
        <f>(129297820/1214101)/366*1000</f>
        <v>290.97474776846173</v>
      </c>
      <c r="P129" s="58">
        <f>(127155238/1222788)/365*1000</f>
        <v>284.89853929584945</v>
      </c>
      <c r="Q129" s="58">
        <f>(127414232/1229392)/366*1000</f>
        <v>283.16949918324724</v>
      </c>
      <c r="S129" s="2435"/>
      <c r="T129" s="2429"/>
      <c r="U129" s="2435"/>
      <c r="V129" s="2429"/>
      <c r="W129" s="2435"/>
      <c r="X129" s="2435"/>
      <c r="Y129" s="2435"/>
      <c r="Z129" s="2435"/>
      <c r="AA129" s="2445"/>
      <c r="AB129" s="2456"/>
      <c r="AC129" s="2456"/>
      <c r="AD129" s="2456"/>
    </row>
    <row r="130" spans="1:30" ht="15.75" customHeight="1" x14ac:dyDescent="0.25">
      <c r="A130" s="1819"/>
      <c r="B130" s="660" t="s">
        <v>115</v>
      </c>
      <c r="C130" s="760"/>
      <c r="D130" s="639" t="s">
        <v>1075</v>
      </c>
      <c r="E130" s="639" t="s">
        <v>1076</v>
      </c>
      <c r="F130" s="56">
        <v>203</v>
      </c>
      <c r="G130" s="56">
        <v>201</v>
      </c>
      <c r="H130" s="56">
        <v>198</v>
      </c>
      <c r="I130" s="56">
        <v>198</v>
      </c>
      <c r="J130" s="54"/>
      <c r="K130" s="54"/>
      <c r="L130" s="54"/>
      <c r="M130" s="54"/>
      <c r="N130" s="58">
        <f>(140884364/1457900)/365*1000</f>
        <v>264.7537958050001</v>
      </c>
      <c r="O130" s="58">
        <f>(140754155/1485100)/366*1000</f>
        <v>258.95508315202414</v>
      </c>
      <c r="P130" s="58">
        <f>(140068910/1514000)/365*1000</f>
        <v>253.46792493802138</v>
      </c>
      <c r="Q130" s="58">
        <f>(143387621/1549000)/366*1000</f>
        <v>252.91766060952421</v>
      </c>
      <c r="S130" s="2435"/>
      <c r="T130" s="2429"/>
      <c r="U130" s="2435"/>
      <c r="V130" s="2429"/>
      <c r="W130" s="2435"/>
      <c r="X130" s="2435"/>
      <c r="Y130" s="2435"/>
      <c r="Z130" s="2435"/>
      <c r="AA130" s="2445"/>
      <c r="AB130" s="2456"/>
      <c r="AC130" s="2456"/>
      <c r="AD130" s="2456"/>
    </row>
    <row r="131" spans="1:30" ht="15.75" customHeight="1" x14ac:dyDescent="0.25">
      <c r="A131" s="1819"/>
      <c r="B131" s="660" t="s">
        <v>116</v>
      </c>
      <c r="C131" s="760"/>
      <c r="D131" s="639" t="s">
        <v>1075</v>
      </c>
      <c r="E131" s="639" t="s">
        <v>1076</v>
      </c>
      <c r="F131" s="56">
        <v>205</v>
      </c>
      <c r="G131" s="56">
        <v>202</v>
      </c>
      <c r="H131" s="56">
        <v>199</v>
      </c>
      <c r="I131" s="56">
        <v>201</v>
      </c>
      <c r="J131" s="54"/>
      <c r="K131" s="54"/>
      <c r="L131" s="54"/>
      <c r="M131" s="54"/>
      <c r="N131" s="58">
        <f>(180085849/1906190)/365*1000</f>
        <v>258.83353058783905</v>
      </c>
      <c r="O131" s="58">
        <f>(178239705/1920858)/366*1000</f>
        <v>253.52927155895787</v>
      </c>
      <c r="P131" s="58">
        <f>(174573442/1935050)/365*1000</f>
        <v>247.16849835390607</v>
      </c>
      <c r="Q131" s="58">
        <f>(177141819/1950852)/366*1000</f>
        <v>248.0936744476806</v>
      </c>
      <c r="S131" s="2435"/>
      <c r="T131" s="2429"/>
      <c r="U131" s="2435"/>
      <c r="V131" s="2429"/>
      <c r="W131" s="2435"/>
      <c r="X131" s="2435"/>
      <c r="Y131" s="2435"/>
      <c r="Z131" s="2435"/>
      <c r="AA131" s="2445"/>
      <c r="AB131" s="2456"/>
      <c r="AC131" s="2456"/>
      <c r="AD131" s="2456"/>
    </row>
    <row r="132" spans="1:30" ht="15.75" customHeight="1" x14ac:dyDescent="0.25">
      <c r="A132" s="1819"/>
      <c r="B132" s="660" t="s">
        <v>117</v>
      </c>
      <c r="C132" s="760"/>
      <c r="D132" s="639" t="s">
        <v>1075</v>
      </c>
      <c r="E132" s="639" t="s">
        <v>1076</v>
      </c>
      <c r="F132" s="56">
        <v>221</v>
      </c>
      <c r="G132" s="56">
        <v>217.11</v>
      </c>
      <c r="H132" s="56">
        <v>216</v>
      </c>
      <c r="I132" s="56">
        <v>218</v>
      </c>
      <c r="J132" s="54"/>
      <c r="K132" s="54"/>
      <c r="L132" s="54"/>
      <c r="M132" s="54"/>
      <c r="N132" s="58">
        <f>(114855582/1019713)/365*1000</f>
        <v>308.58960060062026</v>
      </c>
      <c r="O132" s="58">
        <f>(113480466/1037351)/366*1000</f>
        <v>298.89200283490055</v>
      </c>
      <c r="P132" s="58">
        <f>(112856490/1049573)/365*1000</f>
        <v>294.59205125674788</v>
      </c>
      <c r="Q132" s="58">
        <f>(113429031/1053406)/366*1000</f>
        <v>294.20317071091455</v>
      </c>
      <c r="S132" s="2435"/>
      <c r="T132" s="2429"/>
      <c r="U132" s="2435"/>
      <c r="V132" s="2429"/>
      <c r="W132" s="2435"/>
      <c r="X132" s="2435"/>
      <c r="Y132" s="2435"/>
      <c r="Z132" s="2435"/>
      <c r="AA132" s="2445"/>
      <c r="AB132" s="2456"/>
      <c r="AC132" s="2456"/>
      <c r="AD132" s="2456"/>
    </row>
    <row r="133" spans="1:30" ht="15.75" customHeight="1" x14ac:dyDescent="0.25">
      <c r="A133" s="1819"/>
      <c r="B133" s="660" t="s">
        <v>118</v>
      </c>
      <c r="C133" s="760" t="s">
        <v>429</v>
      </c>
      <c r="D133" s="639" t="s">
        <v>1075</v>
      </c>
      <c r="E133" s="639" t="s">
        <v>1076</v>
      </c>
      <c r="F133" s="56">
        <v>231</v>
      </c>
      <c r="G133" s="56">
        <v>225</v>
      </c>
      <c r="H133" s="56">
        <v>220</v>
      </c>
      <c r="I133" s="56">
        <v>218</v>
      </c>
      <c r="J133" s="54"/>
      <c r="K133" s="54"/>
      <c r="L133" s="54"/>
      <c r="M133" s="54"/>
      <c r="N133" s="58">
        <f>(1510125357/12822722)/365*1000</f>
        <v>322.6561213138271</v>
      </c>
      <c r="O133" s="58">
        <f>(1473824018/12878752)/366*1000</f>
        <v>312.67327604685397</v>
      </c>
      <c r="P133" s="58">
        <f>(1457796533/13039856)/365*1000</f>
        <v>306.28889645020536</v>
      </c>
      <c r="Q133" s="58">
        <f>(1469239713/13295385)/366*1000</f>
        <v>301.93305088477729</v>
      </c>
      <c r="S133" s="2435"/>
      <c r="T133" s="2429"/>
      <c r="U133" s="2435"/>
      <c r="V133" s="2429"/>
      <c r="W133" s="2435"/>
      <c r="X133" s="2435"/>
      <c r="Y133" s="2435"/>
      <c r="Z133" s="2435"/>
      <c r="AA133" s="2445"/>
      <c r="AB133" s="2456"/>
      <c r="AC133" s="2456"/>
      <c r="AD133" s="2456"/>
    </row>
    <row r="134" spans="1:30" ht="16.5" customHeight="1" thickBot="1" x14ac:dyDescent="0.3">
      <c r="A134" s="1820"/>
      <c r="B134" s="660" t="s">
        <v>119</v>
      </c>
      <c r="C134" s="760"/>
      <c r="D134" s="639" t="s">
        <v>1075</v>
      </c>
      <c r="E134" s="639" t="s">
        <v>1076</v>
      </c>
      <c r="F134" s="56">
        <v>234</v>
      </c>
      <c r="G134" s="56">
        <v>288</v>
      </c>
      <c r="H134" s="56">
        <v>222</v>
      </c>
      <c r="I134" s="56">
        <v>222</v>
      </c>
      <c r="J134" s="57"/>
      <c r="K134" s="57"/>
      <c r="L134" s="57"/>
      <c r="M134" s="57"/>
      <c r="N134" s="58">
        <f>(398901588/3687311)/365*1000</f>
        <v>296.38971679191116</v>
      </c>
      <c r="O134" s="58">
        <f>(388841462/3693733)/366*1000</f>
        <v>287.62457008132924</v>
      </c>
      <c r="P134" s="58">
        <f>(417284300/3712122)/365*1000</f>
        <v>307.97604645920762</v>
      </c>
      <c r="Q134" s="58">
        <f>(378919225/3728079)/366*1000</f>
        <v>277.70292125294247</v>
      </c>
      <c r="S134" s="2436"/>
      <c r="T134" s="2436"/>
      <c r="U134" s="2436"/>
      <c r="V134" s="2436"/>
      <c r="W134" s="2436"/>
      <c r="X134" s="2436"/>
      <c r="Y134" s="2436"/>
      <c r="Z134" s="2436"/>
      <c r="AA134" s="2449"/>
      <c r="AB134" s="2449"/>
      <c r="AC134" s="2449"/>
      <c r="AD134" s="2449"/>
    </row>
    <row r="135" spans="1:30" ht="16.5" customHeight="1" thickBot="1" x14ac:dyDescent="0.3">
      <c r="A135" s="961" t="s">
        <v>742</v>
      </c>
      <c r="B135" s="773" t="s">
        <v>743</v>
      </c>
      <c r="C135" s="922"/>
      <c r="D135" s="764" t="s">
        <v>1077</v>
      </c>
      <c r="E135" s="764" t="s">
        <v>1078</v>
      </c>
      <c r="F135" s="56" t="s">
        <v>5</v>
      </c>
      <c r="G135" s="56" t="s">
        <v>5</v>
      </c>
      <c r="H135" s="56">
        <v>88</v>
      </c>
      <c r="I135" s="56"/>
      <c r="J135" s="57"/>
      <c r="K135" s="57"/>
      <c r="L135" s="57"/>
      <c r="M135" s="57"/>
      <c r="N135" s="58" t="s">
        <v>5</v>
      </c>
      <c r="O135" s="58" t="s">
        <v>5</v>
      </c>
      <c r="P135" s="58">
        <f>(114975000/3600000)/365*1000</f>
        <v>87.5</v>
      </c>
      <c r="Q135" s="58"/>
      <c r="S135" s="938" t="s">
        <v>5</v>
      </c>
      <c r="T135" s="936" t="s">
        <v>5</v>
      </c>
      <c r="U135" s="938" t="s">
        <v>5</v>
      </c>
      <c r="V135" s="936" t="s">
        <v>5</v>
      </c>
      <c r="W135" s="938">
        <f>H135</f>
        <v>88</v>
      </c>
      <c r="X135" s="938">
        <f>MEDIAN(H135)</f>
        <v>88</v>
      </c>
      <c r="Y135" s="936"/>
      <c r="Z135" s="936"/>
      <c r="AA135" s="945" t="s">
        <v>5</v>
      </c>
      <c r="AB135" s="945" t="s">
        <v>5</v>
      </c>
      <c r="AC135" s="945">
        <f>P135</f>
        <v>87.5</v>
      </c>
      <c r="AD135" s="945"/>
    </row>
    <row r="136" spans="1:30" ht="15.75" customHeight="1" x14ac:dyDescent="0.25">
      <c r="A136" s="1833" t="s">
        <v>19</v>
      </c>
      <c r="B136" s="479" t="s">
        <v>120</v>
      </c>
      <c r="C136" s="762"/>
      <c r="D136" s="276" t="s">
        <v>1079</v>
      </c>
      <c r="E136" s="276" t="s">
        <v>1080</v>
      </c>
      <c r="F136" s="53">
        <v>82</v>
      </c>
      <c r="G136" s="53"/>
      <c r="H136" s="53"/>
      <c r="I136" s="53"/>
      <c r="J136" s="54"/>
      <c r="K136" s="54"/>
      <c r="L136" s="54"/>
      <c r="M136" s="54"/>
      <c r="N136" s="58">
        <f>(14546000/336217)/365*1000</f>
        <v>118.53075482358282</v>
      </c>
      <c r="O136" s="58"/>
      <c r="P136" s="58"/>
      <c r="Q136" s="58"/>
      <c r="S136" s="2434">
        <f>SUM(F136:F140)/5</f>
        <v>74.599999999999994</v>
      </c>
      <c r="T136" s="2434">
        <f>MEDIAN(F136:F140)</f>
        <v>80</v>
      </c>
      <c r="U136" s="935"/>
      <c r="V136" s="935"/>
      <c r="W136" s="935"/>
      <c r="X136" s="935"/>
      <c r="Y136" s="935"/>
      <c r="Z136" s="935"/>
      <c r="AA136" s="2444">
        <f>SUM(N136:N140)/5</f>
        <v>117.03758131923519</v>
      </c>
      <c r="AB136" s="2444"/>
      <c r="AC136" s="2444"/>
      <c r="AD136" s="2444"/>
    </row>
    <row r="137" spans="1:30" ht="15.75" customHeight="1" x14ac:dyDescent="0.25">
      <c r="A137" s="1834"/>
      <c r="B137" s="479" t="s">
        <v>121</v>
      </c>
      <c r="C137" s="762"/>
      <c r="D137" s="276" t="s">
        <v>1079</v>
      </c>
      <c r="E137" s="276" t="s">
        <v>1080</v>
      </c>
      <c r="F137" s="53">
        <v>83</v>
      </c>
      <c r="G137" s="53"/>
      <c r="H137" s="53"/>
      <c r="I137" s="53"/>
      <c r="J137" s="57"/>
      <c r="K137" s="57"/>
      <c r="L137" s="57"/>
      <c r="M137" s="57"/>
      <c r="N137" s="58">
        <f>(9232000/186494)/365*1000</f>
        <v>135.62447416502144</v>
      </c>
      <c r="O137" s="58"/>
      <c r="P137" s="58"/>
      <c r="Q137" s="58"/>
      <c r="S137" s="2429"/>
      <c r="T137" s="2429"/>
      <c r="U137" s="938"/>
      <c r="V137" s="936"/>
      <c r="W137" s="938"/>
      <c r="X137" s="938"/>
      <c r="Y137" s="936"/>
      <c r="Z137" s="936"/>
      <c r="AA137" s="2432"/>
      <c r="AB137" s="2456"/>
      <c r="AC137" s="2456"/>
      <c r="AD137" s="2456"/>
    </row>
    <row r="138" spans="1:30" ht="15.75" customHeight="1" x14ac:dyDescent="0.25">
      <c r="A138" s="1834"/>
      <c r="B138" s="479" t="s">
        <v>122</v>
      </c>
      <c r="C138" s="762"/>
      <c r="D138" s="276" t="s">
        <v>1079</v>
      </c>
      <c r="E138" s="276" t="s">
        <v>1080</v>
      </c>
      <c r="F138" s="53">
        <v>67</v>
      </c>
      <c r="G138" s="53"/>
      <c r="H138" s="53"/>
      <c r="I138" s="53"/>
      <c r="J138" s="54"/>
      <c r="K138" s="54"/>
      <c r="L138" s="54"/>
      <c r="M138" s="54"/>
      <c r="N138" s="58">
        <f>(4916600/113012)/365*1000</f>
        <v>119.19209452360253</v>
      </c>
      <c r="O138" s="58"/>
      <c r="P138" s="58"/>
      <c r="Q138" s="58"/>
      <c r="S138" s="2429"/>
      <c r="T138" s="2429"/>
      <c r="U138" s="938"/>
      <c r="V138" s="936"/>
      <c r="W138" s="938"/>
      <c r="X138" s="938"/>
      <c r="Y138" s="936"/>
      <c r="Z138" s="936"/>
      <c r="AA138" s="2432"/>
      <c r="AB138" s="2456"/>
      <c r="AC138" s="2456"/>
      <c r="AD138" s="2456"/>
    </row>
    <row r="139" spans="1:30" ht="15.75" customHeight="1" x14ac:dyDescent="0.25">
      <c r="A139" s="1834"/>
      <c r="B139" s="479" t="s">
        <v>123</v>
      </c>
      <c r="C139" s="762"/>
      <c r="D139" s="276" t="s">
        <v>1079</v>
      </c>
      <c r="E139" s="276" t="s">
        <v>1080</v>
      </c>
      <c r="F139" s="53">
        <v>61</v>
      </c>
      <c r="G139" s="53"/>
      <c r="H139" s="53"/>
      <c r="I139" s="53"/>
      <c r="J139" s="54"/>
      <c r="K139" s="54"/>
      <c r="L139" s="54"/>
      <c r="M139" s="54"/>
      <c r="N139" s="58">
        <f>(3526000/115623)/365*1000</f>
        <v>83.549760623775015</v>
      </c>
      <c r="O139" s="58"/>
      <c r="P139" s="58"/>
      <c r="Q139" s="58"/>
      <c r="S139" s="2429"/>
      <c r="T139" s="2429"/>
      <c r="U139" s="938"/>
      <c r="V139" s="936"/>
      <c r="W139" s="938"/>
      <c r="X139" s="938"/>
      <c r="Y139" s="936"/>
      <c r="Z139" s="936"/>
      <c r="AA139" s="2432"/>
      <c r="AB139" s="2456"/>
      <c r="AC139" s="2456"/>
      <c r="AD139" s="2456"/>
    </row>
    <row r="140" spans="1:30" ht="16.5" customHeight="1" thickBot="1" x14ac:dyDescent="0.3">
      <c r="A140" s="1835"/>
      <c r="B140" s="266" t="s">
        <v>124</v>
      </c>
      <c r="C140" s="762"/>
      <c r="D140" s="276" t="s">
        <v>1079</v>
      </c>
      <c r="E140" s="276" t="s">
        <v>1080</v>
      </c>
      <c r="F140" s="53">
        <v>80</v>
      </c>
      <c r="G140" s="53"/>
      <c r="H140" s="53"/>
      <c r="I140" s="53"/>
      <c r="J140" s="54"/>
      <c r="K140" s="54"/>
      <c r="L140" s="54"/>
      <c r="M140" s="54"/>
      <c r="N140" s="58">
        <f>(25947400/554122)/365*1000</f>
        <v>128.29082246019411</v>
      </c>
      <c r="O140" s="58"/>
      <c r="P140" s="58"/>
      <c r="Q140" s="58"/>
      <c r="S140" s="2436"/>
      <c r="T140" s="2436"/>
      <c r="U140" s="937"/>
      <c r="V140" s="937"/>
      <c r="W140" s="937"/>
      <c r="X140" s="937"/>
      <c r="Y140" s="937"/>
      <c r="Z140" s="937"/>
      <c r="AA140" s="2449"/>
      <c r="AB140" s="2449"/>
      <c r="AC140" s="2449"/>
      <c r="AD140" s="2449"/>
    </row>
    <row r="141" spans="1:30" ht="16.5" thickBot="1" x14ac:dyDescent="0.3">
      <c r="A141" s="270" t="s">
        <v>50</v>
      </c>
      <c r="B141" s="774"/>
      <c r="C141" s="923"/>
      <c r="D141" s="764" t="s">
        <v>1081</v>
      </c>
      <c r="E141" s="764" t="s">
        <v>1082</v>
      </c>
      <c r="F141" s="53"/>
      <c r="G141" s="53"/>
      <c r="H141" s="53"/>
      <c r="I141" s="53"/>
      <c r="J141" s="51"/>
      <c r="K141" s="51"/>
      <c r="L141" s="51"/>
      <c r="M141" s="51"/>
      <c r="N141" s="52"/>
      <c r="O141" s="52"/>
      <c r="P141" s="52"/>
      <c r="Q141" s="52"/>
      <c r="S141" s="49"/>
      <c r="T141" s="49"/>
      <c r="U141" s="49"/>
      <c r="V141" s="49"/>
      <c r="W141" s="49"/>
      <c r="X141" s="49"/>
      <c r="Y141" s="49"/>
      <c r="Z141" s="49"/>
      <c r="AA141" s="50"/>
      <c r="AB141" s="50"/>
      <c r="AC141" s="50"/>
      <c r="AD141" s="50"/>
    </row>
    <row r="142" spans="1:30" ht="16.5" thickBot="1" x14ac:dyDescent="0.3">
      <c r="A142" s="695" t="s">
        <v>586</v>
      </c>
      <c r="B142" s="775" t="s">
        <v>587</v>
      </c>
      <c r="C142" s="760"/>
      <c r="D142" s="639" t="s">
        <v>1083</v>
      </c>
      <c r="E142" s="639" t="s">
        <v>1084</v>
      </c>
      <c r="F142" s="56">
        <v>154.09</v>
      </c>
      <c r="G142" s="56">
        <v>194.084</v>
      </c>
      <c r="H142" s="56">
        <v>181.73099999999999</v>
      </c>
      <c r="I142" s="56">
        <v>205</v>
      </c>
      <c r="J142" s="54"/>
      <c r="K142" s="51"/>
      <c r="L142" s="51"/>
      <c r="M142" s="51"/>
      <c r="N142" s="58">
        <f>(70548780/540600)/365*1000</f>
        <v>357.53667918446774</v>
      </c>
      <c r="O142" s="58">
        <f>(75282108/598200)/366*1000</f>
        <v>343.84623816805612</v>
      </c>
      <c r="P142" s="58">
        <f>(83485655/702589)/365*1000</f>
        <v>325.54996152488616</v>
      </c>
      <c r="Q142" s="58">
        <f>(86702542/647700)/366*1000</f>
        <v>365.74369500823002</v>
      </c>
      <c r="S142" s="249">
        <v>154.09</v>
      </c>
      <c r="T142" s="480">
        <f>F142</f>
        <v>154.09</v>
      </c>
      <c r="U142" s="280">
        <f>G142</f>
        <v>194.084</v>
      </c>
      <c r="V142" s="480">
        <f>G142</f>
        <v>194.084</v>
      </c>
      <c r="W142" s="280">
        <v>181.73099999999999</v>
      </c>
      <c r="X142" s="280">
        <v>181.73099999999999</v>
      </c>
      <c r="Y142" s="480">
        <f>I142</f>
        <v>205</v>
      </c>
      <c r="Z142" s="480">
        <f>I142</f>
        <v>205</v>
      </c>
      <c r="AA142" s="64">
        <v>357.53667918446774</v>
      </c>
      <c r="AB142" s="64">
        <f>O142</f>
        <v>343.84623816805612</v>
      </c>
      <c r="AC142" s="64">
        <f>P142</f>
        <v>325.54996152488616</v>
      </c>
      <c r="AD142" s="64">
        <f>Q142</f>
        <v>365.74369500823002</v>
      </c>
    </row>
    <row r="143" spans="1:30" ht="16.5" thickBot="1" x14ac:dyDescent="0.3">
      <c r="A143" s="267" t="s">
        <v>36</v>
      </c>
      <c r="B143" s="268" t="s">
        <v>181</v>
      </c>
      <c r="C143" s="457"/>
      <c r="D143" s="261" t="s">
        <v>1085</v>
      </c>
      <c r="E143" s="261" t="s">
        <v>1086</v>
      </c>
      <c r="F143" s="53">
        <v>75</v>
      </c>
      <c r="G143" s="53"/>
      <c r="H143" s="53"/>
      <c r="I143" s="53"/>
      <c r="J143" s="54"/>
      <c r="K143" s="54"/>
      <c r="L143" s="54"/>
      <c r="M143" s="54"/>
      <c r="N143" s="58">
        <f>(15450000/632000)/365*1000</f>
        <v>66.975897346974165</v>
      </c>
      <c r="O143" s="58"/>
      <c r="P143" s="58"/>
      <c r="Q143" s="58"/>
      <c r="S143" s="932">
        <v>75</v>
      </c>
      <c r="T143" s="932">
        <f>F143</f>
        <v>75</v>
      </c>
      <c r="U143" s="932"/>
      <c r="V143" s="932"/>
      <c r="W143" s="932"/>
      <c r="X143" s="932"/>
      <c r="Y143" s="932"/>
      <c r="Z143" s="932"/>
      <c r="AA143" s="64">
        <f>N143</f>
        <v>66.975897346974165</v>
      </c>
      <c r="AB143" s="64"/>
      <c r="AC143" s="64"/>
      <c r="AD143" s="64"/>
    </row>
    <row r="144" spans="1:30" ht="16.5" thickBot="1" x14ac:dyDescent="0.3">
      <c r="A144" s="669" t="s">
        <v>774</v>
      </c>
      <c r="B144" s="776" t="s">
        <v>775</v>
      </c>
      <c r="C144" s="924"/>
      <c r="D144" s="747" t="s">
        <v>1087</v>
      </c>
      <c r="E144" s="747" t="s">
        <v>1088</v>
      </c>
      <c r="F144" s="53" t="s">
        <v>5</v>
      </c>
      <c r="G144" s="53" t="s">
        <v>5</v>
      </c>
      <c r="H144" s="56">
        <v>78.569999999999993</v>
      </c>
      <c r="I144" s="56">
        <v>74.180000000000007</v>
      </c>
      <c r="J144" s="54"/>
      <c r="K144" s="54"/>
      <c r="L144" s="54"/>
      <c r="M144" s="54"/>
      <c r="N144" s="58" t="s">
        <v>5</v>
      </c>
      <c r="O144" s="58" t="s">
        <v>5</v>
      </c>
      <c r="P144" s="58">
        <f>(17697312/429344)/365*1000</f>
        <v>112.92992635595202</v>
      </c>
      <c r="Q144" s="58">
        <f>(18105904/460297)/366*1000</f>
        <v>107.47339882751635</v>
      </c>
      <c r="S144" s="224" t="s">
        <v>5</v>
      </c>
      <c r="T144" s="224" t="s">
        <v>5</v>
      </c>
      <c r="U144" s="224" t="s">
        <v>5</v>
      </c>
      <c r="V144" s="224" t="s">
        <v>5</v>
      </c>
      <c r="W144" s="670">
        <v>78.569999999999993</v>
      </c>
      <c r="X144" s="670">
        <v>78.569999999999993</v>
      </c>
      <c r="Y144" s="670">
        <v>74.180000000000007</v>
      </c>
      <c r="Z144" s="670">
        <v>74.180000000000007</v>
      </c>
      <c r="AA144" s="64" t="s">
        <v>5</v>
      </c>
      <c r="AB144" s="64" t="s">
        <v>5</v>
      </c>
      <c r="AC144" s="64">
        <v>113</v>
      </c>
      <c r="AD144" s="64">
        <v>107</v>
      </c>
    </row>
    <row r="145" spans="1:30" ht="16.5" thickBot="1" x14ac:dyDescent="0.3">
      <c r="A145" s="267" t="s">
        <v>37</v>
      </c>
      <c r="B145" s="501" t="s">
        <v>37</v>
      </c>
      <c r="C145" s="457"/>
      <c r="D145" s="261" t="s">
        <v>1089</v>
      </c>
      <c r="E145" s="261" t="s">
        <v>1090</v>
      </c>
      <c r="F145" s="53">
        <v>166</v>
      </c>
      <c r="G145" s="53">
        <v>173</v>
      </c>
      <c r="H145" s="53">
        <v>183</v>
      </c>
      <c r="I145" s="53"/>
      <c r="J145" s="54"/>
      <c r="K145" s="54"/>
      <c r="L145" s="54"/>
      <c r="M145" s="54"/>
      <c r="N145" s="58">
        <f>(100.3/1.23)/365*1000</f>
        <v>223.41017930727253</v>
      </c>
      <c r="O145" s="58">
        <f>(207/1.25)/366*1000</f>
        <v>452.4590163934426</v>
      </c>
      <c r="P145" s="58">
        <f>(97000000/1219659)/365*1000</f>
        <v>217.89157843096655</v>
      </c>
      <c r="Q145" s="58"/>
      <c r="S145" s="71">
        <f>F145</f>
        <v>166</v>
      </c>
      <c r="T145" s="71">
        <f>F145</f>
        <v>166</v>
      </c>
      <c r="U145" s="71">
        <f>G145</f>
        <v>173</v>
      </c>
      <c r="V145" s="71">
        <f>G145</f>
        <v>173</v>
      </c>
      <c r="W145" s="71">
        <f>H145</f>
        <v>183</v>
      </c>
      <c r="X145" s="71">
        <f>H145</f>
        <v>183</v>
      </c>
      <c r="Y145" s="71"/>
      <c r="Z145" s="71"/>
      <c r="AA145" s="64">
        <f>N145</f>
        <v>223.41017930727253</v>
      </c>
      <c r="AB145" s="64">
        <f>O145</f>
        <v>452.4590163934426</v>
      </c>
      <c r="AC145" s="64">
        <f>P145</f>
        <v>217.89157843096655</v>
      </c>
      <c r="AD145" s="64"/>
    </row>
    <row r="146" spans="1:30" x14ac:dyDescent="0.25">
      <c r="A146" s="1795" t="s">
        <v>38</v>
      </c>
      <c r="B146" s="777" t="s">
        <v>889</v>
      </c>
      <c r="C146" s="754" t="s">
        <v>429</v>
      </c>
      <c r="D146" s="631" t="s">
        <v>1091</v>
      </c>
      <c r="E146" s="631" t="s">
        <v>1092</v>
      </c>
      <c r="F146" s="53" t="s">
        <v>5</v>
      </c>
      <c r="G146" s="53" t="s">
        <v>5</v>
      </c>
      <c r="H146" s="53" t="s">
        <v>5</v>
      </c>
      <c r="I146" s="53">
        <v>312</v>
      </c>
      <c r="J146" s="54"/>
      <c r="K146" s="54"/>
      <c r="L146" s="54"/>
      <c r="M146" s="54"/>
      <c r="N146" s="58" t="s">
        <v>5</v>
      </c>
      <c r="O146" s="58" t="s">
        <v>5</v>
      </c>
      <c r="P146" s="58" t="s">
        <v>5</v>
      </c>
      <c r="Q146" s="58">
        <f>(1005949414/8833416)/366*1000</f>
        <v>311.14754095886195</v>
      </c>
      <c r="S146" s="2450" t="s">
        <v>5</v>
      </c>
      <c r="T146" s="2450" t="s">
        <v>5</v>
      </c>
      <c r="U146" s="2466">
        <f>SUM(G147:G151)/5</f>
        <v>231.65734524921004</v>
      </c>
      <c r="V146" s="2466">
        <f>MEDIAN(G147:G151)</f>
        <v>224.6002343914102</v>
      </c>
      <c r="W146" s="2466">
        <f>SUM(H147:H151)/5</f>
        <v>204</v>
      </c>
      <c r="X146" s="2466">
        <f>MEDIAN(H147:H151)</f>
        <v>205</v>
      </c>
      <c r="Y146" s="2434">
        <f>SUM(I146:I151)/6</f>
        <v>224.83333333333334</v>
      </c>
      <c r="Z146" s="2450">
        <f>MEDIAN(I146:I151)</f>
        <v>224</v>
      </c>
      <c r="AA146" s="2462" t="s">
        <v>5</v>
      </c>
      <c r="AB146" s="2444" t="s">
        <v>5</v>
      </c>
      <c r="AC146" s="2444" t="s">
        <v>5</v>
      </c>
      <c r="AD146" s="2444">
        <f>SUM(Q146:Q151)/6</f>
        <v>224.21903426592721</v>
      </c>
    </row>
    <row r="147" spans="1:30" ht="16.5" customHeight="1" x14ac:dyDescent="0.25">
      <c r="A147" s="1796"/>
      <c r="B147" s="778" t="s">
        <v>620</v>
      </c>
      <c r="C147" s="924"/>
      <c r="D147" s="631" t="s">
        <v>1091</v>
      </c>
      <c r="E147" s="631" t="s">
        <v>1092</v>
      </c>
      <c r="F147" s="53" t="s">
        <v>5</v>
      </c>
      <c r="G147" s="444">
        <f>(172000000/2585518)/366*1000</f>
        <v>181.76062018955457</v>
      </c>
      <c r="H147" s="444">
        <v>240</v>
      </c>
      <c r="I147" s="444">
        <v>244</v>
      </c>
      <c r="J147" s="51"/>
      <c r="K147" s="51"/>
      <c r="L147" s="51"/>
      <c r="M147" s="51"/>
      <c r="N147" s="55" t="s">
        <v>5</v>
      </c>
      <c r="O147" s="58" t="s">
        <v>5</v>
      </c>
      <c r="P147" s="58" t="s">
        <v>5</v>
      </c>
      <c r="Q147" s="58">
        <f>(100955833/1133571)/366*1000</f>
        <v>243.33333270665668</v>
      </c>
      <c r="S147" s="2465"/>
      <c r="T147" s="2465"/>
      <c r="U147" s="2467"/>
      <c r="V147" s="2467"/>
      <c r="W147" s="2467"/>
      <c r="X147" s="2467"/>
      <c r="Y147" s="2435"/>
      <c r="Z147" s="2465"/>
      <c r="AA147" s="2463"/>
      <c r="AB147" s="2445"/>
      <c r="AC147" s="2445"/>
      <c r="AD147" s="2445"/>
    </row>
    <row r="148" spans="1:30" ht="15.75" customHeight="1" x14ac:dyDescent="0.25">
      <c r="A148" s="1796"/>
      <c r="B148" s="778" t="s">
        <v>621</v>
      </c>
      <c r="C148" s="924"/>
      <c r="D148" s="631" t="s">
        <v>1091</v>
      </c>
      <c r="E148" s="631" t="s">
        <v>1092</v>
      </c>
      <c r="F148" s="53" t="s">
        <v>5</v>
      </c>
      <c r="G148" s="444">
        <f>(722000000/7350683)/366*1000</f>
        <v>268.36657160000169</v>
      </c>
      <c r="H148" s="444">
        <v>205</v>
      </c>
      <c r="I148" s="444">
        <v>208</v>
      </c>
      <c r="J148" s="51"/>
      <c r="K148" s="51"/>
      <c r="L148" s="51"/>
      <c r="M148" s="51"/>
      <c r="N148" s="55" t="s">
        <v>5</v>
      </c>
      <c r="O148" s="58" t="s">
        <v>5</v>
      </c>
      <c r="P148" s="58" t="s">
        <v>5</v>
      </c>
      <c r="Q148" s="58">
        <f>(368071092/4848144)/366*1000</f>
        <v>207.43169371856021</v>
      </c>
      <c r="S148" s="2465"/>
      <c r="T148" s="2465"/>
      <c r="U148" s="2467"/>
      <c r="V148" s="2467"/>
      <c r="W148" s="2467"/>
      <c r="X148" s="2467"/>
      <c r="Y148" s="2435"/>
      <c r="Z148" s="2465"/>
      <c r="AA148" s="2463"/>
      <c r="AB148" s="2445"/>
      <c r="AC148" s="2445"/>
      <c r="AD148" s="2445"/>
    </row>
    <row r="149" spans="1:30" ht="15.75" customHeight="1" x14ac:dyDescent="0.25">
      <c r="A149" s="1796"/>
      <c r="B149" s="778" t="s">
        <v>622</v>
      </c>
      <c r="C149" s="924"/>
      <c r="D149" s="631" t="s">
        <v>1091</v>
      </c>
      <c r="E149" s="631" t="s">
        <v>1092</v>
      </c>
      <c r="F149" s="53" t="s">
        <v>5</v>
      </c>
      <c r="G149" s="444">
        <f>(451000000/5486372)/366*1000</f>
        <v>224.6002343914102</v>
      </c>
      <c r="H149" s="444">
        <v>125</v>
      </c>
      <c r="I149" s="444">
        <v>140</v>
      </c>
      <c r="J149" s="51"/>
      <c r="K149" s="51"/>
      <c r="L149" s="51"/>
      <c r="M149" s="51"/>
      <c r="N149" s="55" t="s">
        <v>5</v>
      </c>
      <c r="O149" s="58" t="s">
        <v>5</v>
      </c>
      <c r="P149" s="58" t="s">
        <v>5</v>
      </c>
      <c r="Q149" s="58">
        <f>(100539301/1967501)/366*1000</f>
        <v>139.61748619992926</v>
      </c>
      <c r="S149" s="2465"/>
      <c r="T149" s="2465"/>
      <c r="U149" s="2467"/>
      <c r="V149" s="2467"/>
      <c r="W149" s="2467"/>
      <c r="X149" s="2467"/>
      <c r="Y149" s="2435"/>
      <c r="Z149" s="2465"/>
      <c r="AA149" s="2463"/>
      <c r="AB149" s="2445"/>
      <c r="AC149" s="2445"/>
      <c r="AD149" s="2445"/>
    </row>
    <row r="150" spans="1:30" ht="15.75" customHeight="1" x14ac:dyDescent="0.25">
      <c r="A150" s="1796"/>
      <c r="B150" s="778" t="s">
        <v>623</v>
      </c>
      <c r="C150" s="924"/>
      <c r="D150" s="631" t="s">
        <v>1091</v>
      </c>
      <c r="E150" s="631" t="s">
        <v>1092</v>
      </c>
      <c r="F150" s="53" t="s">
        <v>5</v>
      </c>
      <c r="G150" s="444">
        <f>(512000000/4653458)/366*1000</f>
        <v>300.61668200833373</v>
      </c>
      <c r="H150" s="444">
        <v>250</v>
      </c>
      <c r="I150" s="444">
        <v>240</v>
      </c>
      <c r="J150" s="51"/>
      <c r="K150" s="51"/>
      <c r="L150" s="51"/>
      <c r="M150" s="51"/>
      <c r="N150" s="55" t="s">
        <v>5</v>
      </c>
      <c r="O150" s="58" t="s">
        <v>5</v>
      </c>
      <c r="P150" s="58" t="s">
        <v>5</v>
      </c>
      <c r="Q150" s="58">
        <f>(361510833/4126836)/366*1000</f>
        <v>239.34426189784196</v>
      </c>
      <c r="S150" s="2465"/>
      <c r="T150" s="2465"/>
      <c r="U150" s="2467"/>
      <c r="V150" s="2467"/>
      <c r="W150" s="2467"/>
      <c r="X150" s="2467"/>
      <c r="Y150" s="2435"/>
      <c r="Z150" s="2465"/>
      <c r="AA150" s="2463"/>
      <c r="AB150" s="2445"/>
      <c r="AC150" s="2445"/>
      <c r="AD150" s="2445"/>
    </row>
    <row r="151" spans="1:30" ht="16.5" customHeight="1" thickBot="1" x14ac:dyDescent="0.3">
      <c r="A151" s="1797"/>
      <c r="B151" s="779" t="s">
        <v>624</v>
      </c>
      <c r="C151" s="924"/>
      <c r="D151" s="631" t="s">
        <v>1091</v>
      </c>
      <c r="E151" s="631" t="s">
        <v>1092</v>
      </c>
      <c r="F151" s="53" t="s">
        <v>5</v>
      </c>
      <c r="G151" s="444">
        <f>(387000000/5779829)/366*1000</f>
        <v>182.94261805675009</v>
      </c>
      <c r="H151" s="444">
        <v>200</v>
      </c>
      <c r="I151" s="444">
        <v>205</v>
      </c>
      <c r="J151" s="51"/>
      <c r="K151" s="51"/>
      <c r="L151" s="51"/>
      <c r="M151" s="51"/>
      <c r="N151" s="55" t="s">
        <v>5</v>
      </c>
      <c r="O151" s="58" t="s">
        <v>5</v>
      </c>
      <c r="P151" s="58" t="s">
        <v>5</v>
      </c>
      <c r="Q151" s="58">
        <f>(188449306/2518534)/366*1000</f>
        <v>204.43989011371309</v>
      </c>
      <c r="S151" s="2452"/>
      <c r="T151" s="2452"/>
      <c r="U151" s="2468"/>
      <c r="V151" s="2468"/>
      <c r="W151" s="2468"/>
      <c r="X151" s="2468"/>
      <c r="Y151" s="2436"/>
      <c r="Z151" s="2452"/>
      <c r="AA151" s="2464"/>
      <c r="AB151" s="2449"/>
      <c r="AC151" s="2449"/>
      <c r="AD151" s="2449"/>
    </row>
    <row r="152" spans="1:30" x14ac:dyDescent="0.25">
      <c r="A152" s="2082" t="s">
        <v>39</v>
      </c>
      <c r="B152" s="780" t="s">
        <v>494</v>
      </c>
      <c r="C152" s="922"/>
      <c r="D152" s="764" t="s">
        <v>1093</v>
      </c>
      <c r="E152" s="764" t="s">
        <v>1094</v>
      </c>
      <c r="F152" s="53">
        <v>95</v>
      </c>
      <c r="G152" s="53"/>
      <c r="H152" s="53"/>
      <c r="I152" s="53"/>
      <c r="J152" s="54"/>
      <c r="K152" s="51"/>
      <c r="L152" s="51"/>
      <c r="M152" s="51"/>
      <c r="N152" s="58">
        <f>(131200/3786)/365*1000</f>
        <v>94.942433912974252</v>
      </c>
      <c r="O152" s="435"/>
      <c r="P152" s="435"/>
      <c r="Q152" s="435"/>
      <c r="S152" s="2435">
        <f>SUM(F152:F156)/5</f>
        <v>108.6</v>
      </c>
      <c r="T152" s="2435">
        <f>MEDIAN(F152:F156)</f>
        <v>104</v>
      </c>
      <c r="U152" s="938"/>
      <c r="V152" s="938"/>
      <c r="W152" s="938"/>
      <c r="X152" s="938"/>
      <c r="Y152" s="938"/>
      <c r="Z152" s="938"/>
      <c r="AA152" s="2444">
        <f>SUM(N152:N156)/5</f>
        <v>108.79611064088681</v>
      </c>
      <c r="AB152" s="2444"/>
      <c r="AC152" s="2444"/>
      <c r="AD152" s="2444"/>
    </row>
    <row r="153" spans="1:30" ht="16.5" customHeight="1" x14ac:dyDescent="0.25">
      <c r="A153" s="2083"/>
      <c r="B153" s="781" t="s">
        <v>495</v>
      </c>
      <c r="C153" s="922" t="s">
        <v>429</v>
      </c>
      <c r="D153" s="764" t="s">
        <v>1095</v>
      </c>
      <c r="E153" s="764" t="s">
        <v>1096</v>
      </c>
      <c r="F153" s="53">
        <v>104</v>
      </c>
      <c r="G153" s="53"/>
      <c r="H153" s="53"/>
      <c r="I153" s="53"/>
      <c r="J153" s="54"/>
      <c r="K153" s="51"/>
      <c r="L153" s="51"/>
      <c r="M153" s="51"/>
      <c r="N153" s="58">
        <f>(74300/1948)/365*1000</f>
        <v>104.49776377598381</v>
      </c>
      <c r="O153" s="58"/>
      <c r="P153" s="58"/>
      <c r="Q153" s="58"/>
      <c r="S153" s="2429"/>
      <c r="T153" s="2429"/>
      <c r="U153" s="938"/>
      <c r="V153" s="936"/>
      <c r="W153" s="938"/>
      <c r="X153" s="938"/>
      <c r="Y153" s="936"/>
      <c r="Z153" s="936"/>
      <c r="AA153" s="2432"/>
      <c r="AB153" s="2445"/>
      <c r="AC153" s="2445"/>
      <c r="AD153" s="2445"/>
    </row>
    <row r="154" spans="1:30" ht="16.5" customHeight="1" x14ac:dyDescent="0.25">
      <c r="A154" s="2083"/>
      <c r="B154" s="781" t="s">
        <v>496</v>
      </c>
      <c r="C154" s="922"/>
      <c r="D154" s="764" t="s">
        <v>1097</v>
      </c>
      <c r="E154" s="764" t="s">
        <v>1098</v>
      </c>
      <c r="F154" s="53">
        <v>115</v>
      </c>
      <c r="G154" s="53"/>
      <c r="H154" s="53"/>
      <c r="I154" s="53"/>
      <c r="J154" s="54"/>
      <c r="K154" s="51"/>
      <c r="L154" s="51"/>
      <c r="M154" s="51"/>
      <c r="N154" s="58">
        <f>(36900/876)/365*1000</f>
        <v>115.40626759241883</v>
      </c>
      <c r="O154" s="58"/>
      <c r="P154" s="58"/>
      <c r="Q154" s="58"/>
      <c r="S154" s="2429"/>
      <c r="T154" s="2429"/>
      <c r="U154" s="938"/>
      <c r="V154" s="936"/>
      <c r="W154" s="938"/>
      <c r="X154" s="938"/>
      <c r="Y154" s="936"/>
      <c r="Z154" s="936"/>
      <c r="AA154" s="2432"/>
      <c r="AB154" s="2445"/>
      <c r="AC154" s="2445"/>
      <c r="AD154" s="2445"/>
    </row>
    <row r="155" spans="1:30" ht="16.5" customHeight="1" x14ac:dyDescent="0.25">
      <c r="A155" s="2083"/>
      <c r="B155" s="781" t="s">
        <v>497</v>
      </c>
      <c r="C155" s="922"/>
      <c r="D155" s="764" t="s">
        <v>1099</v>
      </c>
      <c r="E155" s="764" t="s">
        <v>1100</v>
      </c>
      <c r="F155" s="53">
        <v>99</v>
      </c>
      <c r="G155" s="53"/>
      <c r="H155" s="53"/>
      <c r="I155" s="53"/>
      <c r="J155" s="54"/>
      <c r="K155" s="51"/>
      <c r="L155" s="51"/>
      <c r="M155" s="51"/>
      <c r="N155" s="58">
        <f>(21400/590)/365*1000</f>
        <v>99.373113536104015</v>
      </c>
      <c r="O155" s="58"/>
      <c r="P155" s="58"/>
      <c r="Q155" s="58"/>
      <c r="S155" s="2429"/>
      <c r="T155" s="2429"/>
      <c r="U155" s="938"/>
      <c r="V155" s="936"/>
      <c r="W155" s="938"/>
      <c r="X155" s="938"/>
      <c r="Y155" s="936"/>
      <c r="Z155" s="936"/>
      <c r="AA155" s="2432"/>
      <c r="AB155" s="2445"/>
      <c r="AC155" s="2445"/>
      <c r="AD155" s="2445"/>
    </row>
    <row r="156" spans="1:30" ht="15.75" thickBot="1" x14ac:dyDescent="0.3">
      <c r="A156" s="2084"/>
      <c r="B156" s="782" t="s">
        <v>498</v>
      </c>
      <c r="C156" s="922"/>
      <c r="D156" s="764" t="s">
        <v>1101</v>
      </c>
      <c r="E156" s="764" t="s">
        <v>1102</v>
      </c>
      <c r="F156" s="53">
        <v>130</v>
      </c>
      <c r="G156" s="53"/>
      <c r="H156" s="53"/>
      <c r="I156" s="53"/>
      <c r="J156" s="54"/>
      <c r="K156" s="51"/>
      <c r="L156" s="51"/>
      <c r="M156" s="51"/>
      <c r="N156" s="58">
        <f>(44000/929)/365*1000</f>
        <v>129.76097438695314</v>
      </c>
      <c r="O156" s="58"/>
      <c r="P156" s="58"/>
      <c r="Q156" s="58"/>
      <c r="S156" s="2436"/>
      <c r="T156" s="2436"/>
      <c r="U156" s="937"/>
      <c r="V156" s="937"/>
      <c r="W156" s="937"/>
      <c r="X156" s="937"/>
      <c r="Y156" s="937"/>
      <c r="Z156" s="937"/>
      <c r="AA156" s="2449"/>
      <c r="AB156" s="2449"/>
      <c r="AC156" s="2449"/>
      <c r="AD156" s="2449"/>
    </row>
    <row r="157" spans="1:30" ht="16.5" thickBot="1" x14ac:dyDescent="0.3">
      <c r="A157" s="961" t="s">
        <v>734</v>
      </c>
      <c r="B157" s="773" t="s">
        <v>735</v>
      </c>
      <c r="C157" s="922"/>
      <c r="D157" s="764" t="s">
        <v>1103</v>
      </c>
      <c r="E157" s="764" t="s">
        <v>1104</v>
      </c>
      <c r="F157" s="53" t="s">
        <v>5</v>
      </c>
      <c r="G157" s="53" t="s">
        <v>5</v>
      </c>
      <c r="H157" s="53" t="s">
        <v>5</v>
      </c>
      <c r="I157" s="53"/>
      <c r="J157" s="54" t="s">
        <v>5</v>
      </c>
      <c r="K157" s="54" t="s">
        <v>5</v>
      </c>
      <c r="L157" s="54" t="s">
        <v>5</v>
      </c>
      <c r="M157" s="54"/>
      <c r="N157" s="58" t="s">
        <v>5</v>
      </c>
      <c r="O157" s="58" t="s">
        <v>5</v>
      </c>
      <c r="P157" s="58" t="s">
        <v>5</v>
      </c>
      <c r="Q157" s="58"/>
      <c r="R157" s="63"/>
      <c r="S157" s="936" t="s">
        <v>5</v>
      </c>
      <c r="T157" s="936" t="s">
        <v>5</v>
      </c>
      <c r="U157" s="936" t="s">
        <v>5</v>
      </c>
      <c r="V157" s="936" t="s">
        <v>5</v>
      </c>
      <c r="W157" s="936" t="s">
        <v>5</v>
      </c>
      <c r="X157" s="936" t="s">
        <v>5</v>
      </c>
      <c r="Y157" s="936"/>
      <c r="Z157" s="936"/>
      <c r="AA157" s="927" t="s">
        <v>5</v>
      </c>
      <c r="AB157" s="927" t="s">
        <v>5</v>
      </c>
      <c r="AC157" s="927" t="s">
        <v>5</v>
      </c>
      <c r="AD157" s="927"/>
    </row>
    <row r="158" spans="1:30" ht="15.75" customHeight="1" x14ac:dyDescent="0.25">
      <c r="A158" s="1795" t="s">
        <v>20</v>
      </c>
      <c r="B158" s="783" t="s">
        <v>182</v>
      </c>
      <c r="C158" s="754" t="s">
        <v>429</v>
      </c>
      <c r="D158" s="631" t="s">
        <v>1105</v>
      </c>
      <c r="E158" s="631" t="s">
        <v>1106</v>
      </c>
      <c r="F158" s="56">
        <v>138.6</v>
      </c>
      <c r="G158" s="56">
        <v>133.5</v>
      </c>
      <c r="H158" s="56">
        <v>135.5</v>
      </c>
      <c r="I158" s="56" t="s">
        <v>5</v>
      </c>
      <c r="J158" s="54"/>
      <c r="K158" s="54"/>
      <c r="L158" s="54"/>
      <c r="M158" s="54"/>
      <c r="N158" s="58">
        <f>(39164000/774166)/365*1000</f>
        <v>138.59899574120575</v>
      </c>
      <c r="O158" s="58"/>
      <c r="P158" s="58" t="s">
        <v>5</v>
      </c>
      <c r="Q158" s="58" t="s">
        <v>5</v>
      </c>
      <c r="S158" s="2434">
        <f>(F158+F162+F163)/3</f>
        <v>121.04121430686008</v>
      </c>
      <c r="T158" s="2434">
        <f>MEDIAN(F158:F163)</f>
        <v>125</v>
      </c>
      <c r="U158" s="2434">
        <f>(G158+G162+G163)/3</f>
        <v>125.16666666666667</v>
      </c>
      <c r="V158" s="2434">
        <f>MEDIAN(G158:G163)</f>
        <v>121</v>
      </c>
      <c r="W158" s="2434">
        <f>SUM(H158:H163)/6</f>
        <v>124.73333333333335</v>
      </c>
      <c r="X158" s="2434">
        <f>MEDIAN(H158:H163)</f>
        <v>125.8</v>
      </c>
      <c r="Y158" s="2434" t="s">
        <v>5</v>
      </c>
      <c r="Z158" s="2434" t="s">
        <v>5</v>
      </c>
      <c r="AA158" s="2444">
        <f>(N158+N162+N163)/3</f>
        <v>150.94914616046287</v>
      </c>
      <c r="AB158" s="2444" t="s">
        <v>5</v>
      </c>
      <c r="AC158" s="2444" t="s">
        <v>5</v>
      </c>
      <c r="AD158" s="2444" t="s">
        <v>5</v>
      </c>
    </row>
    <row r="159" spans="1:30" ht="15.75" customHeight="1" x14ac:dyDescent="0.25">
      <c r="A159" s="1796"/>
      <c r="B159" s="783" t="s">
        <v>183</v>
      </c>
      <c r="C159" s="754"/>
      <c r="D159" s="631" t="s">
        <v>1105</v>
      </c>
      <c r="E159" s="631" t="s">
        <v>1106</v>
      </c>
      <c r="F159" s="53" t="s">
        <v>5</v>
      </c>
      <c r="G159" s="53"/>
      <c r="H159" s="56">
        <v>135.5</v>
      </c>
      <c r="I159" s="56" t="s">
        <v>5</v>
      </c>
      <c r="J159" s="54"/>
      <c r="K159" s="54"/>
      <c r="L159" s="54"/>
      <c r="M159" s="54"/>
      <c r="N159" s="55" t="s">
        <v>5</v>
      </c>
      <c r="O159" s="55"/>
      <c r="P159" s="55" t="s">
        <v>5</v>
      </c>
      <c r="Q159" s="55" t="s">
        <v>5</v>
      </c>
      <c r="S159" s="2429"/>
      <c r="T159" s="2429"/>
      <c r="U159" s="2435"/>
      <c r="V159" s="2429"/>
      <c r="W159" s="2435"/>
      <c r="X159" s="2429"/>
      <c r="Y159" s="2435"/>
      <c r="Z159" s="2435"/>
      <c r="AA159" s="2432"/>
      <c r="AB159" s="2456"/>
      <c r="AC159" s="2456"/>
      <c r="AD159" s="2456"/>
    </row>
    <row r="160" spans="1:30" ht="15.75" customHeight="1" x14ac:dyDescent="0.25">
      <c r="A160" s="1796"/>
      <c r="B160" s="783" t="s">
        <v>184</v>
      </c>
      <c r="C160" s="754"/>
      <c r="D160" s="631" t="s">
        <v>1105</v>
      </c>
      <c r="E160" s="631" t="s">
        <v>1106</v>
      </c>
      <c r="F160" s="53" t="s">
        <v>5</v>
      </c>
      <c r="G160" s="53"/>
      <c r="H160" s="56">
        <v>135.5</v>
      </c>
      <c r="I160" s="56" t="s">
        <v>5</v>
      </c>
      <c r="J160" s="54"/>
      <c r="K160" s="54"/>
      <c r="L160" s="54"/>
      <c r="M160" s="54"/>
      <c r="N160" s="55" t="s">
        <v>5</v>
      </c>
      <c r="O160" s="55"/>
      <c r="P160" s="55" t="s">
        <v>5</v>
      </c>
      <c r="Q160" s="55" t="s">
        <v>5</v>
      </c>
      <c r="S160" s="2429"/>
      <c r="T160" s="2429"/>
      <c r="U160" s="2435"/>
      <c r="V160" s="2429"/>
      <c r="W160" s="2435"/>
      <c r="X160" s="2429"/>
      <c r="Y160" s="2435"/>
      <c r="Z160" s="2435"/>
      <c r="AA160" s="2432"/>
      <c r="AB160" s="2456"/>
      <c r="AC160" s="2456"/>
      <c r="AD160" s="2456"/>
    </row>
    <row r="161" spans="1:30" ht="15.75" customHeight="1" x14ac:dyDescent="0.25">
      <c r="A161" s="1796"/>
      <c r="B161" s="783" t="s">
        <v>185</v>
      </c>
      <c r="C161" s="754"/>
      <c r="D161" s="631" t="s">
        <v>1105</v>
      </c>
      <c r="E161" s="631" t="s">
        <v>1106</v>
      </c>
      <c r="F161" s="53" t="s">
        <v>5</v>
      </c>
      <c r="G161" s="53"/>
      <c r="H161" s="56">
        <v>109.7</v>
      </c>
      <c r="I161" s="56" t="s">
        <v>5</v>
      </c>
      <c r="J161" s="54"/>
      <c r="K161" s="54"/>
      <c r="L161" s="54"/>
      <c r="M161" s="54"/>
      <c r="N161" s="55" t="s">
        <v>5</v>
      </c>
      <c r="O161" s="55"/>
      <c r="P161" s="55" t="s">
        <v>5</v>
      </c>
      <c r="Q161" s="55" t="s">
        <v>5</v>
      </c>
      <c r="S161" s="2429"/>
      <c r="T161" s="2429"/>
      <c r="U161" s="2435"/>
      <c r="V161" s="2429"/>
      <c r="W161" s="2435"/>
      <c r="X161" s="2429"/>
      <c r="Y161" s="2435"/>
      <c r="Z161" s="2435"/>
      <c r="AA161" s="2432"/>
      <c r="AB161" s="2456"/>
      <c r="AC161" s="2456"/>
      <c r="AD161" s="2456"/>
    </row>
    <row r="162" spans="1:30" ht="15.75" customHeight="1" x14ac:dyDescent="0.25">
      <c r="A162" s="1796"/>
      <c r="B162" s="783" t="s">
        <v>186</v>
      </c>
      <c r="C162" s="754"/>
      <c r="D162" s="631" t="s">
        <v>1105</v>
      </c>
      <c r="E162" s="631" t="s">
        <v>1106</v>
      </c>
      <c r="F162" s="53">
        <v>125</v>
      </c>
      <c r="G162" s="53">
        <v>121</v>
      </c>
      <c r="H162" s="56">
        <v>116.1</v>
      </c>
      <c r="I162" s="56" t="s">
        <v>5</v>
      </c>
      <c r="J162" s="54"/>
      <c r="K162" s="54"/>
      <c r="L162" s="54"/>
      <c r="M162" s="54"/>
      <c r="N162" s="58">
        <f>(12492237/212269)/365*1000</f>
        <v>161.23554004265844</v>
      </c>
      <c r="O162" s="58"/>
      <c r="P162" s="58" t="s">
        <v>5</v>
      </c>
      <c r="Q162" s="58" t="s">
        <v>5</v>
      </c>
      <c r="S162" s="2429"/>
      <c r="T162" s="2429"/>
      <c r="U162" s="2435"/>
      <c r="V162" s="2429"/>
      <c r="W162" s="2435"/>
      <c r="X162" s="2429"/>
      <c r="Y162" s="2435"/>
      <c r="Z162" s="2435"/>
      <c r="AA162" s="2432"/>
      <c r="AB162" s="2456"/>
      <c r="AC162" s="2456"/>
      <c r="AD162" s="2456"/>
    </row>
    <row r="163" spans="1:30" ht="15.75" customHeight="1" x14ac:dyDescent="0.25">
      <c r="A163" s="1796"/>
      <c r="B163" s="502" t="s">
        <v>187</v>
      </c>
      <c r="C163" s="457"/>
      <c r="D163" s="261" t="s">
        <v>1105</v>
      </c>
      <c r="E163" s="261" t="s">
        <v>1106</v>
      </c>
      <c r="F163" s="56">
        <f>(4345150/119615)/365*1000</f>
        <v>99.523642920580244</v>
      </c>
      <c r="G163" s="56">
        <v>121</v>
      </c>
      <c r="H163" s="56">
        <v>116.1</v>
      </c>
      <c r="I163" s="56"/>
      <c r="J163" s="54"/>
      <c r="K163" s="54"/>
      <c r="L163" s="54"/>
      <c r="M163" s="54"/>
      <c r="N163" s="58">
        <f>(6680463/119615)/365*1000</f>
        <v>153.01290269752442</v>
      </c>
      <c r="O163" s="58"/>
      <c r="P163" s="58"/>
      <c r="Q163" s="58"/>
      <c r="S163" s="2436"/>
      <c r="T163" s="2436"/>
      <c r="U163" s="2436"/>
      <c r="V163" s="2436"/>
      <c r="W163" s="2436"/>
      <c r="X163" s="2436"/>
      <c r="Y163" s="2436"/>
      <c r="Z163" s="2436"/>
      <c r="AA163" s="2449"/>
      <c r="AB163" s="2449"/>
      <c r="AC163" s="2449"/>
      <c r="AD163" s="2449"/>
    </row>
    <row r="164" spans="1:30" ht="15.75" customHeight="1" thickBot="1" x14ac:dyDescent="0.3">
      <c r="A164" s="1797"/>
      <c r="B164" s="783" t="s">
        <v>760</v>
      </c>
      <c r="C164" s="754"/>
      <c r="D164" s="631" t="s">
        <v>1105</v>
      </c>
      <c r="E164" s="631" t="s">
        <v>1106</v>
      </c>
      <c r="F164" s="56" t="s">
        <v>5</v>
      </c>
      <c r="G164" s="56" t="s">
        <v>5</v>
      </c>
      <c r="H164" s="56">
        <v>118.9</v>
      </c>
      <c r="I164" s="56">
        <v>119.2</v>
      </c>
      <c r="J164" s="54"/>
      <c r="K164" s="54"/>
      <c r="L164" s="54"/>
      <c r="M164" s="54"/>
      <c r="N164" s="58" t="s">
        <v>5</v>
      </c>
      <c r="O164" s="58" t="s">
        <v>5</v>
      </c>
      <c r="P164" s="58" t="s">
        <v>5</v>
      </c>
      <c r="Q164" s="58" t="s">
        <v>5</v>
      </c>
      <c r="S164" s="936" t="s">
        <v>5</v>
      </c>
      <c r="T164" s="936" t="s">
        <v>5</v>
      </c>
      <c r="U164" s="936" t="s">
        <v>5</v>
      </c>
      <c r="V164" s="936" t="s">
        <v>5</v>
      </c>
      <c r="W164" s="936">
        <v>118.9</v>
      </c>
      <c r="X164" s="936">
        <v>118.9</v>
      </c>
      <c r="Y164" s="936">
        <v>119.2</v>
      </c>
      <c r="Z164" s="936">
        <v>119.2</v>
      </c>
      <c r="AA164" s="927"/>
      <c r="AB164" s="927"/>
      <c r="AC164" s="927"/>
      <c r="AD164" s="927"/>
    </row>
    <row r="165" spans="1:30" ht="15.75" customHeight="1" x14ac:dyDescent="0.25">
      <c r="A165" s="2004" t="s">
        <v>527</v>
      </c>
      <c r="B165" s="784" t="s">
        <v>528</v>
      </c>
      <c r="C165" s="457"/>
      <c r="D165" s="261" t="s">
        <v>1107</v>
      </c>
      <c r="E165" s="261" t="s">
        <v>1108</v>
      </c>
      <c r="F165" s="53">
        <v>230</v>
      </c>
      <c r="G165" s="53"/>
      <c r="H165" s="53"/>
      <c r="I165" s="53"/>
      <c r="J165" s="54"/>
      <c r="K165" s="54"/>
      <c r="L165" s="54"/>
      <c r="M165" s="54"/>
      <c r="N165" s="58">
        <f>(28510000/190000)/365*1000</f>
        <v>411.10310021629414</v>
      </c>
      <c r="O165" s="58"/>
      <c r="P165" s="58"/>
      <c r="Q165" s="58"/>
      <c r="S165" s="2434">
        <f>SUM(F165:F169)/5</f>
        <v>227.6</v>
      </c>
      <c r="T165" s="2434">
        <f>MEDIAN(F165:F169)</f>
        <v>230</v>
      </c>
      <c r="U165" s="2434" t="s">
        <v>5</v>
      </c>
      <c r="V165" s="2434" t="s">
        <v>5</v>
      </c>
      <c r="W165" s="935"/>
      <c r="X165" s="935"/>
      <c r="Y165" s="935"/>
      <c r="Z165" s="935"/>
      <c r="AA165" s="2444">
        <f>SUM(N165:N169)/5</f>
        <v>369.50679688012059</v>
      </c>
      <c r="AB165" s="2444"/>
      <c r="AC165" s="2444"/>
      <c r="AD165" s="2444"/>
    </row>
    <row r="166" spans="1:30" ht="15.75" customHeight="1" x14ac:dyDescent="0.25">
      <c r="A166" s="2005"/>
      <c r="B166" s="502" t="s">
        <v>529</v>
      </c>
      <c r="C166" s="457"/>
      <c r="D166" s="261" t="s">
        <v>1107</v>
      </c>
      <c r="E166" s="261" t="s">
        <v>1108</v>
      </c>
      <c r="F166" s="53">
        <v>228</v>
      </c>
      <c r="G166" s="53"/>
      <c r="H166" s="53"/>
      <c r="I166" s="53"/>
      <c r="J166" s="54"/>
      <c r="K166" s="54"/>
      <c r="L166" s="54"/>
      <c r="M166" s="54"/>
      <c r="N166" s="58">
        <f>(15480000/110000)/365*1000</f>
        <v>385.55417185554171</v>
      </c>
      <c r="O166" s="58"/>
      <c r="P166" s="58"/>
      <c r="Q166" s="58"/>
      <c r="S166" s="2429"/>
      <c r="T166" s="2429"/>
      <c r="U166" s="2429"/>
      <c r="V166" s="2429"/>
      <c r="W166" s="938"/>
      <c r="X166" s="938"/>
      <c r="Y166" s="936"/>
      <c r="Z166" s="936"/>
      <c r="AA166" s="2432"/>
      <c r="AB166" s="2432"/>
      <c r="AC166" s="2432"/>
      <c r="AD166" s="2432"/>
    </row>
    <row r="167" spans="1:30" ht="15.75" customHeight="1" x14ac:dyDescent="0.25">
      <c r="A167" s="2005"/>
      <c r="B167" s="502" t="s">
        <v>530</v>
      </c>
      <c r="C167" s="457"/>
      <c r="D167" s="261" t="s">
        <v>1107</v>
      </c>
      <c r="E167" s="261" t="s">
        <v>1108</v>
      </c>
      <c r="F167" s="53">
        <v>231</v>
      </c>
      <c r="G167" s="53"/>
      <c r="H167" s="53"/>
      <c r="I167" s="53"/>
      <c r="J167" s="54"/>
      <c r="K167" s="54"/>
      <c r="L167" s="54"/>
      <c r="M167" s="54"/>
      <c r="N167" s="58">
        <f>(9814000/75000)/365*1000</f>
        <v>358.5022831050228</v>
      </c>
      <c r="O167" s="58"/>
      <c r="P167" s="58"/>
      <c r="Q167" s="58"/>
      <c r="S167" s="2429"/>
      <c r="T167" s="2429"/>
      <c r="U167" s="2429"/>
      <c r="V167" s="2429"/>
      <c r="W167" s="938"/>
      <c r="X167" s="938"/>
      <c r="Y167" s="936"/>
      <c r="Z167" s="936"/>
      <c r="AA167" s="2432"/>
      <c r="AB167" s="2432"/>
      <c r="AC167" s="2432"/>
      <c r="AD167" s="2432"/>
    </row>
    <row r="168" spans="1:30" ht="15.75" customHeight="1" x14ac:dyDescent="0.25">
      <c r="A168" s="2005"/>
      <c r="B168" s="502" t="s">
        <v>531</v>
      </c>
      <c r="C168" s="457"/>
      <c r="D168" s="261" t="s">
        <v>1107</v>
      </c>
      <c r="E168" s="261" t="s">
        <v>1108</v>
      </c>
      <c r="F168" s="53">
        <v>270</v>
      </c>
      <c r="G168" s="53"/>
      <c r="H168" s="53"/>
      <c r="I168" s="53"/>
      <c r="J168" s="54"/>
      <c r="K168" s="54"/>
      <c r="L168" s="54"/>
      <c r="M168" s="54"/>
      <c r="N168" s="58">
        <f>(12880000/120000)/365*1000</f>
        <v>294.06392694063925</v>
      </c>
      <c r="O168" s="58"/>
      <c r="P168" s="58"/>
      <c r="Q168" s="58"/>
      <c r="S168" s="2429"/>
      <c r="T168" s="2429"/>
      <c r="U168" s="2429"/>
      <c r="V168" s="2429"/>
      <c r="W168" s="938"/>
      <c r="X168" s="938"/>
      <c r="Y168" s="936"/>
      <c r="Z168" s="936"/>
      <c r="AA168" s="2432"/>
      <c r="AB168" s="2432"/>
      <c r="AC168" s="2432"/>
      <c r="AD168" s="2432"/>
    </row>
    <row r="169" spans="1:30" ht="15.75" customHeight="1" thickBot="1" x14ac:dyDescent="0.3">
      <c r="A169" s="2006"/>
      <c r="B169" s="785" t="s">
        <v>532</v>
      </c>
      <c r="C169" s="457"/>
      <c r="D169" s="261" t="s">
        <v>1107</v>
      </c>
      <c r="E169" s="261" t="s">
        <v>1108</v>
      </c>
      <c r="F169" s="53">
        <v>179</v>
      </c>
      <c r="G169" s="53"/>
      <c r="H169" s="53"/>
      <c r="I169" s="53"/>
      <c r="J169" s="54"/>
      <c r="K169" s="54"/>
      <c r="L169" s="54"/>
      <c r="M169" s="54"/>
      <c r="N169" s="58">
        <f>(8723000/60000)/365*1000</f>
        <v>398.310502283105</v>
      </c>
      <c r="O169" s="58"/>
      <c r="P169" s="58"/>
      <c r="Q169" s="58"/>
      <c r="S169" s="2436"/>
      <c r="T169" s="2436"/>
      <c r="U169" s="2436"/>
      <c r="V169" s="2436"/>
      <c r="W169" s="937"/>
      <c r="X169" s="937"/>
      <c r="Y169" s="937"/>
      <c r="Z169" s="937"/>
      <c r="AA169" s="2449"/>
      <c r="AB169" s="2449"/>
      <c r="AC169" s="2449"/>
      <c r="AD169" s="2449"/>
    </row>
    <row r="170" spans="1:30" ht="16.5" thickBot="1" x14ac:dyDescent="0.3">
      <c r="A170" s="267" t="s">
        <v>46</v>
      </c>
      <c r="B170" s="29"/>
      <c r="C170" s="29"/>
      <c r="D170" s="764" t="s">
        <v>1109</v>
      </c>
      <c r="E170" s="764" t="s">
        <v>1110</v>
      </c>
      <c r="F170" s="53" t="s">
        <v>5</v>
      </c>
      <c r="G170" s="53"/>
      <c r="H170" s="53"/>
      <c r="I170" s="53"/>
      <c r="J170" s="51"/>
      <c r="K170" s="51"/>
      <c r="L170" s="51"/>
      <c r="M170" s="51"/>
      <c r="N170" s="52"/>
      <c r="O170" s="52"/>
      <c r="P170" s="52"/>
      <c r="Q170" s="52"/>
      <c r="S170" s="59" t="s">
        <v>5</v>
      </c>
      <c r="T170" s="59" t="s">
        <v>5</v>
      </c>
      <c r="U170" s="59" t="s">
        <v>5</v>
      </c>
      <c r="V170" s="59" t="s">
        <v>5</v>
      </c>
      <c r="W170" s="59"/>
      <c r="X170" s="59"/>
      <c r="Y170" s="59"/>
      <c r="Z170" s="59"/>
      <c r="AA170" s="50"/>
      <c r="AB170" s="50"/>
      <c r="AC170" s="50"/>
      <c r="AD170" s="50"/>
    </row>
    <row r="171" spans="1:30" ht="15.75" customHeight="1" x14ac:dyDescent="0.25">
      <c r="A171" s="1818" t="s">
        <v>21</v>
      </c>
      <c r="B171" s="786" t="s">
        <v>125</v>
      </c>
      <c r="C171" s="760"/>
      <c r="D171" s="639" t="s">
        <v>1111</v>
      </c>
      <c r="E171" s="639" t="s">
        <v>1112</v>
      </c>
      <c r="F171" s="53">
        <v>150</v>
      </c>
      <c r="G171" s="53">
        <v>160</v>
      </c>
      <c r="H171" s="53">
        <v>160</v>
      </c>
      <c r="I171" s="53">
        <v>160</v>
      </c>
      <c r="J171" s="57"/>
      <c r="K171" s="57"/>
      <c r="L171" s="57"/>
      <c r="M171" s="57"/>
      <c r="N171" s="58">
        <f>(39400000/252400)/365*1000</f>
        <v>427.67514056835205</v>
      </c>
      <c r="O171" s="58">
        <f>(36000000/260000)/366*1000</f>
        <v>378.31021437578812</v>
      </c>
      <c r="P171" s="58">
        <f>(23100000/270000)/365*1000</f>
        <v>234.39878234398785</v>
      </c>
      <c r="Q171" s="58">
        <f>(31900000/270000)/366*1000</f>
        <v>322.80914794576</v>
      </c>
      <c r="S171" s="2434">
        <f>SUM(F171:F172)/2</f>
        <v>165</v>
      </c>
      <c r="T171" s="2434">
        <f>MEDIAN(F171:F173)</f>
        <v>165</v>
      </c>
      <c r="U171" s="2434">
        <v>160</v>
      </c>
      <c r="V171" s="2434">
        <f>MEDIAN(G171:G173)</f>
        <v>160</v>
      </c>
      <c r="W171" s="2434">
        <f>SUM(H171:H173)/3</f>
        <v>158.33333333333334</v>
      </c>
      <c r="X171" s="2434">
        <f>MEDIAN(H171:H173)</f>
        <v>160</v>
      </c>
      <c r="Y171" s="2434">
        <f>SUM(I171:I173)/3</f>
        <v>155</v>
      </c>
      <c r="Z171" s="2434">
        <f>MEDIAN(I171:I173)</f>
        <v>160</v>
      </c>
      <c r="AA171" s="2444">
        <f>SUM(N171:N172)/2</f>
        <v>370.28622280454488</v>
      </c>
      <c r="AB171" s="2444">
        <f>SUM(O171:O173)/3</f>
        <v>312.48956144038112</v>
      </c>
      <c r="AC171" s="2444">
        <f>SUM(P171:P173)/3</f>
        <v>259.96910407733429</v>
      </c>
      <c r="AD171" s="2444">
        <f>SUM(Q171:Q173)/3</f>
        <v>278.75124170890263</v>
      </c>
    </row>
    <row r="172" spans="1:30" ht="15.75" customHeight="1" x14ac:dyDescent="0.25">
      <c r="A172" s="1819"/>
      <c r="B172" s="660" t="s">
        <v>126</v>
      </c>
      <c r="C172" s="760" t="s">
        <v>429</v>
      </c>
      <c r="D172" s="639" t="s">
        <v>1111</v>
      </c>
      <c r="E172" s="639" t="s">
        <v>1112</v>
      </c>
      <c r="F172" s="53">
        <v>180</v>
      </c>
      <c r="G172" s="53">
        <v>160</v>
      </c>
      <c r="H172" s="53">
        <v>160</v>
      </c>
      <c r="I172" s="53">
        <v>160</v>
      </c>
      <c r="J172" s="57"/>
      <c r="K172" s="57"/>
      <c r="L172" s="57"/>
      <c r="M172" s="57"/>
      <c r="N172" s="58">
        <f>(69895000/612000)/365*1000</f>
        <v>312.89730504073776</v>
      </c>
      <c r="O172" s="58">
        <f>(52970000/625000)/366*1000</f>
        <v>231.56284153005464</v>
      </c>
      <c r="P172" s="58">
        <f>(56210000/646000)/365*1000</f>
        <v>238.39009287925697</v>
      </c>
      <c r="Q172" s="58">
        <f>(57170000/705000)/366*1000</f>
        <v>221.56338410262373</v>
      </c>
      <c r="S172" s="2429"/>
      <c r="T172" s="2429"/>
      <c r="U172" s="2435"/>
      <c r="V172" s="2429"/>
      <c r="W172" s="2435"/>
      <c r="X172" s="2429"/>
      <c r="Y172" s="2429"/>
      <c r="Z172" s="2429"/>
      <c r="AA172" s="2432"/>
      <c r="AB172" s="2456"/>
      <c r="AC172" s="2456"/>
      <c r="AD172" s="2456"/>
    </row>
    <row r="173" spans="1:30" ht="16.5" customHeight="1" thickBot="1" x14ac:dyDescent="0.3">
      <c r="A173" s="1820"/>
      <c r="B173" s="612" t="s">
        <v>127</v>
      </c>
      <c r="C173" s="760"/>
      <c r="D173" s="639" t="s">
        <v>1111</v>
      </c>
      <c r="E173" s="639" t="s">
        <v>1112</v>
      </c>
      <c r="F173" s="53" t="s">
        <v>5</v>
      </c>
      <c r="G173" s="446" t="s">
        <v>5</v>
      </c>
      <c r="H173" s="446">
        <v>155</v>
      </c>
      <c r="I173" s="446">
        <v>145</v>
      </c>
      <c r="J173" s="57"/>
      <c r="K173" s="57"/>
      <c r="L173" s="57"/>
      <c r="M173" s="57"/>
      <c r="N173" s="58" t="s">
        <v>5</v>
      </c>
      <c r="O173" s="58">
        <f>(20383000/170000)/366*1000</f>
        <v>327.59562841530055</v>
      </c>
      <c r="P173" s="58">
        <f>(20513976/183000)/365*1000</f>
        <v>307.11843700875812</v>
      </c>
      <c r="Q173" s="58">
        <f>(19229133/180000)/366*1000</f>
        <v>291.8811930783242</v>
      </c>
      <c r="S173" s="2436"/>
      <c r="T173" s="2436"/>
      <c r="U173" s="2436"/>
      <c r="V173" s="2436"/>
      <c r="W173" s="2436"/>
      <c r="X173" s="2436"/>
      <c r="Y173" s="2436"/>
      <c r="Z173" s="2436"/>
      <c r="AA173" s="2449"/>
      <c r="AB173" s="2449"/>
      <c r="AC173" s="2449"/>
      <c r="AD173" s="2449"/>
    </row>
    <row r="174" spans="1:30" ht="15.75" customHeight="1" x14ac:dyDescent="0.25">
      <c r="A174" s="1818" t="s">
        <v>22</v>
      </c>
      <c r="B174" s="786" t="s">
        <v>128</v>
      </c>
      <c r="C174" s="760"/>
      <c r="D174" s="639" t="s">
        <v>1113</v>
      </c>
      <c r="E174" s="639" t="s">
        <v>1114</v>
      </c>
      <c r="F174" s="53">
        <v>100</v>
      </c>
      <c r="G174" s="53">
        <v>93</v>
      </c>
      <c r="H174" s="53">
        <v>91</v>
      </c>
      <c r="I174" s="431">
        <f>(12000000/356083)/366*1000</f>
        <v>92.076524984067305</v>
      </c>
      <c r="J174" s="57"/>
      <c r="K174" s="57"/>
      <c r="L174" s="57"/>
      <c r="M174" s="57"/>
      <c r="N174" s="58">
        <f>(25900000/355372)/365*1000</f>
        <v>199.67500002698313</v>
      </c>
      <c r="O174" s="58">
        <f>(32478417/349693.872)/366*1000</f>
        <v>253.76150790053049</v>
      </c>
      <c r="P174" s="58" t="s">
        <v>5</v>
      </c>
      <c r="Q174" s="58">
        <f>(16000000/356083)/366*1000</f>
        <v>122.7686999787564</v>
      </c>
      <c r="S174" s="2434">
        <f>SUM(F174:F179)/5</f>
        <v>101.4</v>
      </c>
      <c r="T174" s="2434">
        <f>MEDIAN(F174:F179)</f>
        <v>99</v>
      </c>
      <c r="U174" s="2434">
        <f>SUM(G174:G179)/5</f>
        <v>98.6</v>
      </c>
      <c r="V174" s="2434">
        <f>MEDIAN(G174:G179)</f>
        <v>95</v>
      </c>
      <c r="W174" s="2434">
        <f>SUM(H174:H179)/5</f>
        <v>95.4</v>
      </c>
      <c r="X174" s="2434">
        <f>MEDIAN(H174:H179)</f>
        <v>91</v>
      </c>
      <c r="Y174" s="2434">
        <f>SUM(I174:I179)/6</f>
        <v>101.54827141701138</v>
      </c>
      <c r="Z174" s="2434">
        <f>MEDIAN(I174:I179)</f>
        <v>93.032883944181421</v>
      </c>
      <c r="AA174" s="2444">
        <f>SUM(N174:N179)/5</f>
        <v>252.31038579029328</v>
      </c>
      <c r="AB174" s="2444">
        <f>SUM(O174:O179)/5</f>
        <v>269.03211450286256</v>
      </c>
      <c r="AC174" s="2444" t="s">
        <v>5</v>
      </c>
      <c r="AD174" s="2444">
        <f>SUM(Q174:Q179)/6</f>
        <v>134.56129395320113</v>
      </c>
    </row>
    <row r="175" spans="1:30" ht="15.75" customHeight="1" x14ac:dyDescent="0.25">
      <c r="A175" s="1819"/>
      <c r="B175" s="660" t="s">
        <v>891</v>
      </c>
      <c r="C175" s="760" t="s">
        <v>429</v>
      </c>
      <c r="D175" s="639" t="s">
        <v>1113</v>
      </c>
      <c r="E175" s="639" t="s">
        <v>1114</v>
      </c>
      <c r="F175" s="53" t="s">
        <v>5</v>
      </c>
      <c r="G175" s="53" t="s">
        <v>5</v>
      </c>
      <c r="H175" s="53" t="s">
        <v>5</v>
      </c>
      <c r="I175" s="431">
        <f>(81500000/1752688)/366*1000</f>
        <v>127.04919279895525</v>
      </c>
      <c r="J175" s="57"/>
      <c r="K175" s="57"/>
      <c r="L175" s="57"/>
      <c r="M175" s="57"/>
      <c r="N175" s="58" t="s">
        <v>5</v>
      </c>
      <c r="O175" s="58" t="s">
        <v>5</v>
      </c>
      <c r="P175" s="58" t="s">
        <v>5</v>
      </c>
      <c r="Q175" s="58">
        <f>(105000000/1752688)/366*1000</f>
        <v>163.68300912748836</v>
      </c>
      <c r="S175" s="2435"/>
      <c r="T175" s="2435"/>
      <c r="U175" s="2435"/>
      <c r="V175" s="2435"/>
      <c r="W175" s="2435"/>
      <c r="X175" s="2435"/>
      <c r="Y175" s="2435"/>
      <c r="Z175" s="2435"/>
      <c r="AA175" s="2445"/>
      <c r="AB175" s="2445"/>
      <c r="AC175" s="2445"/>
      <c r="AD175" s="2445"/>
    </row>
    <row r="176" spans="1:30" ht="15.75" customHeight="1" x14ac:dyDescent="0.25">
      <c r="A176" s="1819"/>
      <c r="B176" s="660" t="s">
        <v>129</v>
      </c>
      <c r="C176" s="760"/>
      <c r="D176" s="639" t="s">
        <v>1113</v>
      </c>
      <c r="E176" s="639" t="s">
        <v>1114</v>
      </c>
      <c r="F176" s="53">
        <v>117</v>
      </c>
      <c r="G176" s="53">
        <v>116</v>
      </c>
      <c r="H176" s="53">
        <v>114</v>
      </c>
      <c r="I176" s="431">
        <f>(27500000/636574)/366*1000</f>
        <v>118.03280061997181</v>
      </c>
      <c r="J176" s="57"/>
      <c r="K176" s="57"/>
      <c r="L176" s="57"/>
      <c r="M176" s="57"/>
      <c r="N176" s="58">
        <f>(87600000/633178)/365*1000</f>
        <v>379.04033305010597</v>
      </c>
      <c r="O176" s="58">
        <f>(70755310/609096.42)/366*1000</f>
        <v>317.38902541190942</v>
      </c>
      <c r="P176" s="58" t="s">
        <v>5</v>
      </c>
      <c r="Q176" s="58">
        <f>(36100000/636574)/366*1000</f>
        <v>154.94487645021752</v>
      </c>
      <c r="S176" s="2435"/>
      <c r="T176" s="2429"/>
      <c r="U176" s="2435"/>
      <c r="V176" s="2429"/>
      <c r="W176" s="2435"/>
      <c r="X176" s="2435"/>
      <c r="Y176" s="2435"/>
      <c r="Z176" s="2435"/>
      <c r="AA176" s="2445"/>
      <c r="AB176" s="2456"/>
      <c r="AC176" s="2456"/>
      <c r="AD176" s="2456"/>
    </row>
    <row r="177" spans="1:30" ht="15.75" customHeight="1" x14ac:dyDescent="0.25">
      <c r="A177" s="1819"/>
      <c r="B177" s="660" t="s">
        <v>130</v>
      </c>
      <c r="C177" s="760"/>
      <c r="D177" s="639" t="s">
        <v>1113</v>
      </c>
      <c r="E177" s="639" t="s">
        <v>1114</v>
      </c>
      <c r="F177" s="53">
        <v>99</v>
      </c>
      <c r="G177" s="53">
        <v>95</v>
      </c>
      <c r="H177" s="53">
        <v>89</v>
      </c>
      <c r="I177" s="431">
        <f>(6900000/214286)/366*1000</f>
        <v>87.978024772469695</v>
      </c>
      <c r="J177" s="54"/>
      <c r="K177" s="54"/>
      <c r="L177" s="54"/>
      <c r="M177" s="54"/>
      <c r="N177" s="58">
        <f>(10900000/221606.65)/365*1000</f>
        <v>134.7568482201691</v>
      </c>
      <c r="O177" s="58">
        <f>(19769658/209157.26)/366*1000</f>
        <v>258.25285250147874</v>
      </c>
      <c r="P177" s="58" t="s">
        <v>5</v>
      </c>
      <c r="Q177" s="58">
        <f>(7600000/214286)/366*1000</f>
        <v>96.903331633444893</v>
      </c>
      <c r="S177" s="2435"/>
      <c r="T177" s="2429"/>
      <c r="U177" s="2435"/>
      <c r="V177" s="2429"/>
      <c r="W177" s="2435"/>
      <c r="X177" s="2435"/>
      <c r="Y177" s="2435"/>
      <c r="Z177" s="2435"/>
      <c r="AA177" s="2445"/>
      <c r="AB177" s="2456"/>
      <c r="AC177" s="2456"/>
      <c r="AD177" s="2456"/>
    </row>
    <row r="178" spans="1:30" ht="15.75" customHeight="1" x14ac:dyDescent="0.25">
      <c r="A178" s="1819"/>
      <c r="B178" s="660" t="s">
        <v>131</v>
      </c>
      <c r="C178" s="760"/>
      <c r="D178" s="639" t="s">
        <v>1113</v>
      </c>
      <c r="E178" s="639" t="s">
        <v>1114</v>
      </c>
      <c r="F178" s="53">
        <v>93</v>
      </c>
      <c r="G178" s="53">
        <v>91</v>
      </c>
      <c r="H178" s="53">
        <v>89</v>
      </c>
      <c r="I178" s="431">
        <f>(9800000/296970)/366*1000</f>
        <v>90.163842422308662</v>
      </c>
      <c r="J178" s="54"/>
      <c r="K178" s="54"/>
      <c r="L178" s="54"/>
      <c r="M178" s="54"/>
      <c r="N178" s="58">
        <f>(15000000/294118)/365*1000</f>
        <v>139.72585972622858</v>
      </c>
      <c r="O178" s="58">
        <f>(26153109/286663.21)/366*1000</f>
        <v>249.27015213153135</v>
      </c>
      <c r="P178" s="58" t="s">
        <v>5</v>
      </c>
      <c r="Q178" s="58">
        <f>(12900000/296970)/366*1000</f>
        <v>118.6850578824267</v>
      </c>
      <c r="S178" s="2435"/>
      <c r="T178" s="2429"/>
      <c r="U178" s="2435"/>
      <c r="V178" s="2429"/>
      <c r="W178" s="2435"/>
      <c r="X178" s="2435"/>
      <c r="Y178" s="2435"/>
      <c r="Z178" s="2435"/>
      <c r="AA178" s="2445"/>
      <c r="AB178" s="2456"/>
      <c r="AC178" s="2456"/>
      <c r="AD178" s="2456"/>
    </row>
    <row r="179" spans="1:30" ht="16.5" customHeight="1" thickBot="1" x14ac:dyDescent="0.3">
      <c r="A179" s="1820"/>
      <c r="B179" s="660" t="s">
        <v>132</v>
      </c>
      <c r="C179" s="760"/>
      <c r="D179" s="639" t="s">
        <v>1113</v>
      </c>
      <c r="E179" s="639" t="s">
        <v>1114</v>
      </c>
      <c r="F179" s="53">
        <v>98</v>
      </c>
      <c r="G179" s="53">
        <v>98</v>
      </c>
      <c r="H179" s="53">
        <v>94</v>
      </c>
      <c r="I179" s="431">
        <f>(3500000/101744)/366*1000</f>
        <v>93.989242904295537</v>
      </c>
      <c r="J179" s="54"/>
      <c r="K179" s="54"/>
      <c r="L179" s="54"/>
      <c r="M179" s="54"/>
      <c r="N179" s="58">
        <f>(17400000/116740)/365*1000</f>
        <v>408.35388792797949</v>
      </c>
      <c r="O179" s="58">
        <f>(10653138/109224.58)/366*1000</f>
        <v>266.48703456886267</v>
      </c>
      <c r="P179" s="58" t="s">
        <v>5</v>
      </c>
      <c r="Q179" s="58">
        <f>(5600000/101744)/366*1000</f>
        <v>150.38278864687285</v>
      </c>
      <c r="S179" s="2436"/>
      <c r="T179" s="2436"/>
      <c r="U179" s="2436"/>
      <c r="V179" s="2436"/>
      <c r="W179" s="2436"/>
      <c r="X179" s="2436"/>
      <c r="Y179" s="2436"/>
      <c r="Z179" s="2436"/>
      <c r="AA179" s="2449"/>
      <c r="AB179" s="2449"/>
      <c r="AC179" s="2449"/>
      <c r="AD179" s="2449"/>
    </row>
    <row r="180" spans="1:30" ht="15.75" customHeight="1" x14ac:dyDescent="0.25">
      <c r="A180" s="1878" t="s">
        <v>23</v>
      </c>
      <c r="B180" s="787" t="s">
        <v>133</v>
      </c>
      <c r="C180" s="788" t="s">
        <v>429</v>
      </c>
      <c r="D180" s="639" t="s">
        <v>1115</v>
      </c>
      <c r="E180" s="639" t="s">
        <v>1116</v>
      </c>
      <c r="F180" s="53">
        <v>127</v>
      </c>
      <c r="G180" s="53">
        <v>134</v>
      </c>
      <c r="H180" s="53">
        <v>142</v>
      </c>
      <c r="I180" s="53">
        <v>148</v>
      </c>
      <c r="J180" s="54"/>
      <c r="K180" s="54"/>
      <c r="L180" s="54"/>
      <c r="M180" s="54"/>
      <c r="N180" s="58">
        <f>(71626596/564657)/365*1000</f>
        <v>347.53354570131688</v>
      </c>
      <c r="O180" s="58">
        <f>(94688181/547733)/366*1000</f>
        <v>472.3302723209672</v>
      </c>
      <c r="P180" s="58">
        <f>(52405610/552700)/365*1000</f>
        <v>259.77386230980665</v>
      </c>
      <c r="Q180" s="58">
        <f>(87954677/501767)/366*1000</f>
        <v>478.93409717381178</v>
      </c>
      <c r="S180" s="2434">
        <f>SUM(F180:F186)/7</f>
        <v>84.714285714285708</v>
      </c>
      <c r="T180" s="2434">
        <f>MEDIAN(F180:F186)</f>
        <v>84</v>
      </c>
      <c r="U180" s="2434">
        <f>SUM(G180:G186)/7</f>
        <v>72.428571428571431</v>
      </c>
      <c r="V180" s="2434">
        <f>MEDIAN(G180:G186)</f>
        <v>70</v>
      </c>
      <c r="W180" s="2434">
        <f>SUM(H180:H186)/7</f>
        <v>171.14285714285714</v>
      </c>
      <c r="X180" s="2434">
        <f>MEDIAN(H180:H186)</f>
        <v>184</v>
      </c>
      <c r="Y180" s="2434">
        <f>SUM(I180:I186)/7</f>
        <v>132.42857142857142</v>
      </c>
      <c r="Z180" s="2434">
        <f>MEDIAN(I180:I186)</f>
        <v>137</v>
      </c>
      <c r="AA180" s="2444">
        <f>SUM(N180:N186)/7</f>
        <v>232.33921953998131</v>
      </c>
      <c r="AB180" s="2444">
        <f>SUM(O180:O186)/7</f>
        <v>213.12963181365041</v>
      </c>
      <c r="AC180" s="2444">
        <f>SUM(P180:P186)/7</f>
        <v>187.91982646956924</v>
      </c>
      <c r="AD180" s="2444">
        <f>SUM(Q180:Q186)/7</f>
        <v>231.50595639057343</v>
      </c>
    </row>
    <row r="181" spans="1:30" ht="15.75" customHeight="1" x14ac:dyDescent="0.25">
      <c r="A181" s="1757"/>
      <c r="B181" s="788" t="s">
        <v>134</v>
      </c>
      <c r="C181" s="788"/>
      <c r="D181" s="639" t="s">
        <v>1115</v>
      </c>
      <c r="E181" s="639" t="s">
        <v>1116</v>
      </c>
      <c r="F181" s="53">
        <v>90</v>
      </c>
      <c r="G181" s="53">
        <v>59</v>
      </c>
      <c r="H181" s="53">
        <v>138</v>
      </c>
      <c r="I181" s="53">
        <v>117</v>
      </c>
      <c r="J181" s="54"/>
      <c r="K181" s="54"/>
      <c r="L181" s="54"/>
      <c r="M181" s="54"/>
      <c r="N181" s="58">
        <f>(32756970/363749)/365*1000</f>
        <v>246.72266669508707</v>
      </c>
      <c r="O181" s="58">
        <f>(22423739/377835)/366*1000</f>
        <v>162.15291449465357</v>
      </c>
      <c r="P181" s="58">
        <f>(18980250/377835)/365*1000</f>
        <v>137.62802527957137</v>
      </c>
      <c r="Q181" s="58">
        <f>(19801497/342041)/366*1000</f>
        <v>158.1753381017835</v>
      </c>
      <c r="S181" s="2435"/>
      <c r="T181" s="2429"/>
      <c r="U181" s="2435"/>
      <c r="V181" s="2429"/>
      <c r="W181" s="2435"/>
      <c r="X181" s="2435"/>
      <c r="Y181" s="2429"/>
      <c r="Z181" s="2429"/>
      <c r="AA181" s="2445"/>
      <c r="AB181" s="2432"/>
      <c r="AC181" s="2432"/>
      <c r="AD181" s="2432"/>
    </row>
    <row r="182" spans="1:30" ht="15.75" customHeight="1" x14ac:dyDescent="0.25">
      <c r="A182" s="1757"/>
      <c r="B182" s="788" t="s">
        <v>135</v>
      </c>
      <c r="C182" s="788"/>
      <c r="D182" s="639" t="s">
        <v>1115</v>
      </c>
      <c r="E182" s="639" t="s">
        <v>1116</v>
      </c>
      <c r="F182" s="53">
        <v>67</v>
      </c>
      <c r="G182" s="53">
        <v>70</v>
      </c>
      <c r="H182" s="53">
        <v>184</v>
      </c>
      <c r="I182" s="53">
        <v>137</v>
      </c>
      <c r="J182" s="54"/>
      <c r="K182" s="54"/>
      <c r="L182" s="54"/>
      <c r="M182" s="54"/>
      <c r="N182" s="58">
        <f>(17625485/263131)/365*1000</f>
        <v>183.51695543284524</v>
      </c>
      <c r="O182" s="58">
        <f>(16746337/237591)/366*1000</f>
        <v>192.57892397305901</v>
      </c>
      <c r="P182" s="58">
        <f>(15962429/237591)/365*1000</f>
        <v>184.06708247274022</v>
      </c>
      <c r="Q182" s="58">
        <f>(16992901/209919)/366*1000</f>
        <v>221.1743160782521</v>
      </c>
      <c r="S182" s="2435"/>
      <c r="T182" s="2429"/>
      <c r="U182" s="2435"/>
      <c r="V182" s="2429"/>
      <c r="W182" s="2435"/>
      <c r="X182" s="2435"/>
      <c r="Y182" s="2429"/>
      <c r="Z182" s="2429"/>
      <c r="AA182" s="2445"/>
      <c r="AB182" s="2432"/>
      <c r="AC182" s="2432"/>
      <c r="AD182" s="2432"/>
    </row>
    <row r="183" spans="1:30" ht="15.75" customHeight="1" x14ac:dyDescent="0.25">
      <c r="A183" s="1757"/>
      <c r="B183" s="788" t="s">
        <v>136</v>
      </c>
      <c r="C183" s="788"/>
      <c r="D183" s="639" t="s">
        <v>1115</v>
      </c>
      <c r="E183" s="639" t="s">
        <v>1116</v>
      </c>
      <c r="F183" s="53">
        <v>90</v>
      </c>
      <c r="G183" s="53">
        <v>49</v>
      </c>
      <c r="H183" s="53">
        <v>226</v>
      </c>
      <c r="I183" s="53">
        <v>108</v>
      </c>
      <c r="J183" s="54"/>
      <c r="K183" s="54"/>
      <c r="L183" s="54"/>
      <c r="M183" s="54"/>
      <c r="N183" s="58">
        <f>(30047842/332906)/365*1000</f>
        <v>247.28558450289435</v>
      </c>
      <c r="O183" s="58">
        <f>(17038248/349603)/366*1000</f>
        <v>133.1584401848223</v>
      </c>
      <c r="P183" s="58">
        <f>(16483028/199494)/365*1000</f>
        <v>226.36761417344789</v>
      </c>
      <c r="Q183" s="58">
        <f>(10203341/182553)/366*1000</f>
        <v>152.71171043103612</v>
      </c>
      <c r="S183" s="2435"/>
      <c r="T183" s="2429"/>
      <c r="U183" s="2435"/>
      <c r="V183" s="2429"/>
      <c r="W183" s="2435"/>
      <c r="X183" s="2435"/>
      <c r="Y183" s="2429"/>
      <c r="Z183" s="2429"/>
      <c r="AA183" s="2445"/>
      <c r="AB183" s="2432"/>
      <c r="AC183" s="2432"/>
      <c r="AD183" s="2432"/>
    </row>
    <row r="184" spans="1:30" ht="15.75" customHeight="1" x14ac:dyDescent="0.25">
      <c r="A184" s="1757"/>
      <c r="B184" s="788" t="s">
        <v>137</v>
      </c>
      <c r="C184" s="788"/>
      <c r="D184" s="639" t="s">
        <v>1115</v>
      </c>
      <c r="E184" s="639" t="s">
        <v>1116</v>
      </c>
      <c r="F184" s="53">
        <v>61</v>
      </c>
      <c r="G184" s="53">
        <v>51</v>
      </c>
      <c r="H184" s="53">
        <v>132</v>
      </c>
      <c r="I184" s="53">
        <v>120</v>
      </c>
      <c r="J184" s="54"/>
      <c r="K184" s="54"/>
      <c r="L184" s="54"/>
      <c r="M184" s="54"/>
      <c r="N184" s="58">
        <f>(10096948/164192)/365*1000</f>
        <v>168.47880062899966</v>
      </c>
      <c r="O184" s="58">
        <f>(9230658/179679)/366*1000</f>
        <v>140.36352077416018</v>
      </c>
      <c r="P184" s="58">
        <f>(8729387/181494)/365*1000</f>
        <v>131.77366065612796</v>
      </c>
      <c r="Q184" s="58">
        <f>(9329109/155231)/366*1000</f>
        <v>164.20282580450439</v>
      </c>
      <c r="S184" s="2435"/>
      <c r="T184" s="2429"/>
      <c r="U184" s="2435"/>
      <c r="V184" s="2429"/>
      <c r="W184" s="2435"/>
      <c r="X184" s="2435"/>
      <c r="Y184" s="2429"/>
      <c r="Z184" s="2429"/>
      <c r="AA184" s="2445"/>
      <c r="AB184" s="2432"/>
      <c r="AC184" s="2432"/>
      <c r="AD184" s="2432"/>
    </row>
    <row r="185" spans="1:30" ht="15.75" customHeight="1" x14ac:dyDescent="0.25">
      <c r="A185" s="1757"/>
      <c r="B185" s="788" t="s">
        <v>138</v>
      </c>
      <c r="C185" s="788"/>
      <c r="D185" s="639" t="s">
        <v>1115</v>
      </c>
      <c r="E185" s="639" t="s">
        <v>1116</v>
      </c>
      <c r="F185" s="53">
        <v>74</v>
      </c>
      <c r="G185" s="53">
        <v>71</v>
      </c>
      <c r="H185" s="53">
        <v>187</v>
      </c>
      <c r="I185" s="53">
        <v>144</v>
      </c>
      <c r="J185" s="54"/>
      <c r="K185" s="54"/>
      <c r="L185" s="54"/>
      <c r="M185" s="54"/>
      <c r="N185" s="58">
        <f>(10928983/148443)/365*1000</f>
        <v>201.70987637060821</v>
      </c>
      <c r="O185" s="58">
        <f>(10127482/143396)/366*1000</f>
        <v>192.96713888110222</v>
      </c>
      <c r="P185" s="58">
        <f>(9763445/143396)/365*1000</f>
        <v>186.54051984407965</v>
      </c>
      <c r="Q185" s="58">
        <f>(10019390/135038)/366*1000</f>
        <v>202.72354828760203</v>
      </c>
      <c r="S185" s="2435"/>
      <c r="T185" s="2429"/>
      <c r="U185" s="2435"/>
      <c r="V185" s="2429"/>
      <c r="W185" s="2435"/>
      <c r="X185" s="2435"/>
      <c r="Y185" s="2429"/>
      <c r="Z185" s="2429"/>
      <c r="AA185" s="2445"/>
      <c r="AB185" s="2432"/>
      <c r="AC185" s="2432"/>
      <c r="AD185" s="2432"/>
    </row>
    <row r="186" spans="1:30" ht="16.5" customHeight="1" thickBot="1" x14ac:dyDescent="0.3">
      <c r="A186" s="1757"/>
      <c r="B186" s="789" t="s">
        <v>139</v>
      </c>
      <c r="C186" s="788"/>
      <c r="D186" s="639" t="s">
        <v>1115</v>
      </c>
      <c r="E186" s="639" t="s">
        <v>1116</v>
      </c>
      <c r="F186" s="53">
        <v>84</v>
      </c>
      <c r="G186" s="53">
        <v>73</v>
      </c>
      <c r="H186" s="53">
        <v>189</v>
      </c>
      <c r="I186" s="53">
        <v>153</v>
      </c>
      <c r="J186" s="54"/>
      <c r="K186" s="54"/>
      <c r="L186" s="54"/>
      <c r="M186" s="54"/>
      <c r="N186" s="58">
        <f>(4651856/55142)/365*1000</f>
        <v>231.12710744811773</v>
      </c>
      <c r="O186" s="58">
        <f>(4499502/61978)/366*1000</f>
        <v>198.35621206678837</v>
      </c>
      <c r="P186" s="58">
        <f>(4492171/65019)/365*1000</f>
        <v>189.28802055121085</v>
      </c>
      <c r="Q186" s="58">
        <f>(4739462/53373)/366*1000</f>
        <v>242.61985885702427</v>
      </c>
      <c r="S186" s="2436"/>
      <c r="T186" s="2436"/>
      <c r="U186" s="2436"/>
      <c r="V186" s="2436"/>
      <c r="W186" s="2436"/>
      <c r="X186" s="2436"/>
      <c r="Y186" s="2436"/>
      <c r="Z186" s="2436"/>
      <c r="AA186" s="2449"/>
      <c r="AB186" s="2432"/>
      <c r="AC186" s="2432"/>
      <c r="AD186" s="2432"/>
    </row>
    <row r="187" spans="1:30" ht="15.75" customHeight="1" x14ac:dyDescent="0.25">
      <c r="A187" s="1878" t="s">
        <v>40</v>
      </c>
      <c r="B187" s="754" t="s">
        <v>869</v>
      </c>
      <c r="C187" s="754"/>
      <c r="D187" s="631" t="s">
        <v>1117</v>
      </c>
      <c r="E187" s="631" t="s">
        <v>1118</v>
      </c>
      <c r="F187" s="53">
        <v>102</v>
      </c>
      <c r="G187" s="53">
        <v>102</v>
      </c>
      <c r="H187" s="53" t="s">
        <v>5</v>
      </c>
      <c r="I187" s="53">
        <v>138</v>
      </c>
      <c r="J187" s="54"/>
      <c r="K187" s="54"/>
      <c r="L187" s="54"/>
      <c r="M187" s="54"/>
      <c r="N187" s="58">
        <f>(31902000/528544)/365*1000</f>
        <v>165.36511572551652</v>
      </c>
      <c r="O187" s="58">
        <f>(31721000/609000)/366*1000</f>
        <v>142.3142839197107</v>
      </c>
      <c r="P187" s="58" t="s">
        <v>5</v>
      </c>
      <c r="Q187" s="58">
        <f>(32401863/644793)/366*1000</f>
        <v>137.29938186033169</v>
      </c>
      <c r="S187" s="2434">
        <f>SUM(F187:F227)/18</f>
        <v>101.16666666666667</v>
      </c>
      <c r="T187" s="2434">
        <f>MEDIAN(F187:F227)</f>
        <v>101</v>
      </c>
      <c r="U187" s="2434">
        <f>SUM(G187:G227)/20</f>
        <v>100.65</v>
      </c>
      <c r="V187" s="2434">
        <f>MEDIAN(G187:G227)</f>
        <v>101</v>
      </c>
      <c r="W187" s="2434">
        <f>SUM(H187:H227)/16</f>
        <v>103.1875</v>
      </c>
      <c r="X187" s="2434">
        <f>MEDIAN(H187:H227)</f>
        <v>96</v>
      </c>
      <c r="Y187" s="2434">
        <f>SUM(I187:I227)/31</f>
        <v>104.45161290322581</v>
      </c>
      <c r="Z187" s="2434">
        <f>MEDIAN(I187:I227)</f>
        <v>98</v>
      </c>
      <c r="AA187" s="2444">
        <f>SUM(N187:N227)/18</f>
        <v>150.11369114653505</v>
      </c>
      <c r="AB187" s="2444">
        <f>SUM(O187:O227)/20</f>
        <v>147.99157731840012</v>
      </c>
      <c r="AC187" s="2444">
        <f>SUM(P187:P227)/16</f>
        <v>194.0682119113572</v>
      </c>
      <c r="AD187" s="2444">
        <f>SUM(Q187:Q227)/31</f>
        <v>124.49634085019005</v>
      </c>
    </row>
    <row r="188" spans="1:30" ht="15.75" customHeight="1" x14ac:dyDescent="0.25">
      <c r="A188" s="1757"/>
      <c r="B188" s="457" t="s">
        <v>188</v>
      </c>
      <c r="C188" s="457"/>
      <c r="D188" s="261" t="s">
        <v>1117</v>
      </c>
      <c r="E188" s="261" t="s">
        <v>1118</v>
      </c>
      <c r="F188" s="53">
        <v>115</v>
      </c>
      <c r="G188" s="53">
        <v>109</v>
      </c>
      <c r="H188" s="53">
        <v>98</v>
      </c>
      <c r="I188" s="53" t="s">
        <v>5</v>
      </c>
      <c r="J188" s="54"/>
      <c r="K188" s="54"/>
      <c r="L188" s="54"/>
      <c r="M188" s="54"/>
      <c r="N188" s="58">
        <f>(23873000/345667)/365*1000</f>
        <v>189.2152836459795</v>
      </c>
      <c r="O188" s="58">
        <f>(24174000/364000)/366*1000</f>
        <v>181.45379210952981</v>
      </c>
      <c r="P188" s="58">
        <f>(22187647/357192)/365*1000</f>
        <v>170.18318991635516</v>
      </c>
      <c r="Q188" s="58" t="s">
        <v>5</v>
      </c>
      <c r="S188" s="2429"/>
      <c r="T188" s="2429"/>
      <c r="U188" s="2435"/>
      <c r="V188" s="2429"/>
      <c r="W188" s="2435"/>
      <c r="X188" s="2429"/>
      <c r="Y188" s="2429"/>
      <c r="Z188" s="2429"/>
      <c r="AA188" s="2432"/>
      <c r="AB188" s="2445"/>
      <c r="AC188" s="2445"/>
      <c r="AD188" s="2445"/>
    </row>
    <row r="189" spans="1:30" ht="15.75" customHeight="1" x14ac:dyDescent="0.25">
      <c r="A189" s="1757"/>
      <c r="B189" s="754" t="s">
        <v>189</v>
      </c>
      <c r="C189" s="754"/>
      <c r="D189" s="631" t="s">
        <v>1117</v>
      </c>
      <c r="E189" s="631" t="s">
        <v>1118</v>
      </c>
      <c r="F189" s="53">
        <v>118</v>
      </c>
      <c r="G189" s="53">
        <v>120</v>
      </c>
      <c r="H189" s="53" t="s">
        <v>5</v>
      </c>
      <c r="I189" s="53">
        <v>120</v>
      </c>
      <c r="J189" s="54"/>
      <c r="K189" s="54"/>
      <c r="L189" s="54"/>
      <c r="M189" s="54"/>
      <c r="N189" s="58">
        <f>(12811000/217038)/365*1000</f>
        <v>161.71652031895937</v>
      </c>
      <c r="O189" s="58">
        <f>(12313000/211000)/366*1000</f>
        <v>159.44112086602956</v>
      </c>
      <c r="P189" s="58" t="s">
        <v>5</v>
      </c>
      <c r="Q189" s="58">
        <f>(12345787/234900)/366*1000</f>
        <v>143.60007862897129</v>
      </c>
      <c r="S189" s="2429"/>
      <c r="T189" s="2429"/>
      <c r="U189" s="2435"/>
      <c r="V189" s="2429"/>
      <c r="W189" s="2435"/>
      <c r="X189" s="2429"/>
      <c r="Y189" s="2429"/>
      <c r="Z189" s="2429"/>
      <c r="AA189" s="2432"/>
      <c r="AB189" s="2445"/>
      <c r="AC189" s="2445"/>
      <c r="AD189" s="2445"/>
    </row>
    <row r="190" spans="1:30" ht="15.75" customHeight="1" x14ac:dyDescent="0.25">
      <c r="A190" s="1757"/>
      <c r="B190" s="754" t="s">
        <v>190</v>
      </c>
      <c r="C190" s="754"/>
      <c r="D190" s="631" t="s">
        <v>1117</v>
      </c>
      <c r="E190" s="631" t="s">
        <v>1118</v>
      </c>
      <c r="F190" s="53">
        <v>99</v>
      </c>
      <c r="G190" s="53">
        <v>103</v>
      </c>
      <c r="H190" s="53">
        <v>96</v>
      </c>
      <c r="I190" s="53">
        <v>87</v>
      </c>
      <c r="J190" s="54"/>
      <c r="K190" s="54"/>
      <c r="L190" s="54"/>
      <c r="M190" s="54"/>
      <c r="N190" s="58">
        <f>(17480000/344404)/365*1000</f>
        <v>139.05300449153935</v>
      </c>
      <c r="O190" s="58">
        <f>(16639000/293000)/366*1000</f>
        <v>155.15955165146684</v>
      </c>
      <c r="P190" s="58">
        <f>(13223283/251934)/365*1000</f>
        <v>143.80025166408552</v>
      </c>
      <c r="Q190" s="58">
        <f>(16797000/394814)/366*1000</f>
        <v>116.24066680247108</v>
      </c>
      <c r="S190" s="2429"/>
      <c r="T190" s="2429"/>
      <c r="U190" s="2435"/>
      <c r="V190" s="2429"/>
      <c r="W190" s="2435"/>
      <c r="X190" s="2429"/>
      <c r="Y190" s="2429"/>
      <c r="Z190" s="2429"/>
      <c r="AA190" s="2432"/>
      <c r="AB190" s="2445"/>
      <c r="AC190" s="2445"/>
      <c r="AD190" s="2445"/>
    </row>
    <row r="191" spans="1:30" ht="16.5" customHeight="1" x14ac:dyDescent="0.25">
      <c r="A191" s="1757"/>
      <c r="B191" s="754" t="s">
        <v>191</v>
      </c>
      <c r="C191" s="754"/>
      <c r="D191" s="631" t="s">
        <v>1117</v>
      </c>
      <c r="E191" s="631" t="s">
        <v>1118</v>
      </c>
      <c r="F191" s="53">
        <v>110</v>
      </c>
      <c r="G191" s="53">
        <v>120</v>
      </c>
      <c r="H191" s="53" t="s">
        <v>5</v>
      </c>
      <c r="I191" s="53">
        <v>110</v>
      </c>
      <c r="J191" s="54"/>
      <c r="K191" s="54"/>
      <c r="L191" s="54"/>
      <c r="M191" s="54"/>
      <c r="N191" s="58">
        <f>(23462000/398664)/365*1000</f>
        <v>161.23716225893114</v>
      </c>
      <c r="O191" s="58">
        <f>(24830000/374000)/366*1000</f>
        <v>181.39446538675082</v>
      </c>
      <c r="P191" s="58" t="s">
        <v>5</v>
      </c>
      <c r="Q191" s="58">
        <f>(23729678/408492)/366*1000</f>
        <v>158.71837341330973</v>
      </c>
      <c r="S191" s="2429"/>
      <c r="T191" s="2429"/>
      <c r="U191" s="2435"/>
      <c r="V191" s="2429"/>
      <c r="W191" s="2435"/>
      <c r="X191" s="2429"/>
      <c r="Y191" s="2429"/>
      <c r="Z191" s="2429"/>
      <c r="AA191" s="2432"/>
      <c r="AB191" s="2445"/>
      <c r="AC191" s="2445"/>
      <c r="AD191" s="2445"/>
    </row>
    <row r="192" spans="1:30" ht="16.5" customHeight="1" x14ac:dyDescent="0.25">
      <c r="A192" s="1757"/>
      <c r="B192" s="754" t="s">
        <v>218</v>
      </c>
      <c r="C192" s="754"/>
      <c r="D192" s="631" t="s">
        <v>1117</v>
      </c>
      <c r="E192" s="631" t="s">
        <v>1118</v>
      </c>
      <c r="F192" s="53">
        <v>77</v>
      </c>
      <c r="G192" s="53">
        <v>90</v>
      </c>
      <c r="H192" s="53" t="s">
        <v>5</v>
      </c>
      <c r="I192" s="53">
        <v>98</v>
      </c>
      <c r="J192" s="54"/>
      <c r="K192" s="54"/>
      <c r="L192" s="54"/>
      <c r="M192" s="54"/>
      <c r="N192" s="58">
        <f>(12542000/300111)/365*1000</f>
        <v>114.49644909922142</v>
      </c>
      <c r="O192" s="58">
        <f>(11388000/251000)/366*1000</f>
        <v>123.96316373848866</v>
      </c>
      <c r="P192" s="58" t="s">
        <v>5</v>
      </c>
      <c r="Q192" s="58">
        <f>(9947948/277517)/366*1000</f>
        <v>97.940615502292559</v>
      </c>
      <c r="S192" s="2429"/>
      <c r="T192" s="2429"/>
      <c r="U192" s="2435"/>
      <c r="V192" s="2429"/>
      <c r="W192" s="2435"/>
      <c r="X192" s="2429"/>
      <c r="Y192" s="2429"/>
      <c r="Z192" s="2429"/>
      <c r="AA192" s="2432"/>
      <c r="AB192" s="2445"/>
      <c r="AC192" s="2445"/>
      <c r="AD192" s="2445"/>
    </row>
    <row r="193" spans="1:30" ht="16.5" customHeight="1" x14ac:dyDescent="0.25">
      <c r="A193" s="1757"/>
      <c r="B193" s="790" t="s">
        <v>219</v>
      </c>
      <c r="C193" s="925"/>
      <c r="D193" s="631" t="s">
        <v>1117</v>
      </c>
      <c r="E193" s="631" t="s">
        <v>1118</v>
      </c>
      <c r="F193" s="53">
        <v>121</v>
      </c>
      <c r="G193" s="53">
        <v>110</v>
      </c>
      <c r="H193" s="53">
        <v>100</v>
      </c>
      <c r="I193" s="53">
        <v>143</v>
      </c>
      <c r="J193" s="54"/>
      <c r="K193" s="54"/>
      <c r="L193" s="54"/>
      <c r="M193" s="54"/>
      <c r="N193" s="58">
        <f>(13991000/241265)/365*1000</f>
        <v>158.87719664814651</v>
      </c>
      <c r="O193" s="58">
        <f>(14679000/246000)/366*1000</f>
        <v>163.03478608556577</v>
      </c>
      <c r="P193" s="58">
        <f>(9851309/154871)/365*1000</f>
        <v>174.27334795560742</v>
      </c>
      <c r="Q193" s="58">
        <f>(14076450/270134)/366*1000</f>
        <v>142.37469515736393</v>
      </c>
      <c r="S193" s="2429"/>
      <c r="T193" s="2429"/>
      <c r="U193" s="2435"/>
      <c r="V193" s="2429"/>
      <c r="W193" s="2435"/>
      <c r="X193" s="2429"/>
      <c r="Y193" s="2429"/>
      <c r="Z193" s="2429"/>
      <c r="AA193" s="2432"/>
      <c r="AB193" s="2445"/>
      <c r="AC193" s="2445"/>
      <c r="AD193" s="2445"/>
    </row>
    <row r="194" spans="1:30" ht="16.5" customHeight="1" x14ac:dyDescent="0.25">
      <c r="A194" s="1757"/>
      <c r="B194" s="790" t="s">
        <v>513</v>
      </c>
      <c r="C194" s="925"/>
      <c r="D194" s="631" t="s">
        <v>1117</v>
      </c>
      <c r="E194" s="631" t="s">
        <v>1118</v>
      </c>
      <c r="F194" s="53">
        <v>118</v>
      </c>
      <c r="G194" s="53">
        <v>112</v>
      </c>
      <c r="H194" s="53">
        <v>104</v>
      </c>
      <c r="I194" s="53">
        <v>106</v>
      </c>
      <c r="J194" s="54"/>
      <c r="K194" s="54"/>
      <c r="L194" s="54"/>
      <c r="M194" s="54"/>
      <c r="N194" s="58">
        <f>(42233000/645629)/365*1000</f>
        <v>179.21569402097563</v>
      </c>
      <c r="O194" s="58">
        <f>(41209000/690000)/366*1000</f>
        <v>163.17811039835271</v>
      </c>
      <c r="P194" s="58">
        <f>(38301923/319168)/365*1000</f>
        <v>328.78225681291906</v>
      </c>
      <c r="Q194" s="58">
        <f>(37739593/680885)/366*1000</f>
        <v>151.44061343178763</v>
      </c>
      <c r="S194" s="2429"/>
      <c r="T194" s="2429"/>
      <c r="U194" s="2435"/>
      <c r="V194" s="2429"/>
      <c r="W194" s="2435"/>
      <c r="X194" s="2429"/>
      <c r="Y194" s="2429"/>
      <c r="Z194" s="2429"/>
      <c r="AA194" s="2432"/>
      <c r="AB194" s="2445"/>
      <c r="AC194" s="2445"/>
      <c r="AD194" s="2445"/>
    </row>
    <row r="195" spans="1:30" ht="16.5" customHeight="1" x14ac:dyDescent="0.25">
      <c r="A195" s="1757"/>
      <c r="B195" s="790" t="s">
        <v>514</v>
      </c>
      <c r="C195" s="925"/>
      <c r="D195" s="631" t="s">
        <v>1117</v>
      </c>
      <c r="E195" s="631" t="s">
        <v>1118</v>
      </c>
      <c r="F195" s="53">
        <v>102</v>
      </c>
      <c r="G195" s="53">
        <v>102</v>
      </c>
      <c r="H195" s="53" t="s">
        <v>5</v>
      </c>
      <c r="I195" s="53">
        <v>96</v>
      </c>
      <c r="J195" s="54"/>
      <c r="K195" s="54"/>
      <c r="L195" s="54"/>
      <c r="M195" s="54"/>
      <c r="N195" s="58">
        <f>(12957000/249163)/365*1000</f>
        <v>142.47151518077041</v>
      </c>
      <c r="O195" s="58">
        <f>(13172000/257000)/366*1000</f>
        <v>140.03529586868234</v>
      </c>
      <c r="P195" s="58" t="s">
        <v>5</v>
      </c>
      <c r="Q195" s="58">
        <f>(21523422/277833)/366*1000</f>
        <v>211.6637114181045</v>
      </c>
      <c r="S195" s="2429"/>
      <c r="T195" s="2429"/>
      <c r="U195" s="2435"/>
      <c r="V195" s="2429"/>
      <c r="W195" s="2435"/>
      <c r="X195" s="2429"/>
      <c r="Y195" s="2429"/>
      <c r="Z195" s="2429"/>
      <c r="AA195" s="2432"/>
      <c r="AB195" s="2445"/>
      <c r="AC195" s="2445"/>
      <c r="AD195" s="2445"/>
    </row>
    <row r="196" spans="1:30" ht="16.5" customHeight="1" x14ac:dyDescent="0.25">
      <c r="A196" s="1757"/>
      <c r="B196" s="790" t="s">
        <v>515</v>
      </c>
      <c r="C196" s="925"/>
      <c r="D196" s="631" t="s">
        <v>1117</v>
      </c>
      <c r="E196" s="631" t="s">
        <v>1118</v>
      </c>
      <c r="F196" s="53">
        <v>100</v>
      </c>
      <c r="G196" s="53">
        <v>97</v>
      </c>
      <c r="H196" s="53" t="s">
        <v>5</v>
      </c>
      <c r="I196" s="53">
        <v>125</v>
      </c>
      <c r="J196" s="54"/>
      <c r="K196" s="54"/>
      <c r="L196" s="54"/>
      <c r="M196" s="54"/>
      <c r="N196" s="58">
        <f>(7569000/133629)/365*1000</f>
        <v>155.18327834055378</v>
      </c>
      <c r="O196" s="58">
        <f>(7537000/141000)/366*1000</f>
        <v>146.04890904158432</v>
      </c>
      <c r="P196" s="58" t="s">
        <v>5</v>
      </c>
      <c r="Q196" s="58">
        <f>(7260028/159413)/366*1000</f>
        <v>124.43239934323256</v>
      </c>
      <c r="S196" s="2429"/>
      <c r="T196" s="2429"/>
      <c r="U196" s="2435"/>
      <c r="V196" s="2429"/>
      <c r="W196" s="2435"/>
      <c r="X196" s="2429"/>
      <c r="Y196" s="2429"/>
      <c r="Z196" s="2429"/>
      <c r="AA196" s="2432"/>
      <c r="AB196" s="2445"/>
      <c r="AC196" s="2445"/>
      <c r="AD196" s="2445"/>
    </row>
    <row r="197" spans="1:30" ht="16.5" customHeight="1" x14ac:dyDescent="0.25">
      <c r="A197" s="1757"/>
      <c r="B197" s="790" t="s">
        <v>516</v>
      </c>
      <c r="C197" s="925"/>
      <c r="D197" s="631" t="s">
        <v>1117</v>
      </c>
      <c r="E197" s="631" t="s">
        <v>1118</v>
      </c>
      <c r="F197" s="53">
        <v>87</v>
      </c>
      <c r="G197" s="53">
        <v>81</v>
      </c>
      <c r="H197" s="53">
        <v>79</v>
      </c>
      <c r="I197" s="53">
        <v>76</v>
      </c>
      <c r="J197" s="54"/>
      <c r="K197" s="54"/>
      <c r="L197" s="54"/>
      <c r="M197" s="54"/>
      <c r="N197" s="58">
        <f>(8656000/193795)/365*1000</f>
        <v>122.37193164504082</v>
      </c>
      <c r="O197" s="58">
        <f>(8978000/217000)/366*1000</f>
        <v>113.041726473773</v>
      </c>
      <c r="P197" s="58">
        <f>(7597771/146710)/365*1000</f>
        <v>141.88406351921554</v>
      </c>
      <c r="Q197" s="58">
        <f>(8036416/221853)/366*1000</f>
        <v>98.972836810984418</v>
      </c>
      <c r="S197" s="2429"/>
      <c r="T197" s="2429"/>
      <c r="U197" s="2435"/>
      <c r="V197" s="2429"/>
      <c r="W197" s="2435"/>
      <c r="X197" s="2429"/>
      <c r="Y197" s="2429"/>
      <c r="Z197" s="2429"/>
      <c r="AA197" s="2432"/>
      <c r="AB197" s="2445"/>
      <c r="AC197" s="2445"/>
      <c r="AD197" s="2445"/>
    </row>
    <row r="198" spans="1:30" ht="16.5" customHeight="1" x14ac:dyDescent="0.25">
      <c r="A198" s="1757"/>
      <c r="B198" s="790" t="s">
        <v>875</v>
      </c>
      <c r="C198" s="925"/>
      <c r="D198" s="631" t="s">
        <v>1117</v>
      </c>
      <c r="E198" s="631" t="s">
        <v>1118</v>
      </c>
      <c r="F198" s="53">
        <v>89</v>
      </c>
      <c r="G198" s="53">
        <v>88</v>
      </c>
      <c r="H198" s="53" t="s">
        <v>5</v>
      </c>
      <c r="I198" s="53">
        <v>87</v>
      </c>
      <c r="J198" s="54"/>
      <c r="K198" s="54"/>
      <c r="L198" s="54"/>
      <c r="M198" s="54"/>
      <c r="N198" s="58">
        <f>(15741000/291732)/365*1000</f>
        <v>147.8275519903894</v>
      </c>
      <c r="O198" s="58">
        <f>(16371000/304000)/366*1000</f>
        <v>147.1365401207938</v>
      </c>
      <c r="P198" s="58" t="s">
        <v>5</v>
      </c>
      <c r="Q198" s="58">
        <f>(9765125/306586)/366*1000</f>
        <v>87.025074200736839</v>
      </c>
      <c r="S198" s="2429"/>
      <c r="T198" s="2429"/>
      <c r="U198" s="2435"/>
      <c r="V198" s="2429"/>
      <c r="W198" s="2435"/>
      <c r="X198" s="2429"/>
      <c r="Y198" s="2429"/>
      <c r="Z198" s="2429"/>
      <c r="AA198" s="2432"/>
      <c r="AB198" s="2445"/>
      <c r="AC198" s="2445"/>
      <c r="AD198" s="2445"/>
    </row>
    <row r="199" spans="1:30" ht="16.5" customHeight="1" x14ac:dyDescent="0.25">
      <c r="A199" s="1757"/>
      <c r="B199" s="790" t="s">
        <v>517</v>
      </c>
      <c r="C199" s="925"/>
      <c r="D199" s="631" t="s">
        <v>1117</v>
      </c>
      <c r="E199" s="631" t="s">
        <v>1118</v>
      </c>
      <c r="F199" s="53">
        <v>83</v>
      </c>
      <c r="G199" s="53">
        <v>80</v>
      </c>
      <c r="H199" s="53" t="s">
        <v>5</v>
      </c>
      <c r="I199" s="53">
        <v>98</v>
      </c>
      <c r="J199" s="54"/>
      <c r="K199" s="54"/>
      <c r="L199" s="54"/>
      <c r="M199" s="54"/>
      <c r="N199" s="58">
        <f>(7655000/179573)/365*1000</f>
        <v>116.79151509261429</v>
      </c>
      <c r="O199" s="58">
        <f>(7645000/193000)/366*1000</f>
        <v>108.22786602112177</v>
      </c>
      <c r="P199" s="58" t="s">
        <v>5</v>
      </c>
      <c r="Q199" s="58">
        <f>(7426136/207330)/366*1000</f>
        <v>97.863256986631228</v>
      </c>
      <c r="S199" s="2429"/>
      <c r="T199" s="2429"/>
      <c r="U199" s="2435"/>
      <c r="V199" s="2429"/>
      <c r="W199" s="2435"/>
      <c r="X199" s="2429"/>
      <c r="Y199" s="2429"/>
      <c r="Z199" s="2429"/>
      <c r="AA199" s="2432"/>
      <c r="AB199" s="2445"/>
      <c r="AC199" s="2445"/>
      <c r="AD199" s="2445"/>
    </row>
    <row r="200" spans="1:30" ht="16.5" customHeight="1" x14ac:dyDescent="0.25">
      <c r="A200" s="1757"/>
      <c r="B200" s="791" t="s">
        <v>518</v>
      </c>
      <c r="C200" s="263"/>
      <c r="D200" s="261" t="s">
        <v>1117</v>
      </c>
      <c r="E200" s="261" t="s">
        <v>1118</v>
      </c>
      <c r="F200" s="53">
        <v>100</v>
      </c>
      <c r="G200" s="53">
        <v>89</v>
      </c>
      <c r="H200" s="53" t="s">
        <v>5</v>
      </c>
      <c r="I200" s="53" t="s">
        <v>5</v>
      </c>
      <c r="J200" s="54"/>
      <c r="K200" s="54"/>
      <c r="L200" s="54"/>
      <c r="M200" s="54"/>
      <c r="N200" s="58">
        <f>(5590000/119443)/365*1000</f>
        <v>128.22072865844532</v>
      </c>
      <c r="O200" s="58">
        <f>(5013000/121000)/366*1000</f>
        <v>113.19604389649099</v>
      </c>
      <c r="P200" s="58" t="s">
        <v>5</v>
      </c>
      <c r="Q200" s="58" t="s">
        <v>5</v>
      </c>
      <c r="S200" s="2429"/>
      <c r="T200" s="2429"/>
      <c r="U200" s="2435"/>
      <c r="V200" s="2429"/>
      <c r="W200" s="2435"/>
      <c r="X200" s="2429"/>
      <c r="Y200" s="2429"/>
      <c r="Z200" s="2429"/>
      <c r="AA200" s="2432"/>
      <c r="AB200" s="2445"/>
      <c r="AC200" s="2445"/>
      <c r="AD200" s="2445"/>
    </row>
    <row r="201" spans="1:30" ht="16.5" customHeight="1" x14ac:dyDescent="0.25">
      <c r="A201" s="1757"/>
      <c r="B201" s="791" t="s">
        <v>519</v>
      </c>
      <c r="C201" s="263"/>
      <c r="D201" s="261" t="s">
        <v>1117</v>
      </c>
      <c r="E201" s="261" t="s">
        <v>1118</v>
      </c>
      <c r="F201" s="53">
        <v>103</v>
      </c>
      <c r="G201" s="53">
        <v>97</v>
      </c>
      <c r="H201" s="53" t="s">
        <v>5</v>
      </c>
      <c r="I201" s="53" t="s">
        <v>5</v>
      </c>
      <c r="J201" s="54"/>
      <c r="K201" s="54"/>
      <c r="L201" s="54"/>
      <c r="M201" s="54"/>
      <c r="N201" s="58">
        <f>(13722000/189610)/365*1000</f>
        <v>198.27287879302361</v>
      </c>
      <c r="O201" s="58">
        <f>(13424000/209000)/366*1000</f>
        <v>175.49088817423592</v>
      </c>
      <c r="P201" s="58" t="s">
        <v>5</v>
      </c>
      <c r="Q201" s="58" t="s">
        <v>5</v>
      </c>
      <c r="S201" s="2429"/>
      <c r="T201" s="2429"/>
      <c r="U201" s="2435"/>
      <c r="V201" s="2429"/>
      <c r="W201" s="2435"/>
      <c r="X201" s="2429"/>
      <c r="Y201" s="2429"/>
      <c r="Z201" s="2429"/>
      <c r="AA201" s="2432"/>
      <c r="AB201" s="2445"/>
      <c r="AC201" s="2445"/>
      <c r="AD201" s="2445"/>
    </row>
    <row r="202" spans="1:30" ht="16.5" customHeight="1" x14ac:dyDescent="0.25">
      <c r="A202" s="1757"/>
      <c r="B202" s="791" t="s">
        <v>596</v>
      </c>
      <c r="C202" s="263"/>
      <c r="D202" s="261" t="s">
        <v>1117</v>
      </c>
      <c r="E202" s="261" t="s">
        <v>1118</v>
      </c>
      <c r="F202" s="53">
        <v>91</v>
      </c>
      <c r="G202" s="53">
        <v>110</v>
      </c>
      <c r="H202" s="53" t="s">
        <v>5</v>
      </c>
      <c r="I202" s="53" t="s">
        <v>5</v>
      </c>
      <c r="J202" s="54"/>
      <c r="K202" s="54"/>
      <c r="L202" s="54"/>
      <c r="M202" s="54"/>
      <c r="N202" s="58">
        <f>(11798000/209969)/365*1000</f>
        <v>153.94314242213315</v>
      </c>
      <c r="O202" s="58">
        <f>(12369000/215000)/366*1000</f>
        <v>157.18642775447961</v>
      </c>
      <c r="P202" s="58" t="s">
        <v>5</v>
      </c>
      <c r="Q202" s="58" t="s">
        <v>5</v>
      </c>
      <c r="S202" s="2429"/>
      <c r="T202" s="2429"/>
      <c r="U202" s="2435"/>
      <c r="V202" s="2429"/>
      <c r="W202" s="2435"/>
      <c r="X202" s="2429"/>
      <c r="Y202" s="2429"/>
      <c r="Z202" s="2429"/>
      <c r="AA202" s="2432"/>
      <c r="AB202" s="2445"/>
      <c r="AC202" s="2445"/>
      <c r="AD202" s="2445"/>
    </row>
    <row r="203" spans="1:30" ht="16.5" customHeight="1" x14ac:dyDescent="0.25">
      <c r="A203" s="1757"/>
      <c r="B203" s="790" t="s">
        <v>873</v>
      </c>
      <c r="C203" s="925"/>
      <c r="D203" s="631" t="s">
        <v>1117</v>
      </c>
      <c r="E203" s="631" t="s">
        <v>1118</v>
      </c>
      <c r="F203" s="53">
        <v>109</v>
      </c>
      <c r="G203" s="53">
        <v>93</v>
      </c>
      <c r="H203" s="53">
        <v>94</v>
      </c>
      <c r="I203" s="53">
        <v>102</v>
      </c>
      <c r="J203" s="54"/>
      <c r="K203" s="54"/>
      <c r="L203" s="54"/>
      <c r="M203" s="54"/>
      <c r="N203" s="58">
        <f>(6054000/122386)/365*1000</f>
        <v>135.52449928801508</v>
      </c>
      <c r="O203" s="58">
        <f>(6349000/131000)/366*1000</f>
        <v>132.41980561464985</v>
      </c>
      <c r="P203" s="58">
        <f>(5116353/110721)/365*1000</f>
        <v>126.60114593845842</v>
      </c>
      <c r="Q203" s="58">
        <f>(4950821/132724)/366*1000</f>
        <v>101.91701073907758</v>
      </c>
      <c r="S203" s="2429"/>
      <c r="T203" s="2429"/>
      <c r="U203" s="2435"/>
      <c r="V203" s="2429"/>
      <c r="W203" s="2435"/>
      <c r="X203" s="2429"/>
      <c r="Y203" s="2429"/>
      <c r="Z203" s="2429"/>
      <c r="AA203" s="2432"/>
      <c r="AB203" s="2445"/>
      <c r="AC203" s="2445"/>
      <c r="AD203" s="2445"/>
    </row>
    <row r="204" spans="1:30" ht="16.5" customHeight="1" x14ac:dyDescent="0.25">
      <c r="A204" s="1757"/>
      <c r="B204" s="790" t="s">
        <v>520</v>
      </c>
      <c r="C204" s="925"/>
      <c r="D204" s="631" t="s">
        <v>1117</v>
      </c>
      <c r="E204" s="631" t="s">
        <v>1118</v>
      </c>
      <c r="F204" s="53">
        <v>97</v>
      </c>
      <c r="G204" s="53">
        <v>85</v>
      </c>
      <c r="H204" s="53">
        <v>91</v>
      </c>
      <c r="I204" s="53">
        <v>93</v>
      </c>
      <c r="J204" s="54"/>
      <c r="K204" s="54"/>
      <c r="L204" s="54"/>
      <c r="M204" s="54"/>
      <c r="N204" s="58">
        <f>(2705000/56032)/365*1000</f>
        <v>132.26297301737557</v>
      </c>
      <c r="O204" s="58">
        <f>(2625000/58000)/366*1000</f>
        <v>123.65743357829282</v>
      </c>
      <c r="P204" s="58">
        <f>(2418249/59091)/365*1000</f>
        <v>112.12096133129236</v>
      </c>
      <c r="Q204" s="58">
        <f>(1958820/57668)/366*1000</f>
        <v>92.806534180390415</v>
      </c>
      <c r="S204" s="2429"/>
      <c r="T204" s="2429"/>
      <c r="U204" s="2435"/>
      <c r="V204" s="2429"/>
      <c r="W204" s="2435"/>
      <c r="X204" s="2429"/>
      <c r="Y204" s="2429"/>
      <c r="Z204" s="2429"/>
      <c r="AA204" s="2432"/>
      <c r="AB204" s="2445"/>
      <c r="AC204" s="2445"/>
      <c r="AD204" s="2445"/>
    </row>
    <row r="205" spans="1:30" ht="16.5" customHeight="1" x14ac:dyDescent="0.25">
      <c r="A205" s="1757"/>
      <c r="B205" s="790" t="s">
        <v>597</v>
      </c>
      <c r="C205" s="925"/>
      <c r="D205" s="631" t="s">
        <v>1117</v>
      </c>
      <c r="E205" s="631" t="s">
        <v>1118</v>
      </c>
      <c r="F205" s="53" t="s">
        <v>5</v>
      </c>
      <c r="G205" s="53">
        <v>125</v>
      </c>
      <c r="H205" s="53">
        <v>101</v>
      </c>
      <c r="I205" s="53">
        <v>98</v>
      </c>
      <c r="J205" s="54"/>
      <c r="K205" s="54"/>
      <c r="L205" s="54"/>
      <c r="M205" s="54"/>
      <c r="N205" s="58" t="s">
        <v>5</v>
      </c>
      <c r="O205" s="58">
        <f>(11413000/170000)/366*1000</f>
        <v>183.42976534876246</v>
      </c>
      <c r="P205" s="58">
        <f>(9299905/115918)/365*1000</f>
        <v>219.80358340224919</v>
      </c>
      <c r="Q205" s="58">
        <f>(9165602/174524)/366*1000</f>
        <v>143.49102940169001</v>
      </c>
      <c r="S205" s="2429"/>
      <c r="T205" s="2429"/>
      <c r="U205" s="2435"/>
      <c r="V205" s="2429"/>
      <c r="W205" s="2435"/>
      <c r="X205" s="2429"/>
      <c r="Y205" s="2429"/>
      <c r="Z205" s="2429"/>
      <c r="AA205" s="2432"/>
      <c r="AB205" s="2445"/>
      <c r="AC205" s="2445"/>
      <c r="AD205" s="2445"/>
    </row>
    <row r="206" spans="1:30" ht="16.5" customHeight="1" x14ac:dyDescent="0.25">
      <c r="A206" s="1757"/>
      <c r="B206" s="791" t="s">
        <v>765</v>
      </c>
      <c r="C206" s="263"/>
      <c r="D206" s="261" t="s">
        <v>1117</v>
      </c>
      <c r="E206" s="261" t="s">
        <v>1118</v>
      </c>
      <c r="F206" s="53" t="s">
        <v>5</v>
      </c>
      <c r="G206" s="53" t="s">
        <v>5</v>
      </c>
      <c r="H206" s="53">
        <v>89</v>
      </c>
      <c r="I206" s="53" t="s">
        <v>5</v>
      </c>
      <c r="J206" s="54"/>
      <c r="K206" s="54"/>
      <c r="L206" s="54"/>
      <c r="M206" s="54"/>
      <c r="N206" s="58" t="s">
        <v>5</v>
      </c>
      <c r="O206" s="58" t="s">
        <v>5</v>
      </c>
      <c r="P206" s="58">
        <f>(1809823/37730)/365*1000</f>
        <v>131.418478083281</v>
      </c>
      <c r="Q206" s="58" t="s">
        <v>5</v>
      </c>
      <c r="S206" s="2429"/>
      <c r="T206" s="2429"/>
      <c r="U206" s="2429"/>
      <c r="V206" s="2429"/>
      <c r="W206" s="2429"/>
      <c r="X206" s="2429"/>
      <c r="Y206" s="2429"/>
      <c r="Z206" s="2429"/>
      <c r="AA206" s="2432"/>
      <c r="AB206" s="2432"/>
      <c r="AC206" s="2432"/>
      <c r="AD206" s="2432"/>
    </row>
    <row r="207" spans="1:30" ht="16.5" customHeight="1" x14ac:dyDescent="0.25">
      <c r="A207" s="1757"/>
      <c r="B207" s="790" t="s">
        <v>860</v>
      </c>
      <c r="C207" s="925" t="s">
        <v>429</v>
      </c>
      <c r="D207" s="631" t="s">
        <v>1117</v>
      </c>
      <c r="E207" s="631" t="s">
        <v>1118</v>
      </c>
      <c r="F207" s="53" t="s">
        <v>5</v>
      </c>
      <c r="G207" s="53" t="s">
        <v>5</v>
      </c>
      <c r="H207" s="53">
        <v>151</v>
      </c>
      <c r="I207" s="53">
        <v>148</v>
      </c>
      <c r="J207" s="54"/>
      <c r="K207" s="54"/>
      <c r="L207" s="54"/>
      <c r="M207" s="54"/>
      <c r="N207" s="58" t="s">
        <v>5</v>
      </c>
      <c r="O207" s="58" t="s">
        <v>5</v>
      </c>
      <c r="P207" s="58">
        <f>(125000000/1724575)/365*1000</f>
        <v>198.57979700775991</v>
      </c>
      <c r="Q207" s="58">
        <f>(129024380/1738970)/366*1000</f>
        <v>202.72093734526791</v>
      </c>
      <c r="S207" s="2429"/>
      <c r="T207" s="2429"/>
      <c r="U207" s="2429"/>
      <c r="V207" s="2429"/>
      <c r="W207" s="2429"/>
      <c r="X207" s="2429"/>
      <c r="Y207" s="2429"/>
      <c r="Z207" s="2429"/>
      <c r="AA207" s="2432"/>
      <c r="AB207" s="2432"/>
      <c r="AC207" s="2432"/>
      <c r="AD207" s="2432"/>
    </row>
    <row r="208" spans="1:30" ht="16.5" customHeight="1" x14ac:dyDescent="0.25">
      <c r="A208" s="1757"/>
      <c r="B208" s="791" t="s">
        <v>766</v>
      </c>
      <c r="C208" s="263"/>
      <c r="D208" s="261" t="s">
        <v>1117</v>
      </c>
      <c r="E208" s="261" t="s">
        <v>1118</v>
      </c>
      <c r="F208" s="53" t="s">
        <v>5</v>
      </c>
      <c r="G208" s="53" t="s">
        <v>5</v>
      </c>
      <c r="H208" s="53">
        <v>91</v>
      </c>
      <c r="I208" s="53" t="s">
        <v>5</v>
      </c>
      <c r="J208" s="54"/>
      <c r="K208" s="54"/>
      <c r="L208" s="54"/>
      <c r="M208" s="54"/>
      <c r="N208" s="58" t="s">
        <v>5</v>
      </c>
      <c r="O208" s="58" t="s">
        <v>5</v>
      </c>
      <c r="P208" s="58">
        <f>(2884224/59592)/365*1000</f>
        <v>132.60141565384339</v>
      </c>
      <c r="Q208" s="58" t="s">
        <v>5</v>
      </c>
      <c r="S208" s="2429"/>
      <c r="T208" s="2429"/>
      <c r="U208" s="2429"/>
      <c r="V208" s="2429"/>
      <c r="W208" s="2429"/>
      <c r="X208" s="2429"/>
      <c r="Y208" s="2429"/>
      <c r="Z208" s="2429"/>
      <c r="AA208" s="2432"/>
      <c r="AB208" s="2432"/>
      <c r="AC208" s="2432"/>
      <c r="AD208" s="2432"/>
    </row>
    <row r="209" spans="1:30" ht="16.5" customHeight="1" x14ac:dyDescent="0.25">
      <c r="A209" s="1757"/>
      <c r="B209" s="791" t="s">
        <v>767</v>
      </c>
      <c r="C209" s="263"/>
      <c r="D209" s="261" t="s">
        <v>1117</v>
      </c>
      <c r="E209" s="261" t="s">
        <v>1118</v>
      </c>
      <c r="F209" s="53" t="s">
        <v>5</v>
      </c>
      <c r="G209" s="53" t="s">
        <v>5</v>
      </c>
      <c r="H209" s="53">
        <v>72</v>
      </c>
      <c r="I209" s="53" t="s">
        <v>5</v>
      </c>
      <c r="J209" s="54"/>
      <c r="K209" s="54"/>
      <c r="L209" s="54"/>
      <c r="M209" s="54"/>
      <c r="N209" s="58" t="s">
        <v>5</v>
      </c>
      <c r="O209" s="58" t="s">
        <v>5</v>
      </c>
      <c r="P209" s="58">
        <f>(2781567/69645)/365*1000</f>
        <v>109.42252145666329</v>
      </c>
      <c r="Q209" s="58" t="s">
        <v>5</v>
      </c>
      <c r="S209" s="2429"/>
      <c r="T209" s="2429"/>
      <c r="U209" s="2429"/>
      <c r="V209" s="2429"/>
      <c r="W209" s="2429"/>
      <c r="X209" s="2429"/>
      <c r="Y209" s="2429"/>
      <c r="Z209" s="2429"/>
      <c r="AA209" s="2432"/>
      <c r="AB209" s="2432"/>
      <c r="AC209" s="2432"/>
      <c r="AD209" s="2432"/>
    </row>
    <row r="210" spans="1:30" ht="16.5" customHeight="1" x14ac:dyDescent="0.25">
      <c r="A210" s="1757"/>
      <c r="B210" s="791" t="s">
        <v>768</v>
      </c>
      <c r="C210" s="263"/>
      <c r="D210" s="261" t="s">
        <v>1117</v>
      </c>
      <c r="E210" s="261" t="s">
        <v>1118</v>
      </c>
      <c r="F210" s="53" t="s">
        <v>5</v>
      </c>
      <c r="G210" s="53" t="s">
        <v>5</v>
      </c>
      <c r="H210" s="53">
        <v>102</v>
      </c>
      <c r="I210" s="53" t="s">
        <v>5</v>
      </c>
      <c r="J210" s="54"/>
      <c r="K210" s="54"/>
      <c r="L210" s="54"/>
      <c r="M210" s="54"/>
      <c r="N210" s="58" t="s">
        <v>5</v>
      </c>
      <c r="O210" s="58" t="s">
        <v>5</v>
      </c>
      <c r="P210" s="58">
        <f>(9308419/70789)/365*1000</f>
        <v>360.26102654676822</v>
      </c>
      <c r="Q210" s="58" t="s">
        <v>5</v>
      </c>
      <c r="S210" s="2429"/>
      <c r="T210" s="2429"/>
      <c r="U210" s="2429"/>
      <c r="V210" s="2429"/>
      <c r="W210" s="2429"/>
      <c r="X210" s="2429"/>
      <c r="Y210" s="2429"/>
      <c r="Z210" s="2429"/>
      <c r="AA210" s="2432"/>
      <c r="AB210" s="2432"/>
      <c r="AC210" s="2432"/>
      <c r="AD210" s="2432"/>
    </row>
    <row r="211" spans="1:30" ht="16.5" customHeight="1" x14ac:dyDescent="0.25">
      <c r="A211" s="1757"/>
      <c r="B211" s="790" t="s">
        <v>769</v>
      </c>
      <c r="C211" s="925"/>
      <c r="D211" s="631" t="s">
        <v>1117</v>
      </c>
      <c r="E211" s="631" t="s">
        <v>1118</v>
      </c>
      <c r="F211" s="53" t="s">
        <v>5</v>
      </c>
      <c r="G211" s="53" t="s">
        <v>5</v>
      </c>
      <c r="H211" s="53">
        <v>103</v>
      </c>
      <c r="I211" s="53">
        <v>112</v>
      </c>
      <c r="J211" s="54"/>
      <c r="K211" s="54"/>
      <c r="L211" s="54"/>
      <c r="M211" s="54"/>
      <c r="N211" s="58" t="s">
        <v>5</v>
      </c>
      <c r="O211" s="58" t="s">
        <v>5</v>
      </c>
      <c r="P211" s="58">
        <f>(11154810/148450)/365*1000</f>
        <v>205.86812588528954</v>
      </c>
      <c r="Q211" s="58">
        <f>(10780288/262672)/366*1000</f>
        <v>112.1335307829316</v>
      </c>
      <c r="S211" s="2429"/>
      <c r="T211" s="2429"/>
      <c r="U211" s="2429"/>
      <c r="V211" s="2429"/>
      <c r="W211" s="2429"/>
      <c r="X211" s="2429"/>
      <c r="Y211" s="2429"/>
      <c r="Z211" s="2429"/>
      <c r="AA211" s="2432"/>
      <c r="AB211" s="2432"/>
      <c r="AC211" s="2432"/>
      <c r="AD211" s="2432"/>
    </row>
    <row r="212" spans="1:30" ht="16.5" customHeight="1" x14ac:dyDescent="0.25">
      <c r="A212" s="1757"/>
      <c r="B212" s="791" t="s">
        <v>770</v>
      </c>
      <c r="C212" s="263"/>
      <c r="D212" s="261" t="s">
        <v>1117</v>
      </c>
      <c r="E212" s="261" t="s">
        <v>1118</v>
      </c>
      <c r="F212" s="53" t="s">
        <v>5</v>
      </c>
      <c r="G212" s="53" t="s">
        <v>5</v>
      </c>
      <c r="H212" s="53">
        <v>91</v>
      </c>
      <c r="I212" s="53" t="s">
        <v>5</v>
      </c>
      <c r="J212" s="54"/>
      <c r="K212" s="54"/>
      <c r="L212" s="54"/>
      <c r="M212" s="54"/>
      <c r="N212" s="58" t="s">
        <v>5</v>
      </c>
      <c r="O212" s="58" t="s">
        <v>5</v>
      </c>
      <c r="P212" s="58">
        <f>(3572695/43674)/365*1000</f>
        <v>224.11973896258769</v>
      </c>
      <c r="Q212" s="58" t="s">
        <v>5</v>
      </c>
      <c r="S212" s="2429"/>
      <c r="T212" s="2429"/>
      <c r="U212" s="2429"/>
      <c r="V212" s="2429"/>
      <c r="W212" s="2429"/>
      <c r="X212" s="2429"/>
      <c r="Y212" s="2429"/>
      <c r="Z212" s="2429"/>
      <c r="AA212" s="2432"/>
      <c r="AB212" s="2432"/>
      <c r="AC212" s="2432"/>
      <c r="AD212" s="2432"/>
    </row>
    <row r="213" spans="1:30" ht="16.5" customHeight="1" x14ac:dyDescent="0.25">
      <c r="A213" s="1757"/>
      <c r="B213" s="790" t="s">
        <v>771</v>
      </c>
      <c r="C213" s="925"/>
      <c r="D213" s="631" t="s">
        <v>1117</v>
      </c>
      <c r="E213" s="631" t="s">
        <v>1118</v>
      </c>
      <c r="F213" s="53" t="s">
        <v>5</v>
      </c>
      <c r="G213" s="53" t="s">
        <v>5</v>
      </c>
      <c r="H213" s="53">
        <v>110</v>
      </c>
      <c r="I213" s="53">
        <v>144</v>
      </c>
      <c r="J213" s="54"/>
      <c r="K213" s="54"/>
      <c r="L213" s="54"/>
      <c r="M213" s="54"/>
      <c r="N213" s="58" t="s">
        <v>5</v>
      </c>
      <c r="O213" s="58" t="s">
        <v>5</v>
      </c>
      <c r="P213" s="58">
        <f>(16629345/307022)/365*1000</f>
        <v>148.39278395381601</v>
      </c>
      <c r="Q213" s="58">
        <f>(17306861/314440)/366*1000</f>
        <v>150.38323834270724</v>
      </c>
      <c r="S213" s="2429"/>
      <c r="T213" s="2429"/>
      <c r="U213" s="2429"/>
      <c r="V213" s="2429"/>
      <c r="W213" s="2429"/>
      <c r="X213" s="2429"/>
      <c r="Y213" s="2429"/>
      <c r="Z213" s="2429"/>
      <c r="AA213" s="2432"/>
      <c r="AB213" s="2432"/>
      <c r="AC213" s="2432"/>
      <c r="AD213" s="2432"/>
    </row>
    <row r="214" spans="1:30" ht="16.5" customHeight="1" x14ac:dyDescent="0.25">
      <c r="A214" s="1757"/>
      <c r="B214" s="791" t="s">
        <v>772</v>
      </c>
      <c r="C214" s="263"/>
      <c r="D214" s="261" t="s">
        <v>1117</v>
      </c>
      <c r="E214" s="261" t="s">
        <v>1118</v>
      </c>
      <c r="F214" s="53" t="s">
        <v>5</v>
      </c>
      <c r="G214" s="53" t="s">
        <v>5</v>
      </c>
      <c r="H214" s="53">
        <v>79</v>
      </c>
      <c r="I214" s="53" t="s">
        <v>5</v>
      </c>
      <c r="J214" s="54"/>
      <c r="K214" s="54"/>
      <c r="L214" s="54"/>
      <c r="M214" s="54"/>
      <c r="N214" s="58" t="s">
        <v>5</v>
      </c>
      <c r="O214" s="58" t="s">
        <v>5</v>
      </c>
      <c r="P214" s="58">
        <f>(5785263/89559)/365*1000</f>
        <v>176.97870249152353</v>
      </c>
      <c r="Q214" s="58" t="s">
        <v>5</v>
      </c>
      <c r="S214" s="2429"/>
      <c r="T214" s="2429"/>
      <c r="U214" s="2429"/>
      <c r="V214" s="2429"/>
      <c r="W214" s="2429"/>
      <c r="X214" s="2429"/>
      <c r="Y214" s="2429"/>
      <c r="Z214" s="2429"/>
      <c r="AA214" s="2432"/>
      <c r="AB214" s="2432"/>
      <c r="AC214" s="2432"/>
      <c r="AD214" s="2432"/>
    </row>
    <row r="215" spans="1:30" ht="16.5" customHeight="1" x14ac:dyDescent="0.25">
      <c r="A215" s="1757"/>
      <c r="B215" s="790" t="s">
        <v>861</v>
      </c>
      <c r="C215" s="925"/>
      <c r="D215" s="631" t="s">
        <v>1117</v>
      </c>
      <c r="E215" s="631" t="s">
        <v>1118</v>
      </c>
      <c r="F215" s="53" t="s">
        <v>5</v>
      </c>
      <c r="G215" s="53" t="s">
        <v>5</v>
      </c>
      <c r="H215" s="53" t="s">
        <v>5</v>
      </c>
      <c r="I215" s="53">
        <v>64</v>
      </c>
      <c r="J215" s="54"/>
      <c r="K215" s="54"/>
      <c r="L215" s="54"/>
      <c r="M215" s="54"/>
      <c r="N215" s="58" t="s">
        <v>5</v>
      </c>
      <c r="O215" s="58" t="s">
        <v>5</v>
      </c>
      <c r="P215" s="58" t="s">
        <v>5</v>
      </c>
      <c r="Q215" s="58">
        <f>(9985921/210786)/366*1000</f>
        <v>129.43903844880563</v>
      </c>
      <c r="S215" s="2429"/>
      <c r="T215" s="2429"/>
      <c r="U215" s="2429"/>
      <c r="V215" s="2429"/>
      <c r="W215" s="2429"/>
      <c r="X215" s="2429"/>
      <c r="Y215" s="2429"/>
      <c r="Z215" s="2429"/>
      <c r="AA215" s="2432"/>
      <c r="AB215" s="2432"/>
      <c r="AC215" s="2432"/>
      <c r="AD215" s="2432"/>
    </row>
    <row r="216" spans="1:30" ht="16.5" customHeight="1" x14ac:dyDescent="0.25">
      <c r="A216" s="1757"/>
      <c r="B216" s="790" t="s">
        <v>862</v>
      </c>
      <c r="C216" s="925"/>
      <c r="D216" s="631" t="s">
        <v>1117</v>
      </c>
      <c r="E216" s="631" t="s">
        <v>1118</v>
      </c>
      <c r="F216" s="53" t="s">
        <v>5</v>
      </c>
      <c r="G216" s="53" t="s">
        <v>5</v>
      </c>
      <c r="H216" s="53" t="s">
        <v>5</v>
      </c>
      <c r="I216" s="53">
        <v>89</v>
      </c>
      <c r="J216" s="54"/>
      <c r="K216" s="54"/>
      <c r="L216" s="54"/>
      <c r="M216" s="54"/>
      <c r="N216" s="58" t="s">
        <v>5</v>
      </c>
      <c r="O216" s="58" t="s">
        <v>5</v>
      </c>
      <c r="P216" s="58" t="s">
        <v>5</v>
      </c>
      <c r="Q216" s="58">
        <f>(8883376/225438)/366*1000</f>
        <v>107.6638327419648</v>
      </c>
      <c r="S216" s="2429"/>
      <c r="T216" s="2429"/>
      <c r="U216" s="2429"/>
      <c r="V216" s="2429"/>
      <c r="W216" s="2429"/>
      <c r="X216" s="2429"/>
      <c r="Y216" s="2429"/>
      <c r="Z216" s="2429"/>
      <c r="AA216" s="2432"/>
      <c r="AB216" s="2432"/>
      <c r="AC216" s="2432"/>
      <c r="AD216" s="2432"/>
    </row>
    <row r="217" spans="1:30" ht="16.5" customHeight="1" x14ac:dyDescent="0.25">
      <c r="A217" s="1757"/>
      <c r="B217" s="790" t="s">
        <v>863</v>
      </c>
      <c r="C217" s="925"/>
      <c r="D217" s="631" t="s">
        <v>1117</v>
      </c>
      <c r="E217" s="631" t="s">
        <v>1118</v>
      </c>
      <c r="F217" s="53" t="s">
        <v>5</v>
      </c>
      <c r="G217" s="53" t="s">
        <v>5</v>
      </c>
      <c r="H217" s="53" t="s">
        <v>5</v>
      </c>
      <c r="I217" s="53">
        <v>89</v>
      </c>
      <c r="J217" s="54"/>
      <c r="K217" s="54"/>
      <c r="L217" s="54"/>
      <c r="M217" s="54"/>
      <c r="N217" s="58" t="s">
        <v>5</v>
      </c>
      <c r="O217" s="58" t="s">
        <v>5</v>
      </c>
      <c r="P217" s="58" t="s">
        <v>5</v>
      </c>
      <c r="Q217" s="58">
        <f>(11821638/140220)/366*1000</f>
        <v>230.34914689095123</v>
      </c>
      <c r="S217" s="2429"/>
      <c r="T217" s="2429"/>
      <c r="U217" s="2429"/>
      <c r="V217" s="2429"/>
      <c r="W217" s="2429"/>
      <c r="X217" s="2429"/>
      <c r="Y217" s="2429"/>
      <c r="Z217" s="2429"/>
      <c r="AA217" s="2432"/>
      <c r="AB217" s="2432"/>
      <c r="AC217" s="2432"/>
      <c r="AD217" s="2432"/>
    </row>
    <row r="218" spans="1:30" ht="16.5" customHeight="1" x14ac:dyDescent="0.25">
      <c r="A218" s="1757"/>
      <c r="B218" s="790" t="s">
        <v>864</v>
      </c>
      <c r="C218" s="925"/>
      <c r="D218" s="631" t="s">
        <v>1117</v>
      </c>
      <c r="E218" s="631" t="s">
        <v>1118</v>
      </c>
      <c r="F218" s="53" t="s">
        <v>5</v>
      </c>
      <c r="G218" s="53" t="s">
        <v>5</v>
      </c>
      <c r="H218" s="53" t="s">
        <v>5</v>
      </c>
      <c r="I218" s="53">
        <v>102</v>
      </c>
      <c r="J218" s="54"/>
      <c r="K218" s="54"/>
      <c r="L218" s="54"/>
      <c r="M218" s="54"/>
      <c r="N218" s="58" t="s">
        <v>5</v>
      </c>
      <c r="O218" s="58" t="s">
        <v>5</v>
      </c>
      <c r="P218" s="58" t="s">
        <v>5</v>
      </c>
      <c r="Q218" s="58">
        <f>(8589139/230885)/366*1000</f>
        <v>101.64191219080868</v>
      </c>
      <c r="S218" s="2429"/>
      <c r="T218" s="2429"/>
      <c r="U218" s="2429"/>
      <c r="V218" s="2429"/>
      <c r="W218" s="2429"/>
      <c r="X218" s="2429"/>
      <c r="Y218" s="2429"/>
      <c r="Z218" s="2429"/>
      <c r="AA218" s="2432"/>
      <c r="AB218" s="2432"/>
      <c r="AC218" s="2432"/>
      <c r="AD218" s="2432"/>
    </row>
    <row r="219" spans="1:30" ht="16.5" customHeight="1" x14ac:dyDescent="0.25">
      <c r="A219" s="1757"/>
      <c r="B219" s="790" t="s">
        <v>865</v>
      </c>
      <c r="C219" s="925"/>
      <c r="D219" s="631" t="s">
        <v>1117</v>
      </c>
      <c r="E219" s="631" t="s">
        <v>1118</v>
      </c>
      <c r="F219" s="53" t="s">
        <v>5</v>
      </c>
      <c r="G219" s="53" t="s">
        <v>5</v>
      </c>
      <c r="H219" s="53" t="s">
        <v>5</v>
      </c>
      <c r="I219" s="53">
        <v>153</v>
      </c>
      <c r="J219" s="54"/>
      <c r="K219" s="54"/>
      <c r="L219" s="54"/>
      <c r="M219" s="54"/>
      <c r="N219" s="58" t="s">
        <v>5</v>
      </c>
      <c r="O219" s="58" t="s">
        <v>5</v>
      </c>
      <c r="P219" s="58" t="s">
        <v>5</v>
      </c>
      <c r="Q219" s="58">
        <f>(9499920/248773)/366*1000</f>
        <v>104.33634507671849</v>
      </c>
      <c r="S219" s="2429"/>
      <c r="T219" s="2429"/>
      <c r="U219" s="2429"/>
      <c r="V219" s="2429"/>
      <c r="W219" s="2429"/>
      <c r="X219" s="2429"/>
      <c r="Y219" s="2429"/>
      <c r="Z219" s="2429"/>
      <c r="AA219" s="2432"/>
      <c r="AB219" s="2432"/>
      <c r="AC219" s="2432"/>
      <c r="AD219" s="2432"/>
    </row>
    <row r="220" spans="1:30" ht="16.5" customHeight="1" x14ac:dyDescent="0.25">
      <c r="A220" s="1757"/>
      <c r="B220" s="790" t="s">
        <v>866</v>
      </c>
      <c r="C220" s="925"/>
      <c r="D220" s="631" t="s">
        <v>1117</v>
      </c>
      <c r="E220" s="631" t="s">
        <v>1118</v>
      </c>
      <c r="F220" s="53" t="s">
        <v>5</v>
      </c>
      <c r="G220" s="53" t="s">
        <v>5</v>
      </c>
      <c r="H220" s="53" t="s">
        <v>5</v>
      </c>
      <c r="I220" s="53">
        <v>113</v>
      </c>
      <c r="J220" s="54"/>
      <c r="K220" s="54"/>
      <c r="L220" s="54"/>
      <c r="M220" s="54"/>
      <c r="N220" s="58" t="s">
        <v>5</v>
      </c>
      <c r="O220" s="58" t="s">
        <v>5</v>
      </c>
      <c r="P220" s="58" t="s">
        <v>5</v>
      </c>
      <c r="Q220" s="58">
        <f>(5587329/135122)/366*1000</f>
        <v>112.97883564118499</v>
      </c>
      <c r="S220" s="2429"/>
      <c r="T220" s="2429"/>
      <c r="U220" s="2429"/>
      <c r="V220" s="2429"/>
      <c r="W220" s="2429"/>
      <c r="X220" s="2429"/>
      <c r="Y220" s="2429"/>
      <c r="Z220" s="2429"/>
      <c r="AA220" s="2432"/>
      <c r="AB220" s="2432"/>
      <c r="AC220" s="2432"/>
      <c r="AD220" s="2432"/>
    </row>
    <row r="221" spans="1:30" ht="16.5" customHeight="1" x14ac:dyDescent="0.25">
      <c r="A221" s="1757"/>
      <c r="B221" s="790" t="s">
        <v>867</v>
      </c>
      <c r="C221" s="925"/>
      <c r="D221" s="631" t="s">
        <v>1117</v>
      </c>
      <c r="E221" s="631" t="s">
        <v>1118</v>
      </c>
      <c r="F221" s="53" t="s">
        <v>5</v>
      </c>
      <c r="G221" s="53" t="s">
        <v>5</v>
      </c>
      <c r="H221" s="53" t="s">
        <v>5</v>
      </c>
      <c r="I221" s="53">
        <v>90</v>
      </c>
      <c r="J221" s="54"/>
      <c r="K221" s="54"/>
      <c r="L221" s="54"/>
      <c r="M221" s="54"/>
      <c r="N221" s="58" t="s">
        <v>5</v>
      </c>
      <c r="O221" s="58" t="s">
        <v>5</v>
      </c>
      <c r="P221" s="58" t="s">
        <v>5</v>
      </c>
      <c r="Q221" s="58">
        <f>(3591233/82273)/366*1000</f>
        <v>119.26284469823543</v>
      </c>
      <c r="S221" s="2429"/>
      <c r="T221" s="2429"/>
      <c r="U221" s="2429"/>
      <c r="V221" s="2429"/>
      <c r="W221" s="2429"/>
      <c r="X221" s="2429"/>
      <c r="Y221" s="2429"/>
      <c r="Z221" s="2429"/>
      <c r="AA221" s="2432"/>
      <c r="AB221" s="2432"/>
      <c r="AC221" s="2432"/>
      <c r="AD221" s="2432"/>
    </row>
    <row r="222" spans="1:30" ht="16.5" customHeight="1" x14ac:dyDescent="0.25">
      <c r="A222" s="1757"/>
      <c r="B222" s="790" t="s">
        <v>868</v>
      </c>
      <c r="C222" s="925"/>
      <c r="D222" s="631" t="s">
        <v>1117</v>
      </c>
      <c r="E222" s="631" t="s">
        <v>1118</v>
      </c>
      <c r="F222" s="53" t="s">
        <v>5</v>
      </c>
      <c r="G222" s="53" t="s">
        <v>5</v>
      </c>
      <c r="H222" s="53" t="s">
        <v>5</v>
      </c>
      <c r="I222" s="53">
        <v>109</v>
      </c>
      <c r="J222" s="54"/>
      <c r="K222" s="54"/>
      <c r="L222" s="54"/>
      <c r="M222" s="54"/>
      <c r="N222" s="58" t="s">
        <v>5</v>
      </c>
      <c r="O222" s="58" t="s">
        <v>5</v>
      </c>
      <c r="P222" s="58" t="s">
        <v>5</v>
      </c>
      <c r="Q222" s="58">
        <f>(3944222/99328)/366*1000</f>
        <v>108.49471288589373</v>
      </c>
      <c r="S222" s="2429"/>
      <c r="T222" s="2429"/>
      <c r="U222" s="2429"/>
      <c r="V222" s="2429"/>
      <c r="W222" s="2429"/>
      <c r="X222" s="2429"/>
      <c r="Y222" s="2429"/>
      <c r="Z222" s="2429"/>
      <c r="AA222" s="2432"/>
      <c r="AB222" s="2432"/>
      <c r="AC222" s="2432"/>
      <c r="AD222" s="2432"/>
    </row>
    <row r="223" spans="1:30" ht="16.5" customHeight="1" x14ac:dyDescent="0.25">
      <c r="A223" s="1757"/>
      <c r="B223" s="790" t="s">
        <v>870</v>
      </c>
      <c r="C223" s="925"/>
      <c r="D223" s="631" t="s">
        <v>1117</v>
      </c>
      <c r="E223" s="631" t="s">
        <v>1118</v>
      </c>
      <c r="F223" s="53" t="s">
        <v>5</v>
      </c>
      <c r="G223" s="53" t="s">
        <v>5</v>
      </c>
      <c r="H223" s="53" t="s">
        <v>5</v>
      </c>
      <c r="I223" s="53">
        <v>80</v>
      </c>
      <c r="J223" s="54"/>
      <c r="K223" s="54"/>
      <c r="L223" s="54"/>
      <c r="M223" s="54"/>
      <c r="N223" s="58" t="s">
        <v>5</v>
      </c>
      <c r="O223" s="58" t="s">
        <v>5</v>
      </c>
      <c r="P223" s="58" t="s">
        <v>5</v>
      </c>
      <c r="Q223" s="58">
        <f>(3286949/113460)/366*1000</f>
        <v>79.153313702429003</v>
      </c>
      <c r="S223" s="2429"/>
      <c r="T223" s="2429"/>
      <c r="U223" s="2429"/>
      <c r="V223" s="2429"/>
      <c r="W223" s="2429"/>
      <c r="X223" s="2429"/>
      <c r="Y223" s="2429"/>
      <c r="Z223" s="2429"/>
      <c r="AA223" s="2432"/>
      <c r="AB223" s="2432"/>
      <c r="AC223" s="2432"/>
      <c r="AD223" s="2432"/>
    </row>
    <row r="224" spans="1:30" ht="16.5" customHeight="1" x14ac:dyDescent="0.25">
      <c r="A224" s="1757"/>
      <c r="B224" s="790" t="s">
        <v>871</v>
      </c>
      <c r="C224" s="925"/>
      <c r="D224" s="631" t="s">
        <v>1117</v>
      </c>
      <c r="E224" s="631" t="s">
        <v>1118</v>
      </c>
      <c r="F224" s="53" t="s">
        <v>5</v>
      </c>
      <c r="G224" s="53" t="s">
        <v>5</v>
      </c>
      <c r="H224" s="53" t="s">
        <v>5</v>
      </c>
      <c r="I224" s="53">
        <v>72</v>
      </c>
      <c r="J224" s="54"/>
      <c r="K224" s="54"/>
      <c r="L224" s="54"/>
      <c r="M224" s="54"/>
      <c r="N224" s="58" t="s">
        <v>5</v>
      </c>
      <c r="O224" s="58" t="s">
        <v>5</v>
      </c>
      <c r="P224" s="58" t="s">
        <v>5</v>
      </c>
      <c r="Q224" s="58">
        <f>(1215606/46197)/366*1000</f>
        <v>71.894882110363426</v>
      </c>
      <c r="S224" s="2429"/>
      <c r="T224" s="2429"/>
      <c r="U224" s="2429"/>
      <c r="V224" s="2429"/>
      <c r="W224" s="2429"/>
      <c r="X224" s="2429"/>
      <c r="Y224" s="2429"/>
      <c r="Z224" s="2429"/>
      <c r="AA224" s="2432"/>
      <c r="AB224" s="2432"/>
      <c r="AC224" s="2432"/>
      <c r="AD224" s="2432"/>
    </row>
    <row r="225" spans="1:30" ht="16.5" customHeight="1" x14ac:dyDescent="0.25">
      <c r="A225" s="1757"/>
      <c r="B225" s="790" t="s">
        <v>872</v>
      </c>
      <c r="C225" s="925"/>
      <c r="D225" s="631" t="s">
        <v>1117</v>
      </c>
      <c r="E225" s="631" t="s">
        <v>1118</v>
      </c>
      <c r="F225" s="53" t="s">
        <v>5</v>
      </c>
      <c r="G225" s="53" t="s">
        <v>5</v>
      </c>
      <c r="H225" s="53" t="s">
        <v>5</v>
      </c>
      <c r="I225" s="53">
        <v>86</v>
      </c>
      <c r="J225" s="54"/>
      <c r="K225" s="54"/>
      <c r="L225" s="54"/>
      <c r="M225" s="54"/>
      <c r="N225" s="58" t="s">
        <v>5</v>
      </c>
      <c r="O225" s="58" t="s">
        <v>5</v>
      </c>
      <c r="P225" s="58" t="s">
        <v>5</v>
      </c>
      <c r="Q225" s="58">
        <f>(14335922/347718)/366*1000</f>
        <v>112.64641402616409</v>
      </c>
      <c r="S225" s="2429"/>
      <c r="T225" s="2429"/>
      <c r="U225" s="2429"/>
      <c r="V225" s="2429"/>
      <c r="W225" s="2429"/>
      <c r="X225" s="2429"/>
      <c r="Y225" s="2429"/>
      <c r="Z225" s="2429"/>
      <c r="AA225" s="2432"/>
      <c r="AB225" s="2432"/>
      <c r="AC225" s="2432"/>
      <c r="AD225" s="2432"/>
    </row>
    <row r="226" spans="1:30" ht="16.5" customHeight="1" x14ac:dyDescent="0.25">
      <c r="A226" s="1757"/>
      <c r="B226" s="790" t="s">
        <v>874</v>
      </c>
      <c r="C226" s="925"/>
      <c r="D226" s="631" t="s">
        <v>1117</v>
      </c>
      <c r="E226" s="631" t="s">
        <v>1118</v>
      </c>
      <c r="F226" s="53" t="s">
        <v>5</v>
      </c>
      <c r="G226" s="53" t="s">
        <v>5</v>
      </c>
      <c r="H226" s="53" t="s">
        <v>5</v>
      </c>
      <c r="I226" s="53">
        <v>90</v>
      </c>
      <c r="J226" s="54"/>
      <c r="K226" s="54"/>
      <c r="L226" s="54"/>
      <c r="M226" s="54"/>
      <c r="N226" s="58" t="s">
        <v>5</v>
      </c>
      <c r="O226" s="58" t="s">
        <v>5</v>
      </c>
      <c r="P226" s="58" t="s">
        <v>5</v>
      </c>
      <c r="Q226" s="58">
        <f>(8112483/246325)/366*1000</f>
        <v>89.983777928998904</v>
      </c>
      <c r="S226" s="2429"/>
      <c r="T226" s="2429"/>
      <c r="U226" s="2429"/>
      <c r="V226" s="2429"/>
      <c r="W226" s="2429"/>
      <c r="X226" s="2429"/>
      <c r="Y226" s="2429"/>
      <c r="Z226" s="2429"/>
      <c r="AA226" s="2432"/>
      <c r="AB226" s="2432"/>
      <c r="AC226" s="2432"/>
      <c r="AD226" s="2432"/>
    </row>
    <row r="227" spans="1:30" ht="16.5" customHeight="1" thickBot="1" x14ac:dyDescent="0.3">
      <c r="A227" s="1758"/>
      <c r="B227" s="792" t="s">
        <v>598</v>
      </c>
      <c r="C227" s="925"/>
      <c r="D227" s="631" t="s">
        <v>1117</v>
      </c>
      <c r="E227" s="631" t="s">
        <v>1118</v>
      </c>
      <c r="F227" s="53" t="s">
        <v>5</v>
      </c>
      <c r="G227" s="53">
        <v>100</v>
      </c>
      <c r="H227" s="53" t="s">
        <v>5</v>
      </c>
      <c r="I227" s="53">
        <v>120</v>
      </c>
      <c r="J227" s="54"/>
      <c r="K227" s="54"/>
      <c r="L227" s="54"/>
      <c r="M227" s="54"/>
      <c r="N227" s="58" t="s">
        <v>5</v>
      </c>
      <c r="O227" s="58">
        <f>(12519000/228000)/366*1000</f>
        <v>150.02157031924071</v>
      </c>
      <c r="P227" s="58" t="s">
        <v>5</v>
      </c>
      <c r="Q227" s="58">
        <f>(11074683/251073)/366*1000</f>
        <v>120.51752566509133</v>
      </c>
      <c r="S227" s="2436"/>
      <c r="T227" s="2436"/>
      <c r="U227" s="2436"/>
      <c r="V227" s="2436"/>
      <c r="W227" s="2436"/>
      <c r="X227" s="2436"/>
      <c r="Y227" s="2436"/>
      <c r="Z227" s="2436"/>
      <c r="AA227" s="2449"/>
      <c r="AB227" s="2449"/>
      <c r="AC227" s="2449"/>
      <c r="AD227" s="2449"/>
    </row>
    <row r="228" spans="1:30" ht="16.5" customHeight="1" x14ac:dyDescent="0.25">
      <c r="A228" s="2460" t="s">
        <v>693</v>
      </c>
      <c r="B228" s="790" t="s">
        <v>887</v>
      </c>
      <c r="C228" s="925" t="s">
        <v>429</v>
      </c>
      <c r="D228" s="631" t="s">
        <v>1119</v>
      </c>
      <c r="E228" s="631" t="s">
        <v>1120</v>
      </c>
      <c r="F228" s="53" t="s">
        <v>5</v>
      </c>
      <c r="G228" s="53" t="s">
        <v>5</v>
      </c>
      <c r="H228" s="53" t="s">
        <v>5</v>
      </c>
      <c r="I228" s="56">
        <v>148.30000000000001</v>
      </c>
      <c r="J228" s="54"/>
      <c r="K228" s="54"/>
      <c r="L228" s="54"/>
      <c r="M228" s="54"/>
      <c r="N228" s="58" t="s">
        <v>5</v>
      </c>
      <c r="O228" s="58" t="s">
        <v>5</v>
      </c>
      <c r="P228" s="58" t="s">
        <v>5</v>
      </c>
      <c r="Q228" s="58">
        <f>(1011110563/11900000)/366*1000</f>
        <v>232.15102240896357</v>
      </c>
      <c r="S228" s="2434" t="s">
        <v>5</v>
      </c>
      <c r="T228" s="2434" t="s">
        <v>5</v>
      </c>
      <c r="U228" s="2434" t="s">
        <v>5</v>
      </c>
      <c r="V228" s="2434" t="s">
        <v>5</v>
      </c>
      <c r="W228" s="2434">
        <v>146</v>
      </c>
      <c r="X228" s="2434">
        <v>146</v>
      </c>
      <c r="Y228" s="2434">
        <f>I229</f>
        <v>136.5</v>
      </c>
      <c r="Z228" s="2434">
        <f>I229</f>
        <v>136.5</v>
      </c>
      <c r="AA228" s="2444" t="s">
        <v>5</v>
      </c>
      <c r="AB228" s="2444" t="s">
        <v>5</v>
      </c>
      <c r="AC228" s="2444">
        <f>P229</f>
        <v>228.63329878885025</v>
      </c>
      <c r="AD228" s="2444">
        <f>Q229</f>
        <v>217.46775951684421</v>
      </c>
    </row>
    <row r="229" spans="1:30" ht="16.5" customHeight="1" thickBot="1" x14ac:dyDescent="0.3">
      <c r="A229" s="2461"/>
      <c r="B229" s="790" t="s">
        <v>694</v>
      </c>
      <c r="C229" s="925"/>
      <c r="D229" s="631" t="s">
        <v>1119</v>
      </c>
      <c r="E229" s="631" t="s">
        <v>1120</v>
      </c>
      <c r="F229" s="53" t="s">
        <v>5</v>
      </c>
      <c r="G229" s="53" t="s">
        <v>5</v>
      </c>
      <c r="H229" s="53">
        <v>146</v>
      </c>
      <c r="I229" s="56">
        <v>136.5</v>
      </c>
      <c r="J229" s="54"/>
      <c r="K229" s="54"/>
      <c r="L229" s="54"/>
      <c r="M229" s="54"/>
      <c r="N229" s="58" t="s">
        <v>5</v>
      </c>
      <c r="O229" s="58" t="s">
        <v>5</v>
      </c>
      <c r="P229" s="58">
        <f>(9665967838/115827851)/365*1000</f>
        <v>228.63329878885025</v>
      </c>
      <c r="Q229" s="58">
        <f>(9455672158/118800000)/366*1000</f>
        <v>217.46775951684421</v>
      </c>
      <c r="S229" s="2436"/>
      <c r="T229" s="2436"/>
      <c r="U229" s="2436"/>
      <c r="V229" s="2436"/>
      <c r="W229" s="2436"/>
      <c r="X229" s="2436"/>
      <c r="Y229" s="2436"/>
      <c r="Z229" s="2436"/>
      <c r="AA229" s="2449"/>
      <c r="AB229" s="2449"/>
      <c r="AC229" s="2449"/>
      <c r="AD229" s="2449"/>
    </row>
    <row r="230" spans="1:30" ht="16.5" customHeight="1" x14ac:dyDescent="0.25">
      <c r="A230" s="1818" t="s">
        <v>47</v>
      </c>
      <c r="B230" s="824" t="s">
        <v>1154</v>
      </c>
      <c r="C230" s="926" t="s">
        <v>429</v>
      </c>
      <c r="D230" s="631"/>
      <c r="E230" s="631" t="s">
        <v>1121</v>
      </c>
      <c r="F230" s="53" t="s">
        <v>5</v>
      </c>
      <c r="G230" s="53" t="s">
        <v>5</v>
      </c>
      <c r="H230" s="53" t="s">
        <v>5</v>
      </c>
      <c r="I230" s="56" t="s">
        <v>5</v>
      </c>
      <c r="J230" s="54"/>
      <c r="K230" s="54"/>
      <c r="L230" s="54"/>
      <c r="M230" s="54"/>
      <c r="N230" s="58" t="s">
        <v>5</v>
      </c>
      <c r="O230" s="58" t="s">
        <v>5</v>
      </c>
      <c r="P230" s="58" t="s">
        <v>5</v>
      </c>
      <c r="Q230" s="58" t="s">
        <v>5</v>
      </c>
      <c r="S230" s="2450">
        <v>154</v>
      </c>
      <c r="T230" s="2450">
        <f>MEDIAN(F231:F238)</f>
        <v>154</v>
      </c>
      <c r="U230" s="2450">
        <f>SUM(G231:G238)/8</f>
        <v>149</v>
      </c>
      <c r="V230" s="2450">
        <f>MEDIAN(G231:G238)</f>
        <v>149</v>
      </c>
      <c r="W230" s="2450">
        <v>150</v>
      </c>
      <c r="X230" s="2450">
        <v>150</v>
      </c>
      <c r="Y230" s="2434" t="s">
        <v>5</v>
      </c>
      <c r="Z230" s="2434" t="s">
        <v>5</v>
      </c>
      <c r="AA230" s="2444">
        <f>SUM(N231:N238)/8</f>
        <v>177.90694583424724</v>
      </c>
      <c r="AB230" s="2444">
        <f>SUM(O231:O238)/8</f>
        <v>148.59289536013827</v>
      </c>
      <c r="AC230" s="2444">
        <v>150</v>
      </c>
      <c r="AD230" s="2444" t="s">
        <v>5</v>
      </c>
    </row>
    <row r="231" spans="1:30" ht="16.5" customHeight="1" x14ac:dyDescent="0.25">
      <c r="A231" s="1819"/>
      <c r="B231" s="790" t="s">
        <v>534</v>
      </c>
      <c r="C231" s="925"/>
      <c r="D231" s="261"/>
      <c r="E231" s="631" t="s">
        <v>1121</v>
      </c>
      <c r="F231" s="53">
        <v>154</v>
      </c>
      <c r="G231" s="53">
        <v>149</v>
      </c>
      <c r="H231" s="53">
        <v>150</v>
      </c>
      <c r="I231" s="53" t="s">
        <v>5</v>
      </c>
      <c r="J231" s="54"/>
      <c r="K231" s="54"/>
      <c r="L231" s="54"/>
      <c r="M231" s="54"/>
      <c r="N231" s="58">
        <f>(10943400/168528)/365*1000</f>
        <v>177.90466752242466</v>
      </c>
      <c r="O231" s="58">
        <f>(59741814/1098498)/366*1000</f>
        <v>148.59289684642121</v>
      </c>
      <c r="P231" s="58">
        <v>150</v>
      </c>
      <c r="Q231" s="58" t="s">
        <v>5</v>
      </c>
      <c r="S231" s="2451"/>
      <c r="T231" s="2451"/>
      <c r="U231" s="2451"/>
      <c r="V231" s="2451"/>
      <c r="W231" s="2451"/>
      <c r="X231" s="2451"/>
      <c r="Y231" s="2429"/>
      <c r="Z231" s="2429"/>
      <c r="AA231" s="2432"/>
      <c r="AB231" s="2432"/>
      <c r="AC231" s="2432"/>
      <c r="AD231" s="2432"/>
    </row>
    <row r="232" spans="1:30" ht="16.5" customHeight="1" x14ac:dyDescent="0.25">
      <c r="A232" s="1819"/>
      <c r="B232" s="790" t="s">
        <v>535</v>
      </c>
      <c r="C232" s="925"/>
      <c r="D232" s="261"/>
      <c r="E232" s="631" t="s">
        <v>1121</v>
      </c>
      <c r="F232" s="53">
        <v>154</v>
      </c>
      <c r="G232" s="53">
        <v>149</v>
      </c>
      <c r="H232" s="53">
        <v>150</v>
      </c>
      <c r="I232" s="53" t="s">
        <v>5</v>
      </c>
      <c r="J232" s="54"/>
      <c r="K232" s="54"/>
      <c r="L232" s="54"/>
      <c r="M232" s="54"/>
      <c r="N232" s="58">
        <f>(11920350/183573)/365*1000</f>
        <v>177.90466545017475</v>
      </c>
      <c r="O232" s="58">
        <f>(65075133/1196564)/366*1000</f>
        <v>148.59289585518664</v>
      </c>
      <c r="P232" s="58">
        <v>150</v>
      </c>
      <c r="Q232" s="58" t="s">
        <v>5</v>
      </c>
      <c r="S232" s="2451"/>
      <c r="T232" s="2451"/>
      <c r="U232" s="2451"/>
      <c r="V232" s="2451"/>
      <c r="W232" s="2451"/>
      <c r="X232" s="2451"/>
      <c r="Y232" s="2429"/>
      <c r="Z232" s="2429"/>
      <c r="AA232" s="2432"/>
      <c r="AB232" s="2432"/>
      <c r="AC232" s="2432"/>
      <c r="AD232" s="2432"/>
    </row>
    <row r="233" spans="1:30" ht="16.5" customHeight="1" x14ac:dyDescent="0.25">
      <c r="A233" s="1819"/>
      <c r="B233" s="790" t="s">
        <v>536</v>
      </c>
      <c r="C233" s="925"/>
      <c r="D233" s="261"/>
      <c r="E233" s="631" t="s">
        <v>1121</v>
      </c>
      <c r="F233" s="53">
        <v>154</v>
      </c>
      <c r="G233" s="53">
        <v>149</v>
      </c>
      <c r="H233" s="53">
        <v>150</v>
      </c>
      <c r="I233" s="53" t="s">
        <v>5</v>
      </c>
      <c r="J233" s="54"/>
      <c r="K233" s="54"/>
      <c r="L233" s="54"/>
      <c r="M233" s="54"/>
      <c r="N233" s="58">
        <f>(7900180/121663)/365*1000</f>
        <v>177.90395409552031</v>
      </c>
      <c r="O233" s="58">
        <f>(43128393/793020)/366*1000</f>
        <v>148.59289720847181</v>
      </c>
      <c r="P233" s="58">
        <v>150</v>
      </c>
      <c r="Q233" s="58" t="s">
        <v>5</v>
      </c>
      <c r="S233" s="2451"/>
      <c r="T233" s="2451"/>
      <c r="U233" s="2451"/>
      <c r="V233" s="2451"/>
      <c r="W233" s="2451"/>
      <c r="X233" s="2451"/>
      <c r="Y233" s="2429"/>
      <c r="Z233" s="2429"/>
      <c r="AA233" s="2432"/>
      <c r="AB233" s="2432"/>
      <c r="AC233" s="2432"/>
      <c r="AD233" s="2432"/>
    </row>
    <row r="234" spans="1:30" ht="16.5" customHeight="1" x14ac:dyDescent="0.25">
      <c r="A234" s="1819"/>
      <c r="B234" s="790" t="s">
        <v>537</v>
      </c>
      <c r="C234" s="925"/>
      <c r="D234" s="261"/>
      <c r="E234" s="631" t="s">
        <v>1121</v>
      </c>
      <c r="F234" s="53">
        <v>154</v>
      </c>
      <c r="G234" s="53">
        <v>149</v>
      </c>
      <c r="H234" s="53">
        <v>150</v>
      </c>
      <c r="I234" s="53" t="s">
        <v>5</v>
      </c>
      <c r="J234" s="54"/>
      <c r="K234" s="54"/>
      <c r="L234" s="54"/>
      <c r="M234" s="54"/>
      <c r="N234" s="58">
        <f>(6384480/98321)/365*1000</f>
        <v>177.90427301794389</v>
      </c>
      <c r="O234" s="58">
        <f>(34853932/640874)/366*1000</f>
        <v>148.59289408584462</v>
      </c>
      <c r="P234" s="58">
        <v>150</v>
      </c>
      <c r="Q234" s="58" t="s">
        <v>5</v>
      </c>
      <c r="S234" s="2451"/>
      <c r="T234" s="2451"/>
      <c r="U234" s="2451"/>
      <c r="V234" s="2451"/>
      <c r="W234" s="2451"/>
      <c r="X234" s="2451"/>
      <c r="Y234" s="2429"/>
      <c r="Z234" s="2429"/>
      <c r="AA234" s="2432"/>
      <c r="AB234" s="2432"/>
      <c r="AC234" s="2432"/>
      <c r="AD234" s="2432"/>
    </row>
    <row r="235" spans="1:30" ht="16.5" customHeight="1" x14ac:dyDescent="0.25">
      <c r="A235" s="1819"/>
      <c r="B235" s="790" t="s">
        <v>538</v>
      </c>
      <c r="C235" s="925"/>
      <c r="D235" s="261"/>
      <c r="E235" s="631" t="s">
        <v>1121</v>
      </c>
      <c r="F235" s="53">
        <v>154</v>
      </c>
      <c r="G235" s="53">
        <v>149</v>
      </c>
      <c r="H235" s="53">
        <v>150</v>
      </c>
      <c r="I235" s="53" t="s">
        <v>5</v>
      </c>
      <c r="J235" s="54"/>
      <c r="K235" s="54"/>
      <c r="L235" s="54"/>
      <c r="M235" s="54"/>
      <c r="N235" s="58">
        <f>(6513700/100311)/365*1000</f>
        <v>177.90425202278448</v>
      </c>
      <c r="O235" s="58">
        <f>(35559360/653845)/366*1000</f>
        <v>148.59289481677675</v>
      </c>
      <c r="P235" s="58">
        <v>150</v>
      </c>
      <c r="Q235" s="58" t="s">
        <v>5</v>
      </c>
      <c r="S235" s="2451"/>
      <c r="T235" s="2451"/>
      <c r="U235" s="2451"/>
      <c r="V235" s="2451"/>
      <c r="W235" s="2451"/>
      <c r="X235" s="2451"/>
      <c r="Y235" s="2429"/>
      <c r="Z235" s="2429"/>
      <c r="AA235" s="2432"/>
      <c r="AB235" s="2432"/>
      <c r="AC235" s="2432"/>
      <c r="AD235" s="2432"/>
    </row>
    <row r="236" spans="1:30" ht="16.5" customHeight="1" x14ac:dyDescent="0.25">
      <c r="A236" s="1819"/>
      <c r="B236" s="790" t="s">
        <v>539</v>
      </c>
      <c r="C236" s="925"/>
      <c r="D236" s="261"/>
      <c r="E236" s="631" t="s">
        <v>1121</v>
      </c>
      <c r="F236" s="53">
        <v>154</v>
      </c>
      <c r="G236" s="53">
        <v>149</v>
      </c>
      <c r="H236" s="53">
        <v>150</v>
      </c>
      <c r="I236" s="53" t="s">
        <v>5</v>
      </c>
      <c r="J236" s="54"/>
      <c r="K236" s="54"/>
      <c r="L236" s="54"/>
      <c r="M236" s="54"/>
      <c r="N236" s="58">
        <f>(3605280/55521)/365*1000</f>
        <v>177.90528722564068</v>
      </c>
      <c r="O236" s="58">
        <f>(19681823/361898)/366*1000</f>
        <v>148.59289821329665</v>
      </c>
      <c r="P236" s="58">
        <v>150</v>
      </c>
      <c r="Q236" s="58" t="s">
        <v>5</v>
      </c>
      <c r="S236" s="2451"/>
      <c r="T236" s="2451"/>
      <c r="U236" s="2451"/>
      <c r="V236" s="2451"/>
      <c r="W236" s="2451"/>
      <c r="X236" s="2451"/>
      <c r="Y236" s="2429"/>
      <c r="Z236" s="2429"/>
      <c r="AA236" s="2432"/>
      <c r="AB236" s="2432"/>
      <c r="AC236" s="2432"/>
      <c r="AD236" s="2432"/>
    </row>
    <row r="237" spans="1:30" ht="16.5" customHeight="1" x14ac:dyDescent="0.25">
      <c r="A237" s="1819"/>
      <c r="B237" s="790" t="s">
        <v>540</v>
      </c>
      <c r="C237" s="925"/>
      <c r="D237" s="261"/>
      <c r="E237" s="631" t="s">
        <v>1121</v>
      </c>
      <c r="F237" s="53">
        <v>154</v>
      </c>
      <c r="G237" s="53">
        <v>149</v>
      </c>
      <c r="H237" s="53">
        <v>150</v>
      </c>
      <c r="I237" s="53" t="s">
        <v>5</v>
      </c>
      <c r="J237" s="54"/>
      <c r="K237" s="54"/>
      <c r="L237" s="54"/>
      <c r="M237" s="54"/>
      <c r="N237" s="58">
        <f>(2312680/35615)/365*1000</f>
        <v>177.90564618955764</v>
      </c>
      <c r="O237" s="58">
        <f>(12625423/232149)/366*1000</f>
        <v>148.59289187905441</v>
      </c>
      <c r="P237" s="58">
        <v>150</v>
      </c>
      <c r="Q237" s="58" t="s">
        <v>5</v>
      </c>
      <c r="S237" s="2451"/>
      <c r="T237" s="2451"/>
      <c r="U237" s="2451"/>
      <c r="V237" s="2451"/>
      <c r="W237" s="2451"/>
      <c r="X237" s="2451"/>
      <c r="Y237" s="2429"/>
      <c r="Z237" s="2429"/>
      <c r="AA237" s="2432"/>
      <c r="AB237" s="2432"/>
      <c r="AC237" s="2432"/>
      <c r="AD237" s="2432"/>
    </row>
    <row r="238" spans="1:30" ht="15.75" customHeight="1" thickBot="1" x14ac:dyDescent="0.3">
      <c r="A238" s="1820"/>
      <c r="B238" s="792" t="s">
        <v>541</v>
      </c>
      <c r="C238" s="925"/>
      <c r="D238" s="261"/>
      <c r="E238" s="631" t="s">
        <v>1121</v>
      </c>
      <c r="F238" s="53">
        <v>154</v>
      </c>
      <c r="G238" s="53">
        <v>149</v>
      </c>
      <c r="H238" s="53">
        <v>150</v>
      </c>
      <c r="I238" s="53" t="s">
        <v>5</v>
      </c>
      <c r="J238" s="54"/>
      <c r="K238" s="54"/>
      <c r="L238" s="54"/>
      <c r="M238" s="54"/>
      <c r="N238" s="58">
        <f>(245610/3782)/365*1000</f>
        <v>177.92282114993151</v>
      </c>
      <c r="O238" s="58">
        <f>(1351576/24852)/366*1000</f>
        <v>148.59289397605409</v>
      </c>
      <c r="P238" s="58">
        <v>150</v>
      </c>
      <c r="Q238" s="58" t="s">
        <v>5</v>
      </c>
      <c r="S238" s="2452"/>
      <c r="T238" s="2452"/>
      <c r="U238" s="2452"/>
      <c r="V238" s="2452"/>
      <c r="W238" s="2452"/>
      <c r="X238" s="2452"/>
      <c r="Y238" s="2436"/>
      <c r="Z238" s="2436"/>
      <c r="AA238" s="2449"/>
      <c r="AB238" s="2449"/>
      <c r="AC238" s="2449"/>
      <c r="AD238" s="2449"/>
    </row>
    <row r="239" spans="1:30" ht="15.75" customHeight="1" x14ac:dyDescent="0.25">
      <c r="A239" s="2150" t="s">
        <v>41</v>
      </c>
      <c r="B239" s="457" t="s">
        <v>192</v>
      </c>
      <c r="C239" s="457" t="s">
        <v>429</v>
      </c>
      <c r="D239" s="261" t="s">
        <v>1122</v>
      </c>
      <c r="E239" s="261" t="s">
        <v>1123</v>
      </c>
      <c r="F239" s="53"/>
      <c r="G239" s="53"/>
      <c r="H239" s="53"/>
      <c r="I239" s="53"/>
      <c r="J239" s="54"/>
      <c r="K239" s="54"/>
      <c r="L239" s="54"/>
      <c r="M239" s="54"/>
      <c r="N239" s="52"/>
      <c r="O239" s="52"/>
      <c r="P239" s="52"/>
      <c r="Q239" s="52"/>
      <c r="S239" s="447"/>
      <c r="T239" s="447"/>
      <c r="U239" s="447"/>
      <c r="V239" s="447"/>
      <c r="W239" s="447"/>
      <c r="X239" s="447"/>
      <c r="Y239" s="447"/>
      <c r="Z239" s="447"/>
      <c r="AA239" s="948"/>
      <c r="AB239" s="2457"/>
      <c r="AC239" s="2457"/>
      <c r="AD239" s="2457"/>
    </row>
    <row r="240" spans="1:30" ht="15.75" customHeight="1" x14ac:dyDescent="0.25">
      <c r="A240" s="2151"/>
      <c r="B240" s="457" t="s">
        <v>193</v>
      </c>
      <c r="C240" s="457"/>
      <c r="D240" s="261" t="s">
        <v>1122</v>
      </c>
      <c r="E240" s="261" t="s">
        <v>1123</v>
      </c>
      <c r="F240" s="53"/>
      <c r="G240" s="53"/>
      <c r="H240" s="53"/>
      <c r="I240" s="53"/>
      <c r="J240" s="54"/>
      <c r="K240" s="54"/>
      <c r="L240" s="54"/>
      <c r="M240" s="54"/>
      <c r="N240" s="52"/>
      <c r="O240" s="52"/>
      <c r="P240" s="52"/>
      <c r="Q240" s="52"/>
      <c r="S240" s="71"/>
      <c r="T240" s="71"/>
      <c r="U240" s="449"/>
      <c r="V240" s="71"/>
      <c r="W240" s="449"/>
      <c r="X240" s="449"/>
      <c r="Y240" s="71"/>
      <c r="Z240" s="71"/>
      <c r="AA240" s="949"/>
      <c r="AB240" s="2458"/>
      <c r="AC240" s="2458"/>
      <c r="AD240" s="2458"/>
    </row>
    <row r="241" spans="1:30" ht="15.75" customHeight="1" x14ac:dyDescent="0.25">
      <c r="A241" s="2152"/>
      <c r="B241" s="268" t="s">
        <v>194</v>
      </c>
      <c r="C241" s="457"/>
      <c r="D241" s="261" t="s">
        <v>1122</v>
      </c>
      <c r="E241" s="261" t="s">
        <v>1123</v>
      </c>
      <c r="F241" s="53"/>
      <c r="G241" s="53"/>
      <c r="H241" s="53"/>
      <c r="I241" s="53"/>
      <c r="J241" s="54"/>
      <c r="K241" s="54"/>
      <c r="L241" s="54"/>
      <c r="M241" s="54"/>
      <c r="N241" s="52"/>
      <c r="O241" s="52"/>
      <c r="P241" s="52"/>
      <c r="Q241" s="52"/>
      <c r="S241" s="448"/>
      <c r="T241" s="448"/>
      <c r="U241" s="448"/>
      <c r="V241" s="448"/>
      <c r="W241" s="448"/>
      <c r="X241" s="448"/>
      <c r="Y241" s="448"/>
      <c r="Z241" s="448"/>
      <c r="AA241" s="950"/>
      <c r="AB241" s="2459"/>
      <c r="AC241" s="2459"/>
      <c r="AD241" s="2459"/>
    </row>
    <row r="242" spans="1:30" ht="16.5" thickBot="1" x14ac:dyDescent="0.3">
      <c r="A242" s="267" t="s">
        <v>42</v>
      </c>
      <c r="B242" s="278" t="s">
        <v>42</v>
      </c>
      <c r="C242" s="278" t="s">
        <v>429</v>
      </c>
      <c r="D242" s="764" t="s">
        <v>1124</v>
      </c>
      <c r="E242" s="764" t="s">
        <v>1125</v>
      </c>
      <c r="F242" s="53">
        <v>154</v>
      </c>
      <c r="G242" s="53"/>
      <c r="H242" s="53"/>
      <c r="I242" s="53"/>
      <c r="J242" s="54"/>
      <c r="K242" s="54"/>
      <c r="L242" s="54"/>
      <c r="M242" s="54"/>
      <c r="N242" s="58">
        <f>(476084188/5076700)/365*1000</f>
        <v>256.92679124153301</v>
      </c>
      <c r="O242" s="58"/>
      <c r="P242" s="58"/>
      <c r="Q242" s="58"/>
      <c r="S242" s="59">
        <v>154</v>
      </c>
      <c r="T242" s="59">
        <f>F242</f>
        <v>154</v>
      </c>
      <c r="U242" s="59"/>
      <c r="V242" s="59"/>
      <c r="W242" s="59"/>
      <c r="X242" s="59"/>
      <c r="Y242" s="59"/>
      <c r="Z242" s="59"/>
      <c r="AA242" s="64">
        <f>N242</f>
        <v>256.92679124153301</v>
      </c>
      <c r="AB242" s="64"/>
      <c r="AC242" s="64"/>
      <c r="AD242" s="64"/>
    </row>
    <row r="243" spans="1:30" ht="15.75" customHeight="1" x14ac:dyDescent="0.25">
      <c r="A243" s="1833" t="s">
        <v>24</v>
      </c>
      <c r="B243" s="793" t="s">
        <v>140</v>
      </c>
      <c r="C243" s="762" t="s">
        <v>429</v>
      </c>
      <c r="D243" s="276" t="s">
        <v>1126</v>
      </c>
      <c r="E243" s="276" t="s">
        <v>1127</v>
      </c>
      <c r="F243" s="53">
        <v>98</v>
      </c>
      <c r="G243" s="53"/>
      <c r="H243" s="53"/>
      <c r="I243" s="53"/>
      <c r="J243" s="54"/>
      <c r="K243" s="54"/>
      <c r="L243" s="54"/>
      <c r="M243" s="54"/>
      <c r="N243" s="55"/>
      <c r="O243" s="55"/>
      <c r="P243" s="55"/>
      <c r="Q243" s="55"/>
      <c r="S243" s="2434">
        <f>SUM(F243:F245)/3</f>
        <v>93.666666666666671</v>
      </c>
      <c r="T243" s="2434">
        <f>MEDIAN(F243:F245)</f>
        <v>94</v>
      </c>
      <c r="U243" s="935"/>
      <c r="V243" s="935"/>
      <c r="W243" s="935"/>
      <c r="X243" s="935"/>
      <c r="Y243" s="935"/>
      <c r="Z243" s="935"/>
      <c r="AA243" s="943"/>
      <c r="AB243" s="2437"/>
      <c r="AC243" s="2437"/>
      <c r="AD243" s="2437"/>
    </row>
    <row r="244" spans="1:30" ht="15.75" customHeight="1" x14ac:dyDescent="0.25">
      <c r="A244" s="1834"/>
      <c r="B244" s="479" t="s">
        <v>141</v>
      </c>
      <c r="C244" s="762"/>
      <c r="D244" s="276" t="s">
        <v>1126</v>
      </c>
      <c r="E244" s="276" t="s">
        <v>1127</v>
      </c>
      <c r="F244" s="53">
        <v>89</v>
      </c>
      <c r="G244" s="53"/>
      <c r="H244" s="53"/>
      <c r="I244" s="53"/>
      <c r="J244" s="54"/>
      <c r="K244" s="54"/>
      <c r="L244" s="54"/>
      <c r="M244" s="54"/>
      <c r="N244" s="55"/>
      <c r="O244" s="55"/>
      <c r="P244" s="55"/>
      <c r="Q244" s="55"/>
      <c r="S244" s="2429"/>
      <c r="T244" s="2429"/>
      <c r="U244" s="938"/>
      <c r="V244" s="936"/>
      <c r="W244" s="938"/>
      <c r="X244" s="938"/>
      <c r="Y244" s="936"/>
      <c r="Z244" s="936"/>
      <c r="AA244" s="947"/>
      <c r="AB244" s="2443"/>
      <c r="AC244" s="2443"/>
      <c r="AD244" s="2443"/>
    </row>
    <row r="245" spans="1:30" ht="16.5" customHeight="1" thickBot="1" x14ac:dyDescent="0.3">
      <c r="A245" s="1835"/>
      <c r="B245" s="266" t="s">
        <v>142</v>
      </c>
      <c r="C245" s="762"/>
      <c r="D245" s="276" t="s">
        <v>1126</v>
      </c>
      <c r="E245" s="276" t="s">
        <v>1127</v>
      </c>
      <c r="F245" s="53">
        <v>94</v>
      </c>
      <c r="G245" s="53"/>
      <c r="H245" s="53"/>
      <c r="I245" s="53"/>
      <c r="J245" s="54"/>
      <c r="K245" s="54"/>
      <c r="L245" s="54"/>
      <c r="M245" s="54"/>
      <c r="N245" s="55"/>
      <c r="O245" s="55"/>
      <c r="P245" s="55"/>
      <c r="Q245" s="55"/>
      <c r="S245" s="2436"/>
      <c r="T245" s="2436"/>
      <c r="U245" s="937"/>
      <c r="V245" s="937"/>
      <c r="W245" s="937"/>
      <c r="X245" s="937"/>
      <c r="Y245" s="937"/>
      <c r="Z245" s="937"/>
      <c r="AA245" s="944"/>
      <c r="AB245" s="2439"/>
      <c r="AC245" s="2439"/>
      <c r="AD245" s="2439"/>
    </row>
    <row r="246" spans="1:30" ht="16.5" thickBot="1" x14ac:dyDescent="0.3">
      <c r="A246" s="267" t="s">
        <v>43</v>
      </c>
      <c r="B246" s="457" t="s">
        <v>644</v>
      </c>
      <c r="C246" s="457" t="s">
        <v>429</v>
      </c>
      <c r="D246" s="261" t="s">
        <v>1128</v>
      </c>
      <c r="E246" s="261" t="s">
        <v>1129</v>
      </c>
      <c r="F246" s="53" t="s">
        <v>5</v>
      </c>
      <c r="G246" s="56">
        <f>(134830059/3848500)/366*1000</f>
        <v>95.722525488959917</v>
      </c>
      <c r="H246" s="56"/>
      <c r="I246" s="56"/>
      <c r="J246" s="54"/>
      <c r="K246" s="54"/>
      <c r="L246" s="54"/>
      <c r="M246" s="54"/>
      <c r="N246" s="55" t="s">
        <v>5</v>
      </c>
      <c r="O246" s="58">
        <v>205</v>
      </c>
      <c r="P246" s="58"/>
      <c r="Q246" s="58"/>
      <c r="S246" s="59" t="s">
        <v>5</v>
      </c>
      <c r="T246" s="59" t="s">
        <v>5</v>
      </c>
      <c r="U246" s="249">
        <f>G246</f>
        <v>95.722525488959917</v>
      </c>
      <c r="V246" s="249">
        <f>G246</f>
        <v>95.722525488959917</v>
      </c>
      <c r="W246" s="249"/>
      <c r="X246" s="249"/>
      <c r="Y246" s="249"/>
      <c r="Z246" s="249"/>
      <c r="AA246" s="62" t="s">
        <v>5</v>
      </c>
      <c r="AB246" s="64">
        <f>O246</f>
        <v>205</v>
      </c>
      <c r="AC246" s="64"/>
      <c r="AD246" s="64"/>
    </row>
    <row r="247" spans="1:30" ht="16.5" thickBot="1" x14ac:dyDescent="0.3">
      <c r="A247" s="279" t="s">
        <v>450</v>
      </c>
      <c r="B247" s="794" t="s">
        <v>177</v>
      </c>
      <c r="C247" s="457"/>
      <c r="D247" s="261"/>
      <c r="E247" s="261"/>
      <c r="F247" s="53">
        <f>0.177*1000</f>
        <v>177</v>
      </c>
      <c r="G247" s="53"/>
      <c r="H247" s="53"/>
      <c r="I247" s="53"/>
      <c r="J247" s="54"/>
      <c r="K247" s="54"/>
      <c r="L247" s="54"/>
      <c r="M247" s="54"/>
      <c r="N247" s="58">
        <f>(122913000/1140000)/365*1000</f>
        <v>295.39293439077147</v>
      </c>
      <c r="O247" s="58"/>
      <c r="P247" s="58"/>
      <c r="Q247" s="58"/>
      <c r="S247" s="447">
        <f>F247</f>
        <v>177</v>
      </c>
      <c r="T247" s="447">
        <f>F247</f>
        <v>177</v>
      </c>
      <c r="U247" s="447"/>
      <c r="V247" s="447"/>
      <c r="W247" s="447"/>
      <c r="X247" s="447"/>
      <c r="Y247" s="447"/>
      <c r="Z247" s="447"/>
      <c r="AA247" s="235">
        <f>N247</f>
        <v>295.39293439077147</v>
      </c>
      <c r="AB247" s="235"/>
      <c r="AC247" s="235"/>
      <c r="AD247" s="235"/>
    </row>
    <row r="248" spans="1:30" ht="15.75" customHeight="1" x14ac:dyDescent="0.25">
      <c r="A248" s="1818" t="s">
        <v>25</v>
      </c>
      <c r="B248" s="786" t="s">
        <v>143</v>
      </c>
      <c r="C248" s="760" t="s">
        <v>429</v>
      </c>
      <c r="D248" s="639" t="s">
        <v>1130</v>
      </c>
      <c r="E248" s="639" t="s">
        <v>1131</v>
      </c>
      <c r="F248" s="53">
        <v>285</v>
      </c>
      <c r="G248" s="53">
        <v>286</v>
      </c>
      <c r="H248" s="53">
        <v>284</v>
      </c>
      <c r="I248" s="53">
        <v>193</v>
      </c>
      <c r="J248" s="54"/>
      <c r="K248" s="54"/>
      <c r="L248" s="54"/>
      <c r="M248" s="54"/>
      <c r="N248" s="58">
        <f>(1087377092/10464051)/365*1000</f>
        <v>284.70000008103415</v>
      </c>
      <c r="O248" s="58">
        <f>(1112924698/10442426)/366*1000</f>
        <v>291.1945809707417</v>
      </c>
      <c r="P248" s="58">
        <f>(1098861672/10388055)/365*1000</f>
        <v>289.81170423988624</v>
      </c>
      <c r="Q248" s="58">
        <f>(1107967645/10204057)/366*1000</f>
        <v>296.66964842829083</v>
      </c>
      <c r="S248" s="2434">
        <f>SUM(F248:F255)/8</f>
        <v>271.375</v>
      </c>
      <c r="T248" s="2434">
        <f>MEDIAN(F248:F255)</f>
        <v>271.5</v>
      </c>
      <c r="U248" s="2434">
        <f>SUM(G248:G255)/8</f>
        <v>275.375</v>
      </c>
      <c r="V248" s="2434">
        <f>MEDIAN(G248:G255)</f>
        <v>276</v>
      </c>
      <c r="W248" s="2434">
        <f>SUM(H248:H255)/8</f>
        <v>277.375</v>
      </c>
      <c r="X248" s="2434">
        <f>MEDIAN(H248:H255)</f>
        <v>279</v>
      </c>
      <c r="Y248" s="2434">
        <f>SUM(I248:I255)/8</f>
        <v>182.25</v>
      </c>
      <c r="Z248" s="2434">
        <f>MEDIAN(I248:I255)</f>
        <v>185</v>
      </c>
      <c r="AA248" s="2444">
        <f>SUM(N248:N255)/8</f>
        <v>271.23749974729202</v>
      </c>
      <c r="AB248" s="2444">
        <f>SUM(O248:O255)/8</f>
        <v>278.69283404646825</v>
      </c>
      <c r="AC248" s="2444">
        <f>SUM(P248:P255)/8</f>
        <v>281.49095611418716</v>
      </c>
      <c r="AD248" s="2444">
        <f>SUM(Q248:Q255)/8</f>
        <v>290.82974629097413</v>
      </c>
    </row>
    <row r="249" spans="1:30" ht="15.75" customHeight="1" x14ac:dyDescent="0.25">
      <c r="A249" s="1819"/>
      <c r="B249" s="660" t="s">
        <v>144</v>
      </c>
      <c r="C249" s="760"/>
      <c r="D249" s="639" t="s">
        <v>1130</v>
      </c>
      <c r="E249" s="639" t="s">
        <v>1131</v>
      </c>
      <c r="F249" s="53">
        <v>254</v>
      </c>
      <c r="G249" s="53">
        <v>256</v>
      </c>
      <c r="H249" s="53">
        <v>258</v>
      </c>
      <c r="I249" s="53">
        <v>160</v>
      </c>
      <c r="J249" s="54"/>
      <c r="K249" s="54"/>
      <c r="L249" s="54"/>
      <c r="M249" s="54"/>
      <c r="N249" s="58">
        <f>(330244527/3569150)/365*1000</f>
        <v>253.5000002878549</v>
      </c>
      <c r="O249" s="58">
        <f>(338963883/3571946)/366*1000</f>
        <v>259.27906745198624</v>
      </c>
      <c r="P249" s="58">
        <f>(339738282/3562753)/365*1000</f>
        <v>261.25577992598141</v>
      </c>
      <c r="Q249" s="58">
        <f>(344551295/3540369)/366*1000</f>
        <v>265.90363345581125</v>
      </c>
      <c r="S249" s="2435"/>
      <c r="T249" s="2429"/>
      <c r="U249" s="2435"/>
      <c r="V249" s="2429"/>
      <c r="W249" s="2435"/>
      <c r="X249" s="2435"/>
      <c r="Y249" s="2429"/>
      <c r="Z249" s="2429"/>
      <c r="AA249" s="2445"/>
      <c r="AB249" s="2456"/>
      <c r="AC249" s="2456"/>
      <c r="AD249" s="2456"/>
    </row>
    <row r="250" spans="1:30" ht="15.75" customHeight="1" x14ac:dyDescent="0.25">
      <c r="A250" s="1819"/>
      <c r="B250" s="660" t="s">
        <v>145</v>
      </c>
      <c r="C250" s="760"/>
      <c r="D250" s="639" t="s">
        <v>1130</v>
      </c>
      <c r="E250" s="639" t="s">
        <v>1131</v>
      </c>
      <c r="F250" s="53">
        <v>270</v>
      </c>
      <c r="G250" s="53">
        <v>272</v>
      </c>
      <c r="H250" s="53">
        <v>277</v>
      </c>
      <c r="I250" s="53">
        <v>183</v>
      </c>
      <c r="J250" s="54"/>
      <c r="K250" s="54"/>
      <c r="L250" s="54"/>
      <c r="M250" s="54"/>
      <c r="N250" s="58">
        <f>(246363270/2503590)/365*1000</f>
        <v>269.59999960604512</v>
      </c>
      <c r="O250" s="58">
        <f>(257106820/2524026)/366*1000</f>
        <v>278.31632886239049</v>
      </c>
      <c r="P250" s="58">
        <f>(261068155/2522020)/365*1000</f>
        <v>283.60410273434871</v>
      </c>
      <c r="Q250" s="58">
        <f>(266821593/2509849)/366*1000</f>
        <v>290.46398643967797</v>
      </c>
      <c r="S250" s="2435"/>
      <c r="T250" s="2429"/>
      <c r="U250" s="2435"/>
      <c r="V250" s="2429"/>
      <c r="W250" s="2435"/>
      <c r="X250" s="2435"/>
      <c r="Y250" s="2429"/>
      <c r="Z250" s="2429"/>
      <c r="AA250" s="2445"/>
      <c r="AB250" s="2456"/>
      <c r="AC250" s="2456"/>
      <c r="AD250" s="2456"/>
    </row>
    <row r="251" spans="1:30" ht="15.75" customHeight="1" x14ac:dyDescent="0.25">
      <c r="A251" s="1819"/>
      <c r="B251" s="660" t="s">
        <v>146</v>
      </c>
      <c r="C251" s="760"/>
      <c r="D251" s="639" t="s">
        <v>1130</v>
      </c>
      <c r="E251" s="639" t="s">
        <v>1131</v>
      </c>
      <c r="F251" s="53">
        <v>301</v>
      </c>
      <c r="G251" s="53">
        <v>296</v>
      </c>
      <c r="H251" s="53">
        <v>295</v>
      </c>
      <c r="I251" s="53">
        <v>182</v>
      </c>
      <c r="J251" s="54"/>
      <c r="K251" s="54"/>
      <c r="L251" s="54"/>
      <c r="M251" s="54"/>
      <c r="N251" s="58">
        <f>(296900137/2699718)/365*1000</f>
        <v>301.29999980616952</v>
      </c>
      <c r="O251" s="58">
        <f>(308643844/2844966)/366*1000</f>
        <v>296.41450592268257</v>
      </c>
      <c r="P251" s="58">
        <f>(310962650/2884226)/365*1000</f>
        <v>295.38339428096987</v>
      </c>
      <c r="Q251" s="58">
        <f>(329691333/2965367)/366*1000</f>
        <v>303.77217787993152</v>
      </c>
      <c r="S251" s="2435"/>
      <c r="T251" s="2429"/>
      <c r="U251" s="2435"/>
      <c r="V251" s="2429"/>
      <c r="W251" s="2435"/>
      <c r="X251" s="2435"/>
      <c r="Y251" s="2429"/>
      <c r="Z251" s="2429"/>
      <c r="AA251" s="2445"/>
      <c r="AB251" s="2456"/>
      <c r="AC251" s="2456"/>
      <c r="AD251" s="2456"/>
    </row>
    <row r="252" spans="1:30" ht="15.75" customHeight="1" x14ac:dyDescent="0.25">
      <c r="A252" s="1819"/>
      <c r="B252" s="660" t="s">
        <v>147</v>
      </c>
      <c r="C252" s="760"/>
      <c r="D252" s="639" t="s">
        <v>1130</v>
      </c>
      <c r="E252" s="639" t="s">
        <v>1131</v>
      </c>
      <c r="F252" s="53">
        <v>263</v>
      </c>
      <c r="G252" s="53">
        <v>266</v>
      </c>
      <c r="H252" s="53">
        <v>270</v>
      </c>
      <c r="I252" s="53">
        <v>188</v>
      </c>
      <c r="J252" s="54"/>
      <c r="K252" s="54"/>
      <c r="L252" s="54"/>
      <c r="M252" s="54"/>
      <c r="N252" s="58">
        <f>(136543349/1424025)/365*1000</f>
        <v>262.69999973545947</v>
      </c>
      <c r="O252" s="58">
        <f>(145416757/1476306)/366*1000</f>
        <v>269.12682310838471</v>
      </c>
      <c r="P252" s="58">
        <f>(147795372/1481922)/365*1000</f>
        <v>273.23896088813058</v>
      </c>
      <c r="Q252" s="58">
        <f>(153831074/1486409)/366*1000</f>
        <v>282.76435414096449</v>
      </c>
      <c r="S252" s="2435"/>
      <c r="T252" s="2429"/>
      <c r="U252" s="2435"/>
      <c r="V252" s="2429"/>
      <c r="W252" s="2435"/>
      <c r="X252" s="2435"/>
      <c r="Y252" s="2429"/>
      <c r="Z252" s="2429"/>
      <c r="AA252" s="2445"/>
      <c r="AB252" s="2456"/>
      <c r="AC252" s="2456"/>
      <c r="AD252" s="2456"/>
    </row>
    <row r="253" spans="1:30" ht="15.75" customHeight="1" x14ac:dyDescent="0.25">
      <c r="A253" s="1819"/>
      <c r="B253" s="660" t="s">
        <v>148</v>
      </c>
      <c r="C253" s="760"/>
      <c r="D253" s="639" t="s">
        <v>1130</v>
      </c>
      <c r="E253" s="639" t="s">
        <v>1131</v>
      </c>
      <c r="F253" s="53">
        <v>273</v>
      </c>
      <c r="G253" s="53">
        <v>295</v>
      </c>
      <c r="H253" s="53">
        <v>297</v>
      </c>
      <c r="I253" s="53">
        <v>190</v>
      </c>
      <c r="J253" s="54"/>
      <c r="K253" s="54"/>
      <c r="L253" s="54"/>
      <c r="M253" s="54"/>
      <c r="N253" s="58">
        <f>(148478920/1490625)/365*1000</f>
        <v>272.89999942563389</v>
      </c>
      <c r="O253" s="58">
        <f>(170269789/1535095)/366*1000</f>
        <v>303.05486157680173</v>
      </c>
      <c r="P253" s="58">
        <f>(175155596/1544418)/365*1000</f>
        <v>310.71791782113354</v>
      </c>
      <c r="Q253" s="58">
        <f>(190554231/1529882)/366*1000</f>
        <v>340.31381205206418</v>
      </c>
      <c r="S253" s="2435"/>
      <c r="T253" s="2429"/>
      <c r="U253" s="2435"/>
      <c r="V253" s="2429"/>
      <c r="W253" s="2435"/>
      <c r="X253" s="2435"/>
      <c r="Y253" s="2429"/>
      <c r="Z253" s="2429"/>
      <c r="AA253" s="2445"/>
      <c r="AB253" s="2456"/>
      <c r="AC253" s="2456"/>
      <c r="AD253" s="2456"/>
    </row>
    <row r="254" spans="1:30" ht="15.75" customHeight="1" x14ac:dyDescent="0.25">
      <c r="A254" s="1819"/>
      <c r="B254" s="660" t="s">
        <v>149</v>
      </c>
      <c r="C254" s="760"/>
      <c r="D254" s="639" t="s">
        <v>1130</v>
      </c>
      <c r="E254" s="639" t="s">
        <v>1131</v>
      </c>
      <c r="F254" s="53">
        <v>251</v>
      </c>
      <c r="G254" s="53">
        <v>252</v>
      </c>
      <c r="H254" s="53">
        <v>257</v>
      </c>
      <c r="I254" s="53">
        <v>175</v>
      </c>
      <c r="J254" s="54"/>
      <c r="K254" s="54"/>
      <c r="L254" s="54"/>
      <c r="M254" s="54"/>
      <c r="N254" s="58">
        <f>(100004562/1090271)/365*1000</f>
        <v>251.29999914687539</v>
      </c>
      <c r="O254" s="58">
        <f>(104690006/1137252)/366*1000</f>
        <v>251.51704965967338</v>
      </c>
      <c r="P254" s="58">
        <f>(108016465/1152779)/365*1000</f>
        <v>256.71487817521415</v>
      </c>
      <c r="Q254" s="58">
        <f>(113163907/1173964)/366*1000</f>
        <v>263.37349589275351</v>
      </c>
      <c r="S254" s="2435"/>
      <c r="T254" s="2429"/>
      <c r="U254" s="2435"/>
      <c r="V254" s="2429"/>
      <c r="W254" s="2435"/>
      <c r="X254" s="2435"/>
      <c r="Y254" s="2429"/>
      <c r="Z254" s="2429"/>
      <c r="AA254" s="2445"/>
      <c r="AB254" s="2456"/>
      <c r="AC254" s="2456"/>
      <c r="AD254" s="2456"/>
    </row>
    <row r="255" spans="1:30" ht="16.5" customHeight="1" thickBot="1" x14ac:dyDescent="0.3">
      <c r="A255" s="1820"/>
      <c r="B255" s="612" t="s">
        <v>150</v>
      </c>
      <c r="C255" s="760"/>
      <c r="D255" s="639" t="s">
        <v>1130</v>
      </c>
      <c r="E255" s="639" t="s">
        <v>1131</v>
      </c>
      <c r="F255" s="53">
        <v>274</v>
      </c>
      <c r="G255" s="53">
        <v>280</v>
      </c>
      <c r="H255" s="53">
        <v>281</v>
      </c>
      <c r="I255" s="53">
        <v>187</v>
      </c>
      <c r="J255" s="54"/>
      <c r="K255" s="54"/>
      <c r="L255" s="54"/>
      <c r="M255" s="54"/>
      <c r="N255" s="58">
        <f>(1116758880/11170549)/365*1000</f>
        <v>273.8999998892636</v>
      </c>
      <c r="O255" s="58">
        <f>(1232625800/12000558)/366*1000</f>
        <v>280.63945481908496</v>
      </c>
      <c r="P255" s="58">
        <f>(1256149393/12238599)/365*1000</f>
        <v>281.20091084783235</v>
      </c>
      <c r="Q255" s="58">
        <f>(1330751425/12830733)/366*1000</f>
        <v>283.37686203829952</v>
      </c>
      <c r="S255" s="2436"/>
      <c r="T255" s="2436"/>
      <c r="U255" s="2436"/>
      <c r="V255" s="2436"/>
      <c r="W255" s="2436"/>
      <c r="X255" s="2436"/>
      <c r="Y255" s="2436"/>
      <c r="Z255" s="2436"/>
      <c r="AA255" s="2449"/>
      <c r="AB255" s="2449"/>
      <c r="AC255" s="2449"/>
      <c r="AD255" s="2449"/>
    </row>
    <row r="256" spans="1:30" ht="15.75" customHeight="1" x14ac:dyDescent="0.25">
      <c r="A256" s="1818" t="s">
        <v>26</v>
      </c>
      <c r="B256" s="786" t="s">
        <v>151</v>
      </c>
      <c r="C256" s="760"/>
      <c r="D256" s="639" t="s">
        <v>1132</v>
      </c>
      <c r="E256" s="639" t="s">
        <v>1133</v>
      </c>
      <c r="F256" s="53">
        <v>107</v>
      </c>
      <c r="G256" s="53">
        <v>105</v>
      </c>
      <c r="H256" s="53">
        <v>107</v>
      </c>
      <c r="I256" s="53">
        <v>127</v>
      </c>
      <c r="J256" s="54"/>
      <c r="K256" s="54"/>
      <c r="L256" s="54"/>
      <c r="M256" s="54"/>
      <c r="N256" s="58">
        <f>(165785525/2872797)/365*1000</f>
        <v>158.10616545764256</v>
      </c>
      <c r="O256" s="58">
        <f>(163164774/2868692)/366*1000</f>
        <v>155.40371480891744</v>
      </c>
      <c r="P256" s="58">
        <f>(177024485/2853570)/365*1000</f>
        <v>169.96204370003045</v>
      </c>
      <c r="Q256" s="58" t="s">
        <v>5</v>
      </c>
      <c r="S256" s="2434">
        <f>SUM(F256:F260)/5</f>
        <v>113.8</v>
      </c>
      <c r="T256" s="2434">
        <f>MEDIAN(F256:F260)</f>
        <v>109</v>
      </c>
      <c r="U256" s="2434">
        <f>SUM(G256:G260)/5</f>
        <v>111.2</v>
      </c>
      <c r="V256" s="2434">
        <f>MEDIAN(G256:G260)</f>
        <v>107</v>
      </c>
      <c r="W256" s="2434">
        <f>SUM(H256:H260)/5</f>
        <v>107</v>
      </c>
      <c r="X256" s="2434">
        <f>MEDIAN(H256:H260)</f>
        <v>107</v>
      </c>
      <c r="Y256" s="2434">
        <v>127</v>
      </c>
      <c r="Z256" s="2434">
        <v>127</v>
      </c>
      <c r="AA256" s="2444">
        <f>SUM(N256:N260)/5</f>
        <v>169.24370538844676</v>
      </c>
      <c r="AB256" s="2444">
        <f>SUM(O256:O260)/5</f>
        <v>162.82519297403695</v>
      </c>
      <c r="AC256" s="2444">
        <f>SUM(P256:P260)/5</f>
        <v>169.96204368582275</v>
      </c>
      <c r="AD256" s="2444" t="s">
        <v>5</v>
      </c>
    </row>
    <row r="257" spans="1:30" ht="15.75" customHeight="1" x14ac:dyDescent="0.25">
      <c r="A257" s="1819"/>
      <c r="B257" s="660" t="s">
        <v>152</v>
      </c>
      <c r="C257" s="760"/>
      <c r="D257" s="639" t="s">
        <v>1132</v>
      </c>
      <c r="E257" s="639" t="s">
        <v>1133</v>
      </c>
      <c r="F257" s="53">
        <v>109</v>
      </c>
      <c r="G257" s="53">
        <v>107</v>
      </c>
      <c r="H257" s="53">
        <v>107</v>
      </c>
      <c r="I257" s="53">
        <v>127</v>
      </c>
      <c r="J257" s="54"/>
      <c r="K257" s="54"/>
      <c r="L257" s="54"/>
      <c r="M257" s="54"/>
      <c r="N257" s="58">
        <f>(71085609/1040120)/365*1000</f>
        <v>187.24290769400156</v>
      </c>
      <c r="O257" s="58">
        <f>(69961550/1057209)/366*1000</f>
        <v>180.80793481353655</v>
      </c>
      <c r="P257" s="58">
        <f>(64036253/1032241)/365*1000</f>
        <v>169.96204281858198</v>
      </c>
      <c r="Q257" s="58" t="s">
        <v>5</v>
      </c>
      <c r="S257" s="2435"/>
      <c r="T257" s="2429"/>
      <c r="U257" s="2435"/>
      <c r="V257" s="2429"/>
      <c r="W257" s="2435"/>
      <c r="X257" s="2435"/>
      <c r="Y257" s="2435"/>
      <c r="Z257" s="2435"/>
      <c r="AA257" s="2445"/>
      <c r="AB257" s="2456"/>
      <c r="AC257" s="2456"/>
      <c r="AD257" s="2456"/>
    </row>
    <row r="258" spans="1:30" ht="15.75" customHeight="1" x14ac:dyDescent="0.25">
      <c r="A258" s="1819"/>
      <c r="B258" s="660" t="s">
        <v>153</v>
      </c>
      <c r="C258" s="760" t="s">
        <v>429</v>
      </c>
      <c r="D258" s="639" t="s">
        <v>1132</v>
      </c>
      <c r="E258" s="639" t="s">
        <v>1133</v>
      </c>
      <c r="F258" s="53">
        <v>124</v>
      </c>
      <c r="G258" s="53">
        <v>124</v>
      </c>
      <c r="H258" s="53">
        <v>107</v>
      </c>
      <c r="I258" s="53">
        <v>127</v>
      </c>
      <c r="J258" s="54"/>
      <c r="K258" s="54"/>
      <c r="L258" s="54"/>
      <c r="M258" s="54"/>
      <c r="N258" s="58">
        <f>(210931527/3265038)/365*1000</f>
        <v>176.99475305357794</v>
      </c>
      <c r="O258" s="58">
        <f>(198797454/3207247)/366*1000</f>
        <v>169.35472778459246</v>
      </c>
      <c r="P258" s="58">
        <f>(387022485/6238661)/365*1000</f>
        <v>169.96204399348926</v>
      </c>
      <c r="Q258" s="58" t="s">
        <v>5</v>
      </c>
      <c r="S258" s="2435"/>
      <c r="T258" s="2429"/>
      <c r="U258" s="2435"/>
      <c r="V258" s="2429"/>
      <c r="W258" s="2435"/>
      <c r="X258" s="2435"/>
      <c r="Y258" s="2435"/>
      <c r="Z258" s="2435"/>
      <c r="AA258" s="2445"/>
      <c r="AB258" s="2456"/>
      <c r="AC258" s="2456"/>
      <c r="AD258" s="2456"/>
    </row>
    <row r="259" spans="1:30" ht="15.75" customHeight="1" x14ac:dyDescent="0.25">
      <c r="A259" s="1819"/>
      <c r="B259" s="660" t="s">
        <v>214</v>
      </c>
      <c r="C259" s="760"/>
      <c r="D259" s="639" t="s">
        <v>1132</v>
      </c>
      <c r="E259" s="639" t="s">
        <v>1133</v>
      </c>
      <c r="F259" s="53">
        <v>122</v>
      </c>
      <c r="G259" s="53">
        <v>116</v>
      </c>
      <c r="H259" s="53">
        <v>107</v>
      </c>
      <c r="I259" s="53">
        <v>127</v>
      </c>
      <c r="J259" s="54"/>
      <c r="K259" s="54"/>
      <c r="L259" s="54"/>
      <c r="M259" s="54"/>
      <c r="N259" s="58">
        <f>(66265792/1051433)/365*1000</f>
        <v>172.66921912142112</v>
      </c>
      <c r="O259" s="58">
        <f>(63271348/1068394)/366*1000</f>
        <v>161.80597749437536</v>
      </c>
      <c r="P259" s="58">
        <f>(66158262/1066447)/365*1000</f>
        <v>169.96204436673094</v>
      </c>
      <c r="Q259" s="58" t="s">
        <v>5</v>
      </c>
      <c r="S259" s="2435"/>
      <c r="T259" s="2429"/>
      <c r="U259" s="2435"/>
      <c r="V259" s="2429"/>
      <c r="W259" s="2435"/>
      <c r="X259" s="2435"/>
      <c r="Y259" s="2435"/>
      <c r="Z259" s="2435"/>
      <c r="AA259" s="2445"/>
      <c r="AB259" s="2456"/>
      <c r="AC259" s="2456"/>
      <c r="AD259" s="2456"/>
    </row>
    <row r="260" spans="1:30" ht="16.5" customHeight="1" thickBot="1" x14ac:dyDescent="0.3">
      <c r="A260" s="1820"/>
      <c r="B260" s="612" t="s">
        <v>154</v>
      </c>
      <c r="C260" s="760"/>
      <c r="D260" s="639" t="s">
        <v>1132</v>
      </c>
      <c r="E260" s="639" t="s">
        <v>1133</v>
      </c>
      <c r="F260" s="53">
        <v>107</v>
      </c>
      <c r="G260" s="53">
        <v>104</v>
      </c>
      <c r="H260" s="53">
        <v>107</v>
      </c>
      <c r="I260" s="53">
        <v>127</v>
      </c>
      <c r="J260" s="54"/>
      <c r="K260" s="54"/>
      <c r="L260" s="54"/>
      <c r="M260" s="54"/>
      <c r="N260" s="58">
        <f>(44728405/810444)/365*1000</f>
        <v>151.20548161559063</v>
      </c>
      <c r="O260" s="58">
        <f>(42925843/799188)/366*1000</f>
        <v>146.7536099687631</v>
      </c>
      <c r="P260" s="58">
        <f>(48786714/786424)/365*1000</f>
        <v>169.96204355028115</v>
      </c>
      <c r="Q260" s="58" t="s">
        <v>5</v>
      </c>
      <c r="S260" s="2436"/>
      <c r="T260" s="2436"/>
      <c r="U260" s="2436"/>
      <c r="V260" s="2436"/>
      <c r="W260" s="2436"/>
      <c r="X260" s="2436"/>
      <c r="Y260" s="2436"/>
      <c r="Z260" s="2436"/>
      <c r="AA260" s="2449"/>
      <c r="AB260" s="2449"/>
      <c r="AC260" s="2449"/>
      <c r="AD260" s="2449"/>
    </row>
    <row r="261" spans="1:30" ht="15.75" customHeight="1" x14ac:dyDescent="0.25">
      <c r="A261" s="1818" t="s">
        <v>48</v>
      </c>
      <c r="B261" s="786" t="s">
        <v>155</v>
      </c>
      <c r="C261" s="760" t="s">
        <v>429</v>
      </c>
      <c r="D261" s="639" t="s">
        <v>1134</v>
      </c>
      <c r="E261" s="639" t="s">
        <v>1135</v>
      </c>
      <c r="F261" s="53">
        <v>186</v>
      </c>
      <c r="G261" s="53">
        <v>198</v>
      </c>
      <c r="H261" s="53" t="s">
        <v>5</v>
      </c>
      <c r="I261" s="53">
        <v>148</v>
      </c>
      <c r="J261" s="54"/>
      <c r="K261" s="54"/>
      <c r="L261" s="54"/>
      <c r="M261" s="54"/>
      <c r="N261" s="58">
        <f>(85000000/1255000)/365*1000</f>
        <v>185.55913332969493</v>
      </c>
      <c r="O261" s="58">
        <f>(93000000/1285300)/366*1000</f>
        <v>197.69576025498927</v>
      </c>
      <c r="P261" s="58" t="s">
        <v>5</v>
      </c>
      <c r="Q261" s="58">
        <f>(80000000/1039150)/366*1000</f>
        <v>210.34425729940585</v>
      </c>
      <c r="S261" s="2434">
        <f>SUM(F261:F265)/5</f>
        <v>218.8</v>
      </c>
      <c r="T261" s="2434">
        <f>MEDIAN(F261:F265)</f>
        <v>221</v>
      </c>
      <c r="U261" s="2434">
        <f>SUM(G261:G265)/5</f>
        <v>219.6</v>
      </c>
      <c r="V261" s="2434">
        <f>MEDIAN(G261:G265)</f>
        <v>219</v>
      </c>
      <c r="W261" s="2434" t="s">
        <v>5</v>
      </c>
      <c r="X261" s="2434" t="s">
        <v>5</v>
      </c>
      <c r="Y261" s="2434">
        <f>SUM(I261:I265)/5</f>
        <v>159.19999999999999</v>
      </c>
      <c r="Z261" s="2434">
        <f>MEDIAN(I261:I265)</f>
        <v>153</v>
      </c>
      <c r="AA261" s="2444">
        <f>SUM(N261:N265)/5</f>
        <v>218.77971713445277</v>
      </c>
      <c r="AB261" s="2444">
        <f>SUM(O261:O265)/5</f>
        <v>219.08352564623266</v>
      </c>
      <c r="AC261" s="2444" t="s">
        <v>5</v>
      </c>
      <c r="AD261" s="2444">
        <f>SUM(Q261:Q265)/5</f>
        <v>220.79968709078676</v>
      </c>
    </row>
    <row r="262" spans="1:30" ht="15.75" customHeight="1" x14ac:dyDescent="0.25">
      <c r="A262" s="1819"/>
      <c r="B262" s="660" t="s">
        <v>156</v>
      </c>
      <c r="C262" s="760"/>
      <c r="D262" s="639" t="s">
        <v>1134</v>
      </c>
      <c r="E262" s="639" t="s">
        <v>1135</v>
      </c>
      <c r="F262" s="53">
        <v>235</v>
      </c>
      <c r="G262" s="53">
        <v>225</v>
      </c>
      <c r="H262" s="53" t="s">
        <v>5</v>
      </c>
      <c r="I262" s="53">
        <v>153</v>
      </c>
      <c r="J262" s="54"/>
      <c r="K262" s="54"/>
      <c r="L262" s="54"/>
      <c r="M262" s="54"/>
      <c r="N262" s="58">
        <f>(44000000/513000)/365*1000</f>
        <v>234.98624796389754</v>
      </c>
      <c r="O262" s="58">
        <f>(43100000/524200)/366*1000</f>
        <v>224.64624731310579</v>
      </c>
      <c r="P262" s="58" t="s">
        <v>5</v>
      </c>
      <c r="Q262" s="58">
        <f>(43500000/545000)/366*1000</f>
        <v>218.07790645209806</v>
      </c>
      <c r="S262" s="2429"/>
      <c r="T262" s="2429"/>
      <c r="U262" s="2435"/>
      <c r="V262" s="2429"/>
      <c r="W262" s="2435"/>
      <c r="X262" s="2429"/>
      <c r="Y262" s="2429"/>
      <c r="Z262" s="2429"/>
      <c r="AA262" s="2432"/>
      <c r="AB262" s="2456"/>
      <c r="AC262" s="2456"/>
      <c r="AD262" s="2456"/>
    </row>
    <row r="263" spans="1:30" ht="15.75" customHeight="1" x14ac:dyDescent="0.25">
      <c r="A263" s="1819"/>
      <c r="B263" s="660" t="s">
        <v>157</v>
      </c>
      <c r="C263" s="760"/>
      <c r="D263" s="639" t="s">
        <v>1134</v>
      </c>
      <c r="E263" s="639" t="s">
        <v>1135</v>
      </c>
      <c r="F263" s="53">
        <v>221</v>
      </c>
      <c r="G263" s="53">
        <v>219</v>
      </c>
      <c r="H263" s="53" t="s">
        <v>5</v>
      </c>
      <c r="I263" s="53">
        <v>163</v>
      </c>
      <c r="J263" s="54"/>
      <c r="K263" s="54"/>
      <c r="L263" s="54"/>
      <c r="M263" s="54"/>
      <c r="N263" s="58">
        <f>(23741000/294000)/365*1000</f>
        <v>221.23753611033453</v>
      </c>
      <c r="O263" s="58">
        <f>(24527269/307207)/366*1000</f>
        <v>218.14085022432235</v>
      </c>
      <c r="P263" s="58" t="s">
        <v>5</v>
      </c>
      <c r="Q263" s="58">
        <f>(25790000/324110)/366*1000</f>
        <v>217.40915391168721</v>
      </c>
      <c r="S263" s="2429"/>
      <c r="T263" s="2429"/>
      <c r="U263" s="2435"/>
      <c r="V263" s="2429"/>
      <c r="W263" s="2435"/>
      <c r="X263" s="2429"/>
      <c r="Y263" s="2429"/>
      <c r="Z263" s="2429"/>
      <c r="AA263" s="2432"/>
      <c r="AB263" s="2456"/>
      <c r="AC263" s="2456"/>
      <c r="AD263" s="2456"/>
    </row>
    <row r="264" spans="1:30" ht="15.75" customHeight="1" x14ac:dyDescent="0.25">
      <c r="A264" s="1819"/>
      <c r="B264" s="660" t="s">
        <v>158</v>
      </c>
      <c r="C264" s="760"/>
      <c r="D264" s="639" t="s">
        <v>1134</v>
      </c>
      <c r="E264" s="639" t="s">
        <v>1135</v>
      </c>
      <c r="F264" s="53">
        <v>210</v>
      </c>
      <c r="G264" s="53">
        <v>216</v>
      </c>
      <c r="H264" s="53" t="s">
        <v>5</v>
      </c>
      <c r="I264" s="53">
        <v>143</v>
      </c>
      <c r="J264" s="54"/>
      <c r="K264" s="54"/>
      <c r="L264" s="54"/>
      <c r="M264" s="54"/>
      <c r="N264" s="58">
        <f>(13723000/179000)/365*1000</f>
        <v>210.04056018979108</v>
      </c>
      <c r="O264" s="58">
        <f>(14325232/181690)/366*1000</f>
        <v>215.42175211666301</v>
      </c>
      <c r="P264" s="58" t="s">
        <v>5</v>
      </c>
      <c r="Q264" s="58">
        <f>(14343000/192117)/366*1000</f>
        <v>203.98259701204961</v>
      </c>
      <c r="S264" s="2429"/>
      <c r="T264" s="2429"/>
      <c r="U264" s="2435"/>
      <c r="V264" s="2429"/>
      <c r="W264" s="2435"/>
      <c r="X264" s="2429"/>
      <c r="Y264" s="2429"/>
      <c r="Z264" s="2429"/>
      <c r="AA264" s="2432"/>
      <c r="AB264" s="2456"/>
      <c r="AC264" s="2456"/>
      <c r="AD264" s="2456"/>
    </row>
    <row r="265" spans="1:30" ht="16.5" customHeight="1" thickBot="1" x14ac:dyDescent="0.3">
      <c r="A265" s="1820"/>
      <c r="B265" s="612" t="s">
        <v>159</v>
      </c>
      <c r="C265" s="760"/>
      <c r="D265" s="639" t="s">
        <v>1134</v>
      </c>
      <c r="E265" s="639" t="s">
        <v>1135</v>
      </c>
      <c r="F265" s="53">
        <v>242</v>
      </c>
      <c r="G265" s="53">
        <v>240</v>
      </c>
      <c r="H265" s="53" t="s">
        <v>5</v>
      </c>
      <c r="I265" s="53">
        <v>189</v>
      </c>
      <c r="J265" s="54"/>
      <c r="K265" s="54"/>
      <c r="L265" s="54"/>
      <c r="M265" s="54"/>
      <c r="N265" s="58">
        <f>(11619000/131500)/365*1000</f>
        <v>242.07510807854575</v>
      </c>
      <c r="O265" s="58">
        <f>(11922000/136000)/366*1000</f>
        <v>239.5130183220829</v>
      </c>
      <c r="P265" s="58" t="s">
        <v>5</v>
      </c>
      <c r="Q265" s="58">
        <f>(12544000/134836)/366*1000</f>
        <v>254.18452077869296</v>
      </c>
      <c r="S265" s="2436"/>
      <c r="T265" s="2436"/>
      <c r="U265" s="2436"/>
      <c r="V265" s="2436"/>
      <c r="W265" s="2436"/>
      <c r="X265" s="2436"/>
      <c r="Y265" s="2436"/>
      <c r="Z265" s="2436"/>
      <c r="AA265" s="2449"/>
      <c r="AB265" s="2449"/>
      <c r="AC265" s="2449"/>
      <c r="AD265" s="2449"/>
    </row>
    <row r="266" spans="1:30" ht="15.75" customHeight="1" x14ac:dyDescent="0.25">
      <c r="A266" s="1818" t="s">
        <v>28</v>
      </c>
      <c r="B266" s="786" t="s">
        <v>160</v>
      </c>
      <c r="C266" s="760"/>
      <c r="D266" s="639" t="s">
        <v>1136</v>
      </c>
      <c r="E266" s="639" t="s">
        <v>1137</v>
      </c>
      <c r="F266" s="53" t="s">
        <v>5</v>
      </c>
      <c r="G266" s="53" t="s">
        <v>5</v>
      </c>
      <c r="H266" s="53" t="s">
        <v>5</v>
      </c>
      <c r="I266" s="53">
        <v>171</v>
      </c>
      <c r="J266" s="54"/>
      <c r="K266" s="54"/>
      <c r="L266" s="54"/>
      <c r="M266" s="54"/>
      <c r="N266" s="58">
        <f>(64825000/463252)/365*1000</f>
        <v>383.38256440560946</v>
      </c>
      <c r="O266" s="58">
        <f>(62433000/469880)/366*1000</f>
        <v>363.0330450606852</v>
      </c>
      <c r="P266" s="58">
        <f>(58754000/482545)/365*1000</f>
        <v>333.58518482980577</v>
      </c>
      <c r="Q266" s="58">
        <f>(52062000/493700)/366*1000</f>
        <v>288.12214227130698</v>
      </c>
      <c r="S266" s="2434">
        <f>SUM(F267:F270)/4</f>
        <v>189.5</v>
      </c>
      <c r="T266" s="2434">
        <f>MEDIAN(F266:F270)</f>
        <v>191</v>
      </c>
      <c r="U266" s="2434">
        <f>SUM(G267:G270)/4</f>
        <v>181.75</v>
      </c>
      <c r="V266" s="2434">
        <f>MEDIAN(G266:G270)</f>
        <v>183.5</v>
      </c>
      <c r="W266" s="2434">
        <v>172</v>
      </c>
      <c r="X266" s="2434">
        <v>172</v>
      </c>
      <c r="Y266" s="2434">
        <f>SUM(I266:I270)/3</f>
        <v>177.66666666666666</v>
      </c>
      <c r="Z266" s="2434">
        <f>MEDIAN(I266:I270)</f>
        <v>173</v>
      </c>
      <c r="AA266" s="2444">
        <f>SUM(N266:N270)/5</f>
        <v>340.68270563311978</v>
      </c>
      <c r="AB266" s="2444">
        <f>SUM(O266:O270)/5</f>
        <v>322.82503728801601</v>
      </c>
      <c r="AC266" s="2444">
        <f>SUM(P266:P270)/5</f>
        <v>332.58804365006398</v>
      </c>
      <c r="AD266" s="2444">
        <f>SUM(Q266:Q270)/5</f>
        <v>253.38673629509321</v>
      </c>
    </row>
    <row r="267" spans="1:30" ht="15.75" customHeight="1" x14ac:dyDescent="0.25">
      <c r="A267" s="1819"/>
      <c r="B267" s="660" t="s">
        <v>603</v>
      </c>
      <c r="C267" s="760"/>
      <c r="D267" s="639" t="s">
        <v>1136</v>
      </c>
      <c r="E267" s="639" t="s">
        <v>1137</v>
      </c>
      <c r="F267" s="53">
        <v>165</v>
      </c>
      <c r="G267" s="53">
        <v>153</v>
      </c>
      <c r="H267" s="53" t="s">
        <v>5</v>
      </c>
      <c r="I267" s="53" t="s">
        <v>5</v>
      </c>
      <c r="J267" s="54"/>
      <c r="K267" s="54"/>
      <c r="L267" s="54"/>
      <c r="M267" s="54"/>
      <c r="N267" s="58">
        <f>(45583000/382906)/365*1000</f>
        <v>326.15036459822858</v>
      </c>
      <c r="O267" s="58">
        <f>(44195000/394012)/366*1000</f>
        <v>306.4662145320919</v>
      </c>
      <c r="P267" s="58">
        <f>(51045000/404783)/365*1000</f>
        <v>345.49206628858707</v>
      </c>
      <c r="Q267" s="58">
        <f>(34085000/415680)/366*1000</f>
        <v>224.03872041124532</v>
      </c>
      <c r="S267" s="2435"/>
      <c r="T267" s="2429"/>
      <c r="U267" s="2435"/>
      <c r="V267" s="2429"/>
      <c r="W267" s="2435"/>
      <c r="X267" s="2435"/>
      <c r="Y267" s="2429"/>
      <c r="Z267" s="2429"/>
      <c r="AA267" s="2445"/>
      <c r="AB267" s="2456"/>
      <c r="AC267" s="2456"/>
      <c r="AD267" s="2456"/>
    </row>
    <row r="268" spans="1:30" ht="15.75" customHeight="1" x14ac:dyDescent="0.25">
      <c r="A268" s="1819"/>
      <c r="B268" s="660" t="s">
        <v>162</v>
      </c>
      <c r="C268" s="760"/>
      <c r="D268" s="639" t="s">
        <v>1136</v>
      </c>
      <c r="E268" s="639" t="s">
        <v>1137</v>
      </c>
      <c r="F268" s="53">
        <v>200</v>
      </c>
      <c r="G268" s="53">
        <v>189</v>
      </c>
      <c r="H268" s="53" t="s">
        <v>5</v>
      </c>
      <c r="I268" s="53" t="s">
        <v>5</v>
      </c>
      <c r="J268" s="54"/>
      <c r="K268" s="54"/>
      <c r="L268" s="54"/>
      <c r="M268" s="54"/>
      <c r="N268" s="58">
        <f>(28636000/228254)/365*1000</f>
        <v>343.71706309877572</v>
      </c>
      <c r="O268" s="58">
        <f>(28636000/233774)/366*1000</f>
        <v>334.68408445109355</v>
      </c>
      <c r="P268" s="58">
        <f>(29972000/230958)/365*1000</f>
        <v>355.54113082530455</v>
      </c>
      <c r="Q268" s="58">
        <f>(21481000/241500)/366*1000</f>
        <v>243.02797859462152</v>
      </c>
      <c r="S268" s="2435"/>
      <c r="T268" s="2429"/>
      <c r="U268" s="2435"/>
      <c r="V268" s="2429"/>
      <c r="W268" s="2435"/>
      <c r="X268" s="2435"/>
      <c r="Y268" s="2429"/>
      <c r="Z268" s="2429"/>
      <c r="AA268" s="2445"/>
      <c r="AB268" s="2456"/>
      <c r="AC268" s="2456"/>
      <c r="AD268" s="2456"/>
    </row>
    <row r="269" spans="1:30" ht="15.75" customHeight="1" x14ac:dyDescent="0.25">
      <c r="A269" s="1819"/>
      <c r="B269" s="660" t="s">
        <v>161</v>
      </c>
      <c r="C269" s="760"/>
      <c r="D269" s="639" t="s">
        <v>1136</v>
      </c>
      <c r="E269" s="639" t="s">
        <v>1137</v>
      </c>
      <c r="F269" s="53">
        <v>211</v>
      </c>
      <c r="G269" s="53">
        <v>207</v>
      </c>
      <c r="H269" s="53" t="s">
        <v>5</v>
      </c>
      <c r="I269" s="53">
        <v>173</v>
      </c>
      <c r="J269" s="54"/>
      <c r="K269" s="54"/>
      <c r="L269" s="54"/>
      <c r="M269" s="54"/>
      <c r="N269" s="58">
        <f>(27309000/205980)/365*1000</f>
        <v>363.23515915230496</v>
      </c>
      <c r="O269" s="58">
        <f>(25442000/208334)/366*1000</f>
        <v>333.66450604407248</v>
      </c>
      <c r="P269" s="58">
        <f>(28314000/211551)/365*1000</f>
        <v>366.68511488825874</v>
      </c>
      <c r="Q269" s="58">
        <f>(21163000/213640)/366*1000</f>
        <v>270.65345614858967</v>
      </c>
      <c r="S269" s="2435"/>
      <c r="T269" s="2429"/>
      <c r="U269" s="2435"/>
      <c r="V269" s="2429"/>
      <c r="W269" s="2435"/>
      <c r="X269" s="2435"/>
      <c r="Y269" s="2429"/>
      <c r="Z269" s="2429"/>
      <c r="AA269" s="2445"/>
      <c r="AB269" s="2456"/>
      <c r="AC269" s="2456"/>
      <c r="AD269" s="2456"/>
    </row>
    <row r="270" spans="1:30" ht="16.5" customHeight="1" thickBot="1" x14ac:dyDescent="0.3">
      <c r="A270" s="1820"/>
      <c r="B270" s="612" t="s">
        <v>163</v>
      </c>
      <c r="C270" s="760" t="s">
        <v>429</v>
      </c>
      <c r="D270" s="639" t="s">
        <v>1136</v>
      </c>
      <c r="E270" s="639" t="s">
        <v>1137</v>
      </c>
      <c r="F270" s="53">
        <v>182</v>
      </c>
      <c r="G270" s="53">
        <v>178</v>
      </c>
      <c r="H270" s="53">
        <v>182</v>
      </c>
      <c r="I270" s="53">
        <v>189</v>
      </c>
      <c r="J270" s="54"/>
      <c r="K270" s="54"/>
      <c r="L270" s="54"/>
      <c r="M270" s="54"/>
      <c r="N270" s="58">
        <f>(13793000/131702)/365*1000</f>
        <v>286.9283769106803</v>
      </c>
      <c r="O270" s="58">
        <f>(13618000/134675)/366*1000</f>
        <v>276.27733635213696</v>
      </c>
      <c r="P270" s="58">
        <f>(13258000/138831)/365*1000</f>
        <v>261.63672141836383</v>
      </c>
      <c r="Q270" s="58">
        <f>(12500000/141660)/366*1000</f>
        <v>241.09138404970261</v>
      </c>
      <c r="S270" s="2436"/>
      <c r="T270" s="2436"/>
      <c r="U270" s="2436"/>
      <c r="V270" s="2436"/>
      <c r="W270" s="2436"/>
      <c r="X270" s="2436"/>
      <c r="Y270" s="2436"/>
      <c r="Z270" s="2436"/>
      <c r="AA270" s="2449"/>
      <c r="AB270" s="2449"/>
      <c r="AC270" s="2449"/>
      <c r="AD270" s="2449"/>
    </row>
    <row r="271" spans="1:30" ht="16.5" customHeight="1" thickBot="1" x14ac:dyDescent="0.3">
      <c r="A271" s="962" t="s">
        <v>706</v>
      </c>
      <c r="B271" s="479"/>
      <c r="C271" s="762"/>
      <c r="D271" s="276" t="s">
        <v>1138</v>
      </c>
      <c r="E271" s="276" t="s">
        <v>1139</v>
      </c>
      <c r="F271" s="53" t="s">
        <v>5</v>
      </c>
      <c r="G271" s="53" t="s">
        <v>5</v>
      </c>
      <c r="H271" s="53" t="s">
        <v>5</v>
      </c>
      <c r="I271" s="53"/>
      <c r="J271" s="54"/>
      <c r="K271" s="54"/>
      <c r="L271" s="54"/>
      <c r="M271" s="54"/>
      <c r="N271" s="58" t="s">
        <v>5</v>
      </c>
      <c r="O271" s="58" t="s">
        <v>5</v>
      </c>
      <c r="P271" s="58" t="s">
        <v>5</v>
      </c>
      <c r="Q271" s="58"/>
      <c r="S271" s="937" t="s">
        <v>5</v>
      </c>
      <c r="T271" s="937" t="s">
        <v>5</v>
      </c>
      <c r="U271" s="937" t="s">
        <v>5</v>
      </c>
      <c r="V271" s="937" t="s">
        <v>5</v>
      </c>
      <c r="W271" s="937" t="s">
        <v>5</v>
      </c>
      <c r="X271" s="937" t="s">
        <v>5</v>
      </c>
      <c r="Y271" s="937"/>
      <c r="Z271" s="937"/>
      <c r="AA271" s="928" t="s">
        <v>5</v>
      </c>
      <c r="AB271" s="928" t="s">
        <v>5</v>
      </c>
      <c r="AC271" s="928" t="s">
        <v>5</v>
      </c>
      <c r="AD271" s="928"/>
    </row>
    <row r="272" spans="1:30" ht="16.5" customHeight="1" thickBot="1" x14ac:dyDescent="0.3">
      <c r="A272" s="962" t="s">
        <v>737</v>
      </c>
      <c r="B272" s="795" t="s">
        <v>738</v>
      </c>
      <c r="C272" s="797"/>
      <c r="D272" s="276" t="s">
        <v>1140</v>
      </c>
      <c r="E272" s="276" t="s">
        <v>1141</v>
      </c>
      <c r="F272" s="53" t="s">
        <v>5</v>
      </c>
      <c r="G272" s="53" t="s">
        <v>5</v>
      </c>
      <c r="H272" s="53">
        <v>240</v>
      </c>
      <c r="I272" s="53"/>
      <c r="J272" s="54"/>
      <c r="K272" s="54"/>
      <c r="L272" s="54"/>
      <c r="M272" s="54"/>
      <c r="N272" s="58" t="s">
        <v>5</v>
      </c>
      <c r="O272" s="58" t="s">
        <v>5</v>
      </c>
      <c r="P272" s="58">
        <f>(1350500000/11597000)/365*1000</f>
        <v>319.04802966284387</v>
      </c>
      <c r="Q272" s="58"/>
      <c r="S272" s="937" t="s">
        <v>5</v>
      </c>
      <c r="T272" s="937" t="s">
        <v>5</v>
      </c>
      <c r="U272" s="937" t="s">
        <v>5</v>
      </c>
      <c r="V272" s="937" t="s">
        <v>5</v>
      </c>
      <c r="W272" s="937">
        <v>240</v>
      </c>
      <c r="X272" s="937">
        <v>240</v>
      </c>
      <c r="Y272" s="937"/>
      <c r="Z272" s="937"/>
      <c r="AA272" s="928" t="s">
        <v>5</v>
      </c>
      <c r="AB272" s="928" t="s">
        <v>5</v>
      </c>
      <c r="AC272" s="928">
        <v>319</v>
      </c>
      <c r="AD272" s="928"/>
    </row>
    <row r="273" spans="1:30" ht="16.5" thickBot="1" x14ac:dyDescent="0.3">
      <c r="A273" s="267" t="s">
        <v>29</v>
      </c>
      <c r="B273" s="479" t="s">
        <v>164</v>
      </c>
      <c r="C273" s="762"/>
      <c r="D273" s="276" t="s">
        <v>1142</v>
      </c>
      <c r="E273" s="276" t="s">
        <v>1143</v>
      </c>
      <c r="F273" s="53"/>
      <c r="G273" s="53"/>
      <c r="H273" s="53"/>
      <c r="I273" s="53"/>
      <c r="J273" s="54"/>
      <c r="K273" s="54"/>
      <c r="L273" s="54"/>
      <c r="M273" s="54"/>
      <c r="N273" s="55"/>
      <c r="O273" s="55"/>
      <c r="P273" s="55"/>
      <c r="Q273" s="55"/>
      <c r="S273" s="59"/>
      <c r="T273" s="59"/>
      <c r="U273" s="59"/>
      <c r="V273" s="59"/>
      <c r="W273" s="59"/>
      <c r="X273" s="59"/>
      <c r="Y273" s="59"/>
      <c r="Z273" s="59"/>
      <c r="AA273" s="62"/>
      <c r="AB273" s="62"/>
      <c r="AC273" s="62"/>
      <c r="AD273" s="62"/>
    </row>
    <row r="274" spans="1:30" ht="15.6" customHeight="1" x14ac:dyDescent="0.25">
      <c r="A274" s="1878" t="s">
        <v>927</v>
      </c>
      <c r="B274" s="787" t="s">
        <v>928</v>
      </c>
      <c r="C274" s="788" t="s">
        <v>429</v>
      </c>
      <c r="D274" s="639" t="s">
        <v>1144</v>
      </c>
      <c r="E274" s="639" t="s">
        <v>1145</v>
      </c>
      <c r="F274" s="53" t="s">
        <v>5</v>
      </c>
      <c r="G274" s="53" t="s">
        <v>5</v>
      </c>
      <c r="H274" s="53" t="s">
        <v>5</v>
      </c>
      <c r="I274" s="53">
        <v>145</v>
      </c>
      <c r="J274" s="54"/>
      <c r="K274" s="54"/>
      <c r="L274" s="54"/>
      <c r="M274" s="54"/>
      <c r="N274" s="55" t="s">
        <v>5</v>
      </c>
      <c r="O274" s="55" t="s">
        <v>5</v>
      </c>
      <c r="P274" s="55" t="s">
        <v>5</v>
      </c>
      <c r="Q274" s="58">
        <f>(291270000/5346518)/366*1000</f>
        <v>148.848217125828</v>
      </c>
      <c r="S274" s="2450" t="s">
        <v>5</v>
      </c>
      <c r="T274" s="2450" t="s">
        <v>5</v>
      </c>
      <c r="U274" s="2450" t="s">
        <v>5</v>
      </c>
      <c r="V274" s="2450" t="s">
        <v>5</v>
      </c>
      <c r="W274" s="2450" t="s">
        <v>5</v>
      </c>
      <c r="X274" s="2450" t="s">
        <v>5</v>
      </c>
      <c r="Y274" s="2450">
        <f>SUM(I274:I276)/3</f>
        <v>125</v>
      </c>
      <c r="Z274" s="2450">
        <f>MEDIAN(I274:I276)</f>
        <v>137</v>
      </c>
      <c r="AA274" s="2437" t="s">
        <v>5</v>
      </c>
      <c r="AB274" s="2437" t="s">
        <v>5</v>
      </c>
      <c r="AC274" s="2437" t="s">
        <v>5</v>
      </c>
      <c r="AD274" s="2453">
        <f>SUM(Q274:Q276)/3</f>
        <v>125.8521809426304</v>
      </c>
    </row>
    <row r="275" spans="1:30" ht="15.6" customHeight="1" x14ac:dyDescent="0.25">
      <c r="A275" s="1757"/>
      <c r="B275" s="788" t="s">
        <v>929</v>
      </c>
      <c r="C275" s="788"/>
      <c r="D275" s="639" t="s">
        <v>1144</v>
      </c>
      <c r="E275" s="639" t="s">
        <v>1145</v>
      </c>
      <c r="F275" s="53" t="s">
        <v>5</v>
      </c>
      <c r="G275" s="53" t="s">
        <v>5</v>
      </c>
      <c r="H275" s="53" t="s">
        <v>5</v>
      </c>
      <c r="I275" s="53">
        <v>137</v>
      </c>
      <c r="J275" s="54"/>
      <c r="K275" s="54"/>
      <c r="L275" s="54"/>
      <c r="M275" s="54"/>
      <c r="N275" s="55" t="s">
        <v>5</v>
      </c>
      <c r="O275" s="55" t="s">
        <v>5</v>
      </c>
      <c r="P275" s="55" t="s">
        <v>5</v>
      </c>
      <c r="Q275" s="58">
        <f>(748967250/15029310)/366*1000</f>
        <v>136.15785465582766</v>
      </c>
      <c r="S275" s="2451"/>
      <c r="T275" s="2451"/>
      <c r="U275" s="2451"/>
      <c r="V275" s="2451"/>
      <c r="W275" s="2451"/>
      <c r="X275" s="2451"/>
      <c r="Y275" s="2451"/>
      <c r="Z275" s="2451"/>
      <c r="AA275" s="2448"/>
      <c r="AB275" s="2448"/>
      <c r="AC275" s="2448"/>
      <c r="AD275" s="2454"/>
    </row>
    <row r="276" spans="1:30" ht="16.149999999999999" customHeight="1" thickBot="1" x14ac:dyDescent="0.3">
      <c r="A276" s="1758"/>
      <c r="B276" s="789" t="s">
        <v>930</v>
      </c>
      <c r="C276" s="788"/>
      <c r="D276" s="639" t="s">
        <v>1144</v>
      </c>
      <c r="E276" s="639" t="s">
        <v>1145</v>
      </c>
      <c r="F276" s="53" t="s">
        <v>5</v>
      </c>
      <c r="G276" s="53" t="s">
        <v>5</v>
      </c>
      <c r="H276" s="53" t="s">
        <v>5</v>
      </c>
      <c r="I276" s="53">
        <v>93</v>
      </c>
      <c r="J276" s="54"/>
      <c r="K276" s="54"/>
      <c r="L276" s="54"/>
      <c r="M276" s="54"/>
      <c r="N276" s="55" t="s">
        <v>5</v>
      </c>
      <c r="O276" s="55" t="s">
        <v>5</v>
      </c>
      <c r="P276" s="55" t="s">
        <v>5</v>
      </c>
      <c r="Q276" s="58">
        <f>(143066135/4223545)/366*1000</f>
        <v>92.550471046235501</v>
      </c>
      <c r="S276" s="2452"/>
      <c r="T276" s="2452"/>
      <c r="U276" s="2452"/>
      <c r="V276" s="2452"/>
      <c r="W276" s="2452"/>
      <c r="X276" s="2452"/>
      <c r="Y276" s="2452"/>
      <c r="Z276" s="2452"/>
      <c r="AA276" s="2439"/>
      <c r="AB276" s="2439"/>
      <c r="AC276" s="2439"/>
      <c r="AD276" s="2455"/>
    </row>
    <row r="277" spans="1:30" x14ac:dyDescent="0.25">
      <c r="A277" s="1878" t="s">
        <v>505</v>
      </c>
      <c r="B277" s="787" t="s">
        <v>746</v>
      </c>
      <c r="C277" s="788" t="s">
        <v>429</v>
      </c>
      <c r="D277" s="639" t="s">
        <v>1146</v>
      </c>
      <c r="E277" s="639" t="s">
        <v>1147</v>
      </c>
      <c r="F277" s="53" t="s">
        <v>5</v>
      </c>
      <c r="G277" s="53" t="s">
        <v>5</v>
      </c>
      <c r="H277" s="53">
        <v>61</v>
      </c>
      <c r="I277" s="431">
        <f>(42177641/4818700)/366*1000</f>
        <v>23.915051006319757</v>
      </c>
      <c r="J277" s="54"/>
      <c r="K277" s="54"/>
      <c r="L277" s="54"/>
      <c r="M277" s="54"/>
      <c r="N277" s="55" t="s">
        <v>5</v>
      </c>
      <c r="O277" s="55" t="s">
        <v>5</v>
      </c>
      <c r="P277" s="58">
        <f>(42518659/1910070)/365*1000</f>
        <v>60.987019696832448</v>
      </c>
      <c r="Q277" s="58">
        <f>(47667664/4818700)/366*1000</f>
        <v>27.027936814012715</v>
      </c>
      <c r="S277" s="2450" t="s">
        <v>5</v>
      </c>
      <c r="T277" s="2450" t="s">
        <v>5</v>
      </c>
      <c r="U277" s="2450" t="s">
        <v>5</v>
      </c>
      <c r="V277" s="2450" t="s">
        <v>5</v>
      </c>
      <c r="W277" s="2450">
        <f>SUM(H277:H280)/4</f>
        <v>43</v>
      </c>
      <c r="X277" s="2434">
        <f>MEDIAN(H277:H280)</f>
        <v>41.5</v>
      </c>
      <c r="Y277" s="2434">
        <f>SUM(I277:I280)/4</f>
        <v>18.105788011476488</v>
      </c>
      <c r="Z277" s="2434">
        <f>MEDIAN(I277:I280)</f>
        <v>17.392485463338218</v>
      </c>
      <c r="AA277" s="2437" t="s">
        <v>5</v>
      </c>
      <c r="AB277" s="2437" t="s">
        <v>5</v>
      </c>
      <c r="AC277" s="2444">
        <f>SUM(P277:P280)/4</f>
        <v>43.122508125104339</v>
      </c>
      <c r="AD277" s="2444">
        <f>SUM(Q277:Q280)/4</f>
        <v>21.363461909971285</v>
      </c>
    </row>
    <row r="278" spans="1:30" ht="15.6" customHeight="1" x14ac:dyDescent="0.25">
      <c r="A278" s="1757"/>
      <c r="B278" s="788" t="s">
        <v>747</v>
      </c>
      <c r="C278" s="788"/>
      <c r="D278" s="639" t="s">
        <v>1146</v>
      </c>
      <c r="E278" s="639" t="s">
        <v>1147</v>
      </c>
      <c r="F278" s="53" t="s">
        <v>5</v>
      </c>
      <c r="G278" s="53" t="s">
        <v>5</v>
      </c>
      <c r="H278" s="53">
        <v>28</v>
      </c>
      <c r="I278" s="431">
        <f>(3500962/496900)/366*1000</f>
        <v>19.250291699245707</v>
      </c>
      <c r="J278" s="54"/>
      <c r="K278" s="54"/>
      <c r="L278" s="54"/>
      <c r="M278" s="54"/>
      <c r="N278" s="55" t="s">
        <v>5</v>
      </c>
      <c r="O278" s="55" t="s">
        <v>5</v>
      </c>
      <c r="P278" s="58">
        <f>(3538935/348886)/365*1000</f>
        <v>27.790488379491077</v>
      </c>
      <c r="Q278" s="58">
        <f>(4282128/496900)/366*1000</f>
        <v>23.545589210482039</v>
      </c>
      <c r="S278" s="2451"/>
      <c r="T278" s="2451"/>
      <c r="U278" s="2451"/>
      <c r="V278" s="2451"/>
      <c r="W278" s="2451"/>
      <c r="X278" s="2429"/>
      <c r="Y278" s="2429"/>
      <c r="Z278" s="2429"/>
      <c r="AA278" s="2448"/>
      <c r="AB278" s="2448"/>
      <c r="AC278" s="2432"/>
      <c r="AD278" s="2432"/>
    </row>
    <row r="279" spans="1:30" ht="16.149999999999999" customHeight="1" x14ac:dyDescent="0.25">
      <c r="A279" s="1757"/>
      <c r="B279" s="788" t="s">
        <v>748</v>
      </c>
      <c r="C279" s="788"/>
      <c r="D279" s="639" t="s">
        <v>1146</v>
      </c>
      <c r="E279" s="639" t="s">
        <v>1147</v>
      </c>
      <c r="F279" s="53" t="s">
        <v>5</v>
      </c>
      <c r="G279" s="53" t="s">
        <v>5</v>
      </c>
      <c r="H279" s="53">
        <v>38</v>
      </c>
      <c r="I279" s="431">
        <f>(4531497/797000)/366*1000</f>
        <v>15.534679227430733</v>
      </c>
      <c r="J279" s="54"/>
      <c r="K279" s="54"/>
      <c r="L279" s="54"/>
      <c r="M279" s="54"/>
      <c r="N279" s="55" t="s">
        <v>5</v>
      </c>
      <c r="O279" s="55" t="s">
        <v>5</v>
      </c>
      <c r="P279" s="58">
        <f>(4067951/289838)/365*1000</f>
        <v>38.452760621025234</v>
      </c>
      <c r="Q279" s="58">
        <f>(4957023/797000)/366*1000</f>
        <v>16.993448793631856</v>
      </c>
      <c r="S279" s="2451"/>
      <c r="T279" s="2451"/>
      <c r="U279" s="2451"/>
      <c r="V279" s="2451"/>
      <c r="W279" s="2451"/>
      <c r="X279" s="2429"/>
      <c r="Y279" s="2429"/>
      <c r="Z279" s="2429"/>
      <c r="AA279" s="2448"/>
      <c r="AB279" s="2448"/>
      <c r="AC279" s="2432"/>
      <c r="AD279" s="2432"/>
    </row>
    <row r="280" spans="1:30" ht="15.75" thickBot="1" x14ac:dyDescent="0.3">
      <c r="A280" s="1758"/>
      <c r="B280" s="789" t="s">
        <v>749</v>
      </c>
      <c r="C280" s="788"/>
      <c r="D280" s="639" t="s">
        <v>1146</v>
      </c>
      <c r="E280" s="639" t="s">
        <v>1147</v>
      </c>
      <c r="F280" s="53" t="s">
        <v>5</v>
      </c>
      <c r="G280" s="53" t="s">
        <v>5</v>
      </c>
      <c r="H280" s="53">
        <v>45</v>
      </c>
      <c r="I280" s="431">
        <f>(2562564/510200)/366*1000</f>
        <v>13.723130112909756</v>
      </c>
      <c r="J280" s="54"/>
      <c r="K280" s="54"/>
      <c r="L280" s="54"/>
      <c r="M280" s="54"/>
      <c r="N280" s="55" t="s">
        <v>5</v>
      </c>
      <c r="O280" s="55" t="s">
        <v>5</v>
      </c>
      <c r="P280" s="58">
        <f>(2583385/156381)/365*1000</f>
        <v>45.259763803068601</v>
      </c>
      <c r="Q280" s="58">
        <f>(3340073/510200)/366*1000</f>
        <v>17.88687282175853</v>
      </c>
      <c r="S280" s="2452"/>
      <c r="T280" s="2452"/>
      <c r="U280" s="2452"/>
      <c r="V280" s="2452"/>
      <c r="W280" s="2452"/>
      <c r="X280" s="2436"/>
      <c r="Y280" s="2436"/>
      <c r="Z280" s="2436"/>
      <c r="AA280" s="2439"/>
      <c r="AB280" s="2439"/>
      <c r="AC280" s="2449"/>
      <c r="AD280" s="2449"/>
    </row>
    <row r="281" spans="1:30" ht="15.75" customHeight="1" x14ac:dyDescent="0.25">
      <c r="A281" s="1818" t="s">
        <v>456</v>
      </c>
      <c r="B281" s="660" t="s">
        <v>165</v>
      </c>
      <c r="C281" s="760"/>
      <c r="D281" s="639" t="s">
        <v>1148</v>
      </c>
      <c r="E281" s="639" t="s">
        <v>1149</v>
      </c>
      <c r="F281" s="53">
        <v>126</v>
      </c>
      <c r="G281" s="53">
        <v>126</v>
      </c>
      <c r="H281" s="53">
        <v>121</v>
      </c>
      <c r="I281" s="53">
        <v>130</v>
      </c>
      <c r="J281" s="54"/>
      <c r="K281" s="54"/>
      <c r="L281" s="54"/>
      <c r="M281" s="54"/>
      <c r="N281" s="55" t="s">
        <v>5</v>
      </c>
      <c r="O281" s="55" t="s">
        <v>5</v>
      </c>
      <c r="P281" s="55" t="s">
        <v>5</v>
      </c>
      <c r="Q281" s="55" t="s">
        <v>5</v>
      </c>
      <c r="S281" s="2434">
        <f>SUM(F281:F285)/5</f>
        <v>143</v>
      </c>
      <c r="T281" s="2434">
        <f>MEDIAN(F281:F285)</f>
        <v>142</v>
      </c>
      <c r="U281" s="2434">
        <f>SUM(G281:G285)/5</f>
        <v>143</v>
      </c>
      <c r="V281" s="2434">
        <f>MEDIAN(G281:G285)</f>
        <v>142</v>
      </c>
      <c r="W281" s="2434">
        <f>SUM(H281:H285)/5</f>
        <v>136.4</v>
      </c>
      <c r="X281" s="2434">
        <f>MEDIAN(H281:H285)</f>
        <v>134</v>
      </c>
      <c r="Y281" s="2434">
        <f>SUM(I281:I285)/5</f>
        <v>137</v>
      </c>
      <c r="Z281" s="2434">
        <f>MEDIAN(I281:I285)</f>
        <v>133</v>
      </c>
      <c r="AA281" s="2437" t="s">
        <v>5</v>
      </c>
      <c r="AB281" s="2437" t="s">
        <v>5</v>
      </c>
      <c r="AC281" s="2437" t="s">
        <v>5</v>
      </c>
      <c r="AD281" s="2437" t="s">
        <v>5</v>
      </c>
    </row>
    <row r="282" spans="1:30" ht="15.75" customHeight="1" x14ac:dyDescent="0.25">
      <c r="A282" s="1819"/>
      <c r="B282" s="660" t="s">
        <v>166</v>
      </c>
      <c r="C282" s="760" t="s">
        <v>429</v>
      </c>
      <c r="D282" s="639" t="s">
        <v>1148</v>
      </c>
      <c r="E282" s="639" t="s">
        <v>1149</v>
      </c>
      <c r="F282" s="53">
        <v>150</v>
      </c>
      <c r="G282" s="53">
        <v>150</v>
      </c>
      <c r="H282" s="53">
        <v>144</v>
      </c>
      <c r="I282" s="53">
        <v>143</v>
      </c>
      <c r="J282" s="54"/>
      <c r="K282" s="54"/>
      <c r="L282" s="54"/>
      <c r="M282" s="54"/>
      <c r="N282" s="55" t="s">
        <v>5</v>
      </c>
      <c r="O282" s="55" t="s">
        <v>5</v>
      </c>
      <c r="P282" s="55" t="s">
        <v>5</v>
      </c>
      <c r="Q282" s="55" t="s">
        <v>5</v>
      </c>
      <c r="S282" s="2435"/>
      <c r="T282" s="2429"/>
      <c r="U282" s="2435"/>
      <c r="V282" s="2429"/>
      <c r="W282" s="2435"/>
      <c r="X282" s="2435"/>
      <c r="Y282" s="2429"/>
      <c r="Z282" s="2429"/>
      <c r="AA282" s="2438"/>
      <c r="AB282" s="2443"/>
      <c r="AC282" s="2443"/>
      <c r="AD282" s="2443"/>
    </row>
    <row r="283" spans="1:30" ht="15.75" customHeight="1" x14ac:dyDescent="0.25">
      <c r="A283" s="1819"/>
      <c r="B283" s="660" t="s">
        <v>167</v>
      </c>
      <c r="C283" s="760" t="s">
        <v>429</v>
      </c>
      <c r="D283" s="639" t="s">
        <v>1148</v>
      </c>
      <c r="E283" s="639" t="s">
        <v>1149</v>
      </c>
      <c r="F283" s="53">
        <v>163</v>
      </c>
      <c r="G283" s="53">
        <v>163</v>
      </c>
      <c r="H283" s="53">
        <v>155</v>
      </c>
      <c r="I283" s="53">
        <v>149</v>
      </c>
      <c r="J283" s="54"/>
      <c r="K283" s="54"/>
      <c r="L283" s="54"/>
      <c r="M283" s="54"/>
      <c r="N283" s="55" t="s">
        <v>5</v>
      </c>
      <c r="O283" s="55" t="s">
        <v>5</v>
      </c>
      <c r="P283" s="55" t="s">
        <v>5</v>
      </c>
      <c r="Q283" s="55" t="s">
        <v>5</v>
      </c>
      <c r="S283" s="2435"/>
      <c r="T283" s="2429"/>
      <c r="U283" s="2435"/>
      <c r="V283" s="2429"/>
      <c r="W283" s="2435"/>
      <c r="X283" s="2435"/>
      <c r="Y283" s="2429"/>
      <c r="Z283" s="2429"/>
      <c r="AA283" s="2438"/>
      <c r="AB283" s="2443"/>
      <c r="AC283" s="2443"/>
      <c r="AD283" s="2443"/>
    </row>
    <row r="284" spans="1:30" ht="15.75" customHeight="1" x14ac:dyDescent="0.25">
      <c r="A284" s="1819"/>
      <c r="B284" s="660" t="s">
        <v>168</v>
      </c>
      <c r="C284" s="760"/>
      <c r="D284" s="639" t="s">
        <v>1148</v>
      </c>
      <c r="E284" s="639" t="s">
        <v>1149</v>
      </c>
      <c r="F284" s="53">
        <v>134</v>
      </c>
      <c r="G284" s="53">
        <v>134</v>
      </c>
      <c r="H284" s="53">
        <v>128</v>
      </c>
      <c r="I284" s="53">
        <v>130</v>
      </c>
      <c r="J284" s="54"/>
      <c r="K284" s="54"/>
      <c r="L284" s="54"/>
      <c r="M284" s="54"/>
      <c r="N284" s="55" t="s">
        <v>5</v>
      </c>
      <c r="O284" s="55" t="s">
        <v>5</v>
      </c>
      <c r="P284" s="55" t="s">
        <v>5</v>
      </c>
      <c r="Q284" s="55" t="s">
        <v>5</v>
      </c>
      <c r="S284" s="2435"/>
      <c r="T284" s="2429"/>
      <c r="U284" s="2435"/>
      <c r="V284" s="2429"/>
      <c r="W284" s="2435"/>
      <c r="X284" s="2435"/>
      <c r="Y284" s="2429"/>
      <c r="Z284" s="2429"/>
      <c r="AA284" s="2438"/>
      <c r="AB284" s="2443"/>
      <c r="AC284" s="2443"/>
      <c r="AD284" s="2443"/>
    </row>
    <row r="285" spans="1:30" ht="16.5" customHeight="1" thickBot="1" x14ac:dyDescent="0.3">
      <c r="A285" s="1820"/>
      <c r="B285" s="612" t="s">
        <v>169</v>
      </c>
      <c r="C285" s="760"/>
      <c r="D285" s="639" t="s">
        <v>1148</v>
      </c>
      <c r="E285" s="639" t="s">
        <v>1149</v>
      </c>
      <c r="F285" s="53">
        <v>142</v>
      </c>
      <c r="G285" s="53">
        <v>142</v>
      </c>
      <c r="H285" s="53">
        <v>134</v>
      </c>
      <c r="I285" s="53">
        <v>133</v>
      </c>
      <c r="J285" s="54"/>
      <c r="K285" s="54"/>
      <c r="L285" s="54"/>
      <c r="M285" s="54"/>
      <c r="N285" s="55" t="s">
        <v>5</v>
      </c>
      <c r="O285" s="55" t="s">
        <v>5</v>
      </c>
      <c r="P285" s="55" t="s">
        <v>5</v>
      </c>
      <c r="Q285" s="55" t="s">
        <v>5</v>
      </c>
      <c r="S285" s="2436"/>
      <c r="T285" s="2436"/>
      <c r="U285" s="2436"/>
      <c r="V285" s="2436"/>
      <c r="W285" s="2436"/>
      <c r="X285" s="2436"/>
      <c r="Y285" s="2436"/>
      <c r="Z285" s="2436"/>
      <c r="AA285" s="2439"/>
      <c r="AB285" s="2439"/>
      <c r="AC285" s="2439"/>
      <c r="AD285" s="2439"/>
    </row>
    <row r="286" spans="1:30" ht="15.75" customHeight="1" x14ac:dyDescent="0.25">
      <c r="A286" s="2440" t="s">
        <v>31</v>
      </c>
      <c r="B286" s="786" t="s">
        <v>170</v>
      </c>
      <c r="C286" s="760"/>
      <c r="D286" s="639" t="s">
        <v>1150</v>
      </c>
      <c r="E286" s="639" t="s">
        <v>1151</v>
      </c>
      <c r="F286" s="53">
        <v>138</v>
      </c>
      <c r="G286" s="53">
        <v>469</v>
      </c>
      <c r="H286" s="53">
        <v>476</v>
      </c>
      <c r="I286" s="53">
        <v>447</v>
      </c>
      <c r="J286" s="54"/>
      <c r="K286" s="54"/>
      <c r="L286" s="54"/>
      <c r="M286" s="54"/>
      <c r="N286" s="58">
        <f>(1233121585/8934000)/365*1000</f>
        <v>378.15259697446419</v>
      </c>
      <c r="O286" s="58">
        <f>(1240410720/9175000)/366*1000</f>
        <v>369.38423192031092</v>
      </c>
      <c r="P286" s="58">
        <f>(1209012873/9320000)/365*1000</f>
        <v>355.40386648245044</v>
      </c>
      <c r="Q286" s="58">
        <f>(1394110665/9000000)/366*1000</f>
        <v>423.22728142076505</v>
      </c>
      <c r="S286" s="2434">
        <f>(F286+F287+F288+F290+F291+F292)/6</f>
        <v>137.83333333333334</v>
      </c>
      <c r="T286" s="2434">
        <f>MEDIAN(F286:F292)</f>
        <v>144.5</v>
      </c>
      <c r="U286" s="2434">
        <f>SUM(G286:G292)/5</f>
        <v>432.4</v>
      </c>
      <c r="V286" s="2434">
        <f>MEDIAN(G286:G292)</f>
        <v>466</v>
      </c>
      <c r="W286" s="2434">
        <f>SUM(H286:H292)/2</f>
        <v>401</v>
      </c>
      <c r="X286" s="2434">
        <f>MEDIAN(H286:H292)</f>
        <v>401</v>
      </c>
      <c r="Y286" s="2434">
        <f>SUM(I286:I292)/3</f>
        <v>471</v>
      </c>
      <c r="Z286" s="2434">
        <f>MEDIAN(I286:I292)</f>
        <v>447</v>
      </c>
      <c r="AA286" s="2444">
        <f>(N286+N287+N288+N290+N291+N292)/6</f>
        <v>377.65751280976593</v>
      </c>
      <c r="AB286" s="2444">
        <f>SUM(O286:O292)/7</f>
        <v>473.98151743659679</v>
      </c>
      <c r="AC286" s="2444">
        <f>SUM(P286:P292)/6</f>
        <v>381.81592154426374</v>
      </c>
      <c r="AD286" s="2444">
        <f>SUM(Q286:Q292)/7</f>
        <v>367.55626578764316</v>
      </c>
    </row>
    <row r="287" spans="1:30" ht="15" customHeight="1" x14ac:dyDescent="0.25">
      <c r="A287" s="2441"/>
      <c r="B287" s="660" t="s">
        <v>171</v>
      </c>
      <c r="C287" s="760" t="s">
        <v>429</v>
      </c>
      <c r="D287" s="639" t="s">
        <v>1150</v>
      </c>
      <c r="E287" s="639" t="s">
        <v>1151</v>
      </c>
      <c r="F287" s="53">
        <v>51</v>
      </c>
      <c r="G287" s="53" t="s">
        <v>5</v>
      </c>
      <c r="H287" s="53" t="s">
        <v>5</v>
      </c>
      <c r="I287" s="53" t="s">
        <v>5</v>
      </c>
      <c r="J287" s="54"/>
      <c r="K287" s="54"/>
      <c r="L287" s="54"/>
      <c r="M287" s="54"/>
      <c r="N287" s="58">
        <f>(111060795/2190000)/365*1000</f>
        <v>138.93888159129295</v>
      </c>
      <c r="O287" s="58">
        <f>(109927133/2201000)/366*1000</f>
        <v>136.45949928373344</v>
      </c>
      <c r="P287" s="58">
        <f>(99615830/2201000)/365*1000</f>
        <v>123.99821998717893</v>
      </c>
      <c r="Q287" s="58">
        <f>(99650985/2200000)/366*1000</f>
        <v>123.75929582712371</v>
      </c>
      <c r="S287" s="2435"/>
      <c r="T287" s="2429"/>
      <c r="U287" s="2435"/>
      <c r="V287" s="2429"/>
      <c r="W287" s="2435"/>
      <c r="X287" s="2435"/>
      <c r="Y287" s="2429"/>
      <c r="Z287" s="2429"/>
      <c r="AA287" s="2445"/>
      <c r="AB287" s="2446"/>
      <c r="AC287" s="2446"/>
      <c r="AD287" s="2446"/>
    </row>
    <row r="288" spans="1:30" ht="15" customHeight="1" x14ac:dyDescent="0.25">
      <c r="A288" s="2441"/>
      <c r="B288" s="660" t="s">
        <v>172</v>
      </c>
      <c r="C288" s="760"/>
      <c r="D288" s="639" t="s">
        <v>1150</v>
      </c>
      <c r="E288" s="639" t="s">
        <v>1151</v>
      </c>
      <c r="F288" s="53">
        <v>151</v>
      </c>
      <c r="G288" s="53">
        <v>466</v>
      </c>
      <c r="H288" s="53">
        <v>326</v>
      </c>
      <c r="I288" s="53">
        <v>428</v>
      </c>
      <c r="J288" s="54"/>
      <c r="K288" s="54"/>
      <c r="L288" s="54"/>
      <c r="M288" s="54"/>
      <c r="N288" s="58">
        <f>(619365288/4100000)/365*1000</f>
        <v>413.87590243902434</v>
      </c>
      <c r="O288" s="58">
        <f>(1135623000/4000000)/366*1000</f>
        <v>775.69877049180332</v>
      </c>
      <c r="P288" s="58">
        <f>(684668856/3894000)/365*1000</f>
        <v>481.71676551913373</v>
      </c>
      <c r="Q288" s="58">
        <f>(632163893/4000000)/366*1000</f>
        <v>431.80593784153012</v>
      </c>
      <c r="S288" s="2435"/>
      <c r="T288" s="2429"/>
      <c r="U288" s="2435"/>
      <c r="V288" s="2429"/>
      <c r="W288" s="2435"/>
      <c r="X288" s="2435"/>
      <c r="Y288" s="2429"/>
      <c r="Z288" s="2429"/>
      <c r="AA288" s="2445"/>
      <c r="AB288" s="2446"/>
      <c r="AC288" s="2446"/>
      <c r="AD288" s="2446"/>
    </row>
    <row r="289" spans="1:30" ht="15" customHeight="1" x14ac:dyDescent="0.25">
      <c r="A289" s="2441"/>
      <c r="B289" s="660" t="s">
        <v>173</v>
      </c>
      <c r="C289" s="760"/>
      <c r="D289" s="639" t="s">
        <v>1150</v>
      </c>
      <c r="E289" s="639" t="s">
        <v>1151</v>
      </c>
      <c r="F289" s="53" t="s">
        <v>5</v>
      </c>
      <c r="G289" s="53" t="s">
        <v>5</v>
      </c>
      <c r="H289" s="53" t="s">
        <v>5</v>
      </c>
      <c r="I289" s="53" t="s">
        <v>5</v>
      </c>
      <c r="J289" s="54"/>
      <c r="K289" s="54"/>
      <c r="L289" s="54"/>
      <c r="M289" s="54"/>
      <c r="N289" s="55" t="s">
        <v>5</v>
      </c>
      <c r="O289" s="58">
        <f>(1381674650/5296000)/366*1000</f>
        <v>712.81483189704977</v>
      </c>
      <c r="P289" s="58">
        <f>(695542318/5296000)/365*1000</f>
        <v>359.81786098580477</v>
      </c>
      <c r="Q289" s="58">
        <f>(677476985/5296000)/366*1000</f>
        <v>349.51473067620884</v>
      </c>
      <c r="S289" s="2435"/>
      <c r="T289" s="2429"/>
      <c r="U289" s="2435"/>
      <c r="V289" s="2429"/>
      <c r="W289" s="2435"/>
      <c r="X289" s="2435"/>
      <c r="Y289" s="2429"/>
      <c r="Z289" s="2429"/>
      <c r="AA289" s="2445"/>
      <c r="AB289" s="2446"/>
      <c r="AC289" s="2446"/>
      <c r="AD289" s="2446"/>
    </row>
    <row r="290" spans="1:30" ht="15" customHeight="1" x14ac:dyDescent="0.25">
      <c r="A290" s="2441"/>
      <c r="B290" s="660" t="s">
        <v>174</v>
      </c>
      <c r="C290" s="760"/>
      <c r="D290" s="639" t="s">
        <v>1150</v>
      </c>
      <c r="E290" s="639" t="s">
        <v>1151</v>
      </c>
      <c r="F290" s="53">
        <v>198</v>
      </c>
      <c r="G290" s="53">
        <v>322</v>
      </c>
      <c r="H290" s="53" t="s">
        <v>5</v>
      </c>
      <c r="I290" s="53">
        <v>538</v>
      </c>
      <c r="J290" s="54"/>
      <c r="K290" s="54"/>
      <c r="L290" s="54"/>
      <c r="M290" s="54"/>
      <c r="N290" s="58">
        <f>(232275798/1173000)/365*1000</f>
        <v>542.51666608275229</v>
      </c>
      <c r="O290" s="58">
        <f>(245389203/1135000)/366*1000</f>
        <v>590.71568570809563</v>
      </c>
      <c r="P290" s="58">
        <f>(252120619/1161000)/365*1000</f>
        <v>594.95385178105801</v>
      </c>
      <c r="Q290" s="58">
        <f>(246062603/1249000)/366*1000</f>
        <v>538.2723730897286</v>
      </c>
      <c r="S290" s="2435"/>
      <c r="T290" s="2429"/>
      <c r="U290" s="2435"/>
      <c r="V290" s="2429"/>
      <c r="W290" s="2435"/>
      <c r="X290" s="2435"/>
      <c r="Y290" s="2429"/>
      <c r="Z290" s="2429"/>
      <c r="AA290" s="2445"/>
      <c r="AB290" s="2446"/>
      <c r="AC290" s="2446"/>
      <c r="AD290" s="2446"/>
    </row>
    <row r="291" spans="1:30" ht="15.75" customHeight="1" x14ac:dyDescent="0.25">
      <c r="A291" s="2441"/>
      <c r="B291" s="660" t="s">
        <v>175</v>
      </c>
      <c r="C291" s="760"/>
      <c r="D291" s="639" t="s">
        <v>1150</v>
      </c>
      <c r="E291" s="639" t="s">
        <v>1151</v>
      </c>
      <c r="F291" s="53">
        <v>145</v>
      </c>
      <c r="G291" s="53">
        <v>526</v>
      </c>
      <c r="H291" s="53" t="s">
        <v>5</v>
      </c>
      <c r="I291" s="53" t="s">
        <v>5</v>
      </c>
      <c r="J291" s="54"/>
      <c r="K291" s="54"/>
      <c r="L291" s="54"/>
      <c r="M291" s="54"/>
      <c r="N291" s="58">
        <f>(326495803/2248000)/365*1000</f>
        <v>397.91327816506606</v>
      </c>
      <c r="O291" s="58">
        <f>(326207707/2334000)/366*1000</f>
        <v>381.86713280982946</v>
      </c>
      <c r="P291" s="58">
        <f>(320428617/2341000)/365*1000</f>
        <v>375.00496450995649</v>
      </c>
      <c r="Q291" s="58">
        <f>(323408802/2266000)/366*1000</f>
        <v>389.9517239882511</v>
      </c>
      <c r="S291" s="2435"/>
      <c r="T291" s="2429"/>
      <c r="U291" s="2435"/>
      <c r="V291" s="2429"/>
      <c r="W291" s="2435"/>
      <c r="X291" s="2435"/>
      <c r="Y291" s="2429"/>
      <c r="Z291" s="2429"/>
      <c r="AA291" s="2445"/>
      <c r="AB291" s="2446"/>
      <c r="AC291" s="2446"/>
      <c r="AD291" s="2446"/>
    </row>
    <row r="292" spans="1:30" ht="15.75" thickBot="1" x14ac:dyDescent="0.3">
      <c r="A292" s="2442"/>
      <c r="B292" s="660" t="s">
        <v>212</v>
      </c>
      <c r="C292" s="760"/>
      <c r="D292" s="639" t="s">
        <v>1150</v>
      </c>
      <c r="E292" s="639" t="s">
        <v>1151</v>
      </c>
      <c r="F292" s="233">
        <v>144</v>
      </c>
      <c r="G292" s="233">
        <v>379</v>
      </c>
      <c r="H292" s="233" t="s">
        <v>5</v>
      </c>
      <c r="I292" s="233" t="s">
        <v>5</v>
      </c>
      <c r="J292" s="234"/>
      <c r="K292" s="234"/>
      <c r="L292" s="234"/>
      <c r="M292" s="234"/>
      <c r="N292" s="238">
        <f>(67252637/467000)/365*1000</f>
        <v>394.5477516059957</v>
      </c>
      <c r="O292" s="58">
        <f>(64220276/500000)/366*1000</f>
        <v>350.93046994535518</v>
      </c>
      <c r="P292" s="58" t="s">
        <v>5</v>
      </c>
      <c r="Q292" s="58">
        <f>(59978537/518000)/366*1000</f>
        <v>316.36251766989471</v>
      </c>
      <c r="S292" s="2430"/>
      <c r="T292" s="2430"/>
      <c r="U292" s="2430"/>
      <c r="V292" s="2430"/>
      <c r="W292" s="2430"/>
      <c r="X292" s="2430"/>
      <c r="Y292" s="2430"/>
      <c r="Z292" s="2430"/>
      <c r="AA292" s="2433"/>
      <c r="AB292" s="2447"/>
      <c r="AC292" s="2447"/>
      <c r="AD292" s="2447"/>
    </row>
    <row r="293" spans="1:30" ht="16.5" customHeight="1" x14ac:dyDescent="0.25">
      <c r="A293" s="2425" t="s">
        <v>718</v>
      </c>
      <c r="B293" s="796" t="s">
        <v>761</v>
      </c>
      <c r="C293" s="797" t="s">
        <v>429</v>
      </c>
      <c r="D293" s="276" t="s">
        <v>1152</v>
      </c>
      <c r="E293" s="276" t="s">
        <v>1153</v>
      </c>
      <c r="F293" s="53" t="s">
        <v>5</v>
      </c>
      <c r="G293" s="53" t="s">
        <v>5</v>
      </c>
      <c r="H293" s="53">
        <v>54</v>
      </c>
      <c r="I293" s="53"/>
      <c r="J293" s="54"/>
      <c r="K293" s="54"/>
      <c r="L293" s="54"/>
      <c r="M293" s="54"/>
      <c r="N293" s="58" t="s">
        <v>5</v>
      </c>
      <c r="O293" s="58" t="s">
        <v>5</v>
      </c>
      <c r="P293" s="58">
        <f>(51120000/1882299)/365*1000</f>
        <v>74.40624179290748</v>
      </c>
      <c r="Q293" s="58"/>
      <c r="S293" s="2428" t="s">
        <v>5</v>
      </c>
      <c r="T293" s="2428" t="s">
        <v>5</v>
      </c>
      <c r="U293" s="2428" t="s">
        <v>5</v>
      </c>
      <c r="V293" s="2428" t="s">
        <v>5</v>
      </c>
      <c r="W293" s="2428">
        <f>SUM(H293:H296)/4</f>
        <v>63.75</v>
      </c>
      <c r="X293" s="2428">
        <f>MEDIAN(H293:H296)</f>
        <v>62</v>
      </c>
      <c r="Y293" s="954"/>
      <c r="Z293" s="954"/>
      <c r="AA293" s="2431" t="s">
        <v>5</v>
      </c>
      <c r="AB293" s="2431" t="s">
        <v>5</v>
      </c>
      <c r="AC293" s="2431">
        <f>SUM(P293:P296)/4</f>
        <v>107.16850082551831</v>
      </c>
      <c r="AD293" s="2431"/>
    </row>
    <row r="294" spans="1:30" x14ac:dyDescent="0.25">
      <c r="A294" s="2426"/>
      <c r="B294" s="797" t="s">
        <v>762</v>
      </c>
      <c r="C294" s="797"/>
      <c r="D294" s="276" t="s">
        <v>1152</v>
      </c>
      <c r="E294" s="276" t="s">
        <v>1153</v>
      </c>
      <c r="F294" s="53" t="s">
        <v>5</v>
      </c>
      <c r="G294" s="53" t="s">
        <v>5</v>
      </c>
      <c r="H294" s="53">
        <v>70</v>
      </c>
      <c r="I294" s="53"/>
      <c r="J294" s="54"/>
      <c r="K294" s="54"/>
      <c r="L294" s="54"/>
      <c r="M294" s="54"/>
      <c r="N294" s="58" t="s">
        <v>5</v>
      </c>
      <c r="O294" s="58" t="s">
        <v>5</v>
      </c>
      <c r="P294" s="58">
        <f>(21930000/601171)/365*1000</f>
        <v>99.9419329622053</v>
      </c>
      <c r="Q294" s="58"/>
      <c r="S294" s="2429"/>
      <c r="T294" s="2429"/>
      <c r="U294" s="2429"/>
      <c r="V294" s="2429"/>
      <c r="W294" s="2429"/>
      <c r="X294" s="2429"/>
      <c r="Y294" s="936"/>
      <c r="Z294" s="936"/>
      <c r="AA294" s="2432"/>
      <c r="AB294" s="2432"/>
      <c r="AC294" s="2432"/>
      <c r="AD294" s="2432"/>
    </row>
    <row r="295" spans="1:30" x14ac:dyDescent="0.25">
      <c r="A295" s="2426"/>
      <c r="B295" s="797" t="s">
        <v>763</v>
      </c>
      <c r="C295" s="797"/>
      <c r="D295" s="276" t="s">
        <v>1152</v>
      </c>
      <c r="E295" s="276" t="s">
        <v>1153</v>
      </c>
      <c r="F295" s="53" t="s">
        <v>5</v>
      </c>
      <c r="G295" s="53" t="s">
        <v>5</v>
      </c>
      <c r="H295" s="53">
        <v>97</v>
      </c>
      <c r="I295" s="53"/>
      <c r="J295" s="54"/>
      <c r="K295" s="54"/>
      <c r="L295" s="54"/>
      <c r="M295" s="54"/>
      <c r="N295" s="58" t="s">
        <v>5</v>
      </c>
      <c r="O295" s="58" t="s">
        <v>5</v>
      </c>
      <c r="P295" s="58">
        <f>(34460000/453296)/365*1000</f>
        <v>208.27662036309516</v>
      </c>
      <c r="Q295" s="58"/>
      <c r="S295" s="2429"/>
      <c r="T295" s="2429"/>
      <c r="U295" s="2429"/>
      <c r="V295" s="2429"/>
      <c r="W295" s="2429"/>
      <c r="X295" s="2429"/>
      <c r="Y295" s="936"/>
      <c r="Z295" s="936"/>
      <c r="AA295" s="2432"/>
      <c r="AB295" s="2432"/>
      <c r="AC295" s="2432"/>
      <c r="AD295" s="2432"/>
    </row>
    <row r="296" spans="1:30" ht="15.75" thickBot="1" x14ac:dyDescent="0.3">
      <c r="A296" s="2427"/>
      <c r="B296" s="798" t="s">
        <v>764</v>
      </c>
      <c r="C296" s="797"/>
      <c r="D296" s="276" t="s">
        <v>1152</v>
      </c>
      <c r="E296" s="276" t="s">
        <v>1153</v>
      </c>
      <c r="F296" s="53" t="s">
        <v>5</v>
      </c>
      <c r="G296" s="53" t="s">
        <v>5</v>
      </c>
      <c r="H296" s="53">
        <v>34</v>
      </c>
      <c r="I296" s="53"/>
      <c r="J296" s="54"/>
      <c r="K296" s="54"/>
      <c r="L296" s="54"/>
      <c r="M296" s="54"/>
      <c r="N296" s="58" t="s">
        <v>5</v>
      </c>
      <c r="O296" s="58" t="s">
        <v>5</v>
      </c>
      <c r="P296" s="58">
        <f>(3650000/217159)/365*1000</f>
        <v>46.049208183865282</v>
      </c>
      <c r="Q296" s="58"/>
      <c r="S296" s="2430"/>
      <c r="T296" s="2430"/>
      <c r="U296" s="2430"/>
      <c r="V296" s="2430"/>
      <c r="W296" s="2430"/>
      <c r="X296" s="2430"/>
      <c r="Y296" s="497"/>
      <c r="Z296" s="497"/>
      <c r="AA296" s="2433"/>
      <c r="AB296" s="2433"/>
      <c r="AC296" s="2433"/>
      <c r="AD296" s="2433"/>
    </row>
    <row r="297" spans="1:30" x14ac:dyDescent="0.25">
      <c r="N297" s="63"/>
      <c r="O297" s="63"/>
      <c r="P297" s="63"/>
      <c r="Q297" s="63"/>
    </row>
    <row r="298" spans="1:30" ht="15.75" thickBot="1" x14ac:dyDescent="0.3">
      <c r="N298" s="63"/>
      <c r="O298" s="63"/>
      <c r="P298" s="63"/>
      <c r="Q298" s="63"/>
    </row>
    <row r="299" spans="1:30" ht="16.5" thickBot="1" x14ac:dyDescent="0.3">
      <c r="A299" s="250" t="s">
        <v>58</v>
      </c>
      <c r="B299" s="758" t="s">
        <v>1190</v>
      </c>
      <c r="C299" s="758" t="s">
        <v>1022</v>
      </c>
      <c r="D299" s="46" t="s">
        <v>1219</v>
      </c>
      <c r="E299" s="46" t="s">
        <v>1220</v>
      </c>
      <c r="F299" s="46" t="s">
        <v>1217</v>
      </c>
      <c r="G299" s="46" t="s">
        <v>1218</v>
      </c>
      <c r="H299" s="1110" t="s">
        <v>1222</v>
      </c>
      <c r="N299" s="63"/>
      <c r="O299" s="63"/>
      <c r="P299" s="63"/>
      <c r="Q299" s="63"/>
    </row>
    <row r="300" spans="1:30" ht="14.45" customHeight="1" x14ac:dyDescent="0.25">
      <c r="A300" s="787" t="s">
        <v>746</v>
      </c>
      <c r="B300" s="1108" t="s">
        <v>429</v>
      </c>
      <c r="C300" s="1109" t="s">
        <v>1147</v>
      </c>
      <c r="D300" s="53" t="s">
        <v>5</v>
      </c>
      <c r="E300" s="53" t="s">
        <v>5</v>
      </c>
      <c r="F300" s="53">
        <v>61</v>
      </c>
      <c r="G300" s="431">
        <v>23.915051006319757</v>
      </c>
      <c r="H300">
        <v>163</v>
      </c>
      <c r="N300" s="63"/>
      <c r="O300" s="63"/>
      <c r="P300" s="63"/>
      <c r="Q300" s="63"/>
    </row>
    <row r="301" spans="1:30" x14ac:dyDescent="0.25">
      <c r="A301" s="1104" t="s">
        <v>68</v>
      </c>
      <c r="B301" s="759" t="s">
        <v>429</v>
      </c>
      <c r="C301" s="802" t="s">
        <v>1032</v>
      </c>
      <c r="D301" s="56">
        <v>115</v>
      </c>
      <c r="E301" s="56">
        <v>95</v>
      </c>
      <c r="F301" s="56">
        <v>92</v>
      </c>
      <c r="G301" s="56">
        <v>93</v>
      </c>
      <c r="H301">
        <v>163</v>
      </c>
    </row>
    <row r="302" spans="1:30" ht="14.45" customHeight="1" x14ac:dyDescent="0.25">
      <c r="A302" s="1104" t="s">
        <v>78</v>
      </c>
      <c r="B302" s="759" t="s">
        <v>429</v>
      </c>
      <c r="C302" s="802" t="s">
        <v>1044</v>
      </c>
      <c r="D302" s="53">
        <v>150</v>
      </c>
      <c r="E302" s="53">
        <v>150</v>
      </c>
      <c r="F302" s="53">
        <v>100</v>
      </c>
      <c r="G302" s="53">
        <v>100</v>
      </c>
      <c r="H302">
        <v>163</v>
      </c>
    </row>
    <row r="303" spans="1:30" ht="15" customHeight="1" x14ac:dyDescent="0.25">
      <c r="A303" s="788" t="s">
        <v>88</v>
      </c>
      <c r="B303" s="760" t="s">
        <v>429</v>
      </c>
      <c r="C303" s="1046" t="s">
        <v>1054</v>
      </c>
      <c r="D303" s="56">
        <v>107.3</v>
      </c>
      <c r="E303" s="56">
        <v>104</v>
      </c>
      <c r="F303" s="56">
        <v>101</v>
      </c>
      <c r="G303" s="56">
        <v>104.3</v>
      </c>
      <c r="H303">
        <v>163</v>
      </c>
    </row>
    <row r="304" spans="1:30" ht="15" customHeight="1" x14ac:dyDescent="0.25">
      <c r="A304" s="788" t="s">
        <v>911</v>
      </c>
      <c r="B304" s="760" t="s">
        <v>429</v>
      </c>
      <c r="C304" s="1046" t="s">
        <v>1052</v>
      </c>
      <c r="D304" s="53" t="s">
        <v>5</v>
      </c>
      <c r="E304" s="53" t="s">
        <v>5</v>
      </c>
      <c r="F304" s="53" t="s">
        <v>5</v>
      </c>
      <c r="G304" s="53">
        <v>108</v>
      </c>
      <c r="H304">
        <v>163</v>
      </c>
    </row>
    <row r="305" spans="1:8" ht="14.45" customHeight="1" x14ac:dyDescent="0.25">
      <c r="A305" s="788" t="s">
        <v>939</v>
      </c>
      <c r="B305" s="760" t="s">
        <v>429</v>
      </c>
      <c r="C305" s="1046" t="s">
        <v>1062</v>
      </c>
      <c r="D305" s="53" t="s">
        <v>5</v>
      </c>
      <c r="E305" s="53" t="s">
        <v>5</v>
      </c>
      <c r="F305" s="53" t="s">
        <v>5</v>
      </c>
      <c r="G305" s="53">
        <v>114</v>
      </c>
      <c r="H305">
        <v>163</v>
      </c>
    </row>
    <row r="306" spans="1:8" ht="15" customHeight="1" x14ac:dyDescent="0.25">
      <c r="A306" s="788" t="s">
        <v>153</v>
      </c>
      <c r="B306" s="760" t="s">
        <v>429</v>
      </c>
      <c r="C306" s="1046" t="s">
        <v>1133</v>
      </c>
      <c r="D306" s="53">
        <v>124</v>
      </c>
      <c r="E306" s="53">
        <v>124</v>
      </c>
      <c r="F306" s="53">
        <v>107</v>
      </c>
      <c r="G306" s="53">
        <v>127</v>
      </c>
      <c r="H306">
        <v>163</v>
      </c>
    </row>
    <row r="307" spans="1:8" ht="14.45" customHeight="1" x14ac:dyDescent="0.25">
      <c r="A307" s="788" t="s">
        <v>891</v>
      </c>
      <c r="B307" s="760" t="s">
        <v>429</v>
      </c>
      <c r="C307" s="1046" t="s">
        <v>1114</v>
      </c>
      <c r="D307" s="53" t="s">
        <v>5</v>
      </c>
      <c r="E307" s="53" t="s">
        <v>5</v>
      </c>
      <c r="F307" s="53" t="s">
        <v>5</v>
      </c>
      <c r="G307" s="431">
        <v>127.04919279895525</v>
      </c>
      <c r="H307">
        <v>163</v>
      </c>
    </row>
    <row r="308" spans="1:8" ht="14.45" customHeight="1" x14ac:dyDescent="0.25">
      <c r="A308" s="788" t="s">
        <v>102</v>
      </c>
      <c r="B308" s="760" t="s">
        <v>429</v>
      </c>
      <c r="C308" s="1046" t="s">
        <v>1066</v>
      </c>
      <c r="D308" s="53">
        <v>147</v>
      </c>
      <c r="E308" s="53">
        <v>150</v>
      </c>
      <c r="F308" s="53">
        <v>126</v>
      </c>
      <c r="G308" s="53">
        <v>129</v>
      </c>
      <c r="H308">
        <v>163</v>
      </c>
    </row>
    <row r="309" spans="1:8" ht="14.45" customHeight="1" x14ac:dyDescent="0.25">
      <c r="A309" s="788" t="s">
        <v>92</v>
      </c>
      <c r="B309" s="760" t="s">
        <v>429</v>
      </c>
      <c r="C309" s="1046" t="s">
        <v>1056</v>
      </c>
      <c r="D309" s="53">
        <v>158</v>
      </c>
      <c r="E309" s="56">
        <v>184.32073026068187</v>
      </c>
      <c r="F309" s="56">
        <v>140</v>
      </c>
      <c r="G309" s="56">
        <v>136</v>
      </c>
      <c r="H309">
        <v>163</v>
      </c>
    </row>
    <row r="310" spans="1:8" ht="15" customHeight="1" x14ac:dyDescent="0.25">
      <c r="A310" s="788" t="s">
        <v>878</v>
      </c>
      <c r="B310" s="760" t="s">
        <v>429</v>
      </c>
      <c r="C310" s="1046" t="s">
        <v>1050</v>
      </c>
      <c r="D310" s="53">
        <v>152</v>
      </c>
      <c r="E310" s="53">
        <v>145</v>
      </c>
      <c r="F310" s="53">
        <v>133</v>
      </c>
      <c r="G310" s="53">
        <v>142</v>
      </c>
      <c r="H310">
        <v>163</v>
      </c>
    </row>
    <row r="311" spans="1:8" ht="14.45" customHeight="1" x14ac:dyDescent="0.25">
      <c r="A311" s="788" t="s">
        <v>166</v>
      </c>
      <c r="B311" s="760" t="s">
        <v>429</v>
      </c>
      <c r="C311" s="1046" t="s">
        <v>1149</v>
      </c>
      <c r="D311" s="53">
        <v>150</v>
      </c>
      <c r="E311" s="53">
        <v>150</v>
      </c>
      <c r="F311" s="53">
        <v>144</v>
      </c>
      <c r="G311" s="53">
        <v>143</v>
      </c>
      <c r="H311">
        <v>163</v>
      </c>
    </row>
    <row r="312" spans="1:8" ht="14.45" customHeight="1" x14ac:dyDescent="0.25">
      <c r="A312" s="788" t="s">
        <v>928</v>
      </c>
      <c r="B312" s="760" t="s">
        <v>429</v>
      </c>
      <c r="C312" s="1046" t="s">
        <v>1145</v>
      </c>
      <c r="D312" s="53" t="s">
        <v>5</v>
      </c>
      <c r="E312" s="53" t="s">
        <v>5</v>
      </c>
      <c r="F312" s="53" t="s">
        <v>5</v>
      </c>
      <c r="G312" s="53">
        <v>145</v>
      </c>
      <c r="H312">
        <v>163</v>
      </c>
    </row>
    <row r="313" spans="1:8" ht="14.45" customHeight="1" x14ac:dyDescent="0.25">
      <c r="A313" s="788" t="s">
        <v>133</v>
      </c>
      <c r="B313" s="760" t="s">
        <v>429</v>
      </c>
      <c r="C313" s="1046" t="s">
        <v>1116</v>
      </c>
      <c r="D313" s="53">
        <v>127</v>
      </c>
      <c r="E313" s="53">
        <v>134</v>
      </c>
      <c r="F313" s="53">
        <v>142</v>
      </c>
      <c r="G313" s="53">
        <v>148</v>
      </c>
      <c r="H313">
        <v>163</v>
      </c>
    </row>
    <row r="314" spans="1:8" ht="14.45" customHeight="1" x14ac:dyDescent="0.25">
      <c r="A314" s="754" t="s">
        <v>860</v>
      </c>
      <c r="B314" s="925" t="s">
        <v>429</v>
      </c>
      <c r="C314" s="803" t="s">
        <v>1118</v>
      </c>
      <c r="D314" s="53" t="s">
        <v>5</v>
      </c>
      <c r="E314" s="53" t="s">
        <v>5</v>
      </c>
      <c r="F314" s="53">
        <v>151</v>
      </c>
      <c r="G314" s="53">
        <v>148</v>
      </c>
      <c r="H314">
        <v>163</v>
      </c>
    </row>
    <row r="315" spans="1:8" ht="14.45" customHeight="1" x14ac:dyDescent="0.25">
      <c r="A315" s="788" t="s">
        <v>155</v>
      </c>
      <c r="B315" s="760" t="s">
        <v>429</v>
      </c>
      <c r="C315" s="1046" t="s">
        <v>1135</v>
      </c>
      <c r="D315" s="53">
        <v>186</v>
      </c>
      <c r="E315" s="53">
        <v>198</v>
      </c>
      <c r="F315" s="53" t="s">
        <v>5</v>
      </c>
      <c r="G315" s="53">
        <v>148</v>
      </c>
      <c r="H315">
        <v>163</v>
      </c>
    </row>
    <row r="316" spans="1:8" ht="14.45" customHeight="1" x14ac:dyDescent="0.25">
      <c r="A316" s="754" t="s">
        <v>887</v>
      </c>
      <c r="B316" s="925" t="s">
        <v>429</v>
      </c>
      <c r="C316" s="803" t="s">
        <v>1120</v>
      </c>
      <c r="D316" s="53" t="s">
        <v>5</v>
      </c>
      <c r="E316" s="53" t="s">
        <v>5</v>
      </c>
      <c r="F316" s="53" t="s">
        <v>5</v>
      </c>
      <c r="G316" s="56">
        <v>148.30000000000001</v>
      </c>
      <c r="H316">
        <v>163</v>
      </c>
    </row>
    <row r="317" spans="1:8" ht="15" customHeight="1" x14ac:dyDescent="0.25">
      <c r="A317" s="788" t="s">
        <v>167</v>
      </c>
      <c r="B317" s="760" t="s">
        <v>429</v>
      </c>
      <c r="C317" s="1046" t="s">
        <v>1149</v>
      </c>
      <c r="D317" s="53">
        <v>163</v>
      </c>
      <c r="E317" s="53">
        <v>163</v>
      </c>
      <c r="F317" s="53">
        <v>155</v>
      </c>
      <c r="G317" s="53">
        <v>149</v>
      </c>
      <c r="H317">
        <v>163</v>
      </c>
    </row>
    <row r="318" spans="1:8" x14ac:dyDescent="0.25">
      <c r="A318" s="754" t="s">
        <v>933</v>
      </c>
      <c r="B318" s="925" t="s">
        <v>429</v>
      </c>
      <c r="C318" s="803" t="s">
        <v>1034</v>
      </c>
      <c r="D318" s="53">
        <v>172</v>
      </c>
      <c r="E318" s="53">
        <v>187</v>
      </c>
      <c r="F318" s="53">
        <v>181</v>
      </c>
      <c r="G318" s="56">
        <v>153.69999999999999</v>
      </c>
      <c r="H318">
        <v>163</v>
      </c>
    </row>
    <row r="319" spans="1:8" ht="14.45" customHeight="1" x14ac:dyDescent="0.25">
      <c r="A319" s="788" t="s">
        <v>126</v>
      </c>
      <c r="B319" s="760" t="s">
        <v>429</v>
      </c>
      <c r="C319" s="1046" t="s">
        <v>1112</v>
      </c>
      <c r="D319" s="53">
        <v>180</v>
      </c>
      <c r="E319" s="53">
        <v>160</v>
      </c>
      <c r="F319" s="53">
        <v>160</v>
      </c>
      <c r="G319" s="53">
        <v>160</v>
      </c>
      <c r="H319">
        <v>163</v>
      </c>
    </row>
    <row r="320" spans="1:8" ht="14.45" customHeight="1" x14ac:dyDescent="0.25">
      <c r="A320" s="1104" t="s">
        <v>73</v>
      </c>
      <c r="B320" s="759" t="s">
        <v>429</v>
      </c>
      <c r="C320" s="802" t="s">
        <v>1036</v>
      </c>
      <c r="D320" s="53">
        <v>140</v>
      </c>
      <c r="E320" s="53">
        <v>134</v>
      </c>
      <c r="F320" s="53" t="s">
        <v>5</v>
      </c>
      <c r="G320" s="56">
        <v>165.40799999999999</v>
      </c>
      <c r="H320">
        <v>163</v>
      </c>
    </row>
    <row r="321" spans="1:8" ht="15" customHeight="1" x14ac:dyDescent="0.25">
      <c r="A321" s="788" t="s">
        <v>101</v>
      </c>
      <c r="B321" s="760" t="s">
        <v>429</v>
      </c>
      <c r="C321" s="1046" t="s">
        <v>1058</v>
      </c>
      <c r="D321" s="53" t="s">
        <v>5</v>
      </c>
      <c r="E321" s="53">
        <v>120</v>
      </c>
      <c r="F321" s="53">
        <v>187</v>
      </c>
      <c r="G321" s="56">
        <v>186.7</v>
      </c>
      <c r="H321">
        <v>163</v>
      </c>
    </row>
    <row r="322" spans="1:8" ht="14.45" customHeight="1" x14ac:dyDescent="0.25">
      <c r="A322" s="788" t="s">
        <v>163</v>
      </c>
      <c r="B322" s="760" t="s">
        <v>429</v>
      </c>
      <c r="C322" s="1046" t="s">
        <v>1137</v>
      </c>
      <c r="D322" s="53">
        <v>182</v>
      </c>
      <c r="E322" s="53">
        <v>178</v>
      </c>
      <c r="F322" s="53">
        <v>182</v>
      </c>
      <c r="G322" s="53">
        <v>189</v>
      </c>
      <c r="H322">
        <v>163</v>
      </c>
    </row>
    <row r="323" spans="1:8" ht="14.45" customHeight="1" x14ac:dyDescent="0.25">
      <c r="A323" s="754" t="s">
        <v>544</v>
      </c>
      <c r="B323" s="925" t="s">
        <v>429</v>
      </c>
      <c r="C323" s="803" t="s">
        <v>1028</v>
      </c>
      <c r="D323" s="53">
        <v>211</v>
      </c>
      <c r="E323" s="53" t="s">
        <v>5</v>
      </c>
      <c r="F323" s="53">
        <v>189</v>
      </c>
      <c r="G323" s="53">
        <v>190</v>
      </c>
      <c r="H323">
        <v>163</v>
      </c>
    </row>
    <row r="324" spans="1:8" ht="14.45" customHeight="1" x14ac:dyDescent="0.25">
      <c r="A324" s="788" t="s">
        <v>143</v>
      </c>
      <c r="B324" s="760" t="s">
        <v>429</v>
      </c>
      <c r="C324" s="1046" t="s">
        <v>1131</v>
      </c>
      <c r="D324" s="53">
        <v>285</v>
      </c>
      <c r="E324" s="53">
        <v>286</v>
      </c>
      <c r="F324" s="53">
        <v>284</v>
      </c>
      <c r="G324" s="53">
        <v>193</v>
      </c>
      <c r="H324">
        <v>163</v>
      </c>
    </row>
    <row r="325" spans="1:8" ht="14.45" customHeight="1" x14ac:dyDescent="0.25">
      <c r="A325" s="1104" t="s">
        <v>84</v>
      </c>
      <c r="B325" s="759" t="s">
        <v>429</v>
      </c>
      <c r="C325" s="802" t="s">
        <v>1046</v>
      </c>
      <c r="D325" s="53">
        <v>221</v>
      </c>
      <c r="E325" s="56">
        <v>208.69</v>
      </c>
      <c r="F325" s="56">
        <v>211</v>
      </c>
      <c r="G325" s="56">
        <v>217</v>
      </c>
      <c r="H325">
        <v>163</v>
      </c>
    </row>
    <row r="326" spans="1:8" ht="14.45" customHeight="1" x14ac:dyDescent="0.25">
      <c r="A326" s="788" t="s">
        <v>118</v>
      </c>
      <c r="B326" s="760" t="s">
        <v>429</v>
      </c>
      <c r="C326" s="1046" t="s">
        <v>1076</v>
      </c>
      <c r="D326" s="56">
        <v>231</v>
      </c>
      <c r="E326" s="56">
        <v>225</v>
      </c>
      <c r="F326" s="56">
        <v>220</v>
      </c>
      <c r="G326" s="56">
        <v>218</v>
      </c>
      <c r="H326">
        <v>163</v>
      </c>
    </row>
    <row r="327" spans="1:8" ht="14.45" customHeight="1" x14ac:dyDescent="0.25">
      <c r="A327" s="754" t="s">
        <v>889</v>
      </c>
      <c r="B327" s="925" t="s">
        <v>429</v>
      </c>
      <c r="C327" s="803" t="s">
        <v>1092</v>
      </c>
      <c r="D327" s="53" t="s">
        <v>5</v>
      </c>
      <c r="E327" s="53" t="s">
        <v>5</v>
      </c>
      <c r="F327" s="53" t="s">
        <v>5</v>
      </c>
      <c r="G327" s="53">
        <v>312</v>
      </c>
      <c r="H327">
        <v>163</v>
      </c>
    </row>
    <row r="328" spans="1:8" ht="15" customHeight="1" x14ac:dyDescent="0.25">
      <c r="A328" s="1104" t="s">
        <v>82</v>
      </c>
      <c r="B328" s="759" t="s">
        <v>429</v>
      </c>
      <c r="C328" s="802" t="s">
        <v>1048</v>
      </c>
      <c r="D328" s="53">
        <v>346</v>
      </c>
      <c r="E328" s="53">
        <v>340</v>
      </c>
      <c r="F328" s="53">
        <v>327</v>
      </c>
      <c r="G328" s="53">
        <v>326</v>
      </c>
      <c r="H328">
        <v>163</v>
      </c>
    </row>
    <row r="329" spans="1:8" ht="14.45" customHeight="1" x14ac:dyDescent="0.25">
      <c r="A329" s="924" t="s">
        <v>217</v>
      </c>
      <c r="B329" s="1105" t="s">
        <v>429</v>
      </c>
      <c r="C329" s="1054" t="s">
        <v>1024</v>
      </c>
      <c r="D329" s="53">
        <v>375</v>
      </c>
      <c r="E329" s="53" t="s">
        <v>5</v>
      </c>
      <c r="F329" s="53" t="s">
        <v>5</v>
      </c>
      <c r="G329" s="53">
        <v>336</v>
      </c>
      <c r="H329">
        <v>163</v>
      </c>
    </row>
    <row r="330" spans="1:8" x14ac:dyDescent="0.25">
      <c r="A330" s="924" t="s">
        <v>526</v>
      </c>
      <c r="B330" s="1105" t="s">
        <v>429</v>
      </c>
      <c r="C330" s="1054" t="s">
        <v>1026</v>
      </c>
      <c r="D330" s="53" t="s">
        <v>5</v>
      </c>
      <c r="E330" s="53" t="s">
        <v>5</v>
      </c>
      <c r="F330" s="53" t="s">
        <v>5</v>
      </c>
      <c r="G330" s="53" t="s">
        <v>5</v>
      </c>
      <c r="H330">
        <v>163</v>
      </c>
    </row>
    <row r="331" spans="1:8" x14ac:dyDescent="0.25">
      <c r="A331" s="1084" t="s">
        <v>63</v>
      </c>
      <c r="B331" s="1089" t="s">
        <v>429</v>
      </c>
      <c r="C331" s="804" t="s">
        <v>1030</v>
      </c>
      <c r="D331" s="53">
        <v>148</v>
      </c>
      <c r="E331" s="53">
        <v>143</v>
      </c>
      <c r="F331" s="53" t="s">
        <v>5</v>
      </c>
      <c r="G331" s="53" t="s">
        <v>5</v>
      </c>
      <c r="H331">
        <v>163</v>
      </c>
    </row>
    <row r="332" spans="1:8" x14ac:dyDescent="0.25">
      <c r="A332" s="1104" t="s">
        <v>940</v>
      </c>
      <c r="B332" s="759" t="s">
        <v>429</v>
      </c>
      <c r="C332" s="802" t="s">
        <v>1040</v>
      </c>
      <c r="D332" s="56" t="s">
        <v>5</v>
      </c>
      <c r="E332" s="56" t="s">
        <v>5</v>
      </c>
      <c r="F332" s="56" t="s">
        <v>5</v>
      </c>
      <c r="G332" s="56" t="s">
        <v>5</v>
      </c>
      <c r="H332">
        <v>163</v>
      </c>
    </row>
    <row r="333" spans="1:8" x14ac:dyDescent="0.25">
      <c r="A333" s="1084" t="s">
        <v>731</v>
      </c>
      <c r="B333" s="1089" t="s">
        <v>429</v>
      </c>
      <c r="C333" s="805" t="s">
        <v>1042</v>
      </c>
      <c r="D333" s="56" t="s">
        <v>5</v>
      </c>
      <c r="E333" s="56" t="s">
        <v>5</v>
      </c>
      <c r="F333" s="56">
        <v>180</v>
      </c>
      <c r="G333" s="56" t="s">
        <v>5</v>
      </c>
      <c r="H333">
        <v>163</v>
      </c>
    </row>
    <row r="334" spans="1:8" x14ac:dyDescent="0.25">
      <c r="A334" s="457" t="s">
        <v>715</v>
      </c>
      <c r="B334" s="263" t="s">
        <v>429</v>
      </c>
      <c r="C334" s="804" t="s">
        <v>1064</v>
      </c>
      <c r="D334" s="53" t="s">
        <v>5</v>
      </c>
      <c r="E334" s="53" t="s">
        <v>5</v>
      </c>
      <c r="F334" s="53">
        <v>289</v>
      </c>
      <c r="G334" s="53" t="s">
        <v>5</v>
      </c>
      <c r="H334">
        <v>163</v>
      </c>
    </row>
    <row r="335" spans="1:8" x14ac:dyDescent="0.25">
      <c r="A335" s="797" t="s">
        <v>606</v>
      </c>
      <c r="B335" s="762" t="s">
        <v>429</v>
      </c>
      <c r="C335" s="1048" t="s">
        <v>1070</v>
      </c>
      <c r="D335" s="53" t="s">
        <v>5</v>
      </c>
      <c r="E335" s="53">
        <v>260</v>
      </c>
      <c r="F335" s="53" t="s">
        <v>5</v>
      </c>
      <c r="G335" s="53" t="s">
        <v>5</v>
      </c>
      <c r="H335">
        <v>163</v>
      </c>
    </row>
    <row r="336" spans="1:8" x14ac:dyDescent="0.25">
      <c r="A336" s="797" t="s">
        <v>106</v>
      </c>
      <c r="B336" s="762" t="s">
        <v>429</v>
      </c>
      <c r="C336" s="1048" t="s">
        <v>1072</v>
      </c>
      <c r="D336" s="53">
        <v>163</v>
      </c>
      <c r="E336" s="53">
        <v>59</v>
      </c>
      <c r="F336" s="53" t="s">
        <v>5</v>
      </c>
      <c r="G336" s="53" t="s">
        <v>5</v>
      </c>
      <c r="H336">
        <v>163</v>
      </c>
    </row>
    <row r="337" spans="1:8" x14ac:dyDescent="0.25">
      <c r="A337" s="788" t="s">
        <v>110</v>
      </c>
      <c r="B337" s="760" t="s">
        <v>429</v>
      </c>
      <c r="C337" s="1046" t="s">
        <v>1074</v>
      </c>
      <c r="D337" s="53">
        <v>214</v>
      </c>
      <c r="E337" s="53">
        <v>214</v>
      </c>
      <c r="F337" s="53" t="s">
        <v>5</v>
      </c>
      <c r="G337" s="53" t="s">
        <v>5</v>
      </c>
      <c r="H337">
        <v>163</v>
      </c>
    </row>
    <row r="338" spans="1:8" x14ac:dyDescent="0.25">
      <c r="A338" s="922" t="s">
        <v>495</v>
      </c>
      <c r="B338" s="1091" t="s">
        <v>429</v>
      </c>
      <c r="C338" s="1106" t="s">
        <v>1096</v>
      </c>
      <c r="D338" s="53">
        <v>104</v>
      </c>
      <c r="E338" s="53" t="s">
        <v>5</v>
      </c>
      <c r="F338" s="53" t="s">
        <v>5</v>
      </c>
      <c r="G338" s="53" t="s">
        <v>5</v>
      </c>
      <c r="H338">
        <v>163</v>
      </c>
    </row>
    <row r="339" spans="1:8" x14ac:dyDescent="0.25">
      <c r="A339" s="754" t="s">
        <v>182</v>
      </c>
      <c r="B339" s="925" t="s">
        <v>429</v>
      </c>
      <c r="C339" s="803" t="s">
        <v>1106</v>
      </c>
      <c r="D339" s="56">
        <v>138.6</v>
      </c>
      <c r="E339" s="56">
        <v>133.5</v>
      </c>
      <c r="F339" s="56">
        <v>135.5</v>
      </c>
      <c r="G339" s="56" t="s">
        <v>5</v>
      </c>
      <c r="H339">
        <v>163</v>
      </c>
    </row>
    <row r="340" spans="1:8" x14ac:dyDescent="0.25">
      <c r="A340" s="754" t="s">
        <v>1154</v>
      </c>
      <c r="B340" s="925" t="s">
        <v>429</v>
      </c>
      <c r="C340" s="803" t="s">
        <v>1121</v>
      </c>
      <c r="D340" s="53" t="s">
        <v>5</v>
      </c>
      <c r="E340" s="53" t="s">
        <v>5</v>
      </c>
      <c r="F340" s="53" t="s">
        <v>5</v>
      </c>
      <c r="G340" s="56" t="s">
        <v>5</v>
      </c>
      <c r="H340">
        <v>163</v>
      </c>
    </row>
    <row r="341" spans="1:8" x14ac:dyDescent="0.25">
      <c r="A341" s="922" t="s">
        <v>42</v>
      </c>
      <c r="B341" s="1091" t="s">
        <v>429</v>
      </c>
      <c r="C341" s="1106" t="s">
        <v>1125</v>
      </c>
      <c r="D341" s="53">
        <v>154</v>
      </c>
      <c r="E341" s="53" t="s">
        <v>5</v>
      </c>
      <c r="F341" s="53" t="s">
        <v>5</v>
      </c>
      <c r="G341" s="53" t="s">
        <v>5</v>
      </c>
      <c r="H341">
        <v>163</v>
      </c>
    </row>
    <row r="342" spans="1:8" x14ac:dyDescent="0.25">
      <c r="A342" s="797" t="s">
        <v>140</v>
      </c>
      <c r="B342" s="762" t="s">
        <v>429</v>
      </c>
      <c r="C342" s="1048" t="s">
        <v>1127</v>
      </c>
      <c r="D342" s="53">
        <v>98</v>
      </c>
      <c r="E342" s="53" t="s">
        <v>5</v>
      </c>
      <c r="F342" s="53" t="s">
        <v>5</v>
      </c>
      <c r="G342" s="53" t="s">
        <v>5</v>
      </c>
      <c r="H342">
        <v>163</v>
      </c>
    </row>
    <row r="343" spans="1:8" x14ac:dyDescent="0.25">
      <c r="A343" s="457" t="s">
        <v>644</v>
      </c>
      <c r="B343" s="263" t="s">
        <v>429</v>
      </c>
      <c r="C343" s="804" t="s">
        <v>1129</v>
      </c>
      <c r="D343" s="53" t="s">
        <v>5</v>
      </c>
      <c r="E343" s="56">
        <v>95.722525488959917</v>
      </c>
      <c r="F343" s="56" t="s">
        <v>5</v>
      </c>
      <c r="G343" s="56" t="s">
        <v>5</v>
      </c>
      <c r="H343">
        <v>163</v>
      </c>
    </row>
    <row r="344" spans="1:8" x14ac:dyDescent="0.25">
      <c r="A344" s="788" t="s">
        <v>171</v>
      </c>
      <c r="B344" s="760" t="s">
        <v>429</v>
      </c>
      <c r="C344" s="1046" t="s">
        <v>1151</v>
      </c>
      <c r="D344" s="53">
        <v>51</v>
      </c>
      <c r="E344" s="53" t="s">
        <v>5</v>
      </c>
      <c r="F344" s="53" t="s">
        <v>5</v>
      </c>
      <c r="G344" s="53" t="s">
        <v>5</v>
      </c>
      <c r="H344">
        <v>163</v>
      </c>
    </row>
    <row r="345" spans="1:8" ht="15.75" thickBot="1" x14ac:dyDescent="0.3">
      <c r="A345" s="798" t="s">
        <v>761</v>
      </c>
      <c r="B345" s="1101" t="s">
        <v>429</v>
      </c>
      <c r="C345" s="1107" t="s">
        <v>1153</v>
      </c>
      <c r="D345" s="53" t="s">
        <v>5</v>
      </c>
      <c r="E345" s="53" t="s">
        <v>5</v>
      </c>
      <c r="F345" s="53">
        <v>54</v>
      </c>
      <c r="G345" s="53" t="s">
        <v>5</v>
      </c>
      <c r="H345">
        <v>163</v>
      </c>
    </row>
  </sheetData>
  <sortState ref="A300:G345">
    <sortCondition ref="G300:G345"/>
  </sortState>
  <mergeCells count="509">
    <mergeCell ref="W7:W13"/>
    <mergeCell ref="X7:X13"/>
    <mergeCell ref="Y7:Y13"/>
    <mergeCell ref="F5:I5"/>
    <mergeCell ref="J5:M5"/>
    <mergeCell ref="N5:Q5"/>
    <mergeCell ref="S5:Z5"/>
    <mergeCell ref="AA5:AD5"/>
    <mergeCell ref="A7:A13"/>
    <mergeCell ref="S7:S13"/>
    <mergeCell ref="T7:T13"/>
    <mergeCell ref="U7:U13"/>
    <mergeCell ref="V7:V13"/>
    <mergeCell ref="AC7:AC13"/>
    <mergeCell ref="AD7:AD13"/>
    <mergeCell ref="Z7:Z13"/>
    <mergeCell ref="AA7:AA13"/>
    <mergeCell ref="AB7:AB13"/>
    <mergeCell ref="Z15:Z23"/>
    <mergeCell ref="AA15:AA23"/>
    <mergeCell ref="AB15:AB23"/>
    <mergeCell ref="AC15:AC23"/>
    <mergeCell ref="AD15:AD23"/>
    <mergeCell ref="A24:A29"/>
    <mergeCell ref="S25:S29"/>
    <mergeCell ref="T25:T29"/>
    <mergeCell ref="U25:U29"/>
    <mergeCell ref="V25:V29"/>
    <mergeCell ref="W25:W29"/>
    <mergeCell ref="AA25:AA29"/>
    <mergeCell ref="AB25:AB29"/>
    <mergeCell ref="AC25:AC29"/>
    <mergeCell ref="AD25:AD29"/>
    <mergeCell ref="A15:A23"/>
    <mergeCell ref="S15:S23"/>
    <mergeCell ref="T15:T23"/>
    <mergeCell ref="U15:U23"/>
    <mergeCell ref="V15:V23"/>
    <mergeCell ref="W15:W23"/>
    <mergeCell ref="X15:X23"/>
    <mergeCell ref="Y15:Y23"/>
    <mergeCell ref="A30:A37"/>
    <mergeCell ref="S30:S37"/>
    <mergeCell ref="T30:T37"/>
    <mergeCell ref="U30:U37"/>
    <mergeCell ref="V30:V37"/>
    <mergeCell ref="AC30:AC37"/>
    <mergeCell ref="AD30:AD37"/>
    <mergeCell ref="A38:A40"/>
    <mergeCell ref="S38:S40"/>
    <mergeCell ref="T38:T40"/>
    <mergeCell ref="U38:U40"/>
    <mergeCell ref="V38:V40"/>
    <mergeCell ref="W38:W40"/>
    <mergeCell ref="X38:X40"/>
    <mergeCell ref="Y38:Y40"/>
    <mergeCell ref="W30:W37"/>
    <mergeCell ref="X30:X37"/>
    <mergeCell ref="Y30:Y37"/>
    <mergeCell ref="Z30:Z37"/>
    <mergeCell ref="AA30:AA37"/>
    <mergeCell ref="AB30:AB37"/>
    <mergeCell ref="Z38:Z40"/>
    <mergeCell ref="AA38:AA40"/>
    <mergeCell ref="AB38:AB40"/>
    <mergeCell ref="AC38:AC40"/>
    <mergeCell ref="AD38:AD40"/>
    <mergeCell ref="A42:A46"/>
    <mergeCell ref="S42:S46"/>
    <mergeCell ref="T42:T46"/>
    <mergeCell ref="U42:U46"/>
    <mergeCell ref="V42:V46"/>
    <mergeCell ref="A56:A62"/>
    <mergeCell ref="S56:S62"/>
    <mergeCell ref="T56:T62"/>
    <mergeCell ref="U56:U62"/>
    <mergeCell ref="V56:V62"/>
    <mergeCell ref="AC42:AC46"/>
    <mergeCell ref="AD42:AD46"/>
    <mergeCell ref="A48:A55"/>
    <mergeCell ref="S48:S55"/>
    <mergeCell ref="T48:T55"/>
    <mergeCell ref="U48:U55"/>
    <mergeCell ref="V48:V55"/>
    <mergeCell ref="W48:W55"/>
    <mergeCell ref="X48:X55"/>
    <mergeCell ref="Y48:Y55"/>
    <mergeCell ref="W42:W46"/>
    <mergeCell ref="X42:X46"/>
    <mergeCell ref="Y42:Y46"/>
    <mergeCell ref="Z42:Z46"/>
    <mergeCell ref="AA42:AA46"/>
    <mergeCell ref="AB42:AB46"/>
    <mergeCell ref="W56:W62"/>
    <mergeCell ref="X56:X62"/>
    <mergeCell ref="AA56:AA62"/>
    <mergeCell ref="AB56:AB62"/>
    <mergeCell ref="AC56:AC62"/>
    <mergeCell ref="AD56:AD62"/>
    <mergeCell ref="Z48:Z55"/>
    <mergeCell ref="AA48:AA55"/>
    <mergeCell ref="AB48:AB55"/>
    <mergeCell ref="AC48:AC55"/>
    <mergeCell ref="AD48:AD55"/>
    <mergeCell ref="AD63:AD67"/>
    <mergeCell ref="A69:A70"/>
    <mergeCell ref="S69:S70"/>
    <mergeCell ref="T69:T70"/>
    <mergeCell ref="U69:U70"/>
    <mergeCell ref="V69:V70"/>
    <mergeCell ref="W69:W70"/>
    <mergeCell ref="X69:X70"/>
    <mergeCell ref="Y69:Y70"/>
    <mergeCell ref="Z69:Z70"/>
    <mergeCell ref="X63:X67"/>
    <mergeCell ref="Y63:Y67"/>
    <mergeCell ref="Z63:Z67"/>
    <mergeCell ref="AA63:AA67"/>
    <mergeCell ref="AB63:AB67"/>
    <mergeCell ref="AC63:AC67"/>
    <mergeCell ref="A63:A67"/>
    <mergeCell ref="S63:S67"/>
    <mergeCell ref="AD69:AD70"/>
    <mergeCell ref="A71:A74"/>
    <mergeCell ref="S71:S74"/>
    <mergeCell ref="T71:T74"/>
    <mergeCell ref="U71:U74"/>
    <mergeCell ref="V71:V74"/>
    <mergeCell ref="W71:W74"/>
    <mergeCell ref="AD71:AD74"/>
    <mergeCell ref="X71:X74"/>
    <mergeCell ref="Y71:Y74"/>
    <mergeCell ref="Z71:Z74"/>
    <mergeCell ref="AA71:AA74"/>
    <mergeCell ref="AB71:AB74"/>
    <mergeCell ref="AC71:AC74"/>
    <mergeCell ref="T63:T67"/>
    <mergeCell ref="U63:U67"/>
    <mergeCell ref="V63:V67"/>
    <mergeCell ref="W63:W67"/>
    <mergeCell ref="AA69:AA70"/>
    <mergeCell ref="AB69:AB70"/>
    <mergeCell ref="AC69:AC70"/>
    <mergeCell ref="AA75:AA79"/>
    <mergeCell ref="AB75:AB79"/>
    <mergeCell ref="AC75:AC79"/>
    <mergeCell ref="AD75:AD79"/>
    <mergeCell ref="A80:A84"/>
    <mergeCell ref="S80:S84"/>
    <mergeCell ref="T80:T84"/>
    <mergeCell ref="U80:U84"/>
    <mergeCell ref="V80:V84"/>
    <mergeCell ref="W80:W84"/>
    <mergeCell ref="AD80:AD84"/>
    <mergeCell ref="X80:X84"/>
    <mergeCell ref="Y80:Y84"/>
    <mergeCell ref="Z80:Z84"/>
    <mergeCell ref="AA80:AA84"/>
    <mergeCell ref="AB80:AB84"/>
    <mergeCell ref="AC80:AC84"/>
    <mergeCell ref="A75:A79"/>
    <mergeCell ref="S75:S79"/>
    <mergeCell ref="T75:T79"/>
    <mergeCell ref="U75:U79"/>
    <mergeCell ref="V75:V79"/>
    <mergeCell ref="W75:W79"/>
    <mergeCell ref="X75:X79"/>
    <mergeCell ref="Y75:Y79"/>
    <mergeCell ref="Z75:Z79"/>
    <mergeCell ref="AA85:AA90"/>
    <mergeCell ref="AB85:AB90"/>
    <mergeCell ref="AC85:AC90"/>
    <mergeCell ref="AD85:AD90"/>
    <mergeCell ref="A91:A101"/>
    <mergeCell ref="S91:S101"/>
    <mergeCell ref="T91:T101"/>
    <mergeCell ref="U91:U101"/>
    <mergeCell ref="V91:V101"/>
    <mergeCell ref="W91:W101"/>
    <mergeCell ref="A85:A90"/>
    <mergeCell ref="S85:S90"/>
    <mergeCell ref="T85:T90"/>
    <mergeCell ref="U85:U90"/>
    <mergeCell ref="V85:V90"/>
    <mergeCell ref="W85:W90"/>
    <mergeCell ref="X85:X90"/>
    <mergeCell ref="Y85:Y90"/>
    <mergeCell ref="Z85:Z90"/>
    <mergeCell ref="AD91:AD101"/>
    <mergeCell ref="X91:X101"/>
    <mergeCell ref="Y91:Y101"/>
    <mergeCell ref="Z91:Z101"/>
    <mergeCell ref="AA91:AA101"/>
    <mergeCell ref="A103:A104"/>
    <mergeCell ref="A105:A109"/>
    <mergeCell ref="S105:S109"/>
    <mergeCell ref="T105:T109"/>
    <mergeCell ref="U105:U109"/>
    <mergeCell ref="V105:V109"/>
    <mergeCell ref="W105:W109"/>
    <mergeCell ref="X105:X109"/>
    <mergeCell ref="AA105:AA109"/>
    <mergeCell ref="AB91:AB101"/>
    <mergeCell ref="AC91:AC101"/>
    <mergeCell ref="AA110:AA114"/>
    <mergeCell ref="AB110:AB114"/>
    <mergeCell ref="AC110:AC114"/>
    <mergeCell ref="AD110:AD114"/>
    <mergeCell ref="AB105:AB109"/>
    <mergeCell ref="AC105:AC109"/>
    <mergeCell ref="AD105:AD109"/>
    <mergeCell ref="AA116:AA120"/>
    <mergeCell ref="AB116:AB120"/>
    <mergeCell ref="AC116:AC120"/>
    <mergeCell ref="AD116:AD120"/>
    <mergeCell ref="X110:X114"/>
    <mergeCell ref="Y110:Y114"/>
    <mergeCell ref="T122:T126"/>
    <mergeCell ref="U122:U126"/>
    <mergeCell ref="V122:V126"/>
    <mergeCell ref="AC122:AC126"/>
    <mergeCell ref="AD122:AD126"/>
    <mergeCell ref="Z122:Z126"/>
    <mergeCell ref="AA122:AA126"/>
    <mergeCell ref="AB122:AB126"/>
    <mergeCell ref="Y122:Y126"/>
    <mergeCell ref="A116:A120"/>
    <mergeCell ref="S116:S120"/>
    <mergeCell ref="T116:T120"/>
    <mergeCell ref="U116:U120"/>
    <mergeCell ref="V116:V120"/>
    <mergeCell ref="Z110:Z114"/>
    <mergeCell ref="A110:A114"/>
    <mergeCell ref="S110:S114"/>
    <mergeCell ref="T110:T114"/>
    <mergeCell ref="U110:U114"/>
    <mergeCell ref="V110:V114"/>
    <mergeCell ref="W110:W114"/>
    <mergeCell ref="W116:W120"/>
    <mergeCell ref="X116:X120"/>
    <mergeCell ref="Z127:Z134"/>
    <mergeCell ref="AA127:AA134"/>
    <mergeCell ref="AB127:AB134"/>
    <mergeCell ref="AC127:AC134"/>
    <mergeCell ref="AD127:AD134"/>
    <mergeCell ref="A122:A126"/>
    <mergeCell ref="S122:S126"/>
    <mergeCell ref="A136:A140"/>
    <mergeCell ref="S136:S140"/>
    <mergeCell ref="T136:T140"/>
    <mergeCell ref="AA136:AA140"/>
    <mergeCell ref="AB136:AB140"/>
    <mergeCell ref="AC136:AC140"/>
    <mergeCell ref="AD136:AD140"/>
    <mergeCell ref="A127:A134"/>
    <mergeCell ref="S127:S134"/>
    <mergeCell ref="T127:T134"/>
    <mergeCell ref="U127:U134"/>
    <mergeCell ref="V127:V134"/>
    <mergeCell ref="W127:W134"/>
    <mergeCell ref="X127:X134"/>
    <mergeCell ref="Y127:Y134"/>
    <mergeCell ref="W122:W126"/>
    <mergeCell ref="X122:X126"/>
    <mergeCell ref="AA146:AA151"/>
    <mergeCell ref="AB146:AB151"/>
    <mergeCell ref="AC146:AC151"/>
    <mergeCell ref="AD146:AD151"/>
    <mergeCell ref="A152:A156"/>
    <mergeCell ref="S152:S156"/>
    <mergeCell ref="T152:T156"/>
    <mergeCell ref="AA152:AA156"/>
    <mergeCell ref="AB152:AB156"/>
    <mergeCell ref="AC152:AC156"/>
    <mergeCell ref="AD152:AD156"/>
    <mergeCell ref="A146:A151"/>
    <mergeCell ref="S146:S151"/>
    <mergeCell ref="T146:T151"/>
    <mergeCell ref="U146:U151"/>
    <mergeCell ref="V146:V151"/>
    <mergeCell ref="W146:W151"/>
    <mergeCell ref="X146:X151"/>
    <mergeCell ref="Y146:Y151"/>
    <mergeCell ref="Z146:Z151"/>
    <mergeCell ref="AA158:AA163"/>
    <mergeCell ref="AB158:AB163"/>
    <mergeCell ref="AC158:AC163"/>
    <mergeCell ref="AD158:AD163"/>
    <mergeCell ref="A165:A169"/>
    <mergeCell ref="S165:S169"/>
    <mergeCell ref="T165:T169"/>
    <mergeCell ref="U165:U169"/>
    <mergeCell ref="V165:V169"/>
    <mergeCell ref="AA165:AA169"/>
    <mergeCell ref="AB165:AB169"/>
    <mergeCell ref="AC165:AC169"/>
    <mergeCell ref="AD165:AD169"/>
    <mergeCell ref="A158:A164"/>
    <mergeCell ref="S158:S163"/>
    <mergeCell ref="T158:T163"/>
    <mergeCell ref="U158:U163"/>
    <mergeCell ref="V158:V163"/>
    <mergeCell ref="W158:W163"/>
    <mergeCell ref="X158:X163"/>
    <mergeCell ref="Y158:Y163"/>
    <mergeCell ref="Z158:Z163"/>
    <mergeCell ref="A171:A173"/>
    <mergeCell ref="S171:S173"/>
    <mergeCell ref="T171:T173"/>
    <mergeCell ref="U171:U173"/>
    <mergeCell ref="V171:V173"/>
    <mergeCell ref="W171:W173"/>
    <mergeCell ref="AD171:AD173"/>
    <mergeCell ref="A174:A179"/>
    <mergeCell ref="S174:S179"/>
    <mergeCell ref="T174:T179"/>
    <mergeCell ref="U174:U179"/>
    <mergeCell ref="V174:V179"/>
    <mergeCell ref="W174:W179"/>
    <mergeCell ref="X174:X179"/>
    <mergeCell ref="Y174:Y179"/>
    <mergeCell ref="Z174:Z179"/>
    <mergeCell ref="X171:X173"/>
    <mergeCell ref="Y171:Y173"/>
    <mergeCell ref="Z171:Z173"/>
    <mergeCell ref="AA171:AA173"/>
    <mergeCell ref="AB171:AB173"/>
    <mergeCell ref="AC171:AC173"/>
    <mergeCell ref="AA174:AA179"/>
    <mergeCell ref="AB174:AB179"/>
    <mergeCell ref="AC174:AC179"/>
    <mergeCell ref="AD174:AD179"/>
    <mergeCell ref="A180:A186"/>
    <mergeCell ref="S180:S186"/>
    <mergeCell ref="T180:T186"/>
    <mergeCell ref="U180:U186"/>
    <mergeCell ref="V180:V186"/>
    <mergeCell ref="W180:W186"/>
    <mergeCell ref="AD180:AD186"/>
    <mergeCell ref="X180:X186"/>
    <mergeCell ref="Y180:Y186"/>
    <mergeCell ref="Z180:Z186"/>
    <mergeCell ref="AA180:AA186"/>
    <mergeCell ref="AB180:AB186"/>
    <mergeCell ref="AC180:AC186"/>
    <mergeCell ref="AD228:AD229"/>
    <mergeCell ref="X228:X229"/>
    <mergeCell ref="Y228:Y229"/>
    <mergeCell ref="Z228:Z229"/>
    <mergeCell ref="AA228:AA229"/>
    <mergeCell ref="AB228:AB229"/>
    <mergeCell ref="AC228:AC229"/>
    <mergeCell ref="Y187:Y227"/>
    <mergeCell ref="Z187:Z227"/>
    <mergeCell ref="AA187:AA227"/>
    <mergeCell ref="AB187:AB227"/>
    <mergeCell ref="AC187:AC227"/>
    <mergeCell ref="AD187:AD227"/>
    <mergeCell ref="U187:U227"/>
    <mergeCell ref="V187:V227"/>
    <mergeCell ref="W187:W227"/>
    <mergeCell ref="X187:X227"/>
    <mergeCell ref="A243:A245"/>
    <mergeCell ref="S243:S245"/>
    <mergeCell ref="T243:T245"/>
    <mergeCell ref="AB243:AB245"/>
    <mergeCell ref="AC243:AC245"/>
    <mergeCell ref="A228:A229"/>
    <mergeCell ref="S228:S229"/>
    <mergeCell ref="T228:T229"/>
    <mergeCell ref="U228:U229"/>
    <mergeCell ref="V228:V229"/>
    <mergeCell ref="W228:W229"/>
    <mergeCell ref="A187:A227"/>
    <mergeCell ref="S187:S227"/>
    <mergeCell ref="T187:T227"/>
    <mergeCell ref="AD243:AD245"/>
    <mergeCell ref="AA230:AA238"/>
    <mergeCell ref="AB230:AB238"/>
    <mergeCell ref="AC230:AC238"/>
    <mergeCell ref="AD230:AD238"/>
    <mergeCell ref="A239:A241"/>
    <mergeCell ref="AB239:AB241"/>
    <mergeCell ref="AC239:AC241"/>
    <mergeCell ref="AD239:AD241"/>
    <mergeCell ref="A230:A238"/>
    <mergeCell ref="S230:S238"/>
    <mergeCell ref="T230:T238"/>
    <mergeCell ref="U230:U238"/>
    <mergeCell ref="V230:V238"/>
    <mergeCell ref="W230:W238"/>
    <mergeCell ref="X230:X238"/>
    <mergeCell ref="Y230:Y238"/>
    <mergeCell ref="Z230:Z238"/>
    <mergeCell ref="AD248:AD255"/>
    <mergeCell ref="A256:A260"/>
    <mergeCell ref="S256:S260"/>
    <mergeCell ref="T256:T260"/>
    <mergeCell ref="U256:U260"/>
    <mergeCell ref="V256:V260"/>
    <mergeCell ref="W256:W260"/>
    <mergeCell ref="X256:X260"/>
    <mergeCell ref="Y256:Y260"/>
    <mergeCell ref="Z256:Z260"/>
    <mergeCell ref="X248:X255"/>
    <mergeCell ref="Y248:Y255"/>
    <mergeCell ref="Z248:Z255"/>
    <mergeCell ref="AA248:AA255"/>
    <mergeCell ref="AB248:AB255"/>
    <mergeCell ref="AC248:AC255"/>
    <mergeCell ref="A248:A255"/>
    <mergeCell ref="S248:S255"/>
    <mergeCell ref="T248:T255"/>
    <mergeCell ref="U248:U255"/>
    <mergeCell ref="V248:V255"/>
    <mergeCell ref="W248:W255"/>
    <mergeCell ref="AA256:AA260"/>
    <mergeCell ref="AB256:AB260"/>
    <mergeCell ref="Y266:Y270"/>
    <mergeCell ref="Z266:Z270"/>
    <mergeCell ref="AC256:AC260"/>
    <mergeCell ref="AD256:AD260"/>
    <mergeCell ref="A261:A265"/>
    <mergeCell ref="S261:S265"/>
    <mergeCell ref="T261:T265"/>
    <mergeCell ref="U261:U265"/>
    <mergeCell ref="V261:V265"/>
    <mergeCell ref="W261:W265"/>
    <mergeCell ref="AD261:AD265"/>
    <mergeCell ref="X261:X265"/>
    <mergeCell ref="Y261:Y265"/>
    <mergeCell ref="Z261:Z265"/>
    <mergeCell ref="AA261:AA265"/>
    <mergeCell ref="AB261:AB265"/>
    <mergeCell ref="AC261:AC265"/>
    <mergeCell ref="AA266:AA270"/>
    <mergeCell ref="AB266:AB270"/>
    <mergeCell ref="AC266:AC270"/>
    <mergeCell ref="AD266:AD270"/>
    <mergeCell ref="A266:A270"/>
    <mergeCell ref="S266:S270"/>
    <mergeCell ref="T266:T270"/>
    <mergeCell ref="A274:A276"/>
    <mergeCell ref="S274:S276"/>
    <mergeCell ref="T274:T276"/>
    <mergeCell ref="U274:U276"/>
    <mergeCell ref="V274:V276"/>
    <mergeCell ref="W274:W276"/>
    <mergeCell ref="AD274:AD276"/>
    <mergeCell ref="X274:X276"/>
    <mergeCell ref="Y274:Y276"/>
    <mergeCell ref="Z274:Z276"/>
    <mergeCell ref="AA274:AA276"/>
    <mergeCell ref="AB274:AB276"/>
    <mergeCell ref="AC274:AC276"/>
    <mergeCell ref="U266:U270"/>
    <mergeCell ref="V266:V270"/>
    <mergeCell ref="W266:W270"/>
    <mergeCell ref="X266:X270"/>
    <mergeCell ref="AA277:AA280"/>
    <mergeCell ref="AB277:AB280"/>
    <mergeCell ref="AC277:AC280"/>
    <mergeCell ref="AD277:AD280"/>
    <mergeCell ref="A281:A285"/>
    <mergeCell ref="S281:S285"/>
    <mergeCell ref="T281:T285"/>
    <mergeCell ref="U281:U285"/>
    <mergeCell ref="V281:V285"/>
    <mergeCell ref="W281:W285"/>
    <mergeCell ref="A277:A280"/>
    <mergeCell ref="S277:S280"/>
    <mergeCell ref="T277:T280"/>
    <mergeCell ref="U277:U280"/>
    <mergeCell ref="V277:V280"/>
    <mergeCell ref="W277:W280"/>
    <mergeCell ref="X277:X280"/>
    <mergeCell ref="Y277:Y280"/>
    <mergeCell ref="Z277:Z280"/>
    <mergeCell ref="AD281:AD285"/>
    <mergeCell ref="AB281:AB285"/>
    <mergeCell ref="AC281:AC285"/>
    <mergeCell ref="AB293:AB296"/>
    <mergeCell ref="AC293:AC296"/>
    <mergeCell ref="AD293:AD296"/>
    <mergeCell ref="AA286:AA292"/>
    <mergeCell ref="AB286:AB292"/>
    <mergeCell ref="AC286:AC292"/>
    <mergeCell ref="AD286:AD292"/>
    <mergeCell ref="A293:A296"/>
    <mergeCell ref="S293:S296"/>
    <mergeCell ref="T293:T296"/>
    <mergeCell ref="U293:U296"/>
    <mergeCell ref="V293:V296"/>
    <mergeCell ref="W293:W296"/>
    <mergeCell ref="X293:X296"/>
    <mergeCell ref="AA293:AA296"/>
    <mergeCell ref="X281:X285"/>
    <mergeCell ref="Y281:Y285"/>
    <mergeCell ref="Z281:Z285"/>
    <mergeCell ref="AA281:AA285"/>
    <mergeCell ref="A286:A292"/>
    <mergeCell ref="S286:S292"/>
    <mergeCell ref="T286:T292"/>
    <mergeCell ref="U286:U292"/>
    <mergeCell ref="V286:V292"/>
    <mergeCell ref="W286:W292"/>
    <mergeCell ref="X286:X292"/>
    <mergeCell ref="Y286:Y292"/>
    <mergeCell ref="Z286:Z292"/>
  </mergeCells>
  <pageMargins left="0.70866141732283472" right="0.70866141732283472" top="0.74803149606299213" bottom="0.74803149606299213" header="0.31496062992125984" footer="0.31496062992125984"/>
  <pageSetup paperSize="8" scale="70" orientation="portrait" r:id="rId1"/>
  <rowBreaks count="1" manualBreakCount="1">
    <brk id="157" max="16383" man="1"/>
  </rowBreaks>
  <drawing r:id="rId2"/>
  <legacy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CN165"/>
  <sheetViews>
    <sheetView workbookViewId="0">
      <selection activeCell="F17" sqref="F17"/>
    </sheetView>
  </sheetViews>
  <sheetFormatPr defaultColWidth="11.42578125" defaultRowHeight="15" x14ac:dyDescent="0.25"/>
  <cols>
    <col min="1" max="1" width="8.42578125" customWidth="1"/>
    <col min="2" max="3" width="7.85546875" customWidth="1"/>
    <col min="4" max="4" width="58" customWidth="1"/>
    <col min="5" max="5" width="28" customWidth="1"/>
    <col min="6" max="6" width="14" style="430" customWidth="1"/>
    <col min="7" max="9" width="12.7109375" style="430" customWidth="1"/>
    <col min="10" max="13" width="12.7109375" customWidth="1"/>
    <col min="14" max="20" width="12.7109375" style="430" customWidth="1"/>
    <col min="21" max="21" width="12.7109375" customWidth="1"/>
    <col min="22" max="22" width="12.7109375" style="430" customWidth="1"/>
    <col min="23" max="23" width="14.140625" customWidth="1"/>
    <col min="24" max="24" width="11.28515625" customWidth="1"/>
    <col min="25" max="26" width="11.28515625" style="430" customWidth="1"/>
    <col min="27" max="27" width="12.7109375" style="430" customWidth="1"/>
    <col min="28" max="28" width="13.5703125" style="430" customWidth="1"/>
    <col min="29" max="29" width="12.7109375" customWidth="1"/>
    <col min="30" max="30" width="12.7109375" style="430" customWidth="1"/>
    <col min="31" max="31" width="11.28515625" customWidth="1"/>
    <col min="32" max="33" width="11.28515625" style="430" customWidth="1"/>
    <col min="34" max="34" width="15.140625" style="430" bestFit="1" customWidth="1"/>
    <col min="35" max="36" width="11.28515625" style="430" customWidth="1"/>
    <col min="37" max="37" width="11.28515625" customWidth="1"/>
    <col min="38" max="38" width="14" style="430" customWidth="1"/>
    <col min="39" max="39" width="14" customWidth="1"/>
    <col min="40" max="40" width="14" style="430" customWidth="1"/>
    <col min="41" max="43" width="12.7109375" style="430" customWidth="1"/>
    <col min="44" max="44" width="14.42578125" customWidth="1"/>
    <col min="45" max="250" width="11.28515625" customWidth="1"/>
  </cols>
  <sheetData>
    <row r="1" spans="1:92" ht="15.75" thickBot="1" x14ac:dyDescent="0.3">
      <c r="D1" s="88"/>
    </row>
    <row r="2" spans="1:92" s="29" customFormat="1" ht="42.75" customHeight="1" x14ac:dyDescent="0.25">
      <c r="A2" s="114" t="s">
        <v>1223</v>
      </c>
      <c r="B2" s="115"/>
      <c r="C2" s="115"/>
      <c r="D2" s="116"/>
      <c r="E2" s="206"/>
      <c r="F2" s="627" t="s">
        <v>33</v>
      </c>
      <c r="G2" s="598" t="s">
        <v>524</v>
      </c>
      <c r="H2" s="598" t="s">
        <v>34</v>
      </c>
      <c r="I2" s="598" t="s">
        <v>4</v>
      </c>
      <c r="J2" s="598" t="s">
        <v>6</v>
      </c>
      <c r="K2" s="598" t="s">
        <v>49</v>
      </c>
      <c r="L2" s="598" t="s">
        <v>7</v>
      </c>
      <c r="M2" s="598" t="s">
        <v>343</v>
      </c>
      <c r="N2" s="598" t="s">
        <v>8</v>
      </c>
      <c r="O2" s="711" t="s">
        <v>585</v>
      </c>
      <c r="P2" s="627" t="s">
        <v>9</v>
      </c>
      <c r="Q2" s="627" t="s">
        <v>10</v>
      </c>
      <c r="R2" s="627" t="s">
        <v>910</v>
      </c>
      <c r="S2" s="598" t="s">
        <v>11</v>
      </c>
      <c r="T2" s="627" t="s">
        <v>456</v>
      </c>
      <c r="U2" s="627" t="s">
        <v>13</v>
      </c>
      <c r="V2" s="598" t="s">
        <v>12</v>
      </c>
      <c r="W2" s="598" t="s">
        <v>14</v>
      </c>
      <c r="X2" s="598" t="s">
        <v>45</v>
      </c>
      <c r="Y2" s="598" t="s">
        <v>639</v>
      </c>
      <c r="Z2" s="598" t="s">
        <v>17</v>
      </c>
      <c r="AA2" s="598" t="s">
        <v>18</v>
      </c>
      <c r="AB2" s="598" t="s">
        <v>586</v>
      </c>
      <c r="AC2" s="598" t="s">
        <v>774</v>
      </c>
      <c r="AD2" s="598" t="s">
        <v>38</v>
      </c>
      <c r="AE2" s="598" t="s">
        <v>20</v>
      </c>
      <c r="AF2" s="627" t="s">
        <v>21</v>
      </c>
      <c r="AG2" s="627" t="s">
        <v>22</v>
      </c>
      <c r="AH2" s="627" t="s">
        <v>23</v>
      </c>
      <c r="AI2" s="598" t="s">
        <v>40</v>
      </c>
      <c r="AJ2" s="598" t="s">
        <v>693</v>
      </c>
      <c r="AK2" s="598" t="s">
        <v>471</v>
      </c>
      <c r="AL2" s="598" t="s">
        <v>25</v>
      </c>
      <c r="AM2" s="598" t="s">
        <v>26</v>
      </c>
      <c r="AN2" s="598" t="s">
        <v>48</v>
      </c>
      <c r="AO2" s="598" t="s">
        <v>28</v>
      </c>
      <c r="AP2" s="598" t="s">
        <v>927</v>
      </c>
      <c r="AQ2" s="598" t="s">
        <v>505</v>
      </c>
      <c r="AR2" s="627" t="s">
        <v>31</v>
      </c>
    </row>
    <row r="3" spans="1:92" s="29" customFormat="1" ht="6" customHeight="1" x14ac:dyDescent="0.25">
      <c r="D3" s="117"/>
      <c r="E3" s="170"/>
      <c r="F3" s="463"/>
      <c r="G3" s="463"/>
      <c r="H3" s="463"/>
      <c r="I3" s="463"/>
      <c r="J3" s="463"/>
      <c r="K3" s="466"/>
      <c r="L3" s="403"/>
      <c r="M3" s="463"/>
      <c r="N3" s="466"/>
      <c r="O3" s="466"/>
      <c r="P3" s="466"/>
      <c r="Q3" s="466"/>
      <c r="R3" s="466"/>
      <c r="S3" s="463"/>
      <c r="T3" s="463"/>
      <c r="U3" s="403"/>
      <c r="V3" s="463"/>
      <c r="W3" s="466"/>
      <c r="X3" s="463"/>
      <c r="Y3" s="466"/>
      <c r="Z3" s="463"/>
      <c r="AA3" s="463"/>
      <c r="AB3" s="466"/>
      <c r="AC3" s="403"/>
      <c r="AD3" s="466"/>
      <c r="AE3" s="402"/>
      <c r="AF3" s="466"/>
      <c r="AG3" s="466"/>
      <c r="AH3" s="463"/>
      <c r="AI3" s="463"/>
      <c r="AJ3" s="466"/>
      <c r="AK3" s="466"/>
      <c r="AL3" s="463"/>
      <c r="AM3" s="403"/>
      <c r="AN3" s="463"/>
      <c r="AO3" s="463"/>
      <c r="AP3" s="466"/>
      <c r="AQ3" s="463"/>
      <c r="AR3" s="402"/>
    </row>
    <row r="4" spans="1:92" s="29" customFormat="1" x14ac:dyDescent="0.25">
      <c r="A4" s="118"/>
      <c r="B4" s="119"/>
      <c r="C4" s="119"/>
      <c r="D4" s="120"/>
      <c r="E4" s="171"/>
      <c r="F4" s="463"/>
      <c r="G4" s="463"/>
      <c r="H4" s="463"/>
      <c r="I4" s="463"/>
      <c r="J4" s="463"/>
      <c r="K4" s="466"/>
      <c r="L4" s="403"/>
      <c r="M4" s="463"/>
      <c r="N4" s="466"/>
      <c r="O4" s="466"/>
      <c r="P4" s="466"/>
      <c r="Q4" s="466"/>
      <c r="R4" s="466"/>
      <c r="S4" s="463"/>
      <c r="T4" s="463"/>
      <c r="U4" s="403"/>
      <c r="V4" s="463"/>
      <c r="W4" s="466"/>
      <c r="X4" s="463"/>
      <c r="Y4" s="466"/>
      <c r="Z4" s="463"/>
      <c r="AA4" s="463"/>
      <c r="AB4" s="466"/>
      <c r="AC4" s="403"/>
      <c r="AD4" s="466"/>
      <c r="AE4" s="402"/>
      <c r="AF4" s="466"/>
      <c r="AG4" s="466"/>
      <c r="AH4" s="463"/>
      <c r="AI4" s="463"/>
      <c r="AJ4" s="466"/>
      <c r="AK4" s="466"/>
      <c r="AL4" s="463"/>
      <c r="AM4" s="403"/>
      <c r="AN4" s="463"/>
      <c r="AO4" s="463"/>
      <c r="AP4" s="466"/>
      <c r="AQ4" s="463"/>
      <c r="AR4" s="402"/>
    </row>
    <row r="5" spans="1:92" s="29" customFormat="1" ht="27" customHeight="1" x14ac:dyDescent="0.25">
      <c r="A5" s="121" t="s">
        <v>255</v>
      </c>
      <c r="B5" s="122"/>
      <c r="C5" s="122"/>
      <c r="D5" s="123"/>
      <c r="E5" s="172"/>
      <c r="F5" s="463"/>
      <c r="G5" s="463"/>
      <c r="H5" s="463"/>
      <c r="I5" s="463"/>
      <c r="J5" s="463"/>
      <c r="K5" s="466"/>
      <c r="L5" s="403"/>
      <c r="M5" s="463"/>
      <c r="N5" s="466"/>
      <c r="O5" s="466"/>
      <c r="P5" s="466"/>
      <c r="Q5" s="466"/>
      <c r="R5" s="466"/>
      <c r="S5" s="463"/>
      <c r="T5" s="463"/>
      <c r="U5" s="403"/>
      <c r="V5" s="463"/>
      <c r="W5" s="466"/>
      <c r="X5" s="463"/>
      <c r="Y5" s="466"/>
      <c r="Z5" s="463"/>
      <c r="AA5" s="463"/>
      <c r="AB5" s="466"/>
      <c r="AC5" s="403"/>
      <c r="AD5" s="466"/>
      <c r="AE5" s="402"/>
      <c r="AF5" s="466"/>
      <c r="AG5" s="466"/>
      <c r="AH5" s="463"/>
      <c r="AI5" s="463"/>
      <c r="AJ5" s="466"/>
      <c r="AK5" s="466"/>
      <c r="AL5" s="463"/>
      <c r="AM5" s="403"/>
      <c r="AN5" s="463"/>
      <c r="AO5" s="463"/>
      <c r="AP5" s="466"/>
      <c r="AQ5" s="463"/>
      <c r="AR5" s="463"/>
    </row>
    <row r="6" spans="1:92" s="29" customFormat="1" ht="20.100000000000001" customHeight="1" x14ac:dyDescent="0.25">
      <c r="A6" s="124" t="s">
        <v>298</v>
      </c>
      <c r="B6" s="125"/>
      <c r="C6" s="125"/>
      <c r="D6" s="126"/>
      <c r="E6" s="171"/>
      <c r="F6" s="463"/>
      <c r="G6" s="463"/>
      <c r="H6" s="463"/>
      <c r="I6" s="463"/>
      <c r="J6" s="463"/>
      <c r="K6" s="466"/>
      <c r="L6" s="403"/>
      <c r="M6" s="463"/>
      <c r="N6" s="466"/>
      <c r="O6" s="466"/>
      <c r="P6" s="466"/>
      <c r="Q6" s="466"/>
      <c r="R6" s="466"/>
      <c r="S6" s="463"/>
      <c r="T6" s="463"/>
      <c r="U6" s="403"/>
      <c r="V6" s="463"/>
      <c r="W6" s="466"/>
      <c r="X6" s="463"/>
      <c r="Y6" s="466"/>
      <c r="Z6" s="463"/>
      <c r="AA6" s="463"/>
      <c r="AB6" s="466"/>
      <c r="AC6" s="403"/>
      <c r="AD6" s="466"/>
      <c r="AE6" s="402"/>
      <c r="AF6" s="466"/>
      <c r="AG6" s="466"/>
      <c r="AH6" s="463"/>
      <c r="AI6" s="463"/>
      <c r="AJ6" s="466"/>
      <c r="AK6" s="466"/>
      <c r="AL6" s="463"/>
      <c r="AM6" s="403"/>
      <c r="AN6" s="463"/>
      <c r="AO6" s="463"/>
      <c r="AP6" s="466"/>
      <c r="AQ6" s="463"/>
      <c r="AR6" s="463"/>
      <c r="AS6" s="127"/>
      <c r="AT6" s="127"/>
      <c r="AU6" s="127"/>
      <c r="AV6" s="127"/>
      <c r="AW6" s="127"/>
      <c r="AX6" s="127"/>
      <c r="AY6" s="127"/>
      <c r="AZ6" s="127"/>
      <c r="BA6" s="127"/>
      <c r="BB6" s="127"/>
      <c r="BC6" s="127"/>
      <c r="BD6" s="127"/>
      <c r="BE6" s="127"/>
      <c r="BF6" s="127"/>
      <c r="BG6" s="127"/>
      <c r="BH6" s="127"/>
      <c r="BI6" s="127"/>
      <c r="BJ6" s="127"/>
      <c r="BK6" s="127"/>
      <c r="BL6" s="127"/>
      <c r="BM6" s="127"/>
      <c r="BN6" s="127"/>
      <c r="BO6" s="127"/>
      <c r="BP6" s="127"/>
      <c r="BQ6" s="127"/>
      <c r="BR6" s="127"/>
      <c r="BS6" s="127"/>
      <c r="BT6" s="127"/>
      <c r="BU6" s="127"/>
      <c r="BV6" s="127"/>
      <c r="BW6" s="127"/>
      <c r="BX6" s="127"/>
      <c r="BY6" s="127"/>
    </row>
    <row r="7" spans="1:92" s="29" customFormat="1" ht="26.25" customHeight="1" x14ac:dyDescent="0.25">
      <c r="A7" s="128" t="s">
        <v>256</v>
      </c>
      <c r="B7" s="129"/>
      <c r="C7" s="129"/>
      <c r="D7" s="130"/>
      <c r="E7" s="207"/>
      <c r="F7" s="600" t="s">
        <v>453</v>
      </c>
      <c r="G7" s="600" t="s">
        <v>430</v>
      </c>
      <c r="H7" s="600" t="s">
        <v>454</v>
      </c>
      <c r="I7" s="600" t="s">
        <v>435</v>
      </c>
      <c r="J7" s="600" t="s">
        <v>430</v>
      </c>
      <c r="K7" s="600" t="s">
        <v>453</v>
      </c>
      <c r="L7" s="600" t="s">
        <v>454</v>
      </c>
      <c r="M7" s="600" t="s">
        <v>435</v>
      </c>
      <c r="N7" s="600" t="s">
        <v>435</v>
      </c>
      <c r="O7" s="600" t="s">
        <v>465</v>
      </c>
      <c r="P7" s="600" t="s">
        <v>465</v>
      </c>
      <c r="Q7" s="600" t="s">
        <v>510</v>
      </c>
      <c r="R7" s="600" t="s">
        <v>970</v>
      </c>
      <c r="S7" s="600" t="s">
        <v>894</v>
      </c>
      <c r="T7" s="642" t="s">
        <v>721</v>
      </c>
      <c r="U7" s="642" t="s">
        <v>435</v>
      </c>
      <c r="V7" s="600" t="s">
        <v>435</v>
      </c>
      <c r="W7" s="600" t="s">
        <v>510</v>
      </c>
      <c r="X7" s="600" t="s">
        <v>500</v>
      </c>
      <c r="Y7" s="600" t="s">
        <v>439</v>
      </c>
      <c r="Z7" s="642" t="s">
        <v>988</v>
      </c>
      <c r="AA7" s="600" t="s">
        <v>439</v>
      </c>
      <c r="AB7" s="600" t="s">
        <v>465</v>
      </c>
      <c r="AC7" s="600" t="s">
        <v>994</v>
      </c>
      <c r="AD7" s="600" t="s">
        <v>435</v>
      </c>
      <c r="AE7" s="600" t="s">
        <v>997</v>
      </c>
      <c r="AF7" s="600" t="s">
        <v>435</v>
      </c>
      <c r="AG7" s="600" t="s">
        <v>430</v>
      </c>
      <c r="AH7" s="600" t="s">
        <v>1002</v>
      </c>
      <c r="AI7" s="600" t="s">
        <v>430</v>
      </c>
      <c r="AJ7" s="600" t="s">
        <v>435</v>
      </c>
      <c r="AK7" s="600" t="s">
        <v>1155</v>
      </c>
      <c r="AL7" s="600" t="s">
        <v>435</v>
      </c>
      <c r="AM7" s="600" t="s">
        <v>1009</v>
      </c>
      <c r="AN7" s="600" t="s">
        <v>435</v>
      </c>
      <c r="AO7" s="600" t="s">
        <v>435</v>
      </c>
      <c r="AP7" s="600" t="s">
        <v>439</v>
      </c>
      <c r="AQ7" s="642" t="s">
        <v>1012</v>
      </c>
      <c r="AR7" s="600" t="s">
        <v>435</v>
      </c>
      <c r="AS7" s="131"/>
      <c r="AT7" s="131"/>
      <c r="AU7" s="131"/>
      <c r="AV7" s="131"/>
      <c r="AW7" s="131"/>
      <c r="AX7" s="131"/>
      <c r="AY7" s="131"/>
      <c r="AZ7" s="131"/>
      <c r="BA7" s="131"/>
      <c r="BB7" s="131"/>
      <c r="BC7" s="131"/>
      <c r="BD7" s="131"/>
      <c r="BE7" s="131"/>
      <c r="BF7" s="131"/>
      <c r="BG7" s="131"/>
      <c r="BH7" s="131"/>
      <c r="BI7" s="131"/>
      <c r="BJ7" s="131"/>
      <c r="BK7" s="131"/>
      <c r="BL7" s="131"/>
      <c r="BM7" s="131"/>
      <c r="BN7" s="131"/>
      <c r="BO7" s="131"/>
      <c r="BP7" s="131"/>
      <c r="BQ7" s="131"/>
      <c r="BR7" s="131"/>
      <c r="BS7" s="131"/>
      <c r="BT7" s="131"/>
      <c r="BU7" s="131"/>
      <c r="BV7" s="131"/>
      <c r="BW7" s="131"/>
      <c r="BX7" s="131"/>
      <c r="BY7" s="131"/>
      <c r="BZ7" s="132"/>
      <c r="CA7" s="132"/>
      <c r="CB7" s="132"/>
    </row>
    <row r="8" spans="1:92" s="29" customFormat="1" ht="32.25" customHeight="1" x14ac:dyDescent="0.25">
      <c r="A8" s="164" t="s">
        <v>299</v>
      </c>
      <c r="B8" s="129"/>
      <c r="C8" s="129"/>
      <c r="D8" s="130"/>
      <c r="E8" s="173"/>
      <c r="F8" s="600" t="s">
        <v>430</v>
      </c>
      <c r="G8" s="600" t="s">
        <v>953</v>
      </c>
      <c r="H8" s="600" t="s">
        <v>960</v>
      </c>
      <c r="I8" s="725" t="s">
        <v>435</v>
      </c>
      <c r="J8" s="601" t="s">
        <v>453</v>
      </c>
      <c r="K8" s="600" t="s">
        <v>962</v>
      </c>
      <c r="L8" s="642" t="s">
        <v>964</v>
      </c>
      <c r="M8" s="725" t="s">
        <v>435</v>
      </c>
      <c r="N8" s="601" t="s">
        <v>435</v>
      </c>
      <c r="O8" s="601" t="s">
        <v>465</v>
      </c>
      <c r="P8" s="601" t="s">
        <v>465</v>
      </c>
      <c r="Q8" s="601" t="s">
        <v>510</v>
      </c>
      <c r="R8" s="601" t="s">
        <v>971</v>
      </c>
      <c r="S8" s="601" t="s">
        <v>500</v>
      </c>
      <c r="T8" s="757" t="s">
        <v>726</v>
      </c>
      <c r="U8" s="643" t="s">
        <v>435</v>
      </c>
      <c r="V8" s="601" t="s">
        <v>435</v>
      </c>
      <c r="W8" s="601" t="s">
        <v>983</v>
      </c>
      <c r="X8" s="601" t="s">
        <v>454</v>
      </c>
      <c r="Y8" s="600" t="s">
        <v>921</v>
      </c>
      <c r="Z8" s="642" t="s">
        <v>988</v>
      </c>
      <c r="AA8" s="601" t="s">
        <v>439</v>
      </c>
      <c r="AB8" s="601" t="s">
        <v>465</v>
      </c>
      <c r="AC8" s="642" t="s">
        <v>752</v>
      </c>
      <c r="AD8" s="601" t="s">
        <v>435</v>
      </c>
      <c r="AE8" s="600" t="s">
        <v>997</v>
      </c>
      <c r="AF8" s="601" t="s">
        <v>435</v>
      </c>
      <c r="AG8" s="600" t="s">
        <v>465</v>
      </c>
      <c r="AH8" s="600" t="s">
        <v>1002</v>
      </c>
      <c r="AI8" s="600" t="s">
        <v>430</v>
      </c>
      <c r="AJ8" s="601" t="s">
        <v>465</v>
      </c>
      <c r="AK8" s="642" t="s">
        <v>1156</v>
      </c>
      <c r="AL8" s="601" t="s">
        <v>435</v>
      </c>
      <c r="AM8" s="600" t="s">
        <v>1010</v>
      </c>
      <c r="AN8" s="601" t="s">
        <v>435</v>
      </c>
      <c r="AO8" s="601" t="s">
        <v>435</v>
      </c>
      <c r="AP8" s="600" t="s">
        <v>435</v>
      </c>
      <c r="AQ8" s="642" t="s">
        <v>1012</v>
      </c>
      <c r="AR8" s="600" t="s">
        <v>435</v>
      </c>
      <c r="AS8" s="131"/>
      <c r="AT8" s="131"/>
      <c r="AU8" s="131"/>
      <c r="AV8" s="131"/>
      <c r="AW8" s="131"/>
      <c r="AX8" s="131"/>
      <c r="AY8" s="131"/>
      <c r="AZ8" s="131"/>
      <c r="BA8" s="131"/>
      <c r="BB8" s="131"/>
      <c r="BC8" s="131"/>
      <c r="BD8" s="131"/>
      <c r="BE8" s="131"/>
      <c r="BF8" s="131"/>
      <c r="BG8" s="131"/>
      <c r="BH8" s="131"/>
      <c r="BI8" s="131"/>
      <c r="BJ8" s="131"/>
      <c r="BK8" s="131"/>
      <c r="BL8" s="131"/>
      <c r="BM8" s="131"/>
      <c r="BN8" s="131"/>
      <c r="BO8" s="131"/>
      <c r="BP8" s="131"/>
      <c r="BQ8" s="131"/>
      <c r="BR8" s="131"/>
      <c r="BS8" s="131"/>
      <c r="BT8" s="131"/>
      <c r="BU8" s="131"/>
      <c r="BV8" s="131"/>
      <c r="BW8" s="131"/>
      <c r="BX8" s="131"/>
      <c r="BY8" s="131"/>
      <c r="BZ8" s="132"/>
      <c r="CA8" s="132"/>
      <c r="CB8" s="132"/>
    </row>
    <row r="9" spans="1:92" s="29" customFormat="1" ht="32.450000000000003" customHeight="1" x14ac:dyDescent="0.25">
      <c r="A9" s="165" t="s">
        <v>300</v>
      </c>
      <c r="B9" s="133"/>
      <c r="C9" s="133"/>
      <c r="D9" s="134"/>
      <c r="E9" s="174"/>
      <c r="F9" s="602" t="s">
        <v>454</v>
      </c>
      <c r="G9" s="602" t="s">
        <v>954</v>
      </c>
      <c r="H9" s="602" t="s">
        <v>437</v>
      </c>
      <c r="I9" s="602" t="s">
        <v>437</v>
      </c>
      <c r="J9" s="602" t="s">
        <v>436</v>
      </c>
      <c r="K9" s="602" t="s">
        <v>963</v>
      </c>
      <c r="L9" s="602" t="s">
        <v>965</v>
      </c>
      <c r="M9" s="602" t="s">
        <v>463</v>
      </c>
      <c r="N9" s="602" t="s">
        <v>463</v>
      </c>
      <c r="O9" s="602" t="s">
        <v>436</v>
      </c>
      <c r="P9" s="602" t="s">
        <v>436</v>
      </c>
      <c r="Q9" s="602" t="s">
        <v>470</v>
      </c>
      <c r="R9" s="601" t="s">
        <v>972</v>
      </c>
      <c r="S9" s="602" t="s">
        <v>436</v>
      </c>
      <c r="T9" s="602" t="s">
        <v>436</v>
      </c>
      <c r="U9" s="602" t="s">
        <v>980</v>
      </c>
      <c r="V9" s="602" t="s">
        <v>436</v>
      </c>
      <c r="W9" s="602" t="s">
        <v>854</v>
      </c>
      <c r="X9" s="602" t="s">
        <v>854</v>
      </c>
      <c r="Y9" s="602" t="s">
        <v>470</v>
      </c>
      <c r="Z9" s="642" t="s">
        <v>988</v>
      </c>
      <c r="AA9" s="602" t="s">
        <v>436</v>
      </c>
      <c r="AB9" s="698" t="s">
        <v>463</v>
      </c>
      <c r="AC9" s="600" t="s">
        <v>995</v>
      </c>
      <c r="AD9" s="602" t="s">
        <v>454</v>
      </c>
      <c r="AE9" s="602" t="s">
        <v>998</v>
      </c>
      <c r="AF9" s="602" t="s">
        <v>436</v>
      </c>
      <c r="AG9" s="602" t="s">
        <v>434</v>
      </c>
      <c r="AH9" s="602" t="s">
        <v>1003</v>
      </c>
      <c r="AI9" s="602" t="s">
        <v>470</v>
      </c>
      <c r="AJ9" s="602" t="s">
        <v>470</v>
      </c>
      <c r="AK9" s="642" t="s">
        <v>1157</v>
      </c>
      <c r="AL9" s="602" t="s">
        <v>435</v>
      </c>
      <c r="AM9" s="602" t="s">
        <v>470</v>
      </c>
      <c r="AN9" s="602" t="s">
        <v>436</v>
      </c>
      <c r="AO9" s="602" t="s">
        <v>436</v>
      </c>
      <c r="AP9" s="602" t="s">
        <v>434</v>
      </c>
      <c r="AQ9" s="602" t="s">
        <v>1013</v>
      </c>
      <c r="AR9" s="602" t="s">
        <v>436</v>
      </c>
      <c r="AS9" s="135"/>
      <c r="AT9" s="135"/>
      <c r="AU9" s="135"/>
      <c r="AV9" s="135"/>
      <c r="AW9" s="135"/>
      <c r="AX9" s="135"/>
      <c r="AY9" s="135"/>
      <c r="AZ9" s="135"/>
      <c r="BA9" s="135"/>
      <c r="BB9" s="135"/>
      <c r="BC9" s="135"/>
      <c r="BD9" s="135"/>
      <c r="BE9" s="135"/>
      <c r="BF9" s="135"/>
      <c r="BG9" s="135"/>
      <c r="BH9" s="135"/>
      <c r="BI9" s="135"/>
      <c r="BJ9" s="135"/>
      <c r="BK9" s="135"/>
      <c r="BL9" s="135"/>
      <c r="BM9" s="135"/>
      <c r="BN9" s="135"/>
      <c r="BO9" s="135"/>
      <c r="BP9" s="135"/>
      <c r="BQ9" s="135"/>
      <c r="BR9" s="135"/>
      <c r="BS9" s="135"/>
      <c r="BT9" s="135"/>
      <c r="BU9" s="135"/>
      <c r="BV9" s="135"/>
      <c r="BW9" s="135"/>
      <c r="BX9" s="135"/>
      <c r="BY9" s="135"/>
      <c r="BZ9" s="136"/>
      <c r="CA9" s="136"/>
      <c r="CB9" s="136"/>
      <c r="CC9" s="136"/>
      <c r="CD9" s="136"/>
      <c r="CE9" s="136"/>
      <c r="CF9" s="136"/>
      <c r="CG9" s="136"/>
      <c r="CH9" s="136"/>
      <c r="CI9" s="136"/>
      <c r="CJ9" s="136"/>
      <c r="CK9" s="136"/>
      <c r="CL9" s="136"/>
      <c r="CM9" s="136"/>
      <c r="CN9" s="136"/>
    </row>
    <row r="10" spans="1:92" s="29" customFormat="1" ht="24.75" customHeight="1" x14ac:dyDescent="0.25">
      <c r="A10" s="124" t="s">
        <v>257</v>
      </c>
      <c r="B10" s="125"/>
      <c r="C10" s="125"/>
      <c r="D10" s="126"/>
      <c r="E10" s="175" t="s">
        <v>258</v>
      </c>
      <c r="F10" s="463"/>
      <c r="G10" s="463"/>
      <c r="H10" s="463"/>
      <c r="I10" s="463"/>
      <c r="J10" s="402"/>
      <c r="K10" s="466"/>
      <c r="L10" s="403"/>
      <c r="M10" s="463"/>
      <c r="N10" s="466"/>
      <c r="O10" s="466"/>
      <c r="P10" s="466"/>
      <c r="Q10" s="466"/>
      <c r="R10" s="466"/>
      <c r="S10" s="463"/>
      <c r="T10" s="463"/>
      <c r="U10" s="403"/>
      <c r="V10" s="463"/>
      <c r="W10" s="403"/>
      <c r="X10" s="603"/>
      <c r="Y10" s="654"/>
      <c r="Z10" s="603"/>
      <c r="AA10" s="463"/>
      <c r="AB10" s="466"/>
      <c r="AC10" s="403"/>
      <c r="AD10" s="466"/>
      <c r="AE10" s="603" t="s">
        <v>999</v>
      </c>
      <c r="AF10" s="654"/>
      <c r="AG10" s="654"/>
      <c r="AH10" s="603"/>
      <c r="AI10" s="603"/>
      <c r="AJ10" s="654"/>
      <c r="AK10" s="405"/>
      <c r="AL10" s="603"/>
      <c r="AM10" s="405"/>
      <c r="AN10" s="603"/>
      <c r="AO10" s="463"/>
      <c r="AP10" s="466"/>
      <c r="AQ10" s="463"/>
      <c r="AR10" s="463"/>
      <c r="AS10" s="127"/>
      <c r="AT10" s="127"/>
      <c r="AU10" s="127"/>
      <c r="AV10" s="127"/>
      <c r="AW10" s="127"/>
      <c r="AX10" s="127"/>
      <c r="AY10" s="127"/>
      <c r="AZ10" s="127"/>
      <c r="BA10" s="127"/>
      <c r="BB10" s="127"/>
      <c r="BC10" s="127"/>
      <c r="BD10" s="127"/>
      <c r="BE10" s="127"/>
      <c r="BF10" s="127"/>
      <c r="BG10" s="127"/>
      <c r="BH10" s="127"/>
      <c r="BI10" s="127"/>
      <c r="BJ10" s="127"/>
      <c r="BK10" s="127"/>
      <c r="BL10" s="127"/>
      <c r="BM10" s="127"/>
      <c r="BN10" s="127"/>
      <c r="BO10" s="127"/>
      <c r="BP10" s="127"/>
      <c r="BQ10" s="127"/>
      <c r="BR10" s="127"/>
      <c r="BS10" s="127"/>
      <c r="BT10" s="127"/>
      <c r="BU10" s="127"/>
      <c r="BV10" s="127"/>
      <c r="BW10" s="127"/>
      <c r="BX10" s="127"/>
      <c r="BY10" s="127"/>
    </row>
    <row r="11" spans="1:92" s="29" customFormat="1" x14ac:dyDescent="0.25">
      <c r="A11" s="137" t="s">
        <v>259</v>
      </c>
      <c r="B11" s="138"/>
      <c r="C11" s="139"/>
      <c r="D11" s="140"/>
      <c r="E11" s="170"/>
      <c r="F11" s="604" t="s">
        <v>432</v>
      </c>
      <c r="G11" s="604" t="s">
        <v>432</v>
      </c>
      <c r="H11" s="604" t="s">
        <v>432</v>
      </c>
      <c r="I11" s="604" t="s">
        <v>432</v>
      </c>
      <c r="J11" s="604" t="s">
        <v>433</v>
      </c>
      <c r="K11" s="604" t="s">
        <v>432</v>
      </c>
      <c r="L11" s="604" t="s">
        <v>709</v>
      </c>
      <c r="M11" s="604" t="s">
        <v>432</v>
      </c>
      <c r="N11" s="604" t="s">
        <v>432</v>
      </c>
      <c r="O11" s="628" t="s">
        <v>434</v>
      </c>
      <c r="P11" s="628" t="s">
        <v>433</v>
      </c>
      <c r="Q11" s="604" t="s">
        <v>433</v>
      </c>
      <c r="R11" s="628" t="s">
        <v>432</v>
      </c>
      <c r="S11" s="604" t="s">
        <v>432</v>
      </c>
      <c r="T11" s="604" t="s">
        <v>432</v>
      </c>
      <c r="U11" s="604" t="s">
        <v>981</v>
      </c>
      <c r="V11" s="604" t="s">
        <v>432</v>
      </c>
      <c r="W11" s="604" t="s">
        <v>432</v>
      </c>
      <c r="X11" s="604" t="s">
        <v>432</v>
      </c>
      <c r="Y11" s="604" t="s">
        <v>433</v>
      </c>
      <c r="Z11" s="604" t="s">
        <v>432</v>
      </c>
      <c r="AA11" s="604" t="s">
        <v>432</v>
      </c>
      <c r="AB11" s="604" t="s">
        <v>432</v>
      </c>
      <c r="AC11" s="628" t="s">
        <v>433</v>
      </c>
      <c r="AD11" s="628" t="s">
        <v>432</v>
      </c>
      <c r="AE11" s="604" t="s">
        <v>5</v>
      </c>
      <c r="AF11" s="604" t="s">
        <v>432</v>
      </c>
      <c r="AG11" s="604" t="s">
        <v>432</v>
      </c>
      <c r="AH11" s="604" t="s">
        <v>432</v>
      </c>
      <c r="AI11" s="604" t="s">
        <v>432</v>
      </c>
      <c r="AJ11" s="604" t="s">
        <v>432</v>
      </c>
      <c r="AK11" s="628" t="s">
        <v>433</v>
      </c>
      <c r="AL11" s="604" t="s">
        <v>432</v>
      </c>
      <c r="AM11" s="604" t="s">
        <v>432</v>
      </c>
      <c r="AN11" s="604" t="s">
        <v>432</v>
      </c>
      <c r="AO11" s="604" t="s">
        <v>432</v>
      </c>
      <c r="AP11" s="628" t="s">
        <v>433</v>
      </c>
      <c r="AQ11" s="604" t="s">
        <v>432</v>
      </c>
      <c r="AR11" s="604" t="s">
        <v>432</v>
      </c>
      <c r="AS11" s="127"/>
      <c r="AT11" s="127"/>
      <c r="AU11" s="127"/>
      <c r="AV11" s="127"/>
      <c r="AW11" s="127"/>
      <c r="AX11" s="127"/>
      <c r="AY11" s="127"/>
      <c r="AZ11" s="127"/>
      <c r="BA11" s="127"/>
      <c r="BB11" s="127"/>
      <c r="BC11" s="127"/>
      <c r="BD11" s="127"/>
      <c r="BE11" s="127"/>
      <c r="BF11" s="127"/>
      <c r="BG11" s="127"/>
      <c r="BH11" s="127"/>
      <c r="BI11" s="127"/>
      <c r="BJ11" s="127"/>
      <c r="BK11" s="127"/>
      <c r="BL11" s="127"/>
      <c r="BM11" s="127"/>
      <c r="BN11" s="127"/>
      <c r="BO11" s="127"/>
      <c r="BP11" s="127"/>
      <c r="BQ11" s="127"/>
      <c r="BR11" s="127"/>
      <c r="BS11" s="127"/>
      <c r="BT11" s="127"/>
      <c r="BU11" s="127"/>
      <c r="BV11" s="127"/>
      <c r="BW11" s="127"/>
      <c r="BX11" s="127"/>
      <c r="BY11" s="127"/>
    </row>
    <row r="12" spans="1:92" s="29" customFormat="1" x14ac:dyDescent="0.25">
      <c r="A12" s="137" t="s">
        <v>260</v>
      </c>
      <c r="B12" s="138"/>
      <c r="C12" s="138"/>
      <c r="D12" s="140"/>
      <c r="E12" s="170"/>
      <c r="F12" s="604" t="s">
        <v>432</v>
      </c>
      <c r="G12" s="604" t="s">
        <v>432</v>
      </c>
      <c r="H12" s="604" t="s">
        <v>433</v>
      </c>
      <c r="I12" s="604" t="s">
        <v>432</v>
      </c>
      <c r="J12" s="604" t="s">
        <v>432</v>
      </c>
      <c r="K12" s="604" t="s">
        <v>432</v>
      </c>
      <c r="L12" s="604" t="s">
        <v>434</v>
      </c>
      <c r="M12" s="604" t="s">
        <v>432</v>
      </c>
      <c r="N12" s="604" t="s">
        <v>432</v>
      </c>
      <c r="O12" s="628" t="s">
        <v>434</v>
      </c>
      <c r="P12" s="628" t="s">
        <v>433</v>
      </c>
      <c r="Q12" s="604" t="s">
        <v>432</v>
      </c>
      <c r="R12" s="628" t="s">
        <v>432</v>
      </c>
      <c r="S12" s="604" t="s">
        <v>432</v>
      </c>
      <c r="T12" s="604" t="s">
        <v>432</v>
      </c>
      <c r="U12" s="604" t="s">
        <v>981</v>
      </c>
      <c r="V12" s="604" t="s">
        <v>432</v>
      </c>
      <c r="W12" s="604" t="s">
        <v>432</v>
      </c>
      <c r="X12" s="604" t="s">
        <v>432</v>
      </c>
      <c r="Y12" s="604" t="s">
        <v>432</v>
      </c>
      <c r="Z12" s="604" t="s">
        <v>434</v>
      </c>
      <c r="AA12" s="604" t="s">
        <v>432</v>
      </c>
      <c r="AB12" s="604" t="s">
        <v>432</v>
      </c>
      <c r="AC12" s="628" t="s">
        <v>432</v>
      </c>
      <c r="AD12" s="628" t="s">
        <v>432</v>
      </c>
      <c r="AE12" s="604" t="s">
        <v>5</v>
      </c>
      <c r="AF12" s="604" t="s">
        <v>432</v>
      </c>
      <c r="AG12" s="604" t="s">
        <v>432</v>
      </c>
      <c r="AH12" s="604" t="s">
        <v>432</v>
      </c>
      <c r="AI12" s="604" t="s">
        <v>432</v>
      </c>
      <c r="AJ12" s="604" t="s">
        <v>432</v>
      </c>
      <c r="AK12" s="628" t="s">
        <v>432</v>
      </c>
      <c r="AL12" s="604" t="s">
        <v>432</v>
      </c>
      <c r="AM12" s="604" t="s">
        <v>432</v>
      </c>
      <c r="AN12" s="604" t="s">
        <v>433</v>
      </c>
      <c r="AO12" s="604" t="s">
        <v>432</v>
      </c>
      <c r="AP12" s="628" t="s">
        <v>432</v>
      </c>
      <c r="AQ12" s="604" t="s">
        <v>433</v>
      </c>
      <c r="AR12" s="604" t="s">
        <v>432</v>
      </c>
      <c r="AS12" s="127"/>
      <c r="AT12" s="127"/>
      <c r="AU12" s="127"/>
      <c r="AV12" s="127"/>
      <c r="AW12" s="127"/>
      <c r="AX12" s="127"/>
      <c r="AY12" s="127"/>
      <c r="AZ12" s="127"/>
      <c r="BA12" s="127"/>
      <c r="BB12" s="127"/>
      <c r="BC12" s="127"/>
      <c r="BD12" s="127"/>
      <c r="BE12" s="127"/>
      <c r="BF12" s="127"/>
      <c r="BG12" s="127"/>
      <c r="BH12" s="127"/>
      <c r="BI12" s="127"/>
      <c r="BJ12" s="127"/>
      <c r="BK12" s="127"/>
      <c r="BL12" s="127"/>
      <c r="BM12" s="127"/>
      <c r="BN12" s="127"/>
      <c r="BO12" s="127"/>
      <c r="BP12" s="127"/>
      <c r="BQ12" s="127"/>
      <c r="BR12" s="127"/>
      <c r="BS12" s="127"/>
      <c r="BT12" s="127"/>
      <c r="BU12" s="127"/>
      <c r="BV12" s="127"/>
      <c r="BW12" s="127"/>
      <c r="BX12" s="127"/>
      <c r="BY12" s="127"/>
    </row>
    <row r="13" spans="1:92" s="29" customFormat="1" x14ac:dyDescent="0.25">
      <c r="A13" s="137" t="s">
        <v>261</v>
      </c>
      <c r="B13" s="138"/>
      <c r="C13" s="138"/>
      <c r="D13" s="140"/>
      <c r="E13" s="170"/>
      <c r="F13" s="604" t="s">
        <v>432</v>
      </c>
      <c r="G13" s="604" t="s">
        <v>432</v>
      </c>
      <c r="H13" s="604" t="s">
        <v>434</v>
      </c>
      <c r="I13" s="604" t="s">
        <v>432</v>
      </c>
      <c r="J13" s="604" t="s">
        <v>432</v>
      </c>
      <c r="K13" s="604" t="s">
        <v>432</v>
      </c>
      <c r="L13" s="604" t="s">
        <v>434</v>
      </c>
      <c r="M13" s="604" t="s">
        <v>432</v>
      </c>
      <c r="N13" s="604" t="s">
        <v>432</v>
      </c>
      <c r="O13" s="628" t="s">
        <v>434</v>
      </c>
      <c r="P13" s="628" t="s">
        <v>432</v>
      </c>
      <c r="Q13" s="604" t="s">
        <v>433</v>
      </c>
      <c r="R13" s="628" t="s">
        <v>432</v>
      </c>
      <c r="S13" s="604" t="s">
        <v>432</v>
      </c>
      <c r="T13" s="604" t="s">
        <v>432</v>
      </c>
      <c r="U13" s="604" t="s">
        <v>981</v>
      </c>
      <c r="V13" s="604" t="s">
        <v>432</v>
      </c>
      <c r="W13" s="604" t="s">
        <v>432</v>
      </c>
      <c r="X13" s="604" t="s">
        <v>432</v>
      </c>
      <c r="Y13" s="604" t="s">
        <v>432</v>
      </c>
      <c r="Z13" s="604" t="s">
        <v>434</v>
      </c>
      <c r="AA13" s="604" t="s">
        <v>433</v>
      </c>
      <c r="AB13" s="604" t="s">
        <v>432</v>
      </c>
      <c r="AC13" s="628" t="s">
        <v>433</v>
      </c>
      <c r="AD13" s="628" t="s">
        <v>432</v>
      </c>
      <c r="AE13" s="604" t="s">
        <v>5</v>
      </c>
      <c r="AF13" s="604" t="s">
        <v>432</v>
      </c>
      <c r="AG13" s="604" t="s">
        <v>432</v>
      </c>
      <c r="AH13" s="604" t="s">
        <v>432</v>
      </c>
      <c r="AI13" s="604" t="s">
        <v>432</v>
      </c>
      <c r="AJ13" s="604" t="s">
        <v>432</v>
      </c>
      <c r="AK13" s="604" t="s">
        <v>432</v>
      </c>
      <c r="AL13" s="604" t="s">
        <v>432</v>
      </c>
      <c r="AM13" s="604" t="s">
        <v>432</v>
      </c>
      <c r="AN13" s="604" t="s">
        <v>433</v>
      </c>
      <c r="AO13" s="604" t="s">
        <v>432</v>
      </c>
      <c r="AP13" s="628" t="s">
        <v>432</v>
      </c>
      <c r="AQ13" s="604" t="s">
        <v>432</v>
      </c>
      <c r="AR13" s="604" t="s">
        <v>432</v>
      </c>
      <c r="AS13" s="127"/>
      <c r="AT13" s="127"/>
      <c r="AU13" s="127"/>
      <c r="AV13" s="127"/>
      <c r="AW13" s="127"/>
      <c r="AX13" s="127"/>
      <c r="AY13" s="127"/>
      <c r="AZ13" s="127"/>
      <c r="BA13" s="127"/>
      <c r="BB13" s="127"/>
      <c r="BC13" s="127"/>
      <c r="BD13" s="127"/>
      <c r="BE13" s="127"/>
      <c r="BF13" s="127"/>
      <c r="BG13" s="127"/>
      <c r="BH13" s="127"/>
      <c r="BI13" s="127"/>
      <c r="BJ13" s="127"/>
      <c r="BK13" s="127"/>
      <c r="BL13" s="127"/>
      <c r="BM13" s="127"/>
      <c r="BN13" s="127"/>
      <c r="BO13" s="127"/>
      <c r="BP13" s="127"/>
      <c r="BQ13" s="127"/>
      <c r="BR13" s="127"/>
      <c r="BS13" s="127"/>
      <c r="BT13" s="127"/>
      <c r="BU13" s="127"/>
      <c r="BV13" s="127"/>
      <c r="BW13" s="127"/>
      <c r="BX13" s="127"/>
      <c r="BY13" s="127"/>
    </row>
    <row r="14" spans="1:92" s="29" customFormat="1" x14ac:dyDescent="0.25">
      <c r="A14" s="137" t="s">
        <v>262</v>
      </c>
      <c r="B14" s="138"/>
      <c r="C14" s="138"/>
      <c r="D14" s="140"/>
      <c r="E14" s="170"/>
      <c r="F14" s="604" t="s">
        <v>432</v>
      </c>
      <c r="G14" s="604" t="s">
        <v>432</v>
      </c>
      <c r="H14" s="604" t="s">
        <v>432</v>
      </c>
      <c r="I14" s="604" t="s">
        <v>432</v>
      </c>
      <c r="J14" s="604" t="s">
        <v>432</v>
      </c>
      <c r="K14" s="604" t="s">
        <v>432</v>
      </c>
      <c r="L14" s="604" t="s">
        <v>434</v>
      </c>
      <c r="M14" s="604" t="s">
        <v>432</v>
      </c>
      <c r="N14" s="604" t="s">
        <v>432</v>
      </c>
      <c r="O14" s="628" t="s">
        <v>434</v>
      </c>
      <c r="P14" s="628" t="s">
        <v>432</v>
      </c>
      <c r="Q14" s="604" t="s">
        <v>433</v>
      </c>
      <c r="R14" s="628" t="s">
        <v>432</v>
      </c>
      <c r="S14" s="604" t="s">
        <v>432</v>
      </c>
      <c r="T14" s="604" t="s">
        <v>432</v>
      </c>
      <c r="U14" s="604" t="s">
        <v>981</v>
      </c>
      <c r="V14" s="604" t="s">
        <v>432</v>
      </c>
      <c r="W14" s="604" t="s">
        <v>432</v>
      </c>
      <c r="X14" s="604" t="s">
        <v>432</v>
      </c>
      <c r="Y14" s="604" t="s">
        <v>432</v>
      </c>
      <c r="Z14" s="604" t="s">
        <v>434</v>
      </c>
      <c r="AA14" s="604" t="s">
        <v>433</v>
      </c>
      <c r="AB14" s="604" t="s">
        <v>432</v>
      </c>
      <c r="AC14" s="628" t="s">
        <v>433</v>
      </c>
      <c r="AD14" s="628" t="s">
        <v>432</v>
      </c>
      <c r="AE14" s="604" t="s">
        <v>5</v>
      </c>
      <c r="AF14" s="604" t="s">
        <v>432</v>
      </c>
      <c r="AG14" s="604" t="s">
        <v>432</v>
      </c>
      <c r="AH14" s="604" t="s">
        <v>432</v>
      </c>
      <c r="AI14" s="604" t="s">
        <v>432</v>
      </c>
      <c r="AJ14" s="604" t="s">
        <v>432</v>
      </c>
      <c r="AK14" s="604" t="s">
        <v>432</v>
      </c>
      <c r="AL14" s="604" t="s">
        <v>432</v>
      </c>
      <c r="AM14" s="604" t="s">
        <v>432</v>
      </c>
      <c r="AN14" s="604" t="s">
        <v>433</v>
      </c>
      <c r="AO14" s="604" t="s">
        <v>432</v>
      </c>
      <c r="AP14" s="628" t="s">
        <v>432</v>
      </c>
      <c r="AQ14" s="604" t="s">
        <v>432</v>
      </c>
      <c r="AR14" s="604" t="s">
        <v>432</v>
      </c>
      <c r="AS14" s="127"/>
      <c r="AT14" s="127"/>
      <c r="AU14" s="127"/>
      <c r="AV14" s="127"/>
      <c r="AW14" s="127"/>
      <c r="AX14" s="127"/>
      <c r="AY14" s="127"/>
      <c r="AZ14" s="127"/>
      <c r="BA14" s="127"/>
      <c r="BB14" s="127"/>
      <c r="BC14" s="127"/>
      <c r="BD14" s="127"/>
      <c r="BE14" s="127"/>
      <c r="BF14" s="127"/>
      <c r="BG14" s="127"/>
      <c r="BH14" s="127"/>
      <c r="BI14" s="127"/>
      <c r="BJ14" s="127"/>
      <c r="BK14" s="127"/>
      <c r="BL14" s="127"/>
      <c r="BM14" s="127"/>
      <c r="BN14" s="127"/>
      <c r="BO14" s="127"/>
      <c r="BP14" s="127"/>
      <c r="BQ14" s="127"/>
      <c r="BR14" s="127"/>
      <c r="BS14" s="127"/>
      <c r="BT14" s="127"/>
      <c r="BU14" s="127"/>
      <c r="BV14" s="127"/>
      <c r="BW14" s="127"/>
      <c r="BX14" s="127"/>
      <c r="BY14" s="127"/>
    </row>
    <row r="15" spans="1:92" s="29" customFormat="1" x14ac:dyDescent="0.25">
      <c r="A15" s="137" t="s">
        <v>263</v>
      </c>
      <c r="B15" s="138"/>
      <c r="C15" s="138"/>
      <c r="D15" s="140"/>
      <c r="E15" s="170"/>
      <c r="F15" s="604" t="s">
        <v>432</v>
      </c>
      <c r="G15" s="604" t="s">
        <v>432</v>
      </c>
      <c r="H15" s="604" t="s">
        <v>434</v>
      </c>
      <c r="I15" s="604" t="s">
        <v>432</v>
      </c>
      <c r="J15" s="604" t="s">
        <v>432</v>
      </c>
      <c r="K15" s="604" t="s">
        <v>432</v>
      </c>
      <c r="L15" s="604" t="s">
        <v>434</v>
      </c>
      <c r="M15" s="604" t="s">
        <v>432</v>
      </c>
      <c r="N15" s="604" t="s">
        <v>432</v>
      </c>
      <c r="O15" s="628" t="s">
        <v>434</v>
      </c>
      <c r="P15" s="628" t="s">
        <v>432</v>
      </c>
      <c r="Q15" s="604" t="s">
        <v>432</v>
      </c>
      <c r="R15" s="628" t="s">
        <v>432</v>
      </c>
      <c r="S15" s="604" t="s">
        <v>432</v>
      </c>
      <c r="T15" s="604" t="s">
        <v>432</v>
      </c>
      <c r="U15" s="604" t="s">
        <v>981</v>
      </c>
      <c r="V15" s="604" t="s">
        <v>432</v>
      </c>
      <c r="W15" s="604" t="s">
        <v>432</v>
      </c>
      <c r="X15" s="604" t="s">
        <v>432</v>
      </c>
      <c r="Y15" s="604" t="s">
        <v>432</v>
      </c>
      <c r="Z15" s="604" t="s">
        <v>432</v>
      </c>
      <c r="AA15" s="604" t="s">
        <v>433</v>
      </c>
      <c r="AB15" s="604" t="s">
        <v>432</v>
      </c>
      <c r="AC15" s="628" t="s">
        <v>433</v>
      </c>
      <c r="AD15" s="628" t="s">
        <v>432</v>
      </c>
      <c r="AE15" s="604" t="s">
        <v>5</v>
      </c>
      <c r="AF15" s="604" t="s">
        <v>432</v>
      </c>
      <c r="AG15" s="604" t="s">
        <v>432</v>
      </c>
      <c r="AH15" s="604" t="s">
        <v>432</v>
      </c>
      <c r="AI15" s="604" t="s">
        <v>432</v>
      </c>
      <c r="AJ15" s="604" t="s">
        <v>432</v>
      </c>
      <c r="AK15" s="604" t="s">
        <v>432</v>
      </c>
      <c r="AL15" s="604" t="s">
        <v>433</v>
      </c>
      <c r="AM15" s="604" t="s">
        <v>432</v>
      </c>
      <c r="AN15" s="604" t="s">
        <v>433</v>
      </c>
      <c r="AO15" s="604" t="s">
        <v>432</v>
      </c>
      <c r="AP15" s="628" t="s">
        <v>432</v>
      </c>
      <c r="AQ15" s="604" t="s">
        <v>432</v>
      </c>
      <c r="AR15" s="604" t="s">
        <v>432</v>
      </c>
      <c r="AS15" s="127"/>
      <c r="AT15" s="127"/>
      <c r="AU15" s="127"/>
      <c r="AV15" s="127"/>
      <c r="AW15" s="127"/>
      <c r="AX15" s="127"/>
      <c r="AY15" s="127"/>
      <c r="AZ15" s="127"/>
      <c r="BA15" s="127"/>
      <c r="BB15" s="127"/>
      <c r="BC15" s="127"/>
      <c r="BD15" s="127"/>
      <c r="BE15" s="127"/>
      <c r="BF15" s="127"/>
      <c r="BG15" s="127"/>
      <c r="BH15" s="127"/>
      <c r="BI15" s="127"/>
      <c r="BJ15" s="127"/>
      <c r="BK15" s="127"/>
      <c r="BL15" s="127"/>
      <c r="BM15" s="127"/>
      <c r="BN15" s="127"/>
      <c r="BO15" s="127"/>
      <c r="BP15" s="127"/>
      <c r="BQ15" s="127"/>
      <c r="BR15" s="127"/>
      <c r="BS15" s="127"/>
      <c r="BT15" s="127"/>
      <c r="BU15" s="127"/>
      <c r="BV15" s="127"/>
      <c r="BW15" s="127"/>
      <c r="BX15" s="127"/>
      <c r="BY15" s="127"/>
    </row>
    <row r="16" spans="1:92" s="29" customFormat="1" x14ac:dyDescent="0.25">
      <c r="A16" s="137" t="s">
        <v>264</v>
      </c>
      <c r="B16" s="138"/>
      <c r="C16" s="138"/>
      <c r="D16" s="140"/>
      <c r="E16" s="170"/>
      <c r="F16" s="604" t="s">
        <v>432</v>
      </c>
      <c r="G16" s="604" t="s">
        <v>432</v>
      </c>
      <c r="H16" s="604" t="s">
        <v>432</v>
      </c>
      <c r="I16" s="604" t="s">
        <v>432</v>
      </c>
      <c r="J16" s="604" t="s">
        <v>432</v>
      </c>
      <c r="K16" s="604" t="s">
        <v>432</v>
      </c>
      <c r="L16" s="604" t="s">
        <v>434</v>
      </c>
      <c r="M16" s="604" t="s">
        <v>432</v>
      </c>
      <c r="N16" s="604" t="s">
        <v>432</v>
      </c>
      <c r="O16" s="628" t="s">
        <v>434</v>
      </c>
      <c r="P16" s="628" t="s">
        <v>432</v>
      </c>
      <c r="Q16" s="604" t="s">
        <v>433</v>
      </c>
      <c r="R16" s="628" t="s">
        <v>432</v>
      </c>
      <c r="S16" s="604" t="s">
        <v>432</v>
      </c>
      <c r="T16" s="604" t="s">
        <v>432</v>
      </c>
      <c r="U16" s="604" t="s">
        <v>981</v>
      </c>
      <c r="V16" s="604" t="s">
        <v>432</v>
      </c>
      <c r="W16" s="604" t="s">
        <v>432</v>
      </c>
      <c r="X16" s="604" t="s">
        <v>432</v>
      </c>
      <c r="Y16" s="604" t="s">
        <v>432</v>
      </c>
      <c r="Z16" s="604" t="s">
        <v>434</v>
      </c>
      <c r="AA16" s="604" t="s">
        <v>432</v>
      </c>
      <c r="AB16" s="604" t="s">
        <v>432</v>
      </c>
      <c r="AC16" s="628" t="s">
        <v>432</v>
      </c>
      <c r="AD16" s="628" t="s">
        <v>432</v>
      </c>
      <c r="AE16" s="604" t="s">
        <v>5</v>
      </c>
      <c r="AF16" s="604" t="s">
        <v>432</v>
      </c>
      <c r="AG16" s="604" t="s">
        <v>434</v>
      </c>
      <c r="AH16" s="604" t="s">
        <v>432</v>
      </c>
      <c r="AI16" s="604" t="s">
        <v>432</v>
      </c>
      <c r="AJ16" s="604" t="s">
        <v>432</v>
      </c>
      <c r="AK16" s="604" t="s">
        <v>432</v>
      </c>
      <c r="AL16" s="604" t="s">
        <v>432</v>
      </c>
      <c r="AM16" s="604" t="s">
        <v>432</v>
      </c>
      <c r="AN16" s="604" t="s">
        <v>433</v>
      </c>
      <c r="AO16" s="604" t="s">
        <v>432</v>
      </c>
      <c r="AP16" s="628" t="s">
        <v>432</v>
      </c>
      <c r="AQ16" s="604" t="s">
        <v>432</v>
      </c>
      <c r="AR16" s="604" t="s">
        <v>432</v>
      </c>
      <c r="AS16" s="127"/>
      <c r="AT16" s="127"/>
      <c r="AU16" s="127"/>
      <c r="AV16" s="127"/>
      <c r="AW16" s="127"/>
      <c r="AX16" s="127"/>
      <c r="AY16" s="127"/>
      <c r="AZ16" s="127"/>
      <c r="BA16" s="127"/>
      <c r="BB16" s="127"/>
      <c r="BC16" s="127"/>
      <c r="BD16" s="127"/>
      <c r="BE16" s="127"/>
      <c r="BF16" s="127"/>
      <c r="BG16" s="127"/>
      <c r="BH16" s="127"/>
      <c r="BI16" s="127"/>
      <c r="BJ16" s="127"/>
      <c r="BK16" s="127"/>
      <c r="BL16" s="127"/>
      <c r="BM16" s="127"/>
      <c r="BN16" s="127"/>
      <c r="BO16" s="127"/>
      <c r="BP16" s="127"/>
      <c r="BQ16" s="127"/>
      <c r="BR16" s="127"/>
      <c r="BS16" s="127"/>
      <c r="BT16" s="127"/>
      <c r="BU16" s="127"/>
      <c r="BV16" s="127"/>
      <c r="BW16" s="127"/>
      <c r="BX16" s="127"/>
      <c r="BY16" s="127"/>
    </row>
    <row r="17" spans="1:77" s="29" customFormat="1" x14ac:dyDescent="0.25">
      <c r="A17" s="141" t="s">
        <v>265</v>
      </c>
      <c r="B17" s="142"/>
      <c r="C17" s="142"/>
      <c r="D17" s="143"/>
      <c r="E17" s="176"/>
      <c r="F17" s="605" t="s">
        <v>434</v>
      </c>
      <c r="G17" s="636" t="s">
        <v>690</v>
      </c>
      <c r="H17" s="605" t="s">
        <v>434</v>
      </c>
      <c r="I17" s="605" t="s">
        <v>434</v>
      </c>
      <c r="J17" s="605" t="s">
        <v>434</v>
      </c>
      <c r="K17" s="605" t="s">
        <v>434</v>
      </c>
      <c r="L17" s="605" t="s">
        <v>434</v>
      </c>
      <c r="M17" s="605" t="s">
        <v>434</v>
      </c>
      <c r="N17" s="605" t="s">
        <v>434</v>
      </c>
      <c r="O17" s="605" t="s">
        <v>434</v>
      </c>
      <c r="P17" s="605" t="s">
        <v>434</v>
      </c>
      <c r="Q17" s="605" t="s">
        <v>434</v>
      </c>
      <c r="R17" s="605" t="s">
        <v>434</v>
      </c>
      <c r="S17" s="605" t="s">
        <v>434</v>
      </c>
      <c r="T17" s="605" t="s">
        <v>434</v>
      </c>
      <c r="U17" s="636" t="s">
        <v>982</v>
      </c>
      <c r="V17" s="605" t="s">
        <v>434</v>
      </c>
      <c r="W17" s="636" t="s">
        <v>741</v>
      </c>
      <c r="X17" s="605" t="s">
        <v>434</v>
      </c>
      <c r="Y17" s="605" t="s">
        <v>434</v>
      </c>
      <c r="Z17" s="605" t="s">
        <v>434</v>
      </c>
      <c r="AA17" s="605" t="s">
        <v>434</v>
      </c>
      <c r="AB17" s="605" t="s">
        <v>434</v>
      </c>
      <c r="AC17" s="605" t="s">
        <v>434</v>
      </c>
      <c r="AD17" s="605" t="s">
        <v>434</v>
      </c>
      <c r="AE17" s="605" t="s">
        <v>434</v>
      </c>
      <c r="AF17" s="605" t="s">
        <v>434</v>
      </c>
      <c r="AG17" s="605" t="s">
        <v>434</v>
      </c>
      <c r="AH17" s="605" t="s">
        <v>434</v>
      </c>
      <c r="AI17" s="605" t="s">
        <v>434</v>
      </c>
      <c r="AJ17" s="605" t="s">
        <v>434</v>
      </c>
      <c r="AK17" s="636" t="s">
        <v>1158</v>
      </c>
      <c r="AL17" s="636" t="s">
        <v>1005</v>
      </c>
      <c r="AM17" s="636" t="s">
        <v>897</v>
      </c>
      <c r="AN17" s="636"/>
      <c r="AO17" s="605" t="s">
        <v>434</v>
      </c>
      <c r="AP17" s="605" t="s">
        <v>434</v>
      </c>
      <c r="AQ17" s="605" t="s">
        <v>434</v>
      </c>
      <c r="AR17" s="605" t="s">
        <v>434</v>
      </c>
      <c r="AS17" s="127"/>
      <c r="AT17" s="127"/>
      <c r="AU17" s="127"/>
      <c r="AV17" s="127"/>
      <c r="AW17" s="127"/>
      <c r="AX17" s="127"/>
      <c r="AY17" s="127"/>
      <c r="AZ17" s="127"/>
      <c r="BA17" s="127"/>
      <c r="BB17" s="127"/>
      <c r="BC17" s="127"/>
      <c r="BD17" s="127"/>
      <c r="BE17" s="127"/>
      <c r="BF17" s="127"/>
      <c r="BG17" s="127"/>
      <c r="BH17" s="127"/>
      <c r="BI17" s="127"/>
      <c r="BJ17" s="127"/>
      <c r="BK17" s="127"/>
      <c r="BL17" s="127"/>
      <c r="BM17" s="127"/>
      <c r="BN17" s="127"/>
      <c r="BO17" s="127"/>
      <c r="BP17" s="127"/>
      <c r="BQ17" s="127"/>
      <c r="BR17" s="127"/>
      <c r="BS17" s="127"/>
      <c r="BT17" s="127"/>
      <c r="BU17" s="127"/>
      <c r="BV17" s="127"/>
      <c r="BW17" s="127"/>
      <c r="BX17" s="127"/>
      <c r="BY17" s="127"/>
    </row>
    <row r="18" spans="1:77" s="29" customFormat="1" x14ac:dyDescent="0.25">
      <c r="A18" s="124" t="s">
        <v>257</v>
      </c>
      <c r="B18" s="125"/>
      <c r="C18" s="125"/>
      <c r="D18" s="126"/>
      <c r="E18" s="177" t="s">
        <v>266</v>
      </c>
      <c r="F18" s="463"/>
      <c r="G18" s="463"/>
      <c r="H18" s="463"/>
      <c r="I18" s="463"/>
      <c r="J18" s="463"/>
      <c r="K18" s="466"/>
      <c r="L18" s="403"/>
      <c r="M18" s="463"/>
      <c r="N18" s="466"/>
      <c r="O18" s="466"/>
      <c r="P18" s="466"/>
      <c r="Q18" s="463"/>
      <c r="R18" s="466"/>
      <c r="S18" s="463"/>
      <c r="T18" s="463"/>
      <c r="U18" s="402"/>
      <c r="V18" s="463"/>
      <c r="W18" s="403"/>
      <c r="X18" s="404"/>
      <c r="Y18" s="654"/>
      <c r="Z18" s="603"/>
      <c r="AA18" s="463"/>
      <c r="AB18" s="603"/>
      <c r="AC18" s="403"/>
      <c r="AD18" s="466"/>
      <c r="AE18" s="603" t="s">
        <v>999</v>
      </c>
      <c r="AF18" s="654"/>
      <c r="AG18" s="463"/>
      <c r="AH18" s="463"/>
      <c r="AI18" s="603"/>
      <c r="AJ18" s="654"/>
      <c r="AK18" s="405"/>
      <c r="AL18" s="603"/>
      <c r="AM18" s="405"/>
      <c r="AN18" s="603"/>
      <c r="AO18" s="463"/>
      <c r="AP18" s="466"/>
      <c r="AQ18" s="463"/>
      <c r="AR18" s="463"/>
      <c r="AS18" s="127"/>
      <c r="AT18" s="127"/>
      <c r="AU18" s="127"/>
      <c r="AV18" s="127"/>
      <c r="AW18" s="127"/>
      <c r="AX18" s="127"/>
      <c r="AY18" s="127"/>
      <c r="AZ18" s="127"/>
      <c r="BA18" s="127"/>
      <c r="BB18" s="127"/>
      <c r="BC18" s="127"/>
      <c r="BD18" s="127"/>
      <c r="BE18" s="127"/>
      <c r="BF18" s="127"/>
      <c r="BG18" s="127"/>
      <c r="BH18" s="127"/>
      <c r="BI18" s="127"/>
      <c r="BJ18" s="127"/>
      <c r="BK18" s="127"/>
      <c r="BL18" s="127"/>
      <c r="BM18" s="127"/>
      <c r="BN18" s="127"/>
      <c r="BO18" s="127"/>
      <c r="BP18" s="127"/>
      <c r="BQ18" s="127"/>
      <c r="BR18" s="127"/>
      <c r="BS18" s="127"/>
      <c r="BT18" s="127"/>
      <c r="BU18" s="127"/>
      <c r="BV18" s="127"/>
      <c r="BW18" s="127"/>
      <c r="BX18" s="127"/>
      <c r="BY18" s="127"/>
    </row>
    <row r="19" spans="1:77" s="29" customFormat="1" x14ac:dyDescent="0.25">
      <c r="A19" s="137" t="s">
        <v>259</v>
      </c>
      <c r="B19" s="138"/>
      <c r="C19" s="139"/>
      <c r="D19" s="140"/>
      <c r="E19" s="170"/>
      <c r="F19" s="604" t="s">
        <v>432</v>
      </c>
      <c r="G19" s="604" t="s">
        <v>432</v>
      </c>
      <c r="H19" s="604" t="s">
        <v>432</v>
      </c>
      <c r="I19" s="604" t="s">
        <v>433</v>
      </c>
      <c r="J19" s="604" t="s">
        <v>433</v>
      </c>
      <c r="K19" s="604" t="s">
        <v>432</v>
      </c>
      <c r="L19" s="604" t="s">
        <v>709</v>
      </c>
      <c r="M19" s="604" t="s">
        <v>432</v>
      </c>
      <c r="N19" s="604" t="s">
        <v>432</v>
      </c>
      <c r="O19" s="628" t="s">
        <v>434</v>
      </c>
      <c r="P19" s="604" t="s">
        <v>433</v>
      </c>
      <c r="Q19" s="604" t="s">
        <v>433</v>
      </c>
      <c r="R19" s="628" t="s">
        <v>432</v>
      </c>
      <c r="S19" s="604" t="s">
        <v>432</v>
      </c>
      <c r="T19" s="604" t="s">
        <v>432</v>
      </c>
      <c r="U19" s="604" t="s">
        <v>981</v>
      </c>
      <c r="V19" s="604" t="s">
        <v>432</v>
      </c>
      <c r="W19" s="604" t="s">
        <v>432</v>
      </c>
      <c r="X19" s="604" t="s">
        <v>432</v>
      </c>
      <c r="Y19" s="628" t="s">
        <v>432</v>
      </c>
      <c r="Z19" s="604" t="s">
        <v>432</v>
      </c>
      <c r="AA19" s="604" t="s">
        <v>432</v>
      </c>
      <c r="AB19" s="604" t="s">
        <v>432</v>
      </c>
      <c r="AC19" s="628" t="s">
        <v>433</v>
      </c>
      <c r="AD19" s="628" t="s">
        <v>432</v>
      </c>
      <c r="AE19" s="604" t="s">
        <v>5</v>
      </c>
      <c r="AF19" s="604" t="s">
        <v>432</v>
      </c>
      <c r="AG19" s="604" t="s">
        <v>432</v>
      </c>
      <c r="AH19" s="604" t="s">
        <v>432</v>
      </c>
      <c r="AI19" s="604" t="s">
        <v>432</v>
      </c>
      <c r="AJ19" s="604" t="s">
        <v>432</v>
      </c>
      <c r="AK19" s="628" t="s">
        <v>434</v>
      </c>
      <c r="AL19" s="604" t="s">
        <v>433</v>
      </c>
      <c r="AM19" s="604" t="s">
        <v>432</v>
      </c>
      <c r="AN19" s="604" t="s">
        <v>432</v>
      </c>
      <c r="AO19" s="604" t="s">
        <v>432</v>
      </c>
      <c r="AP19" s="628" t="s">
        <v>433</v>
      </c>
      <c r="AQ19" s="604" t="s">
        <v>432</v>
      </c>
      <c r="AR19" s="604" t="s">
        <v>432</v>
      </c>
      <c r="AS19" s="127"/>
      <c r="AT19" s="127"/>
      <c r="AU19" s="127"/>
      <c r="AV19" s="127"/>
      <c r="AW19" s="127"/>
      <c r="AX19" s="127"/>
      <c r="AY19" s="127"/>
      <c r="AZ19" s="127"/>
      <c r="BA19" s="127"/>
      <c r="BB19" s="127"/>
      <c r="BC19" s="127"/>
      <c r="BD19" s="127"/>
      <c r="BE19" s="127"/>
      <c r="BF19" s="127"/>
      <c r="BG19" s="127"/>
      <c r="BH19" s="127"/>
      <c r="BI19" s="127"/>
      <c r="BJ19" s="127"/>
      <c r="BK19" s="127"/>
      <c r="BL19" s="127"/>
      <c r="BM19" s="127"/>
      <c r="BN19" s="127"/>
      <c r="BO19" s="127"/>
      <c r="BP19" s="127"/>
      <c r="BQ19" s="127"/>
      <c r="BR19" s="127"/>
      <c r="BS19" s="127"/>
      <c r="BT19" s="127"/>
      <c r="BU19" s="127"/>
      <c r="BV19" s="127"/>
      <c r="BW19" s="127"/>
      <c r="BX19" s="127"/>
      <c r="BY19" s="127"/>
    </row>
    <row r="20" spans="1:77" s="29" customFormat="1" x14ac:dyDescent="0.25">
      <c r="A20" s="137" t="s">
        <v>260</v>
      </c>
      <c r="B20" s="138"/>
      <c r="C20" s="138"/>
      <c r="D20" s="140"/>
      <c r="E20" s="170"/>
      <c r="F20" s="604" t="s">
        <v>432</v>
      </c>
      <c r="G20" s="604" t="s">
        <v>432</v>
      </c>
      <c r="H20" s="604" t="s">
        <v>434</v>
      </c>
      <c r="I20" s="604" t="s">
        <v>433</v>
      </c>
      <c r="J20" s="604" t="s">
        <v>433</v>
      </c>
      <c r="K20" s="604" t="s">
        <v>432</v>
      </c>
      <c r="L20" s="604" t="s">
        <v>434</v>
      </c>
      <c r="M20" s="604" t="s">
        <v>432</v>
      </c>
      <c r="N20" s="604" t="s">
        <v>432</v>
      </c>
      <c r="O20" s="628" t="s">
        <v>434</v>
      </c>
      <c r="P20" s="604" t="s">
        <v>433</v>
      </c>
      <c r="Q20" s="604" t="s">
        <v>432</v>
      </c>
      <c r="R20" s="628" t="s">
        <v>432</v>
      </c>
      <c r="S20" s="604" t="s">
        <v>432</v>
      </c>
      <c r="T20" s="604" t="s">
        <v>432</v>
      </c>
      <c r="U20" s="604" t="s">
        <v>981</v>
      </c>
      <c r="V20" s="604" t="s">
        <v>432</v>
      </c>
      <c r="W20" s="604" t="s">
        <v>432</v>
      </c>
      <c r="X20" s="604" t="s">
        <v>432</v>
      </c>
      <c r="Y20" s="628" t="s">
        <v>433</v>
      </c>
      <c r="Z20" s="604" t="s">
        <v>433</v>
      </c>
      <c r="AA20" s="604" t="s">
        <v>432</v>
      </c>
      <c r="AB20" s="604" t="s">
        <v>432</v>
      </c>
      <c r="AC20" s="628" t="s">
        <v>432</v>
      </c>
      <c r="AD20" s="628" t="s">
        <v>432</v>
      </c>
      <c r="AE20" s="604" t="s">
        <v>5</v>
      </c>
      <c r="AF20" s="604" t="s">
        <v>433</v>
      </c>
      <c r="AG20" s="604" t="s">
        <v>432</v>
      </c>
      <c r="AH20" s="604" t="s">
        <v>432</v>
      </c>
      <c r="AI20" s="604" t="s">
        <v>433</v>
      </c>
      <c r="AJ20" s="604" t="s">
        <v>432</v>
      </c>
      <c r="AK20" s="628" t="s">
        <v>432</v>
      </c>
      <c r="AL20" s="604" t="s">
        <v>433</v>
      </c>
      <c r="AM20" s="604" t="s">
        <v>432</v>
      </c>
      <c r="AN20" s="604" t="s">
        <v>433</v>
      </c>
      <c r="AO20" s="604" t="s">
        <v>432</v>
      </c>
      <c r="AP20" s="628" t="s">
        <v>433</v>
      </c>
      <c r="AQ20" s="604" t="s">
        <v>433</v>
      </c>
      <c r="AR20" s="604" t="s">
        <v>432</v>
      </c>
    </row>
    <row r="21" spans="1:77" s="29" customFormat="1" x14ac:dyDescent="0.25">
      <c r="A21" s="137" t="s">
        <v>261</v>
      </c>
      <c r="B21" s="138"/>
      <c r="C21" s="138"/>
      <c r="D21" s="140"/>
      <c r="E21" s="170"/>
      <c r="F21" s="604" t="s">
        <v>432</v>
      </c>
      <c r="G21" s="604" t="s">
        <v>432</v>
      </c>
      <c r="H21" s="604" t="s">
        <v>434</v>
      </c>
      <c r="I21" s="604" t="s">
        <v>432</v>
      </c>
      <c r="J21" s="604" t="s">
        <v>432</v>
      </c>
      <c r="K21" s="604" t="s">
        <v>432</v>
      </c>
      <c r="L21" s="604" t="s">
        <v>434</v>
      </c>
      <c r="M21" s="604" t="s">
        <v>432</v>
      </c>
      <c r="N21" s="604" t="s">
        <v>432</v>
      </c>
      <c r="O21" s="628" t="s">
        <v>434</v>
      </c>
      <c r="P21" s="604" t="s">
        <v>432</v>
      </c>
      <c r="Q21" s="604" t="s">
        <v>433</v>
      </c>
      <c r="R21" s="628" t="s">
        <v>432</v>
      </c>
      <c r="S21" s="604" t="s">
        <v>432</v>
      </c>
      <c r="T21" s="604" t="s">
        <v>432</v>
      </c>
      <c r="U21" s="604" t="s">
        <v>981</v>
      </c>
      <c r="V21" s="604" t="s">
        <v>432</v>
      </c>
      <c r="W21" s="604" t="s">
        <v>432</v>
      </c>
      <c r="X21" s="604" t="s">
        <v>432</v>
      </c>
      <c r="Y21" s="628" t="s">
        <v>433</v>
      </c>
      <c r="Z21" s="604" t="s">
        <v>433</v>
      </c>
      <c r="AA21" s="604" t="s">
        <v>433</v>
      </c>
      <c r="AB21" s="604" t="s">
        <v>432</v>
      </c>
      <c r="AC21" s="628" t="s">
        <v>433</v>
      </c>
      <c r="AD21" s="628" t="s">
        <v>432</v>
      </c>
      <c r="AE21" s="604" t="s">
        <v>5</v>
      </c>
      <c r="AF21" s="604" t="s">
        <v>432</v>
      </c>
      <c r="AG21" s="604" t="s">
        <v>432</v>
      </c>
      <c r="AH21" s="604" t="s">
        <v>432</v>
      </c>
      <c r="AI21" s="604" t="s">
        <v>432</v>
      </c>
      <c r="AJ21" s="604" t="s">
        <v>432</v>
      </c>
      <c r="AK21" s="628" t="s">
        <v>434</v>
      </c>
      <c r="AL21" s="604" t="s">
        <v>432</v>
      </c>
      <c r="AM21" s="604" t="s">
        <v>432</v>
      </c>
      <c r="AN21" s="604" t="s">
        <v>433</v>
      </c>
      <c r="AO21" s="604" t="s">
        <v>432</v>
      </c>
      <c r="AP21" s="628" t="s">
        <v>432</v>
      </c>
      <c r="AQ21" s="604" t="s">
        <v>432</v>
      </c>
      <c r="AR21" s="604" t="s">
        <v>432</v>
      </c>
    </row>
    <row r="22" spans="1:77" s="29" customFormat="1" x14ac:dyDescent="0.25">
      <c r="A22" s="137" t="s">
        <v>262</v>
      </c>
      <c r="B22" s="138"/>
      <c r="C22" s="138"/>
      <c r="D22" s="140"/>
      <c r="E22" s="170"/>
      <c r="F22" s="604" t="s">
        <v>432</v>
      </c>
      <c r="G22" s="604" t="s">
        <v>432</v>
      </c>
      <c r="H22" s="604" t="s">
        <v>432</v>
      </c>
      <c r="I22" s="604" t="s">
        <v>432</v>
      </c>
      <c r="J22" s="604" t="s">
        <v>432</v>
      </c>
      <c r="K22" s="604" t="s">
        <v>432</v>
      </c>
      <c r="L22" s="604" t="s">
        <v>434</v>
      </c>
      <c r="M22" s="604" t="s">
        <v>433</v>
      </c>
      <c r="N22" s="604" t="s">
        <v>432</v>
      </c>
      <c r="O22" s="628" t="s">
        <v>434</v>
      </c>
      <c r="P22" s="604" t="s">
        <v>432</v>
      </c>
      <c r="Q22" s="604" t="s">
        <v>433</v>
      </c>
      <c r="R22" s="628" t="s">
        <v>432</v>
      </c>
      <c r="S22" s="604" t="s">
        <v>432</v>
      </c>
      <c r="T22" s="604" t="s">
        <v>432</v>
      </c>
      <c r="U22" s="604" t="s">
        <v>981</v>
      </c>
      <c r="V22" s="604" t="s">
        <v>432</v>
      </c>
      <c r="W22" s="604" t="s">
        <v>432</v>
      </c>
      <c r="X22" s="604" t="s">
        <v>432</v>
      </c>
      <c r="Y22" s="628" t="s">
        <v>432</v>
      </c>
      <c r="Z22" s="604" t="s">
        <v>433</v>
      </c>
      <c r="AA22" s="604" t="s">
        <v>433</v>
      </c>
      <c r="AB22" s="604" t="s">
        <v>432</v>
      </c>
      <c r="AC22" s="628" t="s">
        <v>433</v>
      </c>
      <c r="AD22" s="628" t="s">
        <v>432</v>
      </c>
      <c r="AE22" s="604" t="s">
        <v>5</v>
      </c>
      <c r="AF22" s="604" t="s">
        <v>432</v>
      </c>
      <c r="AG22" s="604" t="s">
        <v>432</v>
      </c>
      <c r="AH22" s="604" t="s">
        <v>432</v>
      </c>
      <c r="AI22" s="604" t="s">
        <v>433</v>
      </c>
      <c r="AJ22" s="604" t="s">
        <v>432</v>
      </c>
      <c r="AK22" s="604" t="s">
        <v>434</v>
      </c>
      <c r="AL22" s="604" t="s">
        <v>432</v>
      </c>
      <c r="AM22" s="604" t="s">
        <v>432</v>
      </c>
      <c r="AN22" s="604" t="s">
        <v>433</v>
      </c>
      <c r="AO22" s="604" t="s">
        <v>432</v>
      </c>
      <c r="AP22" s="628" t="s">
        <v>432</v>
      </c>
      <c r="AQ22" s="604" t="s">
        <v>432</v>
      </c>
      <c r="AR22" s="604" t="s">
        <v>432</v>
      </c>
    </row>
    <row r="23" spans="1:77" s="29" customFormat="1" x14ac:dyDescent="0.25">
      <c r="A23" s="137" t="s">
        <v>263</v>
      </c>
      <c r="B23" s="138"/>
      <c r="C23" s="138"/>
      <c r="D23" s="140"/>
      <c r="E23" s="170"/>
      <c r="F23" s="604" t="s">
        <v>432</v>
      </c>
      <c r="G23" s="604" t="s">
        <v>432</v>
      </c>
      <c r="H23" s="604" t="s">
        <v>434</v>
      </c>
      <c r="I23" s="604" t="s">
        <v>433</v>
      </c>
      <c r="J23" s="604" t="s">
        <v>432</v>
      </c>
      <c r="K23" s="604" t="s">
        <v>432</v>
      </c>
      <c r="L23" s="604" t="s">
        <v>434</v>
      </c>
      <c r="M23" s="604" t="s">
        <v>432</v>
      </c>
      <c r="N23" s="604" t="s">
        <v>432</v>
      </c>
      <c r="O23" s="628" t="s">
        <v>434</v>
      </c>
      <c r="P23" s="604" t="s">
        <v>432</v>
      </c>
      <c r="Q23" s="604" t="s">
        <v>432</v>
      </c>
      <c r="R23" s="628" t="s">
        <v>432</v>
      </c>
      <c r="S23" s="604" t="s">
        <v>432</v>
      </c>
      <c r="T23" s="604" t="s">
        <v>432</v>
      </c>
      <c r="U23" s="604" t="s">
        <v>981</v>
      </c>
      <c r="V23" s="604" t="s">
        <v>432</v>
      </c>
      <c r="W23" s="604" t="s">
        <v>432</v>
      </c>
      <c r="X23" s="604" t="s">
        <v>432</v>
      </c>
      <c r="Y23" s="628" t="s">
        <v>432</v>
      </c>
      <c r="Z23" s="604" t="s">
        <v>433</v>
      </c>
      <c r="AA23" s="604" t="s">
        <v>433</v>
      </c>
      <c r="AB23" s="604" t="s">
        <v>432</v>
      </c>
      <c r="AC23" s="628" t="s">
        <v>433</v>
      </c>
      <c r="AD23" s="628" t="s">
        <v>432</v>
      </c>
      <c r="AE23" s="604" t="s">
        <v>5</v>
      </c>
      <c r="AF23" s="604" t="s">
        <v>432</v>
      </c>
      <c r="AG23" s="604" t="s">
        <v>432</v>
      </c>
      <c r="AH23" s="604" t="s">
        <v>432</v>
      </c>
      <c r="AI23" s="604" t="s">
        <v>433</v>
      </c>
      <c r="AJ23" s="604" t="s">
        <v>432</v>
      </c>
      <c r="AK23" s="604" t="s">
        <v>434</v>
      </c>
      <c r="AL23" s="604" t="s">
        <v>433</v>
      </c>
      <c r="AM23" s="604" t="s">
        <v>433</v>
      </c>
      <c r="AN23" s="604" t="s">
        <v>433</v>
      </c>
      <c r="AO23" s="604" t="s">
        <v>432</v>
      </c>
      <c r="AP23" s="628" t="s">
        <v>432</v>
      </c>
      <c r="AQ23" s="604" t="s">
        <v>432</v>
      </c>
      <c r="AR23" s="604" t="s">
        <v>432</v>
      </c>
    </row>
    <row r="24" spans="1:77" s="29" customFormat="1" x14ac:dyDescent="0.25">
      <c r="A24" s="137" t="s">
        <v>264</v>
      </c>
      <c r="B24" s="138"/>
      <c r="C24" s="138"/>
      <c r="D24" s="140"/>
      <c r="E24" s="170"/>
      <c r="F24" s="604" t="s">
        <v>432</v>
      </c>
      <c r="G24" s="604" t="s">
        <v>432</v>
      </c>
      <c r="H24" s="604" t="s">
        <v>432</v>
      </c>
      <c r="I24" s="604" t="s">
        <v>433</v>
      </c>
      <c r="J24" s="604" t="s">
        <v>432</v>
      </c>
      <c r="K24" s="604" t="s">
        <v>432</v>
      </c>
      <c r="L24" s="604" t="s">
        <v>434</v>
      </c>
      <c r="M24" s="604" t="s">
        <v>432</v>
      </c>
      <c r="N24" s="604" t="s">
        <v>432</v>
      </c>
      <c r="O24" s="628" t="s">
        <v>434</v>
      </c>
      <c r="P24" s="604" t="s">
        <v>432</v>
      </c>
      <c r="Q24" s="604" t="s">
        <v>433</v>
      </c>
      <c r="R24" s="628" t="s">
        <v>432</v>
      </c>
      <c r="S24" s="604" t="s">
        <v>432</v>
      </c>
      <c r="T24" s="604" t="s">
        <v>432</v>
      </c>
      <c r="U24" s="604" t="s">
        <v>981</v>
      </c>
      <c r="V24" s="604" t="s">
        <v>433</v>
      </c>
      <c r="W24" s="604" t="s">
        <v>432</v>
      </c>
      <c r="X24" s="604" t="s">
        <v>432</v>
      </c>
      <c r="Y24" s="628" t="s">
        <v>432</v>
      </c>
      <c r="Z24" s="604" t="s">
        <v>433</v>
      </c>
      <c r="AA24" s="604" t="s">
        <v>432</v>
      </c>
      <c r="AB24" s="604" t="s">
        <v>432</v>
      </c>
      <c r="AC24" s="628" t="s">
        <v>432</v>
      </c>
      <c r="AD24" s="628" t="s">
        <v>432</v>
      </c>
      <c r="AE24" s="604" t="s">
        <v>5</v>
      </c>
      <c r="AF24" s="604" t="s">
        <v>432</v>
      </c>
      <c r="AG24" s="604" t="s">
        <v>434</v>
      </c>
      <c r="AH24" s="604" t="s">
        <v>432</v>
      </c>
      <c r="AI24" s="604" t="s">
        <v>432</v>
      </c>
      <c r="AJ24" s="604" t="s">
        <v>432</v>
      </c>
      <c r="AK24" s="604" t="s">
        <v>434</v>
      </c>
      <c r="AL24" s="604" t="s">
        <v>432</v>
      </c>
      <c r="AM24" s="604" t="s">
        <v>432</v>
      </c>
      <c r="AN24" s="604" t="s">
        <v>433</v>
      </c>
      <c r="AO24" s="604" t="s">
        <v>432</v>
      </c>
      <c r="AP24" s="628" t="s">
        <v>433</v>
      </c>
      <c r="AQ24" s="604" t="s">
        <v>432</v>
      </c>
      <c r="AR24" s="604" t="s">
        <v>432</v>
      </c>
    </row>
    <row r="25" spans="1:77" s="29" customFormat="1" x14ac:dyDescent="0.25">
      <c r="A25" s="141" t="s">
        <v>265</v>
      </c>
      <c r="B25" s="142"/>
      <c r="C25" s="142"/>
      <c r="D25" s="143"/>
      <c r="E25" s="176"/>
      <c r="F25" s="605" t="s">
        <v>434</v>
      </c>
      <c r="G25" s="636" t="s">
        <v>690</v>
      </c>
      <c r="H25" s="605" t="s">
        <v>434</v>
      </c>
      <c r="I25" s="605" t="s">
        <v>434</v>
      </c>
      <c r="J25" s="605" t="s">
        <v>434</v>
      </c>
      <c r="K25" s="605" t="s">
        <v>434</v>
      </c>
      <c r="L25" s="605" t="s">
        <v>434</v>
      </c>
      <c r="M25" s="605" t="s">
        <v>434</v>
      </c>
      <c r="N25" s="605" t="s">
        <v>434</v>
      </c>
      <c r="O25" s="605" t="s">
        <v>434</v>
      </c>
      <c r="P25" s="605" t="s">
        <v>434</v>
      </c>
      <c r="Q25" s="605" t="s">
        <v>434</v>
      </c>
      <c r="R25" s="605" t="s">
        <v>434</v>
      </c>
      <c r="S25" s="605" t="s">
        <v>434</v>
      </c>
      <c r="T25" s="605" t="s">
        <v>434</v>
      </c>
      <c r="U25" s="636" t="s">
        <v>982</v>
      </c>
      <c r="V25" s="605" t="s">
        <v>434</v>
      </c>
      <c r="W25" s="636" t="s">
        <v>741</v>
      </c>
      <c r="X25" s="605" t="s">
        <v>434</v>
      </c>
      <c r="Y25" s="605" t="s">
        <v>434</v>
      </c>
      <c r="Z25" s="605" t="s">
        <v>434</v>
      </c>
      <c r="AA25" s="605" t="s">
        <v>434</v>
      </c>
      <c r="AB25" s="605" t="s">
        <v>434</v>
      </c>
      <c r="AC25" s="605" t="s">
        <v>434</v>
      </c>
      <c r="AD25" s="605" t="s">
        <v>434</v>
      </c>
      <c r="AE25" s="605" t="s">
        <v>434</v>
      </c>
      <c r="AF25" s="605" t="s">
        <v>434</v>
      </c>
      <c r="AG25" s="605" t="s">
        <v>434</v>
      </c>
      <c r="AH25" s="605" t="s">
        <v>434</v>
      </c>
      <c r="AI25" s="605" t="s">
        <v>434</v>
      </c>
      <c r="AJ25" s="605" t="s">
        <v>434</v>
      </c>
      <c r="AK25" s="636" t="s">
        <v>1158</v>
      </c>
      <c r="AL25" s="636" t="s">
        <v>1005</v>
      </c>
      <c r="AM25" s="636" t="s">
        <v>897</v>
      </c>
      <c r="AN25" s="636"/>
      <c r="AO25" s="605" t="s">
        <v>434</v>
      </c>
      <c r="AP25" s="605" t="s">
        <v>434</v>
      </c>
      <c r="AQ25" s="605" t="s">
        <v>434</v>
      </c>
      <c r="AR25" s="605" t="s">
        <v>434</v>
      </c>
    </row>
    <row r="26" spans="1:77" s="29" customFormat="1" ht="22.5" customHeight="1" x14ac:dyDescent="0.25">
      <c r="A26" s="124" t="s">
        <v>301</v>
      </c>
      <c r="B26" s="125"/>
      <c r="C26" s="125"/>
      <c r="D26" s="126"/>
      <c r="E26" s="175"/>
      <c r="F26" s="463"/>
      <c r="G26" s="463"/>
      <c r="H26" s="463"/>
      <c r="I26" s="463"/>
      <c r="J26" s="402"/>
      <c r="K26" s="466"/>
      <c r="L26" s="403"/>
      <c r="M26" s="463"/>
      <c r="N26" s="466"/>
      <c r="O26" s="466"/>
      <c r="P26" s="466"/>
      <c r="Q26" s="466"/>
      <c r="R26" s="466"/>
      <c r="S26" s="463"/>
      <c r="T26" s="463"/>
      <c r="U26" s="403"/>
      <c r="V26" s="463"/>
      <c r="W26" s="403"/>
      <c r="X26" s="603"/>
      <c r="Y26" s="654"/>
      <c r="Z26" s="603"/>
      <c r="AA26" s="463"/>
      <c r="AB26" s="466"/>
      <c r="AC26" s="403"/>
      <c r="AD26" s="466"/>
      <c r="AE26" s="404"/>
      <c r="AF26" s="654"/>
      <c r="AG26" s="654"/>
      <c r="AH26" s="603"/>
      <c r="AI26" s="603"/>
      <c r="AJ26" s="654"/>
      <c r="AK26" s="405"/>
      <c r="AL26" s="603"/>
      <c r="AM26" s="405"/>
      <c r="AN26" s="603"/>
      <c r="AO26" s="463"/>
      <c r="AP26" s="466"/>
      <c r="AQ26" s="463"/>
      <c r="AR26" s="402"/>
    </row>
    <row r="27" spans="1:77" s="29" customFormat="1" x14ac:dyDescent="0.25">
      <c r="A27" s="137" t="s">
        <v>267</v>
      </c>
      <c r="B27" s="138"/>
      <c r="C27" s="138"/>
      <c r="D27" s="140"/>
      <c r="E27" s="170"/>
      <c r="F27" s="604" t="s">
        <v>432</v>
      </c>
      <c r="G27" s="604" t="s">
        <v>432</v>
      </c>
      <c r="H27" s="604" t="s">
        <v>432</v>
      </c>
      <c r="I27" s="604" t="s">
        <v>432</v>
      </c>
      <c r="J27" s="604" t="s">
        <v>432</v>
      </c>
      <c r="K27" s="628" t="s">
        <v>432</v>
      </c>
      <c r="L27" s="628" t="s">
        <v>432</v>
      </c>
      <c r="M27" s="604" t="s">
        <v>432</v>
      </c>
      <c r="N27" s="604" t="s">
        <v>432</v>
      </c>
      <c r="O27" s="604" t="s">
        <v>432</v>
      </c>
      <c r="P27" s="628" t="s">
        <v>432</v>
      </c>
      <c r="Q27" s="628" t="s">
        <v>432</v>
      </c>
      <c r="R27" s="628" t="s">
        <v>432</v>
      </c>
      <c r="S27" s="604" t="s">
        <v>432</v>
      </c>
      <c r="T27" s="604" t="s">
        <v>433</v>
      </c>
      <c r="U27" s="604" t="s">
        <v>432</v>
      </c>
      <c r="V27" s="604" t="s">
        <v>432</v>
      </c>
      <c r="W27" s="628" t="s">
        <v>432</v>
      </c>
      <c r="X27" s="604" t="s">
        <v>432</v>
      </c>
      <c r="Y27" s="604" t="s">
        <v>432</v>
      </c>
      <c r="Z27" s="604" t="s">
        <v>432</v>
      </c>
      <c r="AA27" s="604" t="s">
        <v>432</v>
      </c>
      <c r="AB27" s="604" t="s">
        <v>432</v>
      </c>
      <c r="AC27" s="628" t="s">
        <v>432</v>
      </c>
      <c r="AD27" s="628" t="s">
        <v>433</v>
      </c>
      <c r="AE27" s="604" t="s">
        <v>432</v>
      </c>
      <c r="AF27" s="628" t="s">
        <v>432</v>
      </c>
      <c r="AG27" s="604" t="s">
        <v>432</v>
      </c>
      <c r="AH27" s="604" t="s">
        <v>432</v>
      </c>
      <c r="AI27" s="604" t="s">
        <v>432</v>
      </c>
      <c r="AJ27" s="628" t="s">
        <v>432</v>
      </c>
      <c r="AK27" s="628" t="s">
        <v>432</v>
      </c>
      <c r="AL27" s="604" t="s">
        <v>432</v>
      </c>
      <c r="AM27" s="604" t="s">
        <v>434</v>
      </c>
      <c r="AN27" s="604" t="s">
        <v>432</v>
      </c>
      <c r="AO27" s="604" t="s">
        <v>432</v>
      </c>
      <c r="AP27" s="628" t="s">
        <v>434</v>
      </c>
      <c r="AQ27" s="604" t="s">
        <v>1014</v>
      </c>
      <c r="AR27" s="604" t="s">
        <v>923</v>
      </c>
    </row>
    <row r="28" spans="1:77" s="29" customFormat="1" x14ac:dyDescent="0.25">
      <c r="A28" s="137" t="s">
        <v>268</v>
      </c>
      <c r="B28" s="138"/>
      <c r="C28" s="138"/>
      <c r="D28" s="140"/>
      <c r="E28" s="170"/>
      <c r="F28" s="604" t="s">
        <v>432</v>
      </c>
      <c r="G28" s="604" t="s">
        <v>433</v>
      </c>
      <c r="H28" s="604" t="s">
        <v>434</v>
      </c>
      <c r="I28" s="604" t="s">
        <v>432</v>
      </c>
      <c r="J28" s="604" t="s">
        <v>5</v>
      </c>
      <c r="K28" s="628" t="s">
        <v>432</v>
      </c>
      <c r="L28" s="628" t="s">
        <v>432</v>
      </c>
      <c r="M28" s="604" t="s">
        <v>432</v>
      </c>
      <c r="N28" s="604" t="s">
        <v>432</v>
      </c>
      <c r="O28" s="604" t="s">
        <v>434</v>
      </c>
      <c r="P28" s="628" t="s">
        <v>432</v>
      </c>
      <c r="Q28" s="628" t="s">
        <v>433</v>
      </c>
      <c r="R28" s="628" t="s">
        <v>432</v>
      </c>
      <c r="S28" s="604" t="s">
        <v>433</v>
      </c>
      <c r="T28" s="604" t="s">
        <v>432</v>
      </c>
      <c r="U28" s="604" t="s">
        <v>432</v>
      </c>
      <c r="V28" s="604" t="s">
        <v>433</v>
      </c>
      <c r="W28" s="628" t="s">
        <v>433</v>
      </c>
      <c r="X28" s="604" t="s">
        <v>432</v>
      </c>
      <c r="Y28" s="604" t="s">
        <v>432</v>
      </c>
      <c r="Z28" s="604" t="s">
        <v>434</v>
      </c>
      <c r="AA28" s="604" t="s">
        <v>433</v>
      </c>
      <c r="AB28" s="604" t="s">
        <v>432</v>
      </c>
      <c r="AC28" s="606" t="s">
        <v>434</v>
      </c>
      <c r="AD28" s="628" t="s">
        <v>433</v>
      </c>
      <c r="AE28" s="604" t="s">
        <v>5</v>
      </c>
      <c r="AF28" s="628" t="s">
        <v>433</v>
      </c>
      <c r="AG28" s="604" t="s">
        <v>432</v>
      </c>
      <c r="AH28" s="604" t="s">
        <v>432</v>
      </c>
      <c r="AI28" s="604" t="s">
        <v>432</v>
      </c>
      <c r="AJ28" s="606" t="s">
        <v>434</v>
      </c>
      <c r="AK28" s="628" t="s">
        <v>432</v>
      </c>
      <c r="AL28" s="604" t="s">
        <v>432</v>
      </c>
      <c r="AM28" s="606" t="s">
        <v>434</v>
      </c>
      <c r="AN28" s="604" t="s">
        <v>433</v>
      </c>
      <c r="AO28" s="604" t="s">
        <v>432</v>
      </c>
      <c r="AP28" s="628" t="s">
        <v>432</v>
      </c>
      <c r="AQ28" s="604" t="s">
        <v>909</v>
      </c>
      <c r="AR28" s="604" t="s">
        <v>1019</v>
      </c>
    </row>
    <row r="29" spans="1:77" s="29" customFormat="1" x14ac:dyDescent="0.25">
      <c r="A29" s="137" t="s">
        <v>269</v>
      </c>
      <c r="B29" s="138"/>
      <c r="C29" s="138"/>
      <c r="D29" s="140"/>
      <c r="E29" s="170"/>
      <c r="F29" s="604" t="s">
        <v>434</v>
      </c>
      <c r="G29" s="604" t="s">
        <v>433</v>
      </c>
      <c r="H29" s="604" t="s">
        <v>434</v>
      </c>
      <c r="I29" s="604" t="s">
        <v>433</v>
      </c>
      <c r="J29" s="604" t="s">
        <v>5</v>
      </c>
      <c r="K29" s="604" t="s">
        <v>434</v>
      </c>
      <c r="L29" s="628" t="s">
        <v>432</v>
      </c>
      <c r="M29" s="604" t="s">
        <v>433</v>
      </c>
      <c r="N29" s="604" t="s">
        <v>433</v>
      </c>
      <c r="O29" s="604" t="s">
        <v>434</v>
      </c>
      <c r="P29" s="628" t="s">
        <v>433</v>
      </c>
      <c r="Q29" s="628" t="s">
        <v>433</v>
      </c>
      <c r="R29" s="628" t="s">
        <v>433</v>
      </c>
      <c r="S29" s="604" t="s">
        <v>432</v>
      </c>
      <c r="T29" s="604" t="s">
        <v>432</v>
      </c>
      <c r="U29" s="604" t="s">
        <v>433</v>
      </c>
      <c r="V29" s="604" t="s">
        <v>433</v>
      </c>
      <c r="W29" s="635" t="s">
        <v>984</v>
      </c>
      <c r="X29" s="604" t="s">
        <v>432</v>
      </c>
      <c r="Y29" s="604" t="s">
        <v>432</v>
      </c>
      <c r="Z29" s="604" t="s">
        <v>432</v>
      </c>
      <c r="AA29" s="604" t="s">
        <v>433</v>
      </c>
      <c r="AB29" s="604" t="s">
        <v>433</v>
      </c>
      <c r="AC29" s="606" t="s">
        <v>434</v>
      </c>
      <c r="AD29" s="628" t="s">
        <v>433</v>
      </c>
      <c r="AE29" s="604" t="s">
        <v>5</v>
      </c>
      <c r="AF29" s="628" t="s">
        <v>433</v>
      </c>
      <c r="AG29" s="604" t="s">
        <v>433</v>
      </c>
      <c r="AH29" s="604" t="s">
        <v>432</v>
      </c>
      <c r="AI29" s="604" t="s">
        <v>433</v>
      </c>
      <c r="AJ29" s="628" t="s">
        <v>432</v>
      </c>
      <c r="AK29" s="628" t="s">
        <v>432</v>
      </c>
      <c r="AL29" s="604" t="s">
        <v>433</v>
      </c>
      <c r="AM29" s="606" t="s">
        <v>434</v>
      </c>
      <c r="AN29" s="604" t="s">
        <v>433</v>
      </c>
      <c r="AO29" s="604" t="s">
        <v>433</v>
      </c>
      <c r="AP29" s="628" t="s">
        <v>434</v>
      </c>
      <c r="AQ29" s="604" t="s">
        <v>433</v>
      </c>
      <c r="AR29" s="604" t="s">
        <v>1020</v>
      </c>
    </row>
    <row r="30" spans="1:77" s="29" customFormat="1" x14ac:dyDescent="0.25">
      <c r="A30" s="137" t="s">
        <v>270</v>
      </c>
      <c r="B30" s="138"/>
      <c r="C30" s="138"/>
      <c r="D30" s="140"/>
      <c r="E30" s="170"/>
      <c r="F30" s="604" t="s">
        <v>434</v>
      </c>
      <c r="G30" s="604" t="s">
        <v>433</v>
      </c>
      <c r="H30" s="604" t="s">
        <v>434</v>
      </c>
      <c r="I30" s="604" t="s">
        <v>433</v>
      </c>
      <c r="J30" s="604" t="s">
        <v>5</v>
      </c>
      <c r="K30" s="628" t="s">
        <v>432</v>
      </c>
      <c r="L30" s="628" t="s">
        <v>966</v>
      </c>
      <c r="M30" s="604" t="s">
        <v>433</v>
      </c>
      <c r="N30" s="604" t="s">
        <v>433</v>
      </c>
      <c r="O30" s="604" t="s">
        <v>434</v>
      </c>
      <c r="P30" s="628" t="s">
        <v>433</v>
      </c>
      <c r="Q30" s="628" t="s">
        <v>433</v>
      </c>
      <c r="R30" s="628" t="s">
        <v>433</v>
      </c>
      <c r="S30" s="604" t="s">
        <v>432</v>
      </c>
      <c r="T30" s="604" t="s">
        <v>433</v>
      </c>
      <c r="U30" s="604" t="s">
        <v>432</v>
      </c>
      <c r="V30" s="604" t="s">
        <v>433</v>
      </c>
      <c r="W30" s="628" t="s">
        <v>985</v>
      </c>
      <c r="X30" s="604" t="s">
        <v>432</v>
      </c>
      <c r="Y30" s="604" t="s">
        <v>432</v>
      </c>
      <c r="Z30" s="604" t="s">
        <v>434</v>
      </c>
      <c r="AA30" s="604" t="s">
        <v>433</v>
      </c>
      <c r="AB30" s="604" t="s">
        <v>433</v>
      </c>
      <c r="AC30" s="606" t="s">
        <v>434</v>
      </c>
      <c r="AD30" s="628" t="s">
        <v>433</v>
      </c>
      <c r="AE30" s="604" t="s">
        <v>5</v>
      </c>
      <c r="AF30" s="628" t="s">
        <v>433</v>
      </c>
      <c r="AG30" s="604" t="s">
        <v>432</v>
      </c>
      <c r="AH30" s="604" t="s">
        <v>432</v>
      </c>
      <c r="AI30" s="604" t="s">
        <v>433</v>
      </c>
      <c r="AJ30" s="606" t="s">
        <v>434</v>
      </c>
      <c r="AK30" s="628" t="s">
        <v>432</v>
      </c>
      <c r="AL30" s="604" t="s">
        <v>433</v>
      </c>
      <c r="AM30" s="606" t="s">
        <v>434</v>
      </c>
      <c r="AN30" s="604" t="s">
        <v>433</v>
      </c>
      <c r="AO30" s="604" t="s">
        <v>433</v>
      </c>
      <c r="AP30" s="635" t="s">
        <v>434</v>
      </c>
      <c r="AQ30" s="604" t="s">
        <v>432</v>
      </c>
      <c r="AR30" s="604" t="s">
        <v>432</v>
      </c>
    </row>
    <row r="31" spans="1:77" s="29" customFormat="1" x14ac:dyDescent="0.25">
      <c r="A31" s="141" t="s">
        <v>265</v>
      </c>
      <c r="B31" s="142"/>
      <c r="C31" s="142"/>
      <c r="D31" s="143"/>
      <c r="E31" s="176"/>
      <c r="F31" s="636"/>
      <c r="G31" s="636" t="s">
        <v>955</v>
      </c>
      <c r="H31" s="636"/>
      <c r="I31" s="605" t="s">
        <v>434</v>
      </c>
      <c r="J31" s="636" t="s">
        <v>961</v>
      </c>
      <c r="K31" s="605" t="s">
        <v>434</v>
      </c>
      <c r="L31" s="605" t="s">
        <v>434</v>
      </c>
      <c r="M31" s="605" t="s">
        <v>434</v>
      </c>
      <c r="N31" s="605" t="s">
        <v>434</v>
      </c>
      <c r="O31" s="605" t="s">
        <v>434</v>
      </c>
      <c r="P31" s="605" t="s">
        <v>434</v>
      </c>
      <c r="Q31" s="605" t="s">
        <v>434</v>
      </c>
      <c r="R31" s="636" t="s">
        <v>973</v>
      </c>
      <c r="S31" s="605" t="s">
        <v>434</v>
      </c>
      <c r="T31" s="605" t="s">
        <v>434</v>
      </c>
      <c r="U31" s="636" t="s">
        <v>478</v>
      </c>
      <c r="V31" s="605" t="s">
        <v>434</v>
      </c>
      <c r="W31" s="605" t="s">
        <v>434</v>
      </c>
      <c r="X31" s="605" t="s">
        <v>434</v>
      </c>
      <c r="Y31" s="605" t="s">
        <v>434</v>
      </c>
      <c r="Z31" s="636" t="s">
        <v>989</v>
      </c>
      <c r="AA31" s="605" t="s">
        <v>434</v>
      </c>
      <c r="AB31" s="605" t="s">
        <v>434</v>
      </c>
      <c r="AC31" s="605" t="s">
        <v>434</v>
      </c>
      <c r="AD31" s="605" t="s">
        <v>434</v>
      </c>
      <c r="AE31" s="636" t="s">
        <v>1000</v>
      </c>
      <c r="AF31" s="605" t="s">
        <v>434</v>
      </c>
      <c r="AG31" s="605" t="s">
        <v>434</v>
      </c>
      <c r="AH31" s="605" t="s">
        <v>434</v>
      </c>
      <c r="AI31" s="605" t="s">
        <v>434</v>
      </c>
      <c r="AJ31" s="605" t="s">
        <v>434</v>
      </c>
      <c r="AK31" s="636" t="s">
        <v>1160</v>
      </c>
      <c r="AL31" s="636"/>
      <c r="AM31" s="636" t="s">
        <v>901</v>
      </c>
      <c r="AN31" s="605" t="s">
        <v>434</v>
      </c>
      <c r="AO31" s="605" t="s">
        <v>434</v>
      </c>
      <c r="AP31" s="605" t="s">
        <v>434</v>
      </c>
      <c r="AQ31" s="636" t="s">
        <v>1015</v>
      </c>
      <c r="AR31" s="605" t="s">
        <v>434</v>
      </c>
    </row>
    <row r="32" spans="1:77" s="29" customFormat="1" x14ac:dyDescent="0.25">
      <c r="A32" s="166" t="s">
        <v>302</v>
      </c>
      <c r="B32" s="144"/>
      <c r="C32" s="144"/>
      <c r="D32" s="145"/>
      <c r="E32" s="178"/>
      <c r="F32" s="463"/>
      <c r="G32" s="463"/>
      <c r="H32" s="463"/>
      <c r="I32" s="463"/>
      <c r="J32" s="402"/>
      <c r="K32" s="466"/>
      <c r="L32" s="403"/>
      <c r="M32" s="463"/>
      <c r="N32" s="466"/>
      <c r="O32" s="466"/>
      <c r="P32" s="466"/>
      <c r="Q32" s="466"/>
      <c r="R32" s="466"/>
      <c r="S32" s="463"/>
      <c r="T32" s="463"/>
      <c r="U32" s="403"/>
      <c r="V32" s="463"/>
      <c r="W32" s="403"/>
      <c r="X32" s="463"/>
      <c r="Y32" s="466"/>
      <c r="Z32" s="463"/>
      <c r="AA32" s="463"/>
      <c r="AB32" s="466"/>
      <c r="AC32" s="403"/>
      <c r="AD32" s="466"/>
      <c r="AE32" s="402"/>
      <c r="AF32" s="466"/>
      <c r="AG32" s="466"/>
      <c r="AH32" s="463"/>
      <c r="AI32" s="463"/>
      <c r="AJ32" s="466"/>
      <c r="AK32" s="403"/>
      <c r="AL32" s="463"/>
      <c r="AM32" s="403"/>
      <c r="AN32" s="463"/>
      <c r="AO32" s="463"/>
      <c r="AP32" s="466"/>
      <c r="AQ32" s="463"/>
      <c r="AR32" s="402"/>
    </row>
    <row r="33" spans="1:47" s="29" customFormat="1" x14ac:dyDescent="0.25">
      <c r="A33" s="146" t="s">
        <v>303</v>
      </c>
      <c r="B33" s="147"/>
      <c r="C33" s="147"/>
      <c r="D33" s="148"/>
      <c r="E33" s="179"/>
      <c r="F33" s="463"/>
      <c r="G33" s="463"/>
      <c r="H33" s="463"/>
      <c r="I33" s="463"/>
      <c r="J33" s="402"/>
      <c r="K33" s="466"/>
      <c r="L33" s="403"/>
      <c r="M33" s="463"/>
      <c r="N33" s="466"/>
      <c r="O33" s="466"/>
      <c r="P33" s="466"/>
      <c r="Q33" s="466"/>
      <c r="R33" s="466"/>
      <c r="S33" s="463"/>
      <c r="T33" s="463"/>
      <c r="U33" s="403"/>
      <c r="V33" s="463"/>
      <c r="W33" s="403"/>
      <c r="X33" s="463"/>
      <c r="Y33" s="466"/>
      <c r="Z33" s="463"/>
      <c r="AA33" s="463"/>
      <c r="AB33" s="466"/>
      <c r="AC33" s="403"/>
      <c r="AD33" s="466"/>
      <c r="AE33" s="402"/>
      <c r="AF33" s="466"/>
      <c r="AG33" s="466"/>
      <c r="AH33" s="463"/>
      <c r="AI33" s="463"/>
      <c r="AJ33" s="466"/>
      <c r="AK33" s="403"/>
      <c r="AL33" s="463"/>
      <c r="AM33" s="403"/>
      <c r="AN33" s="463"/>
      <c r="AO33" s="463"/>
      <c r="AP33" s="466"/>
      <c r="AQ33" s="463"/>
      <c r="AR33" s="402"/>
    </row>
    <row r="34" spans="1:47" s="29" customFormat="1" x14ac:dyDescent="0.25">
      <c r="A34" s="146" t="s">
        <v>304</v>
      </c>
      <c r="B34" s="147"/>
      <c r="C34" s="147"/>
      <c r="D34" s="148"/>
      <c r="E34" s="179"/>
      <c r="F34" s="463"/>
      <c r="G34" s="463"/>
      <c r="H34" s="463"/>
      <c r="I34" s="463"/>
      <c r="J34" s="402"/>
      <c r="K34" s="466"/>
      <c r="L34" s="403"/>
      <c r="M34" s="463"/>
      <c r="N34" s="466"/>
      <c r="O34" s="466"/>
      <c r="P34" s="466"/>
      <c r="Q34" s="466"/>
      <c r="R34" s="466"/>
      <c r="S34" s="463"/>
      <c r="T34" s="463"/>
      <c r="U34" s="403"/>
      <c r="V34" s="463"/>
      <c r="W34" s="403"/>
      <c r="X34" s="463"/>
      <c r="Y34" s="466"/>
      <c r="Z34" s="463"/>
      <c r="AA34" s="463"/>
      <c r="AB34" s="466"/>
      <c r="AC34" s="403"/>
      <c r="AD34" s="466"/>
      <c r="AE34" s="402"/>
      <c r="AF34" s="466"/>
      <c r="AG34" s="466"/>
      <c r="AH34" s="463"/>
      <c r="AI34" s="463"/>
      <c r="AJ34" s="466"/>
      <c r="AK34" s="403"/>
      <c r="AL34" s="463"/>
      <c r="AM34" s="403"/>
      <c r="AN34" s="463"/>
      <c r="AO34" s="463"/>
      <c r="AP34" s="466"/>
      <c r="AQ34" s="463"/>
      <c r="AR34" s="463"/>
    </row>
    <row r="35" spans="1:47" s="29" customFormat="1" x14ac:dyDescent="0.25">
      <c r="A35" s="167" t="s">
        <v>305</v>
      </c>
      <c r="B35" s="147"/>
      <c r="C35" s="147"/>
      <c r="D35" s="148"/>
      <c r="E35" s="170"/>
      <c r="F35" s="628" t="s">
        <v>432</v>
      </c>
      <c r="G35" s="628" t="s">
        <v>432</v>
      </c>
      <c r="H35" s="604" t="s">
        <v>434</v>
      </c>
      <c r="I35" s="604" t="s">
        <v>432</v>
      </c>
      <c r="J35" s="604" t="s">
        <v>432</v>
      </c>
      <c r="K35" s="628" t="s">
        <v>432</v>
      </c>
      <c r="L35" s="628" t="s">
        <v>967</v>
      </c>
      <c r="M35" s="604" t="s">
        <v>432</v>
      </c>
      <c r="N35" s="606" t="s">
        <v>432</v>
      </c>
      <c r="O35" s="628" t="s">
        <v>432</v>
      </c>
      <c r="P35" s="628" t="s">
        <v>432</v>
      </c>
      <c r="Q35" s="606" t="s">
        <v>434</v>
      </c>
      <c r="R35" s="635" t="s">
        <v>433</v>
      </c>
      <c r="S35" s="606" t="s">
        <v>434</v>
      </c>
      <c r="T35" s="606" t="s">
        <v>433</v>
      </c>
      <c r="U35" s="635" t="s">
        <v>432</v>
      </c>
      <c r="V35" s="604" t="s">
        <v>433</v>
      </c>
      <c r="W35" s="635" t="s">
        <v>433</v>
      </c>
      <c r="X35" s="606" t="s">
        <v>432</v>
      </c>
      <c r="Y35" s="635" t="s">
        <v>432</v>
      </c>
      <c r="Z35" s="606" t="s">
        <v>432</v>
      </c>
      <c r="AA35" s="604" t="s">
        <v>433</v>
      </c>
      <c r="AB35" s="628" t="s">
        <v>432</v>
      </c>
      <c r="AC35" s="606" t="s">
        <v>996</v>
      </c>
      <c r="AD35" s="628" t="s">
        <v>432</v>
      </c>
      <c r="AE35" s="606" t="s">
        <v>877</v>
      </c>
      <c r="AF35" s="635" t="s">
        <v>433</v>
      </c>
      <c r="AG35" s="635" t="s">
        <v>432</v>
      </c>
      <c r="AH35" s="635" t="s">
        <v>432</v>
      </c>
      <c r="AI35" s="635" t="s">
        <v>432</v>
      </c>
      <c r="AJ35" s="635" t="s">
        <v>432</v>
      </c>
      <c r="AK35" s="635" t="s">
        <v>434</v>
      </c>
      <c r="AL35" s="604" t="s">
        <v>432</v>
      </c>
      <c r="AM35" s="606" t="s">
        <v>432</v>
      </c>
      <c r="AN35" s="606" t="s">
        <v>433</v>
      </c>
      <c r="AO35" s="604" t="s">
        <v>433</v>
      </c>
      <c r="AP35" s="628" t="s">
        <v>433</v>
      </c>
      <c r="AQ35" s="604" t="s">
        <v>432</v>
      </c>
      <c r="AR35" s="604" t="s">
        <v>433</v>
      </c>
    </row>
    <row r="36" spans="1:47" s="29" customFormat="1" x14ac:dyDescent="0.25">
      <c r="A36" s="168" t="s">
        <v>306</v>
      </c>
      <c r="B36" s="149"/>
      <c r="C36" s="149"/>
      <c r="D36" s="150"/>
      <c r="E36" s="170"/>
      <c r="F36" s="628" t="s">
        <v>432</v>
      </c>
      <c r="G36" s="628" t="s">
        <v>432</v>
      </c>
      <c r="H36" s="604" t="s">
        <v>432</v>
      </c>
      <c r="I36" s="604" t="s">
        <v>432</v>
      </c>
      <c r="J36" s="604" t="s">
        <v>432</v>
      </c>
      <c r="K36" s="628" t="s">
        <v>432</v>
      </c>
      <c r="L36" s="628" t="s">
        <v>967</v>
      </c>
      <c r="M36" s="604" t="s">
        <v>432</v>
      </c>
      <c r="N36" s="606" t="s">
        <v>432</v>
      </c>
      <c r="O36" s="628" t="s">
        <v>433</v>
      </c>
      <c r="P36" s="628" t="s">
        <v>432</v>
      </c>
      <c r="Q36" s="606" t="s">
        <v>434</v>
      </c>
      <c r="R36" s="635" t="s">
        <v>432</v>
      </c>
      <c r="S36" s="606" t="s">
        <v>434</v>
      </c>
      <c r="T36" s="606" t="s">
        <v>432</v>
      </c>
      <c r="U36" s="635" t="s">
        <v>432</v>
      </c>
      <c r="V36" s="604" t="s">
        <v>432</v>
      </c>
      <c r="W36" s="635" t="s">
        <v>432</v>
      </c>
      <c r="X36" s="606" t="s">
        <v>432</v>
      </c>
      <c r="Y36" s="635" t="s">
        <v>432</v>
      </c>
      <c r="Z36" s="606" t="s">
        <v>434</v>
      </c>
      <c r="AA36" s="604" t="s">
        <v>432</v>
      </c>
      <c r="AB36" s="628" t="s">
        <v>433</v>
      </c>
      <c r="AC36" s="606" t="s">
        <v>996</v>
      </c>
      <c r="AD36" s="635" t="s">
        <v>432</v>
      </c>
      <c r="AE36" s="606" t="s">
        <v>877</v>
      </c>
      <c r="AF36" s="635" t="s">
        <v>432</v>
      </c>
      <c r="AG36" s="635" t="s">
        <v>432</v>
      </c>
      <c r="AH36" s="635" t="s">
        <v>432</v>
      </c>
      <c r="AI36" s="606" t="s">
        <v>432</v>
      </c>
      <c r="AJ36" s="635" t="s">
        <v>432</v>
      </c>
      <c r="AK36" s="635" t="s">
        <v>432</v>
      </c>
      <c r="AL36" s="604" t="s">
        <v>432</v>
      </c>
      <c r="AM36" s="606" t="s">
        <v>432</v>
      </c>
      <c r="AN36" s="606" t="s">
        <v>432</v>
      </c>
      <c r="AO36" s="604" t="s">
        <v>432</v>
      </c>
      <c r="AP36" s="628" t="s">
        <v>432</v>
      </c>
      <c r="AQ36" s="604" t="s">
        <v>432</v>
      </c>
      <c r="AR36" s="604" t="s">
        <v>432</v>
      </c>
    </row>
    <row r="37" spans="1:47" s="29" customFormat="1" x14ac:dyDescent="0.25">
      <c r="A37" s="168"/>
      <c r="B37" s="149"/>
      <c r="C37" s="149"/>
      <c r="D37" s="150"/>
      <c r="E37" s="170"/>
      <c r="F37" s="463"/>
      <c r="G37" s="463"/>
      <c r="H37" s="463"/>
      <c r="I37" s="463"/>
      <c r="J37" s="463"/>
      <c r="K37" s="466"/>
      <c r="L37" s="403"/>
      <c r="M37" s="463"/>
      <c r="N37" s="466"/>
      <c r="O37" s="466"/>
      <c r="P37" s="466"/>
      <c r="Q37" s="463"/>
      <c r="R37" s="466"/>
      <c r="S37" s="463"/>
      <c r="T37" s="463"/>
      <c r="U37" s="403"/>
      <c r="V37" s="463"/>
      <c r="W37" s="466"/>
      <c r="X37" s="463"/>
      <c r="Y37" s="466"/>
      <c r="Z37" s="463"/>
      <c r="AA37" s="463"/>
      <c r="AB37" s="466"/>
      <c r="AC37" s="403"/>
      <c r="AD37" s="466"/>
      <c r="AE37" s="402"/>
      <c r="AF37" s="466"/>
      <c r="AG37" s="466"/>
      <c r="AH37" s="463"/>
      <c r="AI37" s="463"/>
      <c r="AJ37" s="466"/>
      <c r="AK37" s="403"/>
      <c r="AL37" s="463"/>
      <c r="AM37" s="403"/>
      <c r="AN37" s="463"/>
      <c r="AO37" s="463"/>
      <c r="AP37" s="466"/>
      <c r="AQ37" s="463"/>
      <c r="AR37" s="463"/>
    </row>
    <row r="38" spans="1:47" s="29" customFormat="1" x14ac:dyDescent="0.25">
      <c r="A38" s="146" t="s">
        <v>307</v>
      </c>
      <c r="B38" s="149"/>
      <c r="C38" s="151"/>
      <c r="D38" s="150"/>
      <c r="E38" s="170"/>
      <c r="F38" s="463"/>
      <c r="G38" s="463"/>
      <c r="H38" s="463"/>
      <c r="I38" s="463"/>
      <c r="J38" s="463"/>
      <c r="K38" s="466"/>
      <c r="L38" s="403"/>
      <c r="M38" s="463"/>
      <c r="N38" s="466"/>
      <c r="O38" s="466"/>
      <c r="P38" s="466"/>
      <c r="Q38" s="463"/>
      <c r="R38" s="466"/>
      <c r="S38" s="463"/>
      <c r="T38" s="463"/>
      <c r="U38" s="403"/>
      <c r="V38" s="463"/>
      <c r="W38" s="466"/>
      <c r="X38" s="463"/>
      <c r="Y38" s="466"/>
      <c r="Z38" s="463"/>
      <c r="AA38" s="463"/>
      <c r="AB38" s="466"/>
      <c r="AC38" s="403"/>
      <c r="AD38" s="466"/>
      <c r="AE38" s="402"/>
      <c r="AF38" s="466"/>
      <c r="AG38" s="466"/>
      <c r="AH38" s="463"/>
      <c r="AI38" s="463"/>
      <c r="AJ38" s="466"/>
      <c r="AK38" s="403"/>
      <c r="AL38" s="463"/>
      <c r="AM38" s="403"/>
      <c r="AN38" s="463"/>
      <c r="AO38" s="463"/>
      <c r="AP38" s="466"/>
      <c r="AQ38" s="463"/>
      <c r="AR38" s="463"/>
    </row>
    <row r="39" spans="1:47" s="29" customFormat="1" x14ac:dyDescent="0.25">
      <c r="A39" s="168" t="s">
        <v>310</v>
      </c>
      <c r="B39" s="149"/>
      <c r="C39" s="149"/>
      <c r="D39" s="150"/>
      <c r="E39" s="173"/>
      <c r="F39" s="628" t="s">
        <v>432</v>
      </c>
      <c r="G39" s="604" t="s">
        <v>433</v>
      </c>
      <c r="H39" s="604" t="s">
        <v>432</v>
      </c>
      <c r="I39" s="604" t="s">
        <v>432</v>
      </c>
      <c r="J39" s="604" t="s">
        <v>432</v>
      </c>
      <c r="K39" s="628" t="s">
        <v>432</v>
      </c>
      <c r="L39" s="628" t="s">
        <v>968</v>
      </c>
      <c r="M39" s="604" t="s">
        <v>433</v>
      </c>
      <c r="N39" s="604" t="s">
        <v>432</v>
      </c>
      <c r="O39" s="628" t="s">
        <v>432</v>
      </c>
      <c r="P39" s="628" t="s">
        <v>432</v>
      </c>
      <c r="Q39" s="606" t="s">
        <v>434</v>
      </c>
      <c r="R39" s="635" t="s">
        <v>432</v>
      </c>
      <c r="S39" s="606" t="s">
        <v>434</v>
      </c>
      <c r="T39" s="606" t="s">
        <v>432</v>
      </c>
      <c r="U39" s="635" t="s">
        <v>432</v>
      </c>
      <c r="V39" s="604" t="s">
        <v>432</v>
      </c>
      <c r="W39" s="628" t="s">
        <v>432</v>
      </c>
      <c r="X39" s="604" t="s">
        <v>432</v>
      </c>
      <c r="Y39" s="628" t="s">
        <v>432</v>
      </c>
      <c r="Z39" s="604" t="s">
        <v>434</v>
      </c>
      <c r="AA39" s="604" t="s">
        <v>432</v>
      </c>
      <c r="AB39" s="628" t="s">
        <v>432</v>
      </c>
      <c r="AC39" s="606" t="s">
        <v>434</v>
      </c>
      <c r="AD39" s="628" t="s">
        <v>433</v>
      </c>
      <c r="AE39" s="606" t="s">
        <v>1001</v>
      </c>
      <c r="AF39" s="628" t="s">
        <v>432</v>
      </c>
      <c r="AG39" s="628" t="s">
        <v>432</v>
      </c>
      <c r="AH39" s="628" t="s">
        <v>432</v>
      </c>
      <c r="AI39" s="604" t="s">
        <v>432</v>
      </c>
      <c r="AJ39" s="628" t="s">
        <v>432</v>
      </c>
      <c r="AK39" s="628" t="s">
        <v>432</v>
      </c>
      <c r="AL39" s="604" t="s">
        <v>432</v>
      </c>
      <c r="AM39" s="606" t="s">
        <v>432</v>
      </c>
      <c r="AN39" s="606" t="s">
        <v>432</v>
      </c>
      <c r="AO39" s="604" t="s">
        <v>432</v>
      </c>
      <c r="AP39" s="628" t="s">
        <v>432</v>
      </c>
      <c r="AQ39" s="604" t="s">
        <v>432</v>
      </c>
      <c r="AR39" s="604" t="s">
        <v>432</v>
      </c>
    </row>
    <row r="40" spans="1:47" s="29" customFormat="1" x14ac:dyDescent="0.25">
      <c r="A40" s="169" t="s">
        <v>265</v>
      </c>
      <c r="B40" s="152"/>
      <c r="C40" s="152"/>
      <c r="D40" s="153"/>
      <c r="E40" s="176"/>
      <c r="F40" s="605" t="s">
        <v>434</v>
      </c>
      <c r="G40" s="636" t="s">
        <v>691</v>
      </c>
      <c r="H40" s="636" t="s">
        <v>434</v>
      </c>
      <c r="I40" s="605" t="s">
        <v>433</v>
      </c>
      <c r="J40" s="605" t="s">
        <v>434</v>
      </c>
      <c r="K40" s="605" t="s">
        <v>434</v>
      </c>
      <c r="L40" s="605" t="s">
        <v>434</v>
      </c>
      <c r="M40" s="605" t="s">
        <v>434</v>
      </c>
      <c r="N40" s="605" t="s">
        <v>434</v>
      </c>
      <c r="O40" s="605" t="s">
        <v>455</v>
      </c>
      <c r="P40" s="605" t="s">
        <v>434</v>
      </c>
      <c r="Q40" s="605" t="s">
        <v>434</v>
      </c>
      <c r="R40" s="605" t="s">
        <v>974</v>
      </c>
      <c r="S40" s="605" t="s">
        <v>434</v>
      </c>
      <c r="T40" s="605" t="s">
        <v>434</v>
      </c>
      <c r="U40" s="605" t="s">
        <v>434</v>
      </c>
      <c r="V40" s="605" t="s">
        <v>434</v>
      </c>
      <c r="W40" s="605" t="s">
        <v>986</v>
      </c>
      <c r="X40" s="605" t="s">
        <v>987</v>
      </c>
      <c r="Y40" s="605" t="s">
        <v>434</v>
      </c>
      <c r="Z40" s="605" t="s">
        <v>990</v>
      </c>
      <c r="AA40" s="605" t="s">
        <v>433</v>
      </c>
      <c r="AB40" s="605" t="s">
        <v>433</v>
      </c>
      <c r="AC40" s="636" t="s">
        <v>776</v>
      </c>
      <c r="AD40" s="605" t="s">
        <v>432</v>
      </c>
      <c r="AE40" s="636" t="s">
        <v>433</v>
      </c>
      <c r="AF40" s="605" t="s">
        <v>433</v>
      </c>
      <c r="AG40" s="605" t="s">
        <v>433</v>
      </c>
      <c r="AH40" s="605" t="s">
        <v>881</v>
      </c>
      <c r="AI40" s="605" t="s">
        <v>434</v>
      </c>
      <c r="AJ40" s="605" t="s">
        <v>432</v>
      </c>
      <c r="AK40" s="636" t="s">
        <v>1161</v>
      </c>
      <c r="AL40" s="636" t="s">
        <v>884</v>
      </c>
      <c r="AM40" s="636" t="s">
        <v>1011</v>
      </c>
      <c r="AN40" s="636" t="s">
        <v>906</v>
      </c>
      <c r="AO40" s="605" t="s">
        <v>433</v>
      </c>
      <c r="AP40" s="605" t="s">
        <v>434</v>
      </c>
      <c r="AQ40" s="605" t="s">
        <v>1016</v>
      </c>
      <c r="AR40" s="605" t="s">
        <v>881</v>
      </c>
    </row>
    <row r="41" spans="1:47" s="29" customFormat="1" x14ac:dyDescent="0.25">
      <c r="A41" s="154" t="s">
        <v>308</v>
      </c>
      <c r="B41" s="155"/>
      <c r="C41" s="155"/>
      <c r="D41" s="156"/>
      <c r="E41" s="180"/>
      <c r="F41" s="463"/>
      <c r="G41" s="463"/>
      <c r="H41" s="463"/>
      <c r="I41" s="463"/>
      <c r="J41" s="402"/>
      <c r="K41" s="466"/>
      <c r="L41" s="403"/>
      <c r="M41" s="463"/>
      <c r="N41" s="466"/>
      <c r="O41" s="466"/>
      <c r="P41" s="466"/>
      <c r="Q41" s="463"/>
      <c r="R41" s="466"/>
      <c r="S41" s="463"/>
      <c r="T41" s="689" t="s">
        <v>979</v>
      </c>
      <c r="U41" s="529"/>
      <c r="V41" s="463"/>
      <c r="W41" s="403"/>
      <c r="X41" s="463"/>
      <c r="Y41" s="466"/>
      <c r="Z41" s="463"/>
      <c r="AA41" s="463"/>
      <c r="AB41" s="466"/>
      <c r="AC41" s="403"/>
      <c r="AD41" s="466"/>
      <c r="AE41" s="402"/>
      <c r="AF41" s="466"/>
      <c r="AG41" s="466"/>
      <c r="AH41" s="463"/>
      <c r="AI41" s="463"/>
      <c r="AJ41" s="466"/>
      <c r="AK41" s="403"/>
      <c r="AL41" s="463"/>
      <c r="AM41" s="403"/>
      <c r="AN41" s="463"/>
      <c r="AO41" s="463"/>
      <c r="AP41" s="466"/>
      <c r="AQ41" s="463"/>
      <c r="AR41" s="402"/>
    </row>
    <row r="42" spans="1:47" s="157" customFormat="1" x14ac:dyDescent="0.25">
      <c r="A42" s="168" t="s">
        <v>309</v>
      </c>
      <c r="B42" s="149"/>
      <c r="C42" s="149"/>
      <c r="D42" s="150"/>
      <c r="E42" s="181"/>
      <c r="F42" s="604" t="s">
        <v>434</v>
      </c>
      <c r="G42" s="604" t="s">
        <v>433</v>
      </c>
      <c r="H42" s="628" t="s">
        <v>434</v>
      </c>
      <c r="I42" s="628" t="s">
        <v>433</v>
      </c>
      <c r="J42" s="604" t="s">
        <v>432</v>
      </c>
      <c r="K42" s="628" t="s">
        <v>432</v>
      </c>
      <c r="L42" s="628" t="s">
        <v>432</v>
      </c>
      <c r="M42" s="604" t="s">
        <v>432</v>
      </c>
      <c r="N42" s="604" t="s">
        <v>432</v>
      </c>
      <c r="O42" s="628" t="s">
        <v>434</v>
      </c>
      <c r="P42" s="628" t="s">
        <v>432</v>
      </c>
      <c r="Q42" s="606" t="s">
        <v>434</v>
      </c>
      <c r="R42" s="635" t="s">
        <v>975</v>
      </c>
      <c r="S42" s="606" t="s">
        <v>434</v>
      </c>
      <c r="T42" s="606" t="s">
        <v>434</v>
      </c>
      <c r="U42" s="628" t="s">
        <v>432</v>
      </c>
      <c r="V42" s="604" t="s">
        <v>433</v>
      </c>
      <c r="W42" s="628" t="s">
        <v>432</v>
      </c>
      <c r="X42" s="606" t="s">
        <v>433</v>
      </c>
      <c r="Y42" s="635" t="s">
        <v>432</v>
      </c>
      <c r="Z42" s="606" t="s">
        <v>432</v>
      </c>
      <c r="AA42" s="604" t="s">
        <v>433</v>
      </c>
      <c r="AB42" s="628" t="s">
        <v>432</v>
      </c>
      <c r="AC42" s="628" t="s">
        <v>432</v>
      </c>
      <c r="AD42" s="628" t="s">
        <v>433</v>
      </c>
      <c r="AE42" s="606" t="s">
        <v>877</v>
      </c>
      <c r="AF42" s="635" t="s">
        <v>432</v>
      </c>
      <c r="AG42" s="635" t="s">
        <v>433</v>
      </c>
      <c r="AH42" s="628" t="s">
        <v>432</v>
      </c>
      <c r="AI42" s="606" t="s">
        <v>432</v>
      </c>
      <c r="AJ42" s="635" t="s">
        <v>432</v>
      </c>
      <c r="AK42" s="635" t="s">
        <v>434</v>
      </c>
      <c r="AL42" s="604" t="s">
        <v>433</v>
      </c>
      <c r="AM42" s="628" t="s">
        <v>432</v>
      </c>
      <c r="AN42" s="604" t="s">
        <v>433</v>
      </c>
      <c r="AO42" s="604" t="s">
        <v>433</v>
      </c>
      <c r="AP42" s="628" t="s">
        <v>434</v>
      </c>
      <c r="AQ42" s="604" t="s">
        <v>1017</v>
      </c>
      <c r="AR42" s="604" t="s">
        <v>433</v>
      </c>
    </row>
    <row r="43" spans="1:47" s="157" customFormat="1" x14ac:dyDescent="0.25">
      <c r="A43" s="168" t="s">
        <v>311</v>
      </c>
      <c r="B43" s="149"/>
      <c r="C43" s="149"/>
      <c r="D43" s="150"/>
      <c r="E43" s="181"/>
      <c r="F43" s="604" t="s">
        <v>432</v>
      </c>
      <c r="G43" s="604" t="s">
        <v>432</v>
      </c>
      <c r="H43" s="604" t="s">
        <v>434</v>
      </c>
      <c r="I43" s="628" t="s">
        <v>432</v>
      </c>
      <c r="J43" s="604" t="s">
        <v>432</v>
      </c>
      <c r="K43" s="628" t="s">
        <v>432</v>
      </c>
      <c r="L43" s="628" t="s">
        <v>433</v>
      </c>
      <c r="M43" s="628" t="s">
        <v>433</v>
      </c>
      <c r="N43" s="604" t="s">
        <v>432</v>
      </c>
      <c r="O43" s="628" t="s">
        <v>434</v>
      </c>
      <c r="P43" s="628" t="s">
        <v>432</v>
      </c>
      <c r="Q43" s="606" t="s">
        <v>434</v>
      </c>
      <c r="R43" s="635" t="s">
        <v>433</v>
      </c>
      <c r="S43" s="606" t="s">
        <v>434</v>
      </c>
      <c r="T43" s="606" t="s">
        <v>434</v>
      </c>
      <c r="U43" s="628" t="s">
        <v>433</v>
      </c>
      <c r="V43" s="604" t="s">
        <v>432</v>
      </c>
      <c r="W43" s="628" t="s">
        <v>432</v>
      </c>
      <c r="X43" s="606" t="s">
        <v>432</v>
      </c>
      <c r="Y43" s="635" t="s">
        <v>432</v>
      </c>
      <c r="Z43" s="606" t="s">
        <v>434</v>
      </c>
      <c r="AA43" s="604" t="s">
        <v>433</v>
      </c>
      <c r="AB43" s="628" t="s">
        <v>432</v>
      </c>
      <c r="AC43" s="628" t="s">
        <v>432</v>
      </c>
      <c r="AD43" s="628" t="s">
        <v>433</v>
      </c>
      <c r="AE43" s="606" t="s">
        <v>877</v>
      </c>
      <c r="AF43" s="635" t="s">
        <v>433</v>
      </c>
      <c r="AG43" s="635" t="s">
        <v>432</v>
      </c>
      <c r="AH43" s="628" t="s">
        <v>432</v>
      </c>
      <c r="AI43" s="606" t="s">
        <v>432</v>
      </c>
      <c r="AJ43" s="635" t="s">
        <v>432</v>
      </c>
      <c r="AK43" s="635" t="s">
        <v>1162</v>
      </c>
      <c r="AL43" s="604" t="s">
        <v>433</v>
      </c>
      <c r="AM43" s="606" t="s">
        <v>432</v>
      </c>
      <c r="AN43" s="606" t="s">
        <v>432</v>
      </c>
      <c r="AO43" s="604" t="s">
        <v>433</v>
      </c>
      <c r="AP43" s="635" t="s">
        <v>432</v>
      </c>
      <c r="AQ43" s="604" t="s">
        <v>917</v>
      </c>
      <c r="AR43" s="604" t="s">
        <v>432</v>
      </c>
    </row>
    <row r="44" spans="1:47" s="157" customFormat="1" x14ac:dyDescent="0.25">
      <c r="A44" s="169" t="s">
        <v>312</v>
      </c>
      <c r="B44" s="152"/>
      <c r="C44" s="152"/>
      <c r="D44" s="153"/>
      <c r="E44" s="182"/>
      <c r="F44" s="607" t="s">
        <v>434</v>
      </c>
      <c r="G44" s="607" t="s">
        <v>434</v>
      </c>
      <c r="H44" s="636" t="s">
        <v>434</v>
      </c>
      <c r="I44" s="607" t="s">
        <v>434</v>
      </c>
      <c r="J44" s="607" t="s">
        <v>434</v>
      </c>
      <c r="K44" s="636" t="s">
        <v>445</v>
      </c>
      <c r="L44" s="607" t="s">
        <v>434</v>
      </c>
      <c r="M44" s="607" t="s">
        <v>434</v>
      </c>
      <c r="N44" s="607" t="s">
        <v>434</v>
      </c>
      <c r="O44" s="607" t="s">
        <v>434</v>
      </c>
      <c r="P44" s="607" t="s">
        <v>434</v>
      </c>
      <c r="Q44" s="607" t="s">
        <v>434</v>
      </c>
      <c r="R44" s="607" t="s">
        <v>434</v>
      </c>
      <c r="S44" s="607" t="s">
        <v>434</v>
      </c>
      <c r="T44" s="607" t="s">
        <v>434</v>
      </c>
      <c r="U44" s="620" t="s">
        <v>740</v>
      </c>
      <c r="V44" s="607" t="s">
        <v>434</v>
      </c>
      <c r="W44" s="607" t="s">
        <v>434</v>
      </c>
      <c r="X44" s="607" t="s">
        <v>434</v>
      </c>
      <c r="Y44" s="607" t="s">
        <v>434</v>
      </c>
      <c r="Z44" s="607" t="s">
        <v>434</v>
      </c>
      <c r="AA44" s="620" t="s">
        <v>992</v>
      </c>
      <c r="AB44" s="607" t="s">
        <v>434</v>
      </c>
      <c r="AC44" s="607" t="s">
        <v>434</v>
      </c>
      <c r="AD44" s="636" t="s">
        <v>434</v>
      </c>
      <c r="AE44" s="636" t="s">
        <v>877</v>
      </c>
      <c r="AF44" s="607" t="s">
        <v>434</v>
      </c>
      <c r="AG44" s="607" t="s">
        <v>434</v>
      </c>
      <c r="AH44" s="607" t="s">
        <v>434</v>
      </c>
      <c r="AI44" s="636" t="s">
        <v>1004</v>
      </c>
      <c r="AJ44" s="607"/>
      <c r="AK44" s="607" t="s">
        <v>434</v>
      </c>
      <c r="AL44" s="636" t="s">
        <v>885</v>
      </c>
      <c r="AM44" s="636" t="s">
        <v>905</v>
      </c>
      <c r="AN44" s="607"/>
      <c r="AO44" s="607" t="s">
        <v>434</v>
      </c>
      <c r="AP44" s="607" t="s">
        <v>434</v>
      </c>
      <c r="AQ44" s="692" t="s">
        <v>1018</v>
      </c>
      <c r="AR44" s="607" t="s">
        <v>434</v>
      </c>
      <c r="AS44" s="133"/>
      <c r="AT44" s="133"/>
      <c r="AU44" s="133"/>
    </row>
    <row r="45" spans="1:47" x14ac:dyDescent="0.25">
      <c r="A45" s="29"/>
      <c r="B45" s="29"/>
      <c r="C45" s="29"/>
      <c r="D45" s="29"/>
      <c r="E45" s="83"/>
      <c r="U45" s="430"/>
    </row>
    <row r="46" spans="1:47" x14ac:dyDescent="0.25">
      <c r="A46" s="29"/>
      <c r="B46" s="29"/>
      <c r="C46" s="29"/>
      <c r="D46" s="29"/>
      <c r="E46" s="83"/>
      <c r="U46" s="430"/>
    </row>
    <row r="47" spans="1:47" x14ac:dyDescent="0.25">
      <c r="E47" s="83"/>
    </row>
    <row r="48" spans="1:47" x14ac:dyDescent="0.25">
      <c r="E48" s="83"/>
    </row>
    <row r="49" spans="1:5" x14ac:dyDescent="0.25">
      <c r="A49" s="158" t="s">
        <v>271</v>
      </c>
      <c r="B49" s="29"/>
      <c r="C49" s="29"/>
      <c r="D49" s="29"/>
      <c r="E49" s="158" t="s">
        <v>431</v>
      </c>
    </row>
    <row r="50" spans="1:5" x14ac:dyDescent="0.25">
      <c r="A50" s="29"/>
      <c r="B50" s="29"/>
      <c r="C50" s="29"/>
      <c r="D50" s="29"/>
    </row>
    <row r="51" spans="1:5" x14ac:dyDescent="0.25">
      <c r="A51" s="29"/>
      <c r="B51" s="159" t="s">
        <v>272</v>
      </c>
      <c r="C51" s="29" t="s">
        <v>273</v>
      </c>
      <c r="D51" s="29"/>
      <c r="E51" s="1111" t="s">
        <v>956</v>
      </c>
    </row>
    <row r="52" spans="1:5" x14ac:dyDescent="0.25">
      <c r="A52" s="29"/>
      <c r="B52" s="159" t="s">
        <v>274</v>
      </c>
      <c r="C52" s="29" t="s">
        <v>275</v>
      </c>
      <c r="D52" s="29"/>
      <c r="E52" s="1111" t="s">
        <v>957</v>
      </c>
    </row>
    <row r="53" spans="1:5" x14ac:dyDescent="0.25">
      <c r="A53" s="29"/>
      <c r="B53" s="160" t="s">
        <v>276</v>
      </c>
      <c r="C53" t="s">
        <v>277</v>
      </c>
      <c r="E53" s="1111" t="s">
        <v>958</v>
      </c>
    </row>
    <row r="54" spans="1:5" x14ac:dyDescent="0.25">
      <c r="A54" s="29"/>
      <c r="B54" s="159" t="s">
        <v>278</v>
      </c>
      <c r="C54" s="29" t="s">
        <v>279</v>
      </c>
      <c r="D54" s="29"/>
      <c r="E54" s="1111" t="s">
        <v>959</v>
      </c>
    </row>
    <row r="55" spans="1:5" x14ac:dyDescent="0.25">
      <c r="A55" s="29"/>
      <c r="B55" s="159" t="s">
        <v>280</v>
      </c>
      <c r="C55" s="29" t="s">
        <v>281</v>
      </c>
      <c r="D55" s="29"/>
      <c r="E55" s="1111" t="s">
        <v>1233</v>
      </c>
    </row>
    <row r="56" spans="1:5" x14ac:dyDescent="0.25">
      <c r="A56" s="29"/>
      <c r="B56" s="159" t="s">
        <v>282</v>
      </c>
      <c r="C56" s="29" t="s">
        <v>283</v>
      </c>
      <c r="D56" s="29"/>
      <c r="E56" s="1111" t="s">
        <v>1234</v>
      </c>
    </row>
    <row r="57" spans="1:5" x14ac:dyDescent="0.25">
      <c r="A57" s="29"/>
      <c r="B57" s="159" t="s">
        <v>284</v>
      </c>
      <c r="C57" s="29" t="s">
        <v>285</v>
      </c>
      <c r="D57" s="29"/>
      <c r="E57" s="1112" t="s">
        <v>1235</v>
      </c>
    </row>
    <row r="58" spans="1:5" x14ac:dyDescent="0.25">
      <c r="A58" s="29"/>
      <c r="B58" s="159" t="s">
        <v>286</v>
      </c>
      <c r="C58" s="29" t="s">
        <v>287</v>
      </c>
      <c r="D58" s="29"/>
      <c r="E58" s="1111" t="s">
        <v>1224</v>
      </c>
    </row>
    <row r="59" spans="1:5" x14ac:dyDescent="0.25">
      <c r="A59" s="29"/>
      <c r="B59" s="159" t="s">
        <v>288</v>
      </c>
      <c r="C59" s="29" t="s">
        <v>289</v>
      </c>
      <c r="D59" s="29"/>
      <c r="E59" s="1111" t="s">
        <v>1225</v>
      </c>
    </row>
    <row r="60" spans="1:5" x14ac:dyDescent="0.25">
      <c r="A60" s="29"/>
      <c r="B60" s="159" t="s">
        <v>290</v>
      </c>
      <c r="C60" s="29" t="s">
        <v>291</v>
      </c>
      <c r="D60" s="29"/>
      <c r="E60" s="1111" t="s">
        <v>1226</v>
      </c>
    </row>
    <row r="61" spans="1:5" x14ac:dyDescent="0.25">
      <c r="A61" s="29"/>
      <c r="B61" s="159" t="s">
        <v>292</v>
      </c>
      <c r="C61" s="29" t="s">
        <v>293</v>
      </c>
      <c r="D61" s="29"/>
      <c r="E61" s="1112" t="s">
        <v>1227</v>
      </c>
    </row>
    <row r="62" spans="1:5" x14ac:dyDescent="0.25">
      <c r="A62" s="29"/>
      <c r="B62" s="159" t="s">
        <v>294</v>
      </c>
      <c r="C62" s="29" t="s">
        <v>295</v>
      </c>
      <c r="D62" s="29"/>
      <c r="E62" s="1112" t="s">
        <v>1228</v>
      </c>
    </row>
    <row r="63" spans="1:5" x14ac:dyDescent="0.25">
      <c r="A63" s="29"/>
      <c r="B63" s="159" t="s">
        <v>296</v>
      </c>
      <c r="C63" s="29" t="s">
        <v>297</v>
      </c>
      <c r="D63" s="29"/>
      <c r="E63" s="1112" t="s">
        <v>1229</v>
      </c>
    </row>
    <row r="64" spans="1:5" x14ac:dyDescent="0.25">
      <c r="A64" s="29"/>
      <c r="B64" s="29"/>
      <c r="C64" s="29"/>
      <c r="D64" s="29"/>
      <c r="E64" s="1112" t="s">
        <v>1230</v>
      </c>
    </row>
    <row r="65" spans="1:54" x14ac:dyDescent="0.25">
      <c r="A65" s="29"/>
      <c r="B65" s="29"/>
      <c r="C65" s="29"/>
      <c r="D65" s="29"/>
      <c r="E65" s="1112" t="s">
        <v>1231</v>
      </c>
    </row>
    <row r="66" spans="1:54" x14ac:dyDescent="0.25">
      <c r="A66" s="29"/>
      <c r="B66" s="29"/>
      <c r="C66" s="29"/>
      <c r="D66" s="29"/>
      <c r="E66" s="1112" t="s">
        <v>1232</v>
      </c>
    </row>
    <row r="67" spans="1:54" x14ac:dyDescent="0.25">
      <c r="A67" s="29"/>
      <c r="B67" s="29"/>
      <c r="C67" s="29"/>
      <c r="D67" s="29"/>
      <c r="E67" s="1111" t="s">
        <v>1236</v>
      </c>
    </row>
    <row r="68" spans="1:54" x14ac:dyDescent="0.25">
      <c r="A68" s="29"/>
      <c r="B68" s="29"/>
      <c r="C68" s="29"/>
      <c r="D68" s="29"/>
      <c r="E68" s="1111" t="s">
        <v>1237</v>
      </c>
    </row>
    <row r="69" spans="1:54" x14ac:dyDescent="0.25">
      <c r="A69" s="29"/>
      <c r="B69" s="29"/>
      <c r="C69" s="29"/>
      <c r="D69" s="29"/>
      <c r="E69" s="1111" t="s">
        <v>969</v>
      </c>
    </row>
    <row r="70" spans="1:54" x14ac:dyDescent="0.25">
      <c r="A70" s="29"/>
      <c r="B70" s="29"/>
      <c r="C70" s="29"/>
      <c r="D70" s="29"/>
      <c r="E70" s="1111" t="s">
        <v>1238</v>
      </c>
    </row>
    <row r="71" spans="1:54" x14ac:dyDescent="0.25">
      <c r="A71" s="29"/>
      <c r="B71" s="29"/>
      <c r="C71" s="29"/>
      <c r="D71" s="29"/>
      <c r="E71" s="1111" t="s">
        <v>1239</v>
      </c>
    </row>
    <row r="72" spans="1:54" x14ac:dyDescent="0.25">
      <c r="A72" s="29"/>
      <c r="B72" s="29"/>
      <c r="C72" s="29"/>
      <c r="D72" s="29"/>
      <c r="E72" s="1111" t="s">
        <v>976</v>
      </c>
    </row>
    <row r="73" spans="1:54" x14ac:dyDescent="0.25">
      <c r="A73" s="29"/>
      <c r="B73" s="29"/>
      <c r="C73" s="29"/>
      <c r="D73" s="29"/>
      <c r="E73" s="1111" t="s">
        <v>977</v>
      </c>
    </row>
    <row r="74" spans="1:54" x14ac:dyDescent="0.25">
      <c r="A74" s="29"/>
      <c r="B74" s="29"/>
      <c r="C74" s="29"/>
      <c r="D74" s="29"/>
      <c r="E74" s="1111" t="s">
        <v>978</v>
      </c>
    </row>
    <row r="75" spans="1:54" x14ac:dyDescent="0.25">
      <c r="A75" s="29"/>
      <c r="B75" s="29"/>
      <c r="C75" s="29"/>
      <c r="D75" s="29"/>
      <c r="E75" s="1111" t="s">
        <v>1240</v>
      </c>
    </row>
    <row r="76" spans="1:54" x14ac:dyDescent="0.25">
      <c r="A76" s="29"/>
      <c r="B76" s="29"/>
      <c r="C76" s="29"/>
      <c r="D76" s="219"/>
      <c r="E76" s="1111" t="s">
        <v>1241</v>
      </c>
      <c r="F76" s="615"/>
      <c r="G76" s="615"/>
      <c r="H76" s="615"/>
      <c r="I76" s="615"/>
      <c r="J76" s="218"/>
      <c r="K76" s="218"/>
      <c r="L76" s="218"/>
      <c r="M76" s="218"/>
      <c r="N76" s="615"/>
      <c r="O76" s="615"/>
      <c r="P76" s="615"/>
      <c r="Q76" s="615"/>
      <c r="R76" s="615"/>
      <c r="S76" s="615"/>
      <c r="T76" s="615"/>
      <c r="U76" s="218"/>
      <c r="V76" s="615"/>
      <c r="W76" s="218"/>
      <c r="X76" s="218"/>
      <c r="Y76" s="615"/>
      <c r="Z76" s="615"/>
      <c r="AA76" s="615"/>
      <c r="AB76" s="615"/>
      <c r="AC76" s="218"/>
      <c r="AD76" s="615"/>
      <c r="AE76" s="218"/>
      <c r="AF76" s="615"/>
      <c r="AG76" s="615"/>
      <c r="AH76" s="615"/>
      <c r="AI76" s="615"/>
      <c r="AJ76" s="615"/>
      <c r="AK76" s="218"/>
      <c r="AL76" s="615"/>
      <c r="AM76" s="218"/>
      <c r="AN76" s="615"/>
      <c r="AO76" s="615"/>
      <c r="AP76" s="615"/>
      <c r="AQ76" s="615"/>
      <c r="AR76" s="218"/>
      <c r="AS76" s="218"/>
      <c r="AT76" s="218"/>
      <c r="AU76" s="218"/>
      <c r="AV76" s="218"/>
      <c r="AW76" s="218"/>
      <c r="AX76" s="218"/>
      <c r="AY76" s="218"/>
      <c r="AZ76" s="218"/>
      <c r="BA76" s="218"/>
      <c r="BB76" s="218"/>
    </row>
    <row r="77" spans="1:54" x14ac:dyDescent="0.25">
      <c r="A77" s="29"/>
      <c r="B77" s="29"/>
      <c r="C77" s="29"/>
      <c r="D77" s="29"/>
      <c r="E77" s="1111" t="s">
        <v>1242</v>
      </c>
    </row>
    <row r="78" spans="1:54" x14ac:dyDescent="0.25">
      <c r="A78" s="29"/>
      <c r="B78" s="29"/>
      <c r="C78" s="29"/>
      <c r="D78" s="29"/>
      <c r="E78" s="1111" t="s">
        <v>1243</v>
      </c>
    </row>
    <row r="79" spans="1:54" x14ac:dyDescent="0.25">
      <c r="A79" s="161"/>
      <c r="C79" s="29"/>
      <c r="D79" s="29"/>
      <c r="E79" s="1111" t="s">
        <v>1244</v>
      </c>
    </row>
    <row r="80" spans="1:54" x14ac:dyDescent="0.25">
      <c r="A80" s="162"/>
      <c r="C80" s="29"/>
      <c r="D80" s="29"/>
      <c r="E80" s="599" t="s">
        <v>1245</v>
      </c>
    </row>
    <row r="81" spans="1:5" x14ac:dyDescent="0.25">
      <c r="A81" s="161"/>
      <c r="C81" s="29"/>
      <c r="D81" s="29"/>
      <c r="E81" s="599" t="s">
        <v>1246</v>
      </c>
    </row>
    <row r="82" spans="1:5" x14ac:dyDescent="0.25">
      <c r="A82" s="163"/>
      <c r="C82" s="29"/>
      <c r="D82" s="29"/>
      <c r="E82" s="1111" t="s">
        <v>1247</v>
      </c>
    </row>
    <row r="83" spans="1:5" x14ac:dyDescent="0.25">
      <c r="C83" s="29"/>
      <c r="D83" s="29"/>
      <c r="E83" s="1112" t="s">
        <v>1248</v>
      </c>
    </row>
    <row r="84" spans="1:5" x14ac:dyDescent="0.25">
      <c r="A84" s="29"/>
      <c r="B84" s="29"/>
      <c r="C84" s="29"/>
      <c r="D84" s="29"/>
      <c r="E84" s="1111" t="s">
        <v>1249</v>
      </c>
    </row>
    <row r="85" spans="1:5" x14ac:dyDescent="0.25">
      <c r="A85" s="29"/>
      <c r="B85" s="29"/>
      <c r="C85" s="29"/>
      <c r="D85" s="29"/>
      <c r="E85" s="599" t="s">
        <v>1250</v>
      </c>
    </row>
    <row r="86" spans="1:5" x14ac:dyDescent="0.25">
      <c r="A86" s="29"/>
      <c r="B86" s="29"/>
      <c r="C86" s="29"/>
      <c r="D86" s="29"/>
      <c r="E86" s="1111" t="s">
        <v>1251</v>
      </c>
    </row>
    <row r="87" spans="1:5" x14ac:dyDescent="0.25">
      <c r="A87" s="29"/>
      <c r="B87" s="29"/>
      <c r="C87" s="29"/>
      <c r="D87" s="29"/>
      <c r="E87" s="1111" t="s">
        <v>1252</v>
      </c>
    </row>
    <row r="88" spans="1:5" x14ac:dyDescent="0.25">
      <c r="A88" s="29"/>
      <c r="B88" s="29"/>
      <c r="C88" s="29"/>
      <c r="D88" s="29"/>
      <c r="E88" s="1111" t="s">
        <v>1253</v>
      </c>
    </row>
    <row r="89" spans="1:5" x14ac:dyDescent="0.25">
      <c r="A89" s="29"/>
      <c r="B89" s="29"/>
      <c r="C89" s="29"/>
      <c r="D89" s="29"/>
      <c r="E89" s="1111" t="s">
        <v>991</v>
      </c>
    </row>
    <row r="90" spans="1:5" x14ac:dyDescent="0.25">
      <c r="A90" s="29"/>
      <c r="B90" s="29"/>
      <c r="C90" s="29"/>
      <c r="D90" s="29"/>
      <c r="E90" s="1111" t="s">
        <v>993</v>
      </c>
    </row>
    <row r="91" spans="1:5" x14ac:dyDescent="0.25">
      <c r="A91" s="29"/>
      <c r="B91" s="29"/>
      <c r="C91" s="29"/>
      <c r="D91" s="29"/>
      <c r="E91" s="1111" t="s">
        <v>1254</v>
      </c>
    </row>
    <row r="92" spans="1:5" x14ac:dyDescent="0.25">
      <c r="A92" s="29"/>
      <c r="B92" s="29"/>
      <c r="C92" s="29"/>
      <c r="D92" s="29"/>
      <c r="E92" s="1111" t="s">
        <v>1255</v>
      </c>
    </row>
    <row r="93" spans="1:5" x14ac:dyDescent="0.25">
      <c r="A93" s="29"/>
      <c r="B93" s="29"/>
      <c r="C93" s="29"/>
      <c r="D93" s="29"/>
      <c r="E93" s="1111" t="s">
        <v>1256</v>
      </c>
    </row>
    <row r="94" spans="1:5" x14ac:dyDescent="0.25">
      <c r="A94" s="29"/>
      <c r="B94" s="29"/>
      <c r="C94" s="29"/>
      <c r="D94" s="29"/>
      <c r="E94" s="1111" t="s">
        <v>1257</v>
      </c>
    </row>
    <row r="95" spans="1:5" x14ac:dyDescent="0.25">
      <c r="A95" s="29"/>
      <c r="B95" s="29"/>
      <c r="C95" s="29"/>
      <c r="D95" s="29"/>
      <c r="E95" s="1111" t="s">
        <v>1258</v>
      </c>
    </row>
    <row r="96" spans="1:5" x14ac:dyDescent="0.25">
      <c r="A96" s="29"/>
      <c r="B96" s="29"/>
      <c r="C96" s="29"/>
      <c r="D96" s="29"/>
      <c r="E96" s="1111" t="s">
        <v>1259</v>
      </c>
    </row>
    <row r="97" spans="1:5" x14ac:dyDescent="0.25">
      <c r="A97" s="29"/>
      <c r="B97" s="29"/>
      <c r="C97" s="29"/>
      <c r="D97" s="29"/>
      <c r="E97" s="1113" t="s">
        <v>1260</v>
      </c>
    </row>
    <row r="98" spans="1:5" x14ac:dyDescent="0.25">
      <c r="A98" s="29"/>
      <c r="B98" s="29"/>
      <c r="C98" s="29"/>
      <c r="D98" s="29"/>
      <c r="E98" s="1111" t="s">
        <v>1261</v>
      </c>
    </row>
    <row r="99" spans="1:5" x14ac:dyDescent="0.25">
      <c r="A99" s="29"/>
      <c r="B99" s="29"/>
      <c r="C99" s="29"/>
      <c r="D99" s="29"/>
      <c r="E99" s="430" t="s">
        <v>1262</v>
      </c>
    </row>
    <row r="100" spans="1:5" x14ac:dyDescent="0.25">
      <c r="A100" s="29"/>
      <c r="B100" s="29"/>
      <c r="C100" s="29"/>
      <c r="D100" s="29"/>
      <c r="E100" s="1111" t="s">
        <v>1263</v>
      </c>
    </row>
    <row r="101" spans="1:5" x14ac:dyDescent="0.25">
      <c r="A101" s="29"/>
      <c r="B101" s="29"/>
      <c r="C101" s="29"/>
      <c r="D101" s="29"/>
      <c r="E101" s="599" t="s">
        <v>1264</v>
      </c>
    </row>
    <row r="102" spans="1:5" x14ac:dyDescent="0.25">
      <c r="A102" s="29"/>
      <c r="B102" s="29"/>
      <c r="C102" s="29"/>
      <c r="D102" s="29"/>
      <c r="E102" s="1113" t="s">
        <v>1265</v>
      </c>
    </row>
    <row r="103" spans="1:5" x14ac:dyDescent="0.25">
      <c r="A103" s="29"/>
      <c r="B103" s="29"/>
      <c r="C103" s="29"/>
      <c r="D103" s="29"/>
      <c r="E103" s="1111" t="s">
        <v>1266</v>
      </c>
    </row>
    <row r="104" spans="1:5" x14ac:dyDescent="0.25">
      <c r="A104" s="29"/>
      <c r="B104" s="29"/>
      <c r="C104" s="29"/>
      <c r="D104" s="29"/>
      <c r="E104" s="1111" t="s">
        <v>1267</v>
      </c>
    </row>
    <row r="105" spans="1:5" x14ac:dyDescent="0.25">
      <c r="A105" s="29"/>
      <c r="B105" s="29"/>
      <c r="C105" s="29"/>
      <c r="D105" s="29"/>
      <c r="E105" s="1111" t="s">
        <v>1268</v>
      </c>
    </row>
    <row r="106" spans="1:5" x14ac:dyDescent="0.25">
      <c r="A106" s="29"/>
      <c r="B106" s="29"/>
      <c r="C106" s="29"/>
      <c r="D106" s="29"/>
      <c r="E106" s="1111" t="s">
        <v>1269</v>
      </c>
    </row>
    <row r="107" spans="1:5" x14ac:dyDescent="0.25">
      <c r="A107" s="29"/>
      <c r="B107" s="29"/>
      <c r="C107" s="29"/>
      <c r="D107" s="29"/>
      <c r="E107" s="1111" t="s">
        <v>1270</v>
      </c>
    </row>
    <row r="108" spans="1:5" x14ac:dyDescent="0.25">
      <c r="A108" s="29"/>
      <c r="B108" s="29"/>
      <c r="C108" s="29"/>
      <c r="D108" s="29"/>
      <c r="E108" s="1111" t="s">
        <v>1271</v>
      </c>
    </row>
    <row r="109" spans="1:5" x14ac:dyDescent="0.25">
      <c r="A109" s="29"/>
      <c r="B109" s="29"/>
      <c r="C109" s="29"/>
      <c r="D109" s="29"/>
      <c r="E109" s="1111" t="s">
        <v>1006</v>
      </c>
    </row>
    <row r="110" spans="1:5" x14ac:dyDescent="0.25">
      <c r="A110" s="29"/>
      <c r="B110" s="29"/>
      <c r="C110" s="29"/>
      <c r="D110" s="29"/>
      <c r="E110" s="1111" t="s">
        <v>1007</v>
      </c>
    </row>
    <row r="111" spans="1:5" x14ac:dyDescent="0.25">
      <c r="A111" s="29"/>
      <c r="B111" s="29"/>
      <c r="C111" s="29"/>
      <c r="D111" s="29"/>
      <c r="E111" s="1111" t="s">
        <v>1272</v>
      </c>
    </row>
    <row r="112" spans="1:5" x14ac:dyDescent="0.25">
      <c r="A112" s="29"/>
      <c r="B112" s="29"/>
      <c r="C112" s="29"/>
      <c r="D112" s="29"/>
      <c r="E112" s="1112" t="s">
        <v>1008</v>
      </c>
    </row>
    <row r="113" spans="1:5" x14ac:dyDescent="0.25">
      <c r="A113" s="29"/>
      <c r="B113" s="29"/>
      <c r="C113" s="29"/>
      <c r="D113" s="29"/>
      <c r="E113" s="1111" t="s">
        <v>1273</v>
      </c>
    </row>
    <row r="114" spans="1:5" x14ac:dyDescent="0.25">
      <c r="A114" s="29"/>
      <c r="B114" s="29"/>
      <c r="C114" s="29"/>
      <c r="D114" s="29"/>
      <c r="E114" s="599" t="s">
        <v>1274</v>
      </c>
    </row>
    <row r="115" spans="1:5" x14ac:dyDescent="0.25">
      <c r="A115" s="29"/>
      <c r="B115" s="29"/>
      <c r="C115" s="29"/>
      <c r="D115" s="29"/>
      <c r="E115" s="599" t="s">
        <v>1275</v>
      </c>
    </row>
    <row r="116" spans="1:5" x14ac:dyDescent="0.25">
      <c r="A116" s="29"/>
      <c r="B116" s="29"/>
      <c r="C116" s="29"/>
      <c r="D116" s="29"/>
      <c r="E116" s="1111" t="s">
        <v>1276</v>
      </c>
    </row>
    <row r="117" spans="1:5" x14ac:dyDescent="0.25">
      <c r="A117" s="29"/>
      <c r="B117" s="29"/>
      <c r="C117" s="29"/>
      <c r="D117" s="29"/>
      <c r="E117" s="1111" t="s">
        <v>1277</v>
      </c>
    </row>
    <row r="118" spans="1:5" x14ac:dyDescent="0.25">
      <c r="A118" s="29"/>
      <c r="B118" s="29"/>
      <c r="C118" s="29"/>
      <c r="D118" s="29"/>
      <c r="E118" s="1111" t="s">
        <v>1278</v>
      </c>
    </row>
    <row r="119" spans="1:5" x14ac:dyDescent="0.25">
      <c r="A119" s="29"/>
      <c r="B119" s="29"/>
      <c r="C119" s="29"/>
      <c r="D119" s="29"/>
      <c r="E119" s="599" t="s">
        <v>1279</v>
      </c>
    </row>
    <row r="120" spans="1:5" x14ac:dyDescent="0.25">
      <c r="A120" s="29"/>
      <c r="B120" s="29"/>
      <c r="C120" s="29"/>
      <c r="D120" s="29"/>
      <c r="E120" s="1111" t="s">
        <v>1280</v>
      </c>
    </row>
    <row r="121" spans="1:5" x14ac:dyDescent="0.25">
      <c r="A121" s="29"/>
      <c r="B121" s="29"/>
      <c r="C121" s="29"/>
      <c r="D121" s="29"/>
      <c r="E121" s="1111" t="s">
        <v>1281</v>
      </c>
    </row>
    <row r="122" spans="1:5" x14ac:dyDescent="0.25">
      <c r="A122" s="29"/>
      <c r="B122" s="29"/>
      <c r="C122" s="29"/>
      <c r="D122" s="29"/>
      <c r="E122" s="599" t="s">
        <v>1282</v>
      </c>
    </row>
    <row r="123" spans="1:5" x14ac:dyDescent="0.25">
      <c r="A123" s="29"/>
      <c r="B123" s="29"/>
      <c r="C123" s="29"/>
      <c r="D123" s="29"/>
      <c r="E123" s="1111" t="s">
        <v>1283</v>
      </c>
    </row>
    <row r="124" spans="1:5" x14ac:dyDescent="0.25">
      <c r="A124" s="29"/>
      <c r="B124" s="29"/>
      <c r="C124" s="29"/>
      <c r="D124" s="29"/>
      <c r="E124" s="1111" t="s">
        <v>1284</v>
      </c>
    </row>
    <row r="125" spans="1:5" x14ac:dyDescent="0.25">
      <c r="A125" s="29"/>
      <c r="B125" s="29"/>
      <c r="C125" s="29"/>
      <c r="D125" s="29"/>
      <c r="E125" s="1111" t="s">
        <v>1285</v>
      </c>
    </row>
    <row r="126" spans="1:5" x14ac:dyDescent="0.25">
      <c r="A126" s="29"/>
      <c r="B126" s="29"/>
      <c r="C126" s="29"/>
      <c r="D126" s="29"/>
      <c r="E126" s="1111" t="s">
        <v>1286</v>
      </c>
    </row>
    <row r="127" spans="1:5" x14ac:dyDescent="0.25">
      <c r="A127" s="29"/>
      <c r="B127" s="29"/>
      <c r="C127" s="29"/>
      <c r="D127" s="29"/>
      <c r="E127" s="1111" t="s">
        <v>1287</v>
      </c>
    </row>
    <row r="128" spans="1:5" x14ac:dyDescent="0.25">
      <c r="A128" s="29"/>
      <c r="B128" s="29"/>
      <c r="C128" s="29"/>
      <c r="D128" s="29"/>
      <c r="E128" s="1111" t="s">
        <v>1288</v>
      </c>
    </row>
    <row r="129" spans="1:7" x14ac:dyDescent="0.25">
      <c r="A129" s="29"/>
      <c r="B129" s="29"/>
      <c r="C129" s="29"/>
      <c r="D129" s="29"/>
      <c r="E129" s="1111" t="s">
        <v>1159</v>
      </c>
    </row>
    <row r="130" spans="1:7" x14ac:dyDescent="0.25">
      <c r="A130" s="29"/>
      <c r="B130" s="29"/>
      <c r="C130" s="29"/>
      <c r="D130" s="29"/>
      <c r="E130" s="1111" t="s">
        <v>1289</v>
      </c>
    </row>
    <row r="131" spans="1:7" x14ac:dyDescent="0.25">
      <c r="A131" s="29"/>
      <c r="B131" s="29"/>
      <c r="C131" s="29"/>
      <c r="D131" s="29"/>
      <c r="E131" s="1111" t="s">
        <v>1290</v>
      </c>
    </row>
    <row r="132" spans="1:7" x14ac:dyDescent="0.25">
      <c r="A132" s="29"/>
      <c r="B132" s="29"/>
      <c r="C132" s="29"/>
      <c r="D132" s="29"/>
      <c r="E132" s="1111" t="s">
        <v>1291</v>
      </c>
    </row>
    <row r="133" spans="1:7" x14ac:dyDescent="0.25">
      <c r="A133" s="29"/>
      <c r="B133" s="29"/>
      <c r="C133" s="29"/>
      <c r="D133" s="29"/>
      <c r="E133" s="755"/>
    </row>
    <row r="134" spans="1:7" x14ac:dyDescent="0.25">
      <c r="A134" s="29"/>
      <c r="B134" s="29"/>
      <c r="C134" s="29"/>
      <c r="D134" s="29"/>
      <c r="E134" s="755"/>
    </row>
    <row r="135" spans="1:7" x14ac:dyDescent="0.25">
      <c r="A135" s="29"/>
      <c r="B135" s="29"/>
      <c r="C135" s="29"/>
      <c r="D135" s="29"/>
      <c r="E135" s="755"/>
    </row>
    <row r="136" spans="1:7" x14ac:dyDescent="0.25">
      <c r="A136" s="29"/>
      <c r="B136" s="29"/>
      <c r="C136" s="29"/>
      <c r="D136" s="29"/>
      <c r="E136" s="755"/>
    </row>
    <row r="137" spans="1:7" x14ac:dyDescent="0.25">
      <c r="A137" s="29"/>
      <c r="B137" s="29"/>
      <c r="C137" s="29"/>
      <c r="D137" s="29"/>
      <c r="E137" s="755"/>
    </row>
    <row r="138" spans="1:7" x14ac:dyDescent="0.25">
      <c r="A138" s="29"/>
      <c r="B138" s="29"/>
      <c r="C138" s="29"/>
      <c r="D138" s="29"/>
      <c r="E138" s="756"/>
      <c r="F138" s="731"/>
      <c r="G138" s="731"/>
    </row>
    <row r="139" spans="1:7" x14ac:dyDescent="0.25">
      <c r="A139" s="29"/>
      <c r="B139" s="29"/>
      <c r="C139" s="29"/>
      <c r="D139" s="29"/>
      <c r="E139" s="756"/>
    </row>
    <row r="140" spans="1:7" x14ac:dyDescent="0.25">
      <c r="A140" s="29"/>
      <c r="B140" s="29"/>
      <c r="C140" s="29"/>
      <c r="D140" s="29"/>
      <c r="E140" s="756"/>
    </row>
    <row r="141" spans="1:7" x14ac:dyDescent="0.25">
      <c r="A141" s="29"/>
      <c r="B141" s="29"/>
      <c r="C141" s="29"/>
      <c r="D141" s="29"/>
      <c r="E141" s="756"/>
    </row>
    <row r="142" spans="1:7" x14ac:dyDescent="0.25">
      <c r="A142" s="29"/>
      <c r="B142" s="29"/>
      <c r="C142" s="29"/>
      <c r="D142" s="29"/>
      <c r="E142" s="756"/>
    </row>
    <row r="143" spans="1:7" x14ac:dyDescent="0.25">
      <c r="A143" s="29"/>
      <c r="B143" s="29"/>
      <c r="C143" s="29"/>
      <c r="D143" s="29"/>
      <c r="E143" s="756"/>
    </row>
    <row r="144" spans="1:7" x14ac:dyDescent="0.25">
      <c r="A144" s="29"/>
      <c r="B144" s="29"/>
      <c r="C144" s="29"/>
      <c r="D144" s="29"/>
      <c r="E144" s="756"/>
    </row>
    <row r="145" spans="1:5" x14ac:dyDescent="0.25">
      <c r="A145" s="29"/>
      <c r="B145" s="29"/>
      <c r="C145" s="29"/>
      <c r="D145" s="29"/>
      <c r="E145" s="756"/>
    </row>
    <row r="146" spans="1:5" x14ac:dyDescent="0.25">
      <c r="A146" s="29"/>
      <c r="B146" s="29"/>
      <c r="C146" s="29"/>
      <c r="D146" s="29"/>
      <c r="E146" s="756"/>
    </row>
    <row r="147" spans="1:5" x14ac:dyDescent="0.25">
      <c r="A147" s="29"/>
      <c r="B147" s="29"/>
      <c r="C147" s="29"/>
      <c r="D147" s="29"/>
    </row>
    <row r="148" spans="1:5" x14ac:dyDescent="0.25">
      <c r="A148" s="29"/>
      <c r="B148" s="29"/>
      <c r="C148" s="29"/>
      <c r="D148" s="29"/>
    </row>
    <row r="149" spans="1:5" x14ac:dyDescent="0.25">
      <c r="A149" s="29"/>
      <c r="B149" s="29"/>
      <c r="C149" s="29"/>
      <c r="D149" s="29"/>
    </row>
    <row r="150" spans="1:5" x14ac:dyDescent="0.25">
      <c r="A150" s="29"/>
      <c r="B150" s="29"/>
      <c r="C150" s="29"/>
      <c r="D150" s="29"/>
    </row>
    <row r="151" spans="1:5" x14ac:dyDescent="0.25">
      <c r="A151" s="29"/>
      <c r="B151" s="29"/>
      <c r="C151" s="29"/>
      <c r="D151" s="29"/>
    </row>
    <row r="152" spans="1:5" x14ac:dyDescent="0.25">
      <c r="A152" s="29"/>
      <c r="B152" s="29"/>
      <c r="C152" s="29"/>
      <c r="D152" s="29"/>
    </row>
    <row r="153" spans="1:5" x14ac:dyDescent="0.25">
      <c r="A153" s="29"/>
      <c r="B153" s="29"/>
      <c r="C153" s="29"/>
      <c r="D153" s="29"/>
    </row>
    <row r="154" spans="1:5" x14ac:dyDescent="0.25">
      <c r="A154" s="29"/>
      <c r="B154" s="29"/>
      <c r="C154" s="29"/>
      <c r="D154" s="29"/>
    </row>
    <row r="155" spans="1:5" x14ac:dyDescent="0.25">
      <c r="A155" s="29"/>
      <c r="B155" s="29"/>
      <c r="C155" s="29"/>
      <c r="D155" s="29"/>
    </row>
    <row r="156" spans="1:5" x14ac:dyDescent="0.25">
      <c r="A156" s="29"/>
      <c r="B156" s="29"/>
      <c r="C156" s="29"/>
      <c r="D156" s="29"/>
    </row>
    <row r="157" spans="1:5" x14ac:dyDescent="0.25">
      <c r="A157" s="29"/>
      <c r="B157" s="29"/>
      <c r="C157" s="29"/>
      <c r="D157" s="29"/>
    </row>
    <row r="158" spans="1:5" x14ac:dyDescent="0.25">
      <c r="A158" s="29"/>
      <c r="B158" s="29"/>
      <c r="C158" s="29"/>
      <c r="D158" s="29"/>
    </row>
    <row r="159" spans="1:5" x14ac:dyDescent="0.25">
      <c r="A159" s="29"/>
      <c r="B159" s="29"/>
      <c r="C159" s="29"/>
      <c r="D159" s="29"/>
    </row>
    <row r="160" spans="1:5" x14ac:dyDescent="0.25">
      <c r="A160" s="29"/>
      <c r="B160" s="29"/>
      <c r="C160" s="29"/>
      <c r="D160" s="29"/>
    </row>
    <row r="161" spans="1:4" x14ac:dyDescent="0.25">
      <c r="A161" s="29"/>
      <c r="B161" s="29"/>
      <c r="C161" s="29"/>
      <c r="D161" s="29"/>
    </row>
    <row r="162" spans="1:4" x14ac:dyDescent="0.25">
      <c r="A162" s="29"/>
      <c r="B162" s="29"/>
      <c r="C162" s="29"/>
      <c r="D162" s="29"/>
    </row>
    <row r="163" spans="1:4" x14ac:dyDescent="0.25">
      <c r="A163" s="29"/>
      <c r="B163" s="29"/>
      <c r="C163" s="29"/>
      <c r="D163" s="29"/>
    </row>
    <row r="164" spans="1:4" x14ac:dyDescent="0.25">
      <c r="A164" s="29"/>
      <c r="B164" s="29"/>
      <c r="C164" s="29"/>
      <c r="D164" s="29"/>
    </row>
    <row r="165" spans="1:4" x14ac:dyDescent="0.25">
      <c r="A165" s="29"/>
      <c r="B165" s="29"/>
      <c r="C165" s="29"/>
      <c r="D165" s="29"/>
    </row>
  </sheetData>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82"/>
  <sheetViews>
    <sheetView workbookViewId="0">
      <selection activeCell="A37" sqref="A37"/>
    </sheetView>
  </sheetViews>
  <sheetFormatPr defaultColWidth="66.28515625" defaultRowHeight="15" x14ac:dyDescent="0.25"/>
  <cols>
    <col min="2" max="2" width="90.28515625" customWidth="1"/>
    <col min="3" max="3" width="28" customWidth="1"/>
  </cols>
  <sheetData>
    <row r="1" spans="1:5" x14ac:dyDescent="0.25">
      <c r="A1" s="2504" t="s">
        <v>313</v>
      </c>
      <c r="B1" s="2504"/>
    </row>
    <row r="2" spans="1:5" x14ac:dyDescent="0.25">
      <c r="A2" s="183"/>
      <c r="B2" s="184"/>
      <c r="C2" s="185"/>
      <c r="D2" s="185"/>
      <c r="E2" s="185"/>
    </row>
    <row r="3" spans="1:5" x14ac:dyDescent="0.25">
      <c r="A3" s="2505"/>
      <c r="B3" s="2505"/>
    </row>
    <row r="4" spans="1:5" x14ac:dyDescent="0.25">
      <c r="A4" s="183"/>
      <c r="B4" s="184"/>
    </row>
    <row r="5" spans="1:5" x14ac:dyDescent="0.25">
      <c r="A5" s="608" t="s">
        <v>33</v>
      </c>
      <c r="B5" s="609" t="s">
        <v>949</v>
      </c>
      <c r="C5" s="406"/>
    </row>
    <row r="6" spans="1:5" s="186" customFormat="1" x14ac:dyDescent="0.25">
      <c r="A6" s="608" t="s">
        <v>524</v>
      </c>
      <c r="B6" s="609" t="s">
        <v>886</v>
      </c>
      <c r="C6" s="599"/>
    </row>
    <row r="7" spans="1:5" x14ac:dyDescent="0.25">
      <c r="A7" s="667" t="s">
        <v>34</v>
      </c>
      <c r="B7" s="668" t="s">
        <v>896</v>
      </c>
      <c r="C7" s="532"/>
    </row>
    <row r="8" spans="1:5" s="186" customFormat="1" x14ac:dyDescent="0.25">
      <c r="A8" s="608" t="s">
        <v>4</v>
      </c>
      <c r="B8" s="609" t="s">
        <v>314</v>
      </c>
      <c r="C8" s="406"/>
    </row>
    <row r="9" spans="1:5" x14ac:dyDescent="0.25">
      <c r="A9" s="608" t="s">
        <v>6</v>
      </c>
      <c r="B9" s="609" t="s">
        <v>938</v>
      </c>
      <c r="C9" s="533"/>
    </row>
    <row r="10" spans="1:5" x14ac:dyDescent="0.25">
      <c r="A10" s="655" t="s">
        <v>49</v>
      </c>
      <c r="B10" s="609" t="s">
        <v>936</v>
      </c>
      <c r="C10" s="533"/>
    </row>
    <row r="11" spans="1:5" x14ac:dyDescent="0.25">
      <c r="A11" s="608" t="s">
        <v>7</v>
      </c>
      <c r="B11" s="609" t="s">
        <v>951</v>
      </c>
      <c r="C11" s="533"/>
    </row>
    <row r="12" spans="1:5" x14ac:dyDescent="0.25">
      <c r="A12" s="608" t="s">
        <v>343</v>
      </c>
      <c r="B12" s="629" t="s">
        <v>554</v>
      </c>
      <c r="C12" s="533"/>
    </row>
    <row r="13" spans="1:5" x14ac:dyDescent="0.25">
      <c r="A13" s="608" t="s">
        <v>8</v>
      </c>
      <c r="B13" s="609" t="s">
        <v>315</v>
      </c>
      <c r="C13" s="406"/>
    </row>
    <row r="14" spans="1:5" s="186" customFormat="1" x14ac:dyDescent="0.25">
      <c r="A14" s="655" t="s">
        <v>585</v>
      </c>
      <c r="B14" s="609" t="s">
        <v>924</v>
      </c>
      <c r="C14" s="533"/>
    </row>
    <row r="15" spans="1:5" s="186" customFormat="1" x14ac:dyDescent="0.25">
      <c r="A15" s="608" t="s">
        <v>9</v>
      </c>
      <c r="B15" s="629" t="s">
        <v>704</v>
      </c>
      <c r="C15" s="533"/>
    </row>
    <row r="16" spans="1:5" s="186" customFormat="1" x14ac:dyDescent="0.25">
      <c r="A16" s="608" t="s">
        <v>10</v>
      </c>
      <c r="B16" s="609" t="s">
        <v>511</v>
      </c>
      <c r="C16" s="406"/>
    </row>
    <row r="17" spans="1:3" s="186" customFormat="1" x14ac:dyDescent="0.25">
      <c r="A17" s="655" t="s">
        <v>910</v>
      </c>
      <c r="B17" s="629" t="s">
        <v>918</v>
      </c>
      <c r="C17" s="599"/>
    </row>
    <row r="18" spans="1:3" s="186" customFormat="1" x14ac:dyDescent="0.25">
      <c r="A18" s="608" t="s">
        <v>11</v>
      </c>
      <c r="B18" s="609" t="s">
        <v>601</v>
      </c>
      <c r="C18" s="533"/>
    </row>
    <row r="19" spans="1:3" s="186" customFormat="1" x14ac:dyDescent="0.25">
      <c r="A19" s="608" t="s">
        <v>458</v>
      </c>
      <c r="B19" s="609" t="s">
        <v>638</v>
      </c>
      <c r="C19" s="533"/>
    </row>
    <row r="20" spans="1:3" s="186" customFormat="1" x14ac:dyDescent="0.25">
      <c r="A20" s="608" t="s">
        <v>12</v>
      </c>
      <c r="B20" s="609" t="s">
        <v>448</v>
      </c>
      <c r="C20" s="533"/>
    </row>
    <row r="21" spans="1:3" s="186" customFormat="1" x14ac:dyDescent="0.25">
      <c r="A21" s="608" t="s">
        <v>13</v>
      </c>
      <c r="B21" s="609" t="s">
        <v>636</v>
      </c>
      <c r="C21" s="406"/>
    </row>
    <row r="22" spans="1:3" x14ac:dyDescent="0.25">
      <c r="A22" s="608" t="s">
        <v>14</v>
      </c>
      <c r="B22" s="609" t="s">
        <v>753</v>
      </c>
      <c r="C22" s="533"/>
    </row>
    <row r="23" spans="1:3" x14ac:dyDescent="0.25">
      <c r="A23" s="608" t="s">
        <v>45</v>
      </c>
      <c r="B23" s="609" t="s">
        <v>685</v>
      </c>
      <c r="C23" s="533"/>
    </row>
    <row r="24" spans="1:3" x14ac:dyDescent="0.25">
      <c r="A24" s="655" t="s">
        <v>639</v>
      </c>
      <c r="B24" s="629" t="s">
        <v>641</v>
      </c>
      <c r="C24" s="533"/>
    </row>
    <row r="25" spans="1:3" s="186" customFormat="1" x14ac:dyDescent="0.25">
      <c r="A25" s="608" t="s">
        <v>17</v>
      </c>
      <c r="B25" s="609" t="s">
        <v>882</v>
      </c>
      <c r="C25" s="533"/>
    </row>
    <row r="26" spans="1:3" s="186" customFormat="1" x14ac:dyDescent="0.25">
      <c r="A26" s="608" t="s">
        <v>18</v>
      </c>
      <c r="B26" s="609" t="s">
        <v>316</v>
      </c>
      <c r="C26" s="533"/>
    </row>
    <row r="27" spans="1:3" x14ac:dyDescent="0.25">
      <c r="A27" s="608" t="s">
        <v>586</v>
      </c>
      <c r="B27" s="629" t="s">
        <v>698</v>
      </c>
      <c r="C27" s="406"/>
    </row>
    <row r="28" spans="1:3" x14ac:dyDescent="0.25">
      <c r="A28" s="655" t="s">
        <v>774</v>
      </c>
      <c r="B28" s="629" t="s">
        <v>777</v>
      </c>
      <c r="C28" s="406"/>
    </row>
    <row r="29" spans="1:3" x14ac:dyDescent="0.25">
      <c r="A29" s="655" t="s">
        <v>38</v>
      </c>
      <c r="B29" s="629" t="s">
        <v>626</v>
      </c>
      <c r="C29" s="406"/>
    </row>
    <row r="30" spans="1:3" x14ac:dyDescent="0.25">
      <c r="A30" s="608" t="s">
        <v>317</v>
      </c>
      <c r="B30" s="609" t="s">
        <v>926</v>
      </c>
      <c r="C30" s="533"/>
    </row>
    <row r="31" spans="1:3" s="186" customFormat="1" x14ac:dyDescent="0.25">
      <c r="A31" s="608" t="s">
        <v>21</v>
      </c>
      <c r="B31" s="609" t="s">
        <v>903</v>
      </c>
      <c r="C31" s="534"/>
    </row>
    <row r="32" spans="1:3" s="186" customFormat="1" x14ac:dyDescent="0.25">
      <c r="A32" s="608" t="s">
        <v>22</v>
      </c>
      <c r="B32" s="609" t="s">
        <v>480</v>
      </c>
      <c r="C32" s="533"/>
    </row>
    <row r="33" spans="1:7" s="186" customFormat="1" x14ac:dyDescent="0.25">
      <c r="A33" s="608" t="s">
        <v>23</v>
      </c>
      <c r="B33" s="637" t="s">
        <v>1296</v>
      </c>
      <c r="C33" s="533"/>
    </row>
    <row r="34" spans="1:7" s="186" customFormat="1" x14ac:dyDescent="0.25">
      <c r="A34" s="608" t="s">
        <v>40</v>
      </c>
      <c r="B34" s="637" t="s">
        <v>643</v>
      </c>
      <c r="C34" s="533"/>
    </row>
    <row r="35" spans="1:7" s="186" customFormat="1" x14ac:dyDescent="0.25">
      <c r="A35" s="655" t="s">
        <v>693</v>
      </c>
      <c r="B35" s="656" t="s">
        <v>696</v>
      </c>
      <c r="C35" s="533"/>
    </row>
    <row r="36" spans="1:7" s="186" customFormat="1" x14ac:dyDescent="0.25">
      <c r="A36" s="608" t="s">
        <v>471</v>
      </c>
      <c r="B36" s="609" t="s">
        <v>1163</v>
      </c>
      <c r="C36" s="533"/>
    </row>
    <row r="37" spans="1:7" s="186" customFormat="1" x14ac:dyDescent="0.25">
      <c r="A37" s="608" t="s">
        <v>25</v>
      </c>
      <c r="B37" s="637" t="s">
        <v>711</v>
      </c>
      <c r="C37" s="533"/>
    </row>
    <row r="38" spans="1:7" x14ac:dyDescent="0.25">
      <c r="A38" s="608" t="s">
        <v>26</v>
      </c>
      <c r="B38" s="609" t="s">
        <v>700</v>
      </c>
      <c r="C38" s="406"/>
    </row>
    <row r="39" spans="1:7" s="186" customFormat="1" x14ac:dyDescent="0.25">
      <c r="A39" s="608" t="s">
        <v>48</v>
      </c>
      <c r="B39" s="609" t="s">
        <v>902</v>
      </c>
      <c r="C39" s="533"/>
    </row>
    <row r="40" spans="1:7" s="186" customFormat="1" x14ac:dyDescent="0.25">
      <c r="A40" s="608" t="s">
        <v>28</v>
      </c>
      <c r="B40" s="609" t="s">
        <v>855</v>
      </c>
      <c r="C40" s="533"/>
    </row>
    <row r="41" spans="1:7" s="186" customFormat="1" x14ac:dyDescent="0.25">
      <c r="A41" s="655" t="s">
        <v>927</v>
      </c>
      <c r="B41" s="629" t="s">
        <v>952</v>
      </c>
      <c r="C41" s="723"/>
    </row>
    <row r="42" spans="1:7" s="127" customFormat="1" x14ac:dyDescent="0.25">
      <c r="A42" s="655" t="s">
        <v>505</v>
      </c>
      <c r="B42" s="609" t="s">
        <v>751</v>
      </c>
      <c r="C42" s="533"/>
    </row>
    <row r="43" spans="1:7" s="476" customFormat="1" ht="15.75" thickBot="1" x14ac:dyDescent="0.3">
      <c r="A43" s="1114" t="s">
        <v>31</v>
      </c>
      <c r="B43" s="1115" t="s">
        <v>717</v>
      </c>
      <c r="C43" s="535"/>
    </row>
    <row r="44" spans="1:7" x14ac:dyDescent="0.25">
      <c r="B44" s="29"/>
    </row>
    <row r="45" spans="1:7" ht="15.75" x14ac:dyDescent="0.25">
      <c r="A45" s="187" t="s">
        <v>579</v>
      </c>
      <c r="B45" s="29"/>
    </row>
    <row r="46" spans="1:7" ht="15.75" x14ac:dyDescent="0.25">
      <c r="A46" s="187" t="s">
        <v>320</v>
      </c>
      <c r="B46" s="29"/>
    </row>
    <row r="47" spans="1:7" ht="15.75" x14ac:dyDescent="0.25">
      <c r="A47" s="187"/>
      <c r="B47" s="29"/>
    </row>
    <row r="48" spans="1:7" ht="15.75" x14ac:dyDescent="0.25">
      <c r="A48" s="187" t="s">
        <v>580</v>
      </c>
      <c r="B48" s="29"/>
      <c r="G48" s="163" t="s">
        <v>319</v>
      </c>
    </row>
    <row r="49" spans="1:7" ht="15.75" x14ac:dyDescent="0.25">
      <c r="A49" s="187"/>
      <c r="B49" s="29"/>
      <c r="G49" s="163"/>
    </row>
    <row r="50" spans="1:7" ht="15.75" x14ac:dyDescent="0.25">
      <c r="A50" s="187" t="s">
        <v>581</v>
      </c>
      <c r="B50" s="29"/>
    </row>
    <row r="51" spans="1:7" ht="15.75" x14ac:dyDescent="0.25">
      <c r="A51" s="187" t="s">
        <v>582</v>
      </c>
      <c r="B51" s="29"/>
    </row>
    <row r="52" spans="1:7" ht="15.75" x14ac:dyDescent="0.25">
      <c r="A52" s="188"/>
      <c r="B52" s="29"/>
    </row>
    <row r="53" spans="1:7" ht="15.75" x14ac:dyDescent="0.25">
      <c r="A53" s="187" t="s">
        <v>583</v>
      </c>
      <c r="B53" s="29"/>
    </row>
    <row r="54" spans="1:7" ht="15.75" x14ac:dyDescent="0.25">
      <c r="A54" s="187"/>
      <c r="B54" s="29"/>
    </row>
    <row r="55" spans="1:7" x14ac:dyDescent="0.25">
      <c r="A55" s="185"/>
      <c r="B55" s="29"/>
    </row>
    <row r="56" spans="1:7" x14ac:dyDescent="0.25">
      <c r="B56" s="29"/>
    </row>
    <row r="57" spans="1:7" x14ac:dyDescent="0.25">
      <c r="A57" s="189"/>
      <c r="B57" s="29"/>
    </row>
    <row r="58" spans="1:7" x14ac:dyDescent="0.25">
      <c r="B58" s="29"/>
    </row>
    <row r="59" spans="1:7" x14ac:dyDescent="0.25">
      <c r="B59" s="29"/>
    </row>
    <row r="60" spans="1:7" x14ac:dyDescent="0.25">
      <c r="B60" s="29"/>
    </row>
    <row r="61" spans="1:7" x14ac:dyDescent="0.25">
      <c r="B61" s="29"/>
    </row>
    <row r="62" spans="1:7" x14ac:dyDescent="0.25">
      <c r="B62" s="29"/>
    </row>
    <row r="63" spans="1:7" x14ac:dyDescent="0.25">
      <c r="B63" s="29"/>
    </row>
    <row r="64" spans="1:7" x14ac:dyDescent="0.25">
      <c r="B64" s="29"/>
    </row>
    <row r="65" spans="2:2" x14ac:dyDescent="0.25">
      <c r="B65" s="29"/>
    </row>
    <row r="66" spans="2:2" x14ac:dyDescent="0.25">
      <c r="B66" s="29"/>
    </row>
    <row r="67" spans="2:2" x14ac:dyDescent="0.25">
      <c r="B67" s="29"/>
    </row>
    <row r="68" spans="2:2" x14ac:dyDescent="0.25">
      <c r="B68" s="29"/>
    </row>
    <row r="69" spans="2:2" x14ac:dyDescent="0.25">
      <c r="B69" s="29"/>
    </row>
    <row r="70" spans="2:2" x14ac:dyDescent="0.25">
      <c r="B70" s="29"/>
    </row>
    <row r="71" spans="2:2" x14ac:dyDescent="0.25">
      <c r="B71" s="29"/>
    </row>
    <row r="72" spans="2:2" x14ac:dyDescent="0.25">
      <c r="B72" s="29"/>
    </row>
    <row r="73" spans="2:2" x14ac:dyDescent="0.25">
      <c r="B73" s="29"/>
    </row>
    <row r="74" spans="2:2" x14ac:dyDescent="0.25">
      <c r="B74" s="29"/>
    </row>
    <row r="75" spans="2:2" x14ac:dyDescent="0.25">
      <c r="B75" s="29"/>
    </row>
    <row r="76" spans="2:2" x14ac:dyDescent="0.25">
      <c r="B76" s="29"/>
    </row>
    <row r="77" spans="2:2" x14ac:dyDescent="0.25">
      <c r="B77" s="29"/>
    </row>
    <row r="78" spans="2:2" x14ac:dyDescent="0.25">
      <c r="B78" s="29"/>
    </row>
    <row r="79" spans="2:2" x14ac:dyDescent="0.25">
      <c r="B79" s="29"/>
    </row>
    <row r="80" spans="2:2" x14ac:dyDescent="0.25">
      <c r="B80" s="29"/>
    </row>
    <row r="81" spans="2:2" x14ac:dyDescent="0.25">
      <c r="B81" s="29"/>
    </row>
    <row r="82" spans="2:2" x14ac:dyDescent="0.25">
      <c r="B82" s="29"/>
    </row>
    <row r="83" spans="2:2" x14ac:dyDescent="0.25">
      <c r="B83" s="29"/>
    </row>
    <row r="84" spans="2:2" x14ac:dyDescent="0.25">
      <c r="B84" s="29"/>
    </row>
    <row r="85" spans="2:2" x14ac:dyDescent="0.25">
      <c r="B85" s="29"/>
    </row>
    <row r="86" spans="2:2" x14ac:dyDescent="0.25">
      <c r="B86" s="29"/>
    </row>
    <row r="87" spans="2:2" x14ac:dyDescent="0.25">
      <c r="B87" s="29"/>
    </row>
    <row r="88" spans="2:2" x14ac:dyDescent="0.25">
      <c r="B88" s="29"/>
    </row>
    <row r="89" spans="2:2" x14ac:dyDescent="0.25">
      <c r="B89" s="29"/>
    </row>
    <row r="90" spans="2:2" x14ac:dyDescent="0.25">
      <c r="B90" s="29"/>
    </row>
    <row r="91" spans="2:2" x14ac:dyDescent="0.25">
      <c r="B91" s="29"/>
    </row>
    <row r="92" spans="2:2" x14ac:dyDescent="0.25">
      <c r="B92" s="29"/>
    </row>
    <row r="93" spans="2:2" x14ac:dyDescent="0.25">
      <c r="B93" s="29"/>
    </row>
    <row r="94" spans="2:2" x14ac:dyDescent="0.25">
      <c r="B94" s="29"/>
    </row>
    <row r="95" spans="2:2" x14ac:dyDescent="0.25">
      <c r="B95" s="29"/>
    </row>
    <row r="96" spans="2:2" x14ac:dyDescent="0.25">
      <c r="B96" s="29"/>
    </row>
    <row r="97" spans="2:2" x14ac:dyDescent="0.25">
      <c r="B97" s="29"/>
    </row>
    <row r="98" spans="2:2" x14ac:dyDescent="0.25">
      <c r="B98" s="29"/>
    </row>
    <row r="99" spans="2:2" x14ac:dyDescent="0.25">
      <c r="B99" s="29"/>
    </row>
    <row r="100" spans="2:2" x14ac:dyDescent="0.25">
      <c r="B100" s="29"/>
    </row>
    <row r="101" spans="2:2" x14ac:dyDescent="0.25">
      <c r="B101" s="29"/>
    </row>
    <row r="102" spans="2:2" x14ac:dyDescent="0.25">
      <c r="B102" s="29"/>
    </row>
    <row r="103" spans="2:2" x14ac:dyDescent="0.25">
      <c r="B103" s="29"/>
    </row>
    <row r="104" spans="2:2" x14ac:dyDescent="0.25">
      <c r="B104" s="29"/>
    </row>
    <row r="105" spans="2:2" x14ac:dyDescent="0.25">
      <c r="B105" s="29"/>
    </row>
    <row r="106" spans="2:2" x14ac:dyDescent="0.25">
      <c r="B106" s="29"/>
    </row>
    <row r="107" spans="2:2" x14ac:dyDescent="0.25">
      <c r="B107" s="29"/>
    </row>
    <row r="108" spans="2:2" x14ac:dyDescent="0.25">
      <c r="B108" s="29"/>
    </row>
    <row r="109" spans="2:2" x14ac:dyDescent="0.25">
      <c r="B109" s="29"/>
    </row>
    <row r="110" spans="2:2" x14ac:dyDescent="0.25">
      <c r="B110" s="29"/>
    </row>
    <row r="111" spans="2:2" x14ac:dyDescent="0.25">
      <c r="B111" s="29"/>
    </row>
    <row r="112" spans="2:2" x14ac:dyDescent="0.25">
      <c r="B112" s="29"/>
    </row>
    <row r="113" spans="2:2" x14ac:dyDescent="0.25">
      <c r="B113" s="29"/>
    </row>
    <row r="114" spans="2:2" x14ac:dyDescent="0.25">
      <c r="B114" s="29"/>
    </row>
    <row r="115" spans="2:2" x14ac:dyDescent="0.25">
      <c r="B115" s="29"/>
    </row>
    <row r="116" spans="2:2" x14ac:dyDescent="0.25">
      <c r="B116" s="29"/>
    </row>
    <row r="117" spans="2:2" x14ac:dyDescent="0.25">
      <c r="B117" s="29"/>
    </row>
    <row r="118" spans="2:2" x14ac:dyDescent="0.25">
      <c r="B118" s="29"/>
    </row>
    <row r="119" spans="2:2" x14ac:dyDescent="0.25">
      <c r="B119" s="29"/>
    </row>
    <row r="120" spans="2:2" x14ac:dyDescent="0.25">
      <c r="B120" s="29"/>
    </row>
    <row r="121" spans="2:2" x14ac:dyDescent="0.25">
      <c r="B121" s="29"/>
    </row>
    <row r="122" spans="2:2" x14ac:dyDescent="0.25">
      <c r="B122" s="29"/>
    </row>
    <row r="123" spans="2:2" x14ac:dyDescent="0.25">
      <c r="B123" s="29"/>
    </row>
    <row r="124" spans="2:2" x14ac:dyDescent="0.25">
      <c r="B124" s="29"/>
    </row>
    <row r="125" spans="2:2" x14ac:dyDescent="0.25">
      <c r="B125" s="29"/>
    </row>
    <row r="126" spans="2:2" x14ac:dyDescent="0.25">
      <c r="B126" s="29"/>
    </row>
    <row r="127" spans="2:2" x14ac:dyDescent="0.25">
      <c r="B127" s="29"/>
    </row>
    <row r="128" spans="2:2" x14ac:dyDescent="0.25">
      <c r="B128" s="29"/>
    </row>
    <row r="129" spans="2:2" x14ac:dyDescent="0.25">
      <c r="B129" s="29"/>
    </row>
    <row r="130" spans="2:2" x14ac:dyDescent="0.25">
      <c r="B130" s="29"/>
    </row>
    <row r="131" spans="2:2" x14ac:dyDescent="0.25">
      <c r="B131" s="29"/>
    </row>
    <row r="132" spans="2:2" x14ac:dyDescent="0.25">
      <c r="B132" s="29"/>
    </row>
    <row r="133" spans="2:2" x14ac:dyDescent="0.25">
      <c r="B133" s="29"/>
    </row>
    <row r="134" spans="2:2" x14ac:dyDescent="0.25">
      <c r="B134" s="29"/>
    </row>
    <row r="135" spans="2:2" x14ac:dyDescent="0.25">
      <c r="B135" s="29"/>
    </row>
    <row r="136" spans="2:2" x14ac:dyDescent="0.25">
      <c r="B136" s="29"/>
    </row>
    <row r="137" spans="2:2" x14ac:dyDescent="0.25">
      <c r="B137" s="29"/>
    </row>
    <row r="138" spans="2:2" x14ac:dyDescent="0.25">
      <c r="B138" s="29"/>
    </row>
    <row r="139" spans="2:2" x14ac:dyDescent="0.25">
      <c r="B139" s="29"/>
    </row>
    <row r="140" spans="2:2" x14ac:dyDescent="0.25">
      <c r="B140" s="29"/>
    </row>
    <row r="141" spans="2:2" x14ac:dyDescent="0.25">
      <c r="B141" s="29"/>
    </row>
    <row r="142" spans="2:2" x14ac:dyDescent="0.25">
      <c r="B142" s="29"/>
    </row>
    <row r="143" spans="2:2" x14ac:dyDescent="0.25">
      <c r="B143" s="29"/>
    </row>
    <row r="144" spans="2:2" x14ac:dyDescent="0.25">
      <c r="B144" s="29"/>
    </row>
    <row r="145" spans="2:2" x14ac:dyDescent="0.25">
      <c r="B145" s="29"/>
    </row>
    <row r="146" spans="2:2" x14ac:dyDescent="0.25">
      <c r="B146" s="29"/>
    </row>
    <row r="147" spans="2:2" x14ac:dyDescent="0.25">
      <c r="B147" s="29"/>
    </row>
    <row r="148" spans="2:2" x14ac:dyDescent="0.25">
      <c r="B148" s="29"/>
    </row>
    <row r="149" spans="2:2" x14ac:dyDescent="0.25">
      <c r="B149" s="29"/>
    </row>
    <row r="150" spans="2:2" x14ac:dyDescent="0.25">
      <c r="B150" s="29"/>
    </row>
    <row r="151" spans="2:2" x14ac:dyDescent="0.25">
      <c r="B151" s="29"/>
    </row>
    <row r="152" spans="2:2" x14ac:dyDescent="0.25">
      <c r="B152" s="29"/>
    </row>
    <row r="153" spans="2:2" x14ac:dyDescent="0.25">
      <c r="B153" s="29"/>
    </row>
    <row r="154" spans="2:2" x14ac:dyDescent="0.25">
      <c r="B154" s="29"/>
    </row>
    <row r="155" spans="2:2" x14ac:dyDescent="0.25">
      <c r="B155" s="29"/>
    </row>
    <row r="156" spans="2:2" x14ac:dyDescent="0.25">
      <c r="B156" s="29"/>
    </row>
    <row r="157" spans="2:2" x14ac:dyDescent="0.25">
      <c r="B157" s="29"/>
    </row>
    <row r="158" spans="2:2" x14ac:dyDescent="0.25">
      <c r="B158" s="29"/>
    </row>
    <row r="159" spans="2:2" x14ac:dyDescent="0.25">
      <c r="B159" s="29"/>
    </row>
    <row r="160" spans="2:2" x14ac:dyDescent="0.25">
      <c r="B160" s="29"/>
    </row>
    <row r="161" spans="2:2" x14ac:dyDescent="0.25">
      <c r="B161" s="29"/>
    </row>
    <row r="162" spans="2:2" x14ac:dyDescent="0.25">
      <c r="B162" s="29"/>
    </row>
    <row r="163" spans="2:2" x14ac:dyDescent="0.25">
      <c r="B163" s="29"/>
    </row>
    <row r="164" spans="2:2" x14ac:dyDescent="0.25">
      <c r="B164" s="29"/>
    </row>
    <row r="165" spans="2:2" x14ac:dyDescent="0.25">
      <c r="B165" s="29"/>
    </row>
    <row r="166" spans="2:2" x14ac:dyDescent="0.25">
      <c r="B166" s="29"/>
    </row>
    <row r="167" spans="2:2" x14ac:dyDescent="0.25">
      <c r="B167" s="29"/>
    </row>
    <row r="168" spans="2:2" x14ac:dyDescent="0.25">
      <c r="B168" s="29"/>
    </row>
    <row r="169" spans="2:2" x14ac:dyDescent="0.25">
      <c r="B169" s="29"/>
    </row>
    <row r="170" spans="2:2" x14ac:dyDescent="0.25">
      <c r="B170" s="29"/>
    </row>
    <row r="171" spans="2:2" x14ac:dyDescent="0.25">
      <c r="B171" s="29"/>
    </row>
    <row r="172" spans="2:2" x14ac:dyDescent="0.25">
      <c r="B172" s="29"/>
    </row>
    <row r="173" spans="2:2" x14ac:dyDescent="0.25">
      <c r="B173" s="29"/>
    </row>
    <row r="174" spans="2:2" x14ac:dyDescent="0.25">
      <c r="B174" s="29"/>
    </row>
    <row r="175" spans="2:2" x14ac:dyDescent="0.25">
      <c r="B175" s="29"/>
    </row>
    <row r="176" spans="2:2" x14ac:dyDescent="0.25">
      <c r="B176" s="29"/>
    </row>
    <row r="177" spans="2:2" x14ac:dyDescent="0.25">
      <c r="B177" s="29"/>
    </row>
    <row r="178" spans="2:2" x14ac:dyDescent="0.25">
      <c r="B178" s="29"/>
    </row>
    <row r="179" spans="2:2" x14ac:dyDescent="0.25">
      <c r="B179" s="29"/>
    </row>
    <row r="180" spans="2:2" x14ac:dyDescent="0.25">
      <c r="B180" s="29"/>
    </row>
    <row r="181" spans="2:2" x14ac:dyDescent="0.25">
      <c r="B181" s="29"/>
    </row>
    <row r="182" spans="2:2" x14ac:dyDescent="0.25">
      <c r="B182" s="29"/>
    </row>
  </sheetData>
  <mergeCells count="2">
    <mergeCell ref="A1:B1"/>
    <mergeCell ref="A3:B3"/>
  </mergeCells>
  <pageMargins left="0.7" right="0.7" top="0.75" bottom="0.75" header="0.3" footer="0.3"/>
  <pageSetup paperSize="9" scale="62" orientation="landscape"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287"/>
  <sheetViews>
    <sheetView workbookViewId="0">
      <selection activeCell="C56" sqref="C56"/>
    </sheetView>
  </sheetViews>
  <sheetFormatPr defaultRowHeight="15" x14ac:dyDescent="0.25"/>
  <cols>
    <col min="1" max="1" width="29.28515625" customWidth="1"/>
    <col min="2" max="2" width="23.28515625" customWidth="1"/>
    <col min="3" max="3" width="19.7109375" style="462" bestFit="1" customWidth="1"/>
  </cols>
  <sheetData>
    <row r="1" spans="1:5" ht="18.75" x14ac:dyDescent="0.3">
      <c r="A1" s="843" t="s">
        <v>1292</v>
      </c>
      <c r="B1" s="1056"/>
      <c r="C1" s="462" t="s">
        <v>682</v>
      </c>
      <c r="E1" t="s">
        <v>680</v>
      </c>
    </row>
    <row r="2" spans="1:5" ht="16.5" thickBot="1" x14ac:dyDescent="0.3">
      <c r="A2" s="530"/>
      <c r="B2" s="531"/>
    </row>
    <row r="5" spans="1:5" ht="32.450000000000003" customHeight="1" thickBot="1" x14ac:dyDescent="0.3">
      <c r="A5" s="459" t="s">
        <v>3</v>
      </c>
      <c r="B5" s="460" t="s">
        <v>681</v>
      </c>
      <c r="C5" s="460" t="s">
        <v>806</v>
      </c>
    </row>
    <row r="6" spans="1:5" ht="15.75" x14ac:dyDescent="0.25">
      <c r="A6" s="504" t="s">
        <v>33</v>
      </c>
      <c r="B6" s="465" t="s">
        <v>5</v>
      </c>
      <c r="C6" s="1124">
        <v>3.2</v>
      </c>
    </row>
    <row r="7" spans="1:5" ht="15.75" x14ac:dyDescent="0.25">
      <c r="A7" s="504" t="s">
        <v>524</v>
      </c>
      <c r="B7" s="465" t="s">
        <v>5</v>
      </c>
      <c r="C7" s="1124">
        <v>3.6</v>
      </c>
    </row>
    <row r="8" spans="1:5" ht="15.75" x14ac:dyDescent="0.25">
      <c r="A8" s="504" t="s">
        <v>34</v>
      </c>
      <c r="B8" s="465">
        <v>2.6</v>
      </c>
      <c r="C8" s="644">
        <v>2.5499999999999998</v>
      </c>
    </row>
    <row r="9" spans="1:5" ht="15.75" x14ac:dyDescent="0.25">
      <c r="A9" s="505" t="s">
        <v>4</v>
      </c>
      <c r="B9" s="465" t="s">
        <v>5</v>
      </c>
      <c r="C9" s="644">
        <v>2.2200000000000002</v>
      </c>
    </row>
    <row r="10" spans="1:5" ht="15.75" x14ac:dyDescent="0.25">
      <c r="A10" s="505" t="s">
        <v>6</v>
      </c>
      <c r="B10" s="465">
        <v>2.6</v>
      </c>
      <c r="C10" s="1124">
        <v>2.4</v>
      </c>
    </row>
    <row r="11" spans="1:5" ht="15.75" x14ac:dyDescent="0.25">
      <c r="A11" s="505" t="s">
        <v>49</v>
      </c>
      <c r="B11" s="465">
        <v>3.03</v>
      </c>
      <c r="C11" s="644">
        <v>3.03</v>
      </c>
    </row>
    <row r="12" spans="1:5" ht="15.75" x14ac:dyDescent="0.25">
      <c r="A12" s="505" t="s">
        <v>7</v>
      </c>
      <c r="B12" s="465" t="s">
        <v>5</v>
      </c>
      <c r="C12" s="1124">
        <v>2.5</v>
      </c>
    </row>
    <row r="13" spans="1:5" ht="15.75" x14ac:dyDescent="0.25">
      <c r="A13" s="505" t="s">
        <v>343</v>
      </c>
      <c r="B13" s="465">
        <v>2.5</v>
      </c>
      <c r="C13" s="1124">
        <v>2.4</v>
      </c>
    </row>
    <row r="14" spans="1:5" ht="15.75" x14ac:dyDescent="0.25">
      <c r="A14" s="505" t="s">
        <v>489</v>
      </c>
      <c r="B14" s="465">
        <v>3.6</v>
      </c>
      <c r="C14" s="644" t="s">
        <v>5</v>
      </c>
    </row>
    <row r="15" spans="1:5" ht="15.75" x14ac:dyDescent="0.25">
      <c r="A15" s="505" t="s">
        <v>8</v>
      </c>
      <c r="B15" s="465" t="s">
        <v>5</v>
      </c>
      <c r="C15" s="644" t="s">
        <v>5</v>
      </c>
    </row>
    <row r="16" spans="1:5" ht="15.75" x14ac:dyDescent="0.25">
      <c r="A16" s="505" t="s">
        <v>585</v>
      </c>
      <c r="B16" s="465">
        <v>2.9</v>
      </c>
      <c r="C16" s="1124">
        <v>2.8</v>
      </c>
    </row>
    <row r="17" spans="1:3" ht="15.75" x14ac:dyDescent="0.25">
      <c r="A17" s="505" t="s">
        <v>9</v>
      </c>
      <c r="B17" s="465">
        <v>2.5</v>
      </c>
      <c r="C17" s="644">
        <v>2.58</v>
      </c>
    </row>
    <row r="18" spans="1:3" ht="15.75" x14ac:dyDescent="0.25">
      <c r="A18" s="505" t="s">
        <v>10</v>
      </c>
      <c r="B18" s="465">
        <v>2</v>
      </c>
      <c r="C18" s="467">
        <v>2</v>
      </c>
    </row>
    <row r="19" spans="1:3" ht="15.75" x14ac:dyDescent="0.25">
      <c r="A19" s="505" t="s">
        <v>910</v>
      </c>
      <c r="B19" s="465" t="s">
        <v>5</v>
      </c>
      <c r="C19" s="1124">
        <v>2.2000000000000002</v>
      </c>
    </row>
    <row r="20" spans="1:3" ht="15.75" x14ac:dyDescent="0.25">
      <c r="A20" s="505" t="s">
        <v>11</v>
      </c>
      <c r="B20" s="465">
        <v>2.15</v>
      </c>
      <c r="C20" s="644">
        <v>2.15</v>
      </c>
    </row>
    <row r="21" spans="1:3" ht="15.75" x14ac:dyDescent="0.25">
      <c r="A21" s="505" t="s">
        <v>456</v>
      </c>
      <c r="B21" s="465">
        <v>2.4</v>
      </c>
      <c r="C21" s="644">
        <v>2.41</v>
      </c>
    </row>
    <row r="22" spans="1:3" ht="15.75" x14ac:dyDescent="0.25">
      <c r="A22" s="505" t="s">
        <v>12</v>
      </c>
      <c r="B22" s="465">
        <v>2.77</v>
      </c>
      <c r="C22" s="644">
        <v>2.0299999999999998</v>
      </c>
    </row>
    <row r="23" spans="1:3" ht="15.75" x14ac:dyDescent="0.25">
      <c r="A23" s="505" t="s">
        <v>13</v>
      </c>
      <c r="B23" s="465">
        <v>2.78</v>
      </c>
      <c r="C23" s="644">
        <v>2.31</v>
      </c>
    </row>
    <row r="24" spans="1:3" ht="15.75" x14ac:dyDescent="0.25">
      <c r="A24" s="505" t="s">
        <v>14</v>
      </c>
      <c r="B24" s="465">
        <v>2.02</v>
      </c>
      <c r="C24" s="644">
        <v>2.0099999999999998</v>
      </c>
    </row>
    <row r="25" spans="1:3" ht="15.75" x14ac:dyDescent="0.25">
      <c r="A25" s="505" t="s">
        <v>35</v>
      </c>
      <c r="B25" s="465">
        <v>2.7</v>
      </c>
      <c r="C25" s="644" t="s">
        <v>5</v>
      </c>
    </row>
    <row r="26" spans="1:3" ht="15.75" x14ac:dyDescent="0.25">
      <c r="A26" s="505" t="s">
        <v>15</v>
      </c>
      <c r="B26" s="465">
        <v>2.4500000000000002</v>
      </c>
      <c r="C26" s="1124">
        <v>2.6</v>
      </c>
    </row>
    <row r="27" spans="1:3" ht="15.75" x14ac:dyDescent="0.25">
      <c r="A27" s="505" t="s">
        <v>639</v>
      </c>
      <c r="B27" s="465">
        <v>6</v>
      </c>
      <c r="C27" s="1124">
        <v>3.9</v>
      </c>
    </row>
    <row r="28" spans="1:3" ht="15.75" x14ac:dyDescent="0.25">
      <c r="A28" s="505" t="s">
        <v>18</v>
      </c>
      <c r="B28" s="465">
        <v>2.54</v>
      </c>
      <c r="C28" s="644">
        <v>2.4700000000000002</v>
      </c>
    </row>
    <row r="29" spans="1:3" ht="15.75" x14ac:dyDescent="0.25">
      <c r="A29" s="505" t="s">
        <v>742</v>
      </c>
      <c r="B29" s="465">
        <v>5</v>
      </c>
      <c r="C29" s="644" t="s">
        <v>5</v>
      </c>
    </row>
    <row r="30" spans="1:3" ht="15.75" x14ac:dyDescent="0.25">
      <c r="A30" s="505" t="s">
        <v>586</v>
      </c>
      <c r="B30" s="465">
        <v>3</v>
      </c>
      <c r="C30" s="467">
        <v>3</v>
      </c>
    </row>
    <row r="31" spans="1:3" ht="15.75" x14ac:dyDescent="0.25">
      <c r="A31" s="505" t="s">
        <v>774</v>
      </c>
      <c r="B31" s="465">
        <v>2.6</v>
      </c>
      <c r="C31" s="1124">
        <v>2.6</v>
      </c>
    </row>
    <row r="32" spans="1:3" ht="15.75" x14ac:dyDescent="0.25">
      <c r="A32" s="505" t="s">
        <v>37</v>
      </c>
      <c r="B32" s="465">
        <v>4</v>
      </c>
      <c r="C32" s="644" t="s">
        <v>5</v>
      </c>
    </row>
    <row r="33" spans="1:3" ht="15.75" x14ac:dyDescent="0.25">
      <c r="A33" s="505" t="s">
        <v>38</v>
      </c>
      <c r="B33" s="465">
        <v>3.5</v>
      </c>
      <c r="C33" s="1124">
        <v>3.7</v>
      </c>
    </row>
    <row r="34" spans="1:3" ht="15.75" x14ac:dyDescent="0.25">
      <c r="A34" s="505" t="s">
        <v>20</v>
      </c>
      <c r="B34" s="465">
        <v>2.1800000000000002</v>
      </c>
      <c r="C34" s="644">
        <v>2.17</v>
      </c>
    </row>
    <row r="35" spans="1:3" ht="15.75" x14ac:dyDescent="0.25">
      <c r="A35" s="505" t="s">
        <v>21</v>
      </c>
      <c r="B35" s="465">
        <v>2.2000000000000002</v>
      </c>
      <c r="C35" s="644">
        <v>2.19</v>
      </c>
    </row>
    <row r="36" spans="1:3" ht="15.75" x14ac:dyDescent="0.25">
      <c r="A36" s="505" t="s">
        <v>22</v>
      </c>
      <c r="B36" s="465">
        <v>4</v>
      </c>
      <c r="C36" s="467">
        <v>4</v>
      </c>
    </row>
    <row r="37" spans="1:3" ht="15.75" x14ac:dyDescent="0.25">
      <c r="A37" s="505" t="s">
        <v>23</v>
      </c>
      <c r="B37" s="465">
        <v>2.6</v>
      </c>
      <c r="C37" s="1124">
        <v>1.7</v>
      </c>
    </row>
    <row r="38" spans="1:3" ht="15.75" x14ac:dyDescent="0.25">
      <c r="A38" s="505" t="s">
        <v>40</v>
      </c>
      <c r="B38" s="465">
        <v>2.2000000000000002</v>
      </c>
      <c r="C38" s="1124">
        <v>2.2000000000000002</v>
      </c>
    </row>
    <row r="39" spans="1:3" ht="15.75" x14ac:dyDescent="0.25">
      <c r="A39" s="505" t="s">
        <v>693</v>
      </c>
      <c r="B39" s="465">
        <v>2.7</v>
      </c>
      <c r="C39" s="1124">
        <v>2.6</v>
      </c>
    </row>
    <row r="40" spans="1:3" ht="15.75" x14ac:dyDescent="0.25">
      <c r="A40" s="505" t="s">
        <v>471</v>
      </c>
      <c r="B40" s="465">
        <v>2</v>
      </c>
      <c r="C40" s="467">
        <v>2</v>
      </c>
    </row>
    <row r="41" spans="1:3" ht="15.75" x14ac:dyDescent="0.25">
      <c r="A41" s="505" t="s">
        <v>25</v>
      </c>
      <c r="B41" s="465">
        <v>2.48</v>
      </c>
      <c r="C41" s="644">
        <v>2.39</v>
      </c>
    </row>
    <row r="42" spans="1:3" ht="15.75" x14ac:dyDescent="0.25">
      <c r="A42" s="505" t="s">
        <v>26</v>
      </c>
      <c r="B42" s="465">
        <v>2.58</v>
      </c>
      <c r="C42" s="644">
        <v>2.5099999999999998</v>
      </c>
    </row>
    <row r="43" spans="1:3" ht="15.75" x14ac:dyDescent="0.25">
      <c r="A43" s="505" t="s">
        <v>27</v>
      </c>
      <c r="B43" s="465" t="s">
        <v>5</v>
      </c>
      <c r="C43" s="1124">
        <v>2.2999999999999998</v>
      </c>
    </row>
    <row r="44" spans="1:3" ht="15.75" x14ac:dyDescent="0.25">
      <c r="A44" s="505" t="s">
        <v>28</v>
      </c>
      <c r="B44" s="465">
        <v>2.21</v>
      </c>
      <c r="C44" s="644">
        <v>2.2400000000000002</v>
      </c>
    </row>
    <row r="45" spans="1:3" ht="15.75" x14ac:dyDescent="0.25">
      <c r="A45" s="505" t="s">
        <v>706</v>
      </c>
      <c r="B45" s="465">
        <v>8</v>
      </c>
      <c r="C45" s="644" t="s">
        <v>5</v>
      </c>
    </row>
    <row r="46" spans="1:3" ht="15.75" x14ac:dyDescent="0.25">
      <c r="A46" s="505" t="s">
        <v>737</v>
      </c>
      <c r="B46" s="465">
        <v>3.5</v>
      </c>
      <c r="C46" s="644" t="s">
        <v>5</v>
      </c>
    </row>
    <row r="47" spans="1:3" ht="15.75" x14ac:dyDescent="0.25">
      <c r="A47" s="505" t="s">
        <v>927</v>
      </c>
      <c r="B47" s="465" t="s">
        <v>5</v>
      </c>
      <c r="C47" s="1124">
        <v>3.5</v>
      </c>
    </row>
    <row r="48" spans="1:3" ht="15.75" x14ac:dyDescent="0.25">
      <c r="A48" s="505" t="s">
        <v>505</v>
      </c>
      <c r="B48" s="465">
        <v>5</v>
      </c>
      <c r="C48" s="467">
        <v>6</v>
      </c>
    </row>
    <row r="49" spans="1:3" ht="15.75" x14ac:dyDescent="0.25">
      <c r="A49" s="505" t="s">
        <v>31</v>
      </c>
      <c r="B49" s="465">
        <v>2.54</v>
      </c>
      <c r="C49" s="644">
        <v>2.54</v>
      </c>
    </row>
    <row r="50" spans="1:3" ht="15.75" x14ac:dyDescent="0.25">
      <c r="A50" s="505" t="s">
        <v>718</v>
      </c>
      <c r="B50" s="465">
        <v>5.5</v>
      </c>
      <c r="C50" s="644" t="s">
        <v>5</v>
      </c>
    </row>
    <row r="226" spans="1:1" x14ac:dyDescent="0.25">
      <c r="A226" s="29"/>
    </row>
    <row r="227" spans="1:1" x14ac:dyDescent="0.25">
      <c r="A227" s="29"/>
    </row>
    <row r="228" spans="1:1" x14ac:dyDescent="0.25">
      <c r="A228" s="29"/>
    </row>
    <row r="229" spans="1:1" x14ac:dyDescent="0.25">
      <c r="A229" s="29"/>
    </row>
    <row r="230" spans="1:1" x14ac:dyDescent="0.25">
      <c r="A230" s="29"/>
    </row>
    <row r="231" spans="1:1" x14ac:dyDescent="0.25">
      <c r="A231" s="29"/>
    </row>
    <row r="232" spans="1:1" x14ac:dyDescent="0.25">
      <c r="A232" s="29"/>
    </row>
    <row r="233" spans="1:1" x14ac:dyDescent="0.25">
      <c r="A233" s="29"/>
    </row>
    <row r="234" spans="1:1" x14ac:dyDescent="0.25">
      <c r="A234" s="29"/>
    </row>
    <row r="235" spans="1:1" x14ac:dyDescent="0.25">
      <c r="A235" s="29"/>
    </row>
    <row r="236" spans="1:1" x14ac:dyDescent="0.25">
      <c r="A236" s="29"/>
    </row>
    <row r="237" spans="1:1" x14ac:dyDescent="0.25">
      <c r="A237" s="29"/>
    </row>
    <row r="238" spans="1:1" x14ac:dyDescent="0.25">
      <c r="A238" s="29"/>
    </row>
    <row r="239" spans="1:1" x14ac:dyDescent="0.25">
      <c r="A239" s="29"/>
    </row>
    <row r="240" spans="1:1" x14ac:dyDescent="0.25">
      <c r="A240" s="29"/>
    </row>
    <row r="241" spans="1:1" x14ac:dyDescent="0.25">
      <c r="A241" s="29"/>
    </row>
    <row r="242" spans="1:1" x14ac:dyDescent="0.25">
      <c r="A242" s="29"/>
    </row>
    <row r="243" spans="1:1" x14ac:dyDescent="0.25">
      <c r="A243" s="29"/>
    </row>
    <row r="244" spans="1:1" x14ac:dyDescent="0.25">
      <c r="A244" s="29"/>
    </row>
    <row r="245" spans="1:1" x14ac:dyDescent="0.25">
      <c r="A245" s="29"/>
    </row>
    <row r="246" spans="1:1" x14ac:dyDescent="0.25">
      <c r="A246" s="29"/>
    </row>
    <row r="247" spans="1:1" x14ac:dyDescent="0.25">
      <c r="A247" s="29"/>
    </row>
    <row r="248" spans="1:1" x14ac:dyDescent="0.25">
      <c r="A248" s="29"/>
    </row>
    <row r="249" spans="1:1" x14ac:dyDescent="0.25">
      <c r="A249" s="29"/>
    </row>
    <row r="250" spans="1:1" x14ac:dyDescent="0.25">
      <c r="A250" s="29"/>
    </row>
    <row r="251" spans="1:1" x14ac:dyDescent="0.25">
      <c r="A251" s="29"/>
    </row>
    <row r="252" spans="1:1" x14ac:dyDescent="0.25">
      <c r="A252" s="29"/>
    </row>
    <row r="253" spans="1:1" x14ac:dyDescent="0.25">
      <c r="A253" s="29"/>
    </row>
    <row r="254" spans="1:1" x14ac:dyDescent="0.25">
      <c r="A254" s="29"/>
    </row>
    <row r="255" spans="1:1" x14ac:dyDescent="0.25">
      <c r="A255" s="29"/>
    </row>
    <row r="256" spans="1:1" x14ac:dyDescent="0.25">
      <c r="A256" s="29"/>
    </row>
    <row r="257" spans="1:1" x14ac:dyDescent="0.25">
      <c r="A257" s="29"/>
    </row>
    <row r="258" spans="1:1" x14ac:dyDescent="0.25">
      <c r="A258" s="29"/>
    </row>
    <row r="259" spans="1:1" x14ac:dyDescent="0.25">
      <c r="A259" s="29"/>
    </row>
    <row r="260" spans="1:1" x14ac:dyDescent="0.25">
      <c r="A260" s="29"/>
    </row>
    <row r="261" spans="1:1" x14ac:dyDescent="0.25">
      <c r="A261" s="29"/>
    </row>
    <row r="262" spans="1:1" x14ac:dyDescent="0.25">
      <c r="A262" s="29"/>
    </row>
    <row r="263" spans="1:1" x14ac:dyDescent="0.25">
      <c r="A263" s="29"/>
    </row>
    <row r="264" spans="1:1" x14ac:dyDescent="0.25">
      <c r="A264" s="29"/>
    </row>
    <row r="265" spans="1:1" x14ac:dyDescent="0.25">
      <c r="A265" s="29"/>
    </row>
    <row r="266" spans="1:1" x14ac:dyDescent="0.25">
      <c r="A266" s="29"/>
    </row>
    <row r="267" spans="1:1" x14ac:dyDescent="0.25">
      <c r="A267" s="29"/>
    </row>
    <row r="268" spans="1:1" x14ac:dyDescent="0.25">
      <c r="A268" s="29"/>
    </row>
    <row r="269" spans="1:1" x14ac:dyDescent="0.25">
      <c r="A269" s="29"/>
    </row>
    <row r="270" spans="1:1" x14ac:dyDescent="0.25">
      <c r="A270" s="29"/>
    </row>
    <row r="271" spans="1:1" x14ac:dyDescent="0.25">
      <c r="A271" s="29"/>
    </row>
    <row r="272" spans="1:1" x14ac:dyDescent="0.25">
      <c r="A272" s="29"/>
    </row>
    <row r="273" spans="1:1" x14ac:dyDescent="0.25">
      <c r="A273" s="29"/>
    </row>
    <row r="274" spans="1:1" x14ac:dyDescent="0.25">
      <c r="A274" s="29"/>
    </row>
    <row r="275" spans="1:1" x14ac:dyDescent="0.25">
      <c r="A275" s="29"/>
    </row>
    <row r="276" spans="1:1" x14ac:dyDescent="0.25">
      <c r="A276" s="29"/>
    </row>
    <row r="277" spans="1:1" x14ac:dyDescent="0.25">
      <c r="A277" s="29"/>
    </row>
    <row r="278" spans="1:1" x14ac:dyDescent="0.25">
      <c r="A278" s="29"/>
    </row>
    <row r="279" spans="1:1" x14ac:dyDescent="0.25">
      <c r="A279" s="29"/>
    </row>
    <row r="280" spans="1:1" x14ac:dyDescent="0.25">
      <c r="A280" s="29"/>
    </row>
    <row r="281" spans="1:1" x14ac:dyDescent="0.25">
      <c r="A281" s="29"/>
    </row>
    <row r="282" spans="1:1" x14ac:dyDescent="0.25">
      <c r="A282" s="29"/>
    </row>
    <row r="283" spans="1:1" x14ac:dyDescent="0.25">
      <c r="A283" s="29"/>
    </row>
    <row r="284" spans="1:1" x14ac:dyDescent="0.25">
      <c r="A284" s="29"/>
    </row>
    <row r="285" spans="1:1" x14ac:dyDescent="0.25">
      <c r="A285" s="29"/>
    </row>
    <row r="286" spans="1:1" x14ac:dyDescent="0.25">
      <c r="A286" s="29"/>
    </row>
    <row r="287" spans="1:1" x14ac:dyDescent="0.25">
      <c r="A287" s="29"/>
    </row>
  </sheetData>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8"/>
  <sheetViews>
    <sheetView workbookViewId="0">
      <selection activeCell="O15" sqref="O15"/>
    </sheetView>
  </sheetViews>
  <sheetFormatPr defaultRowHeight="15" x14ac:dyDescent="0.25"/>
  <cols>
    <col min="1" max="1" width="25.140625" bestFit="1" customWidth="1"/>
    <col min="2" max="2" width="22.42578125" style="29" hidden="1" customWidth="1"/>
    <col min="3" max="3" width="23.5703125" style="29" hidden="1" customWidth="1"/>
    <col min="4" max="4" width="17.85546875" style="29" hidden="1" customWidth="1"/>
    <col min="5" max="5" width="15" style="29" hidden="1" customWidth="1"/>
    <col min="6" max="6" width="19" style="29" hidden="1" customWidth="1"/>
    <col min="7" max="7" width="15.140625" style="29" hidden="1" customWidth="1"/>
    <col min="8" max="8" width="22.5703125" hidden="1" customWidth="1"/>
    <col min="9" max="9" width="15" hidden="1" customWidth="1"/>
    <col min="10" max="10" width="22.5703125" customWidth="1"/>
    <col min="11" max="11" width="15" customWidth="1"/>
    <col min="12" max="12" width="22.140625" bestFit="1" customWidth="1"/>
    <col min="13" max="13" width="13.5703125" customWidth="1"/>
    <col min="14" max="14" width="22.140625" bestFit="1" customWidth="1"/>
    <col min="15" max="15" width="13.5703125" customWidth="1"/>
    <col min="16" max="16" width="11.28515625" style="618" bestFit="1" customWidth="1"/>
  </cols>
  <sheetData>
    <row r="1" spans="1:16" ht="15.75" customHeight="1" thickBot="1" x14ac:dyDescent="0.3">
      <c r="A1" s="2508" t="s">
        <v>3</v>
      </c>
      <c r="B1" s="2509" t="s">
        <v>324</v>
      </c>
      <c r="C1" s="2510" t="s">
        <v>325</v>
      </c>
      <c r="D1" s="2510" t="s">
        <v>326</v>
      </c>
      <c r="E1" s="2507" t="s">
        <v>326</v>
      </c>
      <c r="F1" s="2507" t="s">
        <v>327</v>
      </c>
      <c r="G1" s="2511" t="s">
        <v>327</v>
      </c>
      <c r="H1" s="2506" t="s">
        <v>428</v>
      </c>
      <c r="I1" s="2506" t="s">
        <v>428</v>
      </c>
      <c r="J1" s="2506" t="s">
        <v>578</v>
      </c>
      <c r="K1" s="2506" t="s">
        <v>578</v>
      </c>
      <c r="L1" s="2506" t="s">
        <v>677</v>
      </c>
      <c r="M1" s="2506" t="s">
        <v>678</v>
      </c>
      <c r="N1" s="2506" t="s">
        <v>807</v>
      </c>
      <c r="O1" s="2506" t="s">
        <v>808</v>
      </c>
    </row>
    <row r="2" spans="1:16" ht="42" customHeight="1" x14ac:dyDescent="0.25">
      <c r="A2" s="2508"/>
      <c r="B2" s="2509"/>
      <c r="C2" s="2510"/>
      <c r="D2" s="2510"/>
      <c r="E2" s="2507"/>
      <c r="F2" s="2507">
        <v>2008</v>
      </c>
      <c r="G2" s="2511">
        <v>2008</v>
      </c>
      <c r="H2" s="2506"/>
      <c r="I2" s="2506"/>
      <c r="J2" s="2506"/>
      <c r="K2" s="2506"/>
      <c r="L2" s="2506"/>
      <c r="M2" s="2506"/>
      <c r="N2" s="2506"/>
      <c r="O2" s="2506"/>
    </row>
    <row r="3" spans="1:16" x14ac:dyDescent="0.25">
      <c r="A3" s="749" t="s">
        <v>33</v>
      </c>
      <c r="B3" s="194" t="s">
        <v>328</v>
      </c>
      <c r="C3" s="195" t="s">
        <v>329</v>
      </c>
      <c r="D3" s="170"/>
      <c r="E3" s="171"/>
      <c r="F3" s="171"/>
      <c r="G3" s="200"/>
      <c r="H3" s="170" t="s">
        <v>555</v>
      </c>
      <c r="I3" s="423">
        <v>4.3089700000000004</v>
      </c>
      <c r="J3" s="284"/>
      <c r="K3" s="285"/>
      <c r="L3" s="284"/>
      <c r="M3" s="285"/>
      <c r="N3" s="427" t="s">
        <v>948</v>
      </c>
      <c r="O3" s="750">
        <v>18.600290000000001</v>
      </c>
      <c r="P3" s="619">
        <v>43098</v>
      </c>
    </row>
    <row r="4" spans="1:16" x14ac:dyDescent="0.25">
      <c r="A4" s="545" t="s">
        <v>524</v>
      </c>
      <c r="B4" s="196"/>
      <c r="C4" s="195"/>
      <c r="D4" s="170"/>
      <c r="E4" s="170"/>
      <c r="F4" s="170"/>
      <c r="G4" s="201"/>
      <c r="H4" s="170" t="s">
        <v>525</v>
      </c>
      <c r="I4" s="424">
        <v>385.82</v>
      </c>
      <c r="J4" s="284"/>
      <c r="K4" s="286"/>
      <c r="L4" s="284"/>
      <c r="M4" s="286"/>
      <c r="N4" s="427" t="s">
        <v>883</v>
      </c>
      <c r="O4" s="429">
        <v>483.08548000000002</v>
      </c>
      <c r="P4" s="619">
        <v>43098</v>
      </c>
    </row>
    <row r="5" spans="1:16" x14ac:dyDescent="0.25">
      <c r="A5" s="545" t="s">
        <v>34</v>
      </c>
      <c r="B5" s="196" t="s">
        <v>330</v>
      </c>
      <c r="C5" s="195" t="s">
        <v>331</v>
      </c>
      <c r="D5" s="170" t="s">
        <v>332</v>
      </c>
      <c r="E5" s="170">
        <v>1.1928000000000001</v>
      </c>
      <c r="F5" s="170"/>
      <c r="G5" s="201"/>
      <c r="H5" s="170" t="s">
        <v>451</v>
      </c>
      <c r="I5" s="425">
        <v>0.97958999999999996</v>
      </c>
      <c r="J5" s="284"/>
      <c r="K5" s="287"/>
      <c r="L5" s="170" t="s">
        <v>780</v>
      </c>
      <c r="M5" s="428">
        <v>1.36829</v>
      </c>
      <c r="N5" s="427" t="s">
        <v>895</v>
      </c>
      <c r="O5" s="428">
        <v>1.2820499999999999</v>
      </c>
      <c r="P5" s="619">
        <v>43100</v>
      </c>
    </row>
    <row r="6" spans="1:16" x14ac:dyDescent="0.25">
      <c r="A6" s="545" t="s">
        <v>4</v>
      </c>
      <c r="B6" s="196" t="s">
        <v>333</v>
      </c>
      <c r="C6" s="195" t="s">
        <v>334</v>
      </c>
      <c r="D6" s="170" t="s">
        <v>335</v>
      </c>
      <c r="E6" s="170">
        <v>0.72970000000000002</v>
      </c>
      <c r="F6" s="170" t="s">
        <v>336</v>
      </c>
      <c r="G6" s="201" t="s">
        <v>337</v>
      </c>
      <c r="H6" s="170" t="s">
        <v>440</v>
      </c>
      <c r="I6" s="424">
        <v>0.77166999999999997</v>
      </c>
      <c r="J6" s="427" t="s">
        <v>591</v>
      </c>
      <c r="K6" s="429">
        <v>0.72762000000000004</v>
      </c>
      <c r="L6" s="427"/>
      <c r="M6" s="429"/>
      <c r="N6" s="427" t="s">
        <v>880</v>
      </c>
      <c r="O6" s="429">
        <v>0.83301000000000003</v>
      </c>
      <c r="P6" s="619">
        <v>43098</v>
      </c>
    </row>
    <row r="7" spans="1:16" x14ac:dyDescent="0.25">
      <c r="A7" s="545" t="s">
        <v>6</v>
      </c>
      <c r="B7" s="196" t="s">
        <v>333</v>
      </c>
      <c r="C7" s="195" t="str">
        <f>C6</f>
        <v>1 US $ = 0,8445 EUR</v>
      </c>
      <c r="D7" s="170" t="s">
        <v>335</v>
      </c>
      <c r="E7" s="170">
        <v>0.72970000000000002</v>
      </c>
      <c r="F7" s="170" t="s">
        <v>336</v>
      </c>
      <c r="G7" s="201" t="s">
        <v>337</v>
      </c>
      <c r="H7" s="170" t="s">
        <v>440</v>
      </c>
      <c r="I7" s="424">
        <v>0.77166999999999997</v>
      </c>
      <c r="J7" s="427" t="s">
        <v>591</v>
      </c>
      <c r="K7" s="429">
        <v>0.72762000000000004</v>
      </c>
      <c r="L7" s="427" t="s">
        <v>689</v>
      </c>
      <c r="M7" s="429">
        <v>0.92093999999999998</v>
      </c>
      <c r="N7" s="427" t="s">
        <v>880</v>
      </c>
      <c r="O7" s="429">
        <v>0.83301000000000003</v>
      </c>
      <c r="P7" s="619">
        <v>43098</v>
      </c>
    </row>
    <row r="8" spans="1:16" x14ac:dyDescent="0.25">
      <c r="A8" s="545" t="s">
        <v>49</v>
      </c>
      <c r="B8" s="196"/>
      <c r="C8" s="195"/>
      <c r="D8" s="170" t="s">
        <v>338</v>
      </c>
      <c r="E8" s="170">
        <v>1.78</v>
      </c>
      <c r="F8" s="170"/>
      <c r="G8" s="201"/>
      <c r="H8" s="170" t="s">
        <v>461</v>
      </c>
      <c r="I8" s="425">
        <v>1.86534</v>
      </c>
      <c r="J8" s="427" t="s">
        <v>605</v>
      </c>
      <c r="K8" s="428">
        <v>2.3622800000000002</v>
      </c>
      <c r="L8" s="427" t="s">
        <v>727</v>
      </c>
      <c r="M8" s="428">
        <v>3.9608599999999998</v>
      </c>
      <c r="N8" s="427" t="s">
        <v>934</v>
      </c>
      <c r="O8" s="428">
        <v>3.3117299999999998</v>
      </c>
      <c r="P8" s="619">
        <v>43098</v>
      </c>
    </row>
    <row r="9" spans="1:16" x14ac:dyDescent="0.25">
      <c r="A9" s="545" t="s">
        <v>7</v>
      </c>
      <c r="B9" s="196" t="s">
        <v>339</v>
      </c>
      <c r="C9" s="195" t="s">
        <v>340</v>
      </c>
      <c r="D9" s="170" t="s">
        <v>341</v>
      </c>
      <c r="E9" s="170">
        <v>1.4271</v>
      </c>
      <c r="F9" s="170" t="s">
        <v>342</v>
      </c>
      <c r="G9" s="202">
        <v>1.37</v>
      </c>
      <c r="H9" s="170" t="s">
        <v>475</v>
      </c>
      <c r="I9" s="425">
        <v>1.5091399999999999</v>
      </c>
      <c r="J9" s="427" t="s">
        <v>594</v>
      </c>
      <c r="K9" s="429">
        <v>1.423</v>
      </c>
      <c r="L9" s="427"/>
      <c r="M9" s="429"/>
      <c r="N9" s="427" t="s">
        <v>950</v>
      </c>
      <c r="O9" s="429">
        <v>1.6293800000000001</v>
      </c>
      <c r="P9" s="619">
        <v>43098</v>
      </c>
    </row>
    <row r="10" spans="1:16" x14ac:dyDescent="0.25">
      <c r="A10" s="282" t="s">
        <v>501</v>
      </c>
      <c r="B10" s="196"/>
      <c r="C10" s="220"/>
      <c r="D10" s="221"/>
      <c r="E10" s="221"/>
      <c r="F10" s="221"/>
      <c r="G10" s="228"/>
      <c r="H10" s="170" t="s">
        <v>503</v>
      </c>
      <c r="I10" s="424">
        <v>506.17869999999999</v>
      </c>
      <c r="J10" s="284"/>
      <c r="K10" s="286"/>
      <c r="L10" s="284"/>
      <c r="M10" s="286"/>
      <c r="N10" s="284"/>
      <c r="O10" s="286"/>
    </row>
    <row r="11" spans="1:16" x14ac:dyDescent="0.25">
      <c r="A11" s="545" t="s">
        <v>343</v>
      </c>
      <c r="B11" s="196" t="s">
        <v>344</v>
      </c>
      <c r="C11" s="195" t="s">
        <v>345</v>
      </c>
      <c r="D11" s="170"/>
      <c r="E11" s="170"/>
      <c r="F11" s="170"/>
      <c r="G11" s="201"/>
      <c r="H11" s="170" t="s">
        <v>553</v>
      </c>
      <c r="I11" s="424">
        <v>1.0179</v>
      </c>
      <c r="J11" s="427" t="s">
        <v>619</v>
      </c>
      <c r="K11" s="429">
        <v>1.0622499999999999</v>
      </c>
      <c r="L11" s="427" t="s">
        <v>724</v>
      </c>
      <c r="M11" s="429">
        <v>1.39011</v>
      </c>
      <c r="N11" s="427" t="s">
        <v>941</v>
      </c>
      <c r="O11" s="429">
        <v>1.25759</v>
      </c>
      <c r="P11" s="619">
        <v>43098</v>
      </c>
    </row>
    <row r="12" spans="1:16" x14ac:dyDescent="0.25">
      <c r="A12" s="282" t="s">
        <v>489</v>
      </c>
      <c r="B12" s="196"/>
      <c r="C12" s="220"/>
      <c r="D12" s="221"/>
      <c r="E12" s="221"/>
      <c r="F12" s="221"/>
      <c r="G12" s="222"/>
      <c r="H12" s="170" t="s">
        <v>491</v>
      </c>
      <c r="I12" s="425">
        <v>518.46834000000001</v>
      </c>
      <c r="J12" s="284"/>
      <c r="K12" s="287"/>
      <c r="L12" s="170" t="s">
        <v>732</v>
      </c>
      <c r="M12" s="428">
        <v>711.02919999999995</v>
      </c>
      <c r="N12" s="284" t="s">
        <v>732</v>
      </c>
      <c r="O12" s="428"/>
    </row>
    <row r="13" spans="1:16" x14ac:dyDescent="0.25">
      <c r="A13" s="545" t="s">
        <v>8</v>
      </c>
      <c r="B13" s="196"/>
      <c r="C13" s="195"/>
      <c r="D13" s="170"/>
      <c r="E13" s="170"/>
      <c r="F13" s="170" t="s">
        <v>346</v>
      </c>
      <c r="G13" s="201">
        <v>6.86</v>
      </c>
      <c r="H13" s="170" t="s">
        <v>469</v>
      </c>
      <c r="I13" s="425">
        <v>6.2992499999999998</v>
      </c>
      <c r="J13" s="427" t="s">
        <v>595</v>
      </c>
      <c r="K13" s="429">
        <v>6.0540000000000003</v>
      </c>
      <c r="L13" s="427" t="s">
        <v>688</v>
      </c>
      <c r="M13" s="429">
        <v>6.5138100000000003</v>
      </c>
      <c r="N13" s="427" t="s">
        <v>899</v>
      </c>
      <c r="O13" s="429">
        <v>6.50176</v>
      </c>
      <c r="P13" s="619">
        <v>43098</v>
      </c>
    </row>
    <row r="14" spans="1:16" x14ac:dyDescent="0.25">
      <c r="A14" s="545" t="s">
        <v>585</v>
      </c>
      <c r="B14" s="196" t="s">
        <v>347</v>
      </c>
      <c r="C14" s="195" t="s">
        <v>348</v>
      </c>
      <c r="D14" s="170" t="s">
        <v>349</v>
      </c>
      <c r="E14" s="170">
        <v>7.8009000000000004</v>
      </c>
      <c r="F14" s="170" t="s">
        <v>350</v>
      </c>
      <c r="G14" s="201">
        <v>7.75</v>
      </c>
      <c r="H14" s="170" t="s">
        <v>464</v>
      </c>
      <c r="I14" s="425">
        <v>7.7666899999999996</v>
      </c>
      <c r="J14" s="427" t="s">
        <v>627</v>
      </c>
      <c r="K14" s="428">
        <v>7.7539499999999997</v>
      </c>
      <c r="L14" s="427" t="s">
        <v>701</v>
      </c>
      <c r="M14" s="428">
        <v>7.77562</v>
      </c>
      <c r="N14" s="427" t="s">
        <v>922</v>
      </c>
      <c r="O14" s="428">
        <v>7.8123899999999997</v>
      </c>
      <c r="P14" s="619">
        <v>43098</v>
      </c>
    </row>
    <row r="15" spans="1:16" x14ac:dyDescent="0.25">
      <c r="A15" s="545" t="s">
        <v>9</v>
      </c>
      <c r="B15" s="196" t="s">
        <v>351</v>
      </c>
      <c r="C15" s="195" t="s">
        <v>352</v>
      </c>
      <c r="D15" s="170" t="s">
        <v>353</v>
      </c>
      <c r="E15" s="170">
        <v>32.15</v>
      </c>
      <c r="F15" s="170" t="s">
        <v>354</v>
      </c>
      <c r="G15" s="201">
        <v>32.15</v>
      </c>
      <c r="H15" s="170" t="s">
        <v>473</v>
      </c>
      <c r="I15" s="425">
        <v>30.23358</v>
      </c>
      <c r="J15" s="427" t="s">
        <v>615</v>
      </c>
      <c r="K15" s="428">
        <v>29.87304</v>
      </c>
      <c r="L15" s="427" t="s">
        <v>703</v>
      </c>
      <c r="M15" s="428">
        <v>33.06664</v>
      </c>
      <c r="N15" s="427" t="s">
        <v>859</v>
      </c>
      <c r="O15" s="428">
        <v>29.661809999999999</v>
      </c>
      <c r="P15" s="619">
        <v>43098</v>
      </c>
    </row>
    <row r="16" spans="1:16" x14ac:dyDescent="0.25">
      <c r="A16" s="545" t="s">
        <v>10</v>
      </c>
      <c r="B16" s="196" t="s">
        <v>355</v>
      </c>
      <c r="C16" s="195" t="s">
        <v>345</v>
      </c>
      <c r="D16" s="170" t="s">
        <v>356</v>
      </c>
      <c r="E16" s="170">
        <v>0.42509999999999998</v>
      </c>
      <c r="F16" s="170" t="s">
        <v>336</v>
      </c>
      <c r="G16" s="201" t="s">
        <v>337</v>
      </c>
      <c r="H16" s="170" t="s">
        <v>440</v>
      </c>
      <c r="I16" s="424">
        <v>0.77166999999999997</v>
      </c>
      <c r="J16" s="427" t="s">
        <v>591</v>
      </c>
      <c r="K16" s="429">
        <v>0.72762000000000004</v>
      </c>
      <c r="L16" s="427" t="s">
        <v>689</v>
      </c>
      <c r="M16" s="429">
        <v>0.92093999999999998</v>
      </c>
      <c r="N16" s="427" t="s">
        <v>880</v>
      </c>
      <c r="O16" s="429">
        <v>0.83301000000000003</v>
      </c>
      <c r="P16" s="619">
        <v>43098</v>
      </c>
    </row>
    <row r="17" spans="1:16" x14ac:dyDescent="0.25">
      <c r="A17" s="649" t="s">
        <v>910</v>
      </c>
      <c r="B17" s="196"/>
      <c r="C17" s="432"/>
      <c r="D17" s="433"/>
      <c r="E17" s="433"/>
      <c r="F17" s="433"/>
      <c r="G17" s="222"/>
      <c r="H17" s="433"/>
      <c r="I17" s="424"/>
      <c r="J17" s="434"/>
      <c r="K17" s="429"/>
      <c r="L17" s="434"/>
      <c r="M17" s="429"/>
      <c r="N17" s="427" t="s">
        <v>916</v>
      </c>
      <c r="O17" s="429">
        <v>21.275480000000002</v>
      </c>
      <c r="P17" s="619">
        <v>43098</v>
      </c>
    </row>
    <row r="18" spans="1:16" x14ac:dyDescent="0.25">
      <c r="A18" s="545" t="s">
        <v>11</v>
      </c>
      <c r="B18" s="196" t="s">
        <v>357</v>
      </c>
      <c r="C18" s="195" t="s">
        <v>358</v>
      </c>
      <c r="D18" s="170" t="s">
        <v>359</v>
      </c>
      <c r="E18" s="170">
        <v>5.4363999999999999</v>
      </c>
      <c r="F18" s="170" t="s">
        <v>360</v>
      </c>
      <c r="G18" s="201">
        <v>5.19</v>
      </c>
      <c r="H18" s="170" t="s">
        <v>449</v>
      </c>
      <c r="I18" s="424">
        <v>5.7314999999999996</v>
      </c>
      <c r="J18" s="427" t="s">
        <v>600</v>
      </c>
      <c r="K18" s="429">
        <v>5.4281699999999997</v>
      </c>
      <c r="L18" s="427" t="s">
        <v>720</v>
      </c>
      <c r="M18" s="429">
        <v>6.8727499999999999</v>
      </c>
      <c r="N18" s="427" t="s">
        <v>893</v>
      </c>
      <c r="O18" s="429">
        <v>6.2037399999999998</v>
      </c>
      <c r="P18" s="619">
        <v>43098</v>
      </c>
    </row>
    <row r="19" spans="1:16" x14ac:dyDescent="0.25">
      <c r="A19" s="545" t="s">
        <v>12</v>
      </c>
      <c r="B19" s="196" t="s">
        <v>333</v>
      </c>
      <c r="C19" s="195" t="str">
        <f>C7</f>
        <v>1 US $ = 0,8445 EUR</v>
      </c>
      <c r="D19" s="170" t="s">
        <v>335</v>
      </c>
      <c r="E19" s="170">
        <v>0.72970000000000002</v>
      </c>
      <c r="F19" s="170" t="s">
        <v>336</v>
      </c>
      <c r="G19" s="201" t="s">
        <v>337</v>
      </c>
      <c r="H19" s="170" t="s">
        <v>440</v>
      </c>
      <c r="I19" s="424">
        <v>0.77166999999999997</v>
      </c>
      <c r="J19" s="427" t="s">
        <v>591</v>
      </c>
      <c r="K19" s="429">
        <v>0.72762000000000004</v>
      </c>
      <c r="L19" s="427" t="s">
        <v>689</v>
      </c>
      <c r="M19" s="429">
        <v>0.92093999999999998</v>
      </c>
      <c r="N19" s="427" t="s">
        <v>880</v>
      </c>
      <c r="O19" s="429">
        <v>0.83301000000000003</v>
      </c>
      <c r="P19" s="619">
        <v>43098</v>
      </c>
    </row>
    <row r="20" spans="1:16" x14ac:dyDescent="0.25">
      <c r="A20" s="545" t="s">
        <v>13</v>
      </c>
      <c r="B20" s="196" t="s">
        <v>333</v>
      </c>
      <c r="C20" s="195" t="str">
        <f>C7</f>
        <v>1 US $ = 0,8445 EUR</v>
      </c>
      <c r="D20" s="170" t="s">
        <v>335</v>
      </c>
      <c r="E20" s="170">
        <v>0.72970000000000002</v>
      </c>
      <c r="F20" s="170" t="s">
        <v>336</v>
      </c>
      <c r="G20" s="201" t="s">
        <v>337</v>
      </c>
      <c r="H20" s="170" t="s">
        <v>440</v>
      </c>
      <c r="I20" s="424">
        <v>0.77166999999999997</v>
      </c>
      <c r="J20" s="427" t="s">
        <v>591</v>
      </c>
      <c r="K20" s="429">
        <v>0.72762000000000004</v>
      </c>
      <c r="L20" s="427" t="s">
        <v>689</v>
      </c>
      <c r="M20" s="429">
        <v>0.92093999999999998</v>
      </c>
      <c r="N20" s="427" t="s">
        <v>880</v>
      </c>
      <c r="O20" s="429">
        <v>0.83301000000000003</v>
      </c>
      <c r="P20" s="619">
        <v>43098</v>
      </c>
    </row>
    <row r="21" spans="1:16" x14ac:dyDescent="0.25">
      <c r="A21" s="281" t="s">
        <v>521</v>
      </c>
      <c r="B21" s="196"/>
      <c r="C21" s="195"/>
      <c r="D21" s="170"/>
      <c r="E21" s="170"/>
      <c r="F21" s="170"/>
      <c r="G21" s="201"/>
      <c r="H21" s="170" t="s">
        <v>503</v>
      </c>
      <c r="I21" s="424">
        <v>506.17869999999999</v>
      </c>
      <c r="J21" s="284"/>
      <c r="K21" s="286"/>
      <c r="L21" s="284"/>
      <c r="M21" s="286"/>
      <c r="N21" s="284"/>
      <c r="O21" s="286"/>
    </row>
    <row r="22" spans="1:16" x14ac:dyDescent="0.25">
      <c r="A22" s="545" t="s">
        <v>14</v>
      </c>
      <c r="B22" s="196" t="s">
        <v>333</v>
      </c>
      <c r="C22" s="195" t="str">
        <f>C20</f>
        <v>1 US $ = 0,8445 EUR</v>
      </c>
      <c r="D22" s="170" t="s">
        <v>335</v>
      </c>
      <c r="E22" s="170">
        <v>0.72970000000000002</v>
      </c>
      <c r="F22" s="170" t="s">
        <v>336</v>
      </c>
      <c r="G22" s="201" t="s">
        <v>337</v>
      </c>
      <c r="H22" s="170" t="s">
        <v>440</v>
      </c>
      <c r="I22" s="424">
        <v>0.77166999999999997</v>
      </c>
      <c r="J22" s="427" t="s">
        <v>591</v>
      </c>
      <c r="K22" s="429">
        <v>0.72762000000000004</v>
      </c>
      <c r="L22" s="427" t="s">
        <v>689</v>
      </c>
      <c r="M22" s="429">
        <v>0.92093999999999998</v>
      </c>
      <c r="N22" s="427" t="s">
        <v>880</v>
      </c>
      <c r="O22" s="429">
        <v>0.83301000000000003</v>
      </c>
      <c r="P22" s="619">
        <v>43098</v>
      </c>
    </row>
    <row r="23" spans="1:16" x14ac:dyDescent="0.25">
      <c r="A23" s="281" t="s">
        <v>35</v>
      </c>
      <c r="B23" s="196" t="s">
        <v>333</v>
      </c>
      <c r="C23" s="195" t="str">
        <f>C6</f>
        <v>1 US $ = 0,8445 EUR</v>
      </c>
      <c r="D23" s="170" t="s">
        <v>335</v>
      </c>
      <c r="E23" s="170">
        <v>0.72970000000000002</v>
      </c>
      <c r="F23" s="170" t="s">
        <v>336</v>
      </c>
      <c r="G23" s="201" t="s">
        <v>337</v>
      </c>
      <c r="H23" s="170" t="s">
        <v>336</v>
      </c>
      <c r="I23" s="425"/>
      <c r="J23" s="284"/>
      <c r="K23" s="287"/>
      <c r="L23" s="427" t="s">
        <v>689</v>
      </c>
      <c r="M23" s="429">
        <v>0.92093999999999998</v>
      </c>
      <c r="N23" s="284" t="s">
        <v>689</v>
      </c>
      <c r="O23" s="429"/>
    </row>
    <row r="24" spans="1:16" x14ac:dyDescent="0.25">
      <c r="A24" s="545" t="s">
        <v>45</v>
      </c>
      <c r="B24" s="196" t="s">
        <v>361</v>
      </c>
      <c r="C24" s="195" t="s">
        <v>362</v>
      </c>
      <c r="D24" s="170" t="s">
        <v>363</v>
      </c>
      <c r="E24" s="170">
        <v>183.40020000000001</v>
      </c>
      <c r="F24" s="170" t="s">
        <v>364</v>
      </c>
      <c r="G24" s="201">
        <v>188.9</v>
      </c>
      <c r="H24" s="170" t="s">
        <v>441</v>
      </c>
      <c r="I24" s="424">
        <v>243.01337000000001</v>
      </c>
      <c r="J24" s="427" t="s">
        <v>614</v>
      </c>
      <c r="K24" s="429">
        <v>216.37864999999999</v>
      </c>
      <c r="L24" s="427" t="s">
        <v>684</v>
      </c>
      <c r="M24" s="429">
        <v>290.45296999999999</v>
      </c>
      <c r="N24" s="427" t="s">
        <v>856</v>
      </c>
      <c r="O24" s="429">
        <v>258.86743000000001</v>
      </c>
      <c r="P24" s="619">
        <v>43098</v>
      </c>
    </row>
    <row r="25" spans="1:16" x14ac:dyDescent="0.25">
      <c r="A25" s="282" t="s">
        <v>754</v>
      </c>
      <c r="B25" s="196"/>
      <c r="C25" s="432"/>
      <c r="D25" s="433"/>
      <c r="E25" s="433"/>
      <c r="F25" s="433"/>
      <c r="G25" s="222"/>
      <c r="H25" s="433"/>
      <c r="I25" s="424"/>
      <c r="J25" s="434"/>
      <c r="K25" s="429"/>
      <c r="L25" s="427" t="s">
        <v>756</v>
      </c>
      <c r="M25" s="429">
        <v>130.32431</v>
      </c>
      <c r="N25" s="284" t="s">
        <v>756</v>
      </c>
      <c r="O25" s="429"/>
    </row>
    <row r="26" spans="1:16" x14ac:dyDescent="0.25">
      <c r="A26" s="649" t="s">
        <v>639</v>
      </c>
      <c r="B26" s="196"/>
      <c r="C26" s="432"/>
      <c r="D26" s="433"/>
      <c r="E26" s="433"/>
      <c r="F26" s="433"/>
      <c r="G26" s="222"/>
      <c r="H26" s="433"/>
      <c r="I26" s="424"/>
      <c r="J26" s="427" t="s">
        <v>640</v>
      </c>
      <c r="K26" s="429">
        <v>12160.5</v>
      </c>
      <c r="L26" s="427" t="s">
        <v>778</v>
      </c>
      <c r="M26" s="429">
        <v>13830.42699</v>
      </c>
      <c r="N26" s="427" t="s">
        <v>920</v>
      </c>
      <c r="O26" s="429">
        <v>13481.640369999999</v>
      </c>
      <c r="P26" s="619">
        <v>43098</v>
      </c>
    </row>
    <row r="27" spans="1:16" x14ac:dyDescent="0.25">
      <c r="A27" s="281" t="s">
        <v>365</v>
      </c>
      <c r="B27" s="196" t="s">
        <v>366</v>
      </c>
      <c r="C27" s="195" t="s">
        <v>367</v>
      </c>
      <c r="D27" s="170"/>
      <c r="E27" s="170"/>
      <c r="F27" s="170"/>
      <c r="G27" s="201"/>
      <c r="H27" s="170"/>
      <c r="I27" s="425"/>
      <c r="J27" s="284"/>
      <c r="K27" s="287"/>
      <c r="L27" s="284"/>
      <c r="M27" s="287"/>
      <c r="N27" s="284"/>
      <c r="O27" s="287"/>
    </row>
    <row r="28" spans="1:16" x14ac:dyDescent="0.25">
      <c r="A28" s="282" t="s">
        <v>466</v>
      </c>
      <c r="B28" s="196"/>
      <c r="C28" s="220"/>
      <c r="D28" s="221"/>
      <c r="E28" s="221"/>
      <c r="F28" s="221"/>
      <c r="G28" s="222"/>
      <c r="H28" s="170" t="s">
        <v>467</v>
      </c>
      <c r="I28" s="425">
        <v>11153.533009999999</v>
      </c>
      <c r="J28" s="427" t="s">
        <v>611</v>
      </c>
      <c r="K28" s="428">
        <v>11241.536700000001</v>
      </c>
      <c r="L28" s="427"/>
      <c r="M28" s="428"/>
      <c r="N28" s="284"/>
      <c r="O28" s="428"/>
    </row>
    <row r="29" spans="1:16" x14ac:dyDescent="0.25">
      <c r="A29" s="281" t="s">
        <v>16</v>
      </c>
      <c r="B29" s="196"/>
      <c r="C29" s="195"/>
      <c r="D29" s="170" t="s">
        <v>368</v>
      </c>
      <c r="E29" s="170">
        <v>3.5169999999999999</v>
      </c>
      <c r="F29" s="170" t="s">
        <v>369</v>
      </c>
      <c r="G29" s="201">
        <v>3.79</v>
      </c>
      <c r="H29" s="170" t="s">
        <v>472</v>
      </c>
      <c r="I29" s="425">
        <v>3.81854</v>
      </c>
      <c r="J29" s="427" t="s">
        <v>589</v>
      </c>
      <c r="K29" s="429">
        <v>3.4691000000000001</v>
      </c>
      <c r="L29" s="427"/>
      <c r="M29" s="429"/>
      <c r="N29" s="284"/>
      <c r="O29" s="429"/>
    </row>
    <row r="30" spans="1:16" x14ac:dyDescent="0.25">
      <c r="A30" s="545" t="s">
        <v>17</v>
      </c>
      <c r="B30" s="196" t="s">
        <v>333</v>
      </c>
      <c r="C30" s="195" t="str">
        <f>C6</f>
        <v>1 US $ = 0,8445 EUR</v>
      </c>
      <c r="D30" s="170" t="s">
        <v>335</v>
      </c>
      <c r="E30" s="170">
        <v>0.72970000000000002</v>
      </c>
      <c r="F30" s="170" t="s">
        <v>336</v>
      </c>
      <c r="G30" s="201" t="s">
        <v>337</v>
      </c>
      <c r="H30" s="170" t="s">
        <v>440</v>
      </c>
      <c r="I30" s="424">
        <v>0.77166999999999997</v>
      </c>
      <c r="J30" s="427" t="s">
        <v>591</v>
      </c>
      <c r="K30" s="429">
        <v>0.72762000000000004</v>
      </c>
      <c r="L30" s="427"/>
      <c r="M30" s="429"/>
      <c r="N30" s="427" t="s">
        <v>880</v>
      </c>
      <c r="O30" s="429">
        <v>0.83301000000000003</v>
      </c>
      <c r="P30" s="619">
        <v>43098</v>
      </c>
    </row>
    <row r="31" spans="1:16" x14ac:dyDescent="0.25">
      <c r="A31" s="545" t="s">
        <v>18</v>
      </c>
      <c r="B31" s="196" t="s">
        <v>370</v>
      </c>
      <c r="C31" s="195" t="s">
        <v>371</v>
      </c>
      <c r="D31" s="170" t="s">
        <v>372</v>
      </c>
      <c r="E31" s="170">
        <v>117.65779999999999</v>
      </c>
      <c r="F31" s="170" t="s">
        <v>373</v>
      </c>
      <c r="G31" s="201" t="s">
        <v>374</v>
      </c>
      <c r="H31" s="170" t="s">
        <v>442</v>
      </c>
      <c r="I31" s="424">
        <v>77.069990000000004</v>
      </c>
      <c r="J31" s="427" t="s">
        <v>628</v>
      </c>
      <c r="K31" s="429">
        <v>105.33343000000001</v>
      </c>
      <c r="L31" s="427" t="s">
        <v>725</v>
      </c>
      <c r="M31" s="429">
        <v>120.30594000000001</v>
      </c>
      <c r="N31" s="427" t="s">
        <v>858</v>
      </c>
      <c r="O31" s="429">
        <v>112.66098</v>
      </c>
      <c r="P31" s="619">
        <v>43098</v>
      </c>
    </row>
    <row r="32" spans="1:16" x14ac:dyDescent="0.25">
      <c r="A32" s="282" t="s">
        <v>742</v>
      </c>
      <c r="B32" s="196"/>
      <c r="C32" s="432"/>
      <c r="D32" s="433"/>
      <c r="E32" s="433"/>
      <c r="F32" s="433"/>
      <c r="G32" s="222"/>
      <c r="H32" s="433"/>
      <c r="I32" s="424"/>
      <c r="J32" s="434"/>
      <c r="K32" s="429"/>
      <c r="L32" s="427" t="s">
        <v>744</v>
      </c>
      <c r="M32" s="429">
        <v>102.86302000000001</v>
      </c>
      <c r="N32" s="284" t="s">
        <v>744</v>
      </c>
      <c r="O32" s="429"/>
    </row>
    <row r="33" spans="1:16" x14ac:dyDescent="0.25">
      <c r="A33" s="281" t="s">
        <v>375</v>
      </c>
      <c r="B33" s="196" t="s">
        <v>376</v>
      </c>
      <c r="C33" s="195" t="s">
        <v>377</v>
      </c>
      <c r="D33" s="170"/>
      <c r="E33" s="170"/>
      <c r="F33" s="170" t="s">
        <v>378</v>
      </c>
      <c r="G33" s="201">
        <v>1171.58</v>
      </c>
      <c r="H33" s="170" t="s">
        <v>378</v>
      </c>
      <c r="I33" s="425"/>
      <c r="J33" s="284"/>
      <c r="K33" s="287"/>
      <c r="L33" s="284"/>
      <c r="M33" s="287"/>
      <c r="N33" s="284"/>
      <c r="O33" s="287"/>
    </row>
    <row r="34" spans="1:16" x14ac:dyDescent="0.25">
      <c r="A34" s="282" t="s">
        <v>616</v>
      </c>
      <c r="B34" s="196"/>
      <c r="C34" s="432"/>
      <c r="D34" s="433"/>
      <c r="E34" s="433"/>
      <c r="F34" s="433"/>
      <c r="G34" s="222"/>
      <c r="H34" s="433"/>
      <c r="I34" s="425"/>
      <c r="J34" s="434" t="s">
        <v>617</v>
      </c>
      <c r="K34" s="428">
        <v>1507.2579599999999</v>
      </c>
      <c r="L34" s="434"/>
      <c r="M34" s="428"/>
      <c r="N34" s="478"/>
      <c r="O34" s="428"/>
    </row>
    <row r="35" spans="1:16" x14ac:dyDescent="0.25">
      <c r="A35" s="281" t="s">
        <v>19</v>
      </c>
      <c r="B35" s="216" t="s">
        <v>379</v>
      </c>
      <c r="C35" s="217" t="s">
        <v>380</v>
      </c>
      <c r="D35" s="210" t="s">
        <v>381</v>
      </c>
      <c r="E35" s="210">
        <v>2.5194000000000001</v>
      </c>
      <c r="F35" s="170" t="s">
        <v>382</v>
      </c>
      <c r="G35" s="201">
        <v>2.4</v>
      </c>
      <c r="H35" s="170" t="s">
        <v>447</v>
      </c>
      <c r="I35" s="425">
        <v>2.6644800000000002</v>
      </c>
      <c r="J35" s="284"/>
      <c r="K35" s="287"/>
      <c r="L35" s="284"/>
      <c r="M35" s="287"/>
      <c r="N35" s="284"/>
      <c r="O35" s="287"/>
    </row>
    <row r="36" spans="1:16" x14ac:dyDescent="0.25">
      <c r="A36" s="281" t="s">
        <v>50</v>
      </c>
      <c r="B36" s="196" t="s">
        <v>333</v>
      </c>
      <c r="C36" s="195" t="str">
        <f>C30</f>
        <v>1 US $ = 0,8445 EUR</v>
      </c>
      <c r="D36" s="170" t="s">
        <v>335</v>
      </c>
      <c r="E36" s="170">
        <v>0.72970000000000002</v>
      </c>
      <c r="F36" s="170" t="s">
        <v>336</v>
      </c>
      <c r="G36" s="201" t="s">
        <v>337</v>
      </c>
      <c r="H36" s="170" t="s">
        <v>336</v>
      </c>
      <c r="I36" s="425"/>
      <c r="J36" s="284"/>
      <c r="K36" s="287"/>
      <c r="L36" s="284"/>
      <c r="M36" s="287"/>
      <c r="N36" s="284"/>
      <c r="O36" s="287"/>
    </row>
    <row r="37" spans="1:16" x14ac:dyDescent="0.25">
      <c r="A37" s="545" t="s">
        <v>586</v>
      </c>
      <c r="B37" s="196" t="s">
        <v>383</v>
      </c>
      <c r="C37" s="195" t="s">
        <v>384</v>
      </c>
      <c r="D37" s="170"/>
      <c r="E37" s="170"/>
      <c r="F37" s="170"/>
      <c r="G37" s="201"/>
      <c r="H37" s="170" t="s">
        <v>543</v>
      </c>
      <c r="I37" s="425">
        <v>7.9898899999999999</v>
      </c>
      <c r="J37" s="427" t="s">
        <v>612</v>
      </c>
      <c r="K37" s="428">
        <v>7.9997800000000003</v>
      </c>
      <c r="L37" s="427" t="s">
        <v>697</v>
      </c>
      <c r="M37" s="428">
        <v>8.0490899999999996</v>
      </c>
      <c r="N37" s="427" t="s">
        <v>919</v>
      </c>
      <c r="O37" s="428">
        <v>8.0445100000000007</v>
      </c>
      <c r="P37" s="619">
        <v>43098</v>
      </c>
    </row>
    <row r="38" spans="1:16" x14ac:dyDescent="0.25">
      <c r="A38" s="281" t="s">
        <v>36</v>
      </c>
      <c r="B38" s="196"/>
      <c r="C38" s="195"/>
      <c r="D38" s="170" t="s">
        <v>385</v>
      </c>
      <c r="E38" s="170">
        <v>162.1241</v>
      </c>
      <c r="F38" s="170"/>
      <c r="G38" s="201"/>
      <c r="H38" s="170" t="s">
        <v>474</v>
      </c>
      <c r="I38" s="425">
        <v>163.83132000000001</v>
      </c>
      <c r="J38" s="284"/>
      <c r="K38" s="287"/>
      <c r="L38" s="284"/>
      <c r="M38" s="287"/>
      <c r="N38" s="284"/>
      <c r="O38" s="287"/>
    </row>
    <row r="39" spans="1:16" x14ac:dyDescent="0.25">
      <c r="A39" s="649" t="s">
        <v>774</v>
      </c>
      <c r="B39" s="196"/>
      <c r="C39" s="432"/>
      <c r="D39" s="433"/>
      <c r="E39" s="433"/>
      <c r="F39" s="433"/>
      <c r="G39" s="222"/>
      <c r="H39" s="433"/>
      <c r="I39" s="425"/>
      <c r="J39" s="478"/>
      <c r="K39" s="287"/>
      <c r="L39" s="427" t="s">
        <v>689</v>
      </c>
      <c r="M39" s="429">
        <v>0.92093999999999998</v>
      </c>
      <c r="N39" s="427" t="s">
        <v>880</v>
      </c>
      <c r="O39" s="429">
        <v>0.83301000000000003</v>
      </c>
      <c r="P39" s="619">
        <v>43098</v>
      </c>
    </row>
    <row r="40" spans="1:16" x14ac:dyDescent="0.25">
      <c r="A40" s="281" t="s">
        <v>37</v>
      </c>
      <c r="B40" s="196" t="s">
        <v>386</v>
      </c>
      <c r="C40" s="195" t="s">
        <v>387</v>
      </c>
      <c r="D40" s="170" t="s">
        <v>388</v>
      </c>
      <c r="E40" s="197">
        <v>29.602</v>
      </c>
      <c r="F40" s="197"/>
      <c r="G40" s="203"/>
      <c r="H40" s="170" t="s">
        <v>556</v>
      </c>
      <c r="I40" s="425">
        <v>29.431280000000001</v>
      </c>
      <c r="J40" s="427" t="s">
        <v>592</v>
      </c>
      <c r="K40" s="428">
        <v>30.28341</v>
      </c>
      <c r="L40" s="427" t="s">
        <v>692</v>
      </c>
      <c r="M40" s="428">
        <v>35.849890000000002</v>
      </c>
      <c r="N40" s="284" t="s">
        <v>692</v>
      </c>
      <c r="O40" s="428"/>
    </row>
    <row r="41" spans="1:16" x14ac:dyDescent="0.25">
      <c r="A41" s="281" t="s">
        <v>38</v>
      </c>
      <c r="B41" s="196" t="s">
        <v>389</v>
      </c>
      <c r="C41" s="195" t="s">
        <v>390</v>
      </c>
      <c r="D41" s="170"/>
      <c r="E41" s="170"/>
      <c r="F41" s="170"/>
      <c r="G41" s="201"/>
      <c r="H41" s="170"/>
      <c r="I41" s="425"/>
      <c r="J41" s="427" t="s">
        <v>625</v>
      </c>
      <c r="K41" s="428">
        <v>13.03816</v>
      </c>
      <c r="L41" s="427" t="s">
        <v>733</v>
      </c>
      <c r="M41" s="428">
        <v>17.273230000000002</v>
      </c>
      <c r="N41" s="427" t="s">
        <v>890</v>
      </c>
      <c r="O41" s="428">
        <v>19.670400000000001</v>
      </c>
      <c r="P41" s="619">
        <v>43098</v>
      </c>
    </row>
    <row r="42" spans="1:16" x14ac:dyDescent="0.25">
      <c r="A42" s="281" t="s">
        <v>39</v>
      </c>
      <c r="B42" s="196" t="s">
        <v>391</v>
      </c>
      <c r="C42" s="195" t="s">
        <v>392</v>
      </c>
      <c r="D42" s="170"/>
      <c r="E42" s="170"/>
      <c r="F42" s="170"/>
      <c r="G42" s="201"/>
      <c r="H42" s="170" t="s">
        <v>499</v>
      </c>
      <c r="I42" s="425">
        <v>8.5832200000000007</v>
      </c>
      <c r="J42" s="284"/>
      <c r="K42" s="287"/>
      <c r="L42" s="284"/>
      <c r="M42" s="287"/>
      <c r="N42" s="284"/>
      <c r="O42" s="287"/>
    </row>
    <row r="43" spans="1:16" x14ac:dyDescent="0.25">
      <c r="A43" s="282" t="s">
        <v>734</v>
      </c>
      <c r="B43" s="196"/>
      <c r="C43" s="432"/>
      <c r="D43" s="433"/>
      <c r="E43" s="433"/>
      <c r="F43" s="433"/>
      <c r="G43" s="222"/>
      <c r="H43" s="433"/>
      <c r="I43" s="425"/>
      <c r="J43" s="478"/>
      <c r="K43" s="287"/>
      <c r="L43" s="427" t="s">
        <v>736</v>
      </c>
      <c r="M43" s="428">
        <v>15.682219999999999</v>
      </c>
      <c r="N43" s="284" t="s">
        <v>736</v>
      </c>
      <c r="O43" s="428"/>
    </row>
    <row r="44" spans="1:16" x14ac:dyDescent="0.25">
      <c r="A44" s="545" t="s">
        <v>317</v>
      </c>
      <c r="B44" s="196" t="s">
        <v>333</v>
      </c>
      <c r="C44" s="195" t="str">
        <f>C6</f>
        <v>1 US $ = 0,8445 EUR</v>
      </c>
      <c r="D44" s="170" t="s">
        <v>335</v>
      </c>
      <c r="E44" s="170">
        <v>0.72970000000000002</v>
      </c>
      <c r="F44" s="170" t="s">
        <v>336</v>
      </c>
      <c r="G44" s="201" t="s">
        <v>337</v>
      </c>
      <c r="H44" s="170" t="s">
        <v>440</v>
      </c>
      <c r="I44" s="424">
        <v>0.77166999999999997</v>
      </c>
      <c r="J44" s="427" t="s">
        <v>591</v>
      </c>
      <c r="K44" s="429">
        <v>0.72762000000000004</v>
      </c>
      <c r="L44" s="427" t="s">
        <v>689</v>
      </c>
      <c r="M44" s="429">
        <v>0.92093999999999998</v>
      </c>
      <c r="N44" s="427" t="s">
        <v>880</v>
      </c>
      <c r="O44" s="429">
        <v>0.83301000000000003</v>
      </c>
      <c r="P44" s="619">
        <v>43098</v>
      </c>
    </row>
    <row r="45" spans="1:16" x14ac:dyDescent="0.25">
      <c r="A45" s="282" t="s">
        <v>527</v>
      </c>
      <c r="B45" s="196"/>
      <c r="C45" s="220"/>
      <c r="D45" s="221"/>
      <c r="E45" s="221"/>
      <c r="F45" s="221"/>
      <c r="G45" s="222"/>
      <c r="H45" s="170" t="s">
        <v>533</v>
      </c>
      <c r="I45" s="424">
        <v>1.28559</v>
      </c>
      <c r="J45" s="284"/>
      <c r="K45" s="286"/>
      <c r="L45" s="284"/>
      <c r="M45" s="286"/>
      <c r="N45" s="284"/>
      <c r="O45" s="286"/>
    </row>
    <row r="46" spans="1:16" x14ac:dyDescent="0.25">
      <c r="A46" s="281" t="s">
        <v>46</v>
      </c>
      <c r="B46" s="196"/>
      <c r="C46" s="195"/>
      <c r="D46" s="170"/>
      <c r="E46" s="170"/>
      <c r="F46" s="170"/>
      <c r="G46" s="201"/>
      <c r="H46" s="170" t="s">
        <v>457</v>
      </c>
      <c r="I46" s="425">
        <v>0.64417999999999997</v>
      </c>
      <c r="J46" s="284"/>
      <c r="K46" s="287"/>
      <c r="L46" s="284"/>
      <c r="M46" s="287"/>
      <c r="N46" s="284"/>
      <c r="O46" s="287"/>
    </row>
    <row r="47" spans="1:16" x14ac:dyDescent="0.25">
      <c r="A47" s="545" t="s">
        <v>21</v>
      </c>
      <c r="B47" s="196" t="s">
        <v>393</v>
      </c>
      <c r="C47" s="195" t="s">
        <v>394</v>
      </c>
      <c r="D47" s="170" t="s">
        <v>395</v>
      </c>
      <c r="E47" s="170">
        <v>5.8493000000000004</v>
      </c>
      <c r="F47" s="170" t="s">
        <v>395</v>
      </c>
      <c r="G47" s="201">
        <v>5.78</v>
      </c>
      <c r="H47" s="170" t="s">
        <v>542</v>
      </c>
      <c r="I47" s="425">
        <v>5.9777800000000001</v>
      </c>
      <c r="J47" s="427" t="s">
        <v>618</v>
      </c>
      <c r="K47" s="428">
        <v>6.07003</v>
      </c>
      <c r="L47" s="427" t="s">
        <v>705</v>
      </c>
      <c r="M47" s="428">
        <v>8.8603000000000005</v>
      </c>
      <c r="N47" s="427" t="s">
        <v>898</v>
      </c>
      <c r="O47" s="428">
        <v>8.20533</v>
      </c>
      <c r="P47" s="619">
        <v>43098</v>
      </c>
    </row>
    <row r="48" spans="1:16" x14ac:dyDescent="0.25">
      <c r="A48" s="545" t="s">
        <v>22</v>
      </c>
      <c r="B48" s="196" t="s">
        <v>396</v>
      </c>
      <c r="C48" s="195" t="s">
        <v>397</v>
      </c>
      <c r="D48" s="170"/>
      <c r="E48" s="170"/>
      <c r="F48" s="170" t="s">
        <v>398</v>
      </c>
      <c r="G48" s="201">
        <v>2.86</v>
      </c>
      <c r="H48" s="170" t="s">
        <v>479</v>
      </c>
      <c r="I48" s="425">
        <v>3.4396900000000001</v>
      </c>
      <c r="J48" s="427" t="s">
        <v>593</v>
      </c>
      <c r="K48" s="429">
        <v>3.0219999999999998</v>
      </c>
      <c r="L48" s="427" t="s">
        <v>702</v>
      </c>
      <c r="M48" s="429">
        <v>3.9519899999999999</v>
      </c>
      <c r="N48" s="427" t="s">
        <v>892</v>
      </c>
      <c r="O48" s="429">
        <v>3.4784999999999999</v>
      </c>
      <c r="P48" s="619">
        <v>43098</v>
      </c>
    </row>
    <row r="49" spans="1:16" x14ac:dyDescent="0.25">
      <c r="A49" s="545" t="s">
        <v>23</v>
      </c>
      <c r="B49" s="196" t="s">
        <v>333</v>
      </c>
      <c r="C49" s="195" t="s">
        <v>334</v>
      </c>
      <c r="D49" s="170" t="s">
        <v>335</v>
      </c>
      <c r="E49" s="170">
        <v>0.72970000000000002</v>
      </c>
      <c r="F49" s="170" t="s">
        <v>336</v>
      </c>
      <c r="G49" s="201" t="s">
        <v>337</v>
      </c>
      <c r="H49" s="170" t="s">
        <v>440</v>
      </c>
      <c r="I49" s="424">
        <v>0.77166999999999997</v>
      </c>
      <c r="J49" s="427" t="s">
        <v>591</v>
      </c>
      <c r="K49" s="429">
        <v>0.72762000000000004</v>
      </c>
      <c r="L49" s="427" t="s">
        <v>689</v>
      </c>
      <c r="M49" s="429">
        <v>0.92093999999999998</v>
      </c>
      <c r="N49" s="427" t="s">
        <v>880</v>
      </c>
      <c r="O49" s="429">
        <v>0.83301000000000003</v>
      </c>
      <c r="P49" s="619">
        <v>43098</v>
      </c>
    </row>
    <row r="50" spans="1:16" x14ac:dyDescent="0.25">
      <c r="A50" s="545" t="s">
        <v>40</v>
      </c>
      <c r="B50" s="196" t="s">
        <v>399</v>
      </c>
      <c r="C50" s="195" t="s">
        <v>400</v>
      </c>
      <c r="D50" s="170" t="s">
        <v>401</v>
      </c>
      <c r="E50" s="170">
        <v>2.4336000000000002</v>
      </c>
      <c r="F50" s="170"/>
      <c r="G50" s="201"/>
      <c r="H50" s="170" t="s">
        <v>446</v>
      </c>
      <c r="I50" s="425">
        <v>3.3294199999999998</v>
      </c>
      <c r="J50" s="427" t="s">
        <v>599</v>
      </c>
      <c r="K50" s="428">
        <v>3.2469899999999998</v>
      </c>
      <c r="L50" s="427" t="s">
        <v>773</v>
      </c>
      <c r="M50" s="428">
        <v>4.1749499999999999</v>
      </c>
      <c r="N50" s="427" t="s">
        <v>876</v>
      </c>
      <c r="O50" s="428">
        <v>3.8868399999999999</v>
      </c>
      <c r="P50" s="619">
        <v>43098</v>
      </c>
    </row>
    <row r="51" spans="1:16" x14ac:dyDescent="0.25">
      <c r="A51" s="649" t="s">
        <v>693</v>
      </c>
      <c r="B51" s="196"/>
      <c r="C51" s="432"/>
      <c r="D51" s="433"/>
      <c r="E51" s="433"/>
      <c r="F51" s="433"/>
      <c r="G51" s="222"/>
      <c r="H51" s="433"/>
      <c r="I51" s="425"/>
      <c r="J51" s="434"/>
      <c r="K51" s="428"/>
      <c r="L51" s="427" t="s">
        <v>695</v>
      </c>
      <c r="M51" s="428">
        <v>72.996619999999993</v>
      </c>
      <c r="N51" s="427" t="s">
        <v>888</v>
      </c>
      <c r="O51" s="428">
        <v>57.611829999999998</v>
      </c>
      <c r="P51" s="619">
        <v>43098</v>
      </c>
    </row>
    <row r="52" spans="1:16" x14ac:dyDescent="0.25">
      <c r="A52" s="545" t="s">
        <v>47</v>
      </c>
      <c r="B52" s="196"/>
      <c r="C52" s="195"/>
      <c r="D52" s="170"/>
      <c r="E52" s="170"/>
      <c r="F52" s="170" t="s">
        <v>402</v>
      </c>
      <c r="G52" s="201">
        <v>0.62</v>
      </c>
      <c r="H52" s="170" t="s">
        <v>457</v>
      </c>
      <c r="I52" s="425">
        <v>0.64417999999999997</v>
      </c>
      <c r="J52" s="427" t="s">
        <v>637</v>
      </c>
      <c r="K52" s="428">
        <v>0.60453999999999997</v>
      </c>
      <c r="L52" s="427" t="s">
        <v>699</v>
      </c>
      <c r="M52" s="428">
        <v>0.67854999999999999</v>
      </c>
      <c r="N52" s="427" t="s">
        <v>907</v>
      </c>
      <c r="O52" s="428">
        <v>0.73992000000000002</v>
      </c>
      <c r="P52" s="619">
        <v>43100</v>
      </c>
    </row>
    <row r="53" spans="1:16" x14ac:dyDescent="0.25">
      <c r="A53" s="283" t="s">
        <v>41</v>
      </c>
      <c r="B53" s="196" t="s">
        <v>403</v>
      </c>
      <c r="C53" s="195" t="s">
        <v>404</v>
      </c>
      <c r="D53" s="181" t="s">
        <v>405</v>
      </c>
      <c r="E53" s="170">
        <v>60.211199999999998</v>
      </c>
      <c r="F53" s="170"/>
      <c r="G53" s="201"/>
      <c r="H53" s="170"/>
      <c r="I53" s="425"/>
      <c r="J53" s="284"/>
      <c r="K53" s="287"/>
      <c r="L53" s="284"/>
      <c r="M53" s="287"/>
      <c r="N53" s="284"/>
      <c r="O53" s="287"/>
    </row>
    <row r="54" spans="1:16" x14ac:dyDescent="0.25">
      <c r="A54" s="281" t="s">
        <v>42</v>
      </c>
      <c r="B54" s="196" t="s">
        <v>406</v>
      </c>
      <c r="C54" s="195" t="s">
        <v>407</v>
      </c>
      <c r="D54" s="170" t="s">
        <v>408</v>
      </c>
      <c r="E54" s="170">
        <v>1.3616999999999999</v>
      </c>
      <c r="F54" s="170"/>
      <c r="G54" s="201"/>
      <c r="H54" s="170" t="s">
        <v>507</v>
      </c>
      <c r="I54" s="425">
        <v>1.2966299999999999</v>
      </c>
      <c r="J54" s="284"/>
      <c r="K54" s="287"/>
      <c r="L54" s="284"/>
      <c r="M54" s="287"/>
      <c r="N54" s="284"/>
      <c r="O54" s="287"/>
    </row>
    <row r="55" spans="1:16" x14ac:dyDescent="0.25">
      <c r="A55" s="281" t="s">
        <v>24</v>
      </c>
      <c r="B55" s="196" t="s">
        <v>409</v>
      </c>
      <c r="C55" s="195" t="s">
        <v>410</v>
      </c>
      <c r="D55" s="170"/>
      <c r="E55" s="170"/>
      <c r="F55" s="170" t="s">
        <v>336</v>
      </c>
      <c r="G55" s="201">
        <v>0.7</v>
      </c>
      <c r="H55" s="170" t="s">
        <v>440</v>
      </c>
      <c r="I55" s="424">
        <v>0.77166999999999997</v>
      </c>
      <c r="J55" s="284"/>
      <c r="K55" s="286"/>
      <c r="L55" s="284"/>
      <c r="M55" s="286"/>
      <c r="N55" s="284"/>
      <c r="O55" s="286"/>
    </row>
    <row r="56" spans="1:16" x14ac:dyDescent="0.25">
      <c r="A56" s="281" t="s">
        <v>43</v>
      </c>
      <c r="B56" s="196" t="s">
        <v>411</v>
      </c>
      <c r="C56" s="195" t="s">
        <v>412</v>
      </c>
      <c r="D56" s="181" t="s">
        <v>413</v>
      </c>
      <c r="E56" s="170">
        <v>7.0481999999999996</v>
      </c>
      <c r="F56" s="170"/>
      <c r="G56" s="201"/>
      <c r="H56" s="170"/>
      <c r="I56" s="425"/>
      <c r="J56" s="427" t="s">
        <v>645</v>
      </c>
      <c r="K56" s="428">
        <v>10.498559999999999</v>
      </c>
      <c r="L56" s="427"/>
      <c r="M56" s="428"/>
      <c r="N56" s="284"/>
      <c r="O56" s="428"/>
    </row>
    <row r="57" spans="1:16" x14ac:dyDescent="0.25">
      <c r="A57" s="545" t="s">
        <v>25</v>
      </c>
      <c r="B57" s="196"/>
      <c r="C57" s="195"/>
      <c r="D57" s="181"/>
      <c r="E57" s="170"/>
      <c r="F57" s="170"/>
      <c r="G57" s="201"/>
      <c r="H57" s="170" t="s">
        <v>508</v>
      </c>
      <c r="I57" s="425">
        <v>1160.5988400000001</v>
      </c>
      <c r="J57" s="427" t="s">
        <v>602</v>
      </c>
      <c r="K57" s="428">
        <v>1055.8009400000001</v>
      </c>
      <c r="L57" s="427" t="s">
        <v>710</v>
      </c>
      <c r="M57" s="428">
        <v>1180.2052799999999</v>
      </c>
      <c r="N57" s="427" t="s">
        <v>904</v>
      </c>
      <c r="O57" s="687">
        <v>1066.97433</v>
      </c>
      <c r="P57" s="619">
        <v>43098</v>
      </c>
    </row>
    <row r="58" spans="1:16" x14ac:dyDescent="0.25">
      <c r="A58" s="545" t="s">
        <v>26</v>
      </c>
      <c r="B58" s="196" t="s">
        <v>333</v>
      </c>
      <c r="C58" s="195" t="str">
        <f>C6</f>
        <v>1 US $ = 0,8445 EUR</v>
      </c>
      <c r="D58" s="170" t="s">
        <v>335</v>
      </c>
      <c r="E58" s="170">
        <v>0.72970000000000002</v>
      </c>
      <c r="F58" s="170" t="s">
        <v>336</v>
      </c>
      <c r="G58" s="201" t="s">
        <v>337</v>
      </c>
      <c r="H58" s="170" t="s">
        <v>440</v>
      </c>
      <c r="I58" s="424">
        <v>0.77166999999999997</v>
      </c>
      <c r="J58" s="427" t="s">
        <v>591</v>
      </c>
      <c r="K58" s="429">
        <v>0.72762000000000004</v>
      </c>
      <c r="L58" s="427" t="s">
        <v>689</v>
      </c>
      <c r="M58" s="429">
        <v>0.92093999999999998</v>
      </c>
      <c r="N58" s="427" t="s">
        <v>880</v>
      </c>
      <c r="O58" s="429">
        <v>0.83301000000000003</v>
      </c>
      <c r="P58" s="619">
        <v>43098</v>
      </c>
    </row>
    <row r="59" spans="1:16" x14ac:dyDescent="0.25">
      <c r="A59" s="545" t="s">
        <v>48</v>
      </c>
      <c r="B59" s="196" t="s">
        <v>414</v>
      </c>
      <c r="C59" s="195" t="s">
        <v>415</v>
      </c>
      <c r="D59" s="170" t="s">
        <v>416</v>
      </c>
      <c r="E59" s="170">
        <v>6.7493999999999996</v>
      </c>
      <c r="F59" s="170" t="s">
        <v>417</v>
      </c>
      <c r="G59" s="201">
        <v>7.157</v>
      </c>
      <c r="H59" s="170" t="s">
        <v>512</v>
      </c>
      <c r="I59" s="425">
        <v>6.9006100000000004</v>
      </c>
      <c r="J59" s="427" t="s">
        <v>588</v>
      </c>
      <c r="K59" s="428">
        <v>6.4383900000000001</v>
      </c>
      <c r="L59" s="427"/>
      <c r="M59" s="428"/>
      <c r="N59" s="427" t="s">
        <v>900</v>
      </c>
      <c r="O59" s="428">
        <v>8.1602899999999998</v>
      </c>
      <c r="P59" s="619">
        <v>43098</v>
      </c>
    </row>
    <row r="60" spans="1:16" x14ac:dyDescent="0.25">
      <c r="A60" s="545" t="s">
        <v>28</v>
      </c>
      <c r="B60" s="196" t="s">
        <v>418</v>
      </c>
      <c r="C60" s="195" t="s">
        <v>419</v>
      </c>
      <c r="D60" s="170" t="s">
        <v>420</v>
      </c>
      <c r="E60" s="170">
        <v>1.1986000000000001</v>
      </c>
      <c r="F60" s="170" t="s">
        <v>421</v>
      </c>
      <c r="G60" s="201">
        <v>1.0349999999999999</v>
      </c>
      <c r="H60" s="170" t="s">
        <v>443</v>
      </c>
      <c r="I60" s="424">
        <v>0.93854000000000004</v>
      </c>
      <c r="J60" s="427" t="s">
        <v>604</v>
      </c>
      <c r="K60" s="429">
        <v>0.89303999999999994</v>
      </c>
      <c r="L60" s="427" t="s">
        <v>687</v>
      </c>
      <c r="M60" s="429">
        <v>1.0015000000000001</v>
      </c>
      <c r="N60" s="427" t="s">
        <v>857</v>
      </c>
      <c r="O60" s="429">
        <v>0.97441999999999995</v>
      </c>
      <c r="P60" s="619">
        <v>43100</v>
      </c>
    </row>
    <row r="61" spans="1:16" x14ac:dyDescent="0.25">
      <c r="A61" s="282" t="s">
        <v>706</v>
      </c>
      <c r="B61" s="196"/>
      <c r="C61" s="432"/>
      <c r="D61" s="433"/>
      <c r="E61" s="433"/>
      <c r="F61" s="433"/>
      <c r="G61" s="222"/>
      <c r="H61" s="433"/>
      <c r="I61" s="424"/>
      <c r="J61" s="434"/>
      <c r="K61" s="429"/>
      <c r="L61" s="427" t="s">
        <v>707</v>
      </c>
      <c r="M61" s="429">
        <v>2171.8366799999999</v>
      </c>
      <c r="N61" s="284" t="s">
        <v>707</v>
      </c>
      <c r="O61" s="429"/>
    </row>
    <row r="62" spans="1:16" x14ac:dyDescent="0.25">
      <c r="A62" s="282" t="s">
        <v>737</v>
      </c>
      <c r="B62" s="196"/>
      <c r="C62" s="432"/>
      <c r="D62" s="433"/>
      <c r="E62" s="433"/>
      <c r="F62" s="433"/>
      <c r="G62" s="222"/>
      <c r="H62" s="433"/>
      <c r="I62" s="424"/>
      <c r="J62" s="434"/>
      <c r="K62" s="429"/>
      <c r="L62" s="427" t="s">
        <v>739</v>
      </c>
      <c r="M62" s="429">
        <v>36.151380000000003</v>
      </c>
      <c r="N62" s="284" t="s">
        <v>739</v>
      </c>
      <c r="O62" s="429"/>
    </row>
    <row r="63" spans="1:16" x14ac:dyDescent="0.25">
      <c r="A63" s="281" t="s">
        <v>29</v>
      </c>
      <c r="B63" s="196"/>
      <c r="C63" s="195"/>
      <c r="D63" s="170"/>
      <c r="E63" s="170"/>
      <c r="F63" s="170" t="s">
        <v>422</v>
      </c>
      <c r="G63" s="201">
        <v>1.33</v>
      </c>
      <c r="H63" s="170" t="s">
        <v>422</v>
      </c>
      <c r="I63" s="425"/>
      <c r="J63" s="284"/>
      <c r="K63" s="287"/>
      <c r="L63" s="284"/>
      <c r="M63" s="287"/>
      <c r="N63" s="284"/>
      <c r="O63" s="287"/>
    </row>
    <row r="64" spans="1:16" x14ac:dyDescent="0.25">
      <c r="A64" s="722" t="s">
        <v>927</v>
      </c>
      <c r="B64" s="196"/>
      <c r="C64" s="432"/>
      <c r="D64" s="433"/>
      <c r="E64" s="433"/>
      <c r="F64" s="433"/>
      <c r="G64" s="222"/>
      <c r="H64" s="433"/>
      <c r="I64" s="425"/>
      <c r="J64" s="478"/>
      <c r="K64" s="287"/>
      <c r="L64" s="478"/>
      <c r="M64" s="287"/>
      <c r="N64" s="427" t="s">
        <v>931</v>
      </c>
      <c r="O64" s="429">
        <v>3.7947000000000002</v>
      </c>
      <c r="P64" s="619">
        <v>43098</v>
      </c>
    </row>
    <row r="65" spans="1:16" ht="15.75" x14ac:dyDescent="0.25">
      <c r="A65" s="691" t="s">
        <v>505</v>
      </c>
      <c r="B65" s="196"/>
      <c r="C65" s="220"/>
      <c r="D65" s="221"/>
      <c r="E65" s="221"/>
      <c r="F65" s="221"/>
      <c r="G65" s="222"/>
      <c r="H65" s="170" t="s">
        <v>506</v>
      </c>
      <c r="I65" s="425">
        <v>2476.8114700000001</v>
      </c>
      <c r="J65" s="284"/>
      <c r="K65" s="287"/>
      <c r="L65" s="170" t="s">
        <v>750</v>
      </c>
      <c r="M65" s="428">
        <v>3401.52324</v>
      </c>
      <c r="N65" s="427" t="s">
        <v>908</v>
      </c>
      <c r="O65" s="687">
        <v>3628.4174400000002</v>
      </c>
      <c r="P65" s="619">
        <v>43098</v>
      </c>
    </row>
    <row r="66" spans="1:16" x14ac:dyDescent="0.25">
      <c r="A66" s="545" t="s">
        <v>318</v>
      </c>
      <c r="B66" s="196" t="s">
        <v>423</v>
      </c>
      <c r="C66" s="195" t="s">
        <v>424</v>
      </c>
      <c r="D66" s="170" t="s">
        <v>425</v>
      </c>
      <c r="E66" s="170">
        <v>0.49930000000000002</v>
      </c>
      <c r="F66" s="170" t="s">
        <v>426</v>
      </c>
      <c r="G66" s="201">
        <v>0.62</v>
      </c>
      <c r="H66" s="170" t="s">
        <v>457</v>
      </c>
      <c r="I66" s="425">
        <v>0.64417999999999997</v>
      </c>
      <c r="J66" s="427" t="s">
        <v>637</v>
      </c>
      <c r="K66" s="428">
        <v>0.60453999999999997</v>
      </c>
      <c r="L66" s="427" t="s">
        <v>699</v>
      </c>
      <c r="M66" s="428">
        <v>0.67854999999999999</v>
      </c>
      <c r="N66" s="427" t="s">
        <v>907</v>
      </c>
      <c r="O66" s="428">
        <v>0.73992000000000002</v>
      </c>
      <c r="P66" s="619">
        <v>43100</v>
      </c>
    </row>
    <row r="67" spans="1:16" x14ac:dyDescent="0.25">
      <c r="A67" s="649" t="s">
        <v>31</v>
      </c>
      <c r="B67" s="196" t="s">
        <v>427</v>
      </c>
      <c r="C67" s="433" t="str">
        <f>B67</f>
        <v>1 US $ = 1 US $</v>
      </c>
      <c r="D67" s="433" t="str">
        <f>C67</f>
        <v>1 US $ = 1 US $</v>
      </c>
      <c r="E67" s="433">
        <v>1</v>
      </c>
      <c r="F67" s="433" t="s">
        <v>427</v>
      </c>
      <c r="G67" s="222">
        <v>1</v>
      </c>
      <c r="H67" s="433" t="s">
        <v>427</v>
      </c>
      <c r="I67" s="425">
        <v>1</v>
      </c>
      <c r="J67" s="434" t="s">
        <v>427</v>
      </c>
      <c r="K67" s="428">
        <v>1</v>
      </c>
      <c r="L67" s="434" t="s">
        <v>427</v>
      </c>
      <c r="M67" s="428">
        <v>1</v>
      </c>
      <c r="N67" s="434" t="s">
        <v>427</v>
      </c>
      <c r="O67" s="428">
        <v>1</v>
      </c>
    </row>
    <row r="68" spans="1:16" ht="15.75" thickBot="1" x14ac:dyDescent="0.3">
      <c r="A68" s="507" t="s">
        <v>718</v>
      </c>
      <c r="B68" s="198" t="s">
        <v>427</v>
      </c>
      <c r="C68" s="199" t="str">
        <f>B68</f>
        <v>1 US $ = 1 US $</v>
      </c>
      <c r="D68" s="199" t="str">
        <f>C68</f>
        <v>1 US $ = 1 US $</v>
      </c>
      <c r="E68" s="199">
        <v>1</v>
      </c>
      <c r="F68" s="199" t="s">
        <v>427</v>
      </c>
      <c r="G68" s="204">
        <v>1</v>
      </c>
      <c r="H68" s="199"/>
      <c r="I68" s="426"/>
      <c r="J68" s="441"/>
      <c r="K68" s="442"/>
      <c r="L68" s="441" t="s">
        <v>719</v>
      </c>
      <c r="M68" s="442">
        <v>11.06053</v>
      </c>
      <c r="N68" s="506" t="s">
        <v>719</v>
      </c>
      <c r="O68" s="442"/>
    </row>
  </sheetData>
  <mergeCells count="15">
    <mergeCell ref="N1:N2"/>
    <mergeCell ref="O1:O2"/>
    <mergeCell ref="F1:F2"/>
    <mergeCell ref="A1:A2"/>
    <mergeCell ref="B1:B2"/>
    <mergeCell ref="C1:C2"/>
    <mergeCell ref="D1:D2"/>
    <mergeCell ref="E1:E2"/>
    <mergeCell ref="L1:L2"/>
    <mergeCell ref="M1:M2"/>
    <mergeCell ref="J1:J2"/>
    <mergeCell ref="K1:K2"/>
    <mergeCell ref="G1:G2"/>
    <mergeCell ref="H1:H2"/>
    <mergeCell ref="I1:I2"/>
  </mergeCell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AP696"/>
  <sheetViews>
    <sheetView tabSelected="1" view="pageBreakPreview" zoomScale="80" zoomScaleNormal="90" zoomScaleSheetLayoutView="80" workbookViewId="0">
      <selection activeCell="A702" sqref="A702"/>
    </sheetView>
  </sheetViews>
  <sheetFormatPr defaultRowHeight="15" x14ac:dyDescent="0.25"/>
  <cols>
    <col min="1" max="1" width="35.5703125" customWidth="1"/>
    <col min="2" max="2" width="11.7109375" customWidth="1"/>
    <col min="3" max="3" width="11.28515625" customWidth="1"/>
    <col min="4" max="4" width="11.28515625" bestFit="1" customWidth="1"/>
    <col min="5" max="6" width="25" customWidth="1"/>
    <col min="7" max="7" width="16.28515625" customWidth="1"/>
    <col min="8" max="8" width="19.140625" bestFit="1" customWidth="1"/>
    <col min="9" max="10" width="22.28515625" customWidth="1"/>
    <col min="11" max="11" width="19.7109375" customWidth="1"/>
    <col min="12" max="13" width="15.42578125" customWidth="1"/>
    <col min="14" max="15" width="15.7109375" customWidth="1"/>
    <col min="16" max="17" width="19.85546875" customWidth="1"/>
    <col min="18" max="18" width="17.28515625" customWidth="1"/>
    <col min="19" max="19" width="32.42578125" bestFit="1" customWidth="1"/>
    <col min="20" max="20" width="3.85546875" customWidth="1"/>
    <col min="21" max="21" width="20.140625" bestFit="1" customWidth="1"/>
    <col min="22" max="22" width="16.42578125" customWidth="1"/>
    <col min="23" max="23" width="22" bestFit="1" customWidth="1"/>
    <col min="24" max="24" width="22" customWidth="1"/>
    <col min="25" max="25" width="23.28515625" bestFit="1" customWidth="1"/>
    <col min="26" max="26" width="14.140625" customWidth="1"/>
    <col min="27" max="27" width="18.140625" bestFit="1" customWidth="1"/>
    <col min="28" max="29" width="19.85546875" customWidth="1"/>
    <col min="30" max="31" width="14.42578125" customWidth="1"/>
    <col min="32" max="32" width="15.28515625" customWidth="1"/>
    <col min="33" max="33" width="25.42578125" customWidth="1"/>
    <col min="34" max="34" width="3.7109375" customWidth="1"/>
    <col min="35" max="35" width="13.5703125" customWidth="1"/>
    <col min="37" max="37" width="11.140625" customWidth="1"/>
    <col min="38" max="38" width="10.7109375" customWidth="1"/>
    <col min="42" max="43" width="75.28515625" customWidth="1"/>
  </cols>
  <sheetData>
    <row r="1" spans="1:42" ht="18.75" x14ac:dyDescent="0.3">
      <c r="A1" s="26" t="s">
        <v>1209</v>
      </c>
      <c r="B1" s="86"/>
      <c r="C1" s="24"/>
      <c r="D1" s="24"/>
    </row>
    <row r="2" spans="1:42" ht="16.5" thickBot="1" x14ac:dyDescent="0.3">
      <c r="A2" s="27" t="s">
        <v>1215</v>
      </c>
      <c r="B2" s="87"/>
      <c r="C2" s="25"/>
      <c r="D2" s="25"/>
    </row>
    <row r="3" spans="1:42" ht="18.75" hidden="1" x14ac:dyDescent="0.3">
      <c r="AI3" s="395" t="s">
        <v>826</v>
      </c>
      <c r="AJ3" s="395"/>
      <c r="AK3" s="395"/>
      <c r="AL3" s="395"/>
      <c r="AM3" s="395"/>
      <c r="AN3" s="395"/>
      <c r="AO3" s="394"/>
      <c r="AP3" s="394"/>
    </row>
    <row r="4" spans="1:42" ht="23.25" hidden="1" x14ac:dyDescent="0.35">
      <c r="U4" s="1754" t="s">
        <v>679</v>
      </c>
      <c r="V4" s="1754"/>
      <c r="W4" s="1754"/>
      <c r="X4" s="1754"/>
      <c r="Y4" s="1754"/>
      <c r="Z4" s="1754"/>
      <c r="AA4" s="1754"/>
      <c r="AB4" s="1754"/>
      <c r="AC4" s="1754"/>
      <c r="AD4" s="1754"/>
      <c r="AE4" s="1754"/>
      <c r="AF4" s="1754"/>
      <c r="AG4" s="1754"/>
      <c r="AI4" s="1755" t="s">
        <v>248</v>
      </c>
      <c r="AJ4" s="1755"/>
      <c r="AK4" s="1755"/>
      <c r="AL4" s="1755"/>
      <c r="AM4" s="1755"/>
      <c r="AN4" s="1755"/>
      <c r="AO4" s="1755"/>
    </row>
    <row r="5" spans="1:42" ht="64.5" hidden="1" customHeight="1" x14ac:dyDescent="0.3">
      <c r="E5" s="89" t="s">
        <v>215</v>
      </c>
      <c r="F5" s="90" t="s">
        <v>827</v>
      </c>
      <c r="G5" s="111" t="s">
        <v>196</v>
      </c>
      <c r="H5" s="82" t="s">
        <v>197</v>
      </c>
      <c r="I5" s="552" t="s">
        <v>198</v>
      </c>
      <c r="J5" s="556" t="s">
        <v>833</v>
      </c>
      <c r="K5" s="555" t="s">
        <v>200</v>
      </c>
      <c r="L5" s="553" t="s">
        <v>834</v>
      </c>
      <c r="M5" s="556" t="s">
        <v>835</v>
      </c>
      <c r="N5" s="554" t="s">
        <v>201</v>
      </c>
      <c r="O5" s="556" t="s">
        <v>836</v>
      </c>
      <c r="P5" s="84" t="s">
        <v>199</v>
      </c>
      <c r="Q5" s="556" t="s">
        <v>840</v>
      </c>
      <c r="R5" s="564" t="s">
        <v>841</v>
      </c>
      <c r="S5" s="85" t="s">
        <v>203</v>
      </c>
      <c r="U5" s="110" t="s">
        <v>240</v>
      </c>
      <c r="V5" s="109" t="s">
        <v>241</v>
      </c>
      <c r="W5" s="108" t="s">
        <v>242</v>
      </c>
      <c r="X5" s="572" t="s">
        <v>843</v>
      </c>
      <c r="Y5" s="107" t="s">
        <v>243</v>
      </c>
      <c r="Z5" s="106" t="s">
        <v>244</v>
      </c>
      <c r="AA5" s="572" t="s">
        <v>845</v>
      </c>
      <c r="AB5" s="105" t="s">
        <v>245</v>
      </c>
      <c r="AC5" s="572" t="s">
        <v>847</v>
      </c>
      <c r="AD5" s="104" t="s">
        <v>246</v>
      </c>
      <c r="AE5" s="572" t="s">
        <v>850</v>
      </c>
      <c r="AF5" s="103" t="s">
        <v>852</v>
      </c>
      <c r="AG5" s="102" t="s">
        <v>642</v>
      </c>
      <c r="AI5" s="112" t="s">
        <v>249</v>
      </c>
      <c r="AJ5" s="112" t="s">
        <v>250</v>
      </c>
      <c r="AK5" s="112" t="s">
        <v>251</v>
      </c>
      <c r="AL5" s="112" t="s">
        <v>252</v>
      </c>
      <c r="AM5" s="112" t="s">
        <v>438</v>
      </c>
      <c r="AN5" s="112" t="s">
        <v>253</v>
      </c>
      <c r="AO5" s="112" t="s">
        <v>254</v>
      </c>
    </row>
    <row r="6" spans="1:42" ht="16.5" hidden="1" thickBot="1" x14ac:dyDescent="0.3">
      <c r="A6" s="42" t="s">
        <v>3</v>
      </c>
      <c r="B6" s="250" t="s">
        <v>58</v>
      </c>
      <c r="C6" s="799" t="s">
        <v>1190</v>
      </c>
      <c r="D6" s="799" t="s">
        <v>1022</v>
      </c>
      <c r="E6" s="91" t="s">
        <v>809</v>
      </c>
      <c r="F6" s="92" t="s">
        <v>810</v>
      </c>
      <c r="G6" s="7" t="s">
        <v>811</v>
      </c>
      <c r="H6" s="3" t="s">
        <v>812</v>
      </c>
      <c r="I6" s="33" t="s">
        <v>813</v>
      </c>
      <c r="J6" s="557" t="s">
        <v>832</v>
      </c>
      <c r="K6" s="68" t="s">
        <v>814</v>
      </c>
      <c r="L6" s="34" t="s">
        <v>815</v>
      </c>
      <c r="M6" s="557" t="s">
        <v>838</v>
      </c>
      <c r="N6" s="69" t="s">
        <v>816</v>
      </c>
      <c r="O6" s="557" t="s">
        <v>837</v>
      </c>
      <c r="P6" s="66" t="s">
        <v>817</v>
      </c>
      <c r="Q6" s="557" t="s">
        <v>839</v>
      </c>
      <c r="R6" s="67" t="s">
        <v>842</v>
      </c>
      <c r="S6" s="70" t="s">
        <v>818</v>
      </c>
      <c r="U6" s="93" t="s">
        <v>819</v>
      </c>
      <c r="V6" s="94" t="s">
        <v>820</v>
      </c>
      <c r="W6" s="95" t="s">
        <v>821</v>
      </c>
      <c r="X6" s="573" t="s">
        <v>844</v>
      </c>
      <c r="Y6" s="96" t="s">
        <v>822</v>
      </c>
      <c r="Z6" s="97" t="s">
        <v>823</v>
      </c>
      <c r="AA6" s="573" t="s">
        <v>846</v>
      </c>
      <c r="AB6" s="98" t="s">
        <v>849</v>
      </c>
      <c r="AC6" s="573" t="s">
        <v>848</v>
      </c>
      <c r="AD6" s="99" t="s">
        <v>824</v>
      </c>
      <c r="AE6" s="573" t="s">
        <v>851</v>
      </c>
      <c r="AF6" s="100" t="s">
        <v>853</v>
      </c>
      <c r="AG6" s="101" t="s">
        <v>825</v>
      </c>
      <c r="AI6" s="113"/>
      <c r="AJ6" s="113"/>
      <c r="AK6" s="113"/>
      <c r="AL6" s="113"/>
      <c r="AM6" s="113"/>
      <c r="AN6" s="113"/>
      <c r="AO6" s="113"/>
    </row>
    <row r="7" spans="1:42" ht="18.600000000000001" hidden="1" customHeight="1" x14ac:dyDescent="0.25">
      <c r="A7" s="1756" t="s">
        <v>33</v>
      </c>
      <c r="B7" s="752" t="s">
        <v>217</v>
      </c>
      <c r="C7" s="747" t="s">
        <v>429</v>
      </c>
      <c r="D7" s="815" t="s">
        <v>1024</v>
      </c>
      <c r="E7" s="1759">
        <v>20700</v>
      </c>
      <c r="F7" s="647">
        <f>'exchange rates'!$O$3</f>
        <v>18.600290000000001</v>
      </c>
      <c r="G7" s="625" t="s">
        <v>5</v>
      </c>
      <c r="H7" s="593" t="s">
        <v>5</v>
      </c>
      <c r="I7" s="594" t="s">
        <v>5</v>
      </c>
      <c r="J7" s="595" t="s">
        <v>5</v>
      </c>
      <c r="K7" s="566" t="s">
        <v>5</v>
      </c>
      <c r="L7" s="596" t="s">
        <v>5</v>
      </c>
      <c r="M7" s="595" t="s">
        <v>5</v>
      </c>
      <c r="N7" s="626" t="s">
        <v>5</v>
      </c>
      <c r="O7" s="595" t="s">
        <v>5</v>
      </c>
      <c r="P7" s="597" t="s">
        <v>5</v>
      </c>
      <c r="Q7" s="595" t="s">
        <v>5</v>
      </c>
      <c r="R7" s="570" t="s">
        <v>5</v>
      </c>
      <c r="S7" s="571">
        <f>741.75/F7</f>
        <v>39.878410497900838</v>
      </c>
      <c r="T7" s="397"/>
      <c r="U7" s="1762" t="str">
        <f>Tabel668921274[[#This Row],[Fix.ch. 2017]]</f>
        <v>n/a</v>
      </c>
      <c r="V7" s="1765" t="s">
        <v>5</v>
      </c>
      <c r="W7" s="1768" t="s">
        <v>5</v>
      </c>
      <c r="X7" s="1771" t="s">
        <v>5</v>
      </c>
      <c r="Y7" s="1774" t="s">
        <v>5</v>
      </c>
      <c r="Z7" s="1777" t="s">
        <v>5</v>
      </c>
      <c r="AA7" s="1771" t="s">
        <v>5</v>
      </c>
      <c r="AB7" s="1810" t="s">
        <v>5</v>
      </c>
      <c r="AC7" s="1771" t="s">
        <v>5</v>
      </c>
      <c r="AD7" s="1812" t="s">
        <v>5</v>
      </c>
      <c r="AE7" s="1771" t="s">
        <v>5</v>
      </c>
      <c r="AF7" s="1814" t="s">
        <v>5</v>
      </c>
      <c r="AG7" s="1793">
        <f>MEDIAN(S7:S13)</f>
        <v>39.878410497900838</v>
      </c>
      <c r="AH7" s="397"/>
      <c r="AI7" s="591" t="s">
        <v>429</v>
      </c>
      <c r="AJ7" s="591"/>
      <c r="AK7" s="591"/>
      <c r="AL7" s="591"/>
      <c r="AM7" s="591" t="s">
        <v>429</v>
      </c>
      <c r="AN7" s="591" t="s">
        <v>429</v>
      </c>
      <c r="AO7" s="396"/>
      <c r="AP7" s="397"/>
    </row>
    <row r="8" spans="1:42" ht="15.75" hidden="1" x14ac:dyDescent="0.25">
      <c r="A8" s="1757"/>
      <c r="B8" s="747" t="s">
        <v>942</v>
      </c>
      <c r="C8" s="747"/>
      <c r="D8" s="815" t="s">
        <v>1024</v>
      </c>
      <c r="E8" s="1760"/>
      <c r="F8" s="647">
        <f>'exchange rates'!$O$3</f>
        <v>18.600290000000001</v>
      </c>
      <c r="G8" s="625" t="s">
        <v>5</v>
      </c>
      <c r="H8" s="593" t="s">
        <v>5</v>
      </c>
      <c r="I8" s="594" t="s">
        <v>5</v>
      </c>
      <c r="J8" s="595" t="s">
        <v>5</v>
      </c>
      <c r="K8" s="566" t="s">
        <v>5</v>
      </c>
      <c r="L8" s="596" t="s">
        <v>5</v>
      </c>
      <c r="M8" s="595" t="s">
        <v>5</v>
      </c>
      <c r="N8" s="626" t="s">
        <v>5</v>
      </c>
      <c r="O8" s="595" t="s">
        <v>5</v>
      </c>
      <c r="P8" s="597" t="s">
        <v>5</v>
      </c>
      <c r="Q8" s="595" t="s">
        <v>5</v>
      </c>
      <c r="R8" s="570" t="s">
        <v>5</v>
      </c>
      <c r="S8" s="571">
        <f>986.14/F8</f>
        <v>53.017452953690501</v>
      </c>
      <c r="T8" s="397"/>
      <c r="U8" s="1763"/>
      <c r="V8" s="1766"/>
      <c r="W8" s="1769"/>
      <c r="X8" s="1772"/>
      <c r="Y8" s="1775"/>
      <c r="Z8" s="1778"/>
      <c r="AA8" s="1772"/>
      <c r="AB8" s="1781"/>
      <c r="AC8" s="1772"/>
      <c r="AD8" s="1785"/>
      <c r="AE8" s="1772"/>
      <c r="AF8" s="1788"/>
      <c r="AG8" s="1791"/>
      <c r="AH8" s="397"/>
      <c r="AI8" s="396"/>
      <c r="AJ8" s="396"/>
      <c r="AK8" s="396"/>
      <c r="AL8" s="396"/>
      <c r="AM8" s="396"/>
      <c r="AN8" s="396"/>
      <c r="AO8" s="396"/>
      <c r="AP8" s="397"/>
    </row>
    <row r="9" spans="1:42" ht="15.75" hidden="1" x14ac:dyDescent="0.25">
      <c r="A9" s="1757"/>
      <c r="B9" s="747" t="s">
        <v>943</v>
      </c>
      <c r="C9" s="747"/>
      <c r="D9" s="815" t="s">
        <v>1024</v>
      </c>
      <c r="E9" s="1760"/>
      <c r="F9" s="647">
        <f>'exchange rates'!$O$3</f>
        <v>18.600290000000001</v>
      </c>
      <c r="G9" s="625" t="s">
        <v>5</v>
      </c>
      <c r="H9" s="593" t="s">
        <v>5</v>
      </c>
      <c r="I9" s="594" t="s">
        <v>5</v>
      </c>
      <c r="J9" s="595" t="s">
        <v>5</v>
      </c>
      <c r="K9" s="566" t="s">
        <v>5</v>
      </c>
      <c r="L9" s="596" t="s">
        <v>5</v>
      </c>
      <c r="M9" s="595" t="s">
        <v>5</v>
      </c>
      <c r="N9" s="626" t="s">
        <v>5</v>
      </c>
      <c r="O9" s="595" t="s">
        <v>5</v>
      </c>
      <c r="P9" s="597" t="s">
        <v>5</v>
      </c>
      <c r="Q9" s="595" t="s">
        <v>5</v>
      </c>
      <c r="R9" s="570" t="s">
        <v>5</v>
      </c>
      <c r="S9" s="571">
        <f>970.68/F9</f>
        <v>52.186283117091179</v>
      </c>
      <c r="T9" s="397"/>
      <c r="U9" s="1763"/>
      <c r="V9" s="1766"/>
      <c r="W9" s="1769"/>
      <c r="X9" s="1772"/>
      <c r="Y9" s="1775"/>
      <c r="Z9" s="1778"/>
      <c r="AA9" s="1772"/>
      <c r="AB9" s="1781"/>
      <c r="AC9" s="1772"/>
      <c r="AD9" s="1785"/>
      <c r="AE9" s="1772"/>
      <c r="AF9" s="1788"/>
      <c r="AG9" s="1791"/>
      <c r="AH9" s="397"/>
      <c r="AI9" s="396"/>
      <c r="AJ9" s="396"/>
      <c r="AK9" s="396"/>
      <c r="AL9" s="396"/>
      <c r="AM9" s="396"/>
      <c r="AN9" s="396"/>
      <c r="AO9" s="396"/>
      <c r="AP9" s="397"/>
    </row>
    <row r="10" spans="1:42" ht="15.75" hidden="1" x14ac:dyDescent="0.25">
      <c r="A10" s="1757"/>
      <c r="B10" s="747" t="s">
        <v>944</v>
      </c>
      <c r="C10" s="747"/>
      <c r="D10" s="815" t="s">
        <v>1024</v>
      </c>
      <c r="E10" s="1760"/>
      <c r="F10" s="647">
        <f>'exchange rates'!$O$3</f>
        <v>18.600290000000001</v>
      </c>
      <c r="G10" s="625" t="s">
        <v>5</v>
      </c>
      <c r="H10" s="593" t="s">
        <v>5</v>
      </c>
      <c r="I10" s="594" t="s">
        <v>5</v>
      </c>
      <c r="J10" s="595" t="s">
        <v>5</v>
      </c>
      <c r="K10" s="566" t="s">
        <v>5</v>
      </c>
      <c r="L10" s="596" t="s">
        <v>5</v>
      </c>
      <c r="M10" s="595" t="s">
        <v>5</v>
      </c>
      <c r="N10" s="626" t="s">
        <v>5</v>
      </c>
      <c r="O10" s="595" t="s">
        <v>5</v>
      </c>
      <c r="P10" s="597" t="s">
        <v>5</v>
      </c>
      <c r="Q10" s="595" t="s">
        <v>5</v>
      </c>
      <c r="R10" s="570" t="s">
        <v>5</v>
      </c>
      <c r="S10" s="571">
        <f>391.5/F10</f>
        <v>21.048058928113484</v>
      </c>
      <c r="T10" s="397"/>
      <c r="U10" s="1763"/>
      <c r="V10" s="1766"/>
      <c r="W10" s="1769"/>
      <c r="X10" s="1772"/>
      <c r="Y10" s="1775"/>
      <c r="Z10" s="1778"/>
      <c r="AA10" s="1772"/>
      <c r="AB10" s="1781"/>
      <c r="AC10" s="1772"/>
      <c r="AD10" s="1785"/>
      <c r="AE10" s="1772"/>
      <c r="AF10" s="1788"/>
      <c r="AG10" s="1791"/>
      <c r="AH10" s="397"/>
      <c r="AI10" s="396"/>
      <c r="AJ10" s="396"/>
      <c r="AK10" s="396"/>
      <c r="AL10" s="396"/>
      <c r="AM10" s="396"/>
      <c r="AN10" s="396"/>
      <c r="AO10" s="396"/>
      <c r="AP10" s="397"/>
    </row>
    <row r="11" spans="1:42" ht="15.75" hidden="1" x14ac:dyDescent="0.25">
      <c r="A11" s="1757"/>
      <c r="B11" s="747" t="s">
        <v>945</v>
      </c>
      <c r="C11" s="747"/>
      <c r="D11" s="815" t="s">
        <v>1024</v>
      </c>
      <c r="E11" s="1760"/>
      <c r="F11" s="647">
        <f>'exchange rates'!$O$3</f>
        <v>18.600290000000001</v>
      </c>
      <c r="G11" s="625" t="s">
        <v>5</v>
      </c>
      <c r="H11" s="593" t="s">
        <v>5</v>
      </c>
      <c r="I11" s="594" t="s">
        <v>5</v>
      </c>
      <c r="J11" s="595" t="s">
        <v>5</v>
      </c>
      <c r="K11" s="566" t="s">
        <v>5</v>
      </c>
      <c r="L11" s="596" t="s">
        <v>5</v>
      </c>
      <c r="M11" s="595" t="s">
        <v>5</v>
      </c>
      <c r="N11" s="626" t="s">
        <v>5</v>
      </c>
      <c r="O11" s="595" t="s">
        <v>5</v>
      </c>
      <c r="P11" s="597" t="s">
        <v>5</v>
      </c>
      <c r="Q11" s="595" t="s">
        <v>5</v>
      </c>
      <c r="R11" s="570" t="s">
        <v>5</v>
      </c>
      <c r="S11" s="571">
        <f>577.63/F11</f>
        <v>31.054892154907261</v>
      </c>
      <c r="T11" s="397"/>
      <c r="U11" s="1763"/>
      <c r="V11" s="1766"/>
      <c r="W11" s="1769"/>
      <c r="X11" s="1772"/>
      <c r="Y11" s="1775"/>
      <c r="Z11" s="1778"/>
      <c r="AA11" s="1772"/>
      <c r="AB11" s="1781"/>
      <c r="AC11" s="1772"/>
      <c r="AD11" s="1785"/>
      <c r="AE11" s="1772"/>
      <c r="AF11" s="1788"/>
      <c r="AG11" s="1791"/>
      <c r="AH11" s="397"/>
      <c r="AI11" s="396"/>
      <c r="AJ11" s="396"/>
      <c r="AK11" s="396"/>
      <c r="AL11" s="396"/>
      <c r="AM11" s="396"/>
      <c r="AN11" s="396"/>
      <c r="AO11" s="396"/>
      <c r="AP11" s="397"/>
    </row>
    <row r="12" spans="1:42" ht="15.75" hidden="1" x14ac:dyDescent="0.25">
      <c r="A12" s="1757"/>
      <c r="B12" s="747" t="s">
        <v>946</v>
      </c>
      <c r="C12" s="747"/>
      <c r="D12" s="815" t="s">
        <v>1024</v>
      </c>
      <c r="E12" s="1760"/>
      <c r="F12" s="647">
        <f>'exchange rates'!$O$3</f>
        <v>18.600290000000001</v>
      </c>
      <c r="G12" s="625" t="s">
        <v>5</v>
      </c>
      <c r="H12" s="593" t="s">
        <v>5</v>
      </c>
      <c r="I12" s="594" t="s">
        <v>5</v>
      </c>
      <c r="J12" s="595" t="s">
        <v>5</v>
      </c>
      <c r="K12" s="566" t="s">
        <v>5</v>
      </c>
      <c r="L12" s="596" t="s">
        <v>5</v>
      </c>
      <c r="M12" s="595" t="s">
        <v>5</v>
      </c>
      <c r="N12" s="626" t="s">
        <v>5</v>
      </c>
      <c r="O12" s="595" t="s">
        <v>5</v>
      </c>
      <c r="P12" s="597" t="s">
        <v>5</v>
      </c>
      <c r="Q12" s="595" t="s">
        <v>5</v>
      </c>
      <c r="R12" s="570" t="s">
        <v>5</v>
      </c>
      <c r="S12" s="571">
        <f>309.74/F12</f>
        <v>16.652428537404525</v>
      </c>
      <c r="T12" s="397"/>
      <c r="U12" s="1763"/>
      <c r="V12" s="1766"/>
      <c r="W12" s="1769"/>
      <c r="X12" s="1772"/>
      <c r="Y12" s="1775"/>
      <c r="Z12" s="1778"/>
      <c r="AA12" s="1772"/>
      <c r="AB12" s="1781"/>
      <c r="AC12" s="1772"/>
      <c r="AD12" s="1785"/>
      <c r="AE12" s="1772"/>
      <c r="AF12" s="1788"/>
      <c r="AG12" s="1791"/>
      <c r="AH12" s="397"/>
      <c r="AI12" s="396"/>
      <c r="AJ12" s="396"/>
      <c r="AK12" s="396"/>
      <c r="AL12" s="396"/>
      <c r="AM12" s="396"/>
      <c r="AN12" s="396"/>
      <c r="AO12" s="396"/>
      <c r="AP12" s="397"/>
    </row>
    <row r="13" spans="1:42" ht="16.5" hidden="1" thickBot="1" x14ac:dyDescent="0.3">
      <c r="A13" s="1758"/>
      <c r="B13" s="658" t="s">
        <v>947</v>
      </c>
      <c r="C13" s="747"/>
      <c r="D13" s="815" t="s">
        <v>1024</v>
      </c>
      <c r="E13" s="1761"/>
      <c r="F13" s="647">
        <f>'exchange rates'!$O$3</f>
        <v>18.600290000000001</v>
      </c>
      <c r="G13" s="625" t="s">
        <v>5</v>
      </c>
      <c r="H13" s="593" t="s">
        <v>5</v>
      </c>
      <c r="I13" s="594" t="s">
        <v>5</v>
      </c>
      <c r="J13" s="595" t="s">
        <v>5</v>
      </c>
      <c r="K13" s="566" t="s">
        <v>5</v>
      </c>
      <c r="L13" s="596" t="s">
        <v>5</v>
      </c>
      <c r="M13" s="595" t="s">
        <v>5</v>
      </c>
      <c r="N13" s="626" t="s">
        <v>5</v>
      </c>
      <c r="O13" s="595" t="s">
        <v>5</v>
      </c>
      <c r="P13" s="597" t="s">
        <v>5</v>
      </c>
      <c r="Q13" s="595" t="s">
        <v>5</v>
      </c>
      <c r="R13" s="570" t="s">
        <v>5</v>
      </c>
      <c r="S13" s="571">
        <f>970.93/F13</f>
        <v>52.199723767747699</v>
      </c>
      <c r="T13" s="397"/>
      <c r="U13" s="1764"/>
      <c r="V13" s="1767"/>
      <c r="W13" s="1770"/>
      <c r="X13" s="1773"/>
      <c r="Y13" s="1776"/>
      <c r="Z13" s="1779"/>
      <c r="AA13" s="1773"/>
      <c r="AB13" s="1811"/>
      <c r="AC13" s="1773"/>
      <c r="AD13" s="1813"/>
      <c r="AE13" s="1773"/>
      <c r="AF13" s="1815"/>
      <c r="AG13" s="1794"/>
      <c r="AH13" s="397"/>
      <c r="AI13" s="396"/>
      <c r="AJ13" s="396"/>
      <c r="AK13" s="396"/>
      <c r="AL13" s="396"/>
      <c r="AM13" s="396"/>
      <c r="AN13" s="396"/>
      <c r="AO13" s="396"/>
      <c r="AP13" s="397"/>
    </row>
    <row r="14" spans="1:42" ht="15.6" hidden="1" customHeight="1" thickBot="1" x14ac:dyDescent="0.3">
      <c r="A14" s="1733" t="s">
        <v>524</v>
      </c>
      <c r="B14" s="646" t="s">
        <v>526</v>
      </c>
      <c r="C14" s="1054" t="s">
        <v>429</v>
      </c>
      <c r="D14" s="816" t="s">
        <v>1026</v>
      </c>
      <c r="E14" s="1705">
        <v>9100</v>
      </c>
      <c r="F14" s="647">
        <f>'exchange rates'!O4</f>
        <v>483.08548000000002</v>
      </c>
      <c r="G14" s="625">
        <f>(127.5*100)/F14</f>
        <v>26.392844595536175</v>
      </c>
      <c r="H14" s="593">
        <f>0</f>
        <v>0</v>
      </c>
      <c r="I14" s="594">
        <f>0</f>
        <v>0</v>
      </c>
      <c r="J14" s="595">
        <f>(25.5*100)/F14</f>
        <v>5.2785689191072356</v>
      </c>
      <c r="K14" s="566">
        <f>Tabel668921274[[#This Row],[Fix.ch. 2017]]+Tabel668921274[[#This Row],[Var. ch. 2017]]+Tabel668921274[[#This Row],[Oth. ch. DW 2017]]+Tabel668921274[[#This Row],[VAT DW 2017]]</f>
        <v>31.671413514643412</v>
      </c>
      <c r="L14" s="596">
        <f>(22.5*100)/F14</f>
        <v>4.6575608109769719</v>
      </c>
      <c r="M14" s="595">
        <f>(4.5*100)/F14</f>
        <v>0.93151216219539446</v>
      </c>
      <c r="N14" s="626">
        <v>0</v>
      </c>
      <c r="O14" s="595">
        <v>0</v>
      </c>
      <c r="P14" s="597">
        <v>0</v>
      </c>
      <c r="Q14" s="595">
        <v>0</v>
      </c>
      <c r="R14" s="570">
        <f>Tabel668921274[[#This Row],[VAT DW 2017]]+Tabel668921274[[#This Row],[VAT Sew. 2017]]+Tabel668921274[[#This Row],[VAT WW 2017]]+Tabel668921274[[#This Row],[VAT Other ch. 2017]]</f>
        <v>6.2100810813026301</v>
      </c>
      <c r="S14" s="571">
        <f>Tabel668921274[[#This Row],[Total. ch. DW 2017]]+Tabel668921274[[#This Row],[Sew. 2017]]+Tabel668921274[[#This Row],[VAT Sew. 2017]]+Tabel668921274[[#This Row],[WW 2017]]+Tabel668921274[[#This Row],[VAT WW 2017]]+Tabel668921274[[#This Row],[Other ch. 2017]]+Tabel668921274[[#This Row],[VAT Other ch. 2017]]</f>
        <v>37.260486487815783</v>
      </c>
      <c r="T14" s="397"/>
      <c r="U14" s="1706">
        <f t="shared" ref="U14:AG14" si="0">MEDIAN(G14:G14)</f>
        <v>26.392844595536175</v>
      </c>
      <c r="V14" s="1707">
        <f t="shared" si="0"/>
        <v>0</v>
      </c>
      <c r="W14" s="1708">
        <f t="shared" si="0"/>
        <v>0</v>
      </c>
      <c r="X14" s="1711">
        <f t="shared" si="0"/>
        <v>5.2785689191072356</v>
      </c>
      <c r="Y14" s="1709">
        <f t="shared" si="0"/>
        <v>31.671413514643412</v>
      </c>
      <c r="Z14" s="1710">
        <f t="shared" si="0"/>
        <v>4.6575608109769719</v>
      </c>
      <c r="AA14" s="1711">
        <f t="shared" si="0"/>
        <v>0.93151216219539446</v>
      </c>
      <c r="AB14" s="1702">
        <f t="shared" si="0"/>
        <v>0</v>
      </c>
      <c r="AC14" s="1711">
        <f t="shared" si="0"/>
        <v>0</v>
      </c>
      <c r="AD14" s="1703">
        <f t="shared" si="0"/>
        <v>0</v>
      </c>
      <c r="AE14" s="1711">
        <f t="shared" si="0"/>
        <v>0</v>
      </c>
      <c r="AF14" s="1704">
        <f t="shared" si="0"/>
        <v>6.2100810813026301</v>
      </c>
      <c r="AG14" s="1699">
        <f t="shared" si="0"/>
        <v>37.260486487815783</v>
      </c>
      <c r="AH14" s="397"/>
      <c r="AI14" s="398"/>
      <c r="AJ14" s="591" t="s">
        <v>429</v>
      </c>
      <c r="AK14" s="398"/>
      <c r="AL14" s="398"/>
      <c r="AM14" s="398"/>
      <c r="AN14" s="591" t="s">
        <v>429</v>
      </c>
      <c r="AO14" s="398"/>
      <c r="AP14" s="397"/>
    </row>
    <row r="15" spans="1:42" ht="18" hidden="1" customHeight="1" x14ac:dyDescent="0.25">
      <c r="A15" s="1795" t="s">
        <v>34</v>
      </c>
      <c r="B15" s="664" t="s">
        <v>176</v>
      </c>
      <c r="C15" s="653"/>
      <c r="D15" s="653" t="s">
        <v>1028</v>
      </c>
      <c r="E15" s="1798">
        <v>49900</v>
      </c>
      <c r="F15" s="616">
        <f>'exchange rates'!$O$5</f>
        <v>1.2820499999999999</v>
      </c>
      <c r="G15" s="625">
        <f>192.28/F15</f>
        <v>149.97854997854998</v>
      </c>
      <c r="H15" s="593">
        <f>351.76/F15</f>
        <v>274.37307437307436</v>
      </c>
      <c r="I15" s="594">
        <v>0</v>
      </c>
      <c r="J15" s="595">
        <v>0</v>
      </c>
      <c r="K15" s="566">
        <f>Tabel668921274[[#This Row],[Fix.ch. 2017]]+Tabel668921274[[#This Row],[Var. ch. 2017]]+Tabel668921274[[#This Row],[Oth. ch. DW 2017]]+Tabel668921274[[#This Row],[VAT DW 2017]]</f>
        <v>424.35162435162431</v>
      </c>
      <c r="L15" s="596">
        <f>522/F15</f>
        <v>407.1604071604072</v>
      </c>
      <c r="M15" s="595">
        <v>0</v>
      </c>
      <c r="N15" s="626">
        <v>0</v>
      </c>
      <c r="O15" s="595">
        <v>0</v>
      </c>
      <c r="P15" s="597">
        <v>0</v>
      </c>
      <c r="Q15" s="595">
        <v>0</v>
      </c>
      <c r="R15" s="570">
        <f>Tabel668921274[[#This Row],[VAT DW 2017]]+Tabel668921274[[#This Row],[VAT Sew. 2017]]+Tabel668921274[[#This Row],[VAT WW 2017]]+Tabel668921274[[#This Row],[VAT Other ch. 2017]]</f>
        <v>0</v>
      </c>
      <c r="S15" s="571">
        <f>Tabel668921274[[#This Row],[Total. ch. DW 2017]]+Tabel668921274[[#This Row],[Sew. 2017]]+Tabel668921274[[#This Row],[VAT Sew. 2017]]+Tabel668921274[[#This Row],[WW 2017]]+Tabel668921274[[#This Row],[VAT WW 2017]]+Tabel668921274[[#This Row],[Other ch. 2017]]+Tabel668921274[[#This Row],[VAT Other ch. 2017]]</f>
        <v>831.51203151203151</v>
      </c>
      <c r="T15" s="397"/>
      <c r="U15" s="1800">
        <f>MEDIAN(G15:G23)</f>
        <v>129.72192972192974</v>
      </c>
      <c r="V15" s="1802">
        <f>MEDIAN(H15:H23)</f>
        <v>168.08236808236811</v>
      </c>
      <c r="W15" s="1804">
        <f>MEDIAN(I15:I23)</f>
        <v>0</v>
      </c>
      <c r="X15" s="1771">
        <f>MEDIAN(J15:J23)</f>
        <v>0</v>
      </c>
      <c r="Y15" s="1806">
        <f>SUM(U15:X23)</f>
        <v>297.80429780429785</v>
      </c>
      <c r="Z15" s="1808">
        <f t="shared" ref="Z15:AF15" si="1">MEDIAN(L15:L23)</f>
        <v>455.52045552045553</v>
      </c>
      <c r="AA15" s="1771">
        <f t="shared" si="1"/>
        <v>0</v>
      </c>
      <c r="AB15" s="1780">
        <f t="shared" si="1"/>
        <v>0</v>
      </c>
      <c r="AC15" s="1771">
        <f t="shared" si="1"/>
        <v>0</v>
      </c>
      <c r="AD15" s="1784">
        <f t="shared" si="1"/>
        <v>0</v>
      </c>
      <c r="AE15" s="1771">
        <f t="shared" si="1"/>
        <v>0</v>
      </c>
      <c r="AF15" s="1787">
        <f t="shared" si="1"/>
        <v>0</v>
      </c>
      <c r="AG15" s="1790">
        <f>Y15+Z15+AA15+AB15+AC15+AD15+AE15</f>
        <v>753.32475332475337</v>
      </c>
      <c r="AH15" s="397"/>
      <c r="AI15" s="398"/>
      <c r="AJ15" s="591" t="s">
        <v>429</v>
      </c>
      <c r="AK15" s="398"/>
      <c r="AL15" s="396"/>
      <c r="AM15" s="591" t="s">
        <v>429</v>
      </c>
      <c r="AN15" s="396"/>
      <c r="AO15" s="398"/>
      <c r="AP15" s="397"/>
    </row>
    <row r="16" spans="1:42" ht="15.6" hidden="1" customHeight="1" x14ac:dyDescent="0.25">
      <c r="A16" s="1796"/>
      <c r="B16" s="261" t="s">
        <v>177</v>
      </c>
      <c r="C16" s="261"/>
      <c r="D16" s="261" t="s">
        <v>1028</v>
      </c>
      <c r="E16" s="1760"/>
      <c r="F16" s="616">
        <f>'exchange rates'!$O$5</f>
        <v>1.2820499999999999</v>
      </c>
      <c r="G16" s="310"/>
      <c r="H16" s="311"/>
      <c r="I16" s="312"/>
      <c r="J16" s="558"/>
      <c r="K16" s="313">
        <f>Tabel668921274[[#This Row],[Fix.ch. 2017]]+Tabel668921274[[#This Row],[Var. ch. 2017]]+Tabel668921274[[#This Row],[Oth. ch. DW 2017]]+Tabel668921274[[#This Row],[VAT DW 2017]]</f>
        <v>0</v>
      </c>
      <c r="L16" s="314"/>
      <c r="M16" s="558"/>
      <c r="N16" s="315"/>
      <c r="O16" s="558"/>
      <c r="P16" s="316"/>
      <c r="Q16" s="558"/>
      <c r="R16" s="317">
        <f>Tabel668921274[[#This Row],[VAT DW 2017]]+Tabel668921274[[#This Row],[VAT Sew. 2017]]+Tabel668921274[[#This Row],[VAT WW 2017]]+Tabel668921274[[#This Row],[VAT Other ch. 2017]]</f>
        <v>0</v>
      </c>
      <c r="S16" s="318">
        <f>Tabel668921274[[#This Row],[Total. ch. DW 2017]]+Tabel668921274[[#This Row],[Sew. 2017]]+Tabel668921274[[#This Row],[VAT Sew. 2017]]+Tabel668921274[[#This Row],[WW 2017]]+Tabel668921274[[#This Row],[VAT WW 2017]]+Tabel668921274[[#This Row],[Other ch. 2017]]+Tabel668921274[[#This Row],[VAT Other ch. 2017]]</f>
        <v>0</v>
      </c>
      <c r="T16" s="397"/>
      <c r="U16" s="1763"/>
      <c r="V16" s="1766"/>
      <c r="W16" s="1769"/>
      <c r="X16" s="1783"/>
      <c r="Y16" s="1775"/>
      <c r="Z16" s="1778"/>
      <c r="AA16" s="1783"/>
      <c r="AB16" s="1781"/>
      <c r="AC16" s="1783"/>
      <c r="AD16" s="1785"/>
      <c r="AE16" s="1783"/>
      <c r="AF16" s="1788"/>
      <c r="AG16" s="1791"/>
      <c r="AH16" s="397"/>
      <c r="AI16" s="398"/>
      <c r="AJ16" s="398"/>
      <c r="AK16" s="398"/>
      <c r="AL16" s="396"/>
      <c r="AM16" s="396"/>
      <c r="AN16" s="396"/>
      <c r="AO16" s="398"/>
      <c r="AP16" s="397"/>
    </row>
    <row r="17" spans="1:42" ht="15.6" hidden="1" customHeight="1" x14ac:dyDescent="0.25">
      <c r="A17" s="1796"/>
      <c r="B17" s="631" t="s">
        <v>178</v>
      </c>
      <c r="C17" s="631"/>
      <c r="D17" s="631" t="s">
        <v>1028</v>
      </c>
      <c r="E17" s="1760"/>
      <c r="F17" s="616">
        <f>'exchange rates'!$O$5</f>
        <v>1.2820499999999999</v>
      </c>
      <c r="G17" s="625">
        <f>166.31/F17</f>
        <v>129.72192972192974</v>
      </c>
      <c r="H17" s="593">
        <f>215.49/F17</f>
        <v>168.08236808236811</v>
      </c>
      <c r="I17" s="594">
        <v>0</v>
      </c>
      <c r="J17" s="595">
        <v>0</v>
      </c>
      <c r="K17" s="566">
        <f>Tabel668921274[[#This Row],[Fix.ch. 2017]]+Tabel668921274[[#This Row],[Var. ch. 2017]]+Tabel668921274[[#This Row],[Oth. ch. DW 2017]]+Tabel668921274[[#This Row],[VAT DW 2017]]</f>
        <v>297.80429780429785</v>
      </c>
      <c r="L17" s="596">
        <f>622.16/F17</f>
        <v>485.28528528528528</v>
      </c>
      <c r="M17" s="595">
        <v>0</v>
      </c>
      <c r="N17" s="626">
        <v>0</v>
      </c>
      <c r="O17" s="595">
        <v>0</v>
      </c>
      <c r="P17" s="597">
        <v>0</v>
      </c>
      <c r="Q17" s="595">
        <v>0</v>
      </c>
      <c r="R17" s="570">
        <f>Tabel668921274[[#This Row],[VAT DW 2017]]+Tabel668921274[[#This Row],[VAT Sew. 2017]]+Tabel668921274[[#This Row],[VAT WW 2017]]+Tabel668921274[[#This Row],[VAT Other ch. 2017]]</f>
        <v>0</v>
      </c>
      <c r="S17" s="571">
        <f>Tabel668921274[[#This Row],[Total. ch. DW 2017]]+Tabel668921274[[#This Row],[Sew. 2017]]+Tabel668921274[[#This Row],[VAT Sew. 2017]]+Tabel668921274[[#This Row],[WW 2017]]+Tabel668921274[[#This Row],[VAT WW 2017]]+Tabel668921274[[#This Row],[Other ch. 2017]]+Tabel668921274[[#This Row],[VAT Other ch. 2017]]</f>
        <v>783.08958308958313</v>
      </c>
      <c r="T17" s="397"/>
      <c r="U17" s="1763"/>
      <c r="V17" s="1766"/>
      <c r="W17" s="1769"/>
      <c r="X17" s="1783"/>
      <c r="Y17" s="1775"/>
      <c r="Z17" s="1778"/>
      <c r="AA17" s="1783"/>
      <c r="AB17" s="1781"/>
      <c r="AC17" s="1783"/>
      <c r="AD17" s="1785"/>
      <c r="AE17" s="1783"/>
      <c r="AF17" s="1788"/>
      <c r="AG17" s="1791"/>
      <c r="AH17" s="397"/>
      <c r="AI17" s="398"/>
      <c r="AJ17" s="591" t="s">
        <v>429</v>
      </c>
      <c r="AK17" s="398"/>
      <c r="AL17" s="396"/>
      <c r="AM17" s="591" t="s">
        <v>429</v>
      </c>
      <c r="AN17" s="396"/>
      <c r="AO17" s="398"/>
      <c r="AP17" s="397"/>
    </row>
    <row r="18" spans="1:42" ht="15.6" hidden="1" customHeight="1" x14ac:dyDescent="0.25">
      <c r="A18" s="1796"/>
      <c r="B18" s="631" t="s">
        <v>179</v>
      </c>
      <c r="C18" s="631"/>
      <c r="D18" s="631" t="s">
        <v>1028</v>
      </c>
      <c r="E18" s="1760"/>
      <c r="F18" s="616">
        <f>'exchange rates'!$O$5</f>
        <v>1.2820499999999999</v>
      </c>
      <c r="G18" s="625">
        <f>236.32/F18</f>
        <v>184.32978432978433</v>
      </c>
      <c r="H18" s="593">
        <f>171.3/F18</f>
        <v>133.61413361413364</v>
      </c>
      <c r="I18" s="594">
        <v>0</v>
      </c>
      <c r="J18" s="595">
        <v>0</v>
      </c>
      <c r="K18" s="566">
        <f>Tabel668921274[[#This Row],[Fix.ch. 2017]]+Tabel668921274[[#This Row],[Var. ch. 2017]]+Tabel668921274[[#This Row],[Oth. ch. DW 2017]]+Tabel668921274[[#This Row],[VAT DW 2017]]</f>
        <v>317.943917943918</v>
      </c>
      <c r="L18" s="596">
        <f>758/F18</f>
        <v>591.24059124059124</v>
      </c>
      <c r="M18" s="595">
        <v>0</v>
      </c>
      <c r="N18" s="626">
        <v>0</v>
      </c>
      <c r="O18" s="595">
        <v>0</v>
      </c>
      <c r="P18" s="597">
        <v>0</v>
      </c>
      <c r="Q18" s="595">
        <v>0</v>
      </c>
      <c r="R18" s="570">
        <f>Tabel668921274[[#This Row],[VAT DW 2017]]+Tabel668921274[[#This Row],[VAT Sew. 2017]]+Tabel668921274[[#This Row],[VAT WW 2017]]+Tabel668921274[[#This Row],[VAT Other ch. 2017]]</f>
        <v>0</v>
      </c>
      <c r="S18" s="571">
        <f>Tabel668921274[[#This Row],[Total. ch. DW 2017]]+Tabel668921274[[#This Row],[Sew. 2017]]+Tabel668921274[[#This Row],[VAT Sew. 2017]]+Tabel668921274[[#This Row],[WW 2017]]+Tabel668921274[[#This Row],[VAT WW 2017]]+Tabel668921274[[#This Row],[Other ch. 2017]]+Tabel668921274[[#This Row],[VAT Other ch. 2017]]</f>
        <v>909.18450918450924</v>
      </c>
      <c r="T18" s="397"/>
      <c r="U18" s="1763"/>
      <c r="V18" s="1766"/>
      <c r="W18" s="1769"/>
      <c r="X18" s="1783"/>
      <c r="Y18" s="1775"/>
      <c r="Z18" s="1778"/>
      <c r="AA18" s="1783"/>
      <c r="AB18" s="1781"/>
      <c r="AC18" s="1783"/>
      <c r="AD18" s="1785"/>
      <c r="AE18" s="1783"/>
      <c r="AF18" s="1788"/>
      <c r="AG18" s="1791"/>
      <c r="AH18" s="397"/>
      <c r="AI18" s="398"/>
      <c r="AJ18" s="591" t="s">
        <v>429</v>
      </c>
      <c r="AK18" s="398"/>
      <c r="AL18" s="396"/>
      <c r="AM18" s="591" t="s">
        <v>429</v>
      </c>
      <c r="AN18" s="396"/>
      <c r="AO18" s="398"/>
      <c r="AP18" s="397"/>
    </row>
    <row r="19" spans="1:42" ht="15.6" hidden="1" customHeight="1" x14ac:dyDescent="0.25">
      <c r="A19" s="1796"/>
      <c r="B19" s="631" t="s">
        <v>180</v>
      </c>
      <c r="C19" s="631"/>
      <c r="D19" s="631" t="s">
        <v>1028</v>
      </c>
      <c r="E19" s="1760"/>
      <c r="F19" s="616">
        <f>'exchange rates'!$O$5</f>
        <v>1.2820499999999999</v>
      </c>
      <c r="G19" s="625">
        <f>90/F19</f>
        <v>70.200070200070201</v>
      </c>
      <c r="H19" s="593">
        <f>200/F19</f>
        <v>156.00015600015601</v>
      </c>
      <c r="I19" s="594">
        <v>0</v>
      </c>
      <c r="J19" s="595">
        <v>0</v>
      </c>
      <c r="K19" s="566">
        <f>Tabel668921274[[#This Row],[Fix.ch. 2017]]+Tabel668921274[[#This Row],[Var. ch. 2017]]+Tabel668921274[[#This Row],[Oth. ch. DW 2017]]+Tabel668921274[[#This Row],[VAT DW 2017]]</f>
        <v>226.20022620022621</v>
      </c>
      <c r="L19" s="596">
        <f>584/F19</f>
        <v>455.52045552045553</v>
      </c>
      <c r="M19" s="595">
        <v>0</v>
      </c>
      <c r="N19" s="626">
        <v>0</v>
      </c>
      <c r="O19" s="595">
        <v>0</v>
      </c>
      <c r="P19" s="597">
        <v>0</v>
      </c>
      <c r="Q19" s="595">
        <v>0</v>
      </c>
      <c r="R19" s="570">
        <f>Tabel668921274[[#This Row],[VAT DW 2017]]+Tabel668921274[[#This Row],[VAT Sew. 2017]]+Tabel668921274[[#This Row],[VAT WW 2017]]+Tabel668921274[[#This Row],[VAT Other ch. 2017]]</f>
        <v>0</v>
      </c>
      <c r="S19" s="571">
        <f>Tabel668921274[[#This Row],[Total. ch. DW 2017]]+Tabel668921274[[#This Row],[Sew. 2017]]+Tabel668921274[[#This Row],[VAT Sew. 2017]]+Tabel668921274[[#This Row],[WW 2017]]+Tabel668921274[[#This Row],[VAT WW 2017]]+Tabel668921274[[#This Row],[Other ch. 2017]]+Tabel668921274[[#This Row],[VAT Other ch. 2017]]</f>
        <v>681.7206817206818</v>
      </c>
      <c r="T19" s="397"/>
      <c r="U19" s="1763"/>
      <c r="V19" s="1766"/>
      <c r="W19" s="1769"/>
      <c r="X19" s="1783"/>
      <c r="Y19" s="1775"/>
      <c r="Z19" s="1778"/>
      <c r="AA19" s="1783"/>
      <c r="AB19" s="1781"/>
      <c r="AC19" s="1783"/>
      <c r="AD19" s="1785"/>
      <c r="AE19" s="1783"/>
      <c r="AF19" s="1788"/>
      <c r="AG19" s="1791"/>
      <c r="AH19" s="397"/>
      <c r="AI19" s="398"/>
      <c r="AJ19" s="591" t="s">
        <v>429</v>
      </c>
      <c r="AK19" s="396"/>
      <c r="AL19" s="396"/>
      <c r="AM19" s="591" t="s">
        <v>429</v>
      </c>
      <c r="AN19" s="396"/>
      <c r="AO19" s="398"/>
      <c r="AP19" s="397"/>
    </row>
    <row r="20" spans="1:42" ht="15.6" hidden="1" customHeight="1" x14ac:dyDescent="0.25">
      <c r="A20" s="1796"/>
      <c r="B20" s="631" t="s">
        <v>544</v>
      </c>
      <c r="C20" s="631" t="s">
        <v>429</v>
      </c>
      <c r="D20" s="631" t="s">
        <v>1028</v>
      </c>
      <c r="E20" s="1760"/>
      <c r="F20" s="616">
        <f>'exchange rates'!$O$5</f>
        <v>1.2820499999999999</v>
      </c>
      <c r="G20" s="625">
        <f>101.48/F20</f>
        <v>79.154479154479162</v>
      </c>
      <c r="H20" s="593">
        <f>261/F20</f>
        <v>203.5802035802036</v>
      </c>
      <c r="I20" s="594">
        <v>0</v>
      </c>
      <c r="J20" s="595">
        <v>0</v>
      </c>
      <c r="K20" s="566">
        <f>Tabel668921274[[#This Row],[Fix.ch. 2017]]+Tabel668921274[[#This Row],[Var. ch. 2017]]+Tabel668921274[[#This Row],[Oth. ch. DW 2017]]+Tabel668921274[[#This Row],[VAT DW 2017]]</f>
        <v>282.73468273468279</v>
      </c>
      <c r="L20" s="596">
        <f>529/F20</f>
        <v>412.62041262041265</v>
      </c>
      <c r="M20" s="595">
        <v>0</v>
      </c>
      <c r="N20" s="626">
        <v>0</v>
      </c>
      <c r="O20" s="595">
        <v>0</v>
      </c>
      <c r="P20" s="597">
        <v>0</v>
      </c>
      <c r="Q20" s="595">
        <v>0</v>
      </c>
      <c r="R20" s="570">
        <f>Tabel668921274[[#This Row],[VAT DW 2017]]+Tabel668921274[[#This Row],[VAT Sew. 2017]]+Tabel668921274[[#This Row],[VAT WW 2017]]+Tabel668921274[[#This Row],[VAT Other ch. 2017]]</f>
        <v>0</v>
      </c>
      <c r="S20" s="571">
        <f>Tabel668921274[[#This Row],[Total. ch. DW 2017]]+Tabel668921274[[#This Row],[Sew. 2017]]+Tabel668921274[[#This Row],[VAT Sew. 2017]]+Tabel668921274[[#This Row],[WW 2017]]+Tabel668921274[[#This Row],[VAT WW 2017]]+Tabel668921274[[#This Row],[Other ch. 2017]]+Tabel668921274[[#This Row],[VAT Other ch. 2017]]</f>
        <v>695.3550953550955</v>
      </c>
      <c r="T20" s="397"/>
      <c r="U20" s="1763"/>
      <c r="V20" s="1766"/>
      <c r="W20" s="1769"/>
      <c r="X20" s="1783"/>
      <c r="Y20" s="1775"/>
      <c r="Z20" s="1778"/>
      <c r="AA20" s="1783"/>
      <c r="AB20" s="1781"/>
      <c r="AC20" s="1783"/>
      <c r="AD20" s="1785"/>
      <c r="AE20" s="1783"/>
      <c r="AF20" s="1788"/>
      <c r="AG20" s="1791"/>
      <c r="AH20" s="397"/>
      <c r="AI20" s="396"/>
      <c r="AJ20" s="591" t="s">
        <v>429</v>
      </c>
      <c r="AK20" s="396"/>
      <c r="AL20" s="396"/>
      <c r="AM20" s="591" t="s">
        <v>429</v>
      </c>
      <c r="AN20" s="396"/>
      <c r="AO20" s="396"/>
      <c r="AP20" s="399"/>
    </row>
    <row r="21" spans="1:42" ht="15.6" hidden="1" customHeight="1" x14ac:dyDescent="0.25">
      <c r="A21" s="1796"/>
      <c r="B21" s="261" t="s">
        <v>545</v>
      </c>
      <c r="C21" s="261"/>
      <c r="D21" s="261" t="s">
        <v>1028</v>
      </c>
      <c r="E21" s="1760"/>
      <c r="F21" s="616">
        <f>'exchange rates'!$O$5</f>
        <v>1.2820499999999999</v>
      </c>
      <c r="G21" s="310"/>
      <c r="H21" s="311"/>
      <c r="I21" s="312"/>
      <c r="J21" s="558"/>
      <c r="K21" s="313">
        <f>Tabel668921274[[#This Row],[Fix.ch. 2017]]+Tabel668921274[[#This Row],[Var. ch. 2017]]+Tabel668921274[[#This Row],[Oth. ch. DW 2017]]+Tabel668921274[[#This Row],[VAT DW 2017]]</f>
        <v>0</v>
      </c>
      <c r="L21" s="314"/>
      <c r="M21" s="558"/>
      <c r="N21" s="315"/>
      <c r="O21" s="558"/>
      <c r="P21" s="316"/>
      <c r="Q21" s="558"/>
      <c r="R21" s="317">
        <f>Tabel668921274[[#This Row],[VAT DW 2017]]+Tabel668921274[[#This Row],[VAT Sew. 2017]]+Tabel668921274[[#This Row],[VAT WW 2017]]+Tabel668921274[[#This Row],[VAT Other ch. 2017]]</f>
        <v>0</v>
      </c>
      <c r="S21" s="318">
        <f>Tabel668921274[[#This Row],[Total. ch. DW 2017]]+Tabel668921274[[#This Row],[Sew. 2017]]+Tabel668921274[[#This Row],[VAT Sew. 2017]]+Tabel668921274[[#This Row],[WW 2017]]+Tabel668921274[[#This Row],[VAT WW 2017]]+Tabel668921274[[#This Row],[Other ch. 2017]]+Tabel668921274[[#This Row],[VAT Other ch. 2017]]</f>
        <v>0</v>
      </c>
      <c r="T21" s="397"/>
      <c r="U21" s="1763"/>
      <c r="V21" s="1766"/>
      <c r="W21" s="1769"/>
      <c r="X21" s="1783"/>
      <c r="Y21" s="1775"/>
      <c r="Z21" s="1778"/>
      <c r="AA21" s="1783"/>
      <c r="AB21" s="1781"/>
      <c r="AC21" s="1783"/>
      <c r="AD21" s="1785"/>
      <c r="AE21" s="1783"/>
      <c r="AF21" s="1788"/>
      <c r="AG21" s="1791"/>
      <c r="AH21" s="397"/>
      <c r="AI21" s="396"/>
      <c r="AJ21" s="396"/>
      <c r="AK21" s="396"/>
      <c r="AL21" s="396"/>
      <c r="AM21" s="396"/>
      <c r="AN21" s="396"/>
      <c r="AO21" s="396"/>
      <c r="AP21" s="399"/>
    </row>
    <row r="22" spans="1:42" ht="15.6" hidden="1" customHeight="1" x14ac:dyDescent="0.25">
      <c r="A22" s="1796"/>
      <c r="B22" s="261" t="s">
        <v>779</v>
      </c>
      <c r="C22" s="261"/>
      <c r="D22" s="261" t="s">
        <v>1028</v>
      </c>
      <c r="E22" s="1760"/>
      <c r="F22" s="616">
        <f>'exchange rates'!$O$5</f>
        <v>1.2820499999999999</v>
      </c>
      <c r="G22" s="310"/>
      <c r="H22" s="311"/>
      <c r="I22" s="312"/>
      <c r="J22" s="558"/>
      <c r="K22" s="313">
        <f>Tabel668921274[[#This Row],[Fix.ch. 2017]]+Tabel668921274[[#This Row],[Var. ch. 2017]]+Tabel668921274[[#This Row],[Oth. ch. DW 2017]]+Tabel668921274[[#This Row],[VAT DW 2017]]</f>
        <v>0</v>
      </c>
      <c r="L22" s="314"/>
      <c r="M22" s="558"/>
      <c r="N22" s="315"/>
      <c r="O22" s="558"/>
      <c r="P22" s="316"/>
      <c r="Q22" s="558"/>
      <c r="R22" s="317">
        <f>Tabel668921274[[#This Row],[VAT DW 2017]]+Tabel668921274[[#This Row],[VAT Sew. 2017]]+Tabel668921274[[#This Row],[VAT WW 2017]]+Tabel668921274[[#This Row],[VAT Other ch. 2017]]</f>
        <v>0</v>
      </c>
      <c r="S22" s="318">
        <f>Tabel668921274[[#This Row],[Total. ch. DW 2017]]+Tabel668921274[[#This Row],[Sew. 2017]]+Tabel668921274[[#This Row],[VAT Sew. 2017]]+Tabel668921274[[#This Row],[WW 2017]]+Tabel668921274[[#This Row],[VAT WW 2017]]+Tabel668921274[[#This Row],[Other ch. 2017]]+Tabel668921274[[#This Row],[VAT Other ch. 2017]]</f>
        <v>0</v>
      </c>
      <c r="T22" s="397"/>
      <c r="U22" s="1763"/>
      <c r="V22" s="1766"/>
      <c r="W22" s="1769"/>
      <c r="X22" s="1783"/>
      <c r="Y22" s="1775"/>
      <c r="Z22" s="1778"/>
      <c r="AA22" s="1783"/>
      <c r="AB22" s="1781"/>
      <c r="AC22" s="1783"/>
      <c r="AD22" s="1785"/>
      <c r="AE22" s="1783"/>
      <c r="AF22" s="1788"/>
      <c r="AG22" s="1791"/>
      <c r="AH22" s="397"/>
      <c r="AI22" s="396"/>
      <c r="AJ22" s="396"/>
      <c r="AK22" s="396"/>
      <c r="AL22" s="396"/>
      <c r="AM22" s="396"/>
      <c r="AN22" s="396"/>
      <c r="AO22" s="396"/>
      <c r="AP22" s="399"/>
    </row>
    <row r="23" spans="1:42" ht="16.149999999999999" hidden="1" customHeight="1" thickBot="1" x14ac:dyDescent="0.3">
      <c r="A23" s="1797"/>
      <c r="B23" s="262" t="s">
        <v>546</v>
      </c>
      <c r="C23" s="261"/>
      <c r="D23" s="261" t="s">
        <v>1028</v>
      </c>
      <c r="E23" s="1799"/>
      <c r="F23" s="616">
        <f>'exchange rates'!$O$5</f>
        <v>1.2820499999999999</v>
      </c>
      <c r="G23" s="310"/>
      <c r="H23" s="311"/>
      <c r="I23" s="312"/>
      <c r="J23" s="558"/>
      <c r="K23" s="313">
        <f>Tabel668921274[[#This Row],[Fix.ch. 2017]]+Tabel668921274[[#This Row],[Var. ch. 2017]]+Tabel668921274[[#This Row],[Oth. ch. DW 2017]]+Tabel668921274[[#This Row],[VAT DW 2017]]</f>
        <v>0</v>
      </c>
      <c r="L23" s="314"/>
      <c r="M23" s="558"/>
      <c r="N23" s="315"/>
      <c r="O23" s="558"/>
      <c r="P23" s="316"/>
      <c r="Q23" s="558"/>
      <c r="R23" s="317">
        <f>Tabel668921274[[#This Row],[VAT DW 2017]]+Tabel668921274[[#This Row],[VAT Sew. 2017]]+Tabel668921274[[#This Row],[VAT WW 2017]]+Tabel668921274[[#This Row],[VAT Other ch. 2017]]</f>
        <v>0</v>
      </c>
      <c r="S23" s="318">
        <f>Tabel668921274[[#This Row],[Total. ch. DW 2017]]+Tabel668921274[[#This Row],[Sew. 2017]]+Tabel668921274[[#This Row],[VAT Sew. 2017]]+Tabel668921274[[#This Row],[WW 2017]]+Tabel668921274[[#This Row],[VAT WW 2017]]+Tabel668921274[[#This Row],[Other ch. 2017]]+Tabel668921274[[#This Row],[VAT Other ch. 2017]]</f>
        <v>0</v>
      </c>
      <c r="T23" s="397"/>
      <c r="U23" s="1801"/>
      <c r="V23" s="1803"/>
      <c r="W23" s="1805"/>
      <c r="X23" s="1773"/>
      <c r="Y23" s="1807"/>
      <c r="Z23" s="1809"/>
      <c r="AA23" s="1773"/>
      <c r="AB23" s="1782"/>
      <c r="AC23" s="1773"/>
      <c r="AD23" s="1786"/>
      <c r="AE23" s="1773"/>
      <c r="AF23" s="1789"/>
      <c r="AG23" s="1792"/>
      <c r="AH23" s="397"/>
      <c r="AI23" s="396"/>
      <c r="AJ23" s="396"/>
      <c r="AK23" s="396"/>
      <c r="AL23" s="396"/>
      <c r="AM23" s="396"/>
      <c r="AN23" s="396"/>
      <c r="AO23" s="396"/>
      <c r="AP23" s="399"/>
    </row>
    <row r="24" spans="1:42" ht="15.75" hidden="1" customHeight="1" x14ac:dyDescent="0.25">
      <c r="A24" s="1795" t="s">
        <v>4</v>
      </c>
      <c r="B24" s="724" t="s">
        <v>932</v>
      </c>
      <c r="C24" s="724"/>
      <c r="D24" s="806" t="s">
        <v>1030</v>
      </c>
      <c r="E24" s="1760">
        <v>49200</v>
      </c>
      <c r="F24" s="616">
        <f>'exchange rates'!O6</f>
        <v>0.83301000000000003</v>
      </c>
      <c r="G24" s="625">
        <f>37/F24</f>
        <v>44.417233886748058</v>
      </c>
      <c r="H24" s="593">
        <f>149/F24</f>
        <v>178.86940132771514</v>
      </c>
      <c r="I24" s="594">
        <v>0</v>
      </c>
      <c r="J24" s="595">
        <f>18.53/F24</f>
        <v>22.244630916795717</v>
      </c>
      <c r="K24" s="566">
        <f>Tabel668921274[[#This Row],[Fix.ch. 2017]]+Tabel668921274[[#This Row],[Var. ch. 2017]]+Tabel668921274[[#This Row],[Oth. ch. DW 2017]]+Tabel668921274[[#This Row],[VAT DW 2017]]</f>
        <v>245.53126613125892</v>
      </c>
      <c r="L24" s="596">
        <v>0</v>
      </c>
      <c r="M24" s="595">
        <v>0</v>
      </c>
      <c r="N24" s="626">
        <f>193/F24</f>
        <v>231.68989567952366</v>
      </c>
      <c r="O24" s="595">
        <f>19.32/F24</f>
        <v>23.192998883566823</v>
      </c>
      <c r="P24" s="597">
        <v>0</v>
      </c>
      <c r="Q24" s="595">
        <v>0</v>
      </c>
      <c r="R24" s="570">
        <f>Tabel668921274[[#This Row],[VAT DW 2017]]+Tabel668921274[[#This Row],[VAT Sew. 2017]]+Tabel668921274[[#This Row],[VAT WW 2017]]+Tabel668921274[[#This Row],[VAT Other ch. 2017]]</f>
        <v>45.437629800362544</v>
      </c>
      <c r="S24" s="571">
        <f>Tabel668921274[[#This Row],[Total. ch. DW 2017]]+Tabel668921274[[#This Row],[Sew. 2017]]+Tabel668921274[[#This Row],[VAT Sew. 2017]]+Tabel668921274[[#This Row],[WW 2017]]+Tabel668921274[[#This Row],[VAT WW 2017]]+Tabel668921274[[#This Row],[Other ch. 2017]]+Tabel668921274[[#This Row],[VAT Other ch. 2017]]</f>
        <v>500.41416069434939</v>
      </c>
      <c r="T24" s="397"/>
      <c r="U24" s="1824">
        <f>Tabel668921274[[#This Row],[Fix.ch. 2017]]</f>
        <v>44.417233886748058</v>
      </c>
      <c r="V24" s="1825">
        <f>Tabel668921274[[#This Row],[Var. ch. 2017]]</f>
        <v>178.86940132771514</v>
      </c>
      <c r="W24" s="1826">
        <f>Tabel668921274[[#This Row],[Oth. ch. DW 2017]]</f>
        <v>0</v>
      </c>
      <c r="X24" s="1771">
        <f>Tabel668921274[[#This Row],[VAT DW 2017]]</f>
        <v>22.244630916795717</v>
      </c>
      <c r="Y24" s="1827">
        <f>Tabel668921274[[#This Row],[Total. ch. DW 2017]]</f>
        <v>245.53126613125892</v>
      </c>
      <c r="Z24" s="1828">
        <f>Tabel668921274[[#This Row],[Sew. 2017]]</f>
        <v>0</v>
      </c>
      <c r="AA24" s="1771">
        <f>Tabel668921274[[#This Row],[VAT Sew. 2017]]</f>
        <v>0</v>
      </c>
      <c r="AB24" s="1829">
        <f>Tabel668921274[[#This Row],[WW 2017]]</f>
        <v>231.68989567952366</v>
      </c>
      <c r="AC24" s="1771">
        <f>Tabel668921274[[#This Row],[VAT WW 2017]]</f>
        <v>23.192998883566823</v>
      </c>
      <c r="AD24" s="1830">
        <f>Tabel668921274[[#This Row],[Other ch. 2017]]</f>
        <v>0</v>
      </c>
      <c r="AE24" s="1771">
        <f>Tabel668921274[[#This Row],[VAT Other ch. 2017]]</f>
        <v>0</v>
      </c>
      <c r="AF24" s="1816">
        <f>Tabel668921274[[#This Row],[Total VAT 2017]]</f>
        <v>45.437629800362544</v>
      </c>
      <c r="AG24" s="1817">
        <f>Tabel668921274[[#This Row],[total charge 2017]]</f>
        <v>500.41416069434939</v>
      </c>
      <c r="AH24" s="397"/>
      <c r="AI24" s="398"/>
      <c r="AJ24" s="591" t="s">
        <v>429</v>
      </c>
      <c r="AK24" s="614"/>
      <c r="AL24" s="614"/>
      <c r="AM24" s="591" t="s">
        <v>429</v>
      </c>
      <c r="AN24" s="591" t="s">
        <v>429</v>
      </c>
      <c r="AO24" s="398"/>
      <c r="AP24" s="397"/>
    </row>
    <row r="25" spans="1:42" ht="15.75" hidden="1" customHeight="1" x14ac:dyDescent="0.25">
      <c r="A25" s="1796"/>
      <c r="B25" s="452" t="s">
        <v>60</v>
      </c>
      <c r="C25" s="452"/>
      <c r="D25" s="452" t="s">
        <v>1030</v>
      </c>
      <c r="E25" s="1760"/>
      <c r="F25" s="306">
        <f>'exchange rates'!K6</f>
        <v>0.72762000000000004</v>
      </c>
      <c r="G25" s="310">
        <f>17.52/F25</f>
        <v>24.078502515049063</v>
      </c>
      <c r="H25" s="311">
        <f>262/F25</f>
        <v>360.07806272504877</v>
      </c>
      <c r="I25" s="312">
        <v>0</v>
      </c>
      <c r="J25" s="558"/>
      <c r="K25" s="313">
        <f>Tabel668921274[[#This Row],[Fix.ch. 2017]]+Tabel668921274[[#This Row],[Var. ch. 2017]]+Tabel668921274[[#This Row],[Oth. ch. DW 2017]]+Tabel668921274[[#This Row],[VAT DW 2017]]</f>
        <v>384.15656524009785</v>
      </c>
      <c r="L25" s="314">
        <v>0</v>
      </c>
      <c r="M25" s="558"/>
      <c r="N25" s="315">
        <f>382.6/F25</f>
        <v>525.82391907863996</v>
      </c>
      <c r="O25" s="558"/>
      <c r="P25" s="316">
        <v>0</v>
      </c>
      <c r="Q25" s="558"/>
      <c r="R25" s="317">
        <f>Tabel668921274[[#This Row],[VAT DW 2017]]+Tabel668921274[[#This Row],[VAT Sew. 2017]]+Tabel668921274[[#This Row],[VAT WW 2017]]+Tabel668921274[[#This Row],[VAT Other ch. 2017]]</f>
        <v>0</v>
      </c>
      <c r="S25" s="318">
        <f>Tabel668921274[[#This Row],[Total. ch. DW 2017]]+Tabel668921274[[#This Row],[Sew. 2017]]+Tabel668921274[[#This Row],[VAT Sew. 2017]]+Tabel668921274[[#This Row],[WW 2017]]+Tabel668921274[[#This Row],[VAT WW 2017]]+Tabel668921274[[#This Row],[Other ch. 2017]]+Tabel668921274[[#This Row],[VAT Other ch. 2017]]</f>
        <v>909.98048431873781</v>
      </c>
      <c r="T25" s="397"/>
      <c r="U25" s="1763"/>
      <c r="V25" s="1766"/>
      <c r="W25" s="1769"/>
      <c r="X25" s="1772"/>
      <c r="Y25" s="1775"/>
      <c r="Z25" s="1778"/>
      <c r="AA25" s="1772"/>
      <c r="AB25" s="1781"/>
      <c r="AC25" s="1772"/>
      <c r="AD25" s="1785"/>
      <c r="AE25" s="1772"/>
      <c r="AF25" s="1788"/>
      <c r="AG25" s="1791"/>
      <c r="AH25" s="397"/>
      <c r="AI25" s="398"/>
      <c r="AJ25" s="396" t="s">
        <v>429</v>
      </c>
      <c r="AK25" s="398"/>
      <c r="AL25" s="398"/>
      <c r="AM25" s="396" t="s">
        <v>429</v>
      </c>
      <c r="AN25" s="396"/>
      <c r="AO25" s="398"/>
      <c r="AP25" s="397"/>
    </row>
    <row r="26" spans="1:42" ht="15.75" hidden="1" customHeight="1" x14ac:dyDescent="0.25">
      <c r="A26" s="1796"/>
      <c r="B26" s="452" t="s">
        <v>61</v>
      </c>
      <c r="C26" s="452"/>
      <c r="D26" s="452" t="s">
        <v>1030</v>
      </c>
      <c r="E26" s="1760"/>
      <c r="F26" s="306">
        <f>'exchange rates'!K6</f>
        <v>0.72762000000000004</v>
      </c>
      <c r="G26" s="310">
        <f>62.59/F26</f>
        <v>86.020175366262606</v>
      </c>
      <c r="H26" s="311">
        <f>165.58/F26</f>
        <v>227.5638382672274</v>
      </c>
      <c r="I26" s="312">
        <v>0</v>
      </c>
      <c r="J26" s="558"/>
      <c r="K26" s="313">
        <f>Tabel668921274[[#This Row],[Fix.ch. 2017]]+Tabel668921274[[#This Row],[Var. ch. 2017]]+Tabel668921274[[#This Row],[Oth. ch. DW 2017]]+Tabel668921274[[#This Row],[VAT DW 2017]]</f>
        <v>313.58401363349003</v>
      </c>
      <c r="L26" s="314">
        <f>0</f>
        <v>0</v>
      </c>
      <c r="M26" s="558"/>
      <c r="N26" s="315">
        <f>192.04/F26</f>
        <v>263.92897391495558</v>
      </c>
      <c r="O26" s="558"/>
      <c r="P26" s="316">
        <v>0</v>
      </c>
      <c r="Q26" s="558"/>
      <c r="R26" s="317">
        <f>Tabel668921274[[#This Row],[VAT DW 2017]]+Tabel668921274[[#This Row],[VAT Sew. 2017]]+Tabel668921274[[#This Row],[VAT WW 2017]]+Tabel668921274[[#This Row],[VAT Other ch. 2017]]</f>
        <v>0</v>
      </c>
      <c r="S26" s="318">
        <f>Tabel668921274[[#This Row],[Total. ch. DW 2017]]+Tabel668921274[[#This Row],[Sew. 2017]]+Tabel668921274[[#This Row],[VAT Sew. 2017]]+Tabel668921274[[#This Row],[WW 2017]]+Tabel668921274[[#This Row],[VAT WW 2017]]+Tabel668921274[[#This Row],[Other ch. 2017]]+Tabel668921274[[#This Row],[VAT Other ch. 2017]]</f>
        <v>577.51298754844561</v>
      </c>
      <c r="T26" s="397"/>
      <c r="U26" s="1763"/>
      <c r="V26" s="1766"/>
      <c r="W26" s="1769"/>
      <c r="X26" s="1772"/>
      <c r="Y26" s="1775"/>
      <c r="Z26" s="1778"/>
      <c r="AA26" s="1772"/>
      <c r="AB26" s="1781"/>
      <c r="AC26" s="1772"/>
      <c r="AD26" s="1785"/>
      <c r="AE26" s="1772"/>
      <c r="AF26" s="1788"/>
      <c r="AG26" s="1791"/>
      <c r="AH26" s="397"/>
      <c r="AI26" s="398"/>
      <c r="AJ26" s="396" t="s">
        <v>429</v>
      </c>
      <c r="AK26" s="398"/>
      <c r="AL26" s="398"/>
      <c r="AM26" s="396" t="s">
        <v>429</v>
      </c>
      <c r="AN26" s="396"/>
      <c r="AO26" s="398"/>
      <c r="AP26" s="397"/>
    </row>
    <row r="27" spans="1:42" ht="16.5" hidden="1" customHeight="1" x14ac:dyDescent="0.25">
      <c r="A27" s="1796"/>
      <c r="B27" s="452" t="s">
        <v>62</v>
      </c>
      <c r="C27" s="452"/>
      <c r="D27" s="452" t="s">
        <v>1030</v>
      </c>
      <c r="E27" s="1760"/>
      <c r="F27" s="306">
        <f>'exchange rates'!K6</f>
        <v>0.72762000000000004</v>
      </c>
      <c r="G27" s="310">
        <f>23.4/F27</f>
        <v>32.159643770099777</v>
      </c>
      <c r="H27" s="311">
        <f>293.62/F27</f>
        <v>403.53481212720925</v>
      </c>
      <c r="I27" s="312">
        <v>0</v>
      </c>
      <c r="J27" s="558"/>
      <c r="K27" s="313">
        <f>Tabel668921274[[#This Row],[Fix.ch. 2017]]+Tabel668921274[[#This Row],[Var. ch. 2017]]+Tabel668921274[[#This Row],[Oth. ch. DW 2017]]+Tabel668921274[[#This Row],[VAT DW 2017]]</f>
        <v>435.69445589730901</v>
      </c>
      <c r="L27" s="314">
        <v>0</v>
      </c>
      <c r="M27" s="558"/>
      <c r="N27" s="315">
        <f>496/F27</f>
        <v>681.67450042604651</v>
      </c>
      <c r="O27" s="558"/>
      <c r="P27" s="316">
        <v>0</v>
      </c>
      <c r="Q27" s="558"/>
      <c r="R27" s="317">
        <f>Tabel668921274[[#This Row],[VAT DW 2017]]+Tabel668921274[[#This Row],[VAT Sew. 2017]]+Tabel668921274[[#This Row],[VAT WW 2017]]+Tabel668921274[[#This Row],[VAT Other ch. 2017]]</f>
        <v>0</v>
      </c>
      <c r="S27" s="318">
        <f>Tabel668921274[[#This Row],[Total. ch. DW 2017]]+Tabel668921274[[#This Row],[Sew. 2017]]+Tabel668921274[[#This Row],[VAT Sew. 2017]]+Tabel668921274[[#This Row],[WW 2017]]+Tabel668921274[[#This Row],[VAT WW 2017]]+Tabel668921274[[#This Row],[Other ch. 2017]]+Tabel668921274[[#This Row],[VAT Other ch. 2017]]</f>
        <v>1117.3689563233556</v>
      </c>
      <c r="T27" s="397"/>
      <c r="U27" s="1763"/>
      <c r="V27" s="1766"/>
      <c r="W27" s="1769"/>
      <c r="X27" s="1772"/>
      <c r="Y27" s="1775"/>
      <c r="Z27" s="1778"/>
      <c r="AA27" s="1772"/>
      <c r="AB27" s="1781"/>
      <c r="AC27" s="1772"/>
      <c r="AD27" s="1785"/>
      <c r="AE27" s="1772"/>
      <c r="AF27" s="1788"/>
      <c r="AG27" s="1791"/>
      <c r="AH27" s="397"/>
      <c r="AI27" s="398"/>
      <c r="AJ27" s="396" t="s">
        <v>429</v>
      </c>
      <c r="AK27" s="398"/>
      <c r="AL27" s="398"/>
      <c r="AM27" s="396" t="s">
        <v>429</v>
      </c>
      <c r="AN27" s="396"/>
      <c r="AO27" s="398"/>
      <c r="AP27" s="397"/>
    </row>
    <row r="28" spans="1:42" ht="16.5" hidden="1" customHeight="1" thickBot="1" x14ac:dyDescent="0.3">
      <c r="A28" s="1797"/>
      <c r="B28" s="453" t="s">
        <v>63</v>
      </c>
      <c r="C28" s="801" t="s">
        <v>429</v>
      </c>
      <c r="D28" s="801" t="s">
        <v>1030</v>
      </c>
      <c r="E28" s="1799"/>
      <c r="F28" s="306">
        <f>'exchange rates'!K6</f>
        <v>0.72762000000000004</v>
      </c>
      <c r="G28" s="310">
        <f>21.72/F28</f>
        <v>29.850746268656714</v>
      </c>
      <c r="H28" s="311">
        <f>311.4/F28</f>
        <v>427.97064401748162</v>
      </c>
      <c r="I28" s="312">
        <v>0</v>
      </c>
      <c r="J28" s="558"/>
      <c r="K28" s="313">
        <f>Tabel668921274[[#This Row],[Fix.ch. 2017]]+Tabel668921274[[#This Row],[Var. ch. 2017]]+Tabel668921274[[#This Row],[Oth. ch. DW 2017]]+Tabel668921274[[#This Row],[VAT DW 2017]]</f>
        <v>457.82139028613835</v>
      </c>
      <c r="L28" s="314">
        <v>0</v>
      </c>
      <c r="M28" s="558"/>
      <c r="N28" s="315">
        <f>354.6/F28</f>
        <v>487.34229405458893</v>
      </c>
      <c r="O28" s="558"/>
      <c r="P28" s="316">
        <v>0</v>
      </c>
      <c r="Q28" s="558"/>
      <c r="R28" s="317">
        <f>Tabel668921274[[#This Row],[VAT DW 2017]]+Tabel668921274[[#This Row],[VAT Sew. 2017]]+Tabel668921274[[#This Row],[VAT WW 2017]]+Tabel668921274[[#This Row],[VAT Other ch. 2017]]</f>
        <v>0</v>
      </c>
      <c r="S28" s="318">
        <f>Tabel668921274[[#This Row],[Total. ch. DW 2017]]+Tabel668921274[[#This Row],[Sew. 2017]]+Tabel668921274[[#This Row],[VAT Sew. 2017]]+Tabel668921274[[#This Row],[WW 2017]]+Tabel668921274[[#This Row],[VAT WW 2017]]+Tabel668921274[[#This Row],[Other ch. 2017]]+Tabel668921274[[#This Row],[VAT Other ch. 2017]]</f>
        <v>945.16368434072729</v>
      </c>
      <c r="T28" s="397"/>
      <c r="U28" s="1801"/>
      <c r="V28" s="1803"/>
      <c r="W28" s="1805"/>
      <c r="X28" s="1773"/>
      <c r="Y28" s="1807"/>
      <c r="Z28" s="1809"/>
      <c r="AA28" s="1773"/>
      <c r="AB28" s="1782"/>
      <c r="AC28" s="1773"/>
      <c r="AD28" s="1786"/>
      <c r="AE28" s="1773"/>
      <c r="AF28" s="1789"/>
      <c r="AG28" s="1792"/>
      <c r="AH28" s="397"/>
      <c r="AI28" s="398"/>
      <c r="AJ28" s="396" t="s">
        <v>429</v>
      </c>
      <c r="AK28" s="398"/>
      <c r="AL28" s="398"/>
      <c r="AM28" s="396" t="s">
        <v>429</v>
      </c>
      <c r="AN28" s="396"/>
      <c r="AO28" s="398"/>
      <c r="AP28" s="397"/>
    </row>
    <row r="29" spans="1:42" ht="15.75" hidden="1" customHeight="1" x14ac:dyDescent="0.25">
      <c r="A29" s="1818" t="s">
        <v>6</v>
      </c>
      <c r="B29" s="735" t="s">
        <v>67</v>
      </c>
      <c r="C29" s="802"/>
      <c r="D29" s="802" t="s">
        <v>1032</v>
      </c>
      <c r="E29" s="1821">
        <v>46300</v>
      </c>
      <c r="F29" s="616">
        <f>'exchange rates'!$O$7</f>
        <v>0.83301000000000003</v>
      </c>
      <c r="G29" s="625">
        <f>20/F29</f>
        <v>24.009315614458409</v>
      </c>
      <c r="H29" s="593">
        <f>172.54/F29</f>
        <v>207.12836580593267</v>
      </c>
      <c r="I29" s="594">
        <v>0</v>
      </c>
      <c r="J29" s="595">
        <f>11.55/F29</f>
        <v>13.865379767349731</v>
      </c>
      <c r="K29" s="566">
        <f>Tabel668921274[[#This Row],[Fix.ch. 2017]]+Tabel668921274[[#This Row],[Var. ch. 2017]]+Tabel668921274[[#This Row],[Oth. ch. DW 2017]]+Tabel668921274[[#This Row],[VAT DW 2017]]</f>
        <v>245.00306118774083</v>
      </c>
      <c r="L29" s="596">
        <f>144.64/F29</f>
        <v>173.63537052376319</v>
      </c>
      <c r="M29" s="595">
        <f>8.68/F29</f>
        <v>10.420042976674949</v>
      </c>
      <c r="N29" s="626">
        <f>102.74/F29</f>
        <v>123.33585431147284</v>
      </c>
      <c r="O29" s="595">
        <f>6.16/F29</f>
        <v>7.3948692092531898</v>
      </c>
      <c r="P29" s="597">
        <v>0</v>
      </c>
      <c r="Q29" s="595">
        <v>0</v>
      </c>
      <c r="R29" s="570">
        <f>Tabel668921274[[#This Row],[VAT DW 2017]]+Tabel668921274[[#This Row],[VAT Sew. 2017]]+Tabel668921274[[#This Row],[VAT WW 2017]]+Tabel668921274[[#This Row],[VAT Other ch. 2017]]</f>
        <v>31.68029195327787</v>
      </c>
      <c r="S29" s="571">
        <f>Tabel668921274[[#This Row],[Total. ch. DW 2017]]+Tabel668921274[[#This Row],[Sew. 2017]]+Tabel668921274[[#This Row],[VAT Sew. 2017]]+Tabel668921274[[#This Row],[WW 2017]]+Tabel668921274[[#This Row],[VAT WW 2017]]+Tabel668921274[[#This Row],[Other ch. 2017]]+Tabel668921274[[#This Row],[VAT Other ch. 2017]]</f>
        <v>559.78919820890508</v>
      </c>
      <c r="T29" s="397"/>
      <c r="U29" s="1824">
        <f>MEDIAN(G29:G36)</f>
        <v>30.011644518073012</v>
      </c>
      <c r="V29" s="1825">
        <f>MEDIAN(H29:H36)</f>
        <v>225.23138977923432</v>
      </c>
      <c r="W29" s="1826">
        <f>MEDIAN(I29:I36)</f>
        <v>0</v>
      </c>
      <c r="X29" s="1771">
        <f>MEDIAN(J29:J36)</f>
        <v>13.865379767349731</v>
      </c>
      <c r="Y29" s="1827">
        <f>SUM(U29:X36)</f>
        <v>269.10841406465704</v>
      </c>
      <c r="Z29" s="1828">
        <f t="shared" ref="Z29:AF29" si="2">MEDIAN(L29:L36)</f>
        <v>149.06783832126865</v>
      </c>
      <c r="AA29" s="1771">
        <f t="shared" si="2"/>
        <v>8.9494723952893711</v>
      </c>
      <c r="AB29" s="1829">
        <f t="shared" si="2"/>
        <v>123.33585431147284</v>
      </c>
      <c r="AC29" s="1771">
        <f t="shared" si="2"/>
        <v>7.3948692092531898</v>
      </c>
      <c r="AD29" s="1830">
        <f t="shared" si="2"/>
        <v>0</v>
      </c>
      <c r="AE29" s="1771">
        <f t="shared" si="2"/>
        <v>0</v>
      </c>
      <c r="AF29" s="1816">
        <f t="shared" si="2"/>
        <v>29.639500126048905</v>
      </c>
      <c r="AG29" s="1817">
        <f>Y29+Z29+AA29+AB29+AC29+AD29+AE29</f>
        <v>557.8564483019411</v>
      </c>
      <c r="AH29" s="397"/>
      <c r="AI29" s="398"/>
      <c r="AJ29" s="398"/>
      <c r="AK29" s="398"/>
      <c r="AL29" s="591" t="s">
        <v>429</v>
      </c>
      <c r="AM29" s="591" t="s">
        <v>429</v>
      </c>
      <c r="AN29" s="614"/>
      <c r="AO29" s="398"/>
      <c r="AP29" s="397"/>
    </row>
    <row r="30" spans="1:42" ht="15.75" hidden="1" customHeight="1" x14ac:dyDescent="0.25">
      <c r="A30" s="1819"/>
      <c r="B30" s="685" t="s">
        <v>71</v>
      </c>
      <c r="C30" s="802"/>
      <c r="D30" s="802" t="s">
        <v>1032</v>
      </c>
      <c r="E30" s="1822"/>
      <c r="F30" s="616">
        <f>'exchange rates'!$O$7</f>
        <v>0.83301000000000003</v>
      </c>
      <c r="G30" s="625">
        <f>26/F30</f>
        <v>31.212110298795931</v>
      </c>
      <c r="H30" s="593">
        <f>142.43/F30</f>
        <v>170.98234114836558</v>
      </c>
      <c r="I30" s="594">
        <v>0</v>
      </c>
      <c r="J30" s="595">
        <f>10.11/F30</f>
        <v>12.136709043108725</v>
      </c>
      <c r="K30" s="566">
        <f>Tabel668921274[[#This Row],[Fix.ch. 2017]]+Tabel668921274[[#This Row],[Var. ch. 2017]]+Tabel668921274[[#This Row],[Oth. ch. DW 2017]]+Tabel668921274[[#This Row],[VAT DW 2017]]</f>
        <v>214.33116049027024</v>
      </c>
      <c r="L30" s="596">
        <f>107.75/F30</f>
        <v>129.35018787289468</v>
      </c>
      <c r="M30" s="595">
        <f>6.47/F30</f>
        <v>7.767013601277295</v>
      </c>
      <c r="N30" s="626">
        <f>100.42/F30</f>
        <v>120.55077370019568</v>
      </c>
      <c r="O30" s="595">
        <f>6.03/F30</f>
        <v>7.2388086577592103</v>
      </c>
      <c r="P30" s="597">
        <v>0</v>
      </c>
      <c r="Q30" s="595">
        <v>0</v>
      </c>
      <c r="R30" s="570">
        <f>Tabel668921274[[#This Row],[VAT DW 2017]]+Tabel668921274[[#This Row],[VAT Sew. 2017]]+Tabel668921274[[#This Row],[VAT WW 2017]]+Tabel668921274[[#This Row],[VAT Other ch. 2017]]</f>
        <v>27.142531302145233</v>
      </c>
      <c r="S30" s="571">
        <f>Tabel668921274[[#This Row],[Total. ch. DW 2017]]+Tabel668921274[[#This Row],[Sew. 2017]]+Tabel668921274[[#This Row],[VAT Sew. 2017]]+Tabel668921274[[#This Row],[WW 2017]]+Tabel668921274[[#This Row],[VAT WW 2017]]+Tabel668921274[[#This Row],[Other ch. 2017]]+Tabel668921274[[#This Row],[VAT Other ch. 2017]]</f>
        <v>479.23794432239714</v>
      </c>
      <c r="T30" s="397"/>
      <c r="U30" s="1763"/>
      <c r="V30" s="1766"/>
      <c r="W30" s="1769"/>
      <c r="X30" s="1772"/>
      <c r="Y30" s="1775"/>
      <c r="Z30" s="1778"/>
      <c r="AA30" s="1772"/>
      <c r="AB30" s="1781"/>
      <c r="AC30" s="1772"/>
      <c r="AD30" s="1785"/>
      <c r="AE30" s="1772"/>
      <c r="AF30" s="1788"/>
      <c r="AG30" s="1791"/>
      <c r="AH30" s="397"/>
      <c r="AI30" s="398"/>
      <c r="AJ30" s="398"/>
      <c r="AK30" s="398"/>
      <c r="AL30" s="591" t="s">
        <v>429</v>
      </c>
      <c r="AM30" s="591" t="s">
        <v>429</v>
      </c>
      <c r="AN30" s="614"/>
      <c r="AO30" s="398"/>
      <c r="AP30" s="397"/>
    </row>
    <row r="31" spans="1:42" ht="15.75" hidden="1" customHeight="1" x14ac:dyDescent="0.25">
      <c r="A31" s="1819"/>
      <c r="B31" s="685" t="s">
        <v>68</v>
      </c>
      <c r="C31" s="802" t="s">
        <v>429</v>
      </c>
      <c r="D31" s="802" t="s">
        <v>1032</v>
      </c>
      <c r="E31" s="1822"/>
      <c r="F31" s="616">
        <f>'exchange rates'!$O$7</f>
        <v>0.83301000000000003</v>
      </c>
      <c r="G31" s="625">
        <f>24/F31</f>
        <v>28.81117873735009</v>
      </c>
      <c r="H31" s="593">
        <f>202.7/F31</f>
        <v>243.33441375253597</v>
      </c>
      <c r="I31" s="594">
        <v>0</v>
      </c>
      <c r="J31" s="595">
        <f>13.6/F31</f>
        <v>16.326334617831719</v>
      </c>
      <c r="K31" s="566">
        <f>Tabel668921274[[#This Row],[Fix.ch. 2017]]+Tabel668921274[[#This Row],[Var. ch. 2017]]+Tabel668921274[[#This Row],[Oth. ch. DW 2017]]+Tabel668921274[[#This Row],[VAT DW 2017]]</f>
        <v>288.47192710771776</v>
      </c>
      <c r="L31" s="596">
        <f>101.6/F31</f>
        <v>121.96732332144872</v>
      </c>
      <c r="M31" s="595">
        <f>6.1/F31</f>
        <v>7.3228412624098143</v>
      </c>
      <c r="N31" s="626">
        <f>54.85/F31</f>
        <v>65.845548072652193</v>
      </c>
      <c r="O31" s="595">
        <f>3.29/F31</f>
        <v>3.9495324185784084</v>
      </c>
      <c r="P31" s="597">
        <v>0</v>
      </c>
      <c r="Q31" s="595">
        <v>0</v>
      </c>
      <c r="R31" s="570">
        <f>Tabel668921274[[#This Row],[VAT DW 2017]]+Tabel668921274[[#This Row],[VAT Sew. 2017]]+Tabel668921274[[#This Row],[VAT WW 2017]]+Tabel668921274[[#This Row],[VAT Other ch. 2017]]</f>
        <v>27.59870829881994</v>
      </c>
      <c r="S31" s="571">
        <f>Tabel668921274[[#This Row],[Total. ch. DW 2017]]+Tabel668921274[[#This Row],[Sew. 2017]]+Tabel668921274[[#This Row],[VAT Sew. 2017]]+Tabel668921274[[#This Row],[WW 2017]]+Tabel668921274[[#This Row],[VAT WW 2017]]+Tabel668921274[[#This Row],[Other ch. 2017]]+Tabel668921274[[#This Row],[VAT Other ch. 2017]]</f>
        <v>487.55717218280694</v>
      </c>
      <c r="T31" s="397"/>
      <c r="U31" s="1763"/>
      <c r="V31" s="1766"/>
      <c r="W31" s="1769"/>
      <c r="X31" s="1772"/>
      <c r="Y31" s="1775"/>
      <c r="Z31" s="1778"/>
      <c r="AA31" s="1772"/>
      <c r="AB31" s="1781"/>
      <c r="AC31" s="1772"/>
      <c r="AD31" s="1785"/>
      <c r="AE31" s="1772"/>
      <c r="AF31" s="1788"/>
      <c r="AG31" s="1791"/>
      <c r="AH31" s="397"/>
      <c r="AI31" s="398"/>
      <c r="AJ31" s="398"/>
      <c r="AK31" s="398"/>
      <c r="AL31" s="591" t="s">
        <v>429</v>
      </c>
      <c r="AM31" s="591" t="s">
        <v>429</v>
      </c>
      <c r="AN31" s="614"/>
      <c r="AO31" s="398"/>
      <c r="AP31" s="397"/>
    </row>
    <row r="32" spans="1:42" ht="15.75" hidden="1" customHeight="1" x14ac:dyDescent="0.25">
      <c r="A32" s="1819"/>
      <c r="B32" s="685" t="s">
        <v>72</v>
      </c>
      <c r="C32" s="802"/>
      <c r="D32" s="802" t="s">
        <v>1032</v>
      </c>
      <c r="E32" s="1822"/>
      <c r="F32" s="616">
        <f>'exchange rates'!$O$7</f>
        <v>0.83301000000000003</v>
      </c>
      <c r="G32" s="625">
        <f>56.17/F32</f>
        <v>67.430162903206437</v>
      </c>
      <c r="H32" s="593">
        <f>238.73/F32</f>
        <v>286.5871958319828</v>
      </c>
      <c r="I32" s="594">
        <f>2.59/F32</f>
        <v>3.1092063720723639</v>
      </c>
      <c r="J32" s="595">
        <v>0</v>
      </c>
      <c r="K32" s="566">
        <f>Tabel668921274[[#This Row],[Fix.ch. 2017]]+Tabel668921274[[#This Row],[Var. ch. 2017]]+Tabel668921274[[#This Row],[Oth. ch. DW 2017]]+Tabel668921274[[#This Row],[VAT DW 2017]]</f>
        <v>357.12656510726163</v>
      </c>
      <c r="L32" s="596">
        <v>0</v>
      </c>
      <c r="M32" s="595">
        <v>0</v>
      </c>
      <c r="N32" s="626">
        <f>224/F32</f>
        <v>268.90433488193418</v>
      </c>
      <c r="O32" s="595">
        <f>13.44/F32</f>
        <v>16.134260092916051</v>
      </c>
      <c r="P32" s="597">
        <v>0</v>
      </c>
      <c r="Q32" s="595">
        <v>0</v>
      </c>
      <c r="R32" s="570">
        <f>Tabel668921274[[#This Row],[VAT DW 2017]]+Tabel668921274[[#This Row],[VAT Sew. 2017]]+Tabel668921274[[#This Row],[VAT WW 2017]]+Tabel668921274[[#This Row],[VAT Other ch. 2017]]</f>
        <v>16.134260092916051</v>
      </c>
      <c r="S32" s="571">
        <f>Tabel668921274[[#This Row],[Total. ch. DW 2017]]+Tabel668921274[[#This Row],[Sew. 2017]]+Tabel668921274[[#This Row],[VAT Sew. 2017]]+Tabel668921274[[#This Row],[WW 2017]]+Tabel668921274[[#This Row],[VAT WW 2017]]+Tabel668921274[[#This Row],[Other ch. 2017]]+Tabel668921274[[#This Row],[VAT Other ch. 2017]]</f>
        <v>642.16516008211192</v>
      </c>
      <c r="T32" s="397"/>
      <c r="U32" s="1763"/>
      <c r="V32" s="1766"/>
      <c r="W32" s="1769"/>
      <c r="X32" s="1772"/>
      <c r="Y32" s="1775"/>
      <c r="Z32" s="1778"/>
      <c r="AA32" s="1772"/>
      <c r="AB32" s="1781"/>
      <c r="AC32" s="1772"/>
      <c r="AD32" s="1785"/>
      <c r="AE32" s="1772"/>
      <c r="AF32" s="1788"/>
      <c r="AG32" s="1791"/>
      <c r="AH32" s="397"/>
      <c r="AI32" s="398"/>
      <c r="AJ32" s="398"/>
      <c r="AK32" s="398"/>
      <c r="AL32" s="591" t="s">
        <v>429</v>
      </c>
      <c r="AM32" s="591" t="s">
        <v>429</v>
      </c>
      <c r="AN32" s="591" t="s">
        <v>429</v>
      </c>
      <c r="AO32" s="398"/>
      <c r="AP32" s="397"/>
    </row>
    <row r="33" spans="1:42" ht="15.75" hidden="1" customHeight="1" x14ac:dyDescent="0.25">
      <c r="A33" s="1819"/>
      <c r="B33" s="685" t="s">
        <v>69</v>
      </c>
      <c r="C33" s="802"/>
      <c r="D33" s="802" t="s">
        <v>1032</v>
      </c>
      <c r="E33" s="1822"/>
      <c r="F33" s="616">
        <f>'exchange rates'!$O$7</f>
        <v>0.83301000000000003</v>
      </c>
      <c r="G33" s="625">
        <f>20/F33</f>
        <v>24.009315614458409</v>
      </c>
      <c r="H33" s="593">
        <f>172.54/F33</f>
        <v>207.12836580593267</v>
      </c>
      <c r="I33" s="594">
        <v>0</v>
      </c>
      <c r="J33" s="595">
        <f>11.55/F33</f>
        <v>13.865379767349731</v>
      </c>
      <c r="K33" s="566">
        <f>Tabel668921274[[#This Row],[Fix.ch. 2017]]+Tabel668921274[[#This Row],[Var. ch. 2017]]+Tabel668921274[[#This Row],[Oth. ch. DW 2017]]+Tabel668921274[[#This Row],[VAT DW 2017]]</f>
        <v>245.00306118774083</v>
      </c>
      <c r="L33" s="596">
        <f>144.64/F33</f>
        <v>173.63537052376319</v>
      </c>
      <c r="M33" s="595">
        <f>8.68/F33</f>
        <v>10.420042976674949</v>
      </c>
      <c r="N33" s="626">
        <f>102.74/F33</f>
        <v>123.33585431147284</v>
      </c>
      <c r="O33" s="595">
        <f>6.16/F33</f>
        <v>7.3948692092531898</v>
      </c>
      <c r="P33" s="597">
        <v>0</v>
      </c>
      <c r="Q33" s="595">
        <v>0</v>
      </c>
      <c r="R33" s="570">
        <f>Tabel668921274[[#This Row],[VAT DW 2017]]+Tabel668921274[[#This Row],[VAT Sew. 2017]]+Tabel668921274[[#This Row],[VAT WW 2017]]+Tabel668921274[[#This Row],[VAT Other ch. 2017]]</f>
        <v>31.68029195327787</v>
      </c>
      <c r="S33" s="571">
        <f>Tabel668921274[[#This Row],[Total. ch. DW 2017]]+Tabel668921274[[#This Row],[Sew. 2017]]+Tabel668921274[[#This Row],[VAT Sew. 2017]]+Tabel668921274[[#This Row],[WW 2017]]+Tabel668921274[[#This Row],[VAT WW 2017]]+Tabel668921274[[#This Row],[Other ch. 2017]]+Tabel668921274[[#This Row],[VAT Other ch. 2017]]</f>
        <v>559.78919820890508</v>
      </c>
      <c r="T33" s="397"/>
      <c r="U33" s="1763"/>
      <c r="V33" s="1766"/>
      <c r="W33" s="1769"/>
      <c r="X33" s="1772"/>
      <c r="Y33" s="1775"/>
      <c r="Z33" s="1778"/>
      <c r="AA33" s="1772"/>
      <c r="AB33" s="1781"/>
      <c r="AC33" s="1772"/>
      <c r="AD33" s="1785"/>
      <c r="AE33" s="1772"/>
      <c r="AF33" s="1788"/>
      <c r="AG33" s="1791"/>
      <c r="AH33" s="397"/>
      <c r="AI33" s="398"/>
      <c r="AJ33" s="398"/>
      <c r="AK33" s="398"/>
      <c r="AL33" s="591" t="s">
        <v>429</v>
      </c>
      <c r="AM33" s="591" t="s">
        <v>429</v>
      </c>
      <c r="AN33" s="614"/>
      <c r="AO33" s="398"/>
      <c r="AP33" s="397"/>
    </row>
    <row r="34" spans="1:42" ht="15.75" hidden="1" customHeight="1" x14ac:dyDescent="0.25">
      <c r="A34" s="1819"/>
      <c r="B34" s="685" t="s">
        <v>70</v>
      </c>
      <c r="C34" s="802"/>
      <c r="D34" s="802" t="s">
        <v>1032</v>
      </c>
      <c r="E34" s="1822"/>
      <c r="F34" s="616">
        <f>'exchange rates'!$O$7</f>
        <v>0.83301000000000003</v>
      </c>
      <c r="G34" s="625">
        <f>20/F34</f>
        <v>24.009315614458409</v>
      </c>
      <c r="H34" s="593">
        <f>172.54/F34</f>
        <v>207.12836580593267</v>
      </c>
      <c r="I34" s="594">
        <v>0</v>
      </c>
      <c r="J34" s="595">
        <f>11.55/F34</f>
        <v>13.865379767349731</v>
      </c>
      <c r="K34" s="566">
        <f>Tabel668921274[[#This Row],[Fix.ch. 2017]]+Tabel668921274[[#This Row],[Var. ch. 2017]]+Tabel668921274[[#This Row],[Oth. ch. DW 2017]]+Tabel668921274[[#This Row],[VAT DW 2017]]</f>
        <v>245.00306118774083</v>
      </c>
      <c r="L34" s="596">
        <f>144.64/F34</f>
        <v>173.63537052376319</v>
      </c>
      <c r="M34" s="595">
        <f>8.68/F34</f>
        <v>10.420042976674949</v>
      </c>
      <c r="N34" s="626">
        <f>102.74/F34</f>
        <v>123.33585431147284</v>
      </c>
      <c r="O34" s="595">
        <f>6.16/F34</f>
        <v>7.3948692092531898</v>
      </c>
      <c r="P34" s="597">
        <v>0</v>
      </c>
      <c r="Q34" s="595">
        <v>0</v>
      </c>
      <c r="R34" s="570">
        <f>Tabel668921274[[#This Row],[VAT DW 2017]]+Tabel668921274[[#This Row],[VAT Sew. 2017]]+Tabel668921274[[#This Row],[VAT WW 2017]]+Tabel668921274[[#This Row],[VAT Other ch. 2017]]</f>
        <v>31.68029195327787</v>
      </c>
      <c r="S34" s="571">
        <f>Tabel668921274[[#This Row],[Total. ch. DW 2017]]+Tabel668921274[[#This Row],[Sew. 2017]]+Tabel668921274[[#This Row],[VAT Sew. 2017]]+Tabel668921274[[#This Row],[WW 2017]]+Tabel668921274[[#This Row],[VAT WW 2017]]+Tabel668921274[[#This Row],[Other ch. 2017]]+Tabel668921274[[#This Row],[VAT Other ch. 2017]]</f>
        <v>559.78919820890508</v>
      </c>
      <c r="T34" s="397"/>
      <c r="U34" s="1763"/>
      <c r="V34" s="1766"/>
      <c r="W34" s="1769"/>
      <c r="X34" s="1772"/>
      <c r="Y34" s="1775"/>
      <c r="Z34" s="1778"/>
      <c r="AA34" s="1772"/>
      <c r="AB34" s="1781"/>
      <c r="AC34" s="1772"/>
      <c r="AD34" s="1785"/>
      <c r="AE34" s="1772"/>
      <c r="AF34" s="1788"/>
      <c r="AG34" s="1791"/>
      <c r="AH34" s="397"/>
      <c r="AI34" s="398"/>
      <c r="AJ34" s="398"/>
      <c r="AK34" s="398"/>
      <c r="AL34" s="591" t="s">
        <v>429</v>
      </c>
      <c r="AM34" s="591" t="s">
        <v>429</v>
      </c>
      <c r="AN34" s="614"/>
      <c r="AO34" s="398"/>
      <c r="AP34" s="397"/>
    </row>
    <row r="35" spans="1:42" ht="16.5" hidden="1" customHeight="1" x14ac:dyDescent="0.25">
      <c r="A35" s="1819"/>
      <c r="B35" s="735" t="s">
        <v>216</v>
      </c>
      <c r="C35" s="802"/>
      <c r="D35" s="802" t="s">
        <v>1032</v>
      </c>
      <c r="E35" s="1822"/>
      <c r="F35" s="616">
        <f>'exchange rates'!$O$7</f>
        <v>0.83301000000000003</v>
      </c>
      <c r="G35" s="625">
        <f>26/F35</f>
        <v>31.212110298795931</v>
      </c>
      <c r="H35" s="593">
        <f>207.92/F35</f>
        <v>249.60084512790959</v>
      </c>
      <c r="I35" s="594">
        <v>0</v>
      </c>
      <c r="J35" s="595">
        <f>14.03/F35</f>
        <v>16.842534903542575</v>
      </c>
      <c r="K35" s="566">
        <f>Tabel668921274[[#This Row],[Fix.ch. 2017]]+Tabel668921274[[#This Row],[Var. ch. 2017]]+Tabel668921274[[#This Row],[Oth. ch. DW 2017]]+Tabel668921274[[#This Row],[VAT DW 2017]]</f>
        <v>297.65549033024809</v>
      </c>
      <c r="L35" s="596">
        <f>140.6/F35</f>
        <v>168.7854887696426</v>
      </c>
      <c r="M35" s="595">
        <f>8.44/F35</f>
        <v>10.131931189301447</v>
      </c>
      <c r="N35" s="626">
        <f>100.42/F35</f>
        <v>120.55077370019568</v>
      </c>
      <c r="O35" s="595">
        <f>6.03/F35</f>
        <v>7.2388086577592103</v>
      </c>
      <c r="P35" s="597">
        <v>0</v>
      </c>
      <c r="Q35" s="595">
        <v>0</v>
      </c>
      <c r="R35" s="570">
        <f>Tabel668921274[[#This Row],[VAT DW 2017]]+Tabel668921274[[#This Row],[VAT Sew. 2017]]+Tabel668921274[[#This Row],[VAT WW 2017]]+Tabel668921274[[#This Row],[VAT Other ch. 2017]]</f>
        <v>34.213274750603233</v>
      </c>
      <c r="S35" s="571">
        <f>Tabel668921274[[#This Row],[Total. ch. DW 2017]]+Tabel668921274[[#This Row],[Sew. 2017]]+Tabel668921274[[#This Row],[VAT Sew. 2017]]+Tabel668921274[[#This Row],[WW 2017]]+Tabel668921274[[#This Row],[VAT WW 2017]]+Tabel668921274[[#This Row],[Other ch. 2017]]+Tabel668921274[[#This Row],[VAT Other ch. 2017]]</f>
        <v>604.36249264714706</v>
      </c>
      <c r="T35" s="397"/>
      <c r="U35" s="1763"/>
      <c r="V35" s="1766"/>
      <c r="W35" s="1769"/>
      <c r="X35" s="1772"/>
      <c r="Y35" s="1775"/>
      <c r="Z35" s="1778"/>
      <c r="AA35" s="1772"/>
      <c r="AB35" s="1781"/>
      <c r="AC35" s="1772"/>
      <c r="AD35" s="1785"/>
      <c r="AE35" s="1772"/>
      <c r="AF35" s="1788"/>
      <c r="AG35" s="1791"/>
      <c r="AH35" s="397"/>
      <c r="AI35" s="398"/>
      <c r="AJ35" s="398"/>
      <c r="AK35" s="398"/>
      <c r="AL35" s="591" t="s">
        <v>429</v>
      </c>
      <c r="AM35" s="591" t="s">
        <v>429</v>
      </c>
      <c r="AN35" s="614"/>
      <c r="AO35" s="398"/>
      <c r="AP35" s="397"/>
    </row>
    <row r="36" spans="1:42" ht="17.25" hidden="1" customHeight="1" thickBot="1" x14ac:dyDescent="0.3">
      <c r="A36" s="1820"/>
      <c r="B36" s="736" t="s">
        <v>629</v>
      </c>
      <c r="C36" s="802"/>
      <c r="D36" s="807" t="s">
        <v>1032</v>
      </c>
      <c r="E36" s="1823"/>
      <c r="F36" s="616">
        <f>'exchange rates'!$O$7</f>
        <v>0.83301000000000003</v>
      </c>
      <c r="G36" s="625">
        <f>52.4/F36</f>
        <v>62.904406909881033</v>
      </c>
      <c r="H36" s="593">
        <f>222.7/F36</f>
        <v>267.34372936699435</v>
      </c>
      <c r="I36" s="594">
        <f>2.59/F36</f>
        <v>3.1092063720723639</v>
      </c>
      <c r="J36" s="595">
        <f>0</f>
        <v>0</v>
      </c>
      <c r="K36" s="566">
        <f>Tabel668921274[[#This Row],[Fix.ch. 2017]]+Tabel668921274[[#This Row],[Var. ch. 2017]]+Tabel668921274[[#This Row],[Oth. ch. DW 2017]]+Tabel668921274[[#This Row],[VAT DW 2017]]</f>
        <v>333.35734264894774</v>
      </c>
      <c r="L36" s="596">
        <f>0/F36</f>
        <v>0</v>
      </c>
      <c r="M36" s="595">
        <v>0</v>
      </c>
      <c r="N36" s="626">
        <f>224/F36</f>
        <v>268.90433488193418</v>
      </c>
      <c r="O36" s="595">
        <f>13.44/F36</f>
        <v>16.134260092916051</v>
      </c>
      <c r="P36" s="597">
        <v>0</v>
      </c>
      <c r="Q36" s="595">
        <v>0</v>
      </c>
      <c r="R36" s="570">
        <f>Tabel668921274[[#This Row],[VAT DW 2017]]+Tabel668921274[[#This Row],[VAT Sew. 2017]]+Tabel668921274[[#This Row],[VAT WW 2017]]+Tabel668921274[[#This Row],[VAT Other ch. 2017]]</f>
        <v>16.134260092916051</v>
      </c>
      <c r="S36" s="571">
        <f>Tabel668921274[[#This Row],[Total. ch. DW 2017]]+Tabel668921274[[#This Row],[Sew. 2017]]+Tabel668921274[[#This Row],[VAT Sew. 2017]]+Tabel668921274[[#This Row],[WW 2017]]+Tabel668921274[[#This Row],[VAT WW 2017]]+Tabel668921274[[#This Row],[Other ch. 2017]]+Tabel668921274[[#This Row],[VAT Other ch. 2017]]</f>
        <v>618.39593762379798</v>
      </c>
      <c r="T36" s="397"/>
      <c r="U36" s="1764"/>
      <c r="V36" s="1767"/>
      <c r="W36" s="1770"/>
      <c r="X36" s="1773"/>
      <c r="Y36" s="1776"/>
      <c r="Z36" s="1779"/>
      <c r="AA36" s="1773"/>
      <c r="AB36" s="1811"/>
      <c r="AC36" s="1773"/>
      <c r="AD36" s="1813"/>
      <c r="AE36" s="1773"/>
      <c r="AF36" s="1815"/>
      <c r="AG36" s="1794"/>
      <c r="AH36" s="397"/>
      <c r="AI36" s="398"/>
      <c r="AJ36" s="398"/>
      <c r="AK36" s="398"/>
      <c r="AL36" s="591" t="s">
        <v>429</v>
      </c>
      <c r="AM36" s="591" t="s">
        <v>429</v>
      </c>
      <c r="AN36" s="591" t="s">
        <v>429</v>
      </c>
      <c r="AO36" s="398"/>
      <c r="AP36" s="397"/>
    </row>
    <row r="37" spans="1:42" ht="18" hidden="1" customHeight="1" x14ac:dyDescent="0.25">
      <c r="A37" s="1878" t="s">
        <v>49</v>
      </c>
      <c r="B37" s="729" t="s">
        <v>935</v>
      </c>
      <c r="C37" s="803"/>
      <c r="D37" s="803" t="s">
        <v>1034</v>
      </c>
      <c r="E37" s="1879">
        <v>15500</v>
      </c>
      <c r="F37" s="616">
        <f>'exchange rates'!$O$8</f>
        <v>3.3117299999999998</v>
      </c>
      <c r="G37" s="625" t="s">
        <v>5</v>
      </c>
      <c r="H37" s="593" t="s">
        <v>5</v>
      </c>
      <c r="I37" s="594" t="s">
        <v>5</v>
      </c>
      <c r="J37" s="595" t="s">
        <v>5</v>
      </c>
      <c r="K37" s="566" t="s">
        <v>5</v>
      </c>
      <c r="L37" s="596" t="s">
        <v>5</v>
      </c>
      <c r="M37" s="595" t="s">
        <v>5</v>
      </c>
      <c r="N37" s="626" t="s">
        <v>5</v>
      </c>
      <c r="O37" s="595" t="s">
        <v>5</v>
      </c>
      <c r="P37" s="597" t="s">
        <v>5</v>
      </c>
      <c r="Q37" s="595" t="s">
        <v>5</v>
      </c>
      <c r="R37" s="570" t="s">
        <v>5</v>
      </c>
      <c r="S37" s="571">
        <f>296/F37</f>
        <v>89.379267029618958</v>
      </c>
      <c r="T37" s="397"/>
      <c r="U37" s="1881" t="s">
        <v>5</v>
      </c>
      <c r="V37" s="1895" t="s">
        <v>5</v>
      </c>
      <c r="W37" s="1898" t="s">
        <v>5</v>
      </c>
      <c r="X37" s="1860" t="s">
        <v>5</v>
      </c>
      <c r="Y37" s="1901" t="s">
        <v>5</v>
      </c>
      <c r="Z37" s="1904" t="s">
        <v>5</v>
      </c>
      <c r="AA37" s="1860" t="s">
        <v>5</v>
      </c>
      <c r="AB37" s="1863" t="s">
        <v>5</v>
      </c>
      <c r="AC37" s="1860" t="s">
        <v>5</v>
      </c>
      <c r="AD37" s="1866" t="s">
        <v>5</v>
      </c>
      <c r="AE37" s="1860" t="s">
        <v>5</v>
      </c>
      <c r="AF37" s="1869" t="s">
        <v>5</v>
      </c>
      <c r="AG37" s="1831">
        <f>Tabel668921274[[#This Row],[total charge 2017]]</f>
        <v>89.379267029618958</v>
      </c>
      <c r="AH37" s="397"/>
      <c r="AI37" s="396"/>
      <c r="AJ37" s="398"/>
      <c r="AK37" s="398"/>
      <c r="AL37" s="591" t="s">
        <v>429</v>
      </c>
      <c r="AM37" s="398"/>
      <c r="AN37" s="398"/>
      <c r="AO37" s="398"/>
      <c r="AP37" s="397"/>
    </row>
    <row r="38" spans="1:42" ht="15.75" hidden="1" x14ac:dyDescent="0.25">
      <c r="A38" s="1757"/>
      <c r="B38" s="632" t="s">
        <v>462</v>
      </c>
      <c r="C38" s="803"/>
      <c r="D38" s="803" t="s">
        <v>1034</v>
      </c>
      <c r="E38" s="1880"/>
      <c r="F38" s="616">
        <f>'exchange rates'!$O$8</f>
        <v>3.3117299999999998</v>
      </c>
      <c r="G38" s="625" t="s">
        <v>5</v>
      </c>
      <c r="H38" s="593" t="s">
        <v>5</v>
      </c>
      <c r="I38" s="594" t="s">
        <v>5</v>
      </c>
      <c r="J38" s="595" t="s">
        <v>5</v>
      </c>
      <c r="K38" s="566" t="s">
        <v>5</v>
      </c>
      <c r="L38" s="596" t="s">
        <v>5</v>
      </c>
      <c r="M38" s="595" t="s">
        <v>5</v>
      </c>
      <c r="N38" s="626" t="s">
        <v>5</v>
      </c>
      <c r="O38" s="595" t="s">
        <v>5</v>
      </c>
      <c r="P38" s="597" t="s">
        <v>5</v>
      </c>
      <c r="Q38" s="595" t="s">
        <v>5</v>
      </c>
      <c r="R38" s="570" t="s">
        <v>5</v>
      </c>
      <c r="S38" s="571">
        <f>243/F38</f>
        <v>73.375546919585844</v>
      </c>
      <c r="T38" s="397"/>
      <c r="U38" s="1882"/>
      <c r="V38" s="1896"/>
      <c r="W38" s="1899"/>
      <c r="X38" s="1861"/>
      <c r="Y38" s="1902"/>
      <c r="Z38" s="1905"/>
      <c r="AA38" s="1861"/>
      <c r="AB38" s="1864"/>
      <c r="AC38" s="1861"/>
      <c r="AD38" s="1867"/>
      <c r="AE38" s="1861"/>
      <c r="AF38" s="1870"/>
      <c r="AG38" s="1832"/>
      <c r="AH38" s="397"/>
      <c r="AI38" s="396"/>
      <c r="AJ38" s="398"/>
      <c r="AK38" s="398"/>
      <c r="AL38" s="591" t="s">
        <v>429</v>
      </c>
      <c r="AM38" s="398"/>
      <c r="AN38" s="398"/>
      <c r="AO38" s="398"/>
      <c r="AP38" s="397"/>
    </row>
    <row r="39" spans="1:42" ht="16.5" hidden="1" thickBot="1" x14ac:dyDescent="0.3">
      <c r="A39" s="1758"/>
      <c r="B39" s="730" t="s">
        <v>933</v>
      </c>
      <c r="C39" s="803" t="s">
        <v>429</v>
      </c>
      <c r="D39" s="810" t="s">
        <v>1034</v>
      </c>
      <c r="E39" s="1799"/>
      <c r="F39" s="616">
        <f>'exchange rates'!$O$8</f>
        <v>3.3117299999999998</v>
      </c>
      <c r="G39" s="625" t="s">
        <v>5</v>
      </c>
      <c r="H39" s="593" t="s">
        <v>5</v>
      </c>
      <c r="I39" s="594" t="s">
        <v>5</v>
      </c>
      <c r="J39" s="595" t="s">
        <v>5</v>
      </c>
      <c r="K39" s="566" t="s">
        <v>5</v>
      </c>
      <c r="L39" s="596" t="s">
        <v>5</v>
      </c>
      <c r="M39" s="595" t="s">
        <v>5</v>
      </c>
      <c r="N39" s="626" t="s">
        <v>5</v>
      </c>
      <c r="O39" s="595" t="s">
        <v>5</v>
      </c>
      <c r="P39" s="597" t="s">
        <v>5</v>
      </c>
      <c r="Q39" s="595" t="s">
        <v>5</v>
      </c>
      <c r="R39" s="570" t="s">
        <v>5</v>
      </c>
      <c r="S39" s="571">
        <f>437/F39</f>
        <v>131.95520166197124</v>
      </c>
      <c r="T39" s="397"/>
      <c r="U39" s="1883"/>
      <c r="V39" s="1897"/>
      <c r="W39" s="1900"/>
      <c r="X39" s="1862"/>
      <c r="Y39" s="1903"/>
      <c r="Z39" s="1906"/>
      <c r="AA39" s="1862"/>
      <c r="AB39" s="1865"/>
      <c r="AC39" s="1862"/>
      <c r="AD39" s="1868"/>
      <c r="AE39" s="1862"/>
      <c r="AF39" s="1871"/>
      <c r="AG39" s="1792"/>
      <c r="AH39" s="397"/>
      <c r="AI39" s="396"/>
      <c r="AJ39" s="398"/>
      <c r="AK39" s="398"/>
      <c r="AL39" s="591" t="s">
        <v>429</v>
      </c>
      <c r="AM39" s="398"/>
      <c r="AN39" s="398"/>
      <c r="AO39" s="398"/>
      <c r="AP39" s="397"/>
    </row>
    <row r="40" spans="1:42" ht="18.75" hidden="1" customHeight="1" x14ac:dyDescent="0.25">
      <c r="A40" s="1833" t="s">
        <v>487</v>
      </c>
      <c r="B40" s="277" t="s">
        <v>481</v>
      </c>
      <c r="C40" s="804"/>
      <c r="D40" s="804" t="s">
        <v>1034</v>
      </c>
      <c r="E40" s="1836">
        <v>11600</v>
      </c>
      <c r="F40" s="306">
        <v>1.86534</v>
      </c>
      <c r="G40" s="310">
        <f>132.88/F40</f>
        <v>71.236342972326753</v>
      </c>
      <c r="H40" s="311">
        <v>0</v>
      </c>
      <c r="I40" s="312">
        <v>0</v>
      </c>
      <c r="J40" s="558"/>
      <c r="K40" s="313">
        <f>Tabel668921274[[#This Row],[Fix.ch. 2017]]+Tabel668921274[[#This Row],[Var. ch. 2017]]+Tabel668921274[[#This Row],[Oth. ch. DW 2017]]+Tabel668921274[[#This Row],[VAT DW 2017]]</f>
        <v>71.236342972326753</v>
      </c>
      <c r="L40" s="314">
        <f>132.88/F40</f>
        <v>71.236342972326753</v>
      </c>
      <c r="M40" s="558"/>
      <c r="N40" s="315">
        <v>0</v>
      </c>
      <c r="O40" s="558"/>
      <c r="P40" s="316">
        <v>0</v>
      </c>
      <c r="Q40" s="558"/>
      <c r="R40" s="317">
        <f>Tabel668921274[[#This Row],[VAT DW 2017]]+Tabel668921274[[#This Row],[VAT Sew. 2017]]+Tabel668921274[[#This Row],[VAT WW 2017]]+Tabel668921274[[#This Row],[VAT Other ch. 2017]]</f>
        <v>0</v>
      </c>
      <c r="S40" s="318">
        <f>Tabel668921274[[#This Row],[Total. ch. DW 2017]]+Tabel668921274[[#This Row],[Sew. 2017]]+Tabel668921274[[#This Row],[VAT Sew. 2017]]+Tabel668921274[[#This Row],[WW 2017]]+Tabel668921274[[#This Row],[VAT WW 2017]]+Tabel668921274[[#This Row],[Other ch. 2017]]+Tabel668921274[[#This Row],[VAT Other ch. 2017]]</f>
        <v>142.47268594465351</v>
      </c>
      <c r="T40" s="397"/>
      <c r="U40" s="1839">
        <f>SUM(G40:G44)/5</f>
        <v>197.96069349287529</v>
      </c>
      <c r="V40" s="1842">
        <f>SUM(H40:H44)/5</f>
        <v>0</v>
      </c>
      <c r="W40" s="1845">
        <f>SUM(I40:I44)/5</f>
        <v>0</v>
      </c>
      <c r="X40" s="575"/>
      <c r="Y40" s="1848">
        <f>SUM(K40:K44)/5</f>
        <v>197.96069349287529</v>
      </c>
      <c r="Z40" s="1851">
        <f>SUM(L40:L44)/5</f>
        <v>197.96069349287529</v>
      </c>
      <c r="AA40" s="575"/>
      <c r="AB40" s="1854">
        <f>SUM(N40:N44)/5</f>
        <v>0</v>
      </c>
      <c r="AC40" s="575"/>
      <c r="AD40" s="1857">
        <f>SUM(P40:P44)/5</f>
        <v>0</v>
      </c>
      <c r="AE40" s="575"/>
      <c r="AF40" s="1872">
        <f t="shared" ref="AF40:AG40" si="3">SUM(R40:R44)/5</f>
        <v>0</v>
      </c>
      <c r="AG40" s="1875">
        <f t="shared" si="3"/>
        <v>395.92138698575059</v>
      </c>
      <c r="AH40" s="397"/>
      <c r="AI40" s="396"/>
      <c r="AJ40" s="398"/>
      <c r="AK40" s="398"/>
      <c r="AL40" s="398"/>
      <c r="AM40" s="398"/>
      <c r="AN40" s="398"/>
      <c r="AO40" s="398"/>
      <c r="AP40" s="397"/>
    </row>
    <row r="41" spans="1:42" ht="18.75" hidden="1" customHeight="1" x14ac:dyDescent="0.25">
      <c r="A41" s="1834"/>
      <c r="B41" s="277" t="s">
        <v>482</v>
      </c>
      <c r="C41" s="804"/>
      <c r="D41" s="804" t="s">
        <v>1034</v>
      </c>
      <c r="E41" s="1837"/>
      <c r="F41" s="306">
        <v>1.86534</v>
      </c>
      <c r="G41" s="310">
        <f>83.04/F41</f>
        <v>44.517353404741229</v>
      </c>
      <c r="H41" s="311">
        <v>0</v>
      </c>
      <c r="I41" s="312">
        <v>0</v>
      </c>
      <c r="J41" s="558"/>
      <c r="K41" s="313">
        <f>Tabel668921274[[#This Row],[Fix.ch. 2017]]+Tabel668921274[[#This Row],[Var. ch. 2017]]+Tabel668921274[[#This Row],[Oth. ch. DW 2017]]+Tabel668921274[[#This Row],[VAT DW 2017]]</f>
        <v>44.517353404741229</v>
      </c>
      <c r="L41" s="314">
        <f>83.04/F41</f>
        <v>44.517353404741229</v>
      </c>
      <c r="M41" s="558"/>
      <c r="N41" s="315">
        <v>0</v>
      </c>
      <c r="O41" s="558"/>
      <c r="P41" s="316">
        <v>0</v>
      </c>
      <c r="Q41" s="558"/>
      <c r="R41" s="317">
        <f>Tabel668921274[[#This Row],[VAT DW 2017]]+Tabel668921274[[#This Row],[VAT Sew. 2017]]+Tabel668921274[[#This Row],[VAT WW 2017]]+Tabel668921274[[#This Row],[VAT Other ch. 2017]]</f>
        <v>0</v>
      </c>
      <c r="S41" s="318">
        <f>Tabel668921274[[#This Row],[Total. ch. DW 2017]]+Tabel668921274[[#This Row],[Sew. 2017]]+Tabel668921274[[#This Row],[VAT Sew. 2017]]+Tabel668921274[[#This Row],[WW 2017]]+Tabel668921274[[#This Row],[VAT WW 2017]]+Tabel668921274[[#This Row],[Other ch. 2017]]+Tabel668921274[[#This Row],[VAT Other ch. 2017]]</f>
        <v>89.034706809482458</v>
      </c>
      <c r="T41" s="397"/>
      <c r="U41" s="1840"/>
      <c r="V41" s="1843"/>
      <c r="W41" s="1846"/>
      <c r="X41" s="576"/>
      <c r="Y41" s="1849"/>
      <c r="Z41" s="1852"/>
      <c r="AA41" s="576"/>
      <c r="AB41" s="1855"/>
      <c r="AC41" s="576"/>
      <c r="AD41" s="1858"/>
      <c r="AE41" s="576"/>
      <c r="AF41" s="1873"/>
      <c r="AG41" s="1876"/>
      <c r="AH41" s="397"/>
      <c r="AI41" s="396"/>
      <c r="AJ41" s="398"/>
      <c r="AK41" s="398"/>
      <c r="AL41" s="398"/>
      <c r="AM41" s="398"/>
      <c r="AN41" s="398"/>
      <c r="AO41" s="398"/>
      <c r="AP41" s="397"/>
    </row>
    <row r="42" spans="1:42" ht="18.75" hidden="1" customHeight="1" x14ac:dyDescent="0.25">
      <c r="A42" s="1834"/>
      <c r="B42" s="277" t="s">
        <v>483</v>
      </c>
      <c r="C42" s="804"/>
      <c r="D42" s="804" t="s">
        <v>1034</v>
      </c>
      <c r="E42" s="1837"/>
      <c r="F42" s="306">
        <v>1.86534</v>
      </c>
      <c r="G42" s="310">
        <f>371.52/F42</f>
        <v>199.1701244813278</v>
      </c>
      <c r="H42" s="311">
        <v>0</v>
      </c>
      <c r="I42" s="312">
        <v>0</v>
      </c>
      <c r="J42" s="558"/>
      <c r="K42" s="313">
        <f>Tabel668921274[[#This Row],[Fix.ch. 2017]]+Tabel668921274[[#This Row],[Var. ch. 2017]]+Tabel668921274[[#This Row],[Oth. ch. DW 2017]]+Tabel668921274[[#This Row],[VAT DW 2017]]</f>
        <v>199.1701244813278</v>
      </c>
      <c r="L42" s="314">
        <f>371.52/F42</f>
        <v>199.1701244813278</v>
      </c>
      <c r="M42" s="558"/>
      <c r="N42" s="315">
        <v>0</v>
      </c>
      <c r="O42" s="558"/>
      <c r="P42" s="316">
        <v>0</v>
      </c>
      <c r="Q42" s="558"/>
      <c r="R42" s="317">
        <f>Tabel668921274[[#This Row],[VAT DW 2017]]+Tabel668921274[[#This Row],[VAT Sew. 2017]]+Tabel668921274[[#This Row],[VAT WW 2017]]+Tabel668921274[[#This Row],[VAT Other ch. 2017]]</f>
        <v>0</v>
      </c>
      <c r="S42" s="318">
        <f>Tabel668921274[[#This Row],[Total. ch. DW 2017]]+Tabel668921274[[#This Row],[Sew. 2017]]+Tabel668921274[[#This Row],[VAT Sew. 2017]]+Tabel668921274[[#This Row],[WW 2017]]+Tabel668921274[[#This Row],[VAT WW 2017]]+Tabel668921274[[#This Row],[Other ch. 2017]]+Tabel668921274[[#This Row],[VAT Other ch. 2017]]</f>
        <v>398.34024896265561</v>
      </c>
      <c r="T42" s="397"/>
      <c r="U42" s="1840"/>
      <c r="V42" s="1843"/>
      <c r="W42" s="1846"/>
      <c r="X42" s="576"/>
      <c r="Y42" s="1849"/>
      <c r="Z42" s="1852"/>
      <c r="AA42" s="576"/>
      <c r="AB42" s="1855"/>
      <c r="AC42" s="576"/>
      <c r="AD42" s="1858"/>
      <c r="AE42" s="576"/>
      <c r="AF42" s="1873"/>
      <c r="AG42" s="1876"/>
      <c r="AH42" s="397"/>
      <c r="AI42" s="396"/>
      <c r="AJ42" s="398"/>
      <c r="AK42" s="398"/>
      <c r="AL42" s="396" t="s">
        <v>429</v>
      </c>
      <c r="AM42" s="398"/>
      <c r="AN42" s="398"/>
      <c r="AO42" s="398" t="s">
        <v>486</v>
      </c>
      <c r="AP42" s="397"/>
    </row>
    <row r="43" spans="1:42" ht="18.75" hidden="1" customHeight="1" x14ac:dyDescent="0.25">
      <c r="A43" s="1834"/>
      <c r="B43" s="277" t="s">
        <v>484</v>
      </c>
      <c r="C43" s="804"/>
      <c r="D43" s="804" t="s">
        <v>1034</v>
      </c>
      <c r="E43" s="1837"/>
      <c r="F43" s="306">
        <v>1.86534</v>
      </c>
      <c r="G43" s="310">
        <f>420.12/F43</f>
        <v>225.22435588150151</v>
      </c>
      <c r="H43" s="311">
        <v>0</v>
      </c>
      <c r="I43" s="312">
        <v>0</v>
      </c>
      <c r="J43" s="558"/>
      <c r="K43" s="313">
        <f>Tabel668921274[[#This Row],[Fix.ch. 2017]]+Tabel668921274[[#This Row],[Var. ch. 2017]]+Tabel668921274[[#This Row],[Oth. ch. DW 2017]]+Tabel668921274[[#This Row],[VAT DW 2017]]</f>
        <v>225.22435588150151</v>
      </c>
      <c r="L43" s="314">
        <f>420.12/F43</f>
        <v>225.22435588150151</v>
      </c>
      <c r="M43" s="558"/>
      <c r="N43" s="315">
        <v>0</v>
      </c>
      <c r="O43" s="558"/>
      <c r="P43" s="316">
        <v>0</v>
      </c>
      <c r="Q43" s="558"/>
      <c r="R43" s="317">
        <f>Tabel668921274[[#This Row],[VAT DW 2017]]+Tabel668921274[[#This Row],[VAT Sew. 2017]]+Tabel668921274[[#This Row],[VAT WW 2017]]+Tabel668921274[[#This Row],[VAT Other ch. 2017]]</f>
        <v>0</v>
      </c>
      <c r="S43" s="318">
        <f>Tabel668921274[[#This Row],[Total. ch. DW 2017]]+Tabel668921274[[#This Row],[Sew. 2017]]+Tabel668921274[[#This Row],[VAT Sew. 2017]]+Tabel668921274[[#This Row],[WW 2017]]+Tabel668921274[[#This Row],[VAT WW 2017]]+Tabel668921274[[#This Row],[Other ch. 2017]]+Tabel668921274[[#This Row],[VAT Other ch. 2017]]</f>
        <v>450.44871176300302</v>
      </c>
      <c r="T43" s="397"/>
      <c r="U43" s="1840"/>
      <c r="V43" s="1843"/>
      <c r="W43" s="1846"/>
      <c r="X43" s="576"/>
      <c r="Y43" s="1849"/>
      <c r="Z43" s="1852"/>
      <c r="AA43" s="576"/>
      <c r="AB43" s="1855"/>
      <c r="AC43" s="576"/>
      <c r="AD43" s="1858"/>
      <c r="AE43" s="576"/>
      <c r="AF43" s="1873"/>
      <c r="AG43" s="1876"/>
      <c r="AH43" s="397"/>
      <c r="AI43" s="396"/>
      <c r="AJ43" s="398"/>
      <c r="AK43" s="398"/>
      <c r="AL43" s="398"/>
      <c r="AM43" s="398"/>
      <c r="AN43" s="398"/>
      <c r="AO43" s="398"/>
      <c r="AP43" s="397"/>
    </row>
    <row r="44" spans="1:42" ht="19.5" hidden="1" customHeight="1" thickBot="1" x14ac:dyDescent="0.3">
      <c r="A44" s="1835"/>
      <c r="B44" s="277" t="s">
        <v>485</v>
      </c>
      <c r="C44" s="804"/>
      <c r="D44" s="800" t="s">
        <v>1034</v>
      </c>
      <c r="E44" s="1838"/>
      <c r="F44" s="306">
        <v>1.86534</v>
      </c>
      <c r="G44" s="310">
        <f>838.76/F44</f>
        <v>449.65529072447919</v>
      </c>
      <c r="H44" s="311">
        <v>0</v>
      </c>
      <c r="I44" s="312">
        <v>0</v>
      </c>
      <c r="J44" s="558"/>
      <c r="K44" s="313">
        <f>Tabel668921274[[#This Row],[Fix.ch. 2017]]+Tabel668921274[[#This Row],[Var. ch. 2017]]+Tabel668921274[[#This Row],[Oth. ch. DW 2017]]+Tabel668921274[[#This Row],[VAT DW 2017]]</f>
        <v>449.65529072447919</v>
      </c>
      <c r="L44" s="314">
        <f>838.76/F44</f>
        <v>449.65529072447919</v>
      </c>
      <c r="M44" s="558"/>
      <c r="N44" s="315">
        <v>0</v>
      </c>
      <c r="O44" s="558"/>
      <c r="P44" s="316">
        <v>0</v>
      </c>
      <c r="Q44" s="558"/>
      <c r="R44" s="317">
        <f>Tabel668921274[[#This Row],[VAT DW 2017]]+Tabel668921274[[#This Row],[VAT Sew. 2017]]+Tabel668921274[[#This Row],[VAT WW 2017]]+Tabel668921274[[#This Row],[VAT Other ch. 2017]]</f>
        <v>0</v>
      </c>
      <c r="S44" s="318">
        <f>Tabel668921274[[#This Row],[Total. ch. DW 2017]]+Tabel668921274[[#This Row],[Sew. 2017]]+Tabel668921274[[#This Row],[VAT Sew. 2017]]+Tabel668921274[[#This Row],[WW 2017]]+Tabel668921274[[#This Row],[VAT WW 2017]]+Tabel668921274[[#This Row],[Other ch. 2017]]+Tabel668921274[[#This Row],[VAT Other ch. 2017]]</f>
        <v>899.31058144895837</v>
      </c>
      <c r="T44" s="397"/>
      <c r="U44" s="1841"/>
      <c r="V44" s="1844"/>
      <c r="W44" s="1847"/>
      <c r="X44" s="577"/>
      <c r="Y44" s="1850"/>
      <c r="Z44" s="1853"/>
      <c r="AA44" s="577"/>
      <c r="AB44" s="1856"/>
      <c r="AC44" s="577"/>
      <c r="AD44" s="1859"/>
      <c r="AE44" s="577"/>
      <c r="AF44" s="1874"/>
      <c r="AG44" s="1877"/>
      <c r="AH44" s="397"/>
      <c r="AI44" s="396"/>
      <c r="AJ44" s="398"/>
      <c r="AK44" s="398"/>
      <c r="AL44" s="398"/>
      <c r="AM44" s="398"/>
      <c r="AN44" s="398"/>
      <c r="AO44" s="398"/>
      <c r="AP44" s="397"/>
    </row>
    <row r="45" spans="1:42" ht="15.75" hidden="1" customHeight="1" x14ac:dyDescent="0.25">
      <c r="A45" s="1818" t="s">
        <v>7</v>
      </c>
      <c r="B45" s="623" t="s">
        <v>73</v>
      </c>
      <c r="C45" s="802" t="s">
        <v>429</v>
      </c>
      <c r="D45" s="802" t="s">
        <v>1036</v>
      </c>
      <c r="E45" s="1884">
        <v>21600</v>
      </c>
      <c r="F45" s="647">
        <f>'exchange rates'!$O$9</f>
        <v>1.6293800000000001</v>
      </c>
      <c r="G45" s="625">
        <f>(1.17*100)/F45</f>
        <v>71.806453988633706</v>
      </c>
      <c r="H45" s="593">
        <v>0</v>
      </c>
      <c r="I45" s="594">
        <v>0</v>
      </c>
      <c r="J45" s="595">
        <f>(0.23*100)/F45</f>
        <v>14.11579864733825</v>
      </c>
      <c r="K45" s="566">
        <f>Tabel668921274[[#This Row],[Fix.ch. 2017]]+Tabel668921274[[#This Row],[Var. ch. 2017]]+Tabel668921274[[#This Row],[Oth. ch. DW 2017]]+Tabel668921274[[#This Row],[VAT DW 2017]]</f>
        <v>85.922252635971958</v>
      </c>
      <c r="L45" s="596">
        <f>(0.34*100)/F45</f>
        <v>20.866832783021763</v>
      </c>
      <c r="M45" s="595">
        <f>(0.07*100)/F45</f>
        <v>4.2961126317985983</v>
      </c>
      <c r="N45" s="626">
        <f>(0.29*100)/F45</f>
        <v>17.798180903165619</v>
      </c>
      <c r="O45" s="595">
        <f>(0.06*100)/F45</f>
        <v>3.68238225582737</v>
      </c>
      <c r="P45" s="597">
        <v>0</v>
      </c>
      <c r="Q45" s="595">
        <v>0</v>
      </c>
      <c r="R45" s="570">
        <f>Tabel668921274[[#This Row],[VAT DW 2017]]+Tabel668921274[[#This Row],[VAT Sew. 2017]]+Tabel668921274[[#This Row],[VAT WW 2017]]+Tabel668921274[[#This Row],[VAT Other ch. 2017]]</f>
        <v>22.094293534964219</v>
      </c>
      <c r="S45" s="571">
        <f>Tabel668921274[[#This Row],[Total. ch. DW 2017]]+Tabel668921274[[#This Row],[Sew. 2017]]+Tabel668921274[[#This Row],[VAT Sew. 2017]]+Tabel668921274[[#This Row],[WW 2017]]+Tabel668921274[[#This Row],[VAT WW 2017]]+Tabel668921274[[#This Row],[Other ch. 2017]]+Tabel668921274[[#This Row],[VAT Other ch. 2017]]</f>
        <v>132.56576120978531</v>
      </c>
      <c r="T45" s="397"/>
      <c r="U45" s="1885">
        <f>MEDIAN(G45:G49)</f>
        <v>90.832095643741795</v>
      </c>
      <c r="V45" s="1887">
        <f t="shared" ref="V45:X45" si="4">MEDIAN(H45:H49)</f>
        <v>0</v>
      </c>
      <c r="W45" s="1889">
        <f t="shared" si="4"/>
        <v>0</v>
      </c>
      <c r="X45" s="1771">
        <f t="shared" si="4"/>
        <v>18.411911279136849</v>
      </c>
      <c r="Y45" s="1891">
        <f>SUM(U45:X49)</f>
        <v>109.24400692287864</v>
      </c>
      <c r="Z45" s="1893">
        <f t="shared" ref="Z45:AF45" si="5">MEDIAN(L45:L49)</f>
        <v>7.36476451165474</v>
      </c>
      <c r="AA45" s="1771">
        <f t="shared" si="5"/>
        <v>1.2274607519424565</v>
      </c>
      <c r="AB45" s="1910">
        <f t="shared" si="5"/>
        <v>19.025641655108078</v>
      </c>
      <c r="AC45" s="1771">
        <f t="shared" si="5"/>
        <v>3.68238225582737</v>
      </c>
      <c r="AD45" s="1912">
        <f t="shared" si="5"/>
        <v>0</v>
      </c>
      <c r="AE45" s="1771">
        <f t="shared" si="5"/>
        <v>0</v>
      </c>
      <c r="AF45" s="1914">
        <f t="shared" si="5"/>
        <v>26.390406166762816</v>
      </c>
      <c r="AG45" s="1909">
        <f>Y45+Z45+AA45+AB45+AC45+AD45+AE45</f>
        <v>140.54425609741131</v>
      </c>
      <c r="AH45" s="397"/>
      <c r="AI45" s="396"/>
      <c r="AJ45" s="396"/>
      <c r="AK45" s="396"/>
      <c r="AL45" s="396"/>
      <c r="AM45" s="396"/>
      <c r="AN45" s="396"/>
      <c r="AO45" s="398"/>
      <c r="AP45" s="397"/>
    </row>
    <row r="46" spans="1:42" ht="15.75" hidden="1" customHeight="1" x14ac:dyDescent="0.25">
      <c r="A46" s="1819"/>
      <c r="B46" s="685" t="s">
        <v>74</v>
      </c>
      <c r="C46" s="802"/>
      <c r="D46" s="802" t="s">
        <v>1036</v>
      </c>
      <c r="E46" s="1880"/>
      <c r="F46" s="647">
        <f>'exchange rates'!$O$9</f>
        <v>1.6293800000000001</v>
      </c>
      <c r="G46" s="625">
        <f>(1.29*100)/F46</f>
        <v>79.171218500288447</v>
      </c>
      <c r="H46" s="593">
        <v>0</v>
      </c>
      <c r="I46" s="594">
        <v>0</v>
      </c>
      <c r="J46" s="595">
        <f>(0.26*100)/F46</f>
        <v>15.956989775251936</v>
      </c>
      <c r="K46" s="566">
        <f>Tabel668921274[[#This Row],[Fix.ch. 2017]]+Tabel668921274[[#This Row],[Var. ch. 2017]]+Tabel668921274[[#This Row],[Oth. ch. DW 2017]]+Tabel668921274[[#This Row],[VAT DW 2017]]</f>
        <v>95.128208275540388</v>
      </c>
      <c r="L46" s="596">
        <f>(0.29*100)/F46</f>
        <v>17.798180903165619</v>
      </c>
      <c r="M46" s="595">
        <f>(0.06*100)/F46</f>
        <v>3.68238225582737</v>
      </c>
      <c r="N46" s="626">
        <f>(0.56*100)/F46</f>
        <v>34.368901054388786</v>
      </c>
      <c r="O46" s="595">
        <f>(0.11*100)/F46</f>
        <v>6.7510341356835113</v>
      </c>
      <c r="P46" s="597">
        <v>0</v>
      </c>
      <c r="Q46" s="595">
        <v>0</v>
      </c>
      <c r="R46" s="570">
        <f>Tabel668921274[[#This Row],[VAT DW 2017]]+Tabel668921274[[#This Row],[VAT Sew. 2017]]+Tabel668921274[[#This Row],[VAT WW 2017]]+Tabel668921274[[#This Row],[VAT Other ch. 2017]]</f>
        <v>26.390406166762816</v>
      </c>
      <c r="S46" s="571">
        <f>Tabel668921274[[#This Row],[Total. ch. DW 2017]]+Tabel668921274[[#This Row],[Sew. 2017]]+Tabel668921274[[#This Row],[VAT Sew. 2017]]+Tabel668921274[[#This Row],[WW 2017]]+Tabel668921274[[#This Row],[VAT WW 2017]]+Tabel668921274[[#This Row],[Other ch. 2017]]+Tabel668921274[[#This Row],[VAT Other ch. 2017]]</f>
        <v>157.72870662460568</v>
      </c>
      <c r="T46" s="397"/>
      <c r="U46" s="1886"/>
      <c r="V46" s="1888"/>
      <c r="W46" s="1890"/>
      <c r="X46" s="1772"/>
      <c r="Y46" s="1892"/>
      <c r="Z46" s="1894"/>
      <c r="AA46" s="1772"/>
      <c r="AB46" s="1911"/>
      <c r="AC46" s="1772"/>
      <c r="AD46" s="1913"/>
      <c r="AE46" s="1772"/>
      <c r="AF46" s="1915"/>
      <c r="AG46" s="1832"/>
      <c r="AH46" s="397"/>
      <c r="AI46" s="396"/>
      <c r="AJ46" s="396"/>
      <c r="AK46" s="396"/>
      <c r="AL46" s="396"/>
      <c r="AM46" s="396"/>
      <c r="AN46" s="396"/>
      <c r="AO46" s="398"/>
      <c r="AP46" s="397"/>
    </row>
    <row r="47" spans="1:42" ht="15.75" hidden="1" customHeight="1" x14ac:dyDescent="0.25">
      <c r="A47" s="1819"/>
      <c r="B47" s="685" t="s">
        <v>75</v>
      </c>
      <c r="C47" s="802"/>
      <c r="D47" s="802" t="s">
        <v>1036</v>
      </c>
      <c r="E47" s="1880"/>
      <c r="F47" s="647">
        <f>'exchange rates'!$O$9</f>
        <v>1.6293800000000001</v>
      </c>
      <c r="G47" s="625">
        <f>(1.48*100)/F47</f>
        <v>90.832095643741795</v>
      </c>
      <c r="H47" s="593">
        <v>0</v>
      </c>
      <c r="I47" s="594">
        <v>0</v>
      </c>
      <c r="J47" s="595">
        <f>(0.3*100)/F47</f>
        <v>18.411911279136849</v>
      </c>
      <c r="K47" s="566">
        <f>Tabel668921274[[#This Row],[Fix.ch. 2017]]+Tabel668921274[[#This Row],[Var. ch. 2017]]+Tabel668921274[[#This Row],[Oth. ch. DW 2017]]+Tabel668921274[[#This Row],[VAT DW 2017]]</f>
        <v>109.24400692287864</v>
      </c>
      <c r="L47" s="596">
        <f>(0.12*100)/F47</f>
        <v>7.36476451165474</v>
      </c>
      <c r="M47" s="595">
        <f>(0.02*100)/F47</f>
        <v>1.2274607519424565</v>
      </c>
      <c r="N47" s="626">
        <f>(0.31*100)/F47</f>
        <v>19.025641655108078</v>
      </c>
      <c r="O47" s="595">
        <f t="shared" ref="O47" si="6">(0.06*100)/F47</f>
        <v>3.68238225582737</v>
      </c>
      <c r="P47" s="597">
        <v>0</v>
      </c>
      <c r="Q47" s="595">
        <v>0</v>
      </c>
      <c r="R47" s="570">
        <f>Tabel668921274[[#This Row],[VAT DW 2017]]+Tabel668921274[[#This Row],[VAT Sew. 2017]]+Tabel668921274[[#This Row],[VAT WW 2017]]+Tabel668921274[[#This Row],[VAT Other ch. 2017]]</f>
        <v>23.321754286906675</v>
      </c>
      <c r="S47" s="571">
        <f>Tabel668921274[[#This Row],[Total. ch. DW 2017]]+Tabel668921274[[#This Row],[Sew. 2017]]+Tabel668921274[[#This Row],[VAT Sew. 2017]]+Tabel668921274[[#This Row],[WW 2017]]+Tabel668921274[[#This Row],[VAT WW 2017]]+Tabel668921274[[#This Row],[Other ch. 2017]]+Tabel668921274[[#This Row],[VAT Other ch. 2017]]</f>
        <v>140.54425609741131</v>
      </c>
      <c r="T47" s="397"/>
      <c r="U47" s="1886"/>
      <c r="V47" s="1888"/>
      <c r="W47" s="1890"/>
      <c r="X47" s="1772"/>
      <c r="Y47" s="1892"/>
      <c r="Z47" s="1894"/>
      <c r="AA47" s="1772"/>
      <c r="AB47" s="1911"/>
      <c r="AC47" s="1772"/>
      <c r="AD47" s="1913"/>
      <c r="AE47" s="1772"/>
      <c r="AF47" s="1915"/>
      <c r="AG47" s="1832"/>
      <c r="AH47" s="397"/>
      <c r="AI47" s="396"/>
      <c r="AJ47" s="396"/>
      <c r="AK47" s="396"/>
      <c r="AL47" s="396"/>
      <c r="AM47" s="396"/>
      <c r="AN47" s="396"/>
      <c r="AO47" s="398"/>
      <c r="AP47" s="397"/>
    </row>
    <row r="48" spans="1:42" ht="15.75" hidden="1" customHeight="1" x14ac:dyDescent="0.25">
      <c r="A48" s="1819"/>
      <c r="B48" s="685" t="s">
        <v>76</v>
      </c>
      <c r="C48" s="802"/>
      <c r="D48" s="802" t="s">
        <v>1036</v>
      </c>
      <c r="E48" s="1880"/>
      <c r="F48" s="647">
        <f>'exchange rates'!$O$9</f>
        <v>1.6293800000000001</v>
      </c>
      <c r="G48" s="625">
        <f>(2.1*100)/F48</f>
        <v>128.88337895395793</v>
      </c>
      <c r="H48" s="593">
        <v>0</v>
      </c>
      <c r="I48" s="594">
        <v>0</v>
      </c>
      <c r="J48" s="595">
        <f>(0.42*100)/F48</f>
        <v>25.77667579079159</v>
      </c>
      <c r="K48" s="566">
        <f>Tabel668921274[[#This Row],[Fix.ch. 2017]]+Tabel668921274[[#This Row],[Var. ch. 2017]]+Tabel668921274[[#This Row],[Oth. ch. DW 2017]]+Tabel668921274[[#This Row],[VAT DW 2017]]</f>
        <v>154.66005474474952</v>
      </c>
      <c r="L48" s="596">
        <f>(0.08*100)/F48</f>
        <v>4.9098430077698261</v>
      </c>
      <c r="M48" s="595">
        <f>(0.02*100)/F48</f>
        <v>1.2274607519424565</v>
      </c>
      <c r="N48" s="626">
        <f>(0.17*100)/F48</f>
        <v>10.433416391510882</v>
      </c>
      <c r="O48" s="595">
        <f>(0.03*100)/F48</f>
        <v>1.841191127913685</v>
      </c>
      <c r="P48" s="597">
        <v>0</v>
      </c>
      <c r="Q48" s="595">
        <v>0</v>
      </c>
      <c r="R48" s="570">
        <f>Tabel668921274[[#This Row],[VAT DW 2017]]+Tabel668921274[[#This Row],[VAT Sew. 2017]]+Tabel668921274[[#This Row],[VAT WW 2017]]+Tabel668921274[[#This Row],[VAT Other ch. 2017]]</f>
        <v>28.84532767064773</v>
      </c>
      <c r="S48" s="571">
        <f>Tabel668921274[[#This Row],[Total. ch. DW 2017]]+Tabel668921274[[#This Row],[Sew. 2017]]+Tabel668921274[[#This Row],[VAT Sew. 2017]]+Tabel668921274[[#This Row],[WW 2017]]+Tabel668921274[[#This Row],[VAT WW 2017]]+Tabel668921274[[#This Row],[Other ch. 2017]]+Tabel668921274[[#This Row],[VAT Other ch. 2017]]</f>
        <v>173.07196602388638</v>
      </c>
      <c r="T48" s="397"/>
      <c r="U48" s="1886"/>
      <c r="V48" s="1888"/>
      <c r="W48" s="1890"/>
      <c r="X48" s="1772"/>
      <c r="Y48" s="1892"/>
      <c r="Z48" s="1894"/>
      <c r="AA48" s="1772"/>
      <c r="AB48" s="1911"/>
      <c r="AC48" s="1772"/>
      <c r="AD48" s="1913"/>
      <c r="AE48" s="1772"/>
      <c r="AF48" s="1915"/>
      <c r="AG48" s="1832"/>
      <c r="AH48" s="397"/>
      <c r="AI48" s="396"/>
      <c r="AJ48" s="396"/>
      <c r="AK48" s="396"/>
      <c r="AL48" s="396"/>
      <c r="AM48" s="396"/>
      <c r="AN48" s="396"/>
      <c r="AO48" s="398"/>
      <c r="AP48" s="397"/>
    </row>
    <row r="49" spans="1:42" ht="16.5" hidden="1" customHeight="1" thickBot="1" x14ac:dyDescent="0.3">
      <c r="A49" s="1820"/>
      <c r="B49" s="624" t="s">
        <v>77</v>
      </c>
      <c r="C49" s="802"/>
      <c r="D49" s="802" t="s">
        <v>1036</v>
      </c>
      <c r="E49" s="1799"/>
      <c r="F49" s="647">
        <f>'exchange rates'!$O$9</f>
        <v>1.6293800000000001</v>
      </c>
      <c r="G49" s="625">
        <f>(1.81*100)/F49</f>
        <v>111.08519805079233</v>
      </c>
      <c r="H49" s="593">
        <v>0</v>
      </c>
      <c r="I49" s="594">
        <v>0</v>
      </c>
      <c r="J49" s="595">
        <f>(0.36*100)/F49</f>
        <v>22.094293534964219</v>
      </c>
      <c r="K49" s="566">
        <f>Tabel668921274[[#This Row],[Fix.ch. 2017]]+Tabel668921274[[#This Row],[Var. ch. 2017]]+Tabel668921274[[#This Row],[Oth. ch. DW 2017]]+Tabel668921274[[#This Row],[VAT DW 2017]]</f>
        <v>133.17949158575655</v>
      </c>
      <c r="L49" s="596">
        <f>(0.1*100)/F49</f>
        <v>6.1373037597122826</v>
      </c>
      <c r="M49" s="595">
        <f>(0.02*100)/F49</f>
        <v>1.2274607519424565</v>
      </c>
      <c r="N49" s="626">
        <f>(0.36*100)/F49</f>
        <v>22.094293534964219</v>
      </c>
      <c r="O49" s="595">
        <f>(0.07*100)/F49</f>
        <v>4.2961126317985983</v>
      </c>
      <c r="P49" s="597">
        <v>0</v>
      </c>
      <c r="Q49" s="595">
        <v>0</v>
      </c>
      <c r="R49" s="570">
        <f>Tabel668921274[[#This Row],[VAT DW 2017]]+Tabel668921274[[#This Row],[VAT Sew. 2017]]+Tabel668921274[[#This Row],[VAT WW 2017]]+Tabel668921274[[#This Row],[VAT Other ch. 2017]]</f>
        <v>27.617866918705275</v>
      </c>
      <c r="S49" s="571">
        <f>Tabel668921274[[#This Row],[Total. ch. DW 2017]]+Tabel668921274[[#This Row],[Sew. 2017]]+Tabel668921274[[#This Row],[VAT Sew. 2017]]+Tabel668921274[[#This Row],[WW 2017]]+Tabel668921274[[#This Row],[VAT WW 2017]]+Tabel668921274[[#This Row],[Other ch. 2017]]+Tabel668921274[[#This Row],[VAT Other ch. 2017]]</f>
        <v>166.93466226417411</v>
      </c>
      <c r="T49" s="397"/>
      <c r="U49" s="1801"/>
      <c r="V49" s="1803"/>
      <c r="W49" s="1805"/>
      <c r="X49" s="1773"/>
      <c r="Y49" s="1807"/>
      <c r="Z49" s="1809"/>
      <c r="AA49" s="1773"/>
      <c r="AB49" s="1782"/>
      <c r="AC49" s="1773"/>
      <c r="AD49" s="1786"/>
      <c r="AE49" s="1773"/>
      <c r="AF49" s="1789"/>
      <c r="AG49" s="1792"/>
      <c r="AH49" s="397"/>
      <c r="AI49" s="396"/>
      <c r="AJ49" s="396"/>
      <c r="AK49" s="396"/>
      <c r="AL49" s="396"/>
      <c r="AM49" s="396"/>
      <c r="AN49" s="396"/>
      <c r="AO49" s="398"/>
      <c r="AP49" s="397"/>
    </row>
    <row r="50" spans="1:42" ht="16.5" hidden="1" customHeight="1" thickBot="1" x14ac:dyDescent="0.3">
      <c r="A50" s="1724" t="s">
        <v>501</v>
      </c>
      <c r="B50" s="265" t="s">
        <v>504</v>
      </c>
      <c r="C50" s="1045"/>
      <c r="D50" s="811" t="s">
        <v>1038</v>
      </c>
      <c r="E50" s="300">
        <v>1500</v>
      </c>
      <c r="F50" s="305">
        <v>506.17869999999999</v>
      </c>
      <c r="G50" s="310">
        <f>12000/F50</f>
        <v>23.707042591875162</v>
      </c>
      <c r="H50" s="311">
        <f>64348/F50</f>
        <v>127.12506472516525</v>
      </c>
      <c r="I50" s="312">
        <v>0</v>
      </c>
      <c r="J50" s="558"/>
      <c r="K50" s="313">
        <f>Tabel668921274[[#This Row],[Fix.ch. 2017]]+Tabel668921274[[#This Row],[Var. ch. 2017]]+Tabel668921274[[#This Row],[Oth. ch. DW 2017]]+Tabel668921274[[#This Row],[VAT DW 2017]]</f>
        <v>150.8321073170404</v>
      </c>
      <c r="L50" s="314">
        <f>12000/F50</f>
        <v>23.707042591875162</v>
      </c>
      <c r="M50" s="558"/>
      <c r="N50" s="315">
        <v>0</v>
      </c>
      <c r="O50" s="558"/>
      <c r="P50" s="316">
        <v>0</v>
      </c>
      <c r="Q50" s="558"/>
      <c r="R50" s="317">
        <f>Tabel668921274[[#This Row],[VAT DW 2017]]+Tabel668921274[[#This Row],[VAT Sew. 2017]]+Tabel668921274[[#This Row],[VAT WW 2017]]+Tabel668921274[[#This Row],[VAT Other ch. 2017]]</f>
        <v>0</v>
      </c>
      <c r="S50" s="318">
        <f>Tabel668921274[[#This Row],[Total. ch. DW 2017]]+Tabel668921274[[#This Row],[Sew. 2017]]+Tabel668921274[[#This Row],[VAT Sew. 2017]]+Tabel668921274[[#This Row],[WW 2017]]+Tabel668921274[[#This Row],[VAT WW 2017]]+Tabel668921274[[#This Row],[Other ch. 2017]]+Tabel668921274[[#This Row],[VAT Other ch. 2017]]</f>
        <v>174.53914990891556</v>
      </c>
      <c r="T50" s="397"/>
      <c r="U50" s="1727">
        <f>Tabel668921274[[#This Row],[Fix.ch. 2017]]</f>
        <v>23.707042591875162</v>
      </c>
      <c r="V50" s="1728">
        <f>Tabel668921274[[#This Row],[Var. ch. 2017]]</f>
        <v>127.12506472516525</v>
      </c>
      <c r="W50" s="1729">
        <v>0</v>
      </c>
      <c r="X50" s="576"/>
      <c r="Y50" s="1701">
        <f>Tabel668921274[[#This Row],[Total. ch. DW 2017]]</f>
        <v>150.8321073170404</v>
      </c>
      <c r="Z50" s="1730">
        <f>Tabel668921274[[#This Row],[Sew. 2017]]</f>
        <v>23.707042591875162</v>
      </c>
      <c r="AA50" s="576"/>
      <c r="AB50" s="1731">
        <v>0</v>
      </c>
      <c r="AC50" s="576"/>
      <c r="AD50" s="1732">
        <v>0</v>
      </c>
      <c r="AE50" s="576"/>
      <c r="AF50" s="1722">
        <f>Tabel668921274[[#This Row],[Total VAT 2017]]</f>
        <v>0</v>
      </c>
      <c r="AG50" s="1723">
        <f>Tabel668921274[[#This Row],[total charge 2017]]</f>
        <v>174.53914990891556</v>
      </c>
      <c r="AH50" s="397"/>
      <c r="AI50" s="396"/>
      <c r="AJ50" s="396"/>
      <c r="AK50" s="396"/>
      <c r="AL50" s="396" t="s">
        <v>429</v>
      </c>
      <c r="AM50" s="396" t="s">
        <v>429</v>
      </c>
      <c r="AN50" s="396"/>
      <c r="AO50" s="398"/>
      <c r="AP50" s="397"/>
    </row>
    <row r="51" spans="1:42" ht="16.5" hidden="1" customHeight="1" x14ac:dyDescent="0.25">
      <c r="A51" s="1878" t="s">
        <v>343</v>
      </c>
      <c r="B51" s="740" t="s">
        <v>548</v>
      </c>
      <c r="C51" s="806"/>
      <c r="D51" s="806" t="s">
        <v>1040</v>
      </c>
      <c r="E51" s="1798">
        <v>48100</v>
      </c>
      <c r="F51" s="647">
        <f>'exchange rates'!$O$11</f>
        <v>1.25759</v>
      </c>
      <c r="G51" s="625">
        <f>187.08/F51</f>
        <v>148.76072487853753</v>
      </c>
      <c r="H51" s="593">
        <f>173.92/F51</f>
        <v>138.29626507844367</v>
      </c>
      <c r="I51" s="594">
        <v>0</v>
      </c>
      <c r="J51" s="595">
        <v>0</v>
      </c>
      <c r="K51" s="566">
        <f>Tabel668921274[[#This Row],[Fix.ch. 2017]]+Tabel668921274[[#This Row],[Var. ch. 2017]]+Tabel668921274[[#This Row],[Oth. ch. DW 2017]]+Tabel668921274[[#This Row],[VAT DW 2017]]</f>
        <v>287.05698995698117</v>
      </c>
      <c r="L51" s="596">
        <v>0</v>
      </c>
      <c r="M51" s="595">
        <v>0</v>
      </c>
      <c r="N51" s="626">
        <f>436/F51</f>
        <v>346.69486875690808</v>
      </c>
      <c r="O51" s="595">
        <v>0</v>
      </c>
      <c r="P51" s="597">
        <v>0</v>
      </c>
      <c r="Q51" s="595">
        <v>0</v>
      </c>
      <c r="R51" s="570">
        <f>Tabel668921274[[#This Row],[VAT DW 2017]]+Tabel668921274[[#This Row],[VAT Sew. 2017]]+Tabel668921274[[#This Row],[VAT WW 2017]]+Tabel668921274[[#This Row],[VAT Other ch. 2017]]</f>
        <v>0</v>
      </c>
      <c r="S51" s="571">
        <f>Tabel668921274[[#This Row],[Total. ch. DW 2017]]+Tabel668921274[[#This Row],[Sew. 2017]]+Tabel668921274[[#This Row],[VAT Sew. 2017]]+Tabel668921274[[#This Row],[WW 2017]]+Tabel668921274[[#This Row],[VAT WW 2017]]+Tabel668921274[[#This Row],[Other ch. 2017]]+Tabel668921274[[#This Row],[VAT Other ch. 2017]]</f>
        <v>633.75185871388931</v>
      </c>
      <c r="T51" s="397"/>
      <c r="U51" s="1800">
        <f>MEDIAN(G51:G56)</f>
        <v>158.20736488044594</v>
      </c>
      <c r="V51" s="1802">
        <f>MEDIAN(H51:H56)</f>
        <v>139.78323618985519</v>
      </c>
      <c r="W51" s="1804">
        <f>MEDIAN(I51:I56)</f>
        <v>0</v>
      </c>
      <c r="X51" s="1771">
        <f>MEDIAN(J51:J56)</f>
        <v>0</v>
      </c>
      <c r="Y51" s="1806">
        <f>SUM(U51:X56)</f>
        <v>297.99060107030112</v>
      </c>
      <c r="Z51" s="1808">
        <f t="shared" ref="Z51:AF51" si="7">MEDIAN(L51:L56)</f>
        <v>0</v>
      </c>
      <c r="AA51" s="1771">
        <f t="shared" si="7"/>
        <v>0</v>
      </c>
      <c r="AB51" s="1780">
        <f t="shared" si="7"/>
        <v>227.02152529838821</v>
      </c>
      <c r="AC51" s="1771">
        <f t="shared" si="7"/>
        <v>0</v>
      </c>
      <c r="AD51" s="1784">
        <f t="shared" si="7"/>
        <v>0</v>
      </c>
      <c r="AE51" s="1771">
        <f t="shared" si="7"/>
        <v>0</v>
      </c>
      <c r="AF51" s="1787">
        <f t="shared" si="7"/>
        <v>0</v>
      </c>
      <c r="AG51" s="1790">
        <f>Y51+Z51+AA51+AB51+AC51+AD51+AE51</f>
        <v>525.01212636868934</v>
      </c>
      <c r="AH51" s="397"/>
      <c r="AI51" s="396"/>
      <c r="AJ51" s="591" t="s">
        <v>429</v>
      </c>
      <c r="AK51" s="591"/>
      <c r="AL51" s="591"/>
      <c r="AM51" s="591" t="s">
        <v>429</v>
      </c>
      <c r="AN51" s="591" t="s">
        <v>429</v>
      </c>
      <c r="AO51" s="398"/>
      <c r="AP51" s="397"/>
    </row>
    <row r="52" spans="1:42" ht="16.5" hidden="1" customHeight="1" x14ac:dyDescent="0.25">
      <c r="A52" s="1757"/>
      <c r="B52" s="724" t="s">
        <v>940</v>
      </c>
      <c r="C52" s="724" t="s">
        <v>429</v>
      </c>
      <c r="D52" s="724" t="s">
        <v>1040</v>
      </c>
      <c r="E52" s="1760"/>
      <c r="F52" s="647">
        <f>'exchange rates'!$O$11</f>
        <v>1.25759</v>
      </c>
      <c r="G52" s="625">
        <f>109.68/F52</f>
        <v>87.214433957013028</v>
      </c>
      <c r="H52" s="593">
        <f>188.32/F52</f>
        <v>149.74673780802965</v>
      </c>
      <c r="I52" s="594">
        <v>0</v>
      </c>
      <c r="J52" s="595">
        <v>0</v>
      </c>
      <c r="K52" s="566">
        <f>Tabel668921274[[#This Row],[Fix.ch. 2017]]+Tabel668921274[[#This Row],[Var. ch. 2017]]+Tabel668921274[[#This Row],[Oth. ch. DW 2017]]+Tabel668921274[[#This Row],[VAT DW 2017]]</f>
        <v>236.96117176504268</v>
      </c>
      <c r="L52" s="596">
        <v>0</v>
      </c>
      <c r="M52" s="595">
        <v>0</v>
      </c>
      <c r="N52" s="626">
        <f>317/F52</f>
        <v>252.06943439435747</v>
      </c>
      <c r="O52" s="595">
        <v>0</v>
      </c>
      <c r="P52" s="597">
        <v>0</v>
      </c>
      <c r="Q52" s="595">
        <v>0</v>
      </c>
      <c r="R52" s="570">
        <f>Tabel668921274[[#This Row],[VAT DW 2017]]+Tabel668921274[[#This Row],[VAT Sew. 2017]]+Tabel668921274[[#This Row],[VAT WW 2017]]+Tabel668921274[[#This Row],[VAT Other ch. 2017]]</f>
        <v>0</v>
      </c>
      <c r="S52" s="571">
        <f>Tabel668921274[[#This Row],[Total. ch. DW 2017]]+Tabel668921274[[#This Row],[Sew. 2017]]+Tabel668921274[[#This Row],[VAT Sew. 2017]]+Tabel668921274[[#This Row],[WW 2017]]+Tabel668921274[[#This Row],[VAT WW 2017]]+Tabel668921274[[#This Row],[Other ch. 2017]]+Tabel668921274[[#This Row],[VAT Other ch. 2017]]</f>
        <v>489.03060615940012</v>
      </c>
      <c r="T52" s="397"/>
      <c r="U52" s="1763"/>
      <c r="V52" s="1766"/>
      <c r="W52" s="1769"/>
      <c r="X52" s="1772"/>
      <c r="Y52" s="1775"/>
      <c r="Z52" s="1778"/>
      <c r="AA52" s="1772"/>
      <c r="AB52" s="1781"/>
      <c r="AC52" s="1772"/>
      <c r="AD52" s="1785"/>
      <c r="AE52" s="1772"/>
      <c r="AF52" s="1788"/>
      <c r="AG52" s="1791"/>
      <c r="AH52" s="397"/>
      <c r="AI52" s="396"/>
      <c r="AJ52" s="591" t="s">
        <v>429</v>
      </c>
      <c r="AK52" s="591"/>
      <c r="AL52" s="591"/>
      <c r="AM52" s="591" t="s">
        <v>429</v>
      </c>
      <c r="AN52" s="591" t="s">
        <v>429</v>
      </c>
      <c r="AO52" s="398"/>
      <c r="AP52" s="397"/>
    </row>
    <row r="53" spans="1:42" ht="16.5" hidden="1" customHeight="1" x14ac:dyDescent="0.25">
      <c r="A53" s="1757"/>
      <c r="B53" s="724" t="s">
        <v>549</v>
      </c>
      <c r="C53" s="724"/>
      <c r="D53" s="724" t="s">
        <v>1040</v>
      </c>
      <c r="E53" s="1760"/>
      <c r="F53" s="647">
        <f>'exchange rates'!$O$11</f>
        <v>1.25759</v>
      </c>
      <c r="G53" s="625">
        <f>179.34/F53</f>
        <v>142.60609578638508</v>
      </c>
      <c r="H53" s="593">
        <f>177.66/F53</f>
        <v>141.27020730126671</v>
      </c>
      <c r="I53" s="594">
        <v>0</v>
      </c>
      <c r="J53" s="595">
        <v>0</v>
      </c>
      <c r="K53" s="566">
        <f>Tabel668921274[[#This Row],[Fix.ch. 2017]]+Tabel668921274[[#This Row],[Var. ch. 2017]]+Tabel668921274[[#This Row],[Oth. ch. DW 2017]]+Tabel668921274[[#This Row],[VAT DW 2017]]</f>
        <v>283.87630308765176</v>
      </c>
      <c r="L53" s="596">
        <v>0</v>
      </c>
      <c r="M53" s="595">
        <v>0</v>
      </c>
      <c r="N53" s="626">
        <f>254/F53</f>
        <v>201.97361620241892</v>
      </c>
      <c r="O53" s="595">
        <v>0</v>
      </c>
      <c r="P53" s="597">
        <v>0</v>
      </c>
      <c r="Q53" s="595">
        <v>0</v>
      </c>
      <c r="R53" s="570">
        <f>Tabel668921274[[#This Row],[VAT DW 2017]]+Tabel668921274[[#This Row],[VAT Sew. 2017]]+Tabel668921274[[#This Row],[VAT WW 2017]]+Tabel668921274[[#This Row],[VAT Other ch. 2017]]</f>
        <v>0</v>
      </c>
      <c r="S53" s="571">
        <f>Tabel668921274[[#This Row],[Total. ch. DW 2017]]+Tabel668921274[[#This Row],[Sew. 2017]]+Tabel668921274[[#This Row],[VAT Sew. 2017]]+Tabel668921274[[#This Row],[WW 2017]]+Tabel668921274[[#This Row],[VAT WW 2017]]+Tabel668921274[[#This Row],[Other ch. 2017]]+Tabel668921274[[#This Row],[VAT Other ch. 2017]]</f>
        <v>485.84991929007072</v>
      </c>
      <c r="T53" s="397"/>
      <c r="U53" s="1763"/>
      <c r="V53" s="1766"/>
      <c r="W53" s="1769"/>
      <c r="X53" s="1772"/>
      <c r="Y53" s="1775"/>
      <c r="Z53" s="1778"/>
      <c r="AA53" s="1772"/>
      <c r="AB53" s="1781"/>
      <c r="AC53" s="1772"/>
      <c r="AD53" s="1785"/>
      <c r="AE53" s="1772"/>
      <c r="AF53" s="1788"/>
      <c r="AG53" s="1791"/>
      <c r="AH53" s="397"/>
      <c r="AI53" s="396"/>
      <c r="AJ53" s="591" t="s">
        <v>429</v>
      </c>
      <c r="AK53" s="591"/>
      <c r="AL53" s="591"/>
      <c r="AM53" s="591" t="s">
        <v>429</v>
      </c>
      <c r="AN53" s="591" t="s">
        <v>429</v>
      </c>
      <c r="AO53" s="398"/>
      <c r="AP53" s="397"/>
    </row>
    <row r="54" spans="1:42" ht="16.5" hidden="1" customHeight="1" x14ac:dyDescent="0.25">
      <c r="A54" s="1757"/>
      <c r="B54" s="724" t="s">
        <v>722</v>
      </c>
      <c r="C54" s="724"/>
      <c r="D54" s="724" t="s">
        <v>1040</v>
      </c>
      <c r="E54" s="1760"/>
      <c r="F54" s="647">
        <f>'exchange rates'!$O$11</f>
        <v>1.25759</v>
      </c>
      <c r="G54" s="625">
        <f>240/F54</f>
        <v>190.84121215976592</v>
      </c>
      <c r="H54" s="593">
        <f>358/F54</f>
        <v>284.67147480498414</v>
      </c>
      <c r="I54" s="594">
        <v>0</v>
      </c>
      <c r="J54" s="595">
        <v>0</v>
      </c>
      <c r="K54" s="566">
        <f>Tabel668921274[[#This Row],[Fix.ch. 2017]]+Tabel668921274[[#This Row],[Var. ch. 2017]]+Tabel668921274[[#This Row],[Oth. ch. DW 2017]]+Tabel668921274[[#This Row],[VAT DW 2017]]</f>
        <v>475.51268696475006</v>
      </c>
      <c r="L54" s="596">
        <v>0</v>
      </c>
      <c r="M54" s="595">
        <v>0</v>
      </c>
      <c r="N54" s="626">
        <f>247/F54</f>
        <v>196.40741418109241</v>
      </c>
      <c r="O54" s="595">
        <v>0</v>
      </c>
      <c r="P54" s="597">
        <v>0</v>
      </c>
      <c r="Q54" s="595">
        <v>0</v>
      </c>
      <c r="R54" s="570">
        <f>Tabel668921274[[#This Row],[VAT DW 2017]]+Tabel668921274[[#This Row],[VAT Sew. 2017]]+Tabel668921274[[#This Row],[VAT WW 2017]]+Tabel668921274[[#This Row],[VAT Other ch. 2017]]</f>
        <v>0</v>
      </c>
      <c r="S54" s="571">
        <f>Tabel668921274[[#This Row],[Total. ch. DW 2017]]+Tabel668921274[[#This Row],[Sew. 2017]]+Tabel668921274[[#This Row],[VAT Sew. 2017]]+Tabel668921274[[#This Row],[WW 2017]]+Tabel668921274[[#This Row],[VAT WW 2017]]+Tabel668921274[[#This Row],[Other ch. 2017]]+Tabel668921274[[#This Row],[VAT Other ch. 2017]]</f>
        <v>671.92010114584241</v>
      </c>
      <c r="T54" s="397"/>
      <c r="U54" s="1763"/>
      <c r="V54" s="1766"/>
      <c r="W54" s="1769"/>
      <c r="X54" s="1772"/>
      <c r="Y54" s="1775"/>
      <c r="Z54" s="1778"/>
      <c r="AA54" s="1772"/>
      <c r="AB54" s="1781"/>
      <c r="AC54" s="1772"/>
      <c r="AD54" s="1785"/>
      <c r="AE54" s="1772"/>
      <c r="AF54" s="1788"/>
      <c r="AG54" s="1791"/>
      <c r="AH54" s="397"/>
      <c r="AI54" s="396"/>
      <c r="AJ54" s="396"/>
      <c r="AK54" s="396"/>
      <c r="AL54" s="591" t="s">
        <v>429</v>
      </c>
      <c r="AM54" s="591" t="s">
        <v>429</v>
      </c>
      <c r="AN54" s="591" t="s">
        <v>429</v>
      </c>
      <c r="AO54" s="398"/>
      <c r="AP54" s="397"/>
    </row>
    <row r="55" spans="1:42" ht="16.5" hidden="1" customHeight="1" x14ac:dyDescent="0.25">
      <c r="A55" s="1757"/>
      <c r="B55" s="724" t="s">
        <v>723</v>
      </c>
      <c r="C55" s="724"/>
      <c r="D55" s="724" t="s">
        <v>1040</v>
      </c>
      <c r="E55" s="1760"/>
      <c r="F55" s="647">
        <f>'exchange rates'!$O$11</f>
        <v>1.25759</v>
      </c>
      <c r="G55" s="625">
        <f>616/F55</f>
        <v>489.8257778767325</v>
      </c>
      <c r="H55" s="593">
        <f>0</f>
        <v>0</v>
      </c>
      <c r="I55" s="594">
        <v>0</v>
      </c>
      <c r="J55" s="595">
        <v>0</v>
      </c>
      <c r="K55" s="566">
        <f>Tabel668921274[[#This Row],[Fix.ch. 2017]]+Tabel668921274[[#This Row],[Var. ch. 2017]]+Tabel668921274[[#This Row],[Oth. ch. DW 2017]]+Tabel668921274[[#This Row],[VAT DW 2017]]</f>
        <v>489.8257778767325</v>
      </c>
      <c r="L55" s="596">
        <v>0</v>
      </c>
      <c r="M55" s="595">
        <v>0</v>
      </c>
      <c r="N55" s="626">
        <f>384/F55</f>
        <v>305.34593945562546</v>
      </c>
      <c r="O55" s="595">
        <v>0</v>
      </c>
      <c r="P55" s="597">
        <v>0</v>
      </c>
      <c r="Q55" s="595">
        <v>0</v>
      </c>
      <c r="R55" s="570">
        <f>Tabel668921274[[#This Row],[VAT DW 2017]]+Tabel668921274[[#This Row],[VAT Sew. 2017]]+Tabel668921274[[#This Row],[VAT WW 2017]]+Tabel668921274[[#This Row],[VAT Other ch. 2017]]</f>
        <v>0</v>
      </c>
      <c r="S55" s="571">
        <f>Tabel668921274[[#This Row],[Total. ch. DW 2017]]+Tabel668921274[[#This Row],[Sew. 2017]]+Tabel668921274[[#This Row],[VAT Sew. 2017]]+Tabel668921274[[#This Row],[WW 2017]]+Tabel668921274[[#This Row],[VAT WW 2017]]+Tabel668921274[[#This Row],[Other ch. 2017]]+Tabel668921274[[#This Row],[VAT Other ch. 2017]]</f>
        <v>795.17171733235796</v>
      </c>
      <c r="T55" s="397"/>
      <c r="U55" s="1763"/>
      <c r="V55" s="1766"/>
      <c r="W55" s="1769"/>
      <c r="X55" s="1772"/>
      <c r="Y55" s="1775"/>
      <c r="Z55" s="1778"/>
      <c r="AA55" s="1772"/>
      <c r="AB55" s="1781"/>
      <c r="AC55" s="1772"/>
      <c r="AD55" s="1785"/>
      <c r="AE55" s="1772"/>
      <c r="AF55" s="1788"/>
      <c r="AG55" s="1791"/>
      <c r="AH55" s="397"/>
      <c r="AI55" s="591" t="s">
        <v>429</v>
      </c>
      <c r="AJ55" s="591"/>
      <c r="AK55" s="591"/>
      <c r="AL55" s="591"/>
      <c r="AM55" s="591" t="s">
        <v>429</v>
      </c>
      <c r="AN55" s="591" t="s">
        <v>429</v>
      </c>
      <c r="AO55" s="398"/>
      <c r="AP55" s="397"/>
    </row>
    <row r="56" spans="1:42" ht="16.5" hidden="1" customHeight="1" thickBot="1" x14ac:dyDescent="0.3">
      <c r="A56" s="1758"/>
      <c r="B56" s="743" t="s">
        <v>552</v>
      </c>
      <c r="C56" s="807"/>
      <c r="D56" s="807" t="s">
        <v>1040</v>
      </c>
      <c r="E56" s="1799"/>
      <c r="F56" s="647">
        <f>'exchange rates'!$O$11</f>
        <v>1.25759</v>
      </c>
      <c r="G56" s="625">
        <f>210.84/F56</f>
        <v>167.65400488235434</v>
      </c>
      <c r="H56" s="593">
        <f>104.16/F56</f>
        <v>82.825086077338398</v>
      </c>
      <c r="I56" s="594">
        <v>0</v>
      </c>
      <c r="J56" s="595">
        <v>0</v>
      </c>
      <c r="K56" s="566">
        <f>Tabel668921274[[#This Row],[Fix.ch. 2017]]+Tabel668921274[[#This Row],[Var. ch. 2017]]+Tabel668921274[[#This Row],[Oth. ch. DW 2017]]+Tabel668921274[[#This Row],[VAT DW 2017]]</f>
        <v>250.47909095969274</v>
      </c>
      <c r="L56" s="596">
        <v>0</v>
      </c>
      <c r="M56" s="595">
        <v>0</v>
      </c>
      <c r="N56" s="626">
        <f>251/F56</f>
        <v>199.58810105042184</v>
      </c>
      <c r="O56" s="595">
        <v>0</v>
      </c>
      <c r="P56" s="597">
        <v>0</v>
      </c>
      <c r="Q56" s="595">
        <v>0</v>
      </c>
      <c r="R56" s="570">
        <f>Tabel668921274[[#This Row],[VAT DW 2017]]+Tabel668921274[[#This Row],[VAT Sew. 2017]]+Tabel668921274[[#This Row],[VAT WW 2017]]+Tabel668921274[[#This Row],[VAT Other ch. 2017]]</f>
        <v>0</v>
      </c>
      <c r="S56" s="571">
        <f>Tabel668921274[[#This Row],[Total. ch. DW 2017]]+Tabel668921274[[#This Row],[Sew. 2017]]+Tabel668921274[[#This Row],[VAT Sew. 2017]]+Tabel668921274[[#This Row],[WW 2017]]+Tabel668921274[[#This Row],[VAT WW 2017]]+Tabel668921274[[#This Row],[Other ch. 2017]]+Tabel668921274[[#This Row],[VAT Other ch. 2017]]</f>
        <v>450.06719201011458</v>
      </c>
      <c r="T56" s="397"/>
      <c r="U56" s="1801"/>
      <c r="V56" s="1803"/>
      <c r="W56" s="1805"/>
      <c r="X56" s="1773"/>
      <c r="Y56" s="1807"/>
      <c r="Z56" s="1809"/>
      <c r="AA56" s="1773"/>
      <c r="AB56" s="1782"/>
      <c r="AC56" s="1773"/>
      <c r="AD56" s="1786"/>
      <c r="AE56" s="1773"/>
      <c r="AF56" s="1789"/>
      <c r="AG56" s="1792"/>
      <c r="AH56" s="397"/>
      <c r="AI56" s="396"/>
      <c r="AJ56" s="396"/>
      <c r="AK56" s="591" t="s">
        <v>429</v>
      </c>
      <c r="AL56" s="591"/>
      <c r="AM56" s="591" t="s">
        <v>429</v>
      </c>
      <c r="AN56" s="591" t="s">
        <v>429</v>
      </c>
      <c r="AO56" s="398"/>
      <c r="AP56" s="397"/>
    </row>
    <row r="57" spans="1:42" ht="16.5" hidden="1" customHeight="1" x14ac:dyDescent="0.25">
      <c r="A57" s="1833" t="s">
        <v>489</v>
      </c>
      <c r="B57" s="288" t="s">
        <v>728</v>
      </c>
      <c r="C57" s="805"/>
      <c r="D57" s="805" t="s">
        <v>1042</v>
      </c>
      <c r="E57" s="1837">
        <v>23800</v>
      </c>
      <c r="F57" s="306">
        <f>'exchange rates'!$M$12</f>
        <v>711.02919999999995</v>
      </c>
      <c r="G57" s="310">
        <f>10990/F57</f>
        <v>15.456467891895299</v>
      </c>
      <c r="H57" s="311">
        <f>284335/F57</f>
        <v>399.89215632775705</v>
      </c>
      <c r="I57" s="312">
        <v>0</v>
      </c>
      <c r="J57" s="558"/>
      <c r="K57" s="313">
        <f>Tabel668921274[[#This Row],[Fix.ch. 2017]]+Tabel668921274[[#This Row],[Var. ch. 2017]]+Tabel668921274[[#This Row],[Oth. ch. DW 2017]]+Tabel668921274[[#This Row],[VAT DW 2017]]</f>
        <v>415.34862421965232</v>
      </c>
      <c r="L57" s="314">
        <f>64761/F57</f>
        <v>91.080647602095667</v>
      </c>
      <c r="M57" s="558"/>
      <c r="N57" s="315">
        <v>0</v>
      </c>
      <c r="O57" s="558"/>
      <c r="P57" s="316">
        <v>0</v>
      </c>
      <c r="Q57" s="558"/>
      <c r="R57" s="317">
        <f>Tabel668921274[[#This Row],[VAT DW 2017]]+Tabel668921274[[#This Row],[VAT Sew. 2017]]+Tabel668921274[[#This Row],[VAT WW 2017]]+Tabel668921274[[#This Row],[VAT Other ch. 2017]]</f>
        <v>0</v>
      </c>
      <c r="S57" s="318">
        <f>Tabel668921274[[#This Row],[Total. ch. DW 2017]]+Tabel668921274[[#This Row],[Sew. 2017]]+Tabel668921274[[#This Row],[VAT Sew. 2017]]+Tabel668921274[[#This Row],[WW 2017]]+Tabel668921274[[#This Row],[VAT WW 2017]]+Tabel668921274[[#This Row],[Other ch. 2017]]+Tabel668921274[[#This Row],[VAT Other ch. 2017]]</f>
        <v>506.42927182174799</v>
      </c>
      <c r="T57" s="397"/>
      <c r="U57" s="1927">
        <f>MEDIAN(G57:G62)</f>
        <v>16.670904654829929</v>
      </c>
      <c r="V57" s="1928">
        <f>MEDIAN(H57:H62)</f>
        <v>155.12935333738756</v>
      </c>
      <c r="W57" s="1929">
        <f>MEDIAN(I57:I62)</f>
        <v>0</v>
      </c>
      <c r="X57" s="575"/>
      <c r="Y57" s="1930">
        <f>SUM(U57:W62)</f>
        <v>171.8002579922175</v>
      </c>
      <c r="Z57" s="1918">
        <f>MEDIAN(L57:L62)</f>
        <v>139.88314403965407</v>
      </c>
      <c r="AA57" s="575"/>
      <c r="AB57" s="1919">
        <f>MEDIAN(N57:N62)</f>
        <v>0</v>
      </c>
      <c r="AC57" s="575"/>
      <c r="AD57" s="1920">
        <f>MEDIAN(P57:P62)</f>
        <v>0</v>
      </c>
      <c r="AE57" s="575"/>
      <c r="AF57" s="1921">
        <f>MEDIAN(R57:R62)</f>
        <v>0</v>
      </c>
      <c r="AG57" s="1922">
        <f>SUM(Y57:AF62)</f>
        <v>311.68340203187154</v>
      </c>
      <c r="AH57" s="397"/>
      <c r="AI57" s="396"/>
      <c r="AJ57" s="396"/>
      <c r="AK57" s="396"/>
      <c r="AL57" s="396"/>
      <c r="AM57" s="396"/>
      <c r="AN57" s="396"/>
      <c r="AO57" s="398"/>
      <c r="AP57" s="397"/>
    </row>
    <row r="58" spans="1:42" ht="16.5" hidden="1" customHeight="1" x14ac:dyDescent="0.25">
      <c r="A58" s="1834"/>
      <c r="B58" s="525" t="s">
        <v>492</v>
      </c>
      <c r="C58" s="805"/>
      <c r="D58" s="805" t="s">
        <v>1042</v>
      </c>
      <c r="E58" s="1837"/>
      <c r="F58" s="306">
        <f>'exchange rates'!$M$12</f>
        <v>711.02919999999995</v>
      </c>
      <c r="G58" s="310">
        <f>12717/F58</f>
        <v>17.885341417764561</v>
      </c>
      <c r="H58" s="311">
        <f>135129/F58</f>
        <v>190.04704729426021</v>
      </c>
      <c r="I58" s="312">
        <v>0</v>
      </c>
      <c r="J58" s="558"/>
      <c r="K58" s="313">
        <f>Tabel668921274[[#This Row],[Fix.ch. 2017]]+Tabel668921274[[#This Row],[Var. ch. 2017]]+Tabel668921274[[#This Row],[Oth. ch. DW 2017]]+Tabel668921274[[#This Row],[VAT DW 2017]]</f>
        <v>207.93238871202476</v>
      </c>
      <c r="L58" s="314">
        <f>99461/F58</f>
        <v>139.88314403965407</v>
      </c>
      <c r="M58" s="558"/>
      <c r="N58" s="315">
        <v>0</v>
      </c>
      <c r="O58" s="558"/>
      <c r="P58" s="316">
        <v>0</v>
      </c>
      <c r="Q58" s="558"/>
      <c r="R58" s="317">
        <f>Tabel668921274[[#This Row],[VAT DW 2017]]+Tabel668921274[[#This Row],[VAT Sew. 2017]]+Tabel668921274[[#This Row],[VAT WW 2017]]+Tabel668921274[[#This Row],[VAT Other ch. 2017]]</f>
        <v>0</v>
      </c>
      <c r="S58" s="318">
        <f>Tabel668921274[[#This Row],[Total. ch. DW 2017]]+Tabel668921274[[#This Row],[Sew. 2017]]+Tabel668921274[[#This Row],[VAT Sew. 2017]]+Tabel668921274[[#This Row],[WW 2017]]+Tabel668921274[[#This Row],[VAT WW 2017]]+Tabel668921274[[#This Row],[Other ch. 2017]]+Tabel668921274[[#This Row],[VAT Other ch. 2017]]</f>
        <v>347.8155327516788</v>
      </c>
      <c r="T58" s="397"/>
      <c r="U58" s="1840"/>
      <c r="V58" s="1843"/>
      <c r="W58" s="1846"/>
      <c r="X58" s="576"/>
      <c r="Y58" s="1849"/>
      <c r="Z58" s="1852"/>
      <c r="AA58" s="576"/>
      <c r="AB58" s="1855"/>
      <c r="AC58" s="576"/>
      <c r="AD58" s="1858"/>
      <c r="AE58" s="576"/>
      <c r="AF58" s="1873"/>
      <c r="AG58" s="1876"/>
      <c r="AH58" s="397"/>
      <c r="AI58" s="396"/>
      <c r="AJ58" s="396"/>
      <c r="AK58" s="396"/>
      <c r="AL58" s="396"/>
      <c r="AM58" s="396"/>
      <c r="AN58" s="396"/>
      <c r="AO58" s="398"/>
      <c r="AP58" s="397"/>
    </row>
    <row r="59" spans="1:42" ht="16.5" hidden="1" customHeight="1" x14ac:dyDescent="0.25">
      <c r="A59" s="1834"/>
      <c r="B59" s="525" t="s">
        <v>729</v>
      </c>
      <c r="C59" s="805"/>
      <c r="D59" s="805" t="s">
        <v>1042</v>
      </c>
      <c r="E59" s="1837"/>
      <c r="F59" s="306">
        <f>'exchange rates'!$M$12</f>
        <v>711.02919999999995</v>
      </c>
      <c r="G59" s="310">
        <f>12717/F59</f>
        <v>17.885341417764561</v>
      </c>
      <c r="H59" s="311">
        <f>135129/F59</f>
        <v>190.04704729426021</v>
      </c>
      <c r="I59" s="312">
        <v>0</v>
      </c>
      <c r="J59" s="558"/>
      <c r="K59" s="313">
        <f>Tabel668921274[[#This Row],[Fix.ch. 2017]]+Tabel668921274[[#This Row],[Var. ch. 2017]]+Tabel668921274[[#This Row],[Oth. ch. DW 2017]]+Tabel668921274[[#This Row],[VAT DW 2017]]</f>
        <v>207.93238871202476</v>
      </c>
      <c r="L59" s="314">
        <f>99461/F59</f>
        <v>139.88314403965407</v>
      </c>
      <c r="M59" s="558"/>
      <c r="N59" s="315">
        <v>0</v>
      </c>
      <c r="O59" s="558"/>
      <c r="P59" s="316">
        <v>0</v>
      </c>
      <c r="Q59" s="558"/>
      <c r="R59" s="317">
        <f>Tabel668921274[[#This Row],[VAT DW 2017]]+Tabel668921274[[#This Row],[VAT Sew. 2017]]+Tabel668921274[[#This Row],[VAT WW 2017]]+Tabel668921274[[#This Row],[VAT Other ch. 2017]]</f>
        <v>0</v>
      </c>
      <c r="S59" s="318">
        <f>Tabel668921274[[#This Row],[Total. ch. DW 2017]]+Tabel668921274[[#This Row],[Sew. 2017]]+Tabel668921274[[#This Row],[VAT Sew. 2017]]+Tabel668921274[[#This Row],[WW 2017]]+Tabel668921274[[#This Row],[VAT WW 2017]]+Tabel668921274[[#This Row],[Other ch. 2017]]+Tabel668921274[[#This Row],[VAT Other ch. 2017]]</f>
        <v>347.8155327516788</v>
      </c>
      <c r="T59" s="397"/>
      <c r="U59" s="1840"/>
      <c r="V59" s="1843"/>
      <c r="W59" s="1846"/>
      <c r="X59" s="576"/>
      <c r="Y59" s="1849"/>
      <c r="Z59" s="1852"/>
      <c r="AA59" s="576"/>
      <c r="AB59" s="1855"/>
      <c r="AC59" s="576"/>
      <c r="AD59" s="1858"/>
      <c r="AE59" s="576"/>
      <c r="AF59" s="1873"/>
      <c r="AG59" s="1876"/>
      <c r="AH59" s="397"/>
      <c r="AI59" s="396"/>
      <c r="AJ59" s="396"/>
      <c r="AK59" s="396"/>
      <c r="AL59" s="396"/>
      <c r="AM59" s="396"/>
      <c r="AN59" s="396"/>
      <c r="AO59" s="398"/>
      <c r="AP59" s="397"/>
    </row>
    <row r="60" spans="1:42" ht="16.5" hidden="1" customHeight="1" x14ac:dyDescent="0.25">
      <c r="A60" s="1834"/>
      <c r="B60" s="525" t="s">
        <v>493</v>
      </c>
      <c r="C60" s="805"/>
      <c r="D60" s="805" t="s">
        <v>1042</v>
      </c>
      <c r="E60" s="1837"/>
      <c r="F60" s="306">
        <f>'exchange rates'!$M$12</f>
        <v>711.02919999999995</v>
      </c>
      <c r="G60" s="310">
        <f>7685/F60</f>
        <v>10.80827622831805</v>
      </c>
      <c r="H60" s="311">
        <f>81904/F60</f>
        <v>115.19076853665082</v>
      </c>
      <c r="I60" s="312">
        <v>0</v>
      </c>
      <c r="J60" s="558"/>
      <c r="K60" s="313">
        <f>Tabel668921274[[#This Row],[Fix.ch. 2017]]+Tabel668921274[[#This Row],[Var. ch. 2017]]+Tabel668921274[[#This Row],[Oth. ch. DW 2017]]+Tabel668921274[[#This Row],[VAT DW 2017]]</f>
        <v>125.99904476496887</v>
      </c>
      <c r="L60" s="314">
        <f>104035/F60</f>
        <v>146.31607253260486</v>
      </c>
      <c r="M60" s="558"/>
      <c r="N60" s="315">
        <v>0</v>
      </c>
      <c r="O60" s="558"/>
      <c r="P60" s="316">
        <v>0</v>
      </c>
      <c r="Q60" s="558"/>
      <c r="R60" s="317">
        <f>Tabel668921274[[#This Row],[VAT DW 2017]]+Tabel668921274[[#This Row],[VAT Sew. 2017]]+Tabel668921274[[#This Row],[VAT WW 2017]]+Tabel668921274[[#This Row],[VAT Other ch. 2017]]</f>
        <v>0</v>
      </c>
      <c r="S60" s="318">
        <f>Tabel668921274[[#This Row],[Total. ch. DW 2017]]+Tabel668921274[[#This Row],[Sew. 2017]]+Tabel668921274[[#This Row],[VAT Sew. 2017]]+Tabel668921274[[#This Row],[WW 2017]]+Tabel668921274[[#This Row],[VAT WW 2017]]+Tabel668921274[[#This Row],[Other ch. 2017]]+Tabel668921274[[#This Row],[VAT Other ch. 2017]]</f>
        <v>272.31511729757375</v>
      </c>
      <c r="T60" s="397"/>
      <c r="U60" s="1840"/>
      <c r="V60" s="1843"/>
      <c r="W60" s="1846"/>
      <c r="X60" s="576"/>
      <c r="Y60" s="1849"/>
      <c r="Z60" s="1852"/>
      <c r="AA60" s="576"/>
      <c r="AB60" s="1855"/>
      <c r="AC60" s="576"/>
      <c r="AD60" s="1858"/>
      <c r="AE60" s="576"/>
      <c r="AF60" s="1873"/>
      <c r="AG60" s="1876"/>
      <c r="AH60" s="397"/>
      <c r="AI60" s="396"/>
      <c r="AJ60" s="396"/>
      <c r="AK60" s="396"/>
      <c r="AL60" s="396"/>
      <c r="AM60" s="396"/>
      <c r="AN60" s="396"/>
      <c r="AO60" s="398"/>
      <c r="AP60" s="397"/>
    </row>
    <row r="61" spans="1:42" ht="16.5" hidden="1" customHeight="1" x14ac:dyDescent="0.25">
      <c r="A61" s="1834"/>
      <c r="B61" s="288" t="s">
        <v>730</v>
      </c>
      <c r="C61" s="805"/>
      <c r="D61" s="805" t="s">
        <v>1042</v>
      </c>
      <c r="E61" s="1837"/>
      <c r="F61" s="306">
        <f>'exchange rates'!$M$12</f>
        <v>711.02919999999995</v>
      </c>
      <c r="G61" s="310">
        <f>12923/F61</f>
        <v>18.17506228998753</v>
      </c>
      <c r="H61" s="311">
        <f>85474/F61</f>
        <v>120.2116593805149</v>
      </c>
      <c r="I61" s="312">
        <v>0</v>
      </c>
      <c r="J61" s="558"/>
      <c r="K61" s="313">
        <f>Tabel668921274[[#This Row],[Fix.ch. 2017]]+Tabel668921274[[#This Row],[Var. ch. 2017]]+Tabel668921274[[#This Row],[Oth. ch. DW 2017]]+Tabel668921274[[#This Row],[VAT DW 2017]]</f>
        <v>138.38672167050242</v>
      </c>
      <c r="L61" s="314">
        <f>139941/F61</f>
        <v>196.81470184346861</v>
      </c>
      <c r="M61" s="558"/>
      <c r="N61" s="315">
        <v>0</v>
      </c>
      <c r="O61" s="558"/>
      <c r="P61" s="316">
        <v>0</v>
      </c>
      <c r="Q61" s="558"/>
      <c r="R61" s="317">
        <f>Tabel668921274[[#This Row],[VAT DW 2017]]+Tabel668921274[[#This Row],[VAT Sew. 2017]]+Tabel668921274[[#This Row],[VAT WW 2017]]+Tabel668921274[[#This Row],[VAT Other ch. 2017]]</f>
        <v>0</v>
      </c>
      <c r="S61" s="318">
        <f>Tabel668921274[[#This Row],[Total. ch. DW 2017]]+Tabel668921274[[#This Row],[Sew. 2017]]+Tabel668921274[[#This Row],[VAT Sew. 2017]]+Tabel668921274[[#This Row],[WW 2017]]+Tabel668921274[[#This Row],[VAT WW 2017]]+Tabel668921274[[#This Row],[Other ch. 2017]]+Tabel668921274[[#This Row],[VAT Other ch. 2017]]</f>
        <v>335.20142351397101</v>
      </c>
      <c r="T61" s="397"/>
      <c r="U61" s="1840"/>
      <c r="V61" s="1843"/>
      <c r="W61" s="1846"/>
      <c r="X61" s="576"/>
      <c r="Y61" s="1849"/>
      <c r="Z61" s="1852"/>
      <c r="AA61" s="576"/>
      <c r="AB61" s="1855"/>
      <c r="AC61" s="576"/>
      <c r="AD61" s="1858"/>
      <c r="AE61" s="576"/>
      <c r="AF61" s="1873"/>
      <c r="AG61" s="1876"/>
      <c r="AH61" s="397"/>
      <c r="AI61" s="396"/>
      <c r="AJ61" s="396"/>
      <c r="AK61" s="396"/>
      <c r="AL61" s="396"/>
      <c r="AM61" s="396"/>
      <c r="AN61" s="396"/>
      <c r="AO61" s="398"/>
      <c r="AP61" s="397"/>
    </row>
    <row r="62" spans="1:42" ht="16.5" hidden="1" customHeight="1" thickBot="1" x14ac:dyDescent="0.3">
      <c r="A62" s="1835"/>
      <c r="B62" s="288" t="s">
        <v>731</v>
      </c>
      <c r="C62" s="805" t="s">
        <v>429</v>
      </c>
      <c r="D62" s="801" t="s">
        <v>1042</v>
      </c>
      <c r="E62" s="1838"/>
      <c r="F62" s="306">
        <f>'exchange rates'!$M$12</f>
        <v>711.02919999999995</v>
      </c>
      <c r="G62" s="310">
        <f>7300/F62</f>
        <v>10.266807607901336</v>
      </c>
      <c r="H62" s="311">
        <f>67207/F62</f>
        <v>94.520731356743156</v>
      </c>
      <c r="I62" s="312">
        <v>0</v>
      </c>
      <c r="J62" s="558"/>
      <c r="K62" s="313">
        <f>Tabel668921274[[#This Row],[Fix.ch. 2017]]+Tabel668921274[[#This Row],[Var. ch. 2017]]+Tabel668921274[[#This Row],[Oth. ch. DW 2017]]+Tabel668921274[[#This Row],[VAT DW 2017]]</f>
        <v>104.7875389646445</v>
      </c>
      <c r="L62" s="314">
        <f>90496/F62</f>
        <v>127.27466044995059</v>
      </c>
      <c r="M62" s="558"/>
      <c r="N62" s="315">
        <v>0</v>
      </c>
      <c r="O62" s="558"/>
      <c r="P62" s="316">
        <v>0</v>
      </c>
      <c r="Q62" s="558"/>
      <c r="R62" s="317">
        <f>Tabel668921274[[#This Row],[VAT DW 2017]]+Tabel668921274[[#This Row],[VAT Sew. 2017]]+Tabel668921274[[#This Row],[VAT WW 2017]]+Tabel668921274[[#This Row],[VAT Other ch. 2017]]</f>
        <v>0</v>
      </c>
      <c r="S62" s="318">
        <f>Tabel668921274[[#This Row],[Total. ch. DW 2017]]+Tabel668921274[[#This Row],[Sew. 2017]]+Tabel668921274[[#This Row],[VAT Sew. 2017]]+Tabel668921274[[#This Row],[WW 2017]]+Tabel668921274[[#This Row],[VAT WW 2017]]+Tabel668921274[[#This Row],[Other ch. 2017]]+Tabel668921274[[#This Row],[VAT Other ch. 2017]]</f>
        <v>232.06219941459509</v>
      </c>
      <c r="T62" s="397"/>
      <c r="U62" s="1841"/>
      <c r="V62" s="1844"/>
      <c r="W62" s="1847"/>
      <c r="X62" s="577"/>
      <c r="Y62" s="1850"/>
      <c r="Z62" s="1853"/>
      <c r="AA62" s="577"/>
      <c r="AB62" s="1856"/>
      <c r="AC62" s="577"/>
      <c r="AD62" s="1859"/>
      <c r="AE62" s="577"/>
      <c r="AF62" s="1874"/>
      <c r="AG62" s="1877"/>
      <c r="AH62" s="397"/>
      <c r="AI62" s="396"/>
      <c r="AJ62" s="396"/>
      <c r="AK62" s="396"/>
      <c r="AL62" s="396"/>
      <c r="AM62" s="396"/>
      <c r="AN62" s="396"/>
      <c r="AO62" s="398"/>
      <c r="AP62" s="397"/>
    </row>
    <row r="63" spans="1:42" ht="18" hidden="1" customHeight="1" x14ac:dyDescent="0.25">
      <c r="A63" s="1818" t="s">
        <v>8</v>
      </c>
      <c r="B63" s="623" t="s">
        <v>78</v>
      </c>
      <c r="C63" s="802" t="s">
        <v>429</v>
      </c>
      <c r="D63" s="802" t="s">
        <v>1044</v>
      </c>
      <c r="E63" s="1879">
        <v>16600</v>
      </c>
      <c r="F63" s="647">
        <f>'exchange rates'!$O$13</f>
        <v>6.50176</v>
      </c>
      <c r="G63" s="686">
        <f>(2.07*100)/F63</f>
        <v>31.837533221773793</v>
      </c>
      <c r="H63" s="593">
        <v>0</v>
      </c>
      <c r="I63" s="594">
        <v>0</v>
      </c>
      <c r="J63" s="595">
        <v>0</v>
      </c>
      <c r="K63" s="566">
        <f>Tabel668921274[[#This Row],[Fix.ch. 2017]]+Tabel668921274[[#This Row],[Var. ch. 2017]]+Tabel668921274[[#This Row],[Oth. ch. DW 2017]]+Tabel668921274[[#This Row],[VAT DW 2017]]</f>
        <v>31.837533221773793</v>
      </c>
      <c r="L63" s="596">
        <v>0</v>
      </c>
      <c r="M63" s="595">
        <v>0</v>
      </c>
      <c r="N63" s="626">
        <f>(1.36*100)/F63</f>
        <v>20.917413131213703</v>
      </c>
      <c r="O63" s="595">
        <v>0</v>
      </c>
      <c r="P63" s="597">
        <f>(1.57*100)/F63</f>
        <v>24.147307805886406</v>
      </c>
      <c r="Q63" s="595">
        <v>0</v>
      </c>
      <c r="R63" s="570">
        <f>Tabel668921274[[#This Row],[VAT DW 2017]]+Tabel668921274[[#This Row],[VAT Sew. 2017]]+Tabel668921274[[#This Row],[VAT WW 2017]]+Tabel668921274[[#This Row],[VAT Other ch. 2017]]</f>
        <v>0</v>
      </c>
      <c r="S63" s="571">
        <f>Tabel668921274[[#This Row],[Total. ch. DW 2017]]+Tabel668921274[[#This Row],[Sew. 2017]]+Tabel668921274[[#This Row],[VAT Sew. 2017]]+Tabel668921274[[#This Row],[WW 2017]]+Tabel668921274[[#This Row],[VAT WW 2017]]+Tabel668921274[[#This Row],[Other ch. 2017]]+Tabel668921274[[#This Row],[VAT Other ch. 2017]]</f>
        <v>76.902254158873902</v>
      </c>
      <c r="T63" s="397"/>
      <c r="U63" s="1924">
        <f>MEDIAN(G63:G67)</f>
        <v>31.837533221773793</v>
      </c>
      <c r="V63" s="1925">
        <f t="shared" ref="V63:AF63" si="8">MEDIAN(H63:H67)</f>
        <v>0</v>
      </c>
      <c r="W63" s="1926">
        <f t="shared" si="8"/>
        <v>0</v>
      </c>
      <c r="X63" s="1908">
        <f t="shared" si="8"/>
        <v>0</v>
      </c>
      <c r="Y63" s="1916">
        <f>SUM(U63:X67)</f>
        <v>31.837533221773793</v>
      </c>
      <c r="Z63" s="1917">
        <f t="shared" si="8"/>
        <v>0</v>
      </c>
      <c r="AA63" s="1908">
        <f t="shared" si="8"/>
        <v>0</v>
      </c>
      <c r="AB63" s="1907">
        <f t="shared" si="8"/>
        <v>13.842405748597303</v>
      </c>
      <c r="AC63" s="1908">
        <f t="shared" si="8"/>
        <v>0</v>
      </c>
      <c r="AD63" s="1931">
        <f t="shared" si="8"/>
        <v>0</v>
      </c>
      <c r="AE63" s="1908">
        <f t="shared" si="8"/>
        <v>0</v>
      </c>
      <c r="AF63" s="1932">
        <f t="shared" si="8"/>
        <v>0</v>
      </c>
      <c r="AG63" s="1831">
        <f>Y63+Z63+AA63+AB63+AC63+AD63+AE63</f>
        <v>45.679938970371097</v>
      </c>
      <c r="AH63" s="397"/>
      <c r="AI63" s="398"/>
      <c r="AJ63" s="398"/>
      <c r="AK63" s="398"/>
      <c r="AL63" s="591" t="s">
        <v>429</v>
      </c>
      <c r="AM63" s="591"/>
      <c r="AN63" s="591" t="s">
        <v>429</v>
      </c>
      <c r="AO63" s="614"/>
      <c r="AP63" s="397"/>
    </row>
    <row r="64" spans="1:42" ht="15.75" hidden="1" x14ac:dyDescent="0.25">
      <c r="A64" s="1819"/>
      <c r="B64" s="685" t="s">
        <v>79</v>
      </c>
      <c r="C64" s="802"/>
      <c r="D64" s="802" t="s">
        <v>1044</v>
      </c>
      <c r="E64" s="1880"/>
      <c r="F64" s="647">
        <f>'exchange rates'!$O$13</f>
        <v>6.50176</v>
      </c>
      <c r="G64" s="686">
        <f>(1.92*100)/F64</f>
        <v>29.530465597007581</v>
      </c>
      <c r="H64" s="593">
        <v>0</v>
      </c>
      <c r="I64" s="594">
        <v>0</v>
      </c>
      <c r="J64" s="595">
        <v>0</v>
      </c>
      <c r="K64" s="566">
        <f>Tabel668921274[[#This Row],[Fix.ch. 2017]]+Tabel668921274[[#This Row],[Var. ch. 2017]]+Tabel668921274[[#This Row],[Oth. ch. DW 2017]]+Tabel668921274[[#This Row],[VAT DW 2017]]</f>
        <v>29.530465597007581</v>
      </c>
      <c r="L64" s="596">
        <v>0</v>
      </c>
      <c r="M64" s="595">
        <v>0</v>
      </c>
      <c r="N64" s="626">
        <f>(1.7*100)/F64</f>
        <v>26.146766414017129</v>
      </c>
      <c r="O64" s="595">
        <v>0</v>
      </c>
      <c r="P64" s="597">
        <v>0</v>
      </c>
      <c r="Q64" s="595">
        <v>0</v>
      </c>
      <c r="R64" s="570">
        <f>Tabel668921274[[#This Row],[VAT DW 2017]]+Tabel668921274[[#This Row],[VAT Sew. 2017]]+Tabel668921274[[#This Row],[VAT WW 2017]]+Tabel668921274[[#This Row],[VAT Other ch. 2017]]</f>
        <v>0</v>
      </c>
      <c r="S64" s="571">
        <f>Tabel668921274[[#This Row],[Total. ch. DW 2017]]+Tabel668921274[[#This Row],[Sew. 2017]]+Tabel668921274[[#This Row],[VAT Sew. 2017]]+Tabel668921274[[#This Row],[WW 2017]]+Tabel668921274[[#This Row],[VAT WW 2017]]+Tabel668921274[[#This Row],[Other ch. 2017]]+Tabel668921274[[#This Row],[VAT Other ch. 2017]]</f>
        <v>55.677232011024714</v>
      </c>
      <c r="T64" s="397"/>
      <c r="U64" s="1763"/>
      <c r="V64" s="1766"/>
      <c r="W64" s="1769"/>
      <c r="X64" s="1783"/>
      <c r="Y64" s="1775"/>
      <c r="Z64" s="1778"/>
      <c r="AA64" s="1783"/>
      <c r="AB64" s="1781"/>
      <c r="AC64" s="1783"/>
      <c r="AD64" s="1785"/>
      <c r="AE64" s="1783"/>
      <c r="AF64" s="1788"/>
      <c r="AG64" s="1791"/>
      <c r="AH64" s="397"/>
      <c r="AI64" s="398"/>
      <c r="AJ64" s="398"/>
      <c r="AK64" s="398"/>
      <c r="AL64" s="591" t="s">
        <v>429</v>
      </c>
      <c r="AM64" s="591"/>
      <c r="AN64" s="591" t="s">
        <v>429</v>
      </c>
      <c r="AO64" s="614"/>
      <c r="AP64" s="397"/>
    </row>
    <row r="65" spans="1:42" ht="15.75" hidden="1" x14ac:dyDescent="0.25">
      <c r="A65" s="1819"/>
      <c r="B65" s="685" t="s">
        <v>80</v>
      </c>
      <c r="C65" s="802"/>
      <c r="D65" s="802" t="s">
        <v>1044</v>
      </c>
      <c r="E65" s="1880"/>
      <c r="F65" s="647">
        <f>'exchange rates'!$O$13</f>
        <v>6.50176</v>
      </c>
      <c r="G65" s="686">
        <f>(2.61*100)/F65</f>
        <v>40.142976670932178</v>
      </c>
      <c r="H65" s="593">
        <v>0</v>
      </c>
      <c r="I65" s="594">
        <f>(1.39*100)/F65</f>
        <v>21.378826656166947</v>
      </c>
      <c r="J65" s="595">
        <v>0</v>
      </c>
      <c r="K65" s="566">
        <f>Tabel668921274[[#This Row],[Fix.ch. 2017]]+Tabel668921274[[#This Row],[Var. ch. 2017]]+Tabel668921274[[#This Row],[Oth. ch. DW 2017]]+Tabel668921274[[#This Row],[VAT DW 2017]]</f>
        <v>61.521803327099121</v>
      </c>
      <c r="L65" s="596">
        <v>0</v>
      </c>
      <c r="M65" s="595">
        <v>0</v>
      </c>
      <c r="N65" s="626">
        <f>(0.9*100)/F65</f>
        <v>13.842405748597303</v>
      </c>
      <c r="O65" s="595">
        <v>0</v>
      </c>
      <c r="P65" s="597">
        <v>0</v>
      </c>
      <c r="Q65" s="595">
        <v>0</v>
      </c>
      <c r="R65" s="570">
        <f>Tabel668921274[[#This Row],[VAT DW 2017]]+Tabel668921274[[#This Row],[VAT Sew. 2017]]+Tabel668921274[[#This Row],[VAT WW 2017]]+Tabel668921274[[#This Row],[VAT Other ch. 2017]]</f>
        <v>0</v>
      </c>
      <c r="S65" s="571">
        <f>Tabel668921274[[#This Row],[Total. ch. DW 2017]]+Tabel668921274[[#This Row],[Sew. 2017]]+Tabel668921274[[#This Row],[VAT Sew. 2017]]+Tabel668921274[[#This Row],[WW 2017]]+Tabel668921274[[#This Row],[VAT WW 2017]]+Tabel668921274[[#This Row],[Other ch. 2017]]+Tabel668921274[[#This Row],[VAT Other ch. 2017]]</f>
        <v>75.364209075696422</v>
      </c>
      <c r="T65" s="397"/>
      <c r="U65" s="1763"/>
      <c r="V65" s="1766"/>
      <c r="W65" s="1769"/>
      <c r="X65" s="1783"/>
      <c r="Y65" s="1775"/>
      <c r="Z65" s="1778"/>
      <c r="AA65" s="1783"/>
      <c r="AB65" s="1781"/>
      <c r="AC65" s="1783"/>
      <c r="AD65" s="1785"/>
      <c r="AE65" s="1783"/>
      <c r="AF65" s="1788"/>
      <c r="AG65" s="1791"/>
      <c r="AH65" s="397"/>
      <c r="AI65" s="398"/>
      <c r="AJ65" s="398"/>
      <c r="AK65" s="398"/>
      <c r="AL65" s="591" t="s">
        <v>429</v>
      </c>
      <c r="AM65" s="591"/>
      <c r="AN65" s="591" t="s">
        <v>429</v>
      </c>
      <c r="AO65" s="614"/>
      <c r="AP65" s="397"/>
    </row>
    <row r="66" spans="1:42" ht="15.75" hidden="1" x14ac:dyDescent="0.25">
      <c r="A66" s="1819"/>
      <c r="B66" s="624" t="s">
        <v>81</v>
      </c>
      <c r="C66" s="802"/>
      <c r="D66" s="802" t="s">
        <v>1044</v>
      </c>
      <c r="E66" s="1880"/>
      <c r="F66" s="647">
        <f>'exchange rates'!$O$13</f>
        <v>6.50176</v>
      </c>
      <c r="G66" s="686">
        <f>(2.67*100)/F66</f>
        <v>41.065803720838666</v>
      </c>
      <c r="H66" s="593">
        <v>0</v>
      </c>
      <c r="I66" s="594">
        <v>0</v>
      </c>
      <c r="J66" s="595">
        <v>0</v>
      </c>
      <c r="K66" s="566">
        <f>Tabel668921274[[#This Row],[Fix.ch. 2017]]+Tabel668921274[[#This Row],[Var. ch. 2017]]+Tabel668921274[[#This Row],[Oth. ch. DW 2017]]+Tabel668921274[[#This Row],[VAT DW 2017]]</f>
        <v>41.065803720838666</v>
      </c>
      <c r="L66" s="596">
        <v>0</v>
      </c>
      <c r="M66" s="595">
        <v>0</v>
      </c>
      <c r="N66" s="626">
        <f>(0.9*100)/F66</f>
        <v>13.842405748597303</v>
      </c>
      <c r="O66" s="595">
        <v>0</v>
      </c>
      <c r="P66" s="597">
        <v>0</v>
      </c>
      <c r="Q66" s="595">
        <v>0</v>
      </c>
      <c r="R66" s="570">
        <f>Tabel668921274[[#This Row],[VAT DW 2017]]+Tabel668921274[[#This Row],[VAT Sew. 2017]]+Tabel668921274[[#This Row],[VAT WW 2017]]+Tabel668921274[[#This Row],[VAT Other ch. 2017]]</f>
        <v>0</v>
      </c>
      <c r="S66" s="571">
        <f>Tabel668921274[[#This Row],[Total. ch. DW 2017]]+Tabel668921274[[#This Row],[Sew. 2017]]+Tabel668921274[[#This Row],[VAT Sew. 2017]]+Tabel668921274[[#This Row],[WW 2017]]+Tabel668921274[[#This Row],[VAT WW 2017]]+Tabel668921274[[#This Row],[Other ch. 2017]]+Tabel668921274[[#This Row],[VAT Other ch. 2017]]</f>
        <v>54.908209469435967</v>
      </c>
      <c r="T66" s="397"/>
      <c r="U66" s="1763"/>
      <c r="V66" s="1766"/>
      <c r="W66" s="1769"/>
      <c r="X66" s="1783"/>
      <c r="Y66" s="1775"/>
      <c r="Z66" s="1778"/>
      <c r="AA66" s="1783"/>
      <c r="AB66" s="1781"/>
      <c r="AC66" s="1783"/>
      <c r="AD66" s="1785"/>
      <c r="AE66" s="1783"/>
      <c r="AF66" s="1788"/>
      <c r="AG66" s="1791"/>
      <c r="AH66" s="397"/>
      <c r="AI66" s="398"/>
      <c r="AJ66" s="398"/>
      <c r="AK66" s="398"/>
      <c r="AL66" s="591" t="s">
        <v>429</v>
      </c>
      <c r="AM66" s="591"/>
      <c r="AN66" s="591" t="s">
        <v>429</v>
      </c>
      <c r="AO66" s="614"/>
      <c r="AP66" s="397"/>
    </row>
    <row r="67" spans="1:42" ht="16.5" hidden="1" thickBot="1" x14ac:dyDescent="0.3">
      <c r="A67" s="1820"/>
      <c r="B67" s="684" t="s">
        <v>468</v>
      </c>
      <c r="C67" s="802"/>
      <c r="D67" s="802" t="s">
        <v>1044</v>
      </c>
      <c r="E67" s="1923"/>
      <c r="F67" s="647">
        <f>'exchange rates'!$O$13</f>
        <v>6.50176</v>
      </c>
      <c r="G67" s="686">
        <f>(1.98*100)/F67</f>
        <v>30.453292646914065</v>
      </c>
      <c r="H67" s="593">
        <v>0</v>
      </c>
      <c r="I67" s="594">
        <v>0</v>
      </c>
      <c r="J67" s="595">
        <v>0</v>
      </c>
      <c r="K67" s="566">
        <f>Tabel668921274[[#This Row],[Fix.ch. 2017]]+Tabel668921274[[#This Row],[Var. ch. 2017]]+Tabel668921274[[#This Row],[Oth. ch. DW 2017]]+Tabel668921274[[#This Row],[VAT DW 2017]]</f>
        <v>30.453292646914065</v>
      </c>
      <c r="L67" s="596">
        <v>0</v>
      </c>
      <c r="M67" s="595">
        <v>0</v>
      </c>
      <c r="N67" s="626">
        <f>(0.9*100)/F67</f>
        <v>13.842405748597303</v>
      </c>
      <c r="O67" s="595">
        <v>0</v>
      </c>
      <c r="P67" s="597">
        <v>0</v>
      </c>
      <c r="Q67" s="595">
        <v>0</v>
      </c>
      <c r="R67" s="570">
        <f>Tabel668921274[[#This Row],[VAT DW 2017]]+Tabel668921274[[#This Row],[VAT Sew. 2017]]+Tabel668921274[[#This Row],[VAT WW 2017]]+Tabel668921274[[#This Row],[VAT Other ch. 2017]]</f>
        <v>0</v>
      </c>
      <c r="S67" s="571">
        <f>Tabel668921274[[#This Row],[Total. ch. DW 2017]]+Tabel668921274[[#This Row],[Sew. 2017]]+Tabel668921274[[#This Row],[VAT Sew. 2017]]+Tabel668921274[[#This Row],[WW 2017]]+Tabel668921274[[#This Row],[VAT WW 2017]]+Tabel668921274[[#This Row],[Other ch. 2017]]+Tabel668921274[[#This Row],[VAT Other ch. 2017]]</f>
        <v>44.295698395511366</v>
      </c>
      <c r="T67" s="397"/>
      <c r="U67" s="1801"/>
      <c r="V67" s="1803"/>
      <c r="W67" s="1805"/>
      <c r="X67" s="1773"/>
      <c r="Y67" s="1807"/>
      <c r="Z67" s="1809"/>
      <c r="AA67" s="1773"/>
      <c r="AB67" s="1782"/>
      <c r="AC67" s="1773"/>
      <c r="AD67" s="1786"/>
      <c r="AE67" s="1773"/>
      <c r="AF67" s="1789"/>
      <c r="AG67" s="1792"/>
      <c r="AH67" s="397"/>
      <c r="AI67" s="398"/>
      <c r="AJ67" s="398"/>
      <c r="AK67" s="398"/>
      <c r="AL67" s="591" t="s">
        <v>429</v>
      </c>
      <c r="AM67" s="591"/>
      <c r="AN67" s="591" t="s">
        <v>429</v>
      </c>
      <c r="AO67" s="614"/>
      <c r="AP67" s="397"/>
    </row>
    <row r="68" spans="1:42" ht="19.5" hidden="1" thickBot="1" x14ac:dyDescent="0.3">
      <c r="A68" s="694" t="s">
        <v>585</v>
      </c>
      <c r="B68" s="685" t="s">
        <v>84</v>
      </c>
      <c r="C68" s="802" t="s">
        <v>429</v>
      </c>
      <c r="D68" s="812" t="s">
        <v>1046</v>
      </c>
      <c r="E68" s="700">
        <v>61000</v>
      </c>
      <c r="F68" s="616">
        <f>'exchange rates'!O14</f>
        <v>7.8123899999999997</v>
      </c>
      <c r="G68" s="625">
        <f>0</f>
        <v>0</v>
      </c>
      <c r="H68" s="593">
        <f>262.08/F68</f>
        <v>33.546712337709714</v>
      </c>
      <c r="I68" s="594">
        <v>0</v>
      </c>
      <c r="J68" s="595">
        <v>0</v>
      </c>
      <c r="K68" s="566">
        <f>Tabel668921274[[#This Row],[Fix.ch. 2017]]+Tabel668921274[[#This Row],[Var. ch. 2017]]+Tabel668921274[[#This Row],[Oth. ch. DW 2017]]+Tabel668921274[[#This Row],[VAT DW 2017]]</f>
        <v>33.546712337709714</v>
      </c>
      <c r="L68" s="596">
        <v>0</v>
      </c>
      <c r="M68" s="595">
        <v>0</v>
      </c>
      <c r="N68" s="626">
        <f>292/F68</f>
        <v>37.376526261489765</v>
      </c>
      <c r="O68" s="595">
        <v>0</v>
      </c>
      <c r="P68" s="597">
        <v>0</v>
      </c>
      <c r="Q68" s="595">
        <v>0</v>
      </c>
      <c r="R68" s="570">
        <f>Tabel668921274[[#This Row],[VAT DW 2017]]+Tabel668921274[[#This Row],[VAT Sew. 2017]]+Tabel668921274[[#This Row],[VAT WW 2017]]+Tabel668921274[[#This Row],[VAT Other ch. 2017]]</f>
        <v>0</v>
      </c>
      <c r="S68" s="571">
        <f>Tabel668921274[[#This Row],[Total. ch. DW 2017]]+Tabel668921274[[#This Row],[Sew. 2017]]+Tabel668921274[[#This Row],[VAT Sew. 2017]]+Tabel668921274[[#This Row],[WW 2017]]+Tabel668921274[[#This Row],[VAT WW 2017]]+Tabel668921274[[#This Row],[Other ch. 2017]]+Tabel668921274[[#This Row],[VAT Other ch. 2017]]</f>
        <v>70.923238599199479</v>
      </c>
      <c r="T68" s="397"/>
      <c r="U68" s="701">
        <f>Tabel668921274[[#This Row],[Fix.ch. 2017]]</f>
        <v>0</v>
      </c>
      <c r="V68" s="702">
        <f>Tabel668921274[[#This Row],[Var. ch. 2017]]</f>
        <v>33.546712337709714</v>
      </c>
      <c r="W68" s="703">
        <f>Tabel668921274[[#This Row],[Oth. ch. DW 2017]]</f>
        <v>0</v>
      </c>
      <c r="X68" s="704">
        <f>Tabel668921274[[#This Row],[Oth. ch. DW 2017]]</f>
        <v>0</v>
      </c>
      <c r="Y68" s="705">
        <f>SUM(U68:W68)</f>
        <v>33.546712337709714</v>
      </c>
      <c r="Z68" s="706">
        <f>Tabel668921274[[#This Row],[Sew. 2017]]</f>
        <v>0</v>
      </c>
      <c r="AA68" s="704">
        <f>Tabel668921274[[#This Row],[Oth. ch. DW 2017]]</f>
        <v>0</v>
      </c>
      <c r="AB68" s="707">
        <f>Tabel668921274[[#This Row],[WW 2017]]</f>
        <v>37.376526261489765</v>
      </c>
      <c r="AC68" s="704">
        <f>Tabel668921274[[#This Row],[Oth. ch. DW 2017]]</f>
        <v>0</v>
      </c>
      <c r="AD68" s="708">
        <f>Tabel668921274[[#This Row],[Other ch. 2017]]</f>
        <v>0</v>
      </c>
      <c r="AE68" s="704">
        <f>Tabel668921274[[#This Row],[Oth. ch. DW 2017]]</f>
        <v>0</v>
      </c>
      <c r="AF68" s="709">
        <f>Tabel668921274[[#This Row],[Total VAT 2017]]</f>
        <v>0</v>
      </c>
      <c r="AG68" s="710">
        <f>SUM(Y68:AF68)</f>
        <v>70.923238599199479</v>
      </c>
      <c r="AH68" s="397"/>
      <c r="AI68" s="398"/>
      <c r="AJ68" s="396"/>
      <c r="AK68" s="398"/>
      <c r="AL68" s="591" t="s">
        <v>429</v>
      </c>
      <c r="AM68" s="398"/>
      <c r="AN68" s="398"/>
      <c r="AO68" s="398"/>
      <c r="AP68" s="397"/>
    </row>
    <row r="69" spans="1:42" ht="18" hidden="1" customHeight="1" x14ac:dyDescent="0.25">
      <c r="A69" s="1818" t="s">
        <v>9</v>
      </c>
      <c r="B69" s="623" t="s">
        <v>82</v>
      </c>
      <c r="C69" s="802" t="s">
        <v>429</v>
      </c>
      <c r="D69" s="802" t="s">
        <v>1048</v>
      </c>
      <c r="E69" s="1948">
        <v>49800</v>
      </c>
      <c r="F69" s="616">
        <f>'exchange rates'!$O$15</f>
        <v>29.661809999999999</v>
      </c>
      <c r="G69" s="625">
        <f>816/F69</f>
        <v>27.510121600805885</v>
      </c>
      <c r="H69" s="593">
        <f>708/F69</f>
        <v>23.869076094816872</v>
      </c>
      <c r="I69" s="594">
        <f>50.1/F69</f>
        <v>1.6890405541671261</v>
      </c>
      <c r="J69" s="595">
        <v>0</v>
      </c>
      <c r="K69" s="566" t="e">
        <f>#REF!+#REF!+#REF!+#REF!</f>
        <v>#REF!</v>
      </c>
      <c r="L69" s="596">
        <v>0</v>
      </c>
      <c r="M69" s="595">
        <v>0</v>
      </c>
      <c r="N69" s="626">
        <f>501/F69</f>
        <v>16.89040554167126</v>
      </c>
      <c r="O69" s="595">
        <v>0</v>
      </c>
      <c r="P69" s="597">
        <v>0</v>
      </c>
      <c r="Q69" s="595">
        <f>76.2/F69</f>
        <v>2.5689598847811381</v>
      </c>
      <c r="R69" s="570" t="e">
        <f>#REF!+#REF!+#REF!+#REF!</f>
        <v>#REF!</v>
      </c>
      <c r="S69" s="571" t="e">
        <f>#REF!+#REF!+#REF!+#REF!+#REF!+#REF!+#REF!</f>
        <v>#REF!</v>
      </c>
      <c r="T69" s="397"/>
      <c r="U69" s="1949">
        <f>MEDIAN(G69:G70)</f>
        <v>20.976467720614487</v>
      </c>
      <c r="V69" s="1952">
        <f>MEDIAN(H69:H70)</f>
        <v>30.428015013244305</v>
      </c>
      <c r="W69" s="1953">
        <f>MEDIAN(I69:I70)</f>
        <v>1.6890405541671261</v>
      </c>
      <c r="X69" s="1938">
        <f>MEDIAN(J69:J70)</f>
        <v>0</v>
      </c>
      <c r="Y69" s="1940">
        <f>SUM(U69:X70)</f>
        <v>53.093523288025921</v>
      </c>
      <c r="Z69" s="1941">
        <f t="shared" ref="Z69:AF69" si="9">MEDIAN(L69:L70)</f>
        <v>0</v>
      </c>
      <c r="AA69" s="1938">
        <f t="shared" si="9"/>
        <v>0</v>
      </c>
      <c r="AB69" s="1942">
        <f t="shared" si="9"/>
        <v>16.89040554167126</v>
      </c>
      <c r="AC69" s="1938">
        <f t="shared" si="9"/>
        <v>0</v>
      </c>
      <c r="AD69" s="1943">
        <f t="shared" si="9"/>
        <v>0</v>
      </c>
      <c r="AE69" s="1938">
        <f t="shared" si="9"/>
        <v>2.5689598847811381</v>
      </c>
      <c r="AF69" s="1951" t="e">
        <f t="shared" si="9"/>
        <v>#REF!</v>
      </c>
      <c r="AG69" s="1933">
        <f>Y69+Z69+AA69+AB69+AC69+AD69+AE69</f>
        <v>72.552888714478314</v>
      </c>
      <c r="AH69" s="397"/>
      <c r="AI69" s="398"/>
      <c r="AJ69" s="398"/>
      <c r="AK69" s="398"/>
      <c r="AL69" s="591" t="s">
        <v>429</v>
      </c>
      <c r="AM69" s="591"/>
      <c r="AN69" s="591" t="s">
        <v>429</v>
      </c>
      <c r="AO69" s="398"/>
      <c r="AP69" s="397"/>
    </row>
    <row r="70" spans="1:42" ht="16.5" hidden="1" thickBot="1" x14ac:dyDescent="0.3">
      <c r="A70" s="1820"/>
      <c r="B70" s="624" t="s">
        <v>83</v>
      </c>
      <c r="C70" s="802"/>
      <c r="D70" s="802" t="s">
        <v>1048</v>
      </c>
      <c r="E70" s="1799"/>
      <c r="F70" s="616">
        <f>'exchange rates'!$O$15</f>
        <v>29.661809999999999</v>
      </c>
      <c r="G70" s="625">
        <f>428.4/F70</f>
        <v>14.442813840423089</v>
      </c>
      <c r="H70" s="593">
        <f>1097.1/F70</f>
        <v>36.986953931671735</v>
      </c>
      <c r="I70" s="594">
        <f>50.1/F70</f>
        <v>1.6890405541671261</v>
      </c>
      <c r="J70" s="595">
        <v>0</v>
      </c>
      <c r="K70" s="566" t="e">
        <f>#REF!+#REF!+#REF!+#REF!</f>
        <v>#REF!</v>
      </c>
      <c r="L70" s="596">
        <v>0</v>
      </c>
      <c r="M70" s="595">
        <v>0</v>
      </c>
      <c r="N70" s="626">
        <f>501/F70</f>
        <v>16.89040554167126</v>
      </c>
      <c r="O70" s="595">
        <v>0</v>
      </c>
      <c r="P70" s="597">
        <v>0</v>
      </c>
      <c r="Q70" s="595">
        <f>76.2/F70</f>
        <v>2.5689598847811381</v>
      </c>
      <c r="R70" s="570" t="e">
        <f>#REF!+#REF!+#REF!+#REF!</f>
        <v>#REF!</v>
      </c>
      <c r="S70" s="571" t="e">
        <f>#REF!+#REF!+#REF!+#REF!+#REF!+#REF!+#REF!</f>
        <v>#REF!</v>
      </c>
      <c r="T70" s="397"/>
      <c r="U70" s="1801"/>
      <c r="V70" s="1803"/>
      <c r="W70" s="1805"/>
      <c r="X70" s="1773"/>
      <c r="Y70" s="1807"/>
      <c r="Z70" s="1809"/>
      <c r="AA70" s="1773"/>
      <c r="AB70" s="1782"/>
      <c r="AC70" s="1773"/>
      <c r="AD70" s="1786"/>
      <c r="AE70" s="1773"/>
      <c r="AF70" s="1789"/>
      <c r="AG70" s="1792"/>
      <c r="AH70" s="397"/>
      <c r="AI70" s="398"/>
      <c r="AJ70" s="398"/>
      <c r="AK70" s="398"/>
      <c r="AL70" s="591" t="s">
        <v>429</v>
      </c>
      <c r="AM70" s="591"/>
      <c r="AN70" s="591" t="s">
        <v>429</v>
      </c>
      <c r="AO70" s="398"/>
      <c r="AP70" s="397"/>
    </row>
    <row r="71" spans="1:42" ht="18" hidden="1" customHeight="1" x14ac:dyDescent="0.25">
      <c r="A71" s="1878" t="s">
        <v>10</v>
      </c>
      <c r="B71" s="638" t="s">
        <v>85</v>
      </c>
      <c r="C71" s="693"/>
      <c r="D71" s="806" t="s">
        <v>1050</v>
      </c>
      <c r="E71" s="1934">
        <v>36600</v>
      </c>
      <c r="F71" s="617">
        <f>'exchange rates'!$O$16</f>
        <v>0.83301000000000003</v>
      </c>
      <c r="G71" s="625">
        <f>66/F71</f>
        <v>79.230741527712752</v>
      </c>
      <c r="H71" s="593">
        <f>94/F71</f>
        <v>112.84378338795452</v>
      </c>
      <c r="I71" s="594">
        <v>0</v>
      </c>
      <c r="J71" s="595">
        <f>8/F71</f>
        <v>9.6037262457833634</v>
      </c>
      <c r="K71" s="566">
        <f>Tabel668921274[[#This Row],[Fix.ch. 2017]]+Tabel668921274[[#This Row],[Var. ch. 2017]]+Tabel668921274[[#This Row],[Oth. ch. DW 2017]]+Tabel668921274[[#This Row],[VAT DW 2017]]</f>
        <v>201.67825116145065</v>
      </c>
      <c r="L71" s="596">
        <f>50/F71</f>
        <v>60.023289036146025</v>
      </c>
      <c r="M71" s="595">
        <v>0</v>
      </c>
      <c r="N71" s="626">
        <f>89.6/F71</f>
        <v>107.56173395277366</v>
      </c>
      <c r="O71" s="595">
        <v>0</v>
      </c>
      <c r="P71" s="597">
        <f>25.6/F71</f>
        <v>30.731923986506764</v>
      </c>
      <c r="Q71" s="595">
        <v>0</v>
      </c>
      <c r="R71" s="570">
        <f>Tabel668921274[[#This Row],[VAT DW 2017]]+Tabel668921274[[#This Row],[VAT Sew. 2017]]+Tabel668921274[[#This Row],[VAT WW 2017]]+Tabel668921274[[#This Row],[VAT Other ch. 2017]]</f>
        <v>9.6037262457833634</v>
      </c>
      <c r="S71" s="571">
        <f>Tabel668921274[[#This Row],[Total. ch. DW 2017]]+Tabel668921274[[#This Row],[Sew. 2017]]+Tabel668921274[[#This Row],[VAT Sew. 2017]]+Tabel668921274[[#This Row],[WW 2017]]+Tabel668921274[[#This Row],[VAT WW 2017]]+Tabel668921274[[#This Row],[Other ch. 2017]]+Tabel668921274[[#This Row],[VAT Other ch. 2017]]</f>
        <v>399.99519813687709</v>
      </c>
      <c r="T71" s="397"/>
      <c r="U71" s="1935">
        <f>MEDIAN(G71:G74)</f>
        <v>68.426549501206466</v>
      </c>
      <c r="V71" s="1936">
        <f>MEDIAN(H71:H74)</f>
        <v>110.44285182650867</v>
      </c>
      <c r="W71" s="1937">
        <f>MEDIAN(I71:I74)</f>
        <v>0</v>
      </c>
      <c r="X71" s="1938">
        <f>MEDIAN(J71:J74)</f>
        <v>8.8234234883134661</v>
      </c>
      <c r="Y71" s="1939">
        <f>SUM(U71:X74)</f>
        <v>187.6928248160286</v>
      </c>
      <c r="Z71" s="1950">
        <f t="shared" ref="Z71:AF71" si="10">MEDIAN(L71:L74)</f>
        <v>63.024453487953323</v>
      </c>
      <c r="AA71" s="1938">
        <f t="shared" si="10"/>
        <v>0</v>
      </c>
      <c r="AB71" s="1946">
        <f t="shared" si="10"/>
        <v>159.99207692584724</v>
      </c>
      <c r="AC71" s="1938">
        <f t="shared" si="10"/>
        <v>0</v>
      </c>
      <c r="AD71" s="1947">
        <f t="shared" si="10"/>
        <v>36.374113155904489</v>
      </c>
      <c r="AE71" s="1938">
        <f t="shared" si="10"/>
        <v>0</v>
      </c>
      <c r="AF71" s="1944">
        <f t="shared" si="10"/>
        <v>8.8234234883134661</v>
      </c>
      <c r="AG71" s="1945">
        <f>Y71+Z71+AA71+AB71+AC71+AD71+AE71</f>
        <v>447.08346838573362</v>
      </c>
      <c r="AH71" s="397"/>
      <c r="AI71" s="398"/>
      <c r="AJ71" s="398"/>
      <c r="AK71" s="398"/>
      <c r="AL71" s="591" t="s">
        <v>429</v>
      </c>
      <c r="AM71" s="591" t="s">
        <v>429</v>
      </c>
      <c r="AN71" s="591" t="s">
        <v>429</v>
      </c>
      <c r="AO71" s="398"/>
      <c r="AP71" s="397"/>
    </row>
    <row r="72" spans="1:42" ht="15.6" hidden="1" customHeight="1" x14ac:dyDescent="0.25">
      <c r="A72" s="1757"/>
      <c r="B72" s="639" t="s">
        <v>878</v>
      </c>
      <c r="C72" s="639" t="s">
        <v>429</v>
      </c>
      <c r="D72" s="724" t="s">
        <v>1050</v>
      </c>
      <c r="E72" s="1760"/>
      <c r="F72" s="617">
        <f>'exchange rates'!$O$16</f>
        <v>0.83301000000000003</v>
      </c>
      <c r="G72" s="625">
        <f>42/F72</f>
        <v>50.419562790362662</v>
      </c>
      <c r="H72" s="593">
        <f>96/F72</f>
        <v>115.24471494940036</v>
      </c>
      <c r="I72" s="594">
        <f>0</f>
        <v>0</v>
      </c>
      <c r="J72" s="595">
        <f>6.9/F72</f>
        <v>8.2832138869881522</v>
      </c>
      <c r="K72" s="566">
        <f>Tabel668921274[[#This Row],[Fix.ch. 2017]]+Tabel668921274[[#This Row],[Var. ch. 2017]]+Tabel668921274[[#This Row],[Oth. ch. DW 2017]]+Tabel668921274[[#This Row],[VAT DW 2017]]</f>
        <v>173.94749162675117</v>
      </c>
      <c r="L72" s="596">
        <f>55/F72</f>
        <v>66.025617939760622</v>
      </c>
      <c r="M72" s="595">
        <v>0</v>
      </c>
      <c r="N72" s="626">
        <f>109.5/F72</f>
        <v>131.4510029891598</v>
      </c>
      <c r="O72" s="595">
        <v>0</v>
      </c>
      <c r="P72" s="597">
        <f>0</f>
        <v>0</v>
      </c>
      <c r="Q72" s="595">
        <v>0</v>
      </c>
      <c r="R72" s="570">
        <f>Tabel668921274[[#This Row],[VAT DW 2017]]+Tabel668921274[[#This Row],[VAT Sew. 2017]]+Tabel668921274[[#This Row],[VAT WW 2017]]+Tabel668921274[[#This Row],[VAT Other ch. 2017]]</f>
        <v>8.2832138869881522</v>
      </c>
      <c r="S72" s="571">
        <f>Tabel668921274[[#This Row],[Total. ch. DW 2017]]+Tabel668921274[[#This Row],[Sew. 2017]]+Tabel668921274[[#This Row],[VAT Sew. 2017]]+Tabel668921274[[#This Row],[WW 2017]]+Tabel668921274[[#This Row],[VAT WW 2017]]+Tabel668921274[[#This Row],[Other ch. 2017]]+Tabel668921274[[#This Row],[VAT Other ch. 2017]]</f>
        <v>371.42411255567163</v>
      </c>
      <c r="T72" s="397"/>
      <c r="U72" s="1763"/>
      <c r="V72" s="1766"/>
      <c r="W72" s="1769"/>
      <c r="X72" s="1772"/>
      <c r="Y72" s="1775"/>
      <c r="Z72" s="1778"/>
      <c r="AA72" s="1772"/>
      <c r="AB72" s="1781"/>
      <c r="AC72" s="1772"/>
      <c r="AD72" s="1785"/>
      <c r="AE72" s="1772"/>
      <c r="AF72" s="1788"/>
      <c r="AG72" s="1791"/>
      <c r="AH72" s="397"/>
      <c r="AI72" s="398"/>
      <c r="AJ72" s="398"/>
      <c r="AK72" s="398"/>
      <c r="AL72" s="591" t="s">
        <v>429</v>
      </c>
      <c r="AM72" s="591" t="s">
        <v>429</v>
      </c>
      <c r="AN72" s="591" t="s">
        <v>429</v>
      </c>
      <c r="AO72" s="398"/>
      <c r="AP72" s="397"/>
    </row>
    <row r="73" spans="1:42" ht="15.6" hidden="1" customHeight="1" x14ac:dyDescent="0.25">
      <c r="A73" s="1757"/>
      <c r="B73" s="639" t="s">
        <v>879</v>
      </c>
      <c r="C73" s="639"/>
      <c r="D73" s="724" t="s">
        <v>1050</v>
      </c>
      <c r="E73" s="1760"/>
      <c r="F73" s="617">
        <f>'exchange rates'!$O$16</f>
        <v>0.83301000000000003</v>
      </c>
      <c r="G73" s="625">
        <f>66/F73</f>
        <v>79.230741527712752</v>
      </c>
      <c r="H73" s="593">
        <f>90/F73</f>
        <v>108.04192026506284</v>
      </c>
      <c r="I73" s="594">
        <v>0</v>
      </c>
      <c r="J73" s="595">
        <f>7.8/F73</f>
        <v>9.36363308963878</v>
      </c>
      <c r="K73" s="566">
        <f>Tabel668921274[[#This Row],[Fix.ch. 2017]]+Tabel668921274[[#This Row],[Var. ch. 2017]]+Tabel668921274[[#This Row],[Oth. ch. DW 2017]]+Tabel668921274[[#This Row],[VAT DW 2017]]</f>
        <v>196.63629488241435</v>
      </c>
      <c r="L73" s="596">
        <f>64/F73</f>
        <v>76.829809966266907</v>
      </c>
      <c r="M73" s="595">
        <v>0</v>
      </c>
      <c r="N73" s="626">
        <f>157.05/F73</f>
        <v>188.53315086253468</v>
      </c>
      <c r="O73" s="595">
        <v>0</v>
      </c>
      <c r="P73" s="597">
        <f>36/F73</f>
        <v>43.216768106025135</v>
      </c>
      <c r="Q73" s="595">
        <v>0</v>
      </c>
      <c r="R73" s="570">
        <f>Tabel668921274[[#This Row],[VAT DW 2017]]+Tabel668921274[[#This Row],[VAT Sew. 2017]]+Tabel668921274[[#This Row],[VAT WW 2017]]+Tabel668921274[[#This Row],[VAT Other ch. 2017]]</f>
        <v>9.36363308963878</v>
      </c>
      <c r="S73" s="571">
        <f>Tabel668921274[[#This Row],[Total. ch. DW 2017]]+Tabel668921274[[#This Row],[Sew. 2017]]+Tabel668921274[[#This Row],[VAT Sew. 2017]]+Tabel668921274[[#This Row],[WW 2017]]+Tabel668921274[[#This Row],[VAT WW 2017]]+Tabel668921274[[#This Row],[Other ch. 2017]]+Tabel668921274[[#This Row],[VAT Other ch. 2017]]</f>
        <v>505.21602381724108</v>
      </c>
      <c r="T73" s="397"/>
      <c r="U73" s="1763"/>
      <c r="V73" s="1766"/>
      <c r="W73" s="1769"/>
      <c r="X73" s="1772"/>
      <c r="Y73" s="1775"/>
      <c r="Z73" s="1778"/>
      <c r="AA73" s="1772"/>
      <c r="AB73" s="1781"/>
      <c r="AC73" s="1772"/>
      <c r="AD73" s="1785"/>
      <c r="AE73" s="1772"/>
      <c r="AF73" s="1788"/>
      <c r="AG73" s="1791">
        <f t="shared" ref="AG73" si="11">Y73+Z73+AA73+AB73+AC73+AD73+AE73</f>
        <v>0</v>
      </c>
      <c r="AH73" s="397"/>
      <c r="AI73" s="398"/>
      <c r="AJ73" s="398"/>
      <c r="AK73" s="398"/>
      <c r="AL73" s="591" t="s">
        <v>429</v>
      </c>
      <c r="AM73" s="591" t="s">
        <v>429</v>
      </c>
      <c r="AN73" s="591" t="s">
        <v>429</v>
      </c>
      <c r="AO73" s="398"/>
      <c r="AP73" s="397"/>
    </row>
    <row r="74" spans="1:42" ht="16.149999999999999" hidden="1" customHeight="1" thickBot="1" x14ac:dyDescent="0.3">
      <c r="A74" s="1758"/>
      <c r="B74" s="640" t="s">
        <v>86</v>
      </c>
      <c r="C74" s="652"/>
      <c r="D74" s="807" t="s">
        <v>1050</v>
      </c>
      <c r="E74" s="1799"/>
      <c r="F74" s="617">
        <f>'exchange rates'!$O$16</f>
        <v>0.83301000000000003</v>
      </c>
      <c r="G74" s="625">
        <f>48/F74</f>
        <v>57.622357474700181</v>
      </c>
      <c r="H74" s="593">
        <f>84.6/F74</f>
        <v>101.55940504915907</v>
      </c>
      <c r="I74" s="594">
        <v>0</v>
      </c>
      <c r="J74" s="595">
        <f>6.63/F74</f>
        <v>7.9590881261929622</v>
      </c>
      <c r="K74" s="566">
        <f>Tabel668921274[[#This Row],[Fix.ch. 2017]]+Tabel668921274[[#This Row],[Var. ch. 2017]]+Tabel668921274[[#This Row],[Oth. ch. DW 2017]]+Tabel668921274[[#This Row],[VAT DW 2017]]</f>
        <v>167.14085065005222</v>
      </c>
      <c r="L74" s="596">
        <f>42.72/F74</f>
        <v>51.283898152483161</v>
      </c>
      <c r="M74" s="595">
        <v>0</v>
      </c>
      <c r="N74" s="626">
        <f>157.5/F74</f>
        <v>189.07336046385998</v>
      </c>
      <c r="O74" s="595">
        <v>0</v>
      </c>
      <c r="P74" s="597">
        <f>35/F74</f>
        <v>42.016302325302213</v>
      </c>
      <c r="Q74" s="595">
        <v>0</v>
      </c>
      <c r="R74" s="570">
        <f>Tabel668921274[[#This Row],[VAT DW 2017]]+Tabel668921274[[#This Row],[VAT Sew. 2017]]+Tabel668921274[[#This Row],[VAT WW 2017]]+Tabel668921274[[#This Row],[VAT Other ch. 2017]]</f>
        <v>7.9590881261929622</v>
      </c>
      <c r="S74" s="571">
        <f>Tabel668921274[[#This Row],[Total. ch. DW 2017]]+Tabel668921274[[#This Row],[Sew. 2017]]+Tabel668921274[[#This Row],[VAT Sew. 2017]]+Tabel668921274[[#This Row],[WW 2017]]+Tabel668921274[[#This Row],[VAT WW 2017]]+Tabel668921274[[#This Row],[Other ch. 2017]]+Tabel668921274[[#This Row],[VAT Other ch. 2017]]</f>
        <v>449.51441159169752</v>
      </c>
      <c r="T74" s="397"/>
      <c r="U74" s="1801"/>
      <c r="V74" s="1803"/>
      <c r="W74" s="1805"/>
      <c r="X74" s="1773"/>
      <c r="Y74" s="1807"/>
      <c r="Z74" s="1809"/>
      <c r="AA74" s="1773"/>
      <c r="AB74" s="1782"/>
      <c r="AC74" s="1773"/>
      <c r="AD74" s="1786"/>
      <c r="AE74" s="1773"/>
      <c r="AF74" s="1789"/>
      <c r="AG74" s="1792"/>
      <c r="AH74" s="397"/>
      <c r="AI74" s="398"/>
      <c r="AJ74" s="398"/>
      <c r="AK74" s="398"/>
      <c r="AL74" s="591" t="s">
        <v>429</v>
      </c>
      <c r="AM74" s="591" t="s">
        <v>429</v>
      </c>
      <c r="AN74" s="591" t="s">
        <v>429</v>
      </c>
      <c r="AO74" s="398"/>
      <c r="AP74" s="397"/>
    </row>
    <row r="75" spans="1:42" ht="16.149999999999999" hidden="1" customHeight="1" x14ac:dyDescent="0.25">
      <c r="A75" s="1878" t="s">
        <v>910</v>
      </c>
      <c r="B75" s="693" t="s">
        <v>911</v>
      </c>
      <c r="C75" s="693" t="s">
        <v>429</v>
      </c>
      <c r="D75" s="806" t="s">
        <v>1052</v>
      </c>
      <c r="E75" s="1759">
        <v>35200</v>
      </c>
      <c r="F75" s="617">
        <f>'exchange rates'!$O$17</f>
        <v>21.275480000000002</v>
      </c>
      <c r="G75" s="625">
        <v>0</v>
      </c>
      <c r="H75" s="593">
        <f>4037/F75</f>
        <v>189.74895043496079</v>
      </c>
      <c r="I75" s="594">
        <v>0</v>
      </c>
      <c r="J75" s="595">
        <f>606/F75</f>
        <v>28.483493674408283</v>
      </c>
      <c r="K75" s="566">
        <f>Tabel668921274[[#This Row],[Fix.ch. 2017]]+Tabel668921274[[#This Row],[Var. ch. 2017]]+Tabel668921274[[#This Row],[Oth. ch. DW 2017]]+Tabel668921274[[#This Row],[VAT DW 2017]]</f>
        <v>218.23244410936908</v>
      </c>
      <c r="L75" s="596">
        <v>0</v>
      </c>
      <c r="M75" s="595">
        <v>0</v>
      </c>
      <c r="N75" s="626">
        <f>3391/F75</f>
        <v>159.38535816818234</v>
      </c>
      <c r="O75" s="595">
        <f>508/F75</f>
        <v>23.877252123101332</v>
      </c>
      <c r="P75" s="597">
        <v>0</v>
      </c>
      <c r="Q75" s="595">
        <v>0</v>
      </c>
      <c r="R75" s="570">
        <f>Tabel668921274[[#This Row],[VAT DW 2017]]+Tabel668921274[[#This Row],[VAT Sew. 2017]]+Tabel668921274[[#This Row],[VAT WW 2017]]+Tabel668921274[[#This Row],[VAT Other ch. 2017]]</f>
        <v>52.360745797509615</v>
      </c>
      <c r="S75" s="571">
        <f>Tabel668921274[[#This Row],[Total. ch. DW 2017]]+Tabel668921274[[#This Row],[Sew. 2017]]+Tabel668921274[[#This Row],[VAT Sew. 2017]]+Tabel668921274[[#This Row],[WW 2017]]+Tabel668921274[[#This Row],[VAT WW 2017]]+Tabel668921274[[#This Row],[Other ch. 2017]]+Tabel668921274[[#This Row],[VAT Other ch. 2017]]</f>
        <v>401.49505440065275</v>
      </c>
      <c r="T75" s="397"/>
      <c r="U75" s="1762">
        <f>MEDIAN(G75:G79)</f>
        <v>0</v>
      </c>
      <c r="V75" s="1765">
        <f>MEDIAN(H75:H79)</f>
        <v>189.74895043496079</v>
      </c>
      <c r="W75" s="1768">
        <f>MEDIAN(I75:I79)</f>
        <v>0</v>
      </c>
      <c r="X75" s="1771">
        <f>MEDIAN(J75:J79)</f>
        <v>28.483493674408283</v>
      </c>
      <c r="Y75" s="1774">
        <f>SUM(U75:X79)</f>
        <v>218.23244410936908</v>
      </c>
      <c r="Z75" s="1777">
        <f t="shared" ref="Z75:AF75" si="12">MEDIAN(L75:L79)</f>
        <v>0</v>
      </c>
      <c r="AA75" s="1771">
        <f t="shared" si="12"/>
        <v>0</v>
      </c>
      <c r="AB75" s="1810">
        <f t="shared" si="12"/>
        <v>159.38535816818234</v>
      </c>
      <c r="AC75" s="1771">
        <f t="shared" si="12"/>
        <v>23.877252123101332</v>
      </c>
      <c r="AD75" s="1812">
        <f t="shared" si="12"/>
        <v>0</v>
      </c>
      <c r="AE75" s="1771">
        <f t="shared" si="12"/>
        <v>0</v>
      </c>
      <c r="AF75" s="1814">
        <f t="shared" si="12"/>
        <v>52.360745797509615</v>
      </c>
      <c r="AG75" s="1793">
        <f>Y75+Z75+AA75+AB75+AC75+AD75+AE75</f>
        <v>401.49505440065275</v>
      </c>
      <c r="AH75" s="397"/>
      <c r="AI75" s="398"/>
      <c r="AJ75" s="591" t="s">
        <v>429</v>
      </c>
      <c r="AK75" s="398"/>
      <c r="AL75" s="591"/>
      <c r="AM75" s="591"/>
      <c r="AN75" s="591" t="s">
        <v>429</v>
      </c>
      <c r="AO75" s="398"/>
      <c r="AP75" s="397"/>
    </row>
    <row r="76" spans="1:42" ht="16.149999999999999" hidden="1" customHeight="1" x14ac:dyDescent="0.25">
      <c r="A76" s="1757"/>
      <c r="B76" s="639" t="s">
        <v>912</v>
      </c>
      <c r="C76" s="639"/>
      <c r="D76" s="724" t="s">
        <v>1052</v>
      </c>
      <c r="E76" s="1760"/>
      <c r="F76" s="617">
        <f>'exchange rates'!$O$17</f>
        <v>21.275480000000002</v>
      </c>
      <c r="G76" s="625">
        <v>0</v>
      </c>
      <c r="H76" s="593">
        <f>3224/F76</f>
        <v>151.53594654503681</v>
      </c>
      <c r="I76" s="594">
        <v>0</v>
      </c>
      <c r="J76" s="595">
        <f>484/F76</f>
        <v>22.749192967679225</v>
      </c>
      <c r="K76" s="566">
        <f>Tabel668921274[[#This Row],[Fix.ch. 2017]]+Tabel668921274[[#This Row],[Var. ch. 2017]]+Tabel668921274[[#This Row],[Oth. ch. DW 2017]]+Tabel668921274[[#This Row],[VAT DW 2017]]</f>
        <v>174.28513951271603</v>
      </c>
      <c r="L76" s="596">
        <v>0</v>
      </c>
      <c r="M76" s="595">
        <v>0</v>
      </c>
      <c r="N76" s="626">
        <f>3362/F76</f>
        <v>158.02228668871393</v>
      </c>
      <c r="O76" s="595">
        <f>504/F76</f>
        <v>23.689242263864315</v>
      </c>
      <c r="P76" s="597">
        <v>0</v>
      </c>
      <c r="Q76" s="595">
        <v>0</v>
      </c>
      <c r="R76" s="570">
        <f>Tabel668921274[[#This Row],[VAT DW 2017]]+Tabel668921274[[#This Row],[VAT Sew. 2017]]+Tabel668921274[[#This Row],[VAT WW 2017]]+Tabel668921274[[#This Row],[VAT Other ch. 2017]]</f>
        <v>46.438435231543536</v>
      </c>
      <c r="S76" s="571">
        <f>Tabel668921274[[#This Row],[Total. ch. DW 2017]]+Tabel668921274[[#This Row],[Sew. 2017]]+Tabel668921274[[#This Row],[VAT Sew. 2017]]+Tabel668921274[[#This Row],[WW 2017]]+Tabel668921274[[#This Row],[VAT WW 2017]]+Tabel668921274[[#This Row],[Other ch. 2017]]+Tabel668921274[[#This Row],[VAT Other ch. 2017]]</f>
        <v>355.99666846529431</v>
      </c>
      <c r="T76" s="397"/>
      <c r="U76" s="1763"/>
      <c r="V76" s="1766"/>
      <c r="W76" s="1769"/>
      <c r="X76" s="1772"/>
      <c r="Y76" s="1775"/>
      <c r="Z76" s="1778"/>
      <c r="AA76" s="1772"/>
      <c r="AB76" s="1781"/>
      <c r="AC76" s="1772"/>
      <c r="AD76" s="1785"/>
      <c r="AE76" s="1772"/>
      <c r="AF76" s="1788"/>
      <c r="AG76" s="1791"/>
      <c r="AH76" s="397"/>
      <c r="AI76" s="398"/>
      <c r="AJ76" s="591" t="s">
        <v>429</v>
      </c>
      <c r="AK76" s="398"/>
      <c r="AL76" s="591"/>
      <c r="AM76" s="591"/>
      <c r="AN76" s="591" t="s">
        <v>429</v>
      </c>
      <c r="AO76" s="398"/>
      <c r="AP76" s="397"/>
    </row>
    <row r="77" spans="1:42" ht="16.149999999999999" hidden="1" customHeight="1" x14ac:dyDescent="0.25">
      <c r="A77" s="1757"/>
      <c r="B77" s="639" t="s">
        <v>913</v>
      </c>
      <c r="C77" s="639"/>
      <c r="D77" s="724" t="s">
        <v>1052</v>
      </c>
      <c r="E77" s="1760"/>
      <c r="F77" s="617">
        <f>'exchange rates'!$O$17</f>
        <v>21.275480000000002</v>
      </c>
      <c r="G77" s="625">
        <v>0</v>
      </c>
      <c r="H77" s="593">
        <f>3245/F77</f>
        <v>152.52299830603116</v>
      </c>
      <c r="I77" s="594">
        <v>0</v>
      </c>
      <c r="J77" s="595">
        <f>487/F77</f>
        <v>22.890200362106988</v>
      </c>
      <c r="K77" s="566">
        <f>Tabel668921274[[#This Row],[Fix.ch. 2017]]+Tabel668921274[[#This Row],[Var. ch. 2017]]+Tabel668921274[[#This Row],[Oth. ch. DW 2017]]+Tabel668921274[[#This Row],[VAT DW 2017]]</f>
        <v>175.41319866813814</v>
      </c>
      <c r="L77" s="596">
        <v>0</v>
      </c>
      <c r="M77" s="595">
        <v>0</v>
      </c>
      <c r="N77" s="626">
        <f>3417/F77</f>
        <v>160.60742225322295</v>
      </c>
      <c r="O77" s="595">
        <f>513/F77</f>
        <v>24.112264447147606</v>
      </c>
      <c r="P77" s="597">
        <v>0</v>
      </c>
      <c r="Q77" s="595">
        <v>0</v>
      </c>
      <c r="R77" s="570">
        <f>Tabel668921274[[#This Row],[VAT DW 2017]]+Tabel668921274[[#This Row],[VAT Sew. 2017]]+Tabel668921274[[#This Row],[VAT WW 2017]]+Tabel668921274[[#This Row],[VAT Other ch. 2017]]</f>
        <v>47.00246480925459</v>
      </c>
      <c r="S77" s="571">
        <f>Tabel668921274[[#This Row],[Total. ch. DW 2017]]+Tabel668921274[[#This Row],[Sew. 2017]]+Tabel668921274[[#This Row],[VAT Sew. 2017]]+Tabel668921274[[#This Row],[WW 2017]]+Tabel668921274[[#This Row],[VAT WW 2017]]+Tabel668921274[[#This Row],[Other ch. 2017]]+Tabel668921274[[#This Row],[VAT Other ch. 2017]]</f>
        <v>360.13288536850871</v>
      </c>
      <c r="T77" s="397"/>
      <c r="U77" s="1763"/>
      <c r="V77" s="1766"/>
      <c r="W77" s="1769"/>
      <c r="X77" s="1772"/>
      <c r="Y77" s="1775"/>
      <c r="Z77" s="1778"/>
      <c r="AA77" s="1772"/>
      <c r="AB77" s="1781"/>
      <c r="AC77" s="1772"/>
      <c r="AD77" s="1785"/>
      <c r="AE77" s="1772"/>
      <c r="AF77" s="1788"/>
      <c r="AG77" s="1791"/>
      <c r="AH77" s="397"/>
      <c r="AI77" s="398"/>
      <c r="AJ77" s="591" t="s">
        <v>429</v>
      </c>
      <c r="AK77" s="398"/>
      <c r="AL77" s="591"/>
      <c r="AM77" s="591"/>
      <c r="AN77" s="591" t="s">
        <v>429</v>
      </c>
      <c r="AO77" s="398"/>
      <c r="AP77" s="397"/>
    </row>
    <row r="78" spans="1:42" ht="16.149999999999999" hidden="1" customHeight="1" x14ac:dyDescent="0.25">
      <c r="A78" s="1757"/>
      <c r="B78" s="639" t="s">
        <v>914</v>
      </c>
      <c r="C78" s="639"/>
      <c r="D78" s="724" t="s">
        <v>1052</v>
      </c>
      <c r="E78" s="1760"/>
      <c r="F78" s="617">
        <f>'exchange rates'!$O$17</f>
        <v>21.275480000000002</v>
      </c>
      <c r="G78" s="625">
        <v>0</v>
      </c>
      <c r="H78" s="593">
        <f>4506/F78</f>
        <v>211.79310643050121</v>
      </c>
      <c r="I78" s="594">
        <v>0</v>
      </c>
      <c r="J78" s="595">
        <f>676/F78</f>
        <v>31.773666211056106</v>
      </c>
      <c r="K78" s="566">
        <f>Tabel668921274[[#This Row],[Fix.ch. 2017]]+Tabel668921274[[#This Row],[Var. ch. 2017]]+Tabel668921274[[#This Row],[Oth. ch. DW 2017]]+Tabel668921274[[#This Row],[VAT DW 2017]]</f>
        <v>243.56677264155732</v>
      </c>
      <c r="L78" s="596">
        <v>0</v>
      </c>
      <c r="M78" s="595">
        <v>0</v>
      </c>
      <c r="N78" s="626">
        <f>2984/F78</f>
        <v>140.2553549908157</v>
      </c>
      <c r="O78" s="595">
        <f>448/F78</f>
        <v>21.057104234546056</v>
      </c>
      <c r="P78" s="597">
        <v>0</v>
      </c>
      <c r="Q78" s="595">
        <v>0</v>
      </c>
      <c r="R78" s="570">
        <f>Tabel668921274[[#This Row],[VAT DW 2017]]+Tabel668921274[[#This Row],[VAT Sew. 2017]]+Tabel668921274[[#This Row],[VAT WW 2017]]+Tabel668921274[[#This Row],[VAT Other ch. 2017]]</f>
        <v>52.830770445602163</v>
      </c>
      <c r="S78" s="571">
        <f>Tabel668921274[[#This Row],[Total. ch. DW 2017]]+Tabel668921274[[#This Row],[Sew. 2017]]+Tabel668921274[[#This Row],[VAT Sew. 2017]]+Tabel668921274[[#This Row],[WW 2017]]+Tabel668921274[[#This Row],[VAT WW 2017]]+Tabel668921274[[#This Row],[Other ch. 2017]]+Tabel668921274[[#This Row],[VAT Other ch. 2017]]</f>
        <v>404.8792318669191</v>
      </c>
      <c r="T78" s="397"/>
      <c r="U78" s="1763"/>
      <c r="V78" s="1766"/>
      <c r="W78" s="1769"/>
      <c r="X78" s="1772"/>
      <c r="Y78" s="1775"/>
      <c r="Z78" s="1778"/>
      <c r="AA78" s="1772"/>
      <c r="AB78" s="1781"/>
      <c r="AC78" s="1772"/>
      <c r="AD78" s="1785"/>
      <c r="AE78" s="1772"/>
      <c r="AF78" s="1788"/>
      <c r="AG78" s="1791"/>
      <c r="AH78" s="397"/>
      <c r="AI78" s="398"/>
      <c r="AJ78" s="591" t="s">
        <v>429</v>
      </c>
      <c r="AK78" s="398"/>
      <c r="AL78" s="591"/>
      <c r="AM78" s="591"/>
      <c r="AN78" s="591" t="s">
        <v>429</v>
      </c>
      <c r="AO78" s="398"/>
      <c r="AP78" s="397"/>
    </row>
    <row r="79" spans="1:42" ht="16.149999999999999" hidden="1" customHeight="1" thickBot="1" x14ac:dyDescent="0.3">
      <c r="A79" s="1758"/>
      <c r="B79" s="652" t="s">
        <v>915</v>
      </c>
      <c r="C79" s="652"/>
      <c r="D79" s="807" t="s">
        <v>1052</v>
      </c>
      <c r="E79" s="1761"/>
      <c r="F79" s="617">
        <f>'exchange rates'!$O$17</f>
        <v>21.275480000000002</v>
      </c>
      <c r="G79" s="625">
        <v>0</v>
      </c>
      <c r="H79" s="593">
        <f>4346/F79</f>
        <v>204.27271206102046</v>
      </c>
      <c r="I79" s="594">
        <v>0</v>
      </c>
      <c r="J79" s="595">
        <f>652/F79</f>
        <v>30.645607055633995</v>
      </c>
      <c r="K79" s="566">
        <f>Tabel668921274[[#This Row],[Fix.ch. 2017]]+Tabel668921274[[#This Row],[Var. ch. 2017]]+Tabel668921274[[#This Row],[Oth. ch. DW 2017]]+Tabel668921274[[#This Row],[VAT DW 2017]]</f>
        <v>234.91831911665446</v>
      </c>
      <c r="L79" s="596">
        <v>0</v>
      </c>
      <c r="M79" s="595">
        <v>0</v>
      </c>
      <c r="N79" s="626">
        <f>4202/F79</f>
        <v>197.50435712848781</v>
      </c>
      <c r="O79" s="595">
        <f>630/F79</f>
        <v>29.611552829830394</v>
      </c>
      <c r="P79" s="597">
        <v>0</v>
      </c>
      <c r="Q79" s="595">
        <v>0</v>
      </c>
      <c r="R79" s="570">
        <f>Tabel668921274[[#This Row],[VAT DW 2017]]+Tabel668921274[[#This Row],[VAT Sew. 2017]]+Tabel668921274[[#This Row],[VAT WW 2017]]+Tabel668921274[[#This Row],[VAT Other ch. 2017]]</f>
        <v>60.25715988546439</v>
      </c>
      <c r="S79" s="571">
        <f>Tabel668921274[[#This Row],[Total. ch. DW 2017]]+Tabel668921274[[#This Row],[Sew. 2017]]+Tabel668921274[[#This Row],[VAT Sew. 2017]]+Tabel668921274[[#This Row],[WW 2017]]+Tabel668921274[[#This Row],[VAT WW 2017]]+Tabel668921274[[#This Row],[Other ch. 2017]]+Tabel668921274[[#This Row],[VAT Other ch. 2017]]</f>
        <v>462.03422907497264</v>
      </c>
      <c r="T79" s="397"/>
      <c r="U79" s="1764"/>
      <c r="V79" s="1767"/>
      <c r="W79" s="1770"/>
      <c r="X79" s="1773"/>
      <c r="Y79" s="1776"/>
      <c r="Z79" s="1779"/>
      <c r="AA79" s="1773"/>
      <c r="AB79" s="1811"/>
      <c r="AC79" s="1773"/>
      <c r="AD79" s="1813"/>
      <c r="AE79" s="1773"/>
      <c r="AF79" s="1815"/>
      <c r="AG79" s="1794"/>
      <c r="AH79" s="397"/>
      <c r="AI79" s="398"/>
      <c r="AJ79" s="591" t="s">
        <v>429</v>
      </c>
      <c r="AK79" s="398"/>
      <c r="AL79" s="591"/>
      <c r="AM79" s="591"/>
      <c r="AN79" s="591" t="s">
        <v>429</v>
      </c>
      <c r="AO79" s="398"/>
      <c r="AP79" s="397"/>
    </row>
    <row r="80" spans="1:42" ht="18" hidden="1" customHeight="1" x14ac:dyDescent="0.25">
      <c r="A80" s="1818" t="s">
        <v>11</v>
      </c>
      <c r="B80" s="663" t="s">
        <v>87</v>
      </c>
      <c r="C80" s="1046"/>
      <c r="D80" s="802" t="s">
        <v>1054</v>
      </c>
      <c r="E80" s="1966">
        <v>49600</v>
      </c>
      <c r="F80" s="661">
        <f>'exchange rates'!$O$18</f>
        <v>6.2037399999999998</v>
      </c>
      <c r="G80" s="625">
        <f>1000/F80</f>
        <v>161.19308675089545</v>
      </c>
      <c r="H80" s="593">
        <f>510.2/F80</f>
        <v>82.240712860306843</v>
      </c>
      <c r="I80" s="594">
        <f>625/F80</f>
        <v>100.74567921930965</v>
      </c>
      <c r="J80" s="595">
        <f>533.8/F80</f>
        <v>86.044869707627981</v>
      </c>
      <c r="K80" s="566">
        <f>Tabel668921274[[#This Row],[Fix.ch. 2017]]+Tabel668921274[[#This Row],[Var. ch. 2017]]+Tabel668921274[[#This Row],[Oth. ch. DW 2017]]+Tabel668921274[[#This Row],[VAT DW 2017]]</f>
        <v>430.22434853813991</v>
      </c>
      <c r="L80" s="596">
        <v>0</v>
      </c>
      <c r="M80" s="595">
        <v>0</v>
      </c>
      <c r="N80" s="626">
        <f>2672.33/F80</f>
        <v>430.7611215170204</v>
      </c>
      <c r="O80" s="595">
        <f>668.08/F80</f>
        <v>107.68987739653822</v>
      </c>
      <c r="P80" s="597">
        <f>76.47/F80</f>
        <v>12.326435343840974</v>
      </c>
      <c r="Q80" s="595">
        <f>19.12/F80</f>
        <v>3.0820118186771208</v>
      </c>
      <c r="R80" s="570">
        <f>Tabel668921274[[#This Row],[VAT DW 2017]]+Tabel668921274[[#This Row],[VAT Sew. 2017]]+Tabel668921274[[#This Row],[VAT WW 2017]]+Tabel668921274[[#This Row],[VAT Other ch. 2017]]</f>
        <v>196.81675892284335</v>
      </c>
      <c r="S80" s="571">
        <f>Tabel668921274[[#This Row],[Total. ch. DW 2017]]+Tabel668921274[[#This Row],[Sew. 2017]]+Tabel668921274[[#This Row],[VAT Sew. 2017]]+Tabel668921274[[#This Row],[WW 2017]]+Tabel668921274[[#This Row],[VAT WW 2017]]+Tabel668921274[[#This Row],[Other ch. 2017]]+Tabel668921274[[#This Row],[VAT Other ch. 2017]]</f>
        <v>984.08379461421657</v>
      </c>
      <c r="T80" s="397"/>
      <c r="U80" s="1968">
        <f>MEDIAN(G80:G84)</f>
        <v>88.720674947692842</v>
      </c>
      <c r="V80" s="1971">
        <f>MEDIAN(H80:H84)</f>
        <v>134.33831849819626</v>
      </c>
      <c r="W80" s="1974">
        <f>MEDIAN(I80:I84)</f>
        <v>100.74567921930965</v>
      </c>
      <c r="X80" s="1771">
        <f>MEDIAN(J80:J84)</f>
        <v>81.49922466125274</v>
      </c>
      <c r="Y80" s="1977">
        <f>SUM(U80:X84)</f>
        <v>405.30389732645148</v>
      </c>
      <c r="Z80" s="1980">
        <f t="shared" ref="Z80:AF80" si="13">MEDIAN(L80:L84)</f>
        <v>0</v>
      </c>
      <c r="AA80" s="1771">
        <f t="shared" si="13"/>
        <v>0</v>
      </c>
      <c r="AB80" s="1954">
        <f t="shared" si="13"/>
        <v>440.34405052436114</v>
      </c>
      <c r="AC80" s="1771">
        <f t="shared" si="13"/>
        <v>110.08681859652404</v>
      </c>
      <c r="AD80" s="1957">
        <f t="shared" si="13"/>
        <v>9.1912298065360574</v>
      </c>
      <c r="AE80" s="1771">
        <f t="shared" si="13"/>
        <v>2.2970014862002599</v>
      </c>
      <c r="AF80" s="1960">
        <f t="shared" si="13"/>
        <v>193.88304474397705</v>
      </c>
      <c r="AG80" s="1963">
        <f>Y80+Z80+AA80+AB80+AC80+AD80+AE80</f>
        <v>967.22299774007308</v>
      </c>
      <c r="AH80" s="397"/>
      <c r="AI80" s="396"/>
      <c r="AJ80" s="591" t="s">
        <v>429</v>
      </c>
      <c r="AK80" s="591"/>
      <c r="AL80" s="591"/>
      <c r="AM80" s="591" t="s">
        <v>429</v>
      </c>
      <c r="AN80" s="591" t="s">
        <v>429</v>
      </c>
      <c r="AO80" s="396"/>
      <c r="AP80" s="397"/>
    </row>
    <row r="81" spans="1:42" ht="15.75" hidden="1" x14ac:dyDescent="0.25">
      <c r="A81" s="1819"/>
      <c r="B81" s="547" t="s">
        <v>213</v>
      </c>
      <c r="C81" s="1046"/>
      <c r="D81" s="802" t="s">
        <v>1054</v>
      </c>
      <c r="E81" s="1967"/>
      <c r="F81" s="661">
        <f>'exchange rates'!$O$18</f>
        <v>6.2037399999999998</v>
      </c>
      <c r="G81" s="625">
        <f>550.4/F81</f>
        <v>88.720674947692842</v>
      </c>
      <c r="H81" s="593">
        <f>847/F81</f>
        <v>136.53054447800844</v>
      </c>
      <c r="I81" s="594">
        <f>625/F81</f>
        <v>100.74567921930965</v>
      </c>
      <c r="J81" s="595">
        <f>505.6/F81</f>
        <v>81.49922466125274</v>
      </c>
      <c r="K81" s="566">
        <f>Tabel668921274[[#This Row],[Fix.ch. 2017]]+Tabel668921274[[#This Row],[Var. ch. 2017]]+Tabel668921274[[#This Row],[Oth. ch. DW 2017]]+Tabel668921274[[#This Row],[VAT DW 2017]]</f>
        <v>407.49612330626366</v>
      </c>
      <c r="L81" s="596">
        <v>0</v>
      </c>
      <c r="M81" s="595">
        <v>0</v>
      </c>
      <c r="N81" s="626">
        <f>2731.78/F81</f>
        <v>440.34405052436114</v>
      </c>
      <c r="O81" s="595">
        <f>682.95/F81</f>
        <v>110.08681859652404</v>
      </c>
      <c r="P81" s="597">
        <f>57.02/F81</f>
        <v>9.1912298065360574</v>
      </c>
      <c r="Q81" s="595">
        <f>14.25/F81</f>
        <v>2.2970014862002599</v>
      </c>
      <c r="R81" s="570">
        <f>Tabel668921274[[#This Row],[VAT DW 2017]]+Tabel668921274[[#This Row],[VAT Sew. 2017]]+Tabel668921274[[#This Row],[VAT WW 2017]]+Tabel668921274[[#This Row],[VAT Other ch. 2017]]</f>
        <v>193.88304474397705</v>
      </c>
      <c r="S81" s="571">
        <f>Tabel668921274[[#This Row],[Total. ch. DW 2017]]+Tabel668921274[[#This Row],[Sew. 2017]]+Tabel668921274[[#This Row],[VAT Sew. 2017]]+Tabel668921274[[#This Row],[WW 2017]]+Tabel668921274[[#This Row],[VAT WW 2017]]+Tabel668921274[[#This Row],[Other ch. 2017]]+Tabel668921274[[#This Row],[VAT Other ch. 2017]]</f>
        <v>969.41522371988515</v>
      </c>
      <c r="T81" s="397"/>
      <c r="U81" s="1969"/>
      <c r="V81" s="1972"/>
      <c r="W81" s="1975"/>
      <c r="X81" s="1772"/>
      <c r="Y81" s="1978"/>
      <c r="Z81" s="1981"/>
      <c r="AA81" s="1772"/>
      <c r="AB81" s="1955"/>
      <c r="AC81" s="1772"/>
      <c r="AD81" s="1958"/>
      <c r="AE81" s="1772"/>
      <c r="AF81" s="1961"/>
      <c r="AG81" s="1964"/>
      <c r="AH81" s="397"/>
      <c r="AI81" s="396"/>
      <c r="AJ81" s="591" t="s">
        <v>429</v>
      </c>
      <c r="AK81" s="591"/>
      <c r="AL81" s="591"/>
      <c r="AM81" s="591" t="s">
        <v>429</v>
      </c>
      <c r="AN81" s="591" t="s">
        <v>429</v>
      </c>
      <c r="AO81" s="396"/>
      <c r="AP81" s="397"/>
    </row>
    <row r="82" spans="1:42" ht="15.75" hidden="1" x14ac:dyDescent="0.25">
      <c r="A82" s="1819"/>
      <c r="B82" s="547" t="s">
        <v>88</v>
      </c>
      <c r="C82" s="1046" t="s">
        <v>429</v>
      </c>
      <c r="D82" s="802" t="s">
        <v>1054</v>
      </c>
      <c r="E82" s="1967"/>
      <c r="F82" s="661">
        <f>'exchange rates'!$O$18</f>
        <v>6.2037399999999998</v>
      </c>
      <c r="G82" s="625">
        <f>384/F82</f>
        <v>61.898145312343843</v>
      </c>
      <c r="H82" s="593">
        <f>833.4/F82</f>
        <v>134.33831849819626</v>
      </c>
      <c r="I82" s="594">
        <f>625/F82</f>
        <v>100.74567921930965</v>
      </c>
      <c r="J82" s="595">
        <f>460.6/F82</f>
        <v>74.245535757462434</v>
      </c>
      <c r="K82" s="566">
        <f>Tabel668921274[[#This Row],[Fix.ch. 2017]]+Tabel668921274[[#This Row],[Var. ch. 2017]]+Tabel668921274[[#This Row],[Oth. ch. DW 2017]]+Tabel668921274[[#This Row],[VAT DW 2017]]</f>
        <v>371.22767878731219</v>
      </c>
      <c r="L82" s="596">
        <v>0</v>
      </c>
      <c r="M82" s="595">
        <f>0</f>
        <v>0</v>
      </c>
      <c r="N82" s="626">
        <f>1554.42/F82</f>
        <v>250.56175790732689</v>
      </c>
      <c r="O82" s="595">
        <f>388.6/F82</f>
        <v>62.639633511397967</v>
      </c>
      <c r="P82" s="597">
        <f>69.58/F82</f>
        <v>11.215814976127303</v>
      </c>
      <c r="Q82" s="595">
        <f>17.4/F82</f>
        <v>2.8047597094655803</v>
      </c>
      <c r="R82" s="570">
        <f>Tabel668921274[[#This Row],[VAT DW 2017]]+Tabel668921274[[#This Row],[VAT Sew. 2017]]+Tabel668921274[[#This Row],[VAT WW 2017]]+Tabel668921274[[#This Row],[VAT Other ch. 2017]]</f>
        <v>139.68992897832598</v>
      </c>
      <c r="S82" s="571">
        <f>Tabel668921274[[#This Row],[Total. ch. DW 2017]]+Tabel668921274[[#This Row],[Sew. 2017]]+Tabel668921274[[#This Row],[VAT Sew. 2017]]+Tabel668921274[[#This Row],[WW 2017]]+Tabel668921274[[#This Row],[VAT WW 2017]]+Tabel668921274[[#This Row],[Other ch. 2017]]+Tabel668921274[[#This Row],[VAT Other ch. 2017]]</f>
        <v>698.44964489162987</v>
      </c>
      <c r="T82" s="397"/>
      <c r="U82" s="1969"/>
      <c r="V82" s="1972"/>
      <c r="W82" s="1975"/>
      <c r="X82" s="1772"/>
      <c r="Y82" s="1978"/>
      <c r="Z82" s="1981"/>
      <c r="AA82" s="1772"/>
      <c r="AB82" s="1955"/>
      <c r="AC82" s="1772"/>
      <c r="AD82" s="1958"/>
      <c r="AE82" s="1772"/>
      <c r="AF82" s="1961"/>
      <c r="AG82" s="1964"/>
      <c r="AH82" s="397"/>
      <c r="AI82" s="396"/>
      <c r="AJ82" s="591" t="s">
        <v>429</v>
      </c>
      <c r="AK82" s="591"/>
      <c r="AL82" s="591"/>
      <c r="AM82" s="591" t="s">
        <v>429</v>
      </c>
      <c r="AN82" s="591" t="s">
        <v>429</v>
      </c>
      <c r="AO82" s="396"/>
      <c r="AP82" s="397"/>
    </row>
    <row r="83" spans="1:42" ht="15.75" hidden="1" x14ac:dyDescent="0.25">
      <c r="A83" s="1819"/>
      <c r="B83" s="547" t="s">
        <v>89</v>
      </c>
      <c r="C83" s="1046"/>
      <c r="D83" s="802" t="s">
        <v>1054</v>
      </c>
      <c r="E83" s="1967"/>
      <c r="F83" s="661">
        <f>'exchange rates'!$O$18</f>
        <v>6.2037399999999998</v>
      </c>
      <c r="G83" s="625">
        <f>662.4/F83</f>
        <v>106.77430066379313</v>
      </c>
      <c r="H83" s="593">
        <f>485.4/F83</f>
        <v>78.243124308884646</v>
      </c>
      <c r="I83" s="594">
        <f>625/F83</f>
        <v>100.74567921930965</v>
      </c>
      <c r="J83" s="595">
        <f>443.2/F83</f>
        <v>71.440776047996849</v>
      </c>
      <c r="K83" s="566">
        <f>Tabel668921274[[#This Row],[Fix.ch. 2017]]+Tabel668921274[[#This Row],[Var. ch. 2017]]+Tabel668921274[[#This Row],[Oth. ch. DW 2017]]+Tabel668921274[[#This Row],[VAT DW 2017]]</f>
        <v>357.20388023998424</v>
      </c>
      <c r="L83" s="596">
        <v>0</v>
      </c>
      <c r="M83" s="595">
        <v>0</v>
      </c>
      <c r="N83" s="626">
        <f>2888/F83</f>
        <v>465.52563453658598</v>
      </c>
      <c r="O83" s="595">
        <f>722/F83</f>
        <v>116.3814086341465</v>
      </c>
      <c r="P83" s="597">
        <f>50.4/F83</f>
        <v>8.1241315722451297</v>
      </c>
      <c r="Q83" s="595">
        <f>12.6/F83</f>
        <v>2.0310328930612824</v>
      </c>
      <c r="R83" s="570">
        <f>Tabel668921274[[#This Row],[VAT DW 2017]]+Tabel668921274[[#This Row],[VAT Sew. 2017]]+Tabel668921274[[#This Row],[VAT WW 2017]]+Tabel668921274[[#This Row],[VAT Other ch. 2017]]</f>
        <v>189.85321757520464</v>
      </c>
      <c r="S83" s="571">
        <f>Tabel668921274[[#This Row],[Total. ch. DW 2017]]+Tabel668921274[[#This Row],[Sew. 2017]]+Tabel668921274[[#This Row],[VAT Sew. 2017]]+Tabel668921274[[#This Row],[WW 2017]]+Tabel668921274[[#This Row],[VAT WW 2017]]+Tabel668921274[[#This Row],[Other ch. 2017]]+Tabel668921274[[#This Row],[VAT Other ch. 2017]]</f>
        <v>949.26608787602311</v>
      </c>
      <c r="T83" s="397"/>
      <c r="U83" s="1969"/>
      <c r="V83" s="1972"/>
      <c r="W83" s="1975"/>
      <c r="X83" s="1772"/>
      <c r="Y83" s="1978"/>
      <c r="Z83" s="1981"/>
      <c r="AA83" s="1772"/>
      <c r="AB83" s="1955"/>
      <c r="AC83" s="1772"/>
      <c r="AD83" s="1958"/>
      <c r="AE83" s="1772"/>
      <c r="AF83" s="1961"/>
      <c r="AG83" s="1964"/>
      <c r="AH83" s="397"/>
      <c r="AI83" s="396"/>
      <c r="AJ83" s="591" t="s">
        <v>429</v>
      </c>
      <c r="AK83" s="591"/>
      <c r="AL83" s="591"/>
      <c r="AM83" s="591" t="s">
        <v>429</v>
      </c>
      <c r="AN83" s="591" t="s">
        <v>429</v>
      </c>
      <c r="AO83" s="396"/>
      <c r="AP83" s="397"/>
    </row>
    <row r="84" spans="1:42" ht="16.5" hidden="1" thickBot="1" x14ac:dyDescent="0.3">
      <c r="A84" s="1820"/>
      <c r="B84" s="613" t="s">
        <v>90</v>
      </c>
      <c r="C84" s="1046"/>
      <c r="D84" s="807" t="s">
        <v>1054</v>
      </c>
      <c r="E84" s="1923"/>
      <c r="F84" s="661">
        <f>'exchange rates'!$O$18</f>
        <v>6.2037399999999998</v>
      </c>
      <c r="G84" s="625">
        <f>480/F84</f>
        <v>77.372681640429803</v>
      </c>
      <c r="H84" s="593">
        <f>950.2/F84</f>
        <v>153.16567103070085</v>
      </c>
      <c r="I84" s="594">
        <f>625/F84</f>
        <v>100.74567921930965</v>
      </c>
      <c r="J84" s="595">
        <f>513.8/F84</f>
        <v>82.821007972610062</v>
      </c>
      <c r="K84" s="566">
        <f>Tabel668921274[[#This Row],[Fix.ch. 2017]]+Tabel668921274[[#This Row],[Var. ch. 2017]]+Tabel668921274[[#This Row],[Oth. ch. DW 2017]]+Tabel668921274[[#This Row],[VAT DW 2017]]</f>
        <v>414.10503986305037</v>
      </c>
      <c r="L84" s="596">
        <v>0</v>
      </c>
      <c r="M84" s="595">
        <v>0</v>
      </c>
      <c r="N84" s="626">
        <f>3676.62/F84</f>
        <v>592.64572661007719</v>
      </c>
      <c r="O84" s="595">
        <f>919.16/F84</f>
        <v>148.16223761795305</v>
      </c>
      <c r="P84" s="597">
        <f>53.78/F84</f>
        <v>8.6689642054631566</v>
      </c>
      <c r="Q84" s="595">
        <f>13.44/F84</f>
        <v>2.1664350859320347</v>
      </c>
      <c r="R84" s="570">
        <f>Tabel668921274[[#This Row],[VAT DW 2017]]+Tabel668921274[[#This Row],[VAT Sew. 2017]]+Tabel668921274[[#This Row],[VAT WW 2017]]+Tabel668921274[[#This Row],[VAT Other ch. 2017]]</f>
        <v>233.14968067649514</v>
      </c>
      <c r="S84" s="571">
        <f>Tabel668921274[[#This Row],[Total. ch. DW 2017]]+Tabel668921274[[#This Row],[Sew. 2017]]+Tabel668921274[[#This Row],[VAT Sew. 2017]]+Tabel668921274[[#This Row],[WW 2017]]+Tabel668921274[[#This Row],[VAT WW 2017]]+Tabel668921274[[#This Row],[Other ch. 2017]]+Tabel668921274[[#This Row],[VAT Other ch. 2017]]</f>
        <v>1165.748403382476</v>
      </c>
      <c r="T84" s="397"/>
      <c r="U84" s="1970"/>
      <c r="V84" s="1973"/>
      <c r="W84" s="1976"/>
      <c r="X84" s="1773"/>
      <c r="Y84" s="1979"/>
      <c r="Z84" s="1982"/>
      <c r="AA84" s="1773"/>
      <c r="AB84" s="1956"/>
      <c r="AC84" s="1773"/>
      <c r="AD84" s="1959"/>
      <c r="AE84" s="1773"/>
      <c r="AF84" s="1962"/>
      <c r="AG84" s="1965"/>
      <c r="AH84" s="397"/>
      <c r="AI84" s="396"/>
      <c r="AJ84" s="591" t="s">
        <v>429</v>
      </c>
      <c r="AK84" s="591"/>
      <c r="AL84" s="591"/>
      <c r="AM84" s="591" t="s">
        <v>429</v>
      </c>
      <c r="AN84" s="591" t="s">
        <v>429</v>
      </c>
      <c r="AO84" s="396"/>
      <c r="AP84" s="397"/>
    </row>
    <row r="85" spans="1:42" ht="18" hidden="1" customHeight="1" x14ac:dyDescent="0.25">
      <c r="A85" s="1818" t="s">
        <v>12</v>
      </c>
      <c r="B85" s="546" t="s">
        <v>91</v>
      </c>
      <c r="C85" s="1046"/>
      <c r="D85" s="802" t="s">
        <v>1056</v>
      </c>
      <c r="E85" s="1966">
        <v>44000</v>
      </c>
      <c r="F85" s="616">
        <f>'exchange rates'!$O$19</f>
        <v>0.83301000000000003</v>
      </c>
      <c r="G85" s="625">
        <f>39.52/F85</f>
        <v>47.44240765416982</v>
      </c>
      <c r="H85" s="593">
        <f>113/F85</f>
        <v>135.65263322169002</v>
      </c>
      <c r="I85" s="594">
        <v>0</v>
      </c>
      <c r="J85" s="595">
        <f>36.6/F85</f>
        <v>43.937047574458887</v>
      </c>
      <c r="K85" s="566">
        <f>Tabel668921274[[#This Row],[Fix.ch. 2017]]+Tabel668921274[[#This Row],[Var. ch. 2017]]+Tabel668921274[[#This Row],[Oth. ch. DW 2017]]+Tabel668921274[[#This Row],[VAT DW 2017]]</f>
        <v>227.03208845031872</v>
      </c>
      <c r="L85" s="596">
        <f>139/F85</f>
        <v>166.86474352048594</v>
      </c>
      <c r="M85" s="595">
        <f>33.36/F85</f>
        <v>40.047538444916626</v>
      </c>
      <c r="N85" s="626">
        <v>0</v>
      </c>
      <c r="O85" s="595">
        <v>0</v>
      </c>
      <c r="P85" s="597">
        <f>39.52/F85</f>
        <v>47.44240765416982</v>
      </c>
      <c r="Q85" s="595">
        <f>9.48/F85</f>
        <v>11.380415601253286</v>
      </c>
      <c r="R85" s="570">
        <f>Tabel668921274[[#This Row],[VAT DW 2017]]+Tabel668921274[[#This Row],[VAT Sew. 2017]]+Tabel668921274[[#This Row],[VAT WW 2017]]+Tabel668921274[[#This Row],[VAT Other ch. 2017]]</f>
        <v>95.365001620628803</v>
      </c>
      <c r="S85" s="571">
        <f>Tabel668921274[[#This Row],[Total. ch. DW 2017]]+Tabel668921274[[#This Row],[Sew. 2017]]+Tabel668921274[[#This Row],[VAT Sew. 2017]]+Tabel668921274[[#This Row],[WW 2017]]+Tabel668921274[[#This Row],[VAT WW 2017]]+Tabel668921274[[#This Row],[Other ch. 2017]]+Tabel668921274[[#This Row],[VAT Other ch. 2017]]</f>
        <v>492.76719367114441</v>
      </c>
      <c r="T85" s="397"/>
      <c r="U85" s="1968">
        <f>MEDIAN(G85:G90)</f>
        <v>48.894971248844556</v>
      </c>
      <c r="V85" s="1971">
        <f>MEDIAN(H85:H90)</f>
        <v>136.85309900241293</v>
      </c>
      <c r="W85" s="1974">
        <f>MEDIAN(I85:I90)</f>
        <v>0</v>
      </c>
      <c r="X85" s="1771">
        <f>MEDIAN(J85:J90)</f>
        <v>45.731743916639658</v>
      </c>
      <c r="Y85" s="1977">
        <f>SUM(U85:X90)</f>
        <v>231.47981416789716</v>
      </c>
      <c r="Z85" s="1980">
        <f t="shared" ref="Z85:AF85" si="14">MEDIAN(L85:L90)</f>
        <v>176.37243250381147</v>
      </c>
      <c r="AA85" s="1771">
        <f t="shared" si="14"/>
        <v>42.328423428290172</v>
      </c>
      <c r="AB85" s="1954">
        <f t="shared" si="14"/>
        <v>0</v>
      </c>
      <c r="AC85" s="1771">
        <f t="shared" si="14"/>
        <v>0</v>
      </c>
      <c r="AD85" s="1957">
        <f t="shared" si="14"/>
        <v>47.44240765416982</v>
      </c>
      <c r="AE85" s="1771">
        <f t="shared" si="14"/>
        <v>11.380415601253286</v>
      </c>
      <c r="AF85" s="1960">
        <f t="shared" si="14"/>
        <v>99.782715693689141</v>
      </c>
      <c r="AG85" s="1963">
        <f>Y85+Z85+AA85+AB85+AC85+AD85+AE85</f>
        <v>509.00349335542188</v>
      </c>
      <c r="AH85" s="397"/>
      <c r="AI85" s="400"/>
      <c r="AJ85" s="662" t="s">
        <v>429</v>
      </c>
      <c r="AK85" s="662"/>
      <c r="AL85" s="662"/>
      <c r="AM85" s="662" t="s">
        <v>429</v>
      </c>
      <c r="AN85" s="662" t="s">
        <v>429</v>
      </c>
      <c r="AO85" s="400"/>
      <c r="AP85" s="397"/>
    </row>
    <row r="86" spans="1:42" ht="15.75" hidden="1" x14ac:dyDescent="0.25">
      <c r="A86" s="1819"/>
      <c r="B86" s="547" t="s">
        <v>92</v>
      </c>
      <c r="C86" s="1046" t="s">
        <v>429</v>
      </c>
      <c r="D86" s="802" t="s">
        <v>1056</v>
      </c>
      <c r="E86" s="1967"/>
      <c r="F86" s="616">
        <f>'exchange rates'!$O$19</f>
        <v>0.83301000000000003</v>
      </c>
      <c r="G86" s="625">
        <f>39.52/F86</f>
        <v>47.44240765416982</v>
      </c>
      <c r="H86" s="593">
        <f>113/F86</f>
        <v>135.65263322169002</v>
      </c>
      <c r="I86" s="594">
        <v>0</v>
      </c>
      <c r="J86" s="595">
        <f>36.6/F86</f>
        <v>43.937047574458887</v>
      </c>
      <c r="K86" s="566">
        <f>Tabel668921274[[#This Row],[Fix.ch. 2017]]+Tabel668921274[[#This Row],[Var. ch. 2017]]+Tabel668921274[[#This Row],[Oth. ch. DW 2017]]+Tabel668921274[[#This Row],[VAT DW 2017]]</f>
        <v>227.03208845031872</v>
      </c>
      <c r="L86" s="596">
        <f>139/F86</f>
        <v>166.86474352048594</v>
      </c>
      <c r="M86" s="595">
        <f>33.36/F86</f>
        <v>40.047538444916626</v>
      </c>
      <c r="N86" s="626">
        <v>0</v>
      </c>
      <c r="O86" s="595">
        <v>0</v>
      </c>
      <c r="P86" s="597">
        <f>39.52/F86</f>
        <v>47.44240765416982</v>
      </c>
      <c r="Q86" s="595">
        <f>9.48/F86</f>
        <v>11.380415601253286</v>
      </c>
      <c r="R86" s="570">
        <f>Tabel668921274[[#This Row],[VAT DW 2017]]+Tabel668921274[[#This Row],[VAT Sew. 2017]]+Tabel668921274[[#This Row],[VAT WW 2017]]+Tabel668921274[[#This Row],[VAT Other ch. 2017]]</f>
        <v>95.365001620628803</v>
      </c>
      <c r="S86" s="571">
        <f>Tabel668921274[[#This Row],[Total. ch. DW 2017]]+Tabel668921274[[#This Row],[Sew. 2017]]+Tabel668921274[[#This Row],[VAT Sew. 2017]]+Tabel668921274[[#This Row],[WW 2017]]+Tabel668921274[[#This Row],[VAT WW 2017]]+Tabel668921274[[#This Row],[Other ch. 2017]]+Tabel668921274[[#This Row],[VAT Other ch. 2017]]</f>
        <v>492.76719367114441</v>
      </c>
      <c r="T86" s="397"/>
      <c r="U86" s="1969"/>
      <c r="V86" s="1972"/>
      <c r="W86" s="1975"/>
      <c r="X86" s="1772"/>
      <c r="Y86" s="1978"/>
      <c r="Z86" s="1981"/>
      <c r="AA86" s="1772"/>
      <c r="AB86" s="1955"/>
      <c r="AC86" s="1772"/>
      <c r="AD86" s="1958"/>
      <c r="AE86" s="1772"/>
      <c r="AF86" s="1961"/>
      <c r="AG86" s="1964"/>
      <c r="AH86" s="397"/>
      <c r="AI86" s="400"/>
      <c r="AJ86" s="662" t="s">
        <v>429</v>
      </c>
      <c r="AK86" s="662"/>
      <c r="AL86" s="662"/>
      <c r="AM86" s="662" t="s">
        <v>429</v>
      </c>
      <c r="AN86" s="662" t="s">
        <v>429</v>
      </c>
      <c r="AO86" s="400"/>
      <c r="AP86" s="397"/>
    </row>
    <row r="87" spans="1:42" ht="15.75" hidden="1" x14ac:dyDescent="0.25">
      <c r="A87" s="1819"/>
      <c r="B87" s="547" t="s">
        <v>93</v>
      </c>
      <c r="C87" s="1046"/>
      <c r="D87" s="802" t="s">
        <v>1056</v>
      </c>
      <c r="E87" s="1967"/>
      <c r="F87" s="616">
        <f>'exchange rates'!$O$19</f>
        <v>0.83301000000000003</v>
      </c>
      <c r="G87" s="625">
        <f>41.94/F87</f>
        <v>50.347534843519284</v>
      </c>
      <c r="H87" s="593">
        <f>123/F87</f>
        <v>147.65729102891922</v>
      </c>
      <c r="I87" s="594">
        <v>0</v>
      </c>
      <c r="J87" s="595">
        <f>39.59/F87</f>
        <v>47.526440258820422</v>
      </c>
      <c r="K87" s="566">
        <f>Tabel668921274[[#This Row],[Fix.ch. 2017]]+Tabel668921274[[#This Row],[Var. ch. 2017]]+Tabel668921274[[#This Row],[Oth. ch. DW 2017]]+Tabel668921274[[#This Row],[VAT DW 2017]]</f>
        <v>245.53126613125895</v>
      </c>
      <c r="L87" s="596">
        <f>160/F87</f>
        <v>192.07452491566727</v>
      </c>
      <c r="M87" s="595">
        <f>38.4/F87</f>
        <v>46.097885979760143</v>
      </c>
      <c r="N87" s="626">
        <v>0</v>
      </c>
      <c r="O87" s="595">
        <v>0</v>
      </c>
      <c r="P87" s="597">
        <f>41.94/F87</f>
        <v>50.347534843519284</v>
      </c>
      <c r="Q87" s="595">
        <f>10.07/F87</f>
        <v>12.08869041187981</v>
      </c>
      <c r="R87" s="570">
        <f>Tabel668921274[[#This Row],[VAT DW 2017]]+Tabel668921274[[#This Row],[VAT Sew. 2017]]+Tabel668921274[[#This Row],[VAT WW 2017]]+Tabel668921274[[#This Row],[VAT Other ch. 2017]]</f>
        <v>105.71301665046037</v>
      </c>
      <c r="S87" s="571">
        <f>Tabel668921274[[#This Row],[Total. ch. DW 2017]]+Tabel668921274[[#This Row],[Sew. 2017]]+Tabel668921274[[#This Row],[VAT Sew. 2017]]+Tabel668921274[[#This Row],[WW 2017]]+Tabel668921274[[#This Row],[VAT WW 2017]]+Tabel668921274[[#This Row],[Other ch. 2017]]+Tabel668921274[[#This Row],[VAT Other ch. 2017]]</f>
        <v>546.13990228208547</v>
      </c>
      <c r="T87" s="397"/>
      <c r="U87" s="1969"/>
      <c r="V87" s="1972"/>
      <c r="W87" s="1975"/>
      <c r="X87" s="1772"/>
      <c r="Y87" s="1978"/>
      <c r="Z87" s="1981"/>
      <c r="AA87" s="1772"/>
      <c r="AB87" s="1955"/>
      <c r="AC87" s="1772"/>
      <c r="AD87" s="1958"/>
      <c r="AE87" s="1772"/>
      <c r="AF87" s="1961"/>
      <c r="AG87" s="1964"/>
      <c r="AH87" s="397"/>
      <c r="AI87" s="400"/>
      <c r="AJ87" s="662" t="s">
        <v>429</v>
      </c>
      <c r="AK87" s="662"/>
      <c r="AL87" s="662"/>
      <c r="AM87" s="662" t="s">
        <v>429</v>
      </c>
      <c r="AN87" s="662" t="s">
        <v>429</v>
      </c>
      <c r="AO87" s="400"/>
      <c r="AP87" s="397"/>
    </row>
    <row r="88" spans="1:42" ht="15.75" hidden="1" x14ac:dyDescent="0.25">
      <c r="A88" s="1819"/>
      <c r="B88" s="547" t="s">
        <v>94</v>
      </c>
      <c r="C88" s="1046"/>
      <c r="D88" s="802" t="s">
        <v>1056</v>
      </c>
      <c r="E88" s="1967"/>
      <c r="F88" s="616">
        <f>'exchange rates'!$O$19</f>
        <v>0.83301000000000003</v>
      </c>
      <c r="G88" s="625">
        <f>80.65/F88</f>
        <v>96.817565215303546</v>
      </c>
      <c r="H88" s="593">
        <f>115/F88</f>
        <v>138.05356478313584</v>
      </c>
      <c r="I88" s="594">
        <v>0</v>
      </c>
      <c r="J88" s="595">
        <f>46.96/F88</f>
        <v>56.373873062748345</v>
      </c>
      <c r="K88" s="566">
        <f>Tabel668921274[[#This Row],[Fix.ch. 2017]]+Tabel668921274[[#This Row],[Var. ch. 2017]]+Tabel668921274[[#This Row],[Oth. ch. DW 2017]]+Tabel668921274[[#This Row],[VAT DW 2017]]</f>
        <v>291.24500306118773</v>
      </c>
      <c r="L88" s="596">
        <f>166/F88</f>
        <v>199.2773196000048</v>
      </c>
      <c r="M88" s="595">
        <f>39.84/F88</f>
        <v>47.826556704001156</v>
      </c>
      <c r="N88" s="626">
        <v>0</v>
      </c>
      <c r="O88" s="595">
        <v>0</v>
      </c>
      <c r="P88" s="597">
        <v>0</v>
      </c>
      <c r="Q88" s="595">
        <v>0</v>
      </c>
      <c r="R88" s="570">
        <f>Tabel668921274[[#This Row],[VAT DW 2017]]+Tabel668921274[[#This Row],[VAT Sew. 2017]]+Tabel668921274[[#This Row],[VAT WW 2017]]+Tabel668921274[[#This Row],[VAT Other ch. 2017]]</f>
        <v>104.20042976674949</v>
      </c>
      <c r="S88" s="571">
        <f>Tabel668921274[[#This Row],[Total. ch. DW 2017]]+Tabel668921274[[#This Row],[Sew. 2017]]+Tabel668921274[[#This Row],[VAT Sew. 2017]]+Tabel668921274[[#This Row],[WW 2017]]+Tabel668921274[[#This Row],[VAT WW 2017]]+Tabel668921274[[#This Row],[Other ch. 2017]]+Tabel668921274[[#This Row],[VAT Other ch. 2017]]</f>
        <v>538.34887936519374</v>
      </c>
      <c r="T88" s="397"/>
      <c r="U88" s="1969"/>
      <c r="V88" s="1972"/>
      <c r="W88" s="1975"/>
      <c r="X88" s="1772"/>
      <c r="Y88" s="1978"/>
      <c r="Z88" s="1981"/>
      <c r="AA88" s="1772"/>
      <c r="AB88" s="1955"/>
      <c r="AC88" s="1772"/>
      <c r="AD88" s="1958"/>
      <c r="AE88" s="1772"/>
      <c r="AF88" s="1961"/>
      <c r="AG88" s="1964"/>
      <c r="AH88" s="397"/>
      <c r="AI88" s="400"/>
      <c r="AJ88" s="662" t="s">
        <v>429</v>
      </c>
      <c r="AK88" s="662"/>
      <c r="AL88" s="662"/>
      <c r="AM88" s="662" t="s">
        <v>429</v>
      </c>
      <c r="AN88" s="662" t="s">
        <v>429</v>
      </c>
      <c r="AO88" s="400"/>
      <c r="AP88" s="397"/>
    </row>
    <row r="89" spans="1:42" ht="15.75" hidden="1" x14ac:dyDescent="0.25">
      <c r="A89" s="1819"/>
      <c r="B89" s="547" t="s">
        <v>95</v>
      </c>
      <c r="C89" s="1046"/>
      <c r="D89" s="802" t="s">
        <v>1056</v>
      </c>
      <c r="E89" s="1967"/>
      <c r="F89" s="616">
        <f>'exchange rates'!$O$19</f>
        <v>0.83301000000000003</v>
      </c>
      <c r="G89" s="625">
        <f>108.06/F89</f>
        <v>129.72233226491878</v>
      </c>
      <c r="H89" s="593">
        <f>141.13/F89</f>
        <v>169.42173563342575</v>
      </c>
      <c r="I89" s="594">
        <v>0</v>
      </c>
      <c r="J89" s="595">
        <f>59.81/F89</f>
        <v>71.799858345037876</v>
      </c>
      <c r="K89" s="566">
        <f>Tabel668921274[[#This Row],[Fix.ch. 2017]]+Tabel668921274[[#This Row],[Var. ch. 2017]]+Tabel668921274[[#This Row],[Oth. ch. DW 2017]]+Tabel668921274[[#This Row],[VAT DW 2017]]</f>
        <v>370.94392624338241</v>
      </c>
      <c r="L89" s="596">
        <f>154.84/F89</f>
        <v>185.88012148713702</v>
      </c>
      <c r="M89" s="595">
        <f>37.16/F89</f>
        <v>44.609308411663719</v>
      </c>
      <c r="N89" s="626">
        <v>0</v>
      </c>
      <c r="O89" s="595">
        <v>0</v>
      </c>
      <c r="P89" s="597">
        <v>0</v>
      </c>
      <c r="Q89" s="595">
        <v>0</v>
      </c>
      <c r="R89" s="570">
        <f>Tabel668921274[[#This Row],[VAT DW 2017]]+Tabel668921274[[#This Row],[VAT Sew. 2017]]+Tabel668921274[[#This Row],[VAT WW 2017]]+Tabel668921274[[#This Row],[VAT Other ch. 2017]]</f>
        <v>116.40916675670159</v>
      </c>
      <c r="S89" s="571">
        <f>Tabel668921274[[#This Row],[Total. ch. DW 2017]]+Tabel668921274[[#This Row],[Sew. 2017]]+Tabel668921274[[#This Row],[VAT Sew. 2017]]+Tabel668921274[[#This Row],[WW 2017]]+Tabel668921274[[#This Row],[VAT WW 2017]]+Tabel668921274[[#This Row],[Other ch. 2017]]+Tabel668921274[[#This Row],[VAT Other ch. 2017]]</f>
        <v>601.43335614218313</v>
      </c>
      <c r="T89" s="397"/>
      <c r="U89" s="1969"/>
      <c r="V89" s="1972"/>
      <c r="W89" s="1975"/>
      <c r="X89" s="1772"/>
      <c r="Y89" s="1978"/>
      <c r="Z89" s="1981"/>
      <c r="AA89" s="1772"/>
      <c r="AB89" s="1955"/>
      <c r="AC89" s="1772"/>
      <c r="AD89" s="1958"/>
      <c r="AE89" s="1772"/>
      <c r="AF89" s="1961"/>
      <c r="AG89" s="1964"/>
      <c r="AH89" s="397"/>
      <c r="AI89" s="400"/>
      <c r="AJ89" s="662" t="s">
        <v>429</v>
      </c>
      <c r="AK89" s="662"/>
      <c r="AL89" s="662"/>
      <c r="AM89" s="662" t="s">
        <v>429</v>
      </c>
      <c r="AN89" s="662" t="s">
        <v>429</v>
      </c>
      <c r="AO89" s="400"/>
      <c r="AP89" s="397"/>
    </row>
    <row r="90" spans="1:42" ht="16.5" hidden="1" thickBot="1" x14ac:dyDescent="0.3">
      <c r="A90" s="1820"/>
      <c r="B90" s="613" t="s">
        <v>195</v>
      </c>
      <c r="C90" s="1046"/>
      <c r="D90" s="807" t="s">
        <v>1056</v>
      </c>
      <c r="E90" s="1923"/>
      <c r="F90" s="616">
        <f>'exchange rates'!$O$19</f>
        <v>0.83301000000000003</v>
      </c>
      <c r="G90" s="625">
        <f>39.52/F90</f>
        <v>47.44240765416982</v>
      </c>
      <c r="H90" s="593">
        <f>113/F90</f>
        <v>135.65263322169002</v>
      </c>
      <c r="I90" s="594">
        <v>0</v>
      </c>
      <c r="J90" s="595">
        <f>36.6/F90</f>
        <v>43.937047574458887</v>
      </c>
      <c r="K90" s="566">
        <f>Tabel668921274[[#This Row],[Fix.ch. 2017]]+Tabel668921274[[#This Row],[Var. ch. 2017]]+Tabel668921274[[#This Row],[Oth. ch. DW 2017]]+Tabel668921274[[#This Row],[VAT DW 2017]]</f>
        <v>227.03208845031872</v>
      </c>
      <c r="L90" s="596">
        <f>139/F90</f>
        <v>166.86474352048594</v>
      </c>
      <c r="M90" s="595">
        <f>33.36/F90</f>
        <v>40.047538444916626</v>
      </c>
      <c r="N90" s="626">
        <v>0</v>
      </c>
      <c r="O90" s="595">
        <v>0</v>
      </c>
      <c r="P90" s="597">
        <f>39.52/F90</f>
        <v>47.44240765416982</v>
      </c>
      <c r="Q90" s="595">
        <f>9.48/F90</f>
        <v>11.380415601253286</v>
      </c>
      <c r="R90" s="570">
        <f>Tabel668921274[[#This Row],[VAT DW 2017]]+Tabel668921274[[#This Row],[VAT Sew. 2017]]+Tabel668921274[[#This Row],[VAT WW 2017]]+Tabel668921274[[#This Row],[VAT Other ch. 2017]]</f>
        <v>95.365001620628803</v>
      </c>
      <c r="S90" s="571">
        <f>Tabel668921274[[#This Row],[Total. ch. DW 2017]]+Tabel668921274[[#This Row],[Sew. 2017]]+Tabel668921274[[#This Row],[VAT Sew. 2017]]+Tabel668921274[[#This Row],[WW 2017]]+Tabel668921274[[#This Row],[VAT WW 2017]]+Tabel668921274[[#This Row],[Other ch. 2017]]+Tabel668921274[[#This Row],[VAT Other ch. 2017]]</f>
        <v>492.76719367114441</v>
      </c>
      <c r="T90" s="397"/>
      <c r="U90" s="1970"/>
      <c r="V90" s="1973"/>
      <c r="W90" s="1976"/>
      <c r="X90" s="1773"/>
      <c r="Y90" s="1979"/>
      <c r="Z90" s="1982"/>
      <c r="AA90" s="1773"/>
      <c r="AB90" s="1956"/>
      <c r="AC90" s="1773"/>
      <c r="AD90" s="1959"/>
      <c r="AE90" s="1773"/>
      <c r="AF90" s="1962"/>
      <c r="AG90" s="1965"/>
      <c r="AH90" s="397"/>
      <c r="AI90" s="400"/>
      <c r="AJ90" s="662" t="s">
        <v>429</v>
      </c>
      <c r="AK90" s="662"/>
      <c r="AL90" s="662"/>
      <c r="AM90" s="662" t="s">
        <v>429</v>
      </c>
      <c r="AN90" s="662" t="s">
        <v>429</v>
      </c>
      <c r="AO90" s="400"/>
      <c r="AP90" s="397"/>
    </row>
    <row r="91" spans="1:42" ht="15.75" hidden="1" customHeight="1" x14ac:dyDescent="0.25">
      <c r="A91" s="1878" t="s">
        <v>13</v>
      </c>
      <c r="B91" s="546" t="s">
        <v>97</v>
      </c>
      <c r="C91" s="1046"/>
      <c r="D91" s="802" t="s">
        <v>1058</v>
      </c>
      <c r="E91" s="1983">
        <v>43600</v>
      </c>
      <c r="F91" s="616">
        <f>'exchange rates'!$O$20</f>
        <v>0.83301000000000003</v>
      </c>
      <c r="G91" s="625">
        <f>55.32/F91</f>
        <v>66.409766989591958</v>
      </c>
      <c r="H91" s="593">
        <f>(1.08*100)/F91</f>
        <v>129.6503043180754</v>
      </c>
      <c r="I91" s="594">
        <f>(0.39*100)/F91</f>
        <v>46.818165448193895</v>
      </c>
      <c r="J91" s="595">
        <f>11.09/F91</f>
        <v>13.313165508217187</v>
      </c>
      <c r="K91" s="566">
        <f>Tabel668921274[[#This Row],[Fix.ch. 2017]]+Tabel668921274[[#This Row],[Var. ch. 2017]]+Tabel668921274[[#This Row],[Oth. ch. DW 2017]]+Tabel668921274[[#This Row],[VAT DW 2017]]</f>
        <v>256.19140226407842</v>
      </c>
      <c r="L91" s="596">
        <f>(1.1*100)/F91</f>
        <v>132.05123587952127</v>
      </c>
      <c r="M91" s="595">
        <f>13.36/F91</f>
        <v>16.038222830458217</v>
      </c>
      <c r="N91" s="626">
        <f>(0*100)/F91</f>
        <v>0</v>
      </c>
      <c r="O91" s="595">
        <v>0</v>
      </c>
      <c r="P91" s="597">
        <f>(0.24*100)/F91</f>
        <v>28.81117873735009</v>
      </c>
      <c r="Q91" s="595">
        <v>0</v>
      </c>
      <c r="R91" s="570">
        <f>Tabel668921274[[#This Row],[VAT DW 2017]]+Tabel668921274[[#This Row],[VAT Sew. 2017]]+Tabel668921274[[#This Row],[VAT WW 2017]]+Tabel668921274[[#This Row],[VAT Other ch. 2017]]</f>
        <v>29.351388338675406</v>
      </c>
      <c r="S91" s="571">
        <f>Tabel668921274[[#This Row],[Total. ch. DW 2017]]+Tabel668921274[[#This Row],[Sew. 2017]]+Tabel668921274[[#This Row],[VAT Sew. 2017]]+Tabel668921274[[#This Row],[WW 2017]]+Tabel668921274[[#This Row],[VAT WW 2017]]+Tabel668921274[[#This Row],[Other ch. 2017]]+Tabel668921274[[#This Row],[VAT Other ch. 2017]]</f>
        <v>433.09203971140801</v>
      </c>
      <c r="T91" s="397"/>
      <c r="U91" s="1984">
        <f>MEDIAN(G91:G101)</f>
        <v>32.040431687494745</v>
      </c>
      <c r="V91" s="1985">
        <f>MEDIAN(H91:H101)</f>
        <v>136.8530990024129</v>
      </c>
      <c r="W91" s="1986">
        <f>MEDIAN(I91:I101)</f>
        <v>49.219097009639739</v>
      </c>
      <c r="X91" s="1938">
        <f>MEDIAN(J91:J101)</f>
        <v>12.604890697590665</v>
      </c>
      <c r="Y91" s="1987">
        <f>SUM(U91:X101)</f>
        <v>230.71751839713806</v>
      </c>
      <c r="Z91" s="2031">
        <f t="shared" ref="Z91:AF91" si="15">MEDIAN(L91:L101)</f>
        <v>139.25403056385875</v>
      </c>
      <c r="AA91" s="1938">
        <f t="shared" si="15"/>
        <v>16.038222830458217</v>
      </c>
      <c r="AB91" s="2032">
        <f t="shared" si="15"/>
        <v>0</v>
      </c>
      <c r="AC91" s="1938">
        <f t="shared" si="15"/>
        <v>0</v>
      </c>
      <c r="AD91" s="2028">
        <f t="shared" si="15"/>
        <v>31.932389767229687</v>
      </c>
      <c r="AE91" s="1938">
        <f t="shared" si="15"/>
        <v>0</v>
      </c>
      <c r="AF91" s="1988">
        <f t="shared" si="15"/>
        <v>29.795560677542888</v>
      </c>
      <c r="AG91" s="1989">
        <f>Y91+Z91+AA91+AB91+AC91+AD91+AE91</f>
        <v>417.94216155868469</v>
      </c>
      <c r="AH91" s="397"/>
      <c r="AI91" s="614"/>
      <c r="AJ91" s="591"/>
      <c r="AK91" s="591"/>
      <c r="AL91" s="591" t="s">
        <v>429</v>
      </c>
      <c r="AM91" s="591" t="s">
        <v>429</v>
      </c>
      <c r="AN91" s="591"/>
      <c r="AO91" s="614"/>
    </row>
    <row r="92" spans="1:42" ht="15.75" hidden="1" customHeight="1" x14ac:dyDescent="0.25">
      <c r="A92" s="1757"/>
      <c r="B92" s="547" t="s">
        <v>98</v>
      </c>
      <c r="C92" s="1046"/>
      <c r="D92" s="802" t="s">
        <v>1058</v>
      </c>
      <c r="E92" s="1880"/>
      <c r="F92" s="616">
        <f>'exchange rates'!$O$20</f>
        <v>0.83301000000000003</v>
      </c>
      <c r="G92" s="625">
        <f>22.64/F92</f>
        <v>27.178545275566918</v>
      </c>
      <c r="H92" s="593">
        <f>(1.18*100)/F92</f>
        <v>141.65496212530462</v>
      </c>
      <c r="I92" s="594">
        <f>(0.5*100)/F92</f>
        <v>60.023289036146025</v>
      </c>
      <c r="J92" s="595">
        <f>10.5/F92</f>
        <v>12.604890697590665</v>
      </c>
      <c r="K92" s="566">
        <f>Tabel668921274[[#This Row],[Fix.ch. 2017]]+Tabel668921274[[#This Row],[Var. ch. 2017]]+Tabel668921274[[#This Row],[Oth. ch. DW 2017]]+Tabel668921274[[#This Row],[VAT DW 2017]]</f>
        <v>241.46168713460824</v>
      </c>
      <c r="L92" s="596">
        <f>(1.6*100)/F92</f>
        <v>192.07452491566727</v>
      </c>
      <c r="M92" s="595">
        <v>0</v>
      </c>
      <c r="N92" s="626">
        <f>(1.24*100)/F92</f>
        <v>148.85775680964213</v>
      </c>
      <c r="O92" s="595">
        <f>31.38/F92</f>
        <v>37.670616199085245</v>
      </c>
      <c r="P92" s="597">
        <f>(0.3*100)/F92</f>
        <v>36.013973421687616</v>
      </c>
      <c r="Q92" s="595">
        <v>0</v>
      </c>
      <c r="R92" s="570">
        <f>Tabel668921274[[#This Row],[VAT DW 2017]]+Tabel668921274[[#This Row],[VAT Sew. 2017]]+Tabel668921274[[#This Row],[VAT WW 2017]]+Tabel668921274[[#This Row],[VAT Other ch. 2017]]</f>
        <v>50.275506896675907</v>
      </c>
      <c r="S92" s="571">
        <f>Tabel668921274[[#This Row],[Total. ch. DW 2017]]+Tabel668921274[[#This Row],[Sew. 2017]]+Tabel668921274[[#This Row],[VAT Sew. 2017]]+Tabel668921274[[#This Row],[WW 2017]]+Tabel668921274[[#This Row],[VAT WW 2017]]+Tabel668921274[[#This Row],[Other ch. 2017]]+Tabel668921274[[#This Row],[VAT Other ch. 2017]]</f>
        <v>656.07855848069039</v>
      </c>
      <c r="T92" s="397"/>
      <c r="U92" s="1763"/>
      <c r="V92" s="1766"/>
      <c r="W92" s="1769"/>
      <c r="X92" s="1772"/>
      <c r="Y92" s="1775"/>
      <c r="Z92" s="1778"/>
      <c r="AA92" s="1772"/>
      <c r="AB92" s="1781"/>
      <c r="AC92" s="1772"/>
      <c r="AD92" s="1785"/>
      <c r="AE92" s="1772"/>
      <c r="AF92" s="1788"/>
      <c r="AG92" s="1990"/>
      <c r="AH92" s="397"/>
      <c r="AI92" s="614"/>
      <c r="AJ92" s="591" t="s">
        <v>429</v>
      </c>
      <c r="AK92" s="591" t="s">
        <v>429</v>
      </c>
      <c r="AL92" s="591"/>
      <c r="AM92" s="591" t="s">
        <v>429</v>
      </c>
      <c r="AN92" s="591"/>
      <c r="AO92" s="614"/>
    </row>
    <row r="93" spans="1:42" ht="15.75" hidden="1" customHeight="1" x14ac:dyDescent="0.25">
      <c r="A93" s="1757"/>
      <c r="B93" s="547" t="s">
        <v>99</v>
      </c>
      <c r="C93" s="1046"/>
      <c r="D93" s="802" t="s">
        <v>1058</v>
      </c>
      <c r="E93" s="1880"/>
      <c r="F93" s="616">
        <f>'exchange rates'!$O$20</f>
        <v>0.83301000000000003</v>
      </c>
      <c r="G93" s="625">
        <f>37.32/F93</f>
        <v>44.801382936579394</v>
      </c>
      <c r="H93" s="593">
        <f>(1.14*100)/F93</f>
        <v>136.8530990024129</v>
      </c>
      <c r="I93" s="594">
        <f>(0.46*100)/F93</f>
        <v>55.221425913254343</v>
      </c>
      <c r="J93" s="595">
        <f>10.84/F93</f>
        <v>13.013049063036458</v>
      </c>
      <c r="K93" s="566">
        <f>Tabel668921274[[#This Row],[Fix.ch. 2017]]+Tabel668921274[[#This Row],[Var. ch. 2017]]+Tabel668921274[[#This Row],[Oth. ch. DW 2017]]+Tabel668921274[[#This Row],[VAT DW 2017]]</f>
        <v>249.88895691528307</v>
      </c>
      <c r="L93" s="596">
        <f>(1.46*100)/F93</f>
        <v>175.26800398554639</v>
      </c>
      <c r="M93" s="595">
        <f>17.29/F93</f>
        <v>20.756053348699293</v>
      </c>
      <c r="N93" s="626">
        <f>(0*100)/F93</f>
        <v>0</v>
      </c>
      <c r="O93" s="595">
        <v>0</v>
      </c>
      <c r="P93" s="597">
        <f>(0.266*100)/F93</f>
        <v>31.932389767229687</v>
      </c>
      <c r="Q93" s="595">
        <v>0</v>
      </c>
      <c r="R93" s="570">
        <f>Tabel668921274[[#This Row],[VAT DW 2017]]+Tabel668921274[[#This Row],[VAT Sew. 2017]]+Tabel668921274[[#This Row],[VAT WW 2017]]+Tabel668921274[[#This Row],[VAT Other ch. 2017]]</f>
        <v>33.769102411735751</v>
      </c>
      <c r="S93" s="571">
        <f>Tabel668921274[[#This Row],[Total. ch. DW 2017]]+Tabel668921274[[#This Row],[Sew. 2017]]+Tabel668921274[[#This Row],[VAT Sew. 2017]]+Tabel668921274[[#This Row],[WW 2017]]+Tabel668921274[[#This Row],[VAT WW 2017]]+Tabel668921274[[#This Row],[Other ch. 2017]]+Tabel668921274[[#This Row],[VAT Other ch. 2017]]</f>
        <v>477.84540401675844</v>
      </c>
      <c r="T93" s="397"/>
      <c r="U93" s="1763"/>
      <c r="V93" s="1766"/>
      <c r="W93" s="1769"/>
      <c r="X93" s="1772"/>
      <c r="Y93" s="1775"/>
      <c r="Z93" s="1778"/>
      <c r="AA93" s="1772"/>
      <c r="AB93" s="1781"/>
      <c r="AC93" s="1772"/>
      <c r="AD93" s="1785"/>
      <c r="AE93" s="1772"/>
      <c r="AF93" s="1788"/>
      <c r="AG93" s="1990"/>
      <c r="AH93" s="397"/>
      <c r="AI93" s="614"/>
      <c r="AJ93" s="591" t="s">
        <v>429</v>
      </c>
      <c r="AK93" s="591" t="s">
        <v>429</v>
      </c>
      <c r="AL93" s="591"/>
      <c r="AM93" s="591" t="s">
        <v>429</v>
      </c>
      <c r="AN93" s="591"/>
      <c r="AO93" s="614"/>
    </row>
    <row r="94" spans="1:42" ht="15.75" hidden="1" customHeight="1" x14ac:dyDescent="0.25">
      <c r="A94" s="1757"/>
      <c r="B94" s="547" t="s">
        <v>100</v>
      </c>
      <c r="C94" s="1046"/>
      <c r="D94" s="802" t="s">
        <v>1058</v>
      </c>
      <c r="E94" s="1880"/>
      <c r="F94" s="616">
        <f>'exchange rates'!$O$20</f>
        <v>0.83301000000000003</v>
      </c>
      <c r="G94" s="625">
        <f>41.19/F94</f>
        <v>49.447185507977089</v>
      </c>
      <c r="H94" s="593">
        <f>(1.03*100)/F94</f>
        <v>123.6479754144608</v>
      </c>
      <c r="I94" s="594">
        <f>(0.35*100)/F94</f>
        <v>42.016302325302213</v>
      </c>
      <c r="J94" s="595">
        <f>9.83/F94</f>
        <v>11.800578624506308</v>
      </c>
      <c r="K94" s="566">
        <f>Tabel668921274[[#This Row],[Fix.ch. 2017]]+Tabel668921274[[#This Row],[Var. ch. 2017]]+Tabel668921274[[#This Row],[Oth. ch. DW 2017]]+Tabel668921274[[#This Row],[VAT DW 2017]]</f>
        <v>226.91204187224639</v>
      </c>
      <c r="L94" s="596">
        <f>(0.98*100)/F94</f>
        <v>117.64564651084621</v>
      </c>
      <c r="M94" s="595">
        <f>12.2/F94</f>
        <v>14.645682524819629</v>
      </c>
      <c r="N94" s="626">
        <v>0</v>
      </c>
      <c r="O94" s="595">
        <v>0</v>
      </c>
      <c r="P94" s="597">
        <f>(0.24131*100)/F94</f>
        <v>28.968439754624793</v>
      </c>
      <c r="Q94" s="595">
        <v>0</v>
      </c>
      <c r="R94" s="570">
        <f>Tabel668921274[[#This Row],[VAT DW 2017]]+Tabel668921274[[#This Row],[VAT Sew. 2017]]+Tabel668921274[[#This Row],[VAT WW 2017]]+Tabel668921274[[#This Row],[VAT Other ch. 2017]]</f>
        <v>26.446261149325935</v>
      </c>
      <c r="S94" s="571">
        <f>Tabel668921274[[#This Row],[Total. ch. DW 2017]]+Tabel668921274[[#This Row],[Sew. 2017]]+Tabel668921274[[#This Row],[VAT Sew. 2017]]+Tabel668921274[[#This Row],[WW 2017]]+Tabel668921274[[#This Row],[VAT WW 2017]]+Tabel668921274[[#This Row],[Other ch. 2017]]+Tabel668921274[[#This Row],[VAT Other ch. 2017]]</f>
        <v>388.17181066253698</v>
      </c>
      <c r="T94" s="397"/>
      <c r="U94" s="1763"/>
      <c r="V94" s="1766"/>
      <c r="W94" s="1769"/>
      <c r="X94" s="1772"/>
      <c r="Y94" s="1775"/>
      <c r="Z94" s="1778"/>
      <c r="AA94" s="1772"/>
      <c r="AB94" s="1781"/>
      <c r="AC94" s="1772"/>
      <c r="AD94" s="1785"/>
      <c r="AE94" s="1772"/>
      <c r="AF94" s="1788"/>
      <c r="AG94" s="1990"/>
      <c r="AH94" s="397"/>
      <c r="AI94" s="614"/>
      <c r="AJ94" s="591" t="s">
        <v>429</v>
      </c>
      <c r="AK94" s="591"/>
      <c r="AL94" s="591"/>
      <c r="AM94" s="591" t="s">
        <v>429</v>
      </c>
      <c r="AN94" s="591"/>
      <c r="AO94" s="614"/>
    </row>
    <row r="95" spans="1:42" ht="15.75" hidden="1" customHeight="1" x14ac:dyDescent="0.25">
      <c r="A95" s="1757"/>
      <c r="B95" s="547" t="s">
        <v>101</v>
      </c>
      <c r="C95" s="1046" t="s">
        <v>429</v>
      </c>
      <c r="D95" s="802" t="s">
        <v>1058</v>
      </c>
      <c r="E95" s="1880"/>
      <c r="F95" s="616">
        <f>'exchange rates'!$O$20</f>
        <v>0.83301000000000003</v>
      </c>
      <c r="G95" s="625">
        <f>20.61/F95</f>
        <v>24.741599740699389</v>
      </c>
      <c r="H95" s="593">
        <f>(1.02*100)/F95</f>
        <v>122.44750963373788</v>
      </c>
      <c r="I95" s="594">
        <f>(0.48*100)/F95</f>
        <v>57.622357474700181</v>
      </c>
      <c r="J95" s="595">
        <f>9.42/F95</f>
        <v>11.308387654409911</v>
      </c>
      <c r="K95" s="566">
        <f>Tabel668921274[[#This Row],[Fix.ch. 2017]]+Tabel668921274[[#This Row],[Var. ch. 2017]]+Tabel668921274[[#This Row],[Oth. ch. DW 2017]]+Tabel668921274[[#This Row],[VAT DW 2017]]</f>
        <v>216.11985450354734</v>
      </c>
      <c r="L95" s="596">
        <f>(0.31*100)/F95</f>
        <v>37.214439202410531</v>
      </c>
      <c r="M95" s="595">
        <v>0</v>
      </c>
      <c r="N95" s="626">
        <f>(1.04*100)/F95</f>
        <v>124.84844119518372</v>
      </c>
      <c r="O95" s="595">
        <f>16.53/F95</f>
        <v>19.843699355349877</v>
      </c>
      <c r="P95" s="597">
        <f>(0.3*100)/F95</f>
        <v>36.013973421687616</v>
      </c>
      <c r="Q95" s="595">
        <v>0</v>
      </c>
      <c r="R95" s="570">
        <f>Tabel668921274[[#This Row],[VAT DW 2017]]+Tabel668921274[[#This Row],[VAT Sew. 2017]]+Tabel668921274[[#This Row],[VAT WW 2017]]+Tabel668921274[[#This Row],[VAT Other ch. 2017]]</f>
        <v>31.152087009759789</v>
      </c>
      <c r="S95" s="571">
        <f>Tabel668921274[[#This Row],[Total. ch. DW 2017]]+Tabel668921274[[#This Row],[Sew. 2017]]+Tabel668921274[[#This Row],[VAT Sew. 2017]]+Tabel668921274[[#This Row],[WW 2017]]+Tabel668921274[[#This Row],[VAT WW 2017]]+Tabel668921274[[#This Row],[Other ch. 2017]]+Tabel668921274[[#This Row],[VAT Other ch. 2017]]</f>
        <v>434.04040767817912</v>
      </c>
      <c r="T95" s="397"/>
      <c r="U95" s="1763"/>
      <c r="V95" s="1766"/>
      <c r="W95" s="1769"/>
      <c r="X95" s="1772"/>
      <c r="Y95" s="1775"/>
      <c r="Z95" s="1778"/>
      <c r="AA95" s="1772"/>
      <c r="AB95" s="1781"/>
      <c r="AC95" s="1772"/>
      <c r="AD95" s="1785"/>
      <c r="AE95" s="1772"/>
      <c r="AF95" s="1788"/>
      <c r="AG95" s="1990"/>
      <c r="AH95" s="397"/>
      <c r="AI95" s="614"/>
      <c r="AJ95" s="591" t="s">
        <v>429</v>
      </c>
      <c r="AK95" s="591"/>
      <c r="AL95" s="591"/>
      <c r="AM95" s="591" t="s">
        <v>429</v>
      </c>
      <c r="AN95" s="591"/>
      <c r="AO95" s="614"/>
    </row>
    <row r="96" spans="1:42" ht="15.75" hidden="1" customHeight="1" x14ac:dyDescent="0.25">
      <c r="A96" s="1757"/>
      <c r="B96" s="547" t="s">
        <v>630</v>
      </c>
      <c r="C96" s="1046"/>
      <c r="D96" s="802" t="s">
        <v>1058</v>
      </c>
      <c r="E96" s="1880"/>
      <c r="F96" s="616">
        <f>'exchange rates'!$O$20</f>
        <v>0.83301000000000003</v>
      </c>
      <c r="G96" s="625">
        <f>26.69/F96</f>
        <v>32.040431687494745</v>
      </c>
      <c r="H96" s="593">
        <f>(1*100)/F96</f>
        <v>120.04657807229205</v>
      </c>
      <c r="I96" s="594">
        <f>(0.35*100)/F96</f>
        <v>42.016302325302213</v>
      </c>
      <c r="J96" s="595">
        <f>8.89/F96</f>
        <v>10.672140790626763</v>
      </c>
      <c r="K96" s="566">
        <f>Tabel668921274[[#This Row],[Fix.ch. 2017]]+Tabel668921274[[#This Row],[Var. ch. 2017]]+Tabel668921274[[#This Row],[Oth. ch. DW 2017]]+Tabel668921274[[#This Row],[VAT DW 2017]]</f>
        <v>204.77545287571576</v>
      </c>
      <c r="L96" s="596">
        <f>(0.5*100)/F96</f>
        <v>60.023289036146025</v>
      </c>
      <c r="M96" s="595">
        <v>0</v>
      </c>
      <c r="N96" s="626">
        <f>(0.47*100)/F96</f>
        <v>56.421891693977258</v>
      </c>
      <c r="O96" s="595">
        <f>13.18/F96</f>
        <v>15.82213898992809</v>
      </c>
      <c r="P96" s="597">
        <f>(0.35*100)/F96</f>
        <v>42.016302325302213</v>
      </c>
      <c r="Q96" s="595">
        <v>0</v>
      </c>
      <c r="R96" s="570">
        <f>Tabel668921274[[#This Row],[VAT DW 2017]]+Tabel668921274[[#This Row],[VAT Sew. 2017]]+Tabel668921274[[#This Row],[VAT WW 2017]]+Tabel668921274[[#This Row],[VAT Other ch. 2017]]</f>
        <v>26.494279780554855</v>
      </c>
      <c r="S96" s="571">
        <f>Tabel668921274[[#This Row],[Total. ch. DW 2017]]+Tabel668921274[[#This Row],[Sew. 2017]]+Tabel668921274[[#This Row],[VAT Sew. 2017]]+Tabel668921274[[#This Row],[WW 2017]]+Tabel668921274[[#This Row],[VAT WW 2017]]+Tabel668921274[[#This Row],[Other ch. 2017]]+Tabel668921274[[#This Row],[VAT Other ch. 2017]]</f>
        <v>379.05907492106934</v>
      </c>
      <c r="T96" s="397"/>
      <c r="U96" s="1763"/>
      <c r="V96" s="1766"/>
      <c r="W96" s="1769"/>
      <c r="X96" s="1772"/>
      <c r="Y96" s="1775"/>
      <c r="Z96" s="1778"/>
      <c r="AA96" s="1772"/>
      <c r="AB96" s="1781"/>
      <c r="AC96" s="1772"/>
      <c r="AD96" s="1785"/>
      <c r="AE96" s="1772"/>
      <c r="AF96" s="1788"/>
      <c r="AG96" s="1990"/>
      <c r="AH96" s="397"/>
      <c r="AI96" s="614"/>
      <c r="AJ96" s="591" t="s">
        <v>429</v>
      </c>
      <c r="AK96" s="591"/>
      <c r="AL96" s="591"/>
      <c r="AM96" s="591" t="s">
        <v>429</v>
      </c>
      <c r="AN96" s="591"/>
      <c r="AO96" s="614"/>
    </row>
    <row r="97" spans="1:42" ht="15.75" hidden="1" customHeight="1" x14ac:dyDescent="0.25">
      <c r="A97" s="1757"/>
      <c r="B97" s="547" t="s">
        <v>631</v>
      </c>
      <c r="C97" s="1046"/>
      <c r="D97" s="802" t="s">
        <v>1058</v>
      </c>
      <c r="E97" s="1880"/>
      <c r="F97" s="616">
        <f>'exchange rates'!$O$20</f>
        <v>0.83301000000000003</v>
      </c>
      <c r="G97" s="625">
        <f>10.95/F97</f>
        <v>13.145100298915978</v>
      </c>
      <c r="H97" s="593">
        <f>(0.93*100)/F97</f>
        <v>111.64331760723161</v>
      </c>
      <c r="I97" s="594">
        <f>(0.44*100)/F97</f>
        <v>52.820494351808499</v>
      </c>
      <c r="J97" s="595">
        <f>8.13/F97</f>
        <v>9.7597867972773447</v>
      </c>
      <c r="K97" s="566">
        <f>Tabel668921274[[#This Row],[Fix.ch. 2017]]+Tabel668921274[[#This Row],[Var. ch. 2017]]+Tabel668921274[[#This Row],[Oth. ch. DW 2017]]+Tabel668921274[[#This Row],[VAT DW 2017]]</f>
        <v>187.36869905523344</v>
      </c>
      <c r="L97" s="596">
        <f>(1.16*100)/F97</f>
        <v>139.25403056385875</v>
      </c>
      <c r="M97" s="595">
        <f>14.6/F97</f>
        <v>17.526800398554638</v>
      </c>
      <c r="N97" s="626">
        <f>(0*100)/F97</f>
        <v>0</v>
      </c>
      <c r="O97" s="595">
        <v>0</v>
      </c>
      <c r="P97" s="597">
        <f>(0.3*100)/F97</f>
        <v>36.013973421687616</v>
      </c>
      <c r="Q97" s="595">
        <v>0</v>
      </c>
      <c r="R97" s="570">
        <f>Tabel668921274[[#This Row],[VAT DW 2017]]+Tabel668921274[[#This Row],[VAT Sew. 2017]]+Tabel668921274[[#This Row],[VAT WW 2017]]+Tabel668921274[[#This Row],[VAT Other ch. 2017]]</f>
        <v>27.286587195831984</v>
      </c>
      <c r="S97" s="571">
        <f>Tabel668921274[[#This Row],[Total. ch. DW 2017]]+Tabel668921274[[#This Row],[Sew. 2017]]+Tabel668921274[[#This Row],[VAT Sew. 2017]]+Tabel668921274[[#This Row],[WW 2017]]+Tabel668921274[[#This Row],[VAT WW 2017]]+Tabel668921274[[#This Row],[Other ch. 2017]]+Tabel668921274[[#This Row],[VAT Other ch. 2017]]</f>
        <v>380.16350343933448</v>
      </c>
      <c r="T97" s="397"/>
      <c r="U97" s="1763"/>
      <c r="V97" s="1766"/>
      <c r="W97" s="1769"/>
      <c r="X97" s="1772"/>
      <c r="Y97" s="1775"/>
      <c r="Z97" s="1778"/>
      <c r="AA97" s="1772"/>
      <c r="AB97" s="1781"/>
      <c r="AC97" s="1772"/>
      <c r="AD97" s="1785"/>
      <c r="AE97" s="1772"/>
      <c r="AF97" s="1788"/>
      <c r="AG97" s="1990"/>
      <c r="AH97" s="397"/>
      <c r="AI97" s="614"/>
      <c r="AJ97" s="591" t="s">
        <v>429</v>
      </c>
      <c r="AK97" s="591"/>
      <c r="AL97" s="591"/>
      <c r="AM97" s="591"/>
      <c r="AN97" s="591"/>
      <c r="AO97" s="614"/>
    </row>
    <row r="98" spans="1:42" ht="15.75" hidden="1" customHeight="1" x14ac:dyDescent="0.25">
      <c r="A98" s="1757"/>
      <c r="B98" s="547" t="s">
        <v>632</v>
      </c>
      <c r="C98" s="1046"/>
      <c r="D98" s="802" t="s">
        <v>1058</v>
      </c>
      <c r="E98" s="1880"/>
      <c r="F98" s="616">
        <f>'exchange rates'!$O$20</f>
        <v>0.83301000000000003</v>
      </c>
      <c r="G98" s="625">
        <f>40.94/F98</f>
        <v>49.147069062796362</v>
      </c>
      <c r="H98" s="593">
        <f>(1.43*100)/F98</f>
        <v>171.66660664337763</v>
      </c>
      <c r="I98" s="594">
        <f>(0.41*100)/F98</f>
        <v>49.219097009639739</v>
      </c>
      <c r="J98" s="595">
        <f>12.39/F98</f>
        <v>14.873771023156985</v>
      </c>
      <c r="K98" s="566">
        <f>Tabel668921274[[#This Row],[Fix.ch. 2017]]+Tabel668921274[[#This Row],[Var. ch. 2017]]+Tabel668921274[[#This Row],[Oth. ch. DW 2017]]+Tabel668921274[[#This Row],[VAT DW 2017]]</f>
        <v>284.9065437389707</v>
      </c>
      <c r="L98" s="596">
        <f>(0.91*100)/F98</f>
        <v>109.24238604578576</v>
      </c>
      <c r="M98" s="595">
        <f>11.23/F98</f>
        <v>13.481230717518397</v>
      </c>
      <c r="N98" s="626">
        <v>0</v>
      </c>
      <c r="O98" s="595">
        <v>0</v>
      </c>
      <c r="P98" s="597">
        <f>(0.2097*100)/F98</f>
        <v>25.173767421759642</v>
      </c>
      <c r="Q98" s="595">
        <v>0</v>
      </c>
      <c r="R98" s="570">
        <f>Tabel668921274[[#This Row],[VAT DW 2017]]+Tabel668921274[[#This Row],[VAT Sew. 2017]]+Tabel668921274[[#This Row],[VAT WW 2017]]+Tabel668921274[[#This Row],[VAT Other ch. 2017]]</f>
        <v>28.355001740675384</v>
      </c>
      <c r="S98" s="571">
        <f>Tabel668921274[[#This Row],[Total. ch. DW 2017]]+Tabel668921274[[#This Row],[Sew. 2017]]+Tabel668921274[[#This Row],[VAT Sew. 2017]]+Tabel668921274[[#This Row],[WW 2017]]+Tabel668921274[[#This Row],[VAT WW 2017]]+Tabel668921274[[#This Row],[Other ch. 2017]]+Tabel668921274[[#This Row],[VAT Other ch. 2017]]</f>
        <v>432.80392792403444</v>
      </c>
      <c r="T98" s="397"/>
      <c r="U98" s="1763"/>
      <c r="V98" s="1766"/>
      <c r="W98" s="1769"/>
      <c r="X98" s="1772"/>
      <c r="Y98" s="1775"/>
      <c r="Z98" s="1778"/>
      <c r="AA98" s="1772"/>
      <c r="AB98" s="1781"/>
      <c r="AC98" s="1772"/>
      <c r="AD98" s="1785"/>
      <c r="AE98" s="1772"/>
      <c r="AF98" s="1788"/>
      <c r="AG98" s="1990"/>
      <c r="AH98" s="397"/>
      <c r="AI98" s="614"/>
      <c r="AJ98" s="591" t="s">
        <v>429</v>
      </c>
      <c r="AK98" s="591"/>
      <c r="AL98" s="591"/>
      <c r="AM98" s="591" t="s">
        <v>429</v>
      </c>
      <c r="AN98" s="591"/>
      <c r="AO98" s="614"/>
    </row>
    <row r="99" spans="1:42" ht="15.75" hidden="1" customHeight="1" x14ac:dyDescent="0.25">
      <c r="A99" s="1757"/>
      <c r="B99" s="547" t="s">
        <v>633</v>
      </c>
      <c r="C99" s="1046"/>
      <c r="D99" s="802" t="s">
        <v>1058</v>
      </c>
      <c r="E99" s="1880"/>
      <c r="F99" s="616">
        <f>'exchange rates'!$O$20</f>
        <v>0.83301000000000003</v>
      </c>
      <c r="G99" s="625">
        <f>30.37/F99</f>
        <v>36.458145760555098</v>
      </c>
      <c r="H99" s="593">
        <f>(1.51*100)/F99</f>
        <v>181.27033288916098</v>
      </c>
      <c r="I99" s="594">
        <f>(0.52*100)/F99</f>
        <v>62.424220597591862</v>
      </c>
      <c r="J99" s="595">
        <f>12.83/F99</f>
        <v>15.401975966675069</v>
      </c>
      <c r="K99" s="566">
        <f>Tabel668921274[[#This Row],[Fix.ch. 2017]]+Tabel668921274[[#This Row],[Var. ch. 2017]]+Tabel668921274[[#This Row],[Oth. ch. DW 2017]]+Tabel668921274[[#This Row],[VAT DW 2017]]</f>
        <v>295.55467521398299</v>
      </c>
      <c r="L99" s="596">
        <f>(2.01*100)/F99</f>
        <v>241.29362192530698</v>
      </c>
      <c r="M99" s="595">
        <f>23.13/F99</f>
        <v>27.766773508121148</v>
      </c>
      <c r="N99" s="626">
        <f>(0*100)/F99</f>
        <v>0</v>
      </c>
      <c r="O99" s="595">
        <v>0</v>
      </c>
      <c r="P99" s="597">
        <f>(0.3*100)/F99</f>
        <v>36.013973421687616</v>
      </c>
      <c r="Q99" s="595">
        <v>0</v>
      </c>
      <c r="R99" s="570">
        <f>Tabel668921274[[#This Row],[VAT DW 2017]]+Tabel668921274[[#This Row],[VAT Sew. 2017]]+Tabel668921274[[#This Row],[VAT WW 2017]]+Tabel668921274[[#This Row],[VAT Other ch. 2017]]</f>
        <v>43.168749474796215</v>
      </c>
      <c r="S99" s="571">
        <f>Tabel668921274[[#This Row],[Total. ch. DW 2017]]+Tabel668921274[[#This Row],[Sew. 2017]]+Tabel668921274[[#This Row],[VAT Sew. 2017]]+Tabel668921274[[#This Row],[WW 2017]]+Tabel668921274[[#This Row],[VAT WW 2017]]+Tabel668921274[[#This Row],[Other ch. 2017]]+Tabel668921274[[#This Row],[VAT Other ch. 2017]]</f>
        <v>600.62904406909877</v>
      </c>
      <c r="T99" s="397"/>
      <c r="U99" s="1763"/>
      <c r="V99" s="1766"/>
      <c r="W99" s="1769"/>
      <c r="X99" s="1772"/>
      <c r="Y99" s="1775"/>
      <c r="Z99" s="1778"/>
      <c r="AA99" s="1772"/>
      <c r="AB99" s="1781"/>
      <c r="AC99" s="1772"/>
      <c r="AD99" s="1785"/>
      <c r="AE99" s="1772"/>
      <c r="AF99" s="1788"/>
      <c r="AG99" s="1990"/>
      <c r="AH99" s="397"/>
      <c r="AI99" s="614"/>
      <c r="AJ99" s="591" t="s">
        <v>429</v>
      </c>
      <c r="AK99" s="591"/>
      <c r="AL99" s="591"/>
      <c r="AM99" s="591" t="s">
        <v>429</v>
      </c>
      <c r="AN99" s="591"/>
      <c r="AO99" s="614"/>
    </row>
    <row r="100" spans="1:42" ht="15.75" hidden="1" customHeight="1" x14ac:dyDescent="0.25">
      <c r="A100" s="1757"/>
      <c r="B100" s="547" t="s">
        <v>634</v>
      </c>
      <c r="C100" s="1046"/>
      <c r="D100" s="802" t="s">
        <v>1058</v>
      </c>
      <c r="E100" s="1880"/>
      <c r="F100" s="616">
        <f>'exchange rates'!$O$20</f>
        <v>0.83301000000000003</v>
      </c>
      <c r="G100" s="625">
        <f>9.46/F100</f>
        <v>11.356406285638828</v>
      </c>
      <c r="H100" s="593">
        <f>(1.41*100)/F100</f>
        <v>169.26567508193179</v>
      </c>
      <c r="I100" s="594">
        <f>(0.37*100)/F100</f>
        <v>44.417233886748058</v>
      </c>
      <c r="J100" s="595">
        <f>10.3/F100</f>
        <v>12.364797541446082</v>
      </c>
      <c r="K100" s="566">
        <f>Tabel668921274[[#This Row],[Fix.ch. 2017]]+Tabel668921274[[#This Row],[Var. ch. 2017]]+Tabel668921274[[#This Row],[Oth. ch. DW 2017]]+Tabel668921274[[#This Row],[VAT DW 2017]]</f>
        <v>237.40411279576475</v>
      </c>
      <c r="L100" s="596">
        <f>(1.29*100)/F100</f>
        <v>154.86008571325675</v>
      </c>
      <c r="M100" s="595">
        <f>14.52/F100</f>
        <v>17.430763136096804</v>
      </c>
      <c r="N100" s="626">
        <f>(0*100)/F100</f>
        <v>0</v>
      </c>
      <c r="O100" s="595">
        <v>0</v>
      </c>
      <c r="P100" s="597">
        <f>(0.16*100)/F100</f>
        <v>19.207452491566727</v>
      </c>
      <c r="Q100" s="595">
        <v>0</v>
      </c>
      <c r="R100" s="570">
        <f>Tabel668921274[[#This Row],[VAT DW 2017]]+Tabel668921274[[#This Row],[VAT Sew. 2017]]+Tabel668921274[[#This Row],[VAT WW 2017]]+Tabel668921274[[#This Row],[VAT Other ch. 2017]]</f>
        <v>29.795560677542888</v>
      </c>
      <c r="S100" s="571">
        <f>Tabel668921274[[#This Row],[Total. ch. DW 2017]]+Tabel668921274[[#This Row],[Sew. 2017]]+Tabel668921274[[#This Row],[VAT Sew. 2017]]+Tabel668921274[[#This Row],[WW 2017]]+Tabel668921274[[#This Row],[VAT WW 2017]]+Tabel668921274[[#This Row],[Other ch. 2017]]+Tabel668921274[[#This Row],[VAT Other ch. 2017]]</f>
        <v>428.90241413668502</v>
      </c>
      <c r="T100" s="397"/>
      <c r="U100" s="1763"/>
      <c r="V100" s="1766"/>
      <c r="W100" s="1769"/>
      <c r="X100" s="1772"/>
      <c r="Y100" s="1775"/>
      <c r="Z100" s="1778"/>
      <c r="AA100" s="1772"/>
      <c r="AB100" s="1781"/>
      <c r="AC100" s="1772"/>
      <c r="AD100" s="1785"/>
      <c r="AE100" s="1772"/>
      <c r="AF100" s="1788"/>
      <c r="AG100" s="1990"/>
      <c r="AH100" s="397"/>
      <c r="AI100" s="614"/>
      <c r="AJ100" s="591" t="s">
        <v>429</v>
      </c>
      <c r="AK100" s="591"/>
      <c r="AL100" s="591"/>
      <c r="AM100" s="591"/>
      <c r="AN100" s="591"/>
      <c r="AO100" s="614"/>
    </row>
    <row r="101" spans="1:42" ht="16.5" hidden="1" customHeight="1" thickBot="1" x14ac:dyDescent="0.3">
      <c r="A101" s="1758"/>
      <c r="B101" s="547" t="s">
        <v>635</v>
      </c>
      <c r="C101" s="1046"/>
      <c r="D101" s="802" t="s">
        <v>1058</v>
      </c>
      <c r="E101" s="1761"/>
      <c r="F101" s="616">
        <f>'exchange rates'!$O$20</f>
        <v>0.83301000000000003</v>
      </c>
      <c r="G101" s="625">
        <f>12.36/F101</f>
        <v>14.837757049735297</v>
      </c>
      <c r="H101" s="593">
        <f>(1.62*100)/F101</f>
        <v>194.47545647711311</v>
      </c>
      <c r="I101" s="594">
        <f>(0.38*100)/F101</f>
        <v>45.61769966747098</v>
      </c>
      <c r="J101" s="595">
        <f>11.68/F101</f>
        <v>14.021440318843711</v>
      </c>
      <c r="K101" s="566">
        <f>Tabel668921274[[#This Row],[Fix.ch. 2017]]+Tabel668921274[[#This Row],[Var. ch. 2017]]+Tabel668921274[[#This Row],[Oth. ch. DW 2017]]+Tabel668921274[[#This Row],[VAT DW 2017]]</f>
        <v>268.95235351316313</v>
      </c>
      <c r="L101" s="596">
        <f>(2.04*100)/F101</f>
        <v>244.89501926747576</v>
      </c>
      <c r="M101" s="595">
        <f>22.48/F101</f>
        <v>26.986470750651254</v>
      </c>
      <c r="N101" s="626">
        <f>(0*100)/F101</f>
        <v>0</v>
      </c>
      <c r="O101" s="595">
        <v>0</v>
      </c>
      <c r="P101" s="597">
        <f>(0.209*100)/F101</f>
        <v>25.089734817109036</v>
      </c>
      <c r="Q101" s="595">
        <v>0</v>
      </c>
      <c r="R101" s="570">
        <f>Tabel668921274[[#This Row],[VAT DW 2017]]+Tabel668921274[[#This Row],[VAT Sew. 2017]]+Tabel668921274[[#This Row],[VAT WW 2017]]+Tabel668921274[[#This Row],[VAT Other ch. 2017]]</f>
        <v>41.007911069494966</v>
      </c>
      <c r="S101" s="571">
        <f>Tabel668921274[[#This Row],[Total. ch. DW 2017]]+Tabel668921274[[#This Row],[Sew. 2017]]+Tabel668921274[[#This Row],[VAT Sew. 2017]]+Tabel668921274[[#This Row],[WW 2017]]+Tabel668921274[[#This Row],[VAT WW 2017]]+Tabel668921274[[#This Row],[Other ch. 2017]]+Tabel668921274[[#This Row],[VAT Other ch. 2017]]</f>
        <v>565.92357834839925</v>
      </c>
      <c r="T101" s="397"/>
      <c r="U101" s="1764"/>
      <c r="V101" s="1767"/>
      <c r="W101" s="1770"/>
      <c r="X101" s="1773"/>
      <c r="Y101" s="1776"/>
      <c r="Z101" s="1779"/>
      <c r="AA101" s="1773"/>
      <c r="AB101" s="1811"/>
      <c r="AC101" s="1773"/>
      <c r="AD101" s="1813"/>
      <c r="AE101" s="1773"/>
      <c r="AF101" s="1815"/>
      <c r="AG101" s="1991"/>
      <c r="AH101" s="397"/>
      <c r="AI101" s="614"/>
      <c r="AJ101" s="591" t="s">
        <v>429</v>
      </c>
      <c r="AK101" s="591" t="s">
        <v>429</v>
      </c>
      <c r="AL101" s="591"/>
      <c r="AM101" s="591" t="s">
        <v>429</v>
      </c>
      <c r="AN101" s="591"/>
      <c r="AO101" s="614"/>
    </row>
    <row r="102" spans="1:42" ht="19.5" hidden="1" thickBot="1" x14ac:dyDescent="0.3">
      <c r="A102" s="1725" t="s">
        <v>521</v>
      </c>
      <c r="B102" s="292" t="s">
        <v>522</v>
      </c>
      <c r="C102" s="1047"/>
      <c r="D102" s="811" t="s">
        <v>1060</v>
      </c>
      <c r="E102" s="301">
        <v>16000</v>
      </c>
      <c r="F102" s="308">
        <v>506.17869999999999</v>
      </c>
      <c r="G102" s="319">
        <f>3396/F102</f>
        <v>6.7090930535006708</v>
      </c>
      <c r="H102" s="320">
        <f>74524/F102</f>
        <v>147.22863684307538</v>
      </c>
      <c r="I102" s="321">
        <v>0</v>
      </c>
      <c r="J102" s="559"/>
      <c r="K102" s="313">
        <f>Tabel668921274[[#This Row],[Fix.ch. 2017]]+Tabel668921274[[#This Row],[Var. ch. 2017]]+Tabel668921274[[#This Row],[Oth. ch. DW 2017]]+Tabel668921274[[#This Row],[VAT DW 2017]]</f>
        <v>153.93772989657606</v>
      </c>
      <c r="L102" s="322">
        <v>0</v>
      </c>
      <c r="M102" s="559"/>
      <c r="N102" s="323">
        <v>0</v>
      </c>
      <c r="O102" s="559"/>
      <c r="P102" s="324">
        <v>0</v>
      </c>
      <c r="Q102" s="559"/>
      <c r="R102" s="317">
        <f>Tabel668921274[[#This Row],[VAT DW 2017]]+Tabel668921274[[#This Row],[VAT Sew. 2017]]+Tabel668921274[[#This Row],[VAT WW 2017]]+Tabel668921274[[#This Row],[VAT Other ch. 2017]]</f>
        <v>0</v>
      </c>
      <c r="S102" s="318">
        <f>Tabel668921274[[#This Row],[Total. ch. DW 2017]]+Tabel668921274[[#This Row],[Sew. 2017]]+Tabel668921274[[#This Row],[VAT Sew. 2017]]+Tabel668921274[[#This Row],[WW 2017]]+Tabel668921274[[#This Row],[VAT WW 2017]]+Tabel668921274[[#This Row],[Other ch. 2017]]+Tabel668921274[[#This Row],[VAT Other ch. 2017]]</f>
        <v>153.93772989657606</v>
      </c>
      <c r="T102" s="397"/>
      <c r="U102" s="340">
        <f>Tabel668921274[[#This Row],[Fix.ch. 2017]]</f>
        <v>6.7090930535006708</v>
      </c>
      <c r="V102" s="341">
        <f>Tabel668921274[[#This Row],[Var. ch. 2017]]</f>
        <v>147.22863684307538</v>
      </c>
      <c r="W102" s="342">
        <v>0</v>
      </c>
      <c r="X102" s="581"/>
      <c r="Y102" s="343">
        <f>Tabel668921274[[#This Row],[Total. ch. DW 2017]]</f>
        <v>153.93772989657606</v>
      </c>
      <c r="Z102" s="344">
        <v>0</v>
      </c>
      <c r="AA102" s="581"/>
      <c r="AB102" s="345">
        <v>0</v>
      </c>
      <c r="AC102" s="581"/>
      <c r="AD102" s="346">
        <v>0</v>
      </c>
      <c r="AE102" s="581"/>
      <c r="AF102" s="347">
        <f>Tabel668921274[[#This Row],[Total VAT 2017]]</f>
        <v>0</v>
      </c>
      <c r="AG102" s="348">
        <f>Tabel668921274[[#This Row],[total charge 2017]]</f>
        <v>153.93772989657606</v>
      </c>
      <c r="AH102" s="397"/>
      <c r="AI102" s="398"/>
      <c r="AJ102" s="398"/>
      <c r="AK102" s="398"/>
      <c r="AL102" s="396" t="s">
        <v>429</v>
      </c>
      <c r="AM102" s="398"/>
      <c r="AN102" s="398"/>
      <c r="AO102" s="398"/>
      <c r="AP102" s="397"/>
    </row>
    <row r="103" spans="1:42" ht="19.5" hidden="1" thickBot="1" x14ac:dyDescent="0.35">
      <c r="A103" s="669" t="s">
        <v>14</v>
      </c>
      <c r="B103" s="544" t="s">
        <v>939</v>
      </c>
      <c r="C103" s="1046" t="s">
        <v>429</v>
      </c>
      <c r="D103" s="812" t="s">
        <v>1062</v>
      </c>
      <c r="E103" s="671">
        <v>50200</v>
      </c>
      <c r="F103" s="616">
        <f>'exchange rates'!O22</f>
        <v>0.83301000000000003</v>
      </c>
      <c r="G103" s="549">
        <f>16.43/F103</f>
        <v>19.723652777277582</v>
      </c>
      <c r="H103" s="550">
        <f>169.4/F103</f>
        <v>203.35890325446272</v>
      </c>
      <c r="I103" s="551">
        <v>0</v>
      </c>
      <c r="J103" s="560">
        <f>13/F103</f>
        <v>15.606055149397966</v>
      </c>
      <c r="K103" s="566">
        <f>Tabel668921274[[#This Row],[Fix.ch. 2017]]+Tabel668921274[[#This Row],[Var. ch. 2017]]+Tabel668921274[[#This Row],[Oth. ch. DW 2017]]+Tabel668921274[[#This Row],[VAT DW 2017]]</f>
        <v>238.68861118113827</v>
      </c>
      <c r="L103" s="567">
        <v>0</v>
      </c>
      <c r="M103" s="560">
        <v>0</v>
      </c>
      <c r="N103" s="568">
        <f>221/F103</f>
        <v>265.30293753976542</v>
      </c>
      <c r="O103" s="560">
        <v>0</v>
      </c>
      <c r="P103" s="569">
        <v>0</v>
      </c>
      <c r="Q103" s="560">
        <v>0</v>
      </c>
      <c r="R103" s="570">
        <f>Tabel668921274[[#This Row],[VAT DW 2017]]+Tabel668921274[[#This Row],[VAT Sew. 2017]]+Tabel668921274[[#This Row],[VAT WW 2017]]+Tabel668921274[[#This Row],[VAT Other ch. 2017]]</f>
        <v>15.606055149397966</v>
      </c>
      <c r="S103" s="571">
        <f>Tabel668921274[[#This Row],[Total. ch. DW 2017]]+Tabel668921274[[#This Row],[Sew. 2017]]+Tabel668921274[[#This Row],[VAT Sew. 2017]]+Tabel668921274[[#This Row],[WW 2017]]+Tabel668921274[[#This Row],[VAT WW 2017]]+Tabel668921274[[#This Row],[Other ch. 2017]]+Tabel668921274[[#This Row],[VAT Other ch. 2017]]</f>
        <v>503.99154872090367</v>
      </c>
      <c r="T103" s="397"/>
      <c r="U103" s="672">
        <f>Tabel668921274[[#This Row],[Fix.ch. 2017]]</f>
        <v>19.723652777277582</v>
      </c>
      <c r="V103" s="673">
        <f>Tabel668921274[[#This Row],[Var. ch. 2017]]</f>
        <v>203.35890325446272</v>
      </c>
      <c r="W103" s="674">
        <f>Tabel668921274[[#This Row],[Oth. ch. DW 2017]]</f>
        <v>0</v>
      </c>
      <c r="X103" s="675">
        <f>Tabel668921274[[#This Row],[VAT DW 2017]]</f>
        <v>15.606055149397966</v>
      </c>
      <c r="Y103" s="676">
        <f>Tabel668921274[[#This Row],[Total. ch. DW 2017]]</f>
        <v>238.68861118113827</v>
      </c>
      <c r="Z103" s="677">
        <f>Tabel668921274[[#This Row],[Sew. 2017]]</f>
        <v>0</v>
      </c>
      <c r="AA103" s="675">
        <f>Tabel668921274[[#This Row],[VAT Sew. 2017]]</f>
        <v>0</v>
      </c>
      <c r="AB103" s="678">
        <f>Tabel668921274[[#This Row],[WW 2017]]</f>
        <v>265.30293753976542</v>
      </c>
      <c r="AC103" s="675">
        <f>Tabel668921274[[#This Row],[VAT WW 2017]]</f>
        <v>0</v>
      </c>
      <c r="AD103" s="679">
        <f>Tabel668921274[[#This Row],[Other ch. 2017]]</f>
        <v>0</v>
      </c>
      <c r="AE103" s="675">
        <f>Tabel668921274[[#This Row],[VAT Other ch. 2017]]</f>
        <v>0</v>
      </c>
      <c r="AF103" s="680">
        <f>Tabel668921274[[#This Row],[Total VAT 2017]]</f>
        <v>15.606055149397966</v>
      </c>
      <c r="AG103" s="681">
        <f>Tabel668921274[[#This Row],[total charge 2017]]</f>
        <v>503.99154872090367</v>
      </c>
      <c r="AH103" s="397"/>
      <c r="AI103" s="398"/>
      <c r="AJ103" s="398"/>
      <c r="AK103" s="591" t="s">
        <v>429</v>
      </c>
      <c r="AL103" s="591"/>
      <c r="AM103" s="591" t="s">
        <v>429</v>
      </c>
      <c r="AN103" s="398"/>
      <c r="AO103" s="398"/>
      <c r="AP103" s="397"/>
    </row>
    <row r="104" spans="1:42" ht="15.6" hidden="1" customHeight="1" x14ac:dyDescent="0.25">
      <c r="A104" s="2004" t="s">
        <v>35</v>
      </c>
      <c r="B104" s="501" t="s">
        <v>712</v>
      </c>
      <c r="C104" s="457"/>
      <c r="D104" s="457" t="s">
        <v>1064</v>
      </c>
      <c r="E104" s="2007">
        <v>25600</v>
      </c>
      <c r="F104" s="306">
        <f>'exchange rates'!$M$23</f>
        <v>0.92093999999999998</v>
      </c>
      <c r="G104" s="319">
        <f>79.5/F104</f>
        <v>86.324842009251412</v>
      </c>
      <c r="H104" s="320">
        <f>74.92/F104</f>
        <v>81.351662431863105</v>
      </c>
      <c r="I104" s="321">
        <f>59.93/F104</f>
        <v>65.074814863074693</v>
      </c>
      <c r="J104" s="559"/>
      <c r="K104" s="313">
        <f>Tabel668921274[[#This Row],[Fix.ch. 2017]]+Tabel668921274[[#This Row],[Var. ch. 2017]]+Tabel668921274[[#This Row],[Oth. ch. DW 2017]]+Tabel668921274[[#This Row],[VAT DW 2017]]</f>
        <v>232.7513193041892</v>
      </c>
      <c r="L104" s="322">
        <f>67.42/F104</f>
        <v>73.207809412122401</v>
      </c>
      <c r="M104" s="559"/>
      <c r="N104" s="323">
        <v>0</v>
      </c>
      <c r="O104" s="559"/>
      <c r="P104" s="324">
        <f>13.25/F104</f>
        <v>14.387473668208569</v>
      </c>
      <c r="Q104" s="559"/>
      <c r="R104" s="317">
        <f>Tabel668921274[[#This Row],[VAT DW 2017]]+Tabel668921274[[#This Row],[VAT Sew. 2017]]+Tabel668921274[[#This Row],[VAT WW 2017]]+Tabel668921274[[#This Row],[VAT Other ch. 2017]]</f>
        <v>0</v>
      </c>
      <c r="S104" s="318">
        <f>Tabel668921274[[#This Row],[Total. ch. DW 2017]]+Tabel668921274[[#This Row],[Sew. 2017]]+Tabel668921274[[#This Row],[VAT Sew. 2017]]+Tabel668921274[[#This Row],[WW 2017]]+Tabel668921274[[#This Row],[VAT WW 2017]]+Tabel668921274[[#This Row],[Other ch. 2017]]+Tabel668921274[[#This Row],[VAT Other ch. 2017]]</f>
        <v>320.34660238452017</v>
      </c>
      <c r="T104" s="397"/>
      <c r="U104" s="2009">
        <f>MEDIAN(G104:G108)</f>
        <v>52.989336981779488</v>
      </c>
      <c r="V104" s="2012">
        <f>MEDIAN(H104:H108)</f>
        <v>143.98332138901557</v>
      </c>
      <c r="W104" s="2014">
        <f>MEDIAN(I104:I108)</f>
        <v>0</v>
      </c>
      <c r="X104" s="575"/>
      <c r="Y104" s="2016">
        <f>SUM(U104:W108)</f>
        <v>196.97265837079505</v>
      </c>
      <c r="Z104" s="2018">
        <f>MEDIAN(L104:L108)</f>
        <v>115.18665711121245</v>
      </c>
      <c r="AA104" s="575"/>
      <c r="AB104" s="2020">
        <f>MEDIAN(N104:N108)</f>
        <v>0</v>
      </c>
      <c r="AC104" s="575"/>
      <c r="AD104" s="2029">
        <f>MEDIAN(P104:P108)</f>
        <v>13.03016483158512</v>
      </c>
      <c r="AE104" s="575"/>
      <c r="AF104" s="1992">
        <f>MEDIAN(R104:R108)</f>
        <v>0</v>
      </c>
      <c r="AG104" s="1994">
        <f>SUM(Y104:AF108)</f>
        <v>325.18948031359264</v>
      </c>
      <c r="AH104" s="397"/>
      <c r="AI104" s="398"/>
      <c r="AJ104" s="398"/>
      <c r="AK104" s="396" t="s">
        <v>429</v>
      </c>
      <c r="AL104" s="396" t="s">
        <v>429</v>
      </c>
      <c r="AM104" s="396" t="s">
        <v>429</v>
      </c>
      <c r="AN104" s="396" t="s">
        <v>429</v>
      </c>
      <c r="AO104" s="398"/>
      <c r="AP104" s="397"/>
    </row>
    <row r="105" spans="1:42" ht="15.6" hidden="1" customHeight="1" x14ac:dyDescent="0.25">
      <c r="A105" s="2005"/>
      <c r="B105" s="457" t="s">
        <v>713</v>
      </c>
      <c r="C105" s="457"/>
      <c r="D105" s="457" t="s">
        <v>1064</v>
      </c>
      <c r="E105" s="1837"/>
      <c r="F105" s="306">
        <f>'exchange rates'!$M$23</f>
        <v>0.92093999999999998</v>
      </c>
      <c r="G105" s="319">
        <f>51/F105</f>
        <v>55.378200534236761</v>
      </c>
      <c r="H105" s="320">
        <f>170/F105</f>
        <v>184.5940017807892</v>
      </c>
      <c r="I105" s="321">
        <f>0/F105</f>
        <v>0</v>
      </c>
      <c r="J105" s="559"/>
      <c r="K105" s="313">
        <f>Tabel668921274[[#This Row],[Fix.ch. 2017]]+Tabel668921274[[#This Row],[Var. ch. 2017]]+Tabel668921274[[#This Row],[Oth. ch. DW 2017]]+Tabel668921274[[#This Row],[VAT DW 2017]]</f>
        <v>239.97220231502595</v>
      </c>
      <c r="L105" s="322">
        <f>93.5/F105</f>
        <v>101.52670097943405</v>
      </c>
      <c r="M105" s="559"/>
      <c r="N105" s="323">
        <v>0</v>
      </c>
      <c r="O105" s="559"/>
      <c r="P105" s="324">
        <f>12/F105</f>
        <v>13.03016483158512</v>
      </c>
      <c r="Q105" s="559"/>
      <c r="R105" s="317">
        <f>Tabel668921274[[#This Row],[VAT DW 2017]]+Tabel668921274[[#This Row],[VAT Sew. 2017]]+Tabel668921274[[#This Row],[VAT WW 2017]]+Tabel668921274[[#This Row],[VAT Other ch. 2017]]</f>
        <v>0</v>
      </c>
      <c r="S105" s="318">
        <f>Tabel668921274[[#This Row],[Total. ch. DW 2017]]+Tabel668921274[[#This Row],[Sew. 2017]]+Tabel668921274[[#This Row],[VAT Sew. 2017]]+Tabel668921274[[#This Row],[WW 2017]]+Tabel668921274[[#This Row],[VAT WW 2017]]+Tabel668921274[[#This Row],[Other ch. 2017]]+Tabel668921274[[#This Row],[VAT Other ch. 2017]]</f>
        <v>354.5290681260451</v>
      </c>
      <c r="T105" s="397"/>
      <c r="U105" s="2010"/>
      <c r="V105" s="1843"/>
      <c r="W105" s="1846"/>
      <c r="X105" s="576"/>
      <c r="Y105" s="1849"/>
      <c r="Z105" s="1852"/>
      <c r="AA105" s="576"/>
      <c r="AB105" s="1855"/>
      <c r="AC105" s="576"/>
      <c r="AD105" s="1858"/>
      <c r="AE105" s="576"/>
      <c r="AF105" s="1873"/>
      <c r="AG105" s="1876"/>
      <c r="AH105" s="397"/>
      <c r="AI105" s="398"/>
      <c r="AJ105" s="398"/>
      <c r="AK105" s="396" t="s">
        <v>429</v>
      </c>
      <c r="AL105" s="396" t="s">
        <v>429</v>
      </c>
      <c r="AM105" s="396" t="s">
        <v>429</v>
      </c>
      <c r="AN105" s="396" t="s">
        <v>429</v>
      </c>
      <c r="AO105" s="398"/>
      <c r="AP105" s="397"/>
    </row>
    <row r="106" spans="1:42" ht="15.6" hidden="1" customHeight="1" x14ac:dyDescent="0.25">
      <c r="A106" s="2005"/>
      <c r="B106" s="457" t="s">
        <v>714</v>
      </c>
      <c r="C106" s="457"/>
      <c r="D106" s="457" t="s">
        <v>1064</v>
      </c>
      <c r="E106" s="1837"/>
      <c r="F106" s="306">
        <f>'exchange rates'!$M$23</f>
        <v>0.92093999999999998</v>
      </c>
      <c r="G106" s="319">
        <f>48.8/F106</f>
        <v>52.989336981779488</v>
      </c>
      <c r="H106" s="320">
        <f>100/F106</f>
        <v>108.58470692987599</v>
      </c>
      <c r="I106" s="321">
        <f>80/F106</f>
        <v>86.867765543900802</v>
      </c>
      <c r="J106" s="559"/>
      <c r="K106" s="313">
        <f>Tabel668921274[[#This Row],[Fix.ch. 2017]]+Tabel668921274[[#This Row],[Var. ch. 2017]]+Tabel668921274[[#This Row],[Oth. ch. DW 2017]]+Tabel668921274[[#This Row],[VAT DW 2017]]</f>
        <v>248.44180945555627</v>
      </c>
      <c r="L106" s="322">
        <f>118/F106</f>
        <v>128.12995417725367</v>
      </c>
      <c r="M106" s="559"/>
      <c r="N106" s="323">
        <v>0</v>
      </c>
      <c r="O106" s="559"/>
      <c r="P106" s="324">
        <f>0/F106</f>
        <v>0</v>
      </c>
      <c r="Q106" s="559"/>
      <c r="R106" s="317">
        <f>Tabel668921274[[#This Row],[VAT DW 2017]]+Tabel668921274[[#This Row],[VAT Sew. 2017]]+Tabel668921274[[#This Row],[VAT WW 2017]]+Tabel668921274[[#This Row],[VAT Other ch. 2017]]</f>
        <v>0</v>
      </c>
      <c r="S106" s="318">
        <f>Tabel668921274[[#This Row],[Total. ch. DW 2017]]+Tabel668921274[[#This Row],[Sew. 2017]]+Tabel668921274[[#This Row],[VAT Sew. 2017]]+Tabel668921274[[#This Row],[WW 2017]]+Tabel668921274[[#This Row],[VAT WW 2017]]+Tabel668921274[[#This Row],[Other ch. 2017]]+Tabel668921274[[#This Row],[VAT Other ch. 2017]]</f>
        <v>376.57176363280996</v>
      </c>
      <c r="T106" s="397"/>
      <c r="U106" s="2010"/>
      <c r="V106" s="1843"/>
      <c r="W106" s="1846"/>
      <c r="X106" s="576"/>
      <c r="Y106" s="1849"/>
      <c r="Z106" s="1852"/>
      <c r="AA106" s="576"/>
      <c r="AB106" s="1855"/>
      <c r="AC106" s="576"/>
      <c r="AD106" s="1858"/>
      <c r="AE106" s="576"/>
      <c r="AF106" s="1873"/>
      <c r="AG106" s="1876"/>
      <c r="AH106" s="397"/>
      <c r="AI106" s="398"/>
      <c r="AJ106" s="398"/>
      <c r="AK106" s="396" t="s">
        <v>429</v>
      </c>
      <c r="AL106" s="396" t="s">
        <v>429</v>
      </c>
      <c r="AM106" s="396" t="s">
        <v>429</v>
      </c>
      <c r="AN106" s="396" t="s">
        <v>429</v>
      </c>
      <c r="AO106" s="398"/>
      <c r="AP106" s="397"/>
    </row>
    <row r="107" spans="1:42" ht="15.6" hidden="1" customHeight="1" x14ac:dyDescent="0.25">
      <c r="A107" s="2005"/>
      <c r="B107" s="457" t="s">
        <v>715</v>
      </c>
      <c r="C107" s="457" t="s">
        <v>429</v>
      </c>
      <c r="D107" s="457" t="s">
        <v>1064</v>
      </c>
      <c r="E107" s="1837"/>
      <c r="F107" s="306">
        <f>'exchange rates'!$M$23</f>
        <v>0.92093999999999998</v>
      </c>
      <c r="G107" s="319">
        <f>12/F107</f>
        <v>13.03016483158512</v>
      </c>
      <c r="H107" s="320">
        <f>437.92/F107</f>
        <v>475.514148587313</v>
      </c>
      <c r="I107" s="321">
        <f>0/F107</f>
        <v>0</v>
      </c>
      <c r="J107" s="559"/>
      <c r="K107" s="313">
        <f>Tabel668921274[[#This Row],[Fix.ch. 2017]]+Tabel668921274[[#This Row],[Var. ch. 2017]]+Tabel668921274[[#This Row],[Oth. ch. DW 2017]]+Tabel668921274[[#This Row],[VAT DW 2017]]</f>
        <v>488.54431341889813</v>
      </c>
      <c r="L107" s="322">
        <f>328.44/F107</f>
        <v>356.63561144048475</v>
      </c>
      <c r="M107" s="559"/>
      <c r="N107" s="323">
        <v>0</v>
      </c>
      <c r="O107" s="559"/>
      <c r="P107" s="324">
        <f>0/F107</f>
        <v>0</v>
      </c>
      <c r="Q107" s="559"/>
      <c r="R107" s="317">
        <f>Tabel668921274[[#This Row],[VAT DW 2017]]+Tabel668921274[[#This Row],[VAT Sew. 2017]]+Tabel668921274[[#This Row],[VAT WW 2017]]+Tabel668921274[[#This Row],[VAT Other ch. 2017]]</f>
        <v>0</v>
      </c>
      <c r="S107" s="318">
        <f>Tabel668921274[[#This Row],[Total. ch. DW 2017]]+Tabel668921274[[#This Row],[Sew. 2017]]+Tabel668921274[[#This Row],[VAT Sew. 2017]]+Tabel668921274[[#This Row],[WW 2017]]+Tabel668921274[[#This Row],[VAT WW 2017]]+Tabel668921274[[#This Row],[Other ch. 2017]]+Tabel668921274[[#This Row],[VAT Other ch. 2017]]</f>
        <v>845.17992485938294</v>
      </c>
      <c r="T107" s="397"/>
      <c r="U107" s="2010"/>
      <c r="V107" s="1843"/>
      <c r="W107" s="1846"/>
      <c r="X107" s="576"/>
      <c r="Y107" s="1849"/>
      <c r="Z107" s="1852"/>
      <c r="AA107" s="576"/>
      <c r="AB107" s="1855"/>
      <c r="AC107" s="576"/>
      <c r="AD107" s="1858"/>
      <c r="AE107" s="576"/>
      <c r="AF107" s="1873"/>
      <c r="AG107" s="1876"/>
      <c r="AH107" s="397"/>
      <c r="AI107" s="398"/>
      <c r="AJ107" s="398"/>
      <c r="AK107" s="396" t="s">
        <v>429</v>
      </c>
      <c r="AL107" s="396" t="s">
        <v>429</v>
      </c>
      <c r="AM107" s="396" t="s">
        <v>429</v>
      </c>
      <c r="AN107" s="396" t="s">
        <v>429</v>
      </c>
      <c r="AO107" s="398"/>
      <c r="AP107" s="397"/>
    </row>
    <row r="108" spans="1:42" ht="16.149999999999999" hidden="1" customHeight="1" thickBot="1" x14ac:dyDescent="0.3">
      <c r="A108" s="2006"/>
      <c r="B108" s="268" t="s">
        <v>716</v>
      </c>
      <c r="C108" s="457"/>
      <c r="D108" s="800" t="s">
        <v>1064</v>
      </c>
      <c r="E108" s="2008"/>
      <c r="F108" s="306">
        <f>'exchange rates'!$M$23</f>
        <v>0.92093999999999998</v>
      </c>
      <c r="G108" s="319">
        <f>24/F108</f>
        <v>26.06032966317024</v>
      </c>
      <c r="H108" s="320">
        <f>132.6/F108</f>
        <v>143.98332138901557</v>
      </c>
      <c r="I108" s="321">
        <f>0/F108</f>
        <v>0</v>
      </c>
      <c r="J108" s="559"/>
      <c r="K108" s="313">
        <f>Tabel668921274[[#This Row],[Fix.ch. 2017]]+Tabel668921274[[#This Row],[Var. ch. 2017]]+Tabel668921274[[#This Row],[Oth. ch. DW 2017]]+Tabel668921274[[#This Row],[VAT DW 2017]]</f>
        <v>170.04365105218582</v>
      </c>
      <c r="L108" s="322">
        <f>106.08/F108</f>
        <v>115.18665711121245</v>
      </c>
      <c r="M108" s="559"/>
      <c r="N108" s="323">
        <v>0</v>
      </c>
      <c r="O108" s="559"/>
      <c r="P108" s="324">
        <f>14/F108</f>
        <v>15.20185897018264</v>
      </c>
      <c r="Q108" s="559"/>
      <c r="R108" s="317">
        <f>Tabel668921274[[#This Row],[VAT DW 2017]]+Tabel668921274[[#This Row],[VAT Sew. 2017]]+Tabel668921274[[#This Row],[VAT WW 2017]]+Tabel668921274[[#This Row],[VAT Other ch. 2017]]</f>
        <v>0</v>
      </c>
      <c r="S108" s="318">
        <f>Tabel668921274[[#This Row],[Total. ch. DW 2017]]+Tabel668921274[[#This Row],[Sew. 2017]]+Tabel668921274[[#This Row],[VAT Sew. 2017]]+Tabel668921274[[#This Row],[WW 2017]]+Tabel668921274[[#This Row],[VAT WW 2017]]+Tabel668921274[[#This Row],[Other ch. 2017]]+Tabel668921274[[#This Row],[VAT Other ch. 2017]]</f>
        <v>300.43216713358089</v>
      </c>
      <c r="T108" s="397"/>
      <c r="U108" s="2011"/>
      <c r="V108" s="2013"/>
      <c r="W108" s="2015"/>
      <c r="X108" s="577"/>
      <c r="Y108" s="2017"/>
      <c r="Z108" s="2019"/>
      <c r="AA108" s="577"/>
      <c r="AB108" s="2021"/>
      <c r="AC108" s="577"/>
      <c r="AD108" s="2030"/>
      <c r="AE108" s="577"/>
      <c r="AF108" s="1993"/>
      <c r="AG108" s="1995"/>
      <c r="AH108" s="397"/>
      <c r="AI108" s="398"/>
      <c r="AJ108" s="398"/>
      <c r="AK108" s="396" t="s">
        <v>429</v>
      </c>
      <c r="AL108" s="396" t="s">
        <v>429</v>
      </c>
      <c r="AM108" s="396" t="s">
        <v>429</v>
      </c>
      <c r="AN108" s="396" t="s">
        <v>429</v>
      </c>
      <c r="AO108" s="398"/>
      <c r="AP108" s="397"/>
    </row>
    <row r="109" spans="1:42" ht="15.75" hidden="1" customHeight="1" x14ac:dyDescent="0.25">
      <c r="A109" s="1818" t="s">
        <v>45</v>
      </c>
      <c r="B109" s="546" t="s">
        <v>102</v>
      </c>
      <c r="C109" s="1046" t="s">
        <v>429</v>
      </c>
      <c r="D109" s="802" t="s">
        <v>1066</v>
      </c>
      <c r="E109" s="1983">
        <v>28900</v>
      </c>
      <c r="F109" s="616">
        <f>'exchange rates'!$O$24</f>
        <v>258.86743000000001</v>
      </c>
      <c r="G109" s="549">
        <f>1700/F109</f>
        <v>6.5670679389832856</v>
      </c>
      <c r="H109" s="550">
        <f>17240/F109</f>
        <v>66.597794863571664</v>
      </c>
      <c r="I109" s="551">
        <v>0</v>
      </c>
      <c r="J109" s="560">
        <f>5113.8/F109</f>
        <v>19.75451295668984</v>
      </c>
      <c r="K109" s="566">
        <f>Tabel668921274[[#This Row],[Fix.ch. 2017]]+Tabel668921274[[#This Row],[Var. ch. 2017]]+Tabel668921274[[#This Row],[Oth. ch. DW 2017]]+Tabel668921274[[#This Row],[VAT DW 2017]]</f>
        <v>92.919375759244787</v>
      </c>
      <c r="L109" s="567">
        <f>457/F109</f>
        <v>1.7653823812443303</v>
      </c>
      <c r="M109" s="560">
        <f>123.39/F109</f>
        <v>0.47665324293596917</v>
      </c>
      <c r="N109" s="568">
        <f>29566/F109</f>
        <v>114.21290040234106</v>
      </c>
      <c r="O109" s="560">
        <f>7982.82/F109</f>
        <v>30.837483108632089</v>
      </c>
      <c r="P109" s="569">
        <v>0</v>
      </c>
      <c r="Q109" s="560">
        <f>0</f>
        <v>0</v>
      </c>
      <c r="R109" s="570">
        <f>Tabel668921274[[#This Row],[VAT DW 2017]]+Tabel668921274[[#This Row],[VAT Sew. 2017]]+Tabel668921274[[#This Row],[VAT WW 2017]]+Tabel668921274[[#This Row],[VAT Other ch. 2017]]</f>
        <v>51.068649308257903</v>
      </c>
      <c r="S109" s="571">
        <f>Tabel668921274[[#This Row],[Total. ch. DW 2017]]+Tabel668921274[[#This Row],[Sew. 2017]]+Tabel668921274[[#This Row],[VAT Sew. 2017]]+Tabel668921274[[#This Row],[WW 2017]]+Tabel668921274[[#This Row],[VAT WW 2017]]+Tabel668921274[[#This Row],[Other ch. 2017]]+Tabel668921274[[#This Row],[VAT Other ch. 2017]]</f>
        <v>240.21179489439825</v>
      </c>
      <c r="T109" s="397"/>
      <c r="U109" s="1824">
        <f>MEDIAN(G109:G113)</f>
        <v>0</v>
      </c>
      <c r="V109" s="1825">
        <f>MEDIAN(H109:H113)</f>
        <v>94.604408132765101</v>
      </c>
      <c r="W109" s="1826">
        <f>MEDIAN(I109:I113)</f>
        <v>0</v>
      </c>
      <c r="X109" s="1938">
        <f>MEDIAN(J109:J113)</f>
        <v>25.983338267004079</v>
      </c>
      <c r="Y109" s="1827">
        <f>SUM(U109:X113)</f>
        <v>120.58774639976917</v>
      </c>
      <c r="Z109" s="1828">
        <f t="shared" ref="Z109:AF109" si="16">MEDIAN(L109:L113)</f>
        <v>1.6494929470269781</v>
      </c>
      <c r="AA109" s="1938">
        <f t="shared" si="16"/>
        <v>0.44536309569728411</v>
      </c>
      <c r="AB109" s="1829">
        <f t="shared" si="16"/>
        <v>75.212242807061514</v>
      </c>
      <c r="AC109" s="1938">
        <f t="shared" si="16"/>
        <v>20.307305557906606</v>
      </c>
      <c r="AD109" s="1830">
        <f t="shared" si="16"/>
        <v>0</v>
      </c>
      <c r="AE109" s="1938">
        <f t="shared" si="16"/>
        <v>0</v>
      </c>
      <c r="AF109" s="1816">
        <f t="shared" si="16"/>
        <v>48.863736932838549</v>
      </c>
      <c r="AG109" s="1817">
        <f>Y109+Z109+AA109+AB109+AC109+AD109+AE109</f>
        <v>218.20215080746155</v>
      </c>
      <c r="AH109" s="397"/>
      <c r="AI109" s="398"/>
      <c r="AJ109" s="398"/>
      <c r="AK109" s="398"/>
      <c r="AL109" s="398"/>
      <c r="AM109" s="591" t="s">
        <v>429</v>
      </c>
      <c r="AN109" s="398"/>
      <c r="AO109" s="398"/>
      <c r="AP109" s="397"/>
    </row>
    <row r="110" spans="1:42" ht="15.75" hidden="1" customHeight="1" x14ac:dyDescent="0.25">
      <c r="A110" s="1819"/>
      <c r="B110" s="547" t="s">
        <v>103</v>
      </c>
      <c r="C110" s="1046"/>
      <c r="D110" s="802" t="s">
        <v>1066</v>
      </c>
      <c r="E110" s="1760"/>
      <c r="F110" s="616">
        <f>'exchange rates'!$O$24</f>
        <v>258.86743000000001</v>
      </c>
      <c r="G110" s="549">
        <f>1231/F110</f>
        <v>4.7553297840520141</v>
      </c>
      <c r="H110" s="550">
        <f>24490/F110</f>
        <v>94.604408132765101</v>
      </c>
      <c r="I110" s="551">
        <v>0</v>
      </c>
      <c r="J110" s="560">
        <f>6944.67/F110</f>
        <v>26.827129237540621</v>
      </c>
      <c r="K110" s="566">
        <f>Tabel668921274[[#This Row],[Fix.ch. 2017]]+Tabel668921274[[#This Row],[Var. ch. 2017]]+Tabel668921274[[#This Row],[Oth. ch. DW 2017]]+Tabel668921274[[#This Row],[VAT DW 2017]]</f>
        <v>126.18686715435773</v>
      </c>
      <c r="L110" s="567">
        <f>427/F110</f>
        <v>1.6494929470269781</v>
      </c>
      <c r="M110" s="560">
        <f>115.29/F110</f>
        <v>0.44536309569728411</v>
      </c>
      <c r="N110" s="568">
        <f>19470/F110</f>
        <v>75.212242807061514</v>
      </c>
      <c r="O110" s="560">
        <f>5256.9/F110</f>
        <v>20.307305557906606</v>
      </c>
      <c r="P110" s="569">
        <f>1231/F110</f>
        <v>4.7553297840520141</v>
      </c>
      <c r="Q110" s="560">
        <f>332.37/F110</f>
        <v>1.2839390416940439</v>
      </c>
      <c r="R110" s="570">
        <f>Tabel668921274[[#This Row],[VAT DW 2017]]+Tabel668921274[[#This Row],[VAT Sew. 2017]]+Tabel668921274[[#This Row],[VAT WW 2017]]+Tabel668921274[[#This Row],[VAT Other ch. 2017]]</f>
        <v>48.863736932838549</v>
      </c>
      <c r="S110" s="571">
        <f>Tabel668921274[[#This Row],[Total. ch. DW 2017]]+Tabel668921274[[#This Row],[Sew. 2017]]+Tabel668921274[[#This Row],[VAT Sew. 2017]]+Tabel668921274[[#This Row],[WW 2017]]+Tabel668921274[[#This Row],[VAT WW 2017]]+Tabel668921274[[#This Row],[Other ch. 2017]]+Tabel668921274[[#This Row],[VAT Other ch. 2017]]</f>
        <v>229.84054038779615</v>
      </c>
      <c r="T110" s="397"/>
      <c r="U110" s="1763"/>
      <c r="V110" s="1766"/>
      <c r="W110" s="1769"/>
      <c r="X110" s="1772"/>
      <c r="Y110" s="1775"/>
      <c r="Z110" s="1778"/>
      <c r="AA110" s="1772"/>
      <c r="AB110" s="1781"/>
      <c r="AC110" s="1772"/>
      <c r="AD110" s="1785"/>
      <c r="AE110" s="1772"/>
      <c r="AF110" s="1788"/>
      <c r="AG110" s="1791"/>
      <c r="AH110" s="397"/>
      <c r="AI110" s="398"/>
      <c r="AJ110" s="398"/>
      <c r="AK110" s="398"/>
      <c r="AL110" s="398"/>
      <c r="AM110" s="591" t="s">
        <v>429</v>
      </c>
      <c r="AN110" s="398"/>
      <c r="AO110" s="398"/>
      <c r="AP110" s="397"/>
    </row>
    <row r="111" spans="1:42" ht="15.75" hidden="1" customHeight="1" x14ac:dyDescent="0.25">
      <c r="A111" s="1819"/>
      <c r="B111" s="547" t="s">
        <v>104</v>
      </c>
      <c r="C111" s="1046"/>
      <c r="D111" s="802" t="s">
        <v>1066</v>
      </c>
      <c r="E111" s="1760"/>
      <c r="F111" s="616">
        <f>'exchange rates'!$O$24</f>
        <v>258.86743000000001</v>
      </c>
      <c r="G111" s="549">
        <v>0</v>
      </c>
      <c r="H111" s="550">
        <f>24912/F111</f>
        <v>96.234586174089173</v>
      </c>
      <c r="I111" s="551">
        <v>0</v>
      </c>
      <c r="J111" s="560">
        <f>6726.24/F111</f>
        <v>25.983338267004079</v>
      </c>
      <c r="K111" s="566">
        <f>Tabel668921274[[#This Row],[Fix.ch. 2017]]+Tabel668921274[[#This Row],[Var. ch. 2017]]+Tabel668921274[[#This Row],[Oth. ch. DW 2017]]+Tabel668921274[[#This Row],[VAT DW 2017]]</f>
        <v>122.21792444109326</v>
      </c>
      <c r="L111" s="567">
        <v>0</v>
      </c>
      <c r="M111" s="560">
        <v>0</v>
      </c>
      <c r="N111" s="568">
        <f>19161/F111</f>
        <v>74.018581634622777</v>
      </c>
      <c r="O111" s="560">
        <f>5173.47/F111</f>
        <v>19.985017041348154</v>
      </c>
      <c r="P111" s="569">
        <v>0</v>
      </c>
      <c r="Q111" s="560">
        <v>0</v>
      </c>
      <c r="R111" s="570">
        <f>Tabel668921274[[#This Row],[VAT DW 2017]]+Tabel668921274[[#This Row],[VAT Sew. 2017]]+Tabel668921274[[#This Row],[VAT WW 2017]]+Tabel668921274[[#This Row],[VAT Other ch. 2017]]</f>
        <v>45.96835530835223</v>
      </c>
      <c r="S111" s="571">
        <f>Tabel668921274[[#This Row],[Total. ch. DW 2017]]+Tabel668921274[[#This Row],[Sew. 2017]]+Tabel668921274[[#This Row],[VAT Sew. 2017]]+Tabel668921274[[#This Row],[WW 2017]]+Tabel668921274[[#This Row],[VAT WW 2017]]+Tabel668921274[[#This Row],[Other ch. 2017]]+Tabel668921274[[#This Row],[VAT Other ch. 2017]]</f>
        <v>216.22152311706418</v>
      </c>
      <c r="T111" s="397"/>
      <c r="U111" s="1763"/>
      <c r="V111" s="1766"/>
      <c r="W111" s="1769"/>
      <c r="X111" s="1772"/>
      <c r="Y111" s="1775"/>
      <c r="Z111" s="1778"/>
      <c r="AA111" s="1772"/>
      <c r="AB111" s="1781"/>
      <c r="AC111" s="1772"/>
      <c r="AD111" s="1785"/>
      <c r="AE111" s="1772"/>
      <c r="AF111" s="1788"/>
      <c r="AG111" s="1791"/>
      <c r="AH111" s="397"/>
      <c r="AI111" s="398"/>
      <c r="AJ111" s="398"/>
      <c r="AK111" s="398"/>
      <c r="AL111" s="398"/>
      <c r="AM111" s="398"/>
      <c r="AN111" s="398"/>
      <c r="AO111" s="398"/>
      <c r="AP111" s="397"/>
    </row>
    <row r="112" spans="1:42" ht="16.5" hidden="1" customHeight="1" x14ac:dyDescent="0.25">
      <c r="A112" s="1819"/>
      <c r="B112" s="543" t="s">
        <v>105</v>
      </c>
      <c r="C112" s="1046"/>
      <c r="D112" s="802" t="s">
        <v>1066</v>
      </c>
      <c r="E112" s="1760"/>
      <c r="F112" s="616">
        <f>'exchange rates'!$O$24</f>
        <v>258.86743000000001</v>
      </c>
      <c r="G112" s="549">
        <v>0</v>
      </c>
      <c r="H112" s="550">
        <f>34000/F112</f>
        <v>131.34135877966571</v>
      </c>
      <c r="I112" s="551">
        <v>0</v>
      </c>
      <c r="J112" s="560">
        <f>9180/F112</f>
        <v>35.462166870509741</v>
      </c>
      <c r="K112" s="566">
        <f>Tabel668921274[[#This Row],[Fix.ch. 2017]]+Tabel668921274[[#This Row],[Var. ch. 2017]]+Tabel668921274[[#This Row],[Oth. ch. DW 2017]]+Tabel668921274[[#This Row],[VAT DW 2017]]</f>
        <v>166.80352565017546</v>
      </c>
      <c r="L112" s="567">
        <f>400/F112</f>
        <v>1.5451924562313613</v>
      </c>
      <c r="M112" s="560">
        <f>108/F112</f>
        <v>0.41720196318246755</v>
      </c>
      <c r="N112" s="568">
        <f>24800/F112</f>
        <v>95.801932286344396</v>
      </c>
      <c r="O112" s="560">
        <f>6696/F112</f>
        <v>25.866521717312988</v>
      </c>
      <c r="P112" s="569">
        <v>0</v>
      </c>
      <c r="Q112" s="560">
        <v>0</v>
      </c>
      <c r="R112" s="570">
        <f>Tabel668921274[[#This Row],[VAT DW 2017]]+Tabel668921274[[#This Row],[VAT Sew. 2017]]+Tabel668921274[[#This Row],[VAT WW 2017]]+Tabel668921274[[#This Row],[VAT Other ch. 2017]]</f>
        <v>61.745890551005203</v>
      </c>
      <c r="S112" s="571">
        <f>Tabel668921274[[#This Row],[Total. ch. DW 2017]]+Tabel668921274[[#This Row],[Sew. 2017]]+Tabel668921274[[#This Row],[VAT Sew. 2017]]+Tabel668921274[[#This Row],[WW 2017]]+Tabel668921274[[#This Row],[VAT WW 2017]]+Tabel668921274[[#This Row],[Other ch. 2017]]+Tabel668921274[[#This Row],[VAT Other ch. 2017]]</f>
        <v>290.43437407324666</v>
      </c>
      <c r="T112" s="397"/>
      <c r="U112" s="1763"/>
      <c r="V112" s="1766"/>
      <c r="W112" s="1769"/>
      <c r="X112" s="1772"/>
      <c r="Y112" s="1775"/>
      <c r="Z112" s="1778"/>
      <c r="AA112" s="1772"/>
      <c r="AB112" s="1781"/>
      <c r="AC112" s="1772"/>
      <c r="AD112" s="1785"/>
      <c r="AE112" s="1772"/>
      <c r="AF112" s="1788"/>
      <c r="AG112" s="1791"/>
      <c r="AH112" s="397"/>
      <c r="AI112" s="398"/>
      <c r="AJ112" s="398"/>
      <c r="AK112" s="398"/>
      <c r="AL112" s="398"/>
      <c r="AM112" s="398"/>
      <c r="AN112" s="398"/>
      <c r="AO112" s="398"/>
      <c r="AP112" s="397"/>
    </row>
    <row r="113" spans="1:42" ht="17.25" hidden="1" customHeight="1" thickBot="1" x14ac:dyDescent="0.3">
      <c r="A113" s="1820"/>
      <c r="B113" s="548" t="s">
        <v>613</v>
      </c>
      <c r="C113" s="1046"/>
      <c r="D113" s="802" t="s">
        <v>1066</v>
      </c>
      <c r="E113" s="1996"/>
      <c r="F113" s="616">
        <f>'exchange rates'!$O$24</f>
        <v>258.86743000000001</v>
      </c>
      <c r="G113" s="549">
        <v>0</v>
      </c>
      <c r="H113" s="550">
        <f>21780/F113</f>
        <v>84.13572924179762</v>
      </c>
      <c r="I113" s="551">
        <v>0</v>
      </c>
      <c r="J113" s="560">
        <f>5880/F113</f>
        <v>22.71432910660101</v>
      </c>
      <c r="K113" s="566">
        <f>Tabel668921274[[#This Row],[Fix.ch. 2017]]+Tabel668921274[[#This Row],[Var. ch. 2017]]+Tabel668921274[[#This Row],[Oth. ch. DW 2017]]+Tabel668921274[[#This Row],[VAT DW 2017]]</f>
        <v>106.85005834839863</v>
      </c>
      <c r="L113" s="567">
        <f>630/F113</f>
        <v>2.4336781185643939</v>
      </c>
      <c r="M113" s="560">
        <f>170.1/F113</f>
        <v>0.65709309201238641</v>
      </c>
      <c r="N113" s="568">
        <f>13230/F113</f>
        <v>51.107240489852273</v>
      </c>
      <c r="O113" s="560">
        <f>3572/F113</f>
        <v>13.798568634146056</v>
      </c>
      <c r="P113" s="569">
        <v>0</v>
      </c>
      <c r="Q113" s="560">
        <v>0</v>
      </c>
      <c r="R113" s="570">
        <f>Tabel668921274[[#This Row],[VAT DW 2017]]+Tabel668921274[[#This Row],[VAT Sew. 2017]]+Tabel668921274[[#This Row],[VAT WW 2017]]+Tabel668921274[[#This Row],[VAT Other ch. 2017]]</f>
        <v>37.169990832759453</v>
      </c>
      <c r="S113" s="571">
        <f>Tabel668921274[[#This Row],[Total. ch. DW 2017]]+Tabel668921274[[#This Row],[Sew. 2017]]+Tabel668921274[[#This Row],[VAT Sew. 2017]]+Tabel668921274[[#This Row],[WW 2017]]+Tabel668921274[[#This Row],[VAT WW 2017]]+Tabel668921274[[#This Row],[Other ch. 2017]]+Tabel668921274[[#This Row],[VAT Other ch. 2017]]</f>
        <v>174.84663868297375</v>
      </c>
      <c r="T113" s="397"/>
      <c r="U113" s="1997"/>
      <c r="V113" s="1998"/>
      <c r="W113" s="1999"/>
      <c r="X113" s="1773"/>
      <c r="Y113" s="2000"/>
      <c r="Z113" s="2026"/>
      <c r="AA113" s="1773"/>
      <c r="AB113" s="2027"/>
      <c r="AC113" s="1773"/>
      <c r="AD113" s="2003"/>
      <c r="AE113" s="1773"/>
      <c r="AF113" s="2001"/>
      <c r="AG113" s="2002"/>
      <c r="AH113" s="397"/>
      <c r="AI113" s="398"/>
      <c r="AJ113" s="398"/>
      <c r="AK113" s="398"/>
      <c r="AL113" s="398"/>
      <c r="AM113" s="398"/>
      <c r="AN113" s="398"/>
      <c r="AO113" s="398"/>
      <c r="AP113" s="397"/>
    </row>
    <row r="114" spans="1:42" ht="17.25" hidden="1" customHeight="1" thickBot="1" x14ac:dyDescent="0.3">
      <c r="A114" s="1700" t="s">
        <v>754</v>
      </c>
      <c r="B114" s="455" t="s">
        <v>755</v>
      </c>
      <c r="C114" s="1048"/>
      <c r="D114" s="811" t="s">
        <v>1068</v>
      </c>
      <c r="E114" s="1726">
        <v>46600</v>
      </c>
      <c r="F114" s="306">
        <f>'exchange rates'!M25</f>
        <v>130.32431</v>
      </c>
      <c r="G114" s="319"/>
      <c r="H114" s="320"/>
      <c r="I114" s="321"/>
      <c r="J114" s="559"/>
      <c r="K114" s="313">
        <f>Tabel668921274[[#This Row],[Fix.ch. 2017]]+Tabel668921274[[#This Row],[Var. ch. 2017]]+Tabel668921274[[#This Row],[Oth. ch. DW 2017]]+Tabel668921274[[#This Row],[VAT DW 2017]]</f>
        <v>0</v>
      </c>
      <c r="L114" s="322"/>
      <c r="M114" s="559"/>
      <c r="N114" s="323"/>
      <c r="O114" s="559"/>
      <c r="P114" s="324"/>
      <c r="Q114" s="559"/>
      <c r="R114" s="317">
        <f>Tabel668921274[[#This Row],[VAT DW 2017]]+Tabel668921274[[#This Row],[VAT Sew. 2017]]+Tabel668921274[[#This Row],[VAT WW 2017]]+Tabel668921274[[#This Row],[VAT Other ch. 2017]]</f>
        <v>0</v>
      </c>
      <c r="S114" s="318">
        <f>Tabel668921274[[#This Row],[Total. ch. DW 2017]]+Tabel668921274[[#This Row],[Sew. 2017]]+Tabel668921274[[#This Row],[VAT Sew. 2017]]+Tabel668921274[[#This Row],[WW 2017]]+Tabel668921274[[#This Row],[VAT WW 2017]]+Tabel668921274[[#This Row],[Other ch. 2017]]+Tabel668921274[[#This Row],[VAT Other ch. 2017]]</f>
        <v>0</v>
      </c>
      <c r="T114" s="397"/>
      <c r="U114" s="1727"/>
      <c r="V114" s="1728"/>
      <c r="W114" s="1729"/>
      <c r="X114" s="576"/>
      <c r="Y114" s="1701"/>
      <c r="Z114" s="1730"/>
      <c r="AA114" s="576"/>
      <c r="AB114" s="1731"/>
      <c r="AC114" s="576"/>
      <c r="AD114" s="1732"/>
      <c r="AE114" s="576"/>
      <c r="AF114" s="1722"/>
      <c r="AG114" s="1723"/>
      <c r="AH114" s="397"/>
      <c r="AI114" s="398"/>
      <c r="AJ114" s="398"/>
      <c r="AK114" s="398"/>
      <c r="AL114" s="398"/>
      <c r="AM114" s="398"/>
      <c r="AN114" s="398"/>
      <c r="AO114" s="398"/>
      <c r="AP114" s="397"/>
    </row>
    <row r="115" spans="1:42" ht="18" hidden="1" customHeight="1" x14ac:dyDescent="0.25">
      <c r="A115" s="1833" t="s">
        <v>466</v>
      </c>
      <c r="B115" s="299" t="s">
        <v>606</v>
      </c>
      <c r="C115" s="1048" t="s">
        <v>429</v>
      </c>
      <c r="D115" s="805" t="s">
        <v>1070</v>
      </c>
      <c r="E115" s="2039">
        <v>12800</v>
      </c>
      <c r="F115" s="307">
        <f>'exchange rates'!K28</f>
        <v>11241.536700000001</v>
      </c>
      <c r="G115" s="319">
        <f>0</f>
        <v>0</v>
      </c>
      <c r="H115" s="320">
        <f>466512/F115</f>
        <v>41.498952718804006</v>
      </c>
      <c r="I115" s="321">
        <v>0</v>
      </c>
      <c r="J115" s="559"/>
      <c r="K115" s="313">
        <f>Tabel668921274[[#This Row],[Fix.ch. 2017]]+Tabel668921274[[#This Row],[Var. ch. 2017]]+Tabel668921274[[#This Row],[Oth. ch. DW 2017]]+Tabel668921274[[#This Row],[VAT DW 2017]]</f>
        <v>41.498952718804006</v>
      </c>
      <c r="L115" s="322">
        <f>71496/F115</f>
        <v>6.3599845739951189</v>
      </c>
      <c r="M115" s="559"/>
      <c r="N115" s="323">
        <v>0</v>
      </c>
      <c r="O115" s="559"/>
      <c r="P115" s="324">
        <v>0</v>
      </c>
      <c r="Q115" s="559"/>
      <c r="R115" s="317">
        <f>Tabel668921274[[#This Row],[VAT DW 2017]]+Tabel668921274[[#This Row],[VAT Sew. 2017]]+Tabel668921274[[#This Row],[VAT WW 2017]]+Tabel668921274[[#This Row],[VAT Other ch. 2017]]</f>
        <v>0</v>
      </c>
      <c r="S115" s="318">
        <f>Tabel668921274[[#This Row],[Total. ch. DW 2017]]+Tabel668921274[[#This Row],[Sew. 2017]]+Tabel668921274[[#This Row],[VAT Sew. 2017]]+Tabel668921274[[#This Row],[WW 2017]]+Tabel668921274[[#This Row],[VAT WW 2017]]+Tabel668921274[[#This Row],[Other ch. 2017]]+Tabel668921274[[#This Row],[VAT Other ch. 2017]]</f>
        <v>47.858937292799126</v>
      </c>
      <c r="T115" s="397"/>
      <c r="U115" s="2041">
        <f>SUM(G115:G119)/5</f>
        <v>0</v>
      </c>
      <c r="V115" s="2043">
        <f>SUM(H115:H119)/5</f>
        <v>37.034153880403203</v>
      </c>
      <c r="W115" s="2045">
        <f>SUM(I115:I119)/5</f>
        <v>0</v>
      </c>
      <c r="X115" s="575"/>
      <c r="Y115" s="2047">
        <f>SUM(K115:K119)/5</f>
        <v>37.034153880403203</v>
      </c>
      <c r="Z115" s="2022">
        <f>SUM(L115:L119)/5</f>
        <v>6.3599845739951189</v>
      </c>
      <c r="AA115" s="575"/>
      <c r="AB115" s="2024">
        <f>SUM(N115:N119)/5</f>
        <v>0</v>
      </c>
      <c r="AC115" s="575"/>
      <c r="AD115" s="2033">
        <f>SUM(P115:P119)/5</f>
        <v>0</v>
      </c>
      <c r="AE115" s="575"/>
      <c r="AF115" s="2035">
        <f t="shared" ref="AF115:AG115" si="17">SUM(R115:R119)/5</f>
        <v>0</v>
      </c>
      <c r="AG115" s="2037">
        <f t="shared" si="17"/>
        <v>43.394138454398316</v>
      </c>
      <c r="AH115" s="397"/>
      <c r="AI115" s="398"/>
      <c r="AJ115" s="398"/>
      <c r="AK115" s="398"/>
      <c r="AL115" s="396" t="s">
        <v>429</v>
      </c>
      <c r="AM115" s="398"/>
      <c r="AN115" s="398"/>
      <c r="AO115" s="398"/>
      <c r="AP115" s="397"/>
    </row>
    <row r="116" spans="1:42" ht="18.75" hidden="1" x14ac:dyDescent="0.25">
      <c r="A116" s="1834"/>
      <c r="B116" s="298" t="s">
        <v>607</v>
      </c>
      <c r="C116" s="1048"/>
      <c r="D116" s="805" t="s">
        <v>1070</v>
      </c>
      <c r="E116" s="1837"/>
      <c r="F116" s="307">
        <f>'exchange rates'!K28</f>
        <v>11241.536700000001</v>
      </c>
      <c r="G116" s="319">
        <f>0</f>
        <v>0</v>
      </c>
      <c r="H116" s="320">
        <f>408600/F116</f>
        <v>36.347343864473615</v>
      </c>
      <c r="I116" s="321">
        <v>0</v>
      </c>
      <c r="J116" s="559"/>
      <c r="K116" s="313">
        <f>Tabel668921274[[#This Row],[Fix.ch. 2017]]+Tabel668921274[[#This Row],[Var. ch. 2017]]+Tabel668921274[[#This Row],[Oth. ch. DW 2017]]+Tabel668921274[[#This Row],[VAT DW 2017]]</f>
        <v>36.347343864473615</v>
      </c>
      <c r="L116" s="322">
        <f>71496/F116</f>
        <v>6.3599845739951189</v>
      </c>
      <c r="M116" s="559"/>
      <c r="N116" s="323">
        <v>0</v>
      </c>
      <c r="O116" s="559"/>
      <c r="P116" s="324">
        <v>0</v>
      </c>
      <c r="Q116" s="559"/>
      <c r="R116" s="317">
        <f>Tabel668921274[[#This Row],[VAT DW 2017]]+Tabel668921274[[#This Row],[VAT Sew. 2017]]+Tabel668921274[[#This Row],[VAT WW 2017]]+Tabel668921274[[#This Row],[VAT Other ch. 2017]]</f>
        <v>0</v>
      </c>
      <c r="S116" s="318">
        <f>Tabel668921274[[#This Row],[Total. ch. DW 2017]]+Tabel668921274[[#This Row],[Sew. 2017]]+Tabel668921274[[#This Row],[VAT Sew. 2017]]+Tabel668921274[[#This Row],[WW 2017]]+Tabel668921274[[#This Row],[VAT WW 2017]]+Tabel668921274[[#This Row],[Other ch. 2017]]+Tabel668921274[[#This Row],[VAT Other ch. 2017]]</f>
        <v>42.707328438468735</v>
      </c>
      <c r="T116" s="397"/>
      <c r="U116" s="1840"/>
      <c r="V116" s="1843"/>
      <c r="W116" s="1846"/>
      <c r="X116" s="576"/>
      <c r="Y116" s="1849"/>
      <c r="Z116" s="1852"/>
      <c r="AA116" s="576"/>
      <c r="AB116" s="1855"/>
      <c r="AC116" s="576"/>
      <c r="AD116" s="1858"/>
      <c r="AE116" s="576"/>
      <c r="AF116" s="1873"/>
      <c r="AG116" s="1876"/>
      <c r="AH116" s="397"/>
      <c r="AI116" s="398"/>
      <c r="AJ116" s="398"/>
      <c r="AK116" s="398"/>
      <c r="AL116" s="396" t="s">
        <v>429</v>
      </c>
      <c r="AM116" s="398"/>
      <c r="AN116" s="398"/>
      <c r="AO116" s="398"/>
      <c r="AP116" s="397"/>
    </row>
    <row r="117" spans="1:42" ht="18.75" hidden="1" x14ac:dyDescent="0.25">
      <c r="A117" s="1834"/>
      <c r="B117" s="298" t="s">
        <v>608</v>
      </c>
      <c r="C117" s="1048"/>
      <c r="D117" s="805" t="s">
        <v>1070</v>
      </c>
      <c r="E117" s="1837"/>
      <c r="F117" s="307">
        <f>'exchange rates'!K28</f>
        <v>11241.536700000001</v>
      </c>
      <c r="G117" s="319">
        <f>0</f>
        <v>0</v>
      </c>
      <c r="H117" s="320">
        <f>366780/F117</f>
        <v>32.62721190066479</v>
      </c>
      <c r="I117" s="321">
        <v>0</v>
      </c>
      <c r="J117" s="559"/>
      <c r="K117" s="313">
        <f>Tabel668921274[[#This Row],[Fix.ch. 2017]]+Tabel668921274[[#This Row],[Var. ch. 2017]]+Tabel668921274[[#This Row],[Oth. ch. DW 2017]]+Tabel668921274[[#This Row],[VAT DW 2017]]</f>
        <v>32.62721190066479</v>
      </c>
      <c r="L117" s="322">
        <f t="shared" ref="L117:L119" si="18">71496/F117</f>
        <v>6.3599845739951189</v>
      </c>
      <c r="M117" s="559"/>
      <c r="N117" s="323">
        <v>0</v>
      </c>
      <c r="O117" s="559"/>
      <c r="P117" s="324">
        <v>0</v>
      </c>
      <c r="Q117" s="559"/>
      <c r="R117" s="317">
        <f>Tabel668921274[[#This Row],[VAT DW 2017]]+Tabel668921274[[#This Row],[VAT Sew. 2017]]+Tabel668921274[[#This Row],[VAT WW 2017]]+Tabel668921274[[#This Row],[VAT Other ch. 2017]]</f>
        <v>0</v>
      </c>
      <c r="S117" s="318">
        <f>Tabel668921274[[#This Row],[Total. ch. DW 2017]]+Tabel668921274[[#This Row],[Sew. 2017]]+Tabel668921274[[#This Row],[VAT Sew. 2017]]+Tabel668921274[[#This Row],[WW 2017]]+Tabel668921274[[#This Row],[VAT WW 2017]]+Tabel668921274[[#This Row],[Other ch. 2017]]+Tabel668921274[[#This Row],[VAT Other ch. 2017]]</f>
        <v>38.98719647465991</v>
      </c>
      <c r="T117" s="397"/>
      <c r="U117" s="1840"/>
      <c r="V117" s="1843"/>
      <c r="W117" s="1846"/>
      <c r="X117" s="576"/>
      <c r="Y117" s="1849"/>
      <c r="Z117" s="1852"/>
      <c r="AA117" s="576"/>
      <c r="AB117" s="1855"/>
      <c r="AC117" s="576"/>
      <c r="AD117" s="1858"/>
      <c r="AE117" s="576"/>
      <c r="AF117" s="1873"/>
      <c r="AG117" s="1876"/>
      <c r="AH117" s="397"/>
      <c r="AI117" s="398"/>
      <c r="AJ117" s="398"/>
      <c r="AK117" s="398"/>
      <c r="AL117" s="396" t="s">
        <v>429</v>
      </c>
      <c r="AM117" s="398"/>
      <c r="AN117" s="398"/>
      <c r="AO117" s="398"/>
      <c r="AP117" s="397"/>
    </row>
    <row r="118" spans="1:42" ht="18.75" hidden="1" x14ac:dyDescent="0.25">
      <c r="A118" s="1834"/>
      <c r="B118" s="298" t="s">
        <v>609</v>
      </c>
      <c r="C118" s="1048"/>
      <c r="D118" s="805" t="s">
        <v>1070</v>
      </c>
      <c r="E118" s="1837"/>
      <c r="F118" s="307">
        <f>'exchange rates'!K28</f>
        <v>11241.536700000001</v>
      </c>
      <c r="G118" s="319">
        <f>0</f>
        <v>0</v>
      </c>
      <c r="H118" s="320">
        <f>418248/F118</f>
        <v>37.205589516956344</v>
      </c>
      <c r="I118" s="321">
        <v>0</v>
      </c>
      <c r="J118" s="559"/>
      <c r="K118" s="313">
        <f>Tabel668921274[[#This Row],[Fix.ch. 2017]]+Tabel668921274[[#This Row],[Var. ch. 2017]]+Tabel668921274[[#This Row],[Oth. ch. DW 2017]]+Tabel668921274[[#This Row],[VAT DW 2017]]</f>
        <v>37.205589516956344</v>
      </c>
      <c r="L118" s="322">
        <f t="shared" si="18"/>
        <v>6.3599845739951189</v>
      </c>
      <c r="M118" s="559"/>
      <c r="N118" s="323">
        <v>0</v>
      </c>
      <c r="O118" s="559"/>
      <c r="P118" s="324">
        <v>0</v>
      </c>
      <c r="Q118" s="559"/>
      <c r="R118" s="317">
        <f>Tabel668921274[[#This Row],[VAT DW 2017]]+Tabel668921274[[#This Row],[VAT Sew. 2017]]+Tabel668921274[[#This Row],[VAT WW 2017]]+Tabel668921274[[#This Row],[VAT Other ch. 2017]]</f>
        <v>0</v>
      </c>
      <c r="S118" s="318">
        <f>Tabel668921274[[#This Row],[Total. ch. DW 2017]]+Tabel668921274[[#This Row],[Sew. 2017]]+Tabel668921274[[#This Row],[VAT Sew. 2017]]+Tabel668921274[[#This Row],[WW 2017]]+Tabel668921274[[#This Row],[VAT WW 2017]]+Tabel668921274[[#This Row],[Other ch. 2017]]+Tabel668921274[[#This Row],[VAT Other ch. 2017]]</f>
        <v>43.565574090951465</v>
      </c>
      <c r="T118" s="397"/>
      <c r="U118" s="1840"/>
      <c r="V118" s="1843"/>
      <c r="W118" s="1846"/>
      <c r="X118" s="576"/>
      <c r="Y118" s="1849"/>
      <c r="Z118" s="1852"/>
      <c r="AA118" s="576"/>
      <c r="AB118" s="1855"/>
      <c r="AC118" s="576"/>
      <c r="AD118" s="1858"/>
      <c r="AE118" s="576"/>
      <c r="AF118" s="1873"/>
      <c r="AG118" s="1876"/>
      <c r="AH118" s="397"/>
      <c r="AI118" s="398"/>
      <c r="AJ118" s="398"/>
      <c r="AK118" s="398"/>
      <c r="AL118" s="396" t="s">
        <v>429</v>
      </c>
      <c r="AM118" s="398"/>
      <c r="AN118" s="398"/>
      <c r="AO118" s="398"/>
      <c r="AP118" s="397"/>
    </row>
    <row r="119" spans="1:42" ht="19.5" hidden="1" thickBot="1" x14ac:dyDescent="0.3">
      <c r="A119" s="1835"/>
      <c r="B119" s="293" t="s">
        <v>610</v>
      </c>
      <c r="C119" s="1048"/>
      <c r="D119" s="805" t="s">
        <v>1070</v>
      </c>
      <c r="E119" s="2040"/>
      <c r="F119" s="307">
        <f>'exchange rates'!K28</f>
        <v>11241.536700000001</v>
      </c>
      <c r="G119" s="319">
        <f>0</f>
        <v>0</v>
      </c>
      <c r="H119" s="320">
        <f>421464/F119</f>
        <v>37.491671401117252</v>
      </c>
      <c r="I119" s="321">
        <v>0</v>
      </c>
      <c r="J119" s="559"/>
      <c r="K119" s="313">
        <f>Tabel668921274[[#This Row],[Fix.ch. 2017]]+Tabel668921274[[#This Row],[Var. ch. 2017]]+Tabel668921274[[#This Row],[Oth. ch. DW 2017]]+Tabel668921274[[#This Row],[VAT DW 2017]]</f>
        <v>37.491671401117252</v>
      </c>
      <c r="L119" s="322">
        <f t="shared" si="18"/>
        <v>6.3599845739951189</v>
      </c>
      <c r="M119" s="559"/>
      <c r="N119" s="323">
        <v>0</v>
      </c>
      <c r="O119" s="559"/>
      <c r="P119" s="324">
        <v>0</v>
      </c>
      <c r="Q119" s="559"/>
      <c r="R119" s="317">
        <f>Tabel668921274[[#This Row],[VAT DW 2017]]+Tabel668921274[[#This Row],[VAT Sew. 2017]]+Tabel668921274[[#This Row],[VAT WW 2017]]+Tabel668921274[[#This Row],[VAT Other ch. 2017]]</f>
        <v>0</v>
      </c>
      <c r="S119" s="318">
        <f>Tabel668921274[[#This Row],[Total. ch. DW 2017]]+Tabel668921274[[#This Row],[Sew. 2017]]+Tabel668921274[[#This Row],[VAT Sew. 2017]]+Tabel668921274[[#This Row],[WW 2017]]+Tabel668921274[[#This Row],[VAT WW 2017]]+Tabel668921274[[#This Row],[Other ch. 2017]]+Tabel668921274[[#This Row],[VAT Other ch. 2017]]</f>
        <v>43.851655975112372</v>
      </c>
      <c r="T119" s="397"/>
      <c r="U119" s="2042"/>
      <c r="V119" s="2044"/>
      <c r="W119" s="2046"/>
      <c r="X119" s="577"/>
      <c r="Y119" s="2048"/>
      <c r="Z119" s="2023"/>
      <c r="AA119" s="577"/>
      <c r="AB119" s="2025"/>
      <c r="AC119" s="577"/>
      <c r="AD119" s="2034"/>
      <c r="AE119" s="577"/>
      <c r="AF119" s="2036"/>
      <c r="AG119" s="2038"/>
      <c r="AH119" s="397"/>
      <c r="AI119" s="398"/>
      <c r="AJ119" s="398"/>
      <c r="AK119" s="398"/>
      <c r="AL119" s="396" t="s">
        <v>429</v>
      </c>
      <c r="AM119" s="398"/>
      <c r="AN119" s="398"/>
      <c r="AO119" s="398"/>
      <c r="AP119" s="397"/>
    </row>
    <row r="120" spans="1:42" ht="19.5" hidden="1" thickBot="1" x14ac:dyDescent="0.35">
      <c r="A120" s="267" t="s">
        <v>16</v>
      </c>
      <c r="B120" s="296" t="s">
        <v>106</v>
      </c>
      <c r="C120" s="1048" t="s">
        <v>429</v>
      </c>
      <c r="D120" s="811" t="s">
        <v>1072</v>
      </c>
      <c r="E120" s="301">
        <v>34900</v>
      </c>
      <c r="F120" s="308">
        <f>'exchange rates'!K29</f>
        <v>3.4691000000000001</v>
      </c>
      <c r="G120" s="319">
        <v>0</v>
      </c>
      <c r="H120" s="320">
        <f>1632.16/F120</f>
        <v>470.48514023810213</v>
      </c>
      <c r="I120" s="321">
        <v>0</v>
      </c>
      <c r="J120" s="559"/>
      <c r="K120" s="313">
        <f>Tabel668921274[[#This Row],[Fix.ch. 2017]]+Tabel668921274[[#This Row],[Var. ch. 2017]]+Tabel668921274[[#This Row],[Oth. ch. DW 2017]]+Tabel668921274[[#This Row],[VAT DW 2017]]</f>
        <v>470.48514023810213</v>
      </c>
      <c r="L120" s="322">
        <v>0</v>
      </c>
      <c r="M120" s="559"/>
      <c r="N120" s="323">
        <v>0</v>
      </c>
      <c r="O120" s="559"/>
      <c r="P120" s="324">
        <v>0</v>
      </c>
      <c r="Q120" s="559"/>
      <c r="R120" s="317">
        <f>Tabel668921274[[#This Row],[VAT DW 2017]]+Tabel668921274[[#This Row],[VAT Sew. 2017]]+Tabel668921274[[#This Row],[VAT WW 2017]]+Tabel668921274[[#This Row],[VAT Other ch. 2017]]</f>
        <v>0</v>
      </c>
      <c r="S120" s="318">
        <f>Tabel668921274[[#This Row],[Total. ch. DW 2017]]+Tabel668921274[[#This Row],[Sew. 2017]]+Tabel668921274[[#This Row],[VAT Sew. 2017]]+Tabel668921274[[#This Row],[WW 2017]]+Tabel668921274[[#This Row],[VAT WW 2017]]+Tabel668921274[[#This Row],[Other ch. 2017]]+Tabel668921274[[#This Row],[VAT Other ch. 2017]]</f>
        <v>470.48514023810213</v>
      </c>
      <c r="T120" s="397"/>
      <c r="U120" s="331">
        <v>0</v>
      </c>
      <c r="V120" s="332">
        <f>Tabel668921274[[#This Row],[Var. ch. 2017]]</f>
        <v>470.48514023810213</v>
      </c>
      <c r="W120" s="333">
        <v>0</v>
      </c>
      <c r="X120" s="574"/>
      <c r="Y120" s="334">
        <f>Tabel668921274[[#This Row],[Total. ch. DW 2017]]</f>
        <v>470.48514023810213</v>
      </c>
      <c r="Z120" s="335">
        <v>0</v>
      </c>
      <c r="AA120" s="574"/>
      <c r="AB120" s="336">
        <v>0</v>
      </c>
      <c r="AC120" s="574"/>
      <c r="AD120" s="337">
        <v>0</v>
      </c>
      <c r="AE120" s="574"/>
      <c r="AF120" s="338">
        <f>Tabel668921274[[#This Row],[Total VAT 2017]]</f>
        <v>0</v>
      </c>
      <c r="AG120" s="339">
        <f>Tabel668921274[[#This Row],[total charge 2017]]</f>
        <v>470.48514023810213</v>
      </c>
      <c r="AH120" s="397"/>
      <c r="AI120" s="398"/>
      <c r="AJ120" s="398"/>
      <c r="AK120" s="398"/>
      <c r="AL120" s="396" t="s">
        <v>429</v>
      </c>
      <c r="AM120" s="398"/>
      <c r="AN120" s="398"/>
      <c r="AO120" s="398" t="s">
        <v>590</v>
      </c>
      <c r="AP120" s="397"/>
    </row>
    <row r="121" spans="1:42" ht="18" hidden="1" customHeight="1" x14ac:dyDescent="0.25">
      <c r="A121" s="1818" t="s">
        <v>17</v>
      </c>
      <c r="B121" s="546" t="s">
        <v>107</v>
      </c>
      <c r="C121" s="1046"/>
      <c r="D121" s="802" t="s">
        <v>1074</v>
      </c>
      <c r="E121" s="1966">
        <v>38000</v>
      </c>
      <c r="F121" s="616">
        <f>'exchange rates'!$O$30</f>
        <v>0.83301000000000003</v>
      </c>
      <c r="G121" s="549">
        <f>25.34/F121</f>
        <v>30.419802883518805</v>
      </c>
      <c r="H121" s="550">
        <f>41.82/F121</f>
        <v>50.203478949832537</v>
      </c>
      <c r="I121" s="551">
        <f>0.4/F121</f>
        <v>0.48018631228916819</v>
      </c>
      <c r="J121" s="560">
        <f>6.76/F121</f>
        <v>8.1151486776869426</v>
      </c>
      <c r="K121" s="566">
        <f>Tabel668921274[[#This Row],[Fix.ch. 2017]]+Tabel668921274[[#This Row],[Var. ch. 2017]]+Tabel668921274[[#This Row],[Oth. ch. DW 2017]]+Tabel668921274[[#This Row],[VAT DW 2017]]</f>
        <v>89.218616823327451</v>
      </c>
      <c r="L121" s="567">
        <f>21.93/F121</f>
        <v>26.326214571253644</v>
      </c>
      <c r="M121" s="560">
        <f>2.19/F121</f>
        <v>2.6290200597831959</v>
      </c>
      <c r="N121" s="568">
        <f>59.09/F121</f>
        <v>70.935522982917377</v>
      </c>
      <c r="O121" s="560">
        <f>5.91/F121</f>
        <v>7.0947527640724601</v>
      </c>
      <c r="P121" s="569">
        <f>0.8/F121</f>
        <v>0.96037262457833639</v>
      </c>
      <c r="Q121" s="560">
        <f>0.08/F121</f>
        <v>9.6037262457833644E-2</v>
      </c>
      <c r="R121" s="570">
        <f>Tabel668921274[[#This Row],[VAT DW 2017]]+Tabel668921274[[#This Row],[VAT Sew. 2017]]+Tabel668921274[[#This Row],[VAT WW 2017]]+Tabel668921274[[#This Row],[VAT Other ch. 2017]]</f>
        <v>17.934958764000434</v>
      </c>
      <c r="S121" s="571">
        <f>Tabel668921274[[#This Row],[Total. ch. DW 2017]]+Tabel668921274[[#This Row],[Sew. 2017]]+Tabel668921274[[#This Row],[VAT Sew. 2017]]+Tabel668921274[[#This Row],[WW 2017]]+Tabel668921274[[#This Row],[VAT WW 2017]]+Tabel668921274[[#This Row],[Other ch. 2017]]+Tabel668921274[[#This Row],[VAT Other ch. 2017]]</f>
        <v>197.26053708839029</v>
      </c>
      <c r="T121" s="397"/>
      <c r="U121" s="1924">
        <f>MEDIAN(G121:G125)</f>
        <v>13.013049063036458</v>
      </c>
      <c r="V121" s="1925">
        <f>MEDIAN(H121:H125)</f>
        <v>50.203478949832537</v>
      </c>
      <c r="W121" s="1926">
        <f>MEDIAN(I121:I125)</f>
        <v>0.48018631228916819</v>
      </c>
      <c r="X121" s="1908">
        <f>MEDIAN(J121:J125)</f>
        <v>6.5065245315182292</v>
      </c>
      <c r="Y121" s="1916">
        <f>SUM(U121:X125)</f>
        <v>70.203238856676393</v>
      </c>
      <c r="Z121" s="1917">
        <f>MEDIAN(L121:L125)</f>
        <v>26.326214571253644</v>
      </c>
      <c r="AA121" s="1908">
        <f>MEDIAN(M121:M125)</f>
        <v>2.6290200597831959</v>
      </c>
      <c r="AB121" s="1907">
        <f t="shared" ref="AB121:AF121" si="19">MEDIAN(N121:N125)</f>
        <v>70.935522982917377</v>
      </c>
      <c r="AC121" s="1908">
        <f t="shared" si="19"/>
        <v>7.0947527640724601</v>
      </c>
      <c r="AD121" s="1931">
        <f t="shared" si="19"/>
        <v>0.96037262457833639</v>
      </c>
      <c r="AE121" s="1908">
        <f t="shared" si="19"/>
        <v>9.6037262457833644E-2</v>
      </c>
      <c r="AF121" s="1932">
        <f t="shared" si="19"/>
        <v>17.370739847060658</v>
      </c>
      <c r="AG121" s="1831">
        <f>Y121+Z121+AA121+AB121+AC121+AD121+AE121</f>
        <v>178.24515912173922</v>
      </c>
      <c r="AH121" s="397"/>
      <c r="AI121" s="398"/>
      <c r="AJ121" s="398"/>
      <c r="AK121" s="398"/>
      <c r="AL121" s="591" t="s">
        <v>429</v>
      </c>
      <c r="AM121" s="591" t="s">
        <v>429</v>
      </c>
      <c r="AN121" s="398"/>
      <c r="AO121" s="398"/>
      <c r="AP121" s="397"/>
    </row>
    <row r="122" spans="1:42" ht="15.75" hidden="1" x14ac:dyDescent="0.25">
      <c r="A122" s="1819"/>
      <c r="B122" s="547" t="s">
        <v>108</v>
      </c>
      <c r="C122" s="1046"/>
      <c r="D122" s="802" t="s">
        <v>1074</v>
      </c>
      <c r="E122" s="1760"/>
      <c r="F122" s="616">
        <f>'exchange rates'!$O$30</f>
        <v>0.83301000000000003</v>
      </c>
      <c r="G122" s="549">
        <f>0.3/F122</f>
        <v>0.36013973421687612</v>
      </c>
      <c r="H122" s="550">
        <f>14.18/F122</f>
        <v>17.022604770651011</v>
      </c>
      <c r="I122" s="551">
        <f>0.4/F122</f>
        <v>0.48018631228916819</v>
      </c>
      <c r="J122" s="560">
        <f>1.49/F122</f>
        <v>1.7886940132771514</v>
      </c>
      <c r="K122" s="566">
        <f>Tabel668921274[[#This Row],[Fix.ch. 2017]]+Tabel668921274[[#This Row],[Var. ch. 2017]]+Tabel668921274[[#This Row],[Oth. ch. DW 2017]]+Tabel668921274[[#This Row],[VAT DW 2017]]</f>
        <v>19.651624830434205</v>
      </c>
      <c r="L122" s="567">
        <f>13.93/F122</f>
        <v>16.72248832547028</v>
      </c>
      <c r="M122" s="560">
        <f>1.39/F122</f>
        <v>1.6686474352048593</v>
      </c>
      <c r="N122" s="568">
        <f>35.72/F122</f>
        <v>42.88063768742272</v>
      </c>
      <c r="O122" s="560">
        <f>3.57/F122</f>
        <v>4.2856628371808254</v>
      </c>
      <c r="P122" s="569">
        <f>0.8/F122</f>
        <v>0.96037262457833639</v>
      </c>
      <c r="Q122" s="560">
        <f>0.08/F122</f>
        <v>9.6037262457833644E-2</v>
      </c>
      <c r="R122" s="570">
        <f>Tabel668921274[[#This Row],[VAT DW 2017]]+Tabel668921274[[#This Row],[VAT Sew. 2017]]+Tabel668921274[[#This Row],[VAT WW 2017]]+Tabel668921274[[#This Row],[VAT Other ch. 2017]]</f>
        <v>7.8390415481206706</v>
      </c>
      <c r="S122" s="571">
        <f>Tabel668921274[[#This Row],[Total. ch. DW 2017]]+Tabel668921274[[#This Row],[Sew. 2017]]+Tabel668921274[[#This Row],[VAT Sew. 2017]]+Tabel668921274[[#This Row],[WW 2017]]+Tabel668921274[[#This Row],[VAT WW 2017]]+Tabel668921274[[#This Row],[Other ch. 2017]]+Tabel668921274[[#This Row],[VAT Other ch. 2017]]</f>
        <v>86.265471002749052</v>
      </c>
      <c r="T122" s="397"/>
      <c r="U122" s="1886"/>
      <c r="V122" s="1888"/>
      <c r="W122" s="1890"/>
      <c r="X122" s="1772"/>
      <c r="Y122" s="1892"/>
      <c r="Z122" s="1894"/>
      <c r="AA122" s="1772"/>
      <c r="AB122" s="1911"/>
      <c r="AC122" s="1772"/>
      <c r="AD122" s="1913"/>
      <c r="AE122" s="1772"/>
      <c r="AF122" s="1915"/>
      <c r="AG122" s="1832"/>
      <c r="AH122" s="397"/>
      <c r="AI122" s="398"/>
      <c r="AJ122" s="398"/>
      <c r="AK122" s="398"/>
      <c r="AL122" s="591" t="s">
        <v>429</v>
      </c>
      <c r="AM122" s="591" t="s">
        <v>429</v>
      </c>
      <c r="AN122" s="398"/>
      <c r="AO122" s="398"/>
      <c r="AP122" s="397"/>
    </row>
    <row r="123" spans="1:42" ht="15.75" hidden="1" x14ac:dyDescent="0.25">
      <c r="A123" s="1819"/>
      <c r="B123" s="547" t="s">
        <v>109</v>
      </c>
      <c r="C123" s="1046"/>
      <c r="D123" s="802" t="s">
        <v>1074</v>
      </c>
      <c r="E123" s="1760"/>
      <c r="F123" s="616">
        <f>'exchange rates'!$O$30</f>
        <v>0.83301000000000003</v>
      </c>
      <c r="G123" s="549">
        <f>10.84/F123</f>
        <v>13.013049063036458</v>
      </c>
      <c r="H123" s="550">
        <f>61.56/F123</f>
        <v>73.900673461302986</v>
      </c>
      <c r="I123" s="551">
        <f>0.4/F123</f>
        <v>0.48018631228916819</v>
      </c>
      <c r="J123" s="560">
        <f>7.28/F123</f>
        <v>8.7393908836628604</v>
      </c>
      <c r="K123" s="566">
        <f>Tabel668921274[[#This Row],[Fix.ch. 2017]]+Tabel668921274[[#This Row],[Var. ch. 2017]]+Tabel668921274[[#This Row],[Oth. ch. DW 2017]]+Tabel668921274[[#This Row],[VAT DW 2017]]</f>
        <v>96.133299720291475</v>
      </c>
      <c r="L123" s="567">
        <f>11.62/F123</f>
        <v>13.949412372000335</v>
      </c>
      <c r="M123" s="560">
        <f>1.16/F123</f>
        <v>1.3925403056385877</v>
      </c>
      <c r="N123" s="568">
        <f>31.04/F123</f>
        <v>37.262457833639452</v>
      </c>
      <c r="O123" s="560">
        <f>3.1/F123</f>
        <v>3.7214439202410534</v>
      </c>
      <c r="P123" s="569">
        <f>0.8/F123</f>
        <v>0.96037262457833639</v>
      </c>
      <c r="Q123" s="560">
        <f>0.08/F123</f>
        <v>9.6037262457833644E-2</v>
      </c>
      <c r="R123" s="570">
        <f>Tabel668921274[[#This Row],[VAT DW 2017]]+Tabel668921274[[#This Row],[VAT Sew. 2017]]+Tabel668921274[[#This Row],[VAT WW 2017]]+Tabel668921274[[#This Row],[VAT Other ch. 2017]]</f>
        <v>13.949412372000335</v>
      </c>
      <c r="S123" s="571">
        <f>Tabel668921274[[#This Row],[Total. ch. DW 2017]]+Tabel668921274[[#This Row],[Sew. 2017]]+Tabel668921274[[#This Row],[VAT Sew. 2017]]+Tabel668921274[[#This Row],[WW 2017]]+Tabel668921274[[#This Row],[VAT WW 2017]]+Tabel668921274[[#This Row],[Other ch. 2017]]+Tabel668921274[[#This Row],[VAT Other ch. 2017]]</f>
        <v>153.51556403884706</v>
      </c>
      <c r="T123" s="397"/>
      <c r="U123" s="1886"/>
      <c r="V123" s="1888"/>
      <c r="W123" s="1890"/>
      <c r="X123" s="1772"/>
      <c r="Y123" s="1892"/>
      <c r="Z123" s="1894"/>
      <c r="AA123" s="1772"/>
      <c r="AB123" s="1911"/>
      <c r="AC123" s="1772"/>
      <c r="AD123" s="1913"/>
      <c r="AE123" s="1772"/>
      <c r="AF123" s="1915"/>
      <c r="AG123" s="1832"/>
      <c r="AH123" s="397"/>
      <c r="AI123" s="398"/>
      <c r="AJ123" s="398"/>
      <c r="AK123" s="398"/>
      <c r="AL123" s="591" t="s">
        <v>429</v>
      </c>
      <c r="AM123" s="591" t="s">
        <v>429</v>
      </c>
      <c r="AN123" s="398"/>
      <c r="AO123" s="398"/>
      <c r="AP123" s="397"/>
    </row>
    <row r="124" spans="1:42" ht="15.75" hidden="1" x14ac:dyDescent="0.25">
      <c r="A124" s="1819"/>
      <c r="B124" s="547" t="s">
        <v>110</v>
      </c>
      <c r="C124" s="1046" t="s">
        <v>429</v>
      </c>
      <c r="D124" s="802" t="s">
        <v>1074</v>
      </c>
      <c r="E124" s="1760"/>
      <c r="F124" s="616">
        <f>'exchange rates'!$O$30</f>
        <v>0.83301000000000003</v>
      </c>
      <c r="G124" s="549">
        <f>18.35/F124</f>
        <v>22.028547076265593</v>
      </c>
      <c r="H124" s="550">
        <f>25.8/F124</f>
        <v>30.97201714265135</v>
      </c>
      <c r="I124" s="551">
        <f>0.4/F124</f>
        <v>0.48018631228916819</v>
      </c>
      <c r="J124" s="560">
        <f>4.45/F124</f>
        <v>5.3420727242169965</v>
      </c>
      <c r="K124" s="566">
        <f>Tabel668921274[[#This Row],[Fix.ch. 2017]]+Tabel668921274[[#This Row],[Var. ch. 2017]]+Tabel668921274[[#This Row],[Oth. ch. DW 2017]]+Tabel668921274[[#This Row],[VAT DW 2017]]</f>
        <v>58.82282325542311</v>
      </c>
      <c r="L124" s="567">
        <f>25.49/F124</f>
        <v>30.599872750627242</v>
      </c>
      <c r="M124" s="560">
        <f>2.55/F124</f>
        <v>3.0611877408434469</v>
      </c>
      <c r="N124" s="568">
        <f>73.9/F124</f>
        <v>88.714421195423824</v>
      </c>
      <c r="O124" s="560">
        <f>7.39/F124</f>
        <v>8.8714421195423814</v>
      </c>
      <c r="P124" s="569">
        <f>0.8/F124</f>
        <v>0.96037262457833639</v>
      </c>
      <c r="Q124" s="560">
        <f>0.08/F124</f>
        <v>9.6037262457833644E-2</v>
      </c>
      <c r="R124" s="570">
        <f>Tabel668921274[[#This Row],[VAT DW 2017]]+Tabel668921274[[#This Row],[VAT Sew. 2017]]+Tabel668921274[[#This Row],[VAT WW 2017]]+Tabel668921274[[#This Row],[VAT Other ch. 2017]]</f>
        <v>17.370739847060658</v>
      </c>
      <c r="S124" s="571">
        <f>Tabel668921274[[#This Row],[Total. ch. DW 2017]]+Tabel668921274[[#This Row],[Sew. 2017]]+Tabel668921274[[#This Row],[VAT Sew. 2017]]+Tabel668921274[[#This Row],[WW 2017]]+Tabel668921274[[#This Row],[VAT WW 2017]]+Tabel668921274[[#This Row],[Other ch. 2017]]+Tabel668921274[[#This Row],[VAT Other ch. 2017]]</f>
        <v>191.12615694889618</v>
      </c>
      <c r="T124" s="397"/>
      <c r="U124" s="1886"/>
      <c r="V124" s="1888"/>
      <c r="W124" s="1890"/>
      <c r="X124" s="1772"/>
      <c r="Y124" s="1892"/>
      <c r="Z124" s="1894"/>
      <c r="AA124" s="1772"/>
      <c r="AB124" s="1911"/>
      <c r="AC124" s="1772"/>
      <c r="AD124" s="1913"/>
      <c r="AE124" s="1772"/>
      <c r="AF124" s="1915"/>
      <c r="AG124" s="1832"/>
      <c r="AH124" s="397"/>
      <c r="AI124" s="398"/>
      <c r="AJ124" s="398"/>
      <c r="AK124" s="398"/>
      <c r="AL124" s="591" t="s">
        <v>429</v>
      </c>
      <c r="AM124" s="591" t="s">
        <v>429</v>
      </c>
      <c r="AN124" s="398"/>
      <c r="AO124" s="398"/>
      <c r="AP124" s="397"/>
    </row>
    <row r="125" spans="1:42" ht="16.5" hidden="1" thickBot="1" x14ac:dyDescent="0.3">
      <c r="A125" s="1820"/>
      <c r="B125" s="613" t="s">
        <v>111</v>
      </c>
      <c r="C125" s="1046"/>
      <c r="D125" s="807" t="s">
        <v>1074</v>
      </c>
      <c r="E125" s="1799"/>
      <c r="F125" s="616">
        <f>'exchange rates'!$O$30</f>
        <v>0.83301000000000003</v>
      </c>
      <c r="G125" s="549">
        <f>8.64/F125</f>
        <v>10.372024345446034</v>
      </c>
      <c r="H125" s="550">
        <f>45.19/F125</f>
        <v>54.249048630868771</v>
      </c>
      <c r="I125" s="551">
        <f>0.4/F125</f>
        <v>0.48018631228916819</v>
      </c>
      <c r="J125" s="560">
        <f>5.42/F125</f>
        <v>6.5065245315182292</v>
      </c>
      <c r="K125" s="566">
        <f>Tabel668921274[[#This Row],[Fix.ch. 2017]]+Tabel668921274[[#This Row],[Var. ch. 2017]]+Tabel668921274[[#This Row],[Oth. ch. DW 2017]]+Tabel668921274[[#This Row],[VAT DW 2017]]</f>
        <v>71.607783820122194</v>
      </c>
      <c r="L125" s="567">
        <f>27.46/F125</f>
        <v>32.964790338651397</v>
      </c>
      <c r="M125" s="560">
        <f>2.75/F125</f>
        <v>3.3012808969880312</v>
      </c>
      <c r="N125" s="568">
        <f>73.22/F125</f>
        <v>87.898104464532238</v>
      </c>
      <c r="O125" s="560">
        <f>7.32/F125</f>
        <v>8.7874095148917775</v>
      </c>
      <c r="P125" s="569">
        <f>0.8/F125</f>
        <v>0.96037262457833639</v>
      </c>
      <c r="Q125" s="560">
        <f>0.08/F125</f>
        <v>9.6037262457833644E-2</v>
      </c>
      <c r="R125" s="570">
        <f>Tabel668921274[[#This Row],[VAT DW 2017]]+Tabel668921274[[#This Row],[VAT Sew. 2017]]+Tabel668921274[[#This Row],[VAT WW 2017]]+Tabel668921274[[#This Row],[VAT Other ch. 2017]]</f>
        <v>18.691252205855871</v>
      </c>
      <c r="S125" s="571">
        <f>Tabel668921274[[#This Row],[Total. ch. DW 2017]]+Tabel668921274[[#This Row],[Sew. 2017]]+Tabel668921274[[#This Row],[VAT Sew. 2017]]+Tabel668921274[[#This Row],[WW 2017]]+Tabel668921274[[#This Row],[VAT WW 2017]]+Tabel668921274[[#This Row],[Other ch. 2017]]+Tabel668921274[[#This Row],[VAT Other ch. 2017]]</f>
        <v>205.61577892222181</v>
      </c>
      <c r="T125" s="397"/>
      <c r="U125" s="1801"/>
      <c r="V125" s="1803"/>
      <c r="W125" s="1805"/>
      <c r="X125" s="1773"/>
      <c r="Y125" s="1807"/>
      <c r="Z125" s="1809"/>
      <c r="AA125" s="1773"/>
      <c r="AB125" s="1782"/>
      <c r="AC125" s="1773"/>
      <c r="AD125" s="1786"/>
      <c r="AE125" s="1773"/>
      <c r="AF125" s="1789"/>
      <c r="AG125" s="1792"/>
      <c r="AH125" s="397"/>
      <c r="AI125" s="398"/>
      <c r="AJ125" s="398"/>
      <c r="AK125" s="398"/>
      <c r="AL125" s="591" t="s">
        <v>429</v>
      </c>
      <c r="AM125" s="591" t="s">
        <v>429</v>
      </c>
      <c r="AN125" s="398"/>
      <c r="AO125" s="398"/>
      <c r="AP125" s="397"/>
    </row>
    <row r="126" spans="1:42" ht="18" hidden="1" customHeight="1" x14ac:dyDescent="0.25">
      <c r="A126" s="1818" t="s">
        <v>18</v>
      </c>
      <c r="B126" s="546" t="s">
        <v>112</v>
      </c>
      <c r="C126" s="1046"/>
      <c r="D126" s="802" t="s">
        <v>1076</v>
      </c>
      <c r="E126" s="1966">
        <v>42700</v>
      </c>
      <c r="F126" s="617">
        <f>'exchange rates'!$O$31</f>
        <v>112.66098</v>
      </c>
      <c r="G126" s="549">
        <f>7500/F126</f>
        <v>66.571407420741423</v>
      </c>
      <c r="H126" s="550">
        <f>240/F126</f>
        <v>2.1302850374637252</v>
      </c>
      <c r="I126" s="551">
        <f>0</f>
        <v>0</v>
      </c>
      <c r="J126" s="560">
        <f>610/F126</f>
        <v>5.414474470220302</v>
      </c>
      <c r="K126" s="566">
        <f>Tabel668921274[[#This Row],[Fix.ch. 2017]]+Tabel668921274[[#This Row],[Var. ch. 2017]]+Tabel668921274[[#This Row],[Oth. ch. DW 2017]]+Tabel668921274[[#This Row],[VAT DW 2017]]</f>
        <v>74.116166928425443</v>
      </c>
      <c r="L126" s="567">
        <f>6720/F126</f>
        <v>59.647981048984306</v>
      </c>
      <c r="M126" s="560">
        <f>530/F126</f>
        <v>4.7043794577323936</v>
      </c>
      <c r="N126" s="568">
        <v>0</v>
      </c>
      <c r="O126" s="560">
        <v>0</v>
      </c>
      <c r="P126" s="569">
        <v>0</v>
      </c>
      <c r="Q126" s="560">
        <v>0</v>
      </c>
      <c r="R126" s="570">
        <f>Tabel668921274[[#This Row],[VAT DW 2017]]+Tabel668921274[[#This Row],[VAT Sew. 2017]]+Tabel668921274[[#This Row],[VAT WW 2017]]+Tabel668921274[[#This Row],[VAT Other ch. 2017]]</f>
        <v>10.118853927952696</v>
      </c>
      <c r="S126" s="571">
        <f>Tabel668921274[[#This Row],[Total. ch. DW 2017]]+Tabel668921274[[#This Row],[Sew. 2017]]+Tabel668921274[[#This Row],[VAT Sew. 2017]]+Tabel668921274[[#This Row],[WW 2017]]+Tabel668921274[[#This Row],[VAT WW 2017]]+Tabel668921274[[#This Row],[Other ch. 2017]]+Tabel668921274[[#This Row],[VAT Other ch. 2017]]</f>
        <v>138.46852743514214</v>
      </c>
      <c r="T126" s="397"/>
      <c r="U126" s="1800">
        <f>MEDIAN(G126:G133)</f>
        <v>90.537114092208327</v>
      </c>
      <c r="V126" s="1802">
        <f>MEDIAN(H126:H133)</f>
        <v>6.1245694827082104</v>
      </c>
      <c r="W126" s="1804">
        <f>MEDIAN(I126:I133)</f>
        <v>0</v>
      </c>
      <c r="X126" s="1771">
        <f>MEDIAN(J126:J133)</f>
        <v>8.1350259868146004</v>
      </c>
      <c r="Y126" s="1806">
        <f>SUM(U126:X133)</f>
        <v>104.79670956173113</v>
      </c>
      <c r="Z126" s="1808">
        <f t="shared" ref="Z126:AF126" si="20">MEDIAN(L126:L133)</f>
        <v>65.861312408253511</v>
      </c>
      <c r="AA126" s="1771">
        <f t="shared" si="20"/>
        <v>5.2458269047544235</v>
      </c>
      <c r="AB126" s="1780">
        <f t="shared" si="20"/>
        <v>0</v>
      </c>
      <c r="AC126" s="1771">
        <f t="shared" si="20"/>
        <v>0</v>
      </c>
      <c r="AD126" s="1784">
        <f t="shared" si="20"/>
        <v>0</v>
      </c>
      <c r="AE126" s="1771">
        <f t="shared" si="20"/>
        <v>0</v>
      </c>
      <c r="AF126" s="1787">
        <f t="shared" si="20"/>
        <v>14.379424002880146</v>
      </c>
      <c r="AG126" s="1790">
        <f>Y126+Z126+AA126+AB126+AC126+AD126+AE126</f>
        <v>175.90384887473908</v>
      </c>
      <c r="AH126" s="397"/>
      <c r="AI126" s="591" t="s">
        <v>429</v>
      </c>
      <c r="AJ126" s="396"/>
      <c r="AK126" s="398"/>
      <c r="AL126" s="591" t="s">
        <v>429</v>
      </c>
      <c r="AM126" s="398"/>
      <c r="AN126" s="398"/>
      <c r="AO126" s="398"/>
      <c r="AP126" s="397"/>
    </row>
    <row r="127" spans="1:42" ht="15.75" hidden="1" x14ac:dyDescent="0.25">
      <c r="A127" s="1819"/>
      <c r="B127" s="547" t="s">
        <v>113</v>
      </c>
      <c r="C127" s="1046"/>
      <c r="D127" s="802" t="s">
        <v>1076</v>
      </c>
      <c r="E127" s="1967"/>
      <c r="F127" s="617">
        <f>'exchange rates'!$O$31</f>
        <v>112.66098</v>
      </c>
      <c r="G127" s="549">
        <f>10200/F127</f>
        <v>90.537114092208327</v>
      </c>
      <c r="H127" s="550">
        <f>1000/F127</f>
        <v>8.8761876560988551</v>
      </c>
      <c r="I127" s="551">
        <v>0</v>
      </c>
      <c r="J127" s="560">
        <f>893/F127</f>
        <v>7.926435576896278</v>
      </c>
      <c r="K127" s="566">
        <f>Tabel668921274[[#This Row],[Fix.ch. 2017]]+Tabel668921274[[#This Row],[Var. ch. 2017]]+Tabel668921274[[#This Row],[Oth. ch. DW 2017]]+Tabel668921274[[#This Row],[VAT DW 2017]]</f>
        <v>107.33973732520346</v>
      </c>
      <c r="L127" s="567">
        <f>6600/F127</f>
        <v>58.582838530252445</v>
      </c>
      <c r="M127" s="560">
        <f>527/F127</f>
        <v>4.6777508947640971</v>
      </c>
      <c r="N127" s="568">
        <v>0</v>
      </c>
      <c r="O127" s="560">
        <v>0</v>
      </c>
      <c r="P127" s="569">
        <v>0</v>
      </c>
      <c r="Q127" s="560">
        <v>0</v>
      </c>
      <c r="R127" s="570">
        <f>Tabel668921274[[#This Row],[VAT DW 2017]]+Tabel668921274[[#This Row],[VAT Sew. 2017]]+Tabel668921274[[#This Row],[VAT WW 2017]]+Tabel668921274[[#This Row],[VAT Other ch. 2017]]</f>
        <v>12.604186471660375</v>
      </c>
      <c r="S127" s="571">
        <f>Tabel668921274[[#This Row],[Total. ch. DW 2017]]+Tabel668921274[[#This Row],[Sew. 2017]]+Tabel668921274[[#This Row],[VAT Sew. 2017]]+Tabel668921274[[#This Row],[WW 2017]]+Tabel668921274[[#This Row],[VAT WW 2017]]+Tabel668921274[[#This Row],[Other ch. 2017]]+Tabel668921274[[#This Row],[VAT Other ch. 2017]]</f>
        <v>170.60032675022001</v>
      </c>
      <c r="T127" s="397"/>
      <c r="U127" s="1763"/>
      <c r="V127" s="1766"/>
      <c r="W127" s="1769"/>
      <c r="X127" s="1772"/>
      <c r="Y127" s="1775"/>
      <c r="Z127" s="1778"/>
      <c r="AA127" s="1772"/>
      <c r="AB127" s="1781"/>
      <c r="AC127" s="1772"/>
      <c r="AD127" s="1785"/>
      <c r="AE127" s="1772"/>
      <c r="AF127" s="1788"/>
      <c r="AG127" s="1791"/>
      <c r="AH127" s="397"/>
      <c r="AI127" s="591" t="s">
        <v>429</v>
      </c>
      <c r="AJ127" s="396"/>
      <c r="AK127" s="398"/>
      <c r="AL127" s="591" t="s">
        <v>429</v>
      </c>
      <c r="AM127" s="398"/>
      <c r="AN127" s="398"/>
      <c r="AO127" s="398"/>
      <c r="AP127" s="397"/>
    </row>
    <row r="128" spans="1:42" ht="15.75" hidden="1" x14ac:dyDescent="0.25">
      <c r="A128" s="1819"/>
      <c r="B128" s="547" t="s">
        <v>114</v>
      </c>
      <c r="C128" s="1046"/>
      <c r="D128" s="802" t="s">
        <v>1076</v>
      </c>
      <c r="E128" s="1967"/>
      <c r="F128" s="617">
        <f>'exchange rates'!$O$31</f>
        <v>112.66098</v>
      </c>
      <c r="G128" s="549">
        <f>9720/F128</f>
        <v>86.27654401728087</v>
      </c>
      <c r="H128" s="550">
        <f>500/F128</f>
        <v>4.4380938280494275</v>
      </c>
      <c r="I128" s="551">
        <v>0</v>
      </c>
      <c r="J128" s="560">
        <f>815/F128</f>
        <v>7.2340929397205675</v>
      </c>
      <c r="K128" s="566">
        <f>Tabel668921274[[#This Row],[Fix.ch. 2017]]+Tabel668921274[[#This Row],[Var. ch. 2017]]+Tabel668921274[[#This Row],[Oth. ch. DW 2017]]+Tabel668921274[[#This Row],[VAT DW 2017]]</f>
        <v>97.94873078505087</v>
      </c>
      <c r="L128" s="567">
        <f>8480/F128</f>
        <v>75.270071323718298</v>
      </c>
      <c r="M128" s="560">
        <f>677/F128</f>
        <v>6.0091790431789249</v>
      </c>
      <c r="N128" s="568">
        <v>0</v>
      </c>
      <c r="O128" s="560">
        <v>0</v>
      </c>
      <c r="P128" s="569">
        <v>0</v>
      </c>
      <c r="Q128" s="560">
        <v>0</v>
      </c>
      <c r="R128" s="570">
        <f>Tabel668921274[[#This Row],[VAT DW 2017]]+Tabel668921274[[#This Row],[VAT Sew. 2017]]+Tabel668921274[[#This Row],[VAT WW 2017]]+Tabel668921274[[#This Row],[VAT Other ch. 2017]]</f>
        <v>13.243271982899493</v>
      </c>
      <c r="S128" s="571">
        <f>Tabel668921274[[#This Row],[Total. ch. DW 2017]]+Tabel668921274[[#This Row],[Sew. 2017]]+Tabel668921274[[#This Row],[VAT Sew. 2017]]+Tabel668921274[[#This Row],[WW 2017]]+Tabel668921274[[#This Row],[VAT WW 2017]]+Tabel668921274[[#This Row],[Other ch. 2017]]+Tabel668921274[[#This Row],[VAT Other ch. 2017]]</f>
        <v>179.22798115194811</v>
      </c>
      <c r="T128" s="397"/>
      <c r="U128" s="1763"/>
      <c r="V128" s="1766"/>
      <c r="W128" s="1769"/>
      <c r="X128" s="1772"/>
      <c r="Y128" s="1775"/>
      <c r="Z128" s="1778"/>
      <c r="AA128" s="1772"/>
      <c r="AB128" s="1781"/>
      <c r="AC128" s="1772"/>
      <c r="AD128" s="1785"/>
      <c r="AE128" s="1772"/>
      <c r="AF128" s="1788"/>
      <c r="AG128" s="1791"/>
      <c r="AH128" s="397"/>
      <c r="AI128" s="591" t="s">
        <v>429</v>
      </c>
      <c r="AJ128" s="396"/>
      <c r="AK128" s="398"/>
      <c r="AL128" s="591" t="s">
        <v>429</v>
      </c>
      <c r="AM128" s="398"/>
      <c r="AN128" s="398"/>
      <c r="AO128" s="398"/>
      <c r="AP128" s="397"/>
    </row>
    <row r="129" spans="1:42" ht="15.75" hidden="1" x14ac:dyDescent="0.25">
      <c r="A129" s="1819"/>
      <c r="B129" s="547" t="s">
        <v>115</v>
      </c>
      <c r="C129" s="1046"/>
      <c r="D129" s="802" t="s">
        <v>1076</v>
      </c>
      <c r="E129" s="1967"/>
      <c r="F129" s="617">
        <f>'exchange rates'!$O$31</f>
        <v>112.66098</v>
      </c>
      <c r="G129" s="549">
        <f>10200/F129</f>
        <v>90.537114092208327</v>
      </c>
      <c r="H129" s="550">
        <f>1632/F129</f>
        <v>14.485938254753332</v>
      </c>
      <c r="I129" s="551">
        <v>0</v>
      </c>
      <c r="J129" s="560">
        <f>940/F129</f>
        <v>8.3436163967329247</v>
      </c>
      <c r="K129" s="566">
        <f>Tabel668921274[[#This Row],[Fix.ch. 2017]]+Tabel668921274[[#This Row],[Var. ch. 2017]]+Tabel668921274[[#This Row],[Oth. ch. DW 2017]]+Tabel668921274[[#This Row],[VAT DW 2017]]</f>
        <v>113.36666874369459</v>
      </c>
      <c r="L129" s="567">
        <f>10368/F129</f>
        <v>92.028313618432932</v>
      </c>
      <c r="M129" s="560">
        <f>824/F129</f>
        <v>7.3139786286254571</v>
      </c>
      <c r="N129" s="568">
        <v>0</v>
      </c>
      <c r="O129" s="560">
        <v>0</v>
      </c>
      <c r="P129" s="569">
        <v>0</v>
      </c>
      <c r="Q129" s="560">
        <v>0</v>
      </c>
      <c r="R129" s="570">
        <f>Tabel668921274[[#This Row],[VAT DW 2017]]+Tabel668921274[[#This Row],[VAT Sew. 2017]]+Tabel668921274[[#This Row],[VAT WW 2017]]+Tabel668921274[[#This Row],[VAT Other ch. 2017]]</f>
        <v>15.657595025358383</v>
      </c>
      <c r="S129" s="571">
        <f>Tabel668921274[[#This Row],[Total. ch. DW 2017]]+Tabel668921274[[#This Row],[Sew. 2017]]+Tabel668921274[[#This Row],[VAT Sew. 2017]]+Tabel668921274[[#This Row],[WW 2017]]+Tabel668921274[[#This Row],[VAT WW 2017]]+Tabel668921274[[#This Row],[Other ch. 2017]]+Tabel668921274[[#This Row],[VAT Other ch. 2017]]</f>
        <v>212.70896099075296</v>
      </c>
      <c r="T129" s="397"/>
      <c r="U129" s="1763"/>
      <c r="V129" s="1766"/>
      <c r="W129" s="1769"/>
      <c r="X129" s="1772"/>
      <c r="Y129" s="1775"/>
      <c r="Z129" s="1778"/>
      <c r="AA129" s="1772"/>
      <c r="AB129" s="1781"/>
      <c r="AC129" s="1772"/>
      <c r="AD129" s="1785"/>
      <c r="AE129" s="1772"/>
      <c r="AF129" s="1788"/>
      <c r="AG129" s="1791"/>
      <c r="AH129" s="397"/>
      <c r="AI129" s="591" t="s">
        <v>429</v>
      </c>
      <c r="AJ129" s="396"/>
      <c r="AK129" s="398"/>
      <c r="AL129" s="591" t="s">
        <v>429</v>
      </c>
      <c r="AM129" s="398"/>
      <c r="AN129" s="398"/>
      <c r="AO129" s="398"/>
      <c r="AP129" s="397"/>
    </row>
    <row r="130" spans="1:42" ht="15.75" hidden="1" x14ac:dyDescent="0.25">
      <c r="A130" s="1819"/>
      <c r="B130" s="547" t="s">
        <v>116</v>
      </c>
      <c r="C130" s="1046"/>
      <c r="D130" s="802" t="s">
        <v>1076</v>
      </c>
      <c r="E130" s="1967"/>
      <c r="F130" s="617">
        <f>'exchange rates'!$O$31</f>
        <v>112.66098</v>
      </c>
      <c r="G130" s="549">
        <f>15840/F130</f>
        <v>140.59881247260589</v>
      </c>
      <c r="H130" s="550">
        <v>0</v>
      </c>
      <c r="I130" s="551">
        <v>0</v>
      </c>
      <c r="J130" s="560">
        <f>1262/F130</f>
        <v>11.201748821996755</v>
      </c>
      <c r="K130" s="566">
        <f>Tabel668921274[[#This Row],[Fix.ch. 2017]]+Tabel668921274[[#This Row],[Var. ch. 2017]]+Tabel668921274[[#This Row],[Oth. ch. DW 2017]]+Tabel668921274[[#This Row],[VAT DW 2017]]</f>
        <v>151.80056129460263</v>
      </c>
      <c r="L130" s="567">
        <f>7200/F130</f>
        <v>63.908551123911757</v>
      </c>
      <c r="M130" s="560">
        <f>574/F130</f>
        <v>5.0949317146007429</v>
      </c>
      <c r="N130" s="568">
        <v>0</v>
      </c>
      <c r="O130" s="560">
        <v>0</v>
      </c>
      <c r="P130" s="569">
        <v>0</v>
      </c>
      <c r="Q130" s="560">
        <v>0</v>
      </c>
      <c r="R130" s="570">
        <f>Tabel668921274[[#This Row],[VAT DW 2017]]+Tabel668921274[[#This Row],[VAT Sew. 2017]]+Tabel668921274[[#This Row],[VAT WW 2017]]+Tabel668921274[[#This Row],[VAT Other ch. 2017]]</f>
        <v>16.296680536597499</v>
      </c>
      <c r="S130" s="571">
        <f>Tabel668921274[[#This Row],[Total. ch. DW 2017]]+Tabel668921274[[#This Row],[Sew. 2017]]+Tabel668921274[[#This Row],[VAT Sew. 2017]]+Tabel668921274[[#This Row],[WW 2017]]+Tabel668921274[[#This Row],[VAT WW 2017]]+Tabel668921274[[#This Row],[Other ch. 2017]]+Tabel668921274[[#This Row],[VAT Other ch. 2017]]</f>
        <v>220.80404413311513</v>
      </c>
      <c r="T130" s="397"/>
      <c r="U130" s="1763"/>
      <c r="V130" s="1766"/>
      <c r="W130" s="1769"/>
      <c r="X130" s="1772"/>
      <c r="Y130" s="1775"/>
      <c r="Z130" s="1778"/>
      <c r="AA130" s="1772"/>
      <c r="AB130" s="1781"/>
      <c r="AC130" s="1772"/>
      <c r="AD130" s="1785"/>
      <c r="AE130" s="1772"/>
      <c r="AF130" s="1788"/>
      <c r="AG130" s="1791"/>
      <c r="AH130" s="397"/>
      <c r="AI130" s="591" t="s">
        <v>429</v>
      </c>
      <c r="AJ130" s="396"/>
      <c r="AK130" s="398"/>
      <c r="AL130" s="591" t="s">
        <v>429</v>
      </c>
      <c r="AM130" s="398"/>
      <c r="AN130" s="398"/>
      <c r="AO130" s="398"/>
      <c r="AP130" s="397"/>
    </row>
    <row r="131" spans="1:42" ht="15.75" hidden="1" x14ac:dyDescent="0.25">
      <c r="A131" s="1819"/>
      <c r="B131" s="547" t="s">
        <v>117</v>
      </c>
      <c r="C131" s="1046"/>
      <c r="D131" s="802" t="s">
        <v>1076</v>
      </c>
      <c r="E131" s="1967"/>
      <c r="F131" s="617">
        <f>'exchange rates'!$O$31</f>
        <v>112.66098</v>
      </c>
      <c r="G131" s="549">
        <f>15000/F131</f>
        <v>133.14281484148285</v>
      </c>
      <c r="H131" s="550">
        <f>7968/F131</f>
        <v>70.725463243795687</v>
      </c>
      <c r="I131" s="551">
        <v>0</v>
      </c>
      <c r="J131" s="560">
        <f>1834/F131</f>
        <v>16.2789281612853</v>
      </c>
      <c r="K131" s="566">
        <f>Tabel668921274[[#This Row],[Fix.ch. 2017]]+Tabel668921274[[#This Row],[Var. ch. 2017]]+Tabel668921274[[#This Row],[Oth. ch. DW 2017]]+Tabel668921274[[#This Row],[VAT DW 2017]]</f>
        <v>220.14720624656383</v>
      </c>
      <c r="L131" s="567">
        <f>8436/F131</f>
        <v>74.879519066849952</v>
      </c>
      <c r="M131" s="560">
        <f>674/F131</f>
        <v>5.9825504802106284</v>
      </c>
      <c r="N131" s="568">
        <v>0</v>
      </c>
      <c r="O131" s="560">
        <v>0</v>
      </c>
      <c r="P131" s="569">
        <v>0</v>
      </c>
      <c r="Q131" s="560">
        <v>0</v>
      </c>
      <c r="R131" s="570">
        <f>Tabel668921274[[#This Row],[VAT DW 2017]]+Tabel668921274[[#This Row],[VAT Sew. 2017]]+Tabel668921274[[#This Row],[VAT WW 2017]]+Tabel668921274[[#This Row],[VAT Other ch. 2017]]</f>
        <v>22.261478641495927</v>
      </c>
      <c r="S131" s="571">
        <f>Tabel668921274[[#This Row],[Total. ch. DW 2017]]+Tabel668921274[[#This Row],[Sew. 2017]]+Tabel668921274[[#This Row],[VAT Sew. 2017]]+Tabel668921274[[#This Row],[WW 2017]]+Tabel668921274[[#This Row],[VAT WW 2017]]+Tabel668921274[[#This Row],[Other ch. 2017]]+Tabel668921274[[#This Row],[VAT Other ch. 2017]]</f>
        <v>301.0092757936244</v>
      </c>
      <c r="T131" s="397"/>
      <c r="U131" s="1763"/>
      <c r="V131" s="1766"/>
      <c r="W131" s="1769"/>
      <c r="X131" s="1772"/>
      <c r="Y131" s="1775"/>
      <c r="Z131" s="1778"/>
      <c r="AA131" s="1772"/>
      <c r="AB131" s="1781"/>
      <c r="AC131" s="1772"/>
      <c r="AD131" s="1785"/>
      <c r="AE131" s="1772"/>
      <c r="AF131" s="1788"/>
      <c r="AG131" s="1791"/>
      <c r="AH131" s="397"/>
      <c r="AI131" s="591" t="s">
        <v>429</v>
      </c>
      <c r="AJ131" s="396"/>
      <c r="AK131" s="398"/>
      <c r="AL131" s="591" t="s">
        <v>429</v>
      </c>
      <c r="AM131" s="398"/>
      <c r="AN131" s="398"/>
      <c r="AO131" s="398"/>
      <c r="AP131" s="397"/>
    </row>
    <row r="132" spans="1:42" ht="15.75" hidden="1" x14ac:dyDescent="0.25">
      <c r="A132" s="1819"/>
      <c r="B132" s="547" t="s">
        <v>118</v>
      </c>
      <c r="C132" s="1046" t="s">
        <v>429</v>
      </c>
      <c r="D132" s="802" t="s">
        <v>1076</v>
      </c>
      <c r="E132" s="1967"/>
      <c r="F132" s="617">
        <f>'exchange rates'!$O$31</f>
        <v>112.66098</v>
      </c>
      <c r="G132" s="549">
        <f>14040/F132</f>
        <v>124.62167469162793</v>
      </c>
      <c r="H132" s="550">
        <f>880/F132</f>
        <v>7.8110451373669925</v>
      </c>
      <c r="I132" s="551">
        <v>0</v>
      </c>
      <c r="J132" s="560">
        <f>1181/F132</f>
        <v>10.482777621852748</v>
      </c>
      <c r="K132" s="566">
        <f>Tabel668921274[[#This Row],[Fix.ch. 2017]]+Tabel668921274[[#This Row],[Var. ch. 2017]]+Tabel668921274[[#This Row],[Oth. ch. DW 2017]]+Tabel668921274[[#This Row],[VAT DW 2017]]</f>
        <v>142.91549745084768</v>
      </c>
      <c r="L132" s="567">
        <f>7160/F132</f>
        <v>63.553503617667808</v>
      </c>
      <c r="M132" s="560">
        <f>567/F132</f>
        <v>5.0327984010080513</v>
      </c>
      <c r="N132" s="568">
        <v>0</v>
      </c>
      <c r="O132" s="560">
        <v>0</v>
      </c>
      <c r="P132" s="569">
        <v>0</v>
      </c>
      <c r="Q132" s="560">
        <v>0</v>
      </c>
      <c r="R132" s="570">
        <f>Tabel668921274[[#This Row],[VAT DW 2017]]+Tabel668921274[[#This Row],[VAT Sew. 2017]]+Tabel668921274[[#This Row],[VAT WW 2017]]+Tabel668921274[[#This Row],[VAT Other ch. 2017]]</f>
        <v>15.515576022860799</v>
      </c>
      <c r="S132" s="571">
        <f>Tabel668921274[[#This Row],[Total. ch. DW 2017]]+Tabel668921274[[#This Row],[Sew. 2017]]+Tabel668921274[[#This Row],[VAT Sew. 2017]]+Tabel668921274[[#This Row],[WW 2017]]+Tabel668921274[[#This Row],[VAT WW 2017]]+Tabel668921274[[#This Row],[Other ch. 2017]]+Tabel668921274[[#This Row],[VAT Other ch. 2017]]</f>
        <v>211.50179946952355</v>
      </c>
      <c r="T132" s="397"/>
      <c r="U132" s="1763"/>
      <c r="V132" s="1766"/>
      <c r="W132" s="1769"/>
      <c r="X132" s="1772"/>
      <c r="Y132" s="1775"/>
      <c r="Z132" s="1778"/>
      <c r="AA132" s="1772"/>
      <c r="AB132" s="1781"/>
      <c r="AC132" s="1772"/>
      <c r="AD132" s="1785"/>
      <c r="AE132" s="1772"/>
      <c r="AF132" s="1788"/>
      <c r="AG132" s="1791"/>
      <c r="AH132" s="397"/>
      <c r="AI132" s="591" t="s">
        <v>429</v>
      </c>
      <c r="AJ132" s="396"/>
      <c r="AK132" s="398"/>
      <c r="AL132" s="591" t="s">
        <v>429</v>
      </c>
      <c r="AM132" s="398"/>
      <c r="AN132" s="398"/>
      <c r="AO132" s="398"/>
      <c r="AP132" s="397"/>
    </row>
    <row r="133" spans="1:42" ht="16.5" hidden="1" thickBot="1" x14ac:dyDescent="0.3">
      <c r="A133" s="1820"/>
      <c r="B133" s="613" t="s">
        <v>119</v>
      </c>
      <c r="C133" s="1046"/>
      <c r="D133" s="802" t="s">
        <v>1076</v>
      </c>
      <c r="E133" s="1799"/>
      <c r="F133" s="617">
        <f>'exchange rates'!$O$31</f>
        <v>112.66098</v>
      </c>
      <c r="G133" s="549">
        <f>9480/F133</f>
        <v>84.146258979817148</v>
      </c>
      <c r="H133" s="550">
        <f>172/F133</f>
        <v>1.5267042768490031</v>
      </c>
      <c r="I133" s="551">
        <v>0</v>
      </c>
      <c r="J133" s="560">
        <f>768/F133</f>
        <v>6.8169121198839209</v>
      </c>
      <c r="K133" s="566">
        <f>Tabel668921274[[#This Row],[Fix.ch. 2017]]+Tabel668921274[[#This Row],[Var. ch. 2017]]+Tabel668921274[[#This Row],[Oth. ch. DW 2017]]+Tabel668921274[[#This Row],[VAT DW 2017]]</f>
        <v>92.489875376550074</v>
      </c>
      <c r="L133" s="567">
        <f>7640/F133</f>
        <v>67.814073692595258</v>
      </c>
      <c r="M133" s="560">
        <f>608/F133</f>
        <v>5.3967220949081041</v>
      </c>
      <c r="N133" s="568">
        <v>0</v>
      </c>
      <c r="O133" s="560">
        <v>0</v>
      </c>
      <c r="P133" s="569">
        <v>0</v>
      </c>
      <c r="Q133" s="560">
        <v>0</v>
      </c>
      <c r="R133" s="570">
        <f>Tabel668921274[[#This Row],[VAT DW 2017]]+Tabel668921274[[#This Row],[VAT Sew. 2017]]+Tabel668921274[[#This Row],[VAT WW 2017]]+Tabel668921274[[#This Row],[VAT Other ch. 2017]]</f>
        <v>12.213634214792025</v>
      </c>
      <c r="S133" s="571">
        <f>Tabel668921274[[#This Row],[Total. ch. DW 2017]]+Tabel668921274[[#This Row],[Sew. 2017]]+Tabel668921274[[#This Row],[VAT Sew. 2017]]+Tabel668921274[[#This Row],[WW 2017]]+Tabel668921274[[#This Row],[VAT WW 2017]]+Tabel668921274[[#This Row],[Other ch. 2017]]+Tabel668921274[[#This Row],[VAT Other ch. 2017]]</f>
        <v>165.70067116405346</v>
      </c>
      <c r="T133" s="397"/>
      <c r="U133" s="1801"/>
      <c r="V133" s="1803"/>
      <c r="W133" s="1805"/>
      <c r="X133" s="1773"/>
      <c r="Y133" s="1807"/>
      <c r="Z133" s="1809"/>
      <c r="AA133" s="1773"/>
      <c r="AB133" s="1782"/>
      <c r="AC133" s="1773"/>
      <c r="AD133" s="1786"/>
      <c r="AE133" s="1773"/>
      <c r="AF133" s="1789"/>
      <c r="AG133" s="1792"/>
      <c r="AH133" s="397"/>
      <c r="AI133" s="591" t="s">
        <v>429</v>
      </c>
      <c r="AJ133" s="396"/>
      <c r="AK133" s="398"/>
      <c r="AL133" s="591" t="s">
        <v>429</v>
      </c>
      <c r="AM133" s="398"/>
      <c r="AN133" s="398"/>
      <c r="AO133" s="398"/>
      <c r="AP133" s="397"/>
    </row>
    <row r="134" spans="1:42" ht="19.5" hidden="1" thickBot="1" x14ac:dyDescent="0.3">
      <c r="A134" s="1700" t="s">
        <v>742</v>
      </c>
      <c r="B134" s="260" t="s">
        <v>743</v>
      </c>
      <c r="C134" s="1049"/>
      <c r="D134" s="817" t="s">
        <v>1078</v>
      </c>
      <c r="E134" s="1726">
        <v>3300</v>
      </c>
      <c r="F134" s="307">
        <f>'exchange rates'!M32</f>
        <v>102.86302000000001</v>
      </c>
      <c r="G134" s="319">
        <f>600/F134</f>
        <v>5.8330000421920332</v>
      </c>
      <c r="H134" s="320">
        <f>4603.08/F134</f>
        <v>44.749609723688842</v>
      </c>
      <c r="I134" s="321">
        <f>0</f>
        <v>0</v>
      </c>
      <c r="J134" s="559"/>
      <c r="K134" s="313">
        <f>Tabel668921274[[#This Row],[Fix.ch. 2017]]+Tabel668921274[[#This Row],[Var. ch. 2017]]+Tabel668921274[[#This Row],[Oth. ch. DW 2017]]+Tabel668921274[[#This Row],[VAT DW 2017]]</f>
        <v>50.582609765880875</v>
      </c>
      <c r="L134" s="322">
        <f>0</f>
        <v>0</v>
      </c>
      <c r="M134" s="559"/>
      <c r="N134" s="323">
        <f>3452.31/F134</f>
        <v>33.56220729276663</v>
      </c>
      <c r="O134" s="559"/>
      <c r="P134" s="324">
        <f>0</f>
        <v>0</v>
      </c>
      <c r="Q134" s="559"/>
      <c r="R134" s="317">
        <f>Tabel668921274[[#This Row],[VAT DW 2017]]+Tabel668921274[[#This Row],[VAT Sew. 2017]]+Tabel668921274[[#This Row],[VAT WW 2017]]+Tabel668921274[[#This Row],[VAT Other ch. 2017]]</f>
        <v>0</v>
      </c>
      <c r="S134" s="318">
        <f>Tabel668921274[[#This Row],[Total. ch. DW 2017]]+Tabel668921274[[#This Row],[Sew. 2017]]+Tabel668921274[[#This Row],[VAT Sew. 2017]]+Tabel668921274[[#This Row],[WW 2017]]+Tabel668921274[[#This Row],[VAT WW 2017]]+Tabel668921274[[#This Row],[Other ch. 2017]]+Tabel668921274[[#This Row],[VAT Other ch. 2017]]</f>
        <v>84.144817058647504</v>
      </c>
      <c r="T134" s="397"/>
      <c r="U134" s="1727">
        <f>Tabel668921274[[#This Row],[Fix.ch. 2017]]</f>
        <v>5.8330000421920332</v>
      </c>
      <c r="V134" s="1728">
        <f>Tabel668921274[[#This Row],[Var. ch. 2017]]</f>
        <v>44.749609723688842</v>
      </c>
      <c r="W134" s="1729">
        <f>Tabel668921274[[#This Row],[Oth. ch. DW 2017]]</f>
        <v>0</v>
      </c>
      <c r="X134" s="576"/>
      <c r="Y134" s="1701">
        <f>SUM(U134:W134)</f>
        <v>50.582609765880875</v>
      </c>
      <c r="Z134" s="1730">
        <f>Tabel668921274[[#This Row],[Sew. 2017]]</f>
        <v>0</v>
      </c>
      <c r="AA134" s="576"/>
      <c r="AB134" s="1731">
        <f>Tabel668921274[[#This Row],[WW 2017]]</f>
        <v>33.56220729276663</v>
      </c>
      <c r="AC134" s="576"/>
      <c r="AD134" s="1732">
        <f>Tabel668921274[[#This Row],[Other ch. 2017]]</f>
        <v>0</v>
      </c>
      <c r="AE134" s="576"/>
      <c r="AF134" s="1722">
        <f>Tabel668921274[[#This Row],[Total VAT 2017]]</f>
        <v>0</v>
      </c>
      <c r="AG134" s="1723">
        <f>SUM(Y134:AF134)</f>
        <v>84.144817058647504</v>
      </c>
      <c r="AH134" s="397"/>
      <c r="AI134" s="396"/>
      <c r="AJ134" s="396" t="s">
        <v>429</v>
      </c>
      <c r="AK134" s="398"/>
      <c r="AL134" s="396" t="s">
        <v>429</v>
      </c>
      <c r="AM134" s="396" t="s">
        <v>429</v>
      </c>
      <c r="AN134" s="398"/>
      <c r="AO134" s="398" t="s">
        <v>745</v>
      </c>
      <c r="AP134" s="397"/>
    </row>
    <row r="135" spans="1:42" ht="18.75" hidden="1" customHeight="1" x14ac:dyDescent="0.25">
      <c r="A135" s="1833" t="s">
        <v>19</v>
      </c>
      <c r="B135" s="291" t="s">
        <v>120</v>
      </c>
      <c r="C135" s="1048"/>
      <c r="D135" s="805" t="s">
        <v>1080</v>
      </c>
      <c r="E135" s="2054">
        <v>18700</v>
      </c>
      <c r="F135" s="307">
        <v>2.6644800000000002</v>
      </c>
      <c r="G135" s="319">
        <f>39/F135</f>
        <v>14.637002341920374</v>
      </c>
      <c r="H135" s="320">
        <f>364/F135</f>
        <v>136.61202185792348</v>
      </c>
      <c r="I135" s="321">
        <v>0</v>
      </c>
      <c r="J135" s="559"/>
      <c r="K135" s="313">
        <f>Tabel668921274[[#This Row],[Fix.ch. 2017]]+Tabel668921274[[#This Row],[Var. ch. 2017]]+Tabel668921274[[#This Row],[Oth. ch. DW 2017]]+Tabel668921274[[#This Row],[VAT DW 2017]]</f>
        <v>151.24902419984386</v>
      </c>
      <c r="L135" s="322">
        <f>398/F135</f>
        <v>149.37248543805919</v>
      </c>
      <c r="M135" s="559"/>
      <c r="N135" s="323">
        <v>0</v>
      </c>
      <c r="O135" s="559"/>
      <c r="P135" s="324">
        <v>0</v>
      </c>
      <c r="Q135" s="559"/>
      <c r="R135" s="317">
        <f>Tabel668921274[[#This Row],[VAT DW 2017]]+Tabel668921274[[#This Row],[VAT Sew. 2017]]+Tabel668921274[[#This Row],[VAT WW 2017]]+Tabel668921274[[#This Row],[VAT Other ch. 2017]]</f>
        <v>0</v>
      </c>
      <c r="S135" s="318">
        <f>Tabel668921274[[#This Row],[Total. ch. DW 2017]]+Tabel668921274[[#This Row],[Sew. 2017]]+Tabel668921274[[#This Row],[VAT Sew. 2017]]+Tabel668921274[[#This Row],[WW 2017]]+Tabel668921274[[#This Row],[VAT WW 2017]]+Tabel668921274[[#This Row],[Other ch. 2017]]+Tabel668921274[[#This Row],[VAT Other ch. 2017]]</f>
        <v>300.62150963790305</v>
      </c>
      <c r="T135" s="397"/>
      <c r="U135" s="2057">
        <f>SUM(G135:G139)/5</f>
        <v>14.29472167177085</v>
      </c>
      <c r="V135" s="2059">
        <f>SUM(H135:H139)/5</f>
        <v>145.16903861166153</v>
      </c>
      <c r="W135" s="2061">
        <f>SUM(I135:I139)/5</f>
        <v>0</v>
      </c>
      <c r="X135" s="575"/>
      <c r="Y135" s="2063">
        <f>SUM(K135:K139)/5</f>
        <v>159.46376028343238</v>
      </c>
      <c r="Z135" s="2065">
        <f>SUM(L135:L139)/5</f>
        <v>181.19858283792709</v>
      </c>
      <c r="AA135" s="575"/>
      <c r="AB135" s="2067">
        <f>SUM(N135:N139)/5</f>
        <v>0</v>
      </c>
      <c r="AC135" s="575"/>
      <c r="AD135" s="2069">
        <f>SUM(P135:P139)/5</f>
        <v>0</v>
      </c>
      <c r="AE135" s="575"/>
      <c r="AF135" s="2071">
        <f t="shared" ref="AF135:AG135" si="21">SUM(R135:R139)/5</f>
        <v>0</v>
      </c>
      <c r="AG135" s="2049">
        <f t="shared" si="21"/>
        <v>340.66234312135947</v>
      </c>
      <c r="AH135" s="397"/>
      <c r="AI135" s="398"/>
      <c r="AJ135" s="398"/>
      <c r="AK135" s="398"/>
      <c r="AL135" s="398"/>
      <c r="AM135" s="396" t="s">
        <v>429</v>
      </c>
      <c r="AN135" s="398"/>
      <c r="AO135" s="398" t="s">
        <v>444</v>
      </c>
      <c r="AP135" s="397"/>
    </row>
    <row r="136" spans="1:42" ht="18.75" hidden="1" customHeight="1" x14ac:dyDescent="0.25">
      <c r="A136" s="1834"/>
      <c r="B136" s="269" t="s">
        <v>121</v>
      </c>
      <c r="C136" s="1048"/>
      <c r="D136" s="805" t="s">
        <v>1080</v>
      </c>
      <c r="E136" s="2055"/>
      <c r="F136" s="307">
        <v>2.6644800000000002</v>
      </c>
      <c r="G136" s="319">
        <f>47.04/F136</f>
        <v>17.65447667087011</v>
      </c>
      <c r="H136" s="320">
        <f>330/F136</f>
        <v>123.85155827778777</v>
      </c>
      <c r="I136" s="321">
        <v>0</v>
      </c>
      <c r="J136" s="559"/>
      <c r="K136" s="313">
        <f>Tabel668921274[[#This Row],[Fix.ch. 2017]]+Tabel668921274[[#This Row],[Var. ch. 2017]]+Tabel668921274[[#This Row],[Oth. ch. DW 2017]]+Tabel668921274[[#This Row],[VAT DW 2017]]</f>
        <v>141.50603494865788</v>
      </c>
      <c r="L136" s="322">
        <f>468/F136</f>
        <v>175.64402810304449</v>
      </c>
      <c r="M136" s="559"/>
      <c r="N136" s="323">
        <v>0</v>
      </c>
      <c r="O136" s="559"/>
      <c r="P136" s="324">
        <v>0</v>
      </c>
      <c r="Q136" s="559"/>
      <c r="R136" s="317">
        <f>Tabel668921274[[#This Row],[VAT DW 2017]]+Tabel668921274[[#This Row],[VAT Sew. 2017]]+Tabel668921274[[#This Row],[VAT WW 2017]]+Tabel668921274[[#This Row],[VAT Other ch. 2017]]</f>
        <v>0</v>
      </c>
      <c r="S136" s="318">
        <f>Tabel668921274[[#This Row],[Total. ch. DW 2017]]+Tabel668921274[[#This Row],[Sew. 2017]]+Tabel668921274[[#This Row],[VAT Sew. 2017]]+Tabel668921274[[#This Row],[WW 2017]]+Tabel668921274[[#This Row],[VAT WW 2017]]+Tabel668921274[[#This Row],[Other ch. 2017]]+Tabel668921274[[#This Row],[VAT Other ch. 2017]]</f>
        <v>317.15006305170238</v>
      </c>
      <c r="T136" s="397"/>
      <c r="U136" s="2058"/>
      <c r="V136" s="2060"/>
      <c r="W136" s="2062"/>
      <c r="X136" s="576"/>
      <c r="Y136" s="2064"/>
      <c r="Z136" s="2066"/>
      <c r="AA136" s="576"/>
      <c r="AB136" s="2068"/>
      <c r="AC136" s="576"/>
      <c r="AD136" s="2070"/>
      <c r="AE136" s="576"/>
      <c r="AF136" s="2072"/>
      <c r="AG136" s="2050"/>
      <c r="AH136" s="397"/>
      <c r="AI136" s="398"/>
      <c r="AJ136" s="398"/>
      <c r="AK136" s="398"/>
      <c r="AL136" s="398"/>
      <c r="AM136" s="396" t="s">
        <v>429</v>
      </c>
      <c r="AN136" s="398"/>
      <c r="AO136" s="398" t="s">
        <v>444</v>
      </c>
      <c r="AP136" s="397"/>
    </row>
    <row r="137" spans="1:42" ht="18.75" hidden="1" customHeight="1" x14ac:dyDescent="0.25">
      <c r="A137" s="1834"/>
      <c r="B137" s="269" t="s">
        <v>122</v>
      </c>
      <c r="C137" s="1048"/>
      <c r="D137" s="805" t="s">
        <v>1080</v>
      </c>
      <c r="E137" s="2055"/>
      <c r="F137" s="307">
        <v>2.6644800000000002</v>
      </c>
      <c r="G137" s="319">
        <f>30.84/F137</f>
        <v>11.574491082687803</v>
      </c>
      <c r="H137" s="320">
        <f>334/F137</f>
        <v>125.35278928721551</v>
      </c>
      <c r="I137" s="321">
        <v>0</v>
      </c>
      <c r="J137" s="559"/>
      <c r="K137" s="313">
        <f>Tabel668921274[[#This Row],[Fix.ch. 2017]]+Tabel668921274[[#This Row],[Var. ch. 2017]]+Tabel668921274[[#This Row],[Oth. ch. DW 2017]]+Tabel668921274[[#This Row],[VAT DW 2017]]</f>
        <v>136.92728036990331</v>
      </c>
      <c r="L137" s="322">
        <f>636/F137</f>
        <v>238.69573049900916</v>
      </c>
      <c r="M137" s="559"/>
      <c r="N137" s="323">
        <v>0</v>
      </c>
      <c r="O137" s="559"/>
      <c r="P137" s="324">
        <v>0</v>
      </c>
      <c r="Q137" s="559"/>
      <c r="R137" s="317">
        <f>Tabel668921274[[#This Row],[VAT DW 2017]]+Tabel668921274[[#This Row],[VAT Sew. 2017]]+Tabel668921274[[#This Row],[VAT WW 2017]]+Tabel668921274[[#This Row],[VAT Other ch. 2017]]</f>
        <v>0</v>
      </c>
      <c r="S137" s="318">
        <f>Tabel668921274[[#This Row],[Total. ch. DW 2017]]+Tabel668921274[[#This Row],[Sew. 2017]]+Tabel668921274[[#This Row],[VAT Sew. 2017]]+Tabel668921274[[#This Row],[WW 2017]]+Tabel668921274[[#This Row],[VAT WW 2017]]+Tabel668921274[[#This Row],[Other ch. 2017]]+Tabel668921274[[#This Row],[VAT Other ch. 2017]]</f>
        <v>375.6230108689125</v>
      </c>
      <c r="T137" s="397"/>
      <c r="U137" s="2058"/>
      <c r="V137" s="2060"/>
      <c r="W137" s="2062"/>
      <c r="X137" s="576"/>
      <c r="Y137" s="2064"/>
      <c r="Z137" s="2066"/>
      <c r="AA137" s="576"/>
      <c r="AB137" s="2068"/>
      <c r="AC137" s="576"/>
      <c r="AD137" s="2070"/>
      <c r="AE137" s="576"/>
      <c r="AF137" s="2072"/>
      <c r="AG137" s="2050"/>
      <c r="AH137" s="397"/>
      <c r="AI137" s="398"/>
      <c r="AJ137" s="398"/>
      <c r="AK137" s="398"/>
      <c r="AL137" s="398"/>
      <c r="AM137" s="396" t="s">
        <v>429</v>
      </c>
      <c r="AN137" s="398"/>
      <c r="AO137" s="398" t="s">
        <v>444</v>
      </c>
      <c r="AP137" s="397"/>
    </row>
    <row r="138" spans="1:42" ht="18.75" hidden="1" customHeight="1" x14ac:dyDescent="0.25">
      <c r="A138" s="1834"/>
      <c r="B138" s="269" t="s">
        <v>123</v>
      </c>
      <c r="C138" s="1048"/>
      <c r="D138" s="805" t="s">
        <v>1080</v>
      </c>
      <c r="E138" s="2055"/>
      <c r="F138" s="307">
        <v>2.6644800000000002</v>
      </c>
      <c r="G138" s="319">
        <f>34.68/F138</f>
        <v>13.015672851738424</v>
      </c>
      <c r="H138" s="320">
        <f>570/F138</f>
        <v>213.92541884345161</v>
      </c>
      <c r="I138" s="321">
        <v>0</v>
      </c>
      <c r="J138" s="559"/>
      <c r="K138" s="313">
        <f>Tabel668921274[[#This Row],[Fix.ch. 2017]]+Tabel668921274[[#This Row],[Var. ch. 2017]]+Tabel668921274[[#This Row],[Oth. ch. DW 2017]]+Tabel668921274[[#This Row],[VAT DW 2017]]</f>
        <v>226.94109169519004</v>
      </c>
      <c r="L138" s="322">
        <f>526/F138</f>
        <v>197.41187773974659</v>
      </c>
      <c r="M138" s="559"/>
      <c r="N138" s="323">
        <v>0</v>
      </c>
      <c r="O138" s="559"/>
      <c r="P138" s="324">
        <v>0</v>
      </c>
      <c r="Q138" s="559"/>
      <c r="R138" s="317">
        <f>Tabel668921274[[#This Row],[VAT DW 2017]]+Tabel668921274[[#This Row],[VAT Sew. 2017]]+Tabel668921274[[#This Row],[VAT WW 2017]]+Tabel668921274[[#This Row],[VAT Other ch. 2017]]</f>
        <v>0</v>
      </c>
      <c r="S138" s="318">
        <f>Tabel668921274[[#This Row],[Total. ch. DW 2017]]+Tabel668921274[[#This Row],[Sew. 2017]]+Tabel668921274[[#This Row],[VAT Sew. 2017]]+Tabel668921274[[#This Row],[WW 2017]]+Tabel668921274[[#This Row],[VAT WW 2017]]+Tabel668921274[[#This Row],[Other ch. 2017]]+Tabel668921274[[#This Row],[VAT Other ch. 2017]]</f>
        <v>424.35296943493665</v>
      </c>
      <c r="T138" s="397"/>
      <c r="U138" s="2058"/>
      <c r="V138" s="2060"/>
      <c r="W138" s="2062"/>
      <c r="X138" s="576"/>
      <c r="Y138" s="2064"/>
      <c r="Z138" s="2066"/>
      <c r="AA138" s="576"/>
      <c r="AB138" s="2068"/>
      <c r="AC138" s="576"/>
      <c r="AD138" s="2070"/>
      <c r="AE138" s="576"/>
      <c r="AF138" s="2072"/>
      <c r="AG138" s="2050"/>
      <c r="AH138" s="397"/>
      <c r="AI138" s="398"/>
      <c r="AJ138" s="398"/>
      <c r="AK138" s="398"/>
      <c r="AL138" s="398"/>
      <c r="AM138" s="396" t="s">
        <v>429</v>
      </c>
      <c r="AN138" s="398"/>
      <c r="AO138" s="398" t="s">
        <v>444</v>
      </c>
      <c r="AP138" s="397"/>
    </row>
    <row r="139" spans="1:42" ht="19.5" hidden="1" customHeight="1" thickBot="1" x14ac:dyDescent="0.3">
      <c r="A139" s="1835"/>
      <c r="B139" s="290" t="s">
        <v>124</v>
      </c>
      <c r="C139" s="1048" t="s">
        <v>429</v>
      </c>
      <c r="D139" s="805" t="s">
        <v>1080</v>
      </c>
      <c r="E139" s="2056"/>
      <c r="F139" s="307">
        <v>2.6644800000000002</v>
      </c>
      <c r="G139" s="319">
        <f>38.88/F139</f>
        <v>14.591965411637542</v>
      </c>
      <c r="H139" s="320">
        <f>336/F139</f>
        <v>126.10340479192938</v>
      </c>
      <c r="I139" s="321">
        <v>0</v>
      </c>
      <c r="J139" s="559"/>
      <c r="K139" s="313">
        <f>Tabel668921274[[#This Row],[Fix.ch. 2017]]+Tabel668921274[[#This Row],[Var. ch. 2017]]+Tabel668921274[[#This Row],[Oth. ch. DW 2017]]+Tabel668921274[[#This Row],[VAT DW 2017]]</f>
        <v>140.69537020356691</v>
      </c>
      <c r="L139" s="322">
        <f>386/F139</f>
        <v>144.86879240977601</v>
      </c>
      <c r="M139" s="559"/>
      <c r="N139" s="323">
        <v>0</v>
      </c>
      <c r="O139" s="559"/>
      <c r="P139" s="324">
        <v>0</v>
      </c>
      <c r="Q139" s="559"/>
      <c r="R139" s="317">
        <f>Tabel668921274[[#This Row],[VAT DW 2017]]+Tabel668921274[[#This Row],[VAT Sew. 2017]]+Tabel668921274[[#This Row],[VAT WW 2017]]+Tabel668921274[[#This Row],[VAT Other ch. 2017]]</f>
        <v>0</v>
      </c>
      <c r="S139" s="318">
        <f>Tabel668921274[[#This Row],[Total. ch. DW 2017]]+Tabel668921274[[#This Row],[Sew. 2017]]+Tabel668921274[[#This Row],[VAT Sew. 2017]]+Tabel668921274[[#This Row],[WW 2017]]+Tabel668921274[[#This Row],[VAT WW 2017]]+Tabel668921274[[#This Row],[Other ch. 2017]]+Tabel668921274[[#This Row],[VAT Other ch. 2017]]</f>
        <v>285.56416261334289</v>
      </c>
      <c r="T139" s="397"/>
      <c r="U139" s="1841"/>
      <c r="V139" s="1844"/>
      <c r="W139" s="1847"/>
      <c r="X139" s="577"/>
      <c r="Y139" s="1850"/>
      <c r="Z139" s="1853"/>
      <c r="AA139" s="577"/>
      <c r="AB139" s="1856"/>
      <c r="AC139" s="577"/>
      <c r="AD139" s="1859"/>
      <c r="AE139" s="577"/>
      <c r="AF139" s="1874"/>
      <c r="AG139" s="2051"/>
      <c r="AH139" s="397"/>
      <c r="AI139" s="398"/>
      <c r="AJ139" s="398"/>
      <c r="AK139" s="398"/>
      <c r="AL139" s="398"/>
      <c r="AM139" s="396" t="s">
        <v>429</v>
      </c>
      <c r="AN139" s="398"/>
      <c r="AO139" s="398" t="s">
        <v>444</v>
      </c>
      <c r="AP139" s="397"/>
    </row>
    <row r="140" spans="1:42" ht="16.5" hidden="1" thickBot="1" x14ac:dyDescent="0.3">
      <c r="A140" s="270" t="s">
        <v>50</v>
      </c>
      <c r="B140" s="297"/>
      <c r="C140" s="1050"/>
      <c r="D140" s="817" t="s">
        <v>1082</v>
      </c>
      <c r="E140" s="303"/>
      <c r="F140" s="309"/>
      <c r="G140" s="325"/>
      <c r="H140" s="326"/>
      <c r="I140" s="327"/>
      <c r="J140" s="561"/>
      <c r="K140" s="313">
        <f>Tabel668921274[[#This Row],[Fix.ch. 2017]]+Tabel668921274[[#This Row],[Var. ch. 2017]]+Tabel668921274[[#This Row],[Oth. ch. DW 2017]]+Tabel668921274[[#This Row],[VAT DW 2017]]</f>
        <v>0</v>
      </c>
      <c r="L140" s="328"/>
      <c r="M140" s="561"/>
      <c r="N140" s="329"/>
      <c r="O140" s="561"/>
      <c r="P140" s="330"/>
      <c r="Q140" s="561"/>
      <c r="R140" s="317">
        <f>Tabel668921274[[#This Row],[VAT DW 2017]]+Tabel668921274[[#This Row],[VAT Sew. 2017]]+Tabel668921274[[#This Row],[VAT WW 2017]]+Tabel668921274[[#This Row],[VAT Other ch. 2017]]</f>
        <v>0</v>
      </c>
      <c r="S140" s="318">
        <f>Tabel668921274[[#This Row],[Total. ch. DW 2017]]+Tabel668921274[[#This Row],[Sew. 2017]]+Tabel668921274[[#This Row],[VAT Sew. 2017]]+Tabel668921274[[#This Row],[WW 2017]]+Tabel668921274[[#This Row],[VAT WW 2017]]+Tabel668921274[[#This Row],[Other ch. 2017]]+Tabel668921274[[#This Row],[VAT Other ch. 2017]]</f>
        <v>0</v>
      </c>
      <c r="T140" s="397"/>
      <c r="U140" s="349"/>
      <c r="V140" s="350"/>
      <c r="W140" s="351"/>
      <c r="X140" s="582"/>
      <c r="Y140" s="352"/>
      <c r="Z140" s="353"/>
      <c r="AA140" s="582"/>
      <c r="AB140" s="354"/>
      <c r="AC140" s="582"/>
      <c r="AD140" s="355"/>
      <c r="AE140" s="582"/>
      <c r="AF140" s="356"/>
      <c r="AG140" s="357"/>
      <c r="AH140" s="397"/>
      <c r="AI140" s="398"/>
      <c r="AJ140" s="398"/>
      <c r="AK140" s="398"/>
      <c r="AL140" s="398"/>
      <c r="AM140" s="398"/>
      <c r="AN140" s="398"/>
      <c r="AO140" s="398"/>
      <c r="AP140" s="397"/>
    </row>
    <row r="141" spans="1:42" ht="19.5" hidden="1" thickBot="1" x14ac:dyDescent="0.35">
      <c r="A141" s="695" t="s">
        <v>586</v>
      </c>
      <c r="B141" s="696" t="s">
        <v>587</v>
      </c>
      <c r="C141" s="760"/>
      <c r="D141" s="812" t="s">
        <v>1084</v>
      </c>
      <c r="E141" s="697">
        <v>114400</v>
      </c>
      <c r="F141" s="616">
        <f>'exchange rates'!O37</f>
        <v>8.0445100000000007</v>
      </c>
      <c r="G141" s="549">
        <f>0</f>
        <v>0</v>
      </c>
      <c r="H141" s="550">
        <f>678.05/F141</f>
        <v>84.287296553798782</v>
      </c>
      <c r="I141" s="551">
        <v>0</v>
      </c>
      <c r="J141" s="560">
        <v>0</v>
      </c>
      <c r="K141" s="566">
        <f>Tabel668921274[[#This Row],[Fix.ch. 2017]]+Tabel668921274[[#This Row],[Var. ch. 2017]]+Tabel668921274[[#This Row],[Oth. ch. DW 2017]]+Tabel668921274[[#This Row],[VAT DW 2017]]</f>
        <v>84.287296553798782</v>
      </c>
      <c r="L141" s="567">
        <v>0</v>
      </c>
      <c r="M141" s="560">
        <v>0</v>
      </c>
      <c r="N141" s="568">
        <v>0</v>
      </c>
      <c r="O141" s="560">
        <v>0</v>
      </c>
      <c r="P141" s="569">
        <v>0</v>
      </c>
      <c r="Q141" s="560">
        <v>0</v>
      </c>
      <c r="R141" s="570">
        <f>Tabel668921274[[#This Row],[VAT DW 2017]]+Tabel668921274[[#This Row],[VAT Sew. 2017]]+Tabel668921274[[#This Row],[VAT WW 2017]]+Tabel668921274[[#This Row],[VAT Other ch. 2017]]</f>
        <v>0</v>
      </c>
      <c r="S141" s="571">
        <f>Tabel668921274[[#This Row],[Total. ch. DW 2017]]+Tabel668921274[[#This Row],[Sew. 2017]]+Tabel668921274[[#This Row],[VAT Sew. 2017]]+Tabel668921274[[#This Row],[WW 2017]]+Tabel668921274[[#This Row],[VAT WW 2017]]+Tabel668921274[[#This Row],[Other ch. 2017]]+Tabel668921274[[#This Row],[VAT Other ch. 2017]]</f>
        <v>84.287296553798782</v>
      </c>
      <c r="T141" s="397"/>
      <c r="U141" s="672">
        <v>0</v>
      </c>
      <c r="V141" s="673">
        <f>Tabel668921274[[#This Row],[Var. ch. 2017]]</f>
        <v>84.287296553798782</v>
      </c>
      <c r="W141" s="674">
        <v>0</v>
      </c>
      <c r="X141" s="675">
        <v>0</v>
      </c>
      <c r="Y141" s="676">
        <f>Tabel668921274[[#This Row],[Total. ch. DW 2017]]</f>
        <v>84.287296553798782</v>
      </c>
      <c r="Z141" s="677">
        <v>0</v>
      </c>
      <c r="AA141" s="675">
        <v>0</v>
      </c>
      <c r="AB141" s="678">
        <v>0</v>
      </c>
      <c r="AC141" s="675">
        <v>0</v>
      </c>
      <c r="AD141" s="679">
        <v>0</v>
      </c>
      <c r="AE141" s="675">
        <v>0</v>
      </c>
      <c r="AF141" s="680">
        <v>0</v>
      </c>
      <c r="AG141" s="681">
        <f>Tabel668921274[[#This Row],[total charge 2017]]</f>
        <v>84.287296553798782</v>
      </c>
      <c r="AH141" s="397"/>
      <c r="AI141" s="398"/>
      <c r="AJ141" s="396"/>
      <c r="AK141" s="398"/>
      <c r="AL141" s="591" t="s">
        <v>429</v>
      </c>
      <c r="AM141" s="398"/>
      <c r="AN141" s="398"/>
      <c r="AO141" s="398"/>
      <c r="AP141" s="397"/>
    </row>
    <row r="142" spans="1:42" ht="19.5" hidden="1" thickBot="1" x14ac:dyDescent="0.35">
      <c r="A142" s="267" t="s">
        <v>36</v>
      </c>
      <c r="B142" s="261" t="s">
        <v>181</v>
      </c>
      <c r="C142" s="261"/>
      <c r="D142" s="808" t="s">
        <v>1086</v>
      </c>
      <c r="E142" s="301">
        <v>900</v>
      </c>
      <c r="F142" s="306">
        <v>163.83132000000001</v>
      </c>
      <c r="G142" s="319">
        <f>363/F142</f>
        <v>2.2156935560306783</v>
      </c>
      <c r="H142" s="320">
        <f>(124*200)/F142</f>
        <v>151.37520713377637</v>
      </c>
      <c r="I142" s="321">
        <v>0</v>
      </c>
      <c r="J142" s="559"/>
      <c r="K142" s="313">
        <f>Tabel668921274[[#This Row],[Fix.ch. 2017]]+Tabel668921274[[#This Row],[Var. ch. 2017]]+Tabel668921274[[#This Row],[Oth. ch. DW 2017]]+Tabel668921274[[#This Row],[VAT DW 2017]]</f>
        <v>153.59090068980706</v>
      </c>
      <c r="L142" s="322">
        <v>0</v>
      </c>
      <c r="M142" s="559"/>
      <c r="N142" s="323">
        <v>0</v>
      </c>
      <c r="O142" s="559"/>
      <c r="P142" s="324">
        <v>0</v>
      </c>
      <c r="Q142" s="559"/>
      <c r="R142" s="317">
        <f>Tabel668921274[[#This Row],[VAT DW 2017]]+Tabel668921274[[#This Row],[VAT Sew. 2017]]+Tabel668921274[[#This Row],[VAT WW 2017]]+Tabel668921274[[#This Row],[VAT Other ch. 2017]]</f>
        <v>0</v>
      </c>
      <c r="S142" s="318">
        <f>Tabel668921274[[#This Row],[Total. ch. DW 2017]]+Tabel668921274[[#This Row],[Sew. 2017]]+Tabel668921274[[#This Row],[VAT Sew. 2017]]+Tabel668921274[[#This Row],[WW 2017]]+Tabel668921274[[#This Row],[VAT WW 2017]]+Tabel668921274[[#This Row],[Other ch. 2017]]+Tabel668921274[[#This Row],[VAT Other ch. 2017]]</f>
        <v>153.59090068980706</v>
      </c>
      <c r="T142" s="397"/>
      <c r="U142" s="331">
        <f>Tabel668921274[[#This Row],[Fix.ch. 2017]]</f>
        <v>2.2156935560306783</v>
      </c>
      <c r="V142" s="332">
        <f>Tabel668921274[[#This Row],[Var. ch. 2017]]</f>
        <v>151.37520713377637</v>
      </c>
      <c r="W142" s="333">
        <v>0</v>
      </c>
      <c r="X142" s="574"/>
      <c r="Y142" s="334">
        <v>0</v>
      </c>
      <c r="Z142" s="335">
        <v>0</v>
      </c>
      <c r="AA142" s="574"/>
      <c r="AB142" s="336">
        <v>0</v>
      </c>
      <c r="AC142" s="574"/>
      <c r="AD142" s="337">
        <v>0</v>
      </c>
      <c r="AE142" s="574"/>
      <c r="AF142" s="338">
        <v>0</v>
      </c>
      <c r="AG142" s="339">
        <f>Tabel668921274[[#This Row],[total charge 2017]]</f>
        <v>153.59090068980706</v>
      </c>
      <c r="AH142" s="397"/>
      <c r="AI142" s="398"/>
      <c r="AJ142" s="398"/>
      <c r="AK142" s="398"/>
      <c r="AL142" s="396" t="s">
        <v>429</v>
      </c>
      <c r="AM142" s="396" t="s">
        <v>429</v>
      </c>
      <c r="AN142" s="398"/>
      <c r="AO142" s="398"/>
      <c r="AP142" s="397"/>
    </row>
    <row r="143" spans="1:42" ht="19.5" hidden="1" thickBot="1" x14ac:dyDescent="0.35">
      <c r="A143" s="669" t="s">
        <v>774</v>
      </c>
      <c r="B143" s="645" t="s">
        <v>775</v>
      </c>
      <c r="C143" s="751"/>
      <c r="D143" s="818" t="s">
        <v>1088</v>
      </c>
      <c r="E143" s="671">
        <v>42500</v>
      </c>
      <c r="F143" s="616">
        <f>'exchange rates'!O39</f>
        <v>0.83301000000000003</v>
      </c>
      <c r="G143" s="549">
        <f>59/F143</f>
        <v>70.827481062652311</v>
      </c>
      <c r="H143" s="550">
        <f>143.39/F143</f>
        <v>172.13478829785956</v>
      </c>
      <c r="I143" s="551">
        <v>0</v>
      </c>
      <c r="J143" s="560">
        <v>0</v>
      </c>
      <c r="K143" s="566">
        <f>Tabel668921274[[#This Row],[Fix.ch. 2017]]+Tabel668921274[[#This Row],[Var. ch. 2017]]+Tabel668921274[[#This Row],[Oth. ch. DW 2017]]+Tabel668921274[[#This Row],[VAT DW 2017]]</f>
        <v>242.96226936051187</v>
      </c>
      <c r="L143" s="567">
        <v>0</v>
      </c>
      <c r="M143" s="560">
        <v>0</v>
      </c>
      <c r="N143" s="568">
        <v>0</v>
      </c>
      <c r="O143" s="560">
        <v>0</v>
      </c>
      <c r="P143" s="569">
        <v>0</v>
      </c>
      <c r="Q143" s="560">
        <v>0</v>
      </c>
      <c r="R143" s="570">
        <f>Tabel668921274[[#This Row],[VAT DW 2017]]+Tabel668921274[[#This Row],[VAT Sew. 2017]]+Tabel668921274[[#This Row],[VAT WW 2017]]+Tabel668921274[[#This Row],[VAT Other ch. 2017]]</f>
        <v>0</v>
      </c>
      <c r="S143" s="571">
        <f>Tabel668921274[[#This Row],[Total. ch. DW 2017]]+Tabel668921274[[#This Row],[Sew. 2017]]+Tabel668921274[[#This Row],[VAT Sew. 2017]]+Tabel668921274[[#This Row],[WW 2017]]+Tabel668921274[[#This Row],[VAT WW 2017]]+Tabel668921274[[#This Row],[Other ch. 2017]]+Tabel668921274[[#This Row],[VAT Other ch. 2017]]</f>
        <v>242.96226936051187</v>
      </c>
      <c r="T143" s="397"/>
      <c r="U143" s="672">
        <f>Tabel668921274[[#This Row],[Fix.ch. 2017]]</f>
        <v>70.827481062652311</v>
      </c>
      <c r="V143" s="673">
        <f>Tabel668921274[[#This Row],[Var. ch. 2017]]</f>
        <v>172.13478829785956</v>
      </c>
      <c r="W143" s="674">
        <f>Tabel668921274[[#This Row],[Oth. ch. DW 2017]]</f>
        <v>0</v>
      </c>
      <c r="X143" s="675">
        <f>Tabel668921274[[#This Row],[VAT DW 2017]]</f>
        <v>0</v>
      </c>
      <c r="Y143" s="676">
        <f>Tabel668921274[[#This Row],[Total. ch. DW 2017]]</f>
        <v>242.96226936051187</v>
      </c>
      <c r="Z143" s="677">
        <f>Tabel668921274[[#This Row],[Sew. 2017]]</f>
        <v>0</v>
      </c>
      <c r="AA143" s="675">
        <f>Tabel668921274[[#This Row],[VAT Sew. 2017]]</f>
        <v>0</v>
      </c>
      <c r="AB143" s="678">
        <f>Tabel668921274[[#This Row],[WW 2017]]</f>
        <v>0</v>
      </c>
      <c r="AC143" s="675">
        <f>Tabel668921274[[#This Row],[VAT WW 2017]]</f>
        <v>0</v>
      </c>
      <c r="AD143" s="679">
        <f>Tabel668921274[[#This Row],[Other ch. 2017]]</f>
        <v>0</v>
      </c>
      <c r="AE143" s="675">
        <f>Tabel668921274[[#This Row],[VAT Other ch. 2017]]</f>
        <v>0</v>
      </c>
      <c r="AF143" s="680">
        <f>Tabel668921274[[#This Row],[Total VAT 2017]]</f>
        <v>0</v>
      </c>
      <c r="AG143" s="681">
        <f>Tabel668921274[[#This Row],[total charge 2017]]</f>
        <v>242.96226936051187</v>
      </c>
      <c r="AH143" s="397"/>
      <c r="AI143" s="398"/>
      <c r="AJ143" s="398"/>
      <c r="AK143" s="398"/>
      <c r="AL143" s="591" t="s">
        <v>429</v>
      </c>
      <c r="AM143" s="591" t="s">
        <v>429</v>
      </c>
      <c r="AN143" s="398"/>
      <c r="AO143" s="398"/>
      <c r="AP143" s="397"/>
    </row>
    <row r="144" spans="1:42" ht="19.5" hidden="1" thickBot="1" x14ac:dyDescent="0.35">
      <c r="A144" s="267" t="s">
        <v>37</v>
      </c>
      <c r="B144" s="526" t="s">
        <v>37</v>
      </c>
      <c r="C144" s="808"/>
      <c r="D144" s="808" t="s">
        <v>1090</v>
      </c>
      <c r="E144" s="301">
        <v>19500</v>
      </c>
      <c r="F144" s="306">
        <f>'exchange rates'!M40</f>
        <v>35.849890000000002</v>
      </c>
      <c r="G144" s="319">
        <f>660/F144</f>
        <v>18.410098329450939</v>
      </c>
      <c r="H144" s="320">
        <f>732/F144</f>
        <v>20.418472692663769</v>
      </c>
      <c r="I144" s="321">
        <v>0</v>
      </c>
      <c r="J144" s="559"/>
      <c r="K144" s="313">
        <f>Tabel668921274[[#This Row],[Fix.ch. 2017]]+Tabel668921274[[#This Row],[Var. ch. 2017]]+Tabel668921274[[#This Row],[Oth. ch. DW 2017]]+Tabel668921274[[#This Row],[VAT DW 2017]]</f>
        <v>38.828571022114708</v>
      </c>
      <c r="L144" s="322">
        <f>7.515/F144</f>
        <v>0.2096240741603391</v>
      </c>
      <c r="M144" s="559"/>
      <c r="N144" s="323">
        <f>1650/F144</f>
        <v>46.025245823627351</v>
      </c>
      <c r="O144" s="559"/>
      <c r="P144" s="324">
        <v>0</v>
      </c>
      <c r="Q144" s="559"/>
      <c r="R144" s="317">
        <f>Tabel668921274[[#This Row],[VAT DW 2017]]+Tabel668921274[[#This Row],[VAT Sew. 2017]]+Tabel668921274[[#This Row],[VAT WW 2017]]+Tabel668921274[[#This Row],[VAT Other ch. 2017]]</f>
        <v>0</v>
      </c>
      <c r="S144" s="318">
        <f>Tabel668921274[[#This Row],[Total. ch. DW 2017]]+Tabel668921274[[#This Row],[Sew. 2017]]+Tabel668921274[[#This Row],[VAT Sew. 2017]]+Tabel668921274[[#This Row],[WW 2017]]+Tabel668921274[[#This Row],[VAT WW 2017]]+Tabel668921274[[#This Row],[Other ch. 2017]]+Tabel668921274[[#This Row],[VAT Other ch. 2017]]</f>
        <v>85.063440919902405</v>
      </c>
      <c r="T144" s="397"/>
      <c r="U144" s="331">
        <f>Tabel668921274[[#This Row],[Fix.ch. 2017]]</f>
        <v>18.410098329450939</v>
      </c>
      <c r="V144" s="332">
        <f>Tabel668921274[[#This Row],[Var. ch. 2017]]</f>
        <v>20.418472692663769</v>
      </c>
      <c r="W144" s="333">
        <v>0</v>
      </c>
      <c r="X144" s="574"/>
      <c r="Y144" s="334">
        <f>Tabel668921274[[#This Row],[Total. ch. DW 2017]]</f>
        <v>38.828571022114708</v>
      </c>
      <c r="Z144" s="335">
        <f>Tabel668921274[[#This Row],[Sew. 2017]]</f>
        <v>0.2096240741603391</v>
      </c>
      <c r="AA144" s="574"/>
      <c r="AB144" s="336">
        <f>Tabel668921274[[#This Row],[WW 2017]]</f>
        <v>46.025245823627351</v>
      </c>
      <c r="AC144" s="574"/>
      <c r="AD144" s="337">
        <v>0</v>
      </c>
      <c r="AE144" s="574"/>
      <c r="AF144" s="338">
        <v>0</v>
      </c>
      <c r="AG144" s="339">
        <f>Tabel668921274[[#This Row],[total charge 2017]]</f>
        <v>85.063440919902405</v>
      </c>
      <c r="AH144" s="397"/>
      <c r="AI144" s="398"/>
      <c r="AJ144" s="398"/>
      <c r="AK144" s="398"/>
      <c r="AL144" s="396" t="s">
        <v>429</v>
      </c>
      <c r="AM144" s="398"/>
      <c r="AN144" s="398"/>
      <c r="AO144" s="398"/>
      <c r="AP144" s="397"/>
    </row>
    <row r="145" spans="1:42" ht="18" hidden="1" customHeight="1" x14ac:dyDescent="0.25">
      <c r="A145" s="1795" t="s">
        <v>38</v>
      </c>
      <c r="B145" s="659" t="s">
        <v>620</v>
      </c>
      <c r="C145" s="752"/>
      <c r="D145" s="816" t="s">
        <v>1092</v>
      </c>
      <c r="E145" s="1983">
        <v>19500</v>
      </c>
      <c r="F145" s="616">
        <f>'exchange rates'!$O$41</f>
        <v>19.670400000000001</v>
      </c>
      <c r="G145" s="549">
        <f>1390/F145</f>
        <v>70.664551813892956</v>
      </c>
      <c r="H145" s="550">
        <v>0</v>
      </c>
      <c r="I145" s="551">
        <v>0</v>
      </c>
      <c r="J145" s="560">
        <v>0</v>
      </c>
      <c r="K145" s="566">
        <f>Tabel668921274[[#This Row],[Fix.ch. 2017]]+Tabel668921274[[#This Row],[Var. ch. 2017]]+Tabel668921274[[#This Row],[Oth. ch. DW 2017]]+Tabel668921274[[#This Row],[VAT DW 2017]]</f>
        <v>70.664551813892956</v>
      </c>
      <c r="L145" s="567">
        <v>0</v>
      </c>
      <c r="M145" s="560">
        <v>0</v>
      </c>
      <c r="N145" s="568">
        <f>460/F145</f>
        <v>23.385391247763135</v>
      </c>
      <c r="O145" s="560">
        <v>0</v>
      </c>
      <c r="P145" s="569">
        <v>0</v>
      </c>
      <c r="Q145" s="560">
        <v>0</v>
      </c>
      <c r="R145" s="570">
        <f>Tabel668921274[[#This Row],[VAT DW 2017]]+Tabel668921274[[#This Row],[VAT Sew. 2017]]+Tabel668921274[[#This Row],[VAT WW 2017]]+Tabel668921274[[#This Row],[VAT Other ch. 2017]]</f>
        <v>0</v>
      </c>
      <c r="S145" s="571">
        <f>Tabel668921274[[#This Row],[Total. ch. DW 2017]]+Tabel668921274[[#This Row],[Sew. 2017]]+Tabel668921274[[#This Row],[VAT Sew. 2017]]+Tabel668921274[[#This Row],[WW 2017]]+Tabel668921274[[#This Row],[VAT WW 2017]]+Tabel668921274[[#This Row],[Other ch. 2017]]+Tabel668921274[[#This Row],[VAT Other ch. 2017]]</f>
        <v>94.049943061656094</v>
      </c>
      <c r="T145" s="430"/>
      <c r="U145" s="1824">
        <f>MEDIAN(G145:G150)</f>
        <v>87.441028143809987</v>
      </c>
      <c r="V145" s="1825">
        <f>MEDIAN(H145:H150)</f>
        <v>0</v>
      </c>
      <c r="W145" s="1826">
        <f>MEDIAN(I145:I150)</f>
        <v>0</v>
      </c>
      <c r="X145" s="1908">
        <f>MEDIAN(J145:J150)</f>
        <v>0</v>
      </c>
      <c r="Y145" s="1827">
        <f>SUM(U145:X150)</f>
        <v>87.441028143809987</v>
      </c>
      <c r="Z145" s="1828">
        <f t="shared" ref="Z145:AF145" si="22">MEDIAN(L145:L150)</f>
        <v>0</v>
      </c>
      <c r="AA145" s="1908">
        <f t="shared" si="22"/>
        <v>0</v>
      </c>
      <c r="AB145" s="1829">
        <f t="shared" si="22"/>
        <v>8.6424272002602898</v>
      </c>
      <c r="AC145" s="1908">
        <f t="shared" si="22"/>
        <v>0</v>
      </c>
      <c r="AD145" s="1830">
        <f t="shared" si="22"/>
        <v>0</v>
      </c>
      <c r="AE145" s="1908">
        <f t="shared" si="22"/>
        <v>0</v>
      </c>
      <c r="AF145" s="1816">
        <f t="shared" si="22"/>
        <v>0</v>
      </c>
      <c r="AG145" s="2052">
        <f>Y145+Z145+AA145+AB145+AC145+AD145+AE145</f>
        <v>96.083455344070273</v>
      </c>
      <c r="AH145" s="397"/>
      <c r="AI145" s="591" t="s">
        <v>429</v>
      </c>
      <c r="AJ145" s="591" t="s">
        <v>429</v>
      </c>
      <c r="AK145" s="591"/>
      <c r="AL145" s="591"/>
      <c r="AM145" s="591" t="s">
        <v>429</v>
      </c>
      <c r="AN145" s="591" t="s">
        <v>429</v>
      </c>
      <c r="AO145" s="398"/>
      <c r="AP145" s="397"/>
    </row>
    <row r="146" spans="1:42" ht="15.75" hidden="1" x14ac:dyDescent="0.25">
      <c r="A146" s="1796"/>
      <c r="B146" s="657" t="s">
        <v>889</v>
      </c>
      <c r="C146" s="747" t="s">
        <v>429</v>
      </c>
      <c r="D146" s="815" t="s">
        <v>1092</v>
      </c>
      <c r="E146" s="1880"/>
      <c r="F146" s="616">
        <f>'exchange rates'!$O$41</f>
        <v>19.670400000000001</v>
      </c>
      <c r="G146" s="549">
        <f>2080/F146</f>
        <v>105.74263868553766</v>
      </c>
      <c r="H146" s="550">
        <v>0</v>
      </c>
      <c r="I146" s="551">
        <v>0</v>
      </c>
      <c r="J146" s="560">
        <v>0</v>
      </c>
      <c r="K146" s="566">
        <f>Tabel668921274[[#This Row],[Fix.ch. 2017]]+Tabel668921274[[#This Row],[Var. ch. 2017]]+Tabel668921274[[#This Row],[Oth. ch. DW 2017]]+Tabel668921274[[#This Row],[VAT DW 2017]]</f>
        <v>105.74263868553766</v>
      </c>
      <c r="L146" s="567">
        <v>0</v>
      </c>
      <c r="M146" s="560">
        <v>0</v>
      </c>
      <c r="N146" s="568">
        <v>0</v>
      </c>
      <c r="O146" s="560">
        <v>0</v>
      </c>
      <c r="P146" s="569">
        <v>0</v>
      </c>
      <c r="Q146" s="560">
        <v>0</v>
      </c>
      <c r="R146" s="570">
        <f>Tabel668921274[[#This Row],[VAT DW 2017]]+Tabel668921274[[#This Row],[VAT Sew. 2017]]+Tabel668921274[[#This Row],[VAT WW 2017]]+Tabel668921274[[#This Row],[VAT Other ch. 2017]]</f>
        <v>0</v>
      </c>
      <c r="S146" s="571">
        <f>Tabel668921274[[#This Row],[Total. ch. DW 2017]]+Tabel668921274[[#This Row],[Sew. 2017]]+Tabel668921274[[#This Row],[VAT Sew. 2017]]+Tabel668921274[[#This Row],[WW 2017]]+Tabel668921274[[#This Row],[VAT WW 2017]]+Tabel668921274[[#This Row],[Other ch. 2017]]+Tabel668921274[[#This Row],[VAT Other ch. 2017]]</f>
        <v>105.74263868553766</v>
      </c>
      <c r="T146" s="430"/>
      <c r="U146" s="1886"/>
      <c r="V146" s="1888"/>
      <c r="W146" s="1890"/>
      <c r="X146" s="1783"/>
      <c r="Y146" s="1892"/>
      <c r="Z146" s="1894"/>
      <c r="AA146" s="1783"/>
      <c r="AB146" s="1911"/>
      <c r="AC146" s="1783"/>
      <c r="AD146" s="1913"/>
      <c r="AE146" s="1783"/>
      <c r="AF146" s="1915"/>
      <c r="AG146" s="2053"/>
      <c r="AH146" s="397"/>
      <c r="AI146" s="396"/>
      <c r="AJ146" s="398"/>
      <c r="AK146" s="398"/>
      <c r="AL146" s="396"/>
      <c r="AM146" s="591" t="s">
        <v>429</v>
      </c>
      <c r="AN146" s="591" t="s">
        <v>429</v>
      </c>
      <c r="AO146" s="398"/>
      <c r="AP146" s="397"/>
    </row>
    <row r="147" spans="1:42" ht="15.75" hidden="1" x14ac:dyDescent="0.25">
      <c r="A147" s="1796"/>
      <c r="B147" s="657" t="s">
        <v>621</v>
      </c>
      <c r="C147" s="747"/>
      <c r="D147" s="815" t="s">
        <v>1092</v>
      </c>
      <c r="E147" s="1760"/>
      <c r="F147" s="616">
        <f>'exchange rates'!$O$41</f>
        <v>19.670400000000001</v>
      </c>
      <c r="G147" s="549">
        <f>1130/F147</f>
        <v>57.446721978200749</v>
      </c>
      <c r="H147" s="550">
        <v>0</v>
      </c>
      <c r="I147" s="551">
        <v>0</v>
      </c>
      <c r="J147" s="560">
        <v>0</v>
      </c>
      <c r="K147" s="566">
        <f>Tabel668921274[[#This Row],[Fix.ch. 2017]]+Tabel668921274[[#This Row],[Var. ch. 2017]]+Tabel668921274[[#This Row],[Oth. ch. DW 2017]]+Tabel668921274[[#This Row],[VAT DW 2017]]</f>
        <v>57.446721978200749</v>
      </c>
      <c r="L147" s="567">
        <v>0</v>
      </c>
      <c r="M147" s="560">
        <v>0</v>
      </c>
      <c r="N147" s="568">
        <f>80/F147</f>
        <v>4.0670245648283716</v>
      </c>
      <c r="O147" s="560">
        <v>0</v>
      </c>
      <c r="P147" s="569">
        <v>0</v>
      </c>
      <c r="Q147" s="560">
        <v>0</v>
      </c>
      <c r="R147" s="570">
        <f>Tabel668921274[[#This Row],[VAT DW 2017]]+Tabel668921274[[#This Row],[VAT Sew. 2017]]+Tabel668921274[[#This Row],[VAT WW 2017]]+Tabel668921274[[#This Row],[VAT Other ch. 2017]]</f>
        <v>0</v>
      </c>
      <c r="S147" s="571">
        <f>Tabel668921274[[#This Row],[Total. ch. DW 2017]]+Tabel668921274[[#This Row],[Sew. 2017]]+Tabel668921274[[#This Row],[VAT Sew. 2017]]+Tabel668921274[[#This Row],[WW 2017]]+Tabel668921274[[#This Row],[VAT WW 2017]]+Tabel668921274[[#This Row],[Other ch. 2017]]+Tabel668921274[[#This Row],[VAT Other ch. 2017]]</f>
        <v>61.513746543029121</v>
      </c>
      <c r="T147" s="430"/>
      <c r="U147" s="1886"/>
      <c r="V147" s="1888"/>
      <c r="W147" s="1890"/>
      <c r="X147" s="1783"/>
      <c r="Y147" s="1892"/>
      <c r="Z147" s="1894"/>
      <c r="AA147" s="1783"/>
      <c r="AB147" s="1911"/>
      <c r="AC147" s="1783"/>
      <c r="AD147" s="1913"/>
      <c r="AE147" s="1783"/>
      <c r="AF147" s="1915"/>
      <c r="AG147" s="2053"/>
      <c r="AH147" s="397"/>
      <c r="AI147" s="591" t="s">
        <v>429</v>
      </c>
      <c r="AJ147" s="398"/>
      <c r="AK147" s="398"/>
      <c r="AL147" s="396"/>
      <c r="AM147" s="591" t="s">
        <v>429</v>
      </c>
      <c r="AN147" s="591" t="s">
        <v>429</v>
      </c>
      <c r="AO147" s="398"/>
      <c r="AP147" s="397"/>
    </row>
    <row r="148" spans="1:42" ht="15.75" hidden="1" x14ac:dyDescent="0.25">
      <c r="A148" s="1796"/>
      <c r="B148" s="657" t="s">
        <v>622</v>
      </c>
      <c r="C148" s="747"/>
      <c r="D148" s="815" t="s">
        <v>1092</v>
      </c>
      <c r="E148" s="1760"/>
      <c r="F148" s="616">
        <f>'exchange rates'!$O$41</f>
        <v>19.670400000000001</v>
      </c>
      <c r="G148" s="549">
        <f>2300/F148</f>
        <v>116.92695623881568</v>
      </c>
      <c r="H148" s="550">
        <v>0</v>
      </c>
      <c r="I148" s="551">
        <v>0</v>
      </c>
      <c r="J148" s="560">
        <v>0</v>
      </c>
      <c r="K148" s="566">
        <f>Tabel668921274[[#This Row],[Fix.ch. 2017]]+Tabel668921274[[#This Row],[Var. ch. 2017]]+Tabel668921274[[#This Row],[Oth. ch. DW 2017]]+Tabel668921274[[#This Row],[VAT DW 2017]]</f>
        <v>116.92695623881568</v>
      </c>
      <c r="L148" s="567">
        <v>0</v>
      </c>
      <c r="M148" s="560">
        <v>0</v>
      </c>
      <c r="N148" s="568">
        <v>0</v>
      </c>
      <c r="O148" s="560">
        <v>0</v>
      </c>
      <c r="P148" s="569">
        <v>0</v>
      </c>
      <c r="Q148" s="560">
        <v>0</v>
      </c>
      <c r="R148" s="570">
        <f>Tabel668921274[[#This Row],[VAT DW 2017]]+Tabel668921274[[#This Row],[VAT Sew. 2017]]+Tabel668921274[[#This Row],[VAT WW 2017]]+Tabel668921274[[#This Row],[VAT Other ch. 2017]]</f>
        <v>0</v>
      </c>
      <c r="S148" s="571">
        <f>Tabel668921274[[#This Row],[Total. ch. DW 2017]]+Tabel668921274[[#This Row],[Sew. 2017]]+Tabel668921274[[#This Row],[VAT Sew. 2017]]+Tabel668921274[[#This Row],[WW 2017]]+Tabel668921274[[#This Row],[VAT WW 2017]]+Tabel668921274[[#This Row],[Other ch. 2017]]+Tabel668921274[[#This Row],[VAT Other ch. 2017]]</f>
        <v>116.92695623881568</v>
      </c>
      <c r="T148" s="430"/>
      <c r="U148" s="1886"/>
      <c r="V148" s="1888"/>
      <c r="W148" s="1890"/>
      <c r="X148" s="1783"/>
      <c r="Y148" s="1892"/>
      <c r="Z148" s="1894"/>
      <c r="AA148" s="1783"/>
      <c r="AB148" s="1911"/>
      <c r="AC148" s="1783"/>
      <c r="AD148" s="1913"/>
      <c r="AE148" s="1783"/>
      <c r="AF148" s="1915"/>
      <c r="AG148" s="2053"/>
      <c r="AH148" s="397"/>
      <c r="AI148" s="396"/>
      <c r="AJ148" s="398"/>
      <c r="AK148" s="398"/>
      <c r="AL148" s="396"/>
      <c r="AM148" s="591" t="s">
        <v>429</v>
      </c>
      <c r="AN148" s="591" t="s">
        <v>429</v>
      </c>
      <c r="AO148" s="398"/>
      <c r="AP148" s="397"/>
    </row>
    <row r="149" spans="1:42" ht="15.75" hidden="1" x14ac:dyDescent="0.25">
      <c r="A149" s="1796"/>
      <c r="B149" s="657" t="s">
        <v>623</v>
      </c>
      <c r="C149" s="747"/>
      <c r="D149" s="815" t="s">
        <v>1092</v>
      </c>
      <c r="E149" s="1760"/>
      <c r="F149" s="616">
        <f>'exchange rates'!$O$41</f>
        <v>19.670400000000001</v>
      </c>
      <c r="G149" s="549">
        <f>1200/F149</f>
        <v>61.005368472425573</v>
      </c>
      <c r="H149" s="550">
        <v>0</v>
      </c>
      <c r="I149" s="551">
        <v>0</v>
      </c>
      <c r="J149" s="560">
        <v>0</v>
      </c>
      <c r="K149" s="566">
        <f>Tabel668921274[[#This Row],[Fix.ch. 2017]]+Tabel668921274[[#This Row],[Var. ch. 2017]]+Tabel668921274[[#This Row],[Oth. ch. DW 2017]]+Tabel668921274[[#This Row],[VAT DW 2017]]</f>
        <v>61.005368472425573</v>
      </c>
      <c r="L149" s="567">
        <v>0</v>
      </c>
      <c r="M149" s="560">
        <v>0</v>
      </c>
      <c r="N149" s="568">
        <f>260/F149</f>
        <v>13.217829835692207</v>
      </c>
      <c r="O149" s="560">
        <v>0</v>
      </c>
      <c r="P149" s="569">
        <v>0</v>
      </c>
      <c r="Q149" s="560">
        <v>0</v>
      </c>
      <c r="R149" s="570">
        <f>Tabel668921274[[#This Row],[VAT DW 2017]]+Tabel668921274[[#This Row],[VAT Sew. 2017]]+Tabel668921274[[#This Row],[VAT WW 2017]]+Tabel668921274[[#This Row],[VAT Other ch. 2017]]</f>
        <v>0</v>
      </c>
      <c r="S149" s="571">
        <f>Tabel668921274[[#This Row],[Total. ch. DW 2017]]+Tabel668921274[[#This Row],[Sew. 2017]]+Tabel668921274[[#This Row],[VAT Sew. 2017]]+Tabel668921274[[#This Row],[WW 2017]]+Tabel668921274[[#This Row],[VAT WW 2017]]+Tabel668921274[[#This Row],[Other ch. 2017]]+Tabel668921274[[#This Row],[VAT Other ch. 2017]]</f>
        <v>74.223198308117787</v>
      </c>
      <c r="T149" s="430"/>
      <c r="U149" s="1886"/>
      <c r="V149" s="1888"/>
      <c r="W149" s="1890"/>
      <c r="X149" s="1783"/>
      <c r="Y149" s="1892"/>
      <c r="Z149" s="1894"/>
      <c r="AA149" s="1783"/>
      <c r="AB149" s="1911"/>
      <c r="AC149" s="1783"/>
      <c r="AD149" s="1913"/>
      <c r="AE149" s="1783"/>
      <c r="AF149" s="1915"/>
      <c r="AG149" s="2053"/>
      <c r="AH149" s="397"/>
      <c r="AI149" s="396"/>
      <c r="AJ149" s="398"/>
      <c r="AK149" s="398"/>
      <c r="AL149" s="396"/>
      <c r="AM149" s="591" t="s">
        <v>429</v>
      </c>
      <c r="AN149" s="591" t="s">
        <v>429</v>
      </c>
      <c r="AO149" s="398"/>
      <c r="AP149" s="397"/>
    </row>
    <row r="150" spans="1:42" ht="16.5" hidden="1" thickBot="1" x14ac:dyDescent="0.3">
      <c r="A150" s="1797"/>
      <c r="B150" s="657" t="s">
        <v>624</v>
      </c>
      <c r="C150" s="747"/>
      <c r="D150" s="819" t="s">
        <v>1092</v>
      </c>
      <c r="E150" s="1761"/>
      <c r="F150" s="616">
        <f>'exchange rates'!$O$41</f>
        <v>19.670400000000001</v>
      </c>
      <c r="G150" s="549">
        <f>2050/F150</f>
        <v>104.21750447372702</v>
      </c>
      <c r="H150" s="550">
        <v>0</v>
      </c>
      <c r="I150" s="551">
        <v>0</v>
      </c>
      <c r="J150" s="560">
        <v>0</v>
      </c>
      <c r="K150" s="566">
        <f>Tabel668921274[[#This Row],[Fix.ch. 2017]]+Tabel668921274[[#This Row],[Var. ch. 2017]]+Tabel668921274[[#This Row],[Oth. ch. DW 2017]]+Tabel668921274[[#This Row],[VAT DW 2017]]</f>
        <v>104.21750447372702</v>
      </c>
      <c r="L150" s="567">
        <v>0</v>
      </c>
      <c r="M150" s="560">
        <v>0</v>
      </c>
      <c r="N150" s="568">
        <f>340/F150</f>
        <v>17.28485440052058</v>
      </c>
      <c r="O150" s="560">
        <v>0</v>
      </c>
      <c r="P150" s="569">
        <v>0</v>
      </c>
      <c r="Q150" s="560">
        <v>0</v>
      </c>
      <c r="R150" s="570">
        <f>Tabel668921274[[#This Row],[VAT DW 2017]]+Tabel668921274[[#This Row],[VAT Sew. 2017]]+Tabel668921274[[#This Row],[VAT WW 2017]]+Tabel668921274[[#This Row],[VAT Other ch. 2017]]</f>
        <v>0</v>
      </c>
      <c r="S150" s="571">
        <f>Tabel668921274[[#This Row],[Total. ch. DW 2017]]+Tabel668921274[[#This Row],[Sew. 2017]]+Tabel668921274[[#This Row],[VAT Sew. 2017]]+Tabel668921274[[#This Row],[WW 2017]]+Tabel668921274[[#This Row],[VAT WW 2017]]+Tabel668921274[[#This Row],[Other ch. 2017]]+Tabel668921274[[#This Row],[VAT Other ch. 2017]]</f>
        <v>121.50235887424759</v>
      </c>
      <c r="T150" s="430"/>
      <c r="U150" s="1764"/>
      <c r="V150" s="1767"/>
      <c r="W150" s="1770"/>
      <c r="X150" s="1773"/>
      <c r="Y150" s="1776"/>
      <c r="Z150" s="1779"/>
      <c r="AA150" s="1773"/>
      <c r="AB150" s="1811"/>
      <c r="AC150" s="1773"/>
      <c r="AD150" s="1813"/>
      <c r="AE150" s="1773"/>
      <c r="AF150" s="1815"/>
      <c r="AG150" s="1991"/>
      <c r="AH150" s="397"/>
      <c r="AI150" s="396"/>
      <c r="AJ150" s="398"/>
      <c r="AK150" s="398"/>
      <c r="AL150" s="396"/>
      <c r="AM150" s="591" t="s">
        <v>429</v>
      </c>
      <c r="AN150" s="591" t="s">
        <v>429</v>
      </c>
      <c r="AO150" s="398"/>
      <c r="AP150" s="397"/>
    </row>
    <row r="151" spans="1:42" ht="18.75" hidden="1" x14ac:dyDescent="0.25">
      <c r="A151" s="2082" t="s">
        <v>39</v>
      </c>
      <c r="B151" s="271" t="s">
        <v>494</v>
      </c>
      <c r="C151" s="1051"/>
      <c r="D151" s="820" t="s">
        <v>1094</v>
      </c>
      <c r="E151" s="2085">
        <v>5100</v>
      </c>
      <c r="F151" s="306">
        <v>8.5832200000000007</v>
      </c>
      <c r="G151" s="319">
        <f>84/F151</f>
        <v>9.7865369872844923</v>
      </c>
      <c r="H151" s="320">
        <f>1362.08/F151</f>
        <v>158.69102737667214</v>
      </c>
      <c r="I151" s="321">
        <v>0</v>
      </c>
      <c r="J151" s="559"/>
      <c r="K151" s="313">
        <f>Tabel668921274[[#This Row],[Fix.ch. 2017]]+Tabel668921274[[#This Row],[Var. ch. 2017]]+Tabel668921274[[#This Row],[Oth. ch. DW 2017]]+Tabel668921274[[#This Row],[VAT DW 2017]]</f>
        <v>168.47756436395662</v>
      </c>
      <c r="L151" s="322">
        <f>343.44/F151</f>
        <v>40.012955510868878</v>
      </c>
      <c r="M151" s="559"/>
      <c r="N151" s="323">
        <v>0</v>
      </c>
      <c r="O151" s="559"/>
      <c r="P151" s="324">
        <v>0</v>
      </c>
      <c r="Q151" s="559"/>
      <c r="R151" s="317">
        <f>Tabel668921274[[#This Row],[VAT DW 2017]]+Tabel668921274[[#This Row],[VAT Sew. 2017]]+Tabel668921274[[#This Row],[VAT WW 2017]]+Tabel668921274[[#This Row],[VAT Other ch. 2017]]</f>
        <v>0</v>
      </c>
      <c r="S151" s="318">
        <f>Tabel668921274[[#This Row],[Total. ch. DW 2017]]+Tabel668921274[[#This Row],[Sew. 2017]]+Tabel668921274[[#This Row],[VAT Sew. 2017]]+Tabel668921274[[#This Row],[WW 2017]]+Tabel668921274[[#This Row],[VAT WW 2017]]+Tabel668921274[[#This Row],[Other ch. 2017]]+Tabel668921274[[#This Row],[VAT Other ch. 2017]]</f>
        <v>208.49051987482551</v>
      </c>
      <c r="T151" s="397"/>
      <c r="U151" s="2087">
        <f>SUM(G151:G155)/5</f>
        <v>9.38109474066842</v>
      </c>
      <c r="V151" s="2089">
        <f>SUM(H151:H155)/5</f>
        <v>129.00333441295922</v>
      </c>
      <c r="W151" s="2090">
        <f>SUM(I151:I155)/5</f>
        <v>0</v>
      </c>
      <c r="X151" s="575"/>
      <c r="Y151" s="2091">
        <f>SUM(K151:K155)/5</f>
        <v>138.38442915362765</v>
      </c>
      <c r="Z151" s="2092">
        <f>SUM(L151:L155)/5</f>
        <v>34.621971707587591</v>
      </c>
      <c r="AA151" s="575"/>
      <c r="AB151" s="2073">
        <f>SUM(N151:N155)/5</f>
        <v>0</v>
      </c>
      <c r="AC151" s="575"/>
      <c r="AD151" s="2074">
        <f>SUM(P151:P155)/5</f>
        <v>0</v>
      </c>
      <c r="AE151" s="575"/>
      <c r="AF151" s="2075">
        <f t="shared" ref="AF151:AG151" si="23">SUM(R151:R155)/5</f>
        <v>0</v>
      </c>
      <c r="AG151" s="2076">
        <f t="shared" si="23"/>
        <v>173.00640086121524</v>
      </c>
      <c r="AH151" s="397"/>
      <c r="AI151" s="398"/>
      <c r="AJ151" s="398"/>
      <c r="AK151" s="398"/>
      <c r="AL151" s="396" t="s">
        <v>429</v>
      </c>
      <c r="AM151" s="398"/>
      <c r="AN151" s="398"/>
      <c r="AO151" s="398"/>
      <c r="AP151" s="397"/>
    </row>
    <row r="152" spans="1:42" ht="18.75" hidden="1" x14ac:dyDescent="0.25">
      <c r="A152" s="2083"/>
      <c r="B152" s="272" t="s">
        <v>495</v>
      </c>
      <c r="C152" s="764" t="s">
        <v>429</v>
      </c>
      <c r="D152" s="821" t="s">
        <v>1094</v>
      </c>
      <c r="E152" s="2086"/>
      <c r="F152" s="306">
        <v>8.5832200000000007</v>
      </c>
      <c r="G152" s="319">
        <f>102.6/F152</f>
        <v>11.953555891611771</v>
      </c>
      <c r="H152" s="320">
        <f>1117.04/F152</f>
        <v>130.1423009080508</v>
      </c>
      <c r="I152" s="321">
        <v>0</v>
      </c>
      <c r="J152" s="559"/>
      <c r="K152" s="313">
        <f>Tabel668921274[[#This Row],[Fix.ch. 2017]]+Tabel668921274[[#This Row],[Var. ch. 2017]]+Tabel668921274[[#This Row],[Oth. ch. DW 2017]]+Tabel668921274[[#This Row],[VAT DW 2017]]</f>
        <v>142.09585679966256</v>
      </c>
      <c r="L152" s="322">
        <f>328.8/F152</f>
        <v>38.307301921656439</v>
      </c>
      <c r="M152" s="559"/>
      <c r="N152" s="323">
        <v>0</v>
      </c>
      <c r="O152" s="559"/>
      <c r="P152" s="324">
        <v>0</v>
      </c>
      <c r="Q152" s="559"/>
      <c r="R152" s="317">
        <f>Tabel668921274[[#This Row],[VAT DW 2017]]+Tabel668921274[[#This Row],[VAT Sew. 2017]]+Tabel668921274[[#This Row],[VAT WW 2017]]+Tabel668921274[[#This Row],[VAT Other ch. 2017]]</f>
        <v>0</v>
      </c>
      <c r="S152" s="318">
        <f>Tabel668921274[[#This Row],[Total. ch. DW 2017]]+Tabel668921274[[#This Row],[Sew. 2017]]+Tabel668921274[[#This Row],[VAT Sew. 2017]]+Tabel668921274[[#This Row],[WW 2017]]+Tabel668921274[[#This Row],[VAT WW 2017]]+Tabel668921274[[#This Row],[Other ch. 2017]]+Tabel668921274[[#This Row],[VAT Other ch. 2017]]</f>
        <v>180.40315872131899</v>
      </c>
      <c r="T152" s="397"/>
      <c r="U152" s="2058"/>
      <c r="V152" s="2060"/>
      <c r="W152" s="2062"/>
      <c r="X152" s="576"/>
      <c r="Y152" s="2064"/>
      <c r="Z152" s="2066"/>
      <c r="AA152" s="576"/>
      <c r="AB152" s="2068"/>
      <c r="AC152" s="576"/>
      <c r="AD152" s="2070"/>
      <c r="AE152" s="576"/>
      <c r="AF152" s="2072"/>
      <c r="AG152" s="2077"/>
      <c r="AH152" s="397"/>
      <c r="AI152" s="398"/>
      <c r="AJ152" s="398"/>
      <c r="AK152" s="398"/>
      <c r="AL152" s="396" t="s">
        <v>429</v>
      </c>
      <c r="AM152" s="398"/>
      <c r="AN152" s="398"/>
      <c r="AO152" s="398"/>
      <c r="AP152" s="397"/>
    </row>
    <row r="153" spans="1:42" ht="18.75" hidden="1" x14ac:dyDescent="0.25">
      <c r="A153" s="2083"/>
      <c r="B153" s="272" t="s">
        <v>496</v>
      </c>
      <c r="C153" s="764"/>
      <c r="D153" s="821" t="s">
        <v>1094</v>
      </c>
      <c r="E153" s="2086"/>
      <c r="F153" s="306">
        <v>8.5832200000000007</v>
      </c>
      <c r="G153" s="319">
        <f>72/F153</f>
        <v>8.3884602748152783</v>
      </c>
      <c r="H153" s="320">
        <f>1045.2/F153</f>
        <v>121.77248165606846</v>
      </c>
      <c r="I153" s="321">
        <v>0</v>
      </c>
      <c r="J153" s="559"/>
      <c r="K153" s="313">
        <f>Tabel668921274[[#This Row],[Fix.ch. 2017]]+Tabel668921274[[#This Row],[Var. ch. 2017]]+Tabel668921274[[#This Row],[Oth. ch. DW 2017]]+Tabel668921274[[#This Row],[VAT DW 2017]]</f>
        <v>130.16094193088375</v>
      </c>
      <c r="L153" s="322">
        <f>223.4/F153</f>
        <v>26.027528130468518</v>
      </c>
      <c r="M153" s="559"/>
      <c r="N153" s="323">
        <v>0</v>
      </c>
      <c r="O153" s="559"/>
      <c r="P153" s="324">
        <v>0</v>
      </c>
      <c r="Q153" s="559"/>
      <c r="R153" s="317">
        <f>Tabel668921274[[#This Row],[VAT DW 2017]]+Tabel668921274[[#This Row],[VAT Sew. 2017]]+Tabel668921274[[#This Row],[VAT WW 2017]]+Tabel668921274[[#This Row],[VAT Other ch. 2017]]</f>
        <v>0</v>
      </c>
      <c r="S153" s="318">
        <f>Tabel668921274[[#This Row],[Total. ch. DW 2017]]+Tabel668921274[[#This Row],[Sew. 2017]]+Tabel668921274[[#This Row],[VAT Sew. 2017]]+Tabel668921274[[#This Row],[WW 2017]]+Tabel668921274[[#This Row],[VAT WW 2017]]+Tabel668921274[[#This Row],[Other ch. 2017]]+Tabel668921274[[#This Row],[VAT Other ch. 2017]]</f>
        <v>156.18847006135226</v>
      </c>
      <c r="T153" s="397"/>
      <c r="U153" s="2058"/>
      <c r="V153" s="2060"/>
      <c r="W153" s="2062"/>
      <c r="X153" s="576"/>
      <c r="Y153" s="2064"/>
      <c r="Z153" s="2066"/>
      <c r="AA153" s="576"/>
      <c r="AB153" s="2068"/>
      <c r="AC153" s="576"/>
      <c r="AD153" s="2070"/>
      <c r="AE153" s="576"/>
      <c r="AF153" s="2072"/>
      <c r="AG153" s="2077"/>
      <c r="AH153" s="397"/>
      <c r="AI153" s="398"/>
      <c r="AJ153" s="398"/>
      <c r="AK153" s="398"/>
      <c r="AL153" s="396" t="s">
        <v>429</v>
      </c>
      <c r="AM153" s="398"/>
      <c r="AN153" s="398"/>
      <c r="AO153" s="398"/>
      <c r="AP153" s="397"/>
    </row>
    <row r="154" spans="1:42" ht="18.75" hidden="1" x14ac:dyDescent="0.25">
      <c r="A154" s="2083"/>
      <c r="B154" s="272" t="s">
        <v>497</v>
      </c>
      <c r="C154" s="764"/>
      <c r="D154" s="821" t="s">
        <v>1094</v>
      </c>
      <c r="E154" s="2086"/>
      <c r="F154" s="306">
        <v>8.5832200000000007</v>
      </c>
      <c r="G154" s="319">
        <f>72/F154</f>
        <v>8.3884602748152783</v>
      </c>
      <c r="H154" s="320">
        <f>1074.24/F154</f>
        <v>125.15582730024396</v>
      </c>
      <c r="I154" s="321">
        <v>0</v>
      </c>
      <c r="J154" s="559"/>
      <c r="K154" s="313">
        <f>Tabel668921274[[#This Row],[Fix.ch. 2017]]+Tabel668921274[[#This Row],[Var. ch. 2017]]+Tabel668921274[[#This Row],[Oth. ch. DW 2017]]+Tabel668921274[[#This Row],[VAT DW 2017]]</f>
        <v>133.54428757505923</v>
      </c>
      <c r="L154" s="322">
        <f>233.08/F154</f>
        <v>27.155310011860351</v>
      </c>
      <c r="M154" s="559"/>
      <c r="N154" s="323">
        <v>0</v>
      </c>
      <c r="O154" s="559"/>
      <c r="P154" s="324">
        <v>0</v>
      </c>
      <c r="Q154" s="559"/>
      <c r="R154" s="317">
        <f>Tabel668921274[[#This Row],[VAT DW 2017]]+Tabel668921274[[#This Row],[VAT Sew. 2017]]+Tabel668921274[[#This Row],[VAT WW 2017]]+Tabel668921274[[#This Row],[VAT Other ch. 2017]]</f>
        <v>0</v>
      </c>
      <c r="S154" s="318">
        <f>Tabel668921274[[#This Row],[Total. ch. DW 2017]]+Tabel668921274[[#This Row],[Sew. 2017]]+Tabel668921274[[#This Row],[VAT Sew. 2017]]+Tabel668921274[[#This Row],[WW 2017]]+Tabel668921274[[#This Row],[VAT WW 2017]]+Tabel668921274[[#This Row],[Other ch. 2017]]+Tabel668921274[[#This Row],[VAT Other ch. 2017]]</f>
        <v>160.69959758691959</v>
      </c>
      <c r="T154" s="397"/>
      <c r="U154" s="2058"/>
      <c r="V154" s="2060"/>
      <c r="W154" s="2062"/>
      <c r="X154" s="576"/>
      <c r="Y154" s="2064"/>
      <c r="Z154" s="2066"/>
      <c r="AA154" s="576"/>
      <c r="AB154" s="2068"/>
      <c r="AC154" s="576"/>
      <c r="AD154" s="2070"/>
      <c r="AE154" s="576"/>
      <c r="AF154" s="2072"/>
      <c r="AG154" s="2077"/>
      <c r="AH154" s="397"/>
      <c r="AI154" s="398"/>
      <c r="AJ154" s="398"/>
      <c r="AK154" s="398"/>
      <c r="AL154" s="396" t="s">
        <v>429</v>
      </c>
      <c r="AM154" s="398"/>
      <c r="AN154" s="398"/>
      <c r="AO154" s="398"/>
      <c r="AP154" s="397"/>
    </row>
    <row r="155" spans="1:42" ht="19.5" hidden="1" thickBot="1" x14ac:dyDescent="0.3">
      <c r="A155" s="2084"/>
      <c r="B155" s="273" t="s">
        <v>498</v>
      </c>
      <c r="C155" s="1052"/>
      <c r="D155" s="822" t="s">
        <v>1094</v>
      </c>
      <c r="E155" s="2008"/>
      <c r="F155" s="306">
        <v>8.5832200000000007</v>
      </c>
      <c r="G155" s="319">
        <f>72/F155</f>
        <v>8.3884602748152783</v>
      </c>
      <c r="H155" s="320">
        <f>937.76/F155</f>
        <v>109.25503482376077</v>
      </c>
      <c r="I155" s="321">
        <v>0</v>
      </c>
      <c r="J155" s="559"/>
      <c r="K155" s="313">
        <f>Tabel668921274[[#This Row],[Fix.ch. 2017]]+Tabel668921274[[#This Row],[Var. ch. 2017]]+Tabel668921274[[#This Row],[Oth. ch. DW 2017]]+Tabel668921274[[#This Row],[VAT DW 2017]]</f>
        <v>117.64349509857604</v>
      </c>
      <c r="L155" s="322">
        <f>357.12/F155</f>
        <v>41.606762963083781</v>
      </c>
      <c r="M155" s="559"/>
      <c r="N155" s="323">
        <v>0</v>
      </c>
      <c r="O155" s="559"/>
      <c r="P155" s="324">
        <v>0</v>
      </c>
      <c r="Q155" s="559"/>
      <c r="R155" s="317">
        <f>Tabel668921274[[#This Row],[VAT DW 2017]]+Tabel668921274[[#This Row],[VAT Sew. 2017]]+Tabel668921274[[#This Row],[VAT WW 2017]]+Tabel668921274[[#This Row],[VAT Other ch. 2017]]</f>
        <v>0</v>
      </c>
      <c r="S155" s="318">
        <f>Tabel668921274[[#This Row],[Total. ch. DW 2017]]+Tabel668921274[[#This Row],[Sew. 2017]]+Tabel668921274[[#This Row],[VAT Sew. 2017]]+Tabel668921274[[#This Row],[WW 2017]]+Tabel668921274[[#This Row],[VAT WW 2017]]+Tabel668921274[[#This Row],[Other ch. 2017]]+Tabel668921274[[#This Row],[VAT Other ch. 2017]]</f>
        <v>159.25025806165982</v>
      </c>
      <c r="T155" s="397"/>
      <c r="U155" s="2088"/>
      <c r="V155" s="2013"/>
      <c r="W155" s="2015"/>
      <c r="X155" s="577"/>
      <c r="Y155" s="2017"/>
      <c r="Z155" s="2019"/>
      <c r="AA155" s="577"/>
      <c r="AB155" s="2021"/>
      <c r="AC155" s="577"/>
      <c r="AD155" s="2030"/>
      <c r="AE155" s="577"/>
      <c r="AF155" s="1993"/>
      <c r="AG155" s="1995"/>
      <c r="AH155" s="397"/>
      <c r="AI155" s="398"/>
      <c r="AJ155" s="398"/>
      <c r="AK155" s="398"/>
      <c r="AL155" s="396" t="s">
        <v>429</v>
      </c>
      <c r="AM155" s="398"/>
      <c r="AN155" s="398"/>
      <c r="AO155" s="398"/>
      <c r="AP155" s="397"/>
    </row>
    <row r="156" spans="1:42" ht="19.5" hidden="1" thickBot="1" x14ac:dyDescent="0.3">
      <c r="A156" s="1724" t="s">
        <v>734</v>
      </c>
      <c r="B156" s="260" t="s">
        <v>735</v>
      </c>
      <c r="C156" s="1049"/>
      <c r="D156" s="817" t="s">
        <v>1104</v>
      </c>
      <c r="E156" s="1712">
        <v>11300</v>
      </c>
      <c r="F156" s="306">
        <f>'exchange rates'!M43</f>
        <v>15.682219999999999</v>
      </c>
      <c r="G156" s="319"/>
      <c r="H156" s="320"/>
      <c r="I156" s="321"/>
      <c r="J156" s="559"/>
      <c r="K156" s="313">
        <f>Tabel668921274[[#This Row],[Fix.ch. 2017]]+Tabel668921274[[#This Row],[Var. ch. 2017]]+Tabel668921274[[#This Row],[Oth. ch. DW 2017]]+Tabel668921274[[#This Row],[VAT DW 2017]]</f>
        <v>0</v>
      </c>
      <c r="L156" s="322"/>
      <c r="M156" s="559"/>
      <c r="N156" s="323"/>
      <c r="O156" s="559"/>
      <c r="P156" s="324"/>
      <c r="Q156" s="559"/>
      <c r="R156" s="317">
        <f>Tabel668921274[[#This Row],[VAT DW 2017]]+Tabel668921274[[#This Row],[VAT Sew. 2017]]+Tabel668921274[[#This Row],[VAT WW 2017]]+Tabel668921274[[#This Row],[VAT Other ch. 2017]]</f>
        <v>0</v>
      </c>
      <c r="S156" s="318">
        <f>Tabel668921274[[#This Row],[Total. ch. DW 2017]]+Tabel668921274[[#This Row],[Sew. 2017]]+Tabel668921274[[#This Row],[VAT Sew. 2017]]+Tabel668921274[[#This Row],[WW 2017]]+Tabel668921274[[#This Row],[VAT WW 2017]]+Tabel668921274[[#This Row],[Other ch. 2017]]+Tabel668921274[[#This Row],[VAT Other ch. 2017]]</f>
        <v>0</v>
      </c>
      <c r="T156" s="397"/>
      <c r="U156" s="1713"/>
      <c r="V156" s="1714"/>
      <c r="W156" s="1715"/>
      <c r="X156" s="576"/>
      <c r="Y156" s="1716"/>
      <c r="Z156" s="1717"/>
      <c r="AA156" s="576"/>
      <c r="AB156" s="1718"/>
      <c r="AC156" s="576"/>
      <c r="AD156" s="1719"/>
      <c r="AE156" s="576"/>
      <c r="AF156" s="1720"/>
      <c r="AG156" s="1721"/>
      <c r="AH156" s="397"/>
      <c r="AI156" s="398"/>
      <c r="AJ156" s="398"/>
      <c r="AK156" s="398"/>
      <c r="AL156" s="396"/>
      <c r="AM156" s="398"/>
      <c r="AN156" s="398"/>
      <c r="AO156" s="398"/>
      <c r="AP156" s="397"/>
    </row>
    <row r="157" spans="1:42" ht="15.75" hidden="1" customHeight="1" x14ac:dyDescent="0.25">
      <c r="A157" s="2078" t="s">
        <v>20</v>
      </c>
      <c r="B157" s="631" t="s">
        <v>182</v>
      </c>
      <c r="C157" s="631" t="s">
        <v>429</v>
      </c>
      <c r="D157" s="631" t="s">
        <v>1106</v>
      </c>
      <c r="E157" s="1966">
        <v>53600</v>
      </c>
      <c r="F157" s="616">
        <f>'exchange rates'!$O$44</f>
        <v>0.83301000000000003</v>
      </c>
      <c r="G157" s="549">
        <f>42.15/F157</f>
        <v>50.599632657471098</v>
      </c>
      <c r="H157" s="550">
        <f>118/F157</f>
        <v>141.65496212530462</v>
      </c>
      <c r="I157" s="551">
        <v>0</v>
      </c>
      <c r="J157" s="560">
        <f>9.61/F157</f>
        <v>11.536476152747264</v>
      </c>
      <c r="K157" s="566">
        <f>Tabel668921274[[#This Row],[Fix.ch. 2017]]+Tabel668921274[[#This Row],[Var. ch. 2017]]+Tabel668921274[[#This Row],[Oth. ch. DW 2017]]+Tabel668921274[[#This Row],[VAT DW 2017]]</f>
        <v>203.79107093552298</v>
      </c>
      <c r="L157" s="567">
        <f>128/F157</f>
        <v>153.65961993253381</v>
      </c>
      <c r="M157" s="560">
        <f>0</f>
        <v>0</v>
      </c>
      <c r="N157" s="568">
        <f>157.95/F157</f>
        <v>189.61357006518529</v>
      </c>
      <c r="O157" s="560">
        <v>0</v>
      </c>
      <c r="P157" s="569">
        <f>33.6/F157</f>
        <v>40.335650232290128</v>
      </c>
      <c r="Q157" s="560">
        <f>2.02/F157</f>
        <v>2.4249408770602994</v>
      </c>
      <c r="R157" s="570">
        <f>Tabel668921274[[#This Row],[VAT DW 2017]]+Tabel668921274[[#This Row],[VAT Sew. 2017]]+Tabel668921274[[#This Row],[VAT WW 2017]]+Tabel668921274[[#This Row],[VAT Other ch. 2017]]</f>
        <v>13.961417029807563</v>
      </c>
      <c r="S157" s="571">
        <f>Tabel668921274[[#This Row],[Total. ch. DW 2017]]+Tabel668921274[[#This Row],[Sew. 2017]]+Tabel668921274[[#This Row],[VAT Sew. 2017]]+Tabel668921274[[#This Row],[WW 2017]]+Tabel668921274[[#This Row],[VAT WW 2017]]+Tabel668921274[[#This Row],[Other ch. 2017]]+Tabel668921274[[#This Row],[VAT Other ch. 2017]]</f>
        <v>589.82485204259251</v>
      </c>
      <c r="T157" s="397"/>
      <c r="U157" s="2080">
        <f>MEDIAN(G157:G161)</f>
        <v>70.827481062652311</v>
      </c>
      <c r="V157" s="1825">
        <f>MEDIAN(H157:H161)</f>
        <v>108.04192026506284</v>
      </c>
      <c r="W157" s="1826">
        <f>MEDIAN(I157:I161)</f>
        <v>0</v>
      </c>
      <c r="X157" s="1771">
        <f>MEDIAN(J157:J161)</f>
        <v>11.296382996602681</v>
      </c>
      <c r="Y157" s="1827">
        <f>SUM(U157:X161)</f>
        <v>190.16578432431783</v>
      </c>
      <c r="Z157" s="1828">
        <f t="shared" ref="Z157" si="24">MEDIAN(L157:L161)</f>
        <v>172.86707242410054</v>
      </c>
      <c r="AA157" s="1771">
        <f>MEDIAN(M157:M161)</f>
        <v>0</v>
      </c>
      <c r="AB157" s="1829">
        <f t="shared" ref="AB157" si="25">MEDIAN(N157:N161)</f>
        <v>191.94247367978772</v>
      </c>
      <c r="AC157" s="1771">
        <f>MEDIAN(O157:O161)</f>
        <v>0</v>
      </c>
      <c r="AD157" s="1830">
        <f t="shared" ref="AD157" si="26">MEDIAN(P157:P161)</f>
        <v>40.335650232290128</v>
      </c>
      <c r="AE157" s="1771">
        <f>MEDIAN(Q157:Q161)</f>
        <v>2.4249408770602994</v>
      </c>
      <c r="AF157" s="1816">
        <f t="shared" ref="AF157" si="27">MEDIAN(R157:R161)</f>
        <v>13.72132387366298</v>
      </c>
      <c r="AG157" s="1817">
        <f>Y157+Z157+AA157+AB157+AC157+AD157+AE157</f>
        <v>597.73592153755646</v>
      </c>
      <c r="AH157" s="397"/>
      <c r="AI157" s="591" t="s">
        <v>429</v>
      </c>
      <c r="AJ157" s="591" t="s">
        <v>429</v>
      </c>
      <c r="AK157" s="591"/>
      <c r="AL157" s="591"/>
      <c r="AM157" s="591" t="s">
        <v>429</v>
      </c>
      <c r="AN157" s="591"/>
      <c r="AO157" s="712" t="s">
        <v>925</v>
      </c>
      <c r="AP157" s="397"/>
    </row>
    <row r="158" spans="1:42" ht="15.75" hidden="1" customHeight="1" x14ac:dyDescent="0.25">
      <c r="A158" s="2079"/>
      <c r="B158" s="631" t="s">
        <v>183</v>
      </c>
      <c r="C158" s="631"/>
      <c r="D158" s="631" t="s">
        <v>1106</v>
      </c>
      <c r="E158" s="1967"/>
      <c r="F158" s="616">
        <f>'exchange rates'!$O$44</f>
        <v>0.83301000000000003</v>
      </c>
      <c r="G158" s="549">
        <f>59/F158</f>
        <v>70.827481062652311</v>
      </c>
      <c r="H158" s="550">
        <f>90/F158</f>
        <v>108.04192026506284</v>
      </c>
      <c r="I158" s="551">
        <f>7.84/F158</f>
        <v>9.4116517208676953</v>
      </c>
      <c r="J158" s="560">
        <f>9.41/F158</f>
        <v>11.296382996602681</v>
      </c>
      <c r="K158" s="566">
        <f>Tabel668921274[[#This Row],[Fix.ch. 2017]]+Tabel668921274[[#This Row],[Var. ch. 2017]]+Tabel668921274[[#This Row],[Oth. ch. DW 2017]]+Tabel668921274[[#This Row],[VAT DW 2017]]</f>
        <v>199.57743604518552</v>
      </c>
      <c r="L158" s="567">
        <f>190/F158</f>
        <v>228.08849833735488</v>
      </c>
      <c r="M158" s="560">
        <v>0</v>
      </c>
      <c r="N158" s="568">
        <f>159.89/F158</f>
        <v>191.94247367978772</v>
      </c>
      <c r="O158" s="560">
        <v>0</v>
      </c>
      <c r="P158" s="569">
        <f>33.6/F158</f>
        <v>40.335650232290128</v>
      </c>
      <c r="Q158" s="560">
        <f t="shared" ref="Q158:Q161" si="28">2.02/F158</f>
        <v>2.4249408770602994</v>
      </c>
      <c r="R158" s="570">
        <f>Tabel668921274[[#This Row],[VAT DW 2017]]+Tabel668921274[[#This Row],[VAT Sew. 2017]]+Tabel668921274[[#This Row],[VAT WW 2017]]+Tabel668921274[[#This Row],[VAT Other ch. 2017]]</f>
        <v>13.72132387366298</v>
      </c>
      <c r="S158" s="571">
        <f>Tabel668921274[[#This Row],[Total. ch. DW 2017]]+Tabel668921274[[#This Row],[Sew. 2017]]+Tabel668921274[[#This Row],[VAT Sew. 2017]]+Tabel668921274[[#This Row],[WW 2017]]+Tabel668921274[[#This Row],[VAT WW 2017]]+Tabel668921274[[#This Row],[Other ch. 2017]]+Tabel668921274[[#This Row],[VAT Other ch. 2017]]</f>
        <v>662.36899917167864</v>
      </c>
      <c r="T158" s="397"/>
      <c r="U158" s="2081"/>
      <c r="V158" s="1766"/>
      <c r="W158" s="1769"/>
      <c r="X158" s="1772"/>
      <c r="Y158" s="1775"/>
      <c r="Z158" s="1778"/>
      <c r="AA158" s="1772"/>
      <c r="AB158" s="1781"/>
      <c r="AC158" s="1772"/>
      <c r="AD158" s="1785"/>
      <c r="AE158" s="1772"/>
      <c r="AF158" s="1788"/>
      <c r="AG158" s="1791"/>
      <c r="AH158" s="397"/>
      <c r="AI158" s="591" t="s">
        <v>429</v>
      </c>
      <c r="AJ158" s="591" t="s">
        <v>429</v>
      </c>
      <c r="AK158" s="591"/>
      <c r="AL158" s="591"/>
      <c r="AM158" s="591" t="s">
        <v>429</v>
      </c>
      <c r="AN158" s="591"/>
      <c r="AO158" s="712" t="s">
        <v>925</v>
      </c>
      <c r="AP158" s="397"/>
    </row>
    <row r="159" spans="1:42" ht="15.75" hidden="1" customHeight="1" x14ac:dyDescent="0.25">
      <c r="A159" s="2079"/>
      <c r="B159" s="631" t="s">
        <v>184</v>
      </c>
      <c r="C159" s="631"/>
      <c r="D159" s="631" t="s">
        <v>1106</v>
      </c>
      <c r="E159" s="1967"/>
      <c r="F159" s="616">
        <f>'exchange rates'!$O$44</f>
        <v>0.83301000000000003</v>
      </c>
      <c r="G159" s="549">
        <f>61.18/F159</f>
        <v>73.444496464628273</v>
      </c>
      <c r="H159" s="550">
        <f>102/F159</f>
        <v>122.44750963373788</v>
      </c>
      <c r="I159" s="551">
        <f>18.4/F159</f>
        <v>22.088570365301734</v>
      </c>
      <c r="J159" s="560">
        <f>10.89/F159</f>
        <v>13.073072352072604</v>
      </c>
      <c r="K159" s="566">
        <f>Tabel668921274[[#This Row],[Fix.ch. 2017]]+Tabel668921274[[#This Row],[Var. ch. 2017]]+Tabel668921274[[#This Row],[Oth. ch. DW 2017]]+Tabel668921274[[#This Row],[VAT DW 2017]]</f>
        <v>231.0536488157405</v>
      </c>
      <c r="L159" s="567">
        <f>137/F159</f>
        <v>164.4638119590401</v>
      </c>
      <c r="M159" s="560">
        <v>0</v>
      </c>
      <c r="N159" s="568">
        <f>280.5/F159</f>
        <v>336.7306514927792</v>
      </c>
      <c r="O159" s="560">
        <v>0</v>
      </c>
      <c r="P159" s="569">
        <f>33.6/F159</f>
        <v>40.335650232290128</v>
      </c>
      <c r="Q159" s="560">
        <f t="shared" si="28"/>
        <v>2.4249408770602994</v>
      </c>
      <c r="R159" s="570">
        <f>Tabel668921274[[#This Row],[VAT DW 2017]]+Tabel668921274[[#This Row],[VAT Sew. 2017]]+Tabel668921274[[#This Row],[VAT WW 2017]]+Tabel668921274[[#This Row],[VAT Other ch. 2017]]</f>
        <v>15.498013229132903</v>
      </c>
      <c r="S159" s="571">
        <f>Tabel668921274[[#This Row],[Total. ch. DW 2017]]+Tabel668921274[[#This Row],[Sew. 2017]]+Tabel668921274[[#This Row],[VAT Sew. 2017]]+Tabel668921274[[#This Row],[WW 2017]]+Tabel668921274[[#This Row],[VAT WW 2017]]+Tabel668921274[[#This Row],[Other ch. 2017]]+Tabel668921274[[#This Row],[VAT Other ch. 2017]]</f>
        <v>775.00870337691026</v>
      </c>
      <c r="T159" s="397"/>
      <c r="U159" s="2081"/>
      <c r="V159" s="1766"/>
      <c r="W159" s="1769"/>
      <c r="X159" s="1772"/>
      <c r="Y159" s="1775"/>
      <c r="Z159" s="1778"/>
      <c r="AA159" s="1772"/>
      <c r="AB159" s="1781"/>
      <c r="AC159" s="1772"/>
      <c r="AD159" s="1785"/>
      <c r="AE159" s="1772"/>
      <c r="AF159" s="1788"/>
      <c r="AG159" s="1791"/>
      <c r="AH159" s="397"/>
      <c r="AI159" s="614"/>
      <c r="AJ159" s="591" t="s">
        <v>429</v>
      </c>
      <c r="AK159" s="591"/>
      <c r="AL159" s="591"/>
      <c r="AM159" s="591" t="s">
        <v>429</v>
      </c>
      <c r="AN159" s="591"/>
      <c r="AO159" s="712" t="s">
        <v>925</v>
      </c>
      <c r="AP159" s="397"/>
    </row>
    <row r="160" spans="1:42" ht="15.75" hidden="1" customHeight="1" x14ac:dyDescent="0.25">
      <c r="A160" s="2079"/>
      <c r="B160" s="631" t="s">
        <v>185</v>
      </c>
      <c r="C160" s="631"/>
      <c r="D160" s="631" t="s">
        <v>1106</v>
      </c>
      <c r="E160" s="1967"/>
      <c r="F160" s="616">
        <f>'exchange rates'!$O$44</f>
        <v>0.83301000000000003</v>
      </c>
      <c r="G160" s="549">
        <f>45/F160</f>
        <v>54.020960132531421</v>
      </c>
      <c r="H160" s="550">
        <f>63/F160</f>
        <v>75.629344185543985</v>
      </c>
      <c r="I160" s="551">
        <v>0</v>
      </c>
      <c r="J160" s="560">
        <f>6.48/F160</f>
        <v>7.7790182590845252</v>
      </c>
      <c r="K160" s="566">
        <f>Tabel668921274[[#This Row],[Fix.ch. 2017]]+Tabel668921274[[#This Row],[Var. ch. 2017]]+Tabel668921274[[#This Row],[Oth. ch. DW 2017]]+Tabel668921274[[#This Row],[VAT DW 2017]]</f>
        <v>137.42932257715992</v>
      </c>
      <c r="L160" s="567">
        <f>220/F160</f>
        <v>264.10247175904249</v>
      </c>
      <c r="M160" s="560">
        <v>0</v>
      </c>
      <c r="N160" s="568">
        <f>192.24/F160</f>
        <v>230.77754168617423</v>
      </c>
      <c r="O160" s="560">
        <v>0</v>
      </c>
      <c r="P160" s="569">
        <f>33.6/F160</f>
        <v>40.335650232290128</v>
      </c>
      <c r="Q160" s="560">
        <f t="shared" si="28"/>
        <v>2.4249408770602994</v>
      </c>
      <c r="R160" s="570">
        <f>Tabel668921274[[#This Row],[VAT DW 2017]]+Tabel668921274[[#This Row],[VAT Sew. 2017]]+Tabel668921274[[#This Row],[VAT WW 2017]]+Tabel668921274[[#This Row],[VAT Other ch. 2017]]</f>
        <v>10.203959136144825</v>
      </c>
      <c r="S160" s="571">
        <f>Tabel668921274[[#This Row],[Total. ch. DW 2017]]+Tabel668921274[[#This Row],[Sew. 2017]]+Tabel668921274[[#This Row],[VAT Sew. 2017]]+Tabel668921274[[#This Row],[WW 2017]]+Tabel668921274[[#This Row],[VAT WW 2017]]+Tabel668921274[[#This Row],[Other ch. 2017]]+Tabel668921274[[#This Row],[VAT Other ch. 2017]]</f>
        <v>675.06992713172713</v>
      </c>
      <c r="T160" s="397"/>
      <c r="U160" s="2081"/>
      <c r="V160" s="1766"/>
      <c r="W160" s="1769"/>
      <c r="X160" s="1772"/>
      <c r="Y160" s="1775"/>
      <c r="Z160" s="1778"/>
      <c r="AA160" s="1772"/>
      <c r="AB160" s="1781"/>
      <c r="AC160" s="1772"/>
      <c r="AD160" s="1785"/>
      <c r="AE160" s="1772"/>
      <c r="AF160" s="1788"/>
      <c r="AG160" s="1791"/>
      <c r="AH160" s="397"/>
      <c r="AI160" s="614"/>
      <c r="AJ160" s="591" t="s">
        <v>429</v>
      </c>
      <c r="AK160" s="591"/>
      <c r="AL160" s="591"/>
      <c r="AM160" s="591" t="s">
        <v>429</v>
      </c>
      <c r="AN160" s="591"/>
      <c r="AO160" s="712" t="s">
        <v>925</v>
      </c>
      <c r="AP160" s="397"/>
    </row>
    <row r="161" spans="1:42" ht="16.5" hidden="1" customHeight="1" thickBot="1" x14ac:dyDescent="0.3">
      <c r="A161" s="2079"/>
      <c r="B161" s="631" t="s">
        <v>186</v>
      </c>
      <c r="C161" s="631"/>
      <c r="D161" s="631" t="s">
        <v>1106</v>
      </c>
      <c r="E161" s="1967"/>
      <c r="F161" s="616">
        <f>'exchange rates'!$O$44</f>
        <v>0.83301000000000003</v>
      </c>
      <c r="G161" s="549">
        <f>70.44/F161</f>
        <v>84.560809594122517</v>
      </c>
      <c r="H161" s="550">
        <f>46.15/F161</f>
        <v>55.401495780362779</v>
      </c>
      <c r="I161" s="551">
        <v>0</v>
      </c>
      <c r="J161" s="560">
        <f>7/F161</f>
        <v>8.403260465060443</v>
      </c>
      <c r="K161" s="566">
        <f>Tabel668921274[[#This Row],[Fix.ch. 2017]]+Tabel668921274[[#This Row],[Var. ch. 2017]]+Tabel668921274[[#This Row],[Oth. ch. DW 2017]]+Tabel668921274[[#This Row],[VAT DW 2017]]</f>
        <v>148.36556583954575</v>
      </c>
      <c r="L161" s="567">
        <f>144/F161</f>
        <v>172.86707242410054</v>
      </c>
      <c r="M161" s="560">
        <v>0</v>
      </c>
      <c r="N161" s="568">
        <f>145.44/F161</f>
        <v>174.59574314834154</v>
      </c>
      <c r="O161" s="560">
        <v>0</v>
      </c>
      <c r="P161" s="569">
        <f>33.6/F161</f>
        <v>40.335650232290128</v>
      </c>
      <c r="Q161" s="560">
        <f t="shared" si="28"/>
        <v>2.4249408770602994</v>
      </c>
      <c r="R161" s="570">
        <f>Tabel668921274[[#This Row],[VAT DW 2017]]+Tabel668921274[[#This Row],[VAT Sew. 2017]]+Tabel668921274[[#This Row],[VAT WW 2017]]+Tabel668921274[[#This Row],[VAT Other ch. 2017]]</f>
        <v>10.828201342120742</v>
      </c>
      <c r="S161" s="571">
        <f>Tabel668921274[[#This Row],[Total. ch. DW 2017]]+Tabel668921274[[#This Row],[Sew. 2017]]+Tabel668921274[[#This Row],[VAT Sew. 2017]]+Tabel668921274[[#This Row],[WW 2017]]+Tabel668921274[[#This Row],[VAT WW 2017]]+Tabel668921274[[#This Row],[Other ch. 2017]]+Tabel668921274[[#This Row],[VAT Other ch. 2017]]</f>
        <v>538.58897252133829</v>
      </c>
      <c r="T161" s="397"/>
      <c r="U161" s="2081"/>
      <c r="V161" s="1766"/>
      <c r="W161" s="1769"/>
      <c r="X161" s="1773"/>
      <c r="Y161" s="1775"/>
      <c r="Z161" s="1778"/>
      <c r="AA161" s="1773"/>
      <c r="AB161" s="1781"/>
      <c r="AC161" s="1773"/>
      <c r="AD161" s="1785"/>
      <c r="AE161" s="1773"/>
      <c r="AF161" s="1788"/>
      <c r="AG161" s="1791"/>
      <c r="AH161" s="397"/>
      <c r="AI161" s="614"/>
      <c r="AJ161" s="591" t="s">
        <v>429</v>
      </c>
      <c r="AK161" s="591"/>
      <c r="AL161" s="591"/>
      <c r="AM161" s="591" t="s">
        <v>429</v>
      </c>
      <c r="AN161" s="591"/>
      <c r="AO161" s="712" t="s">
        <v>925</v>
      </c>
      <c r="AP161" s="397"/>
    </row>
    <row r="162" spans="1:42" ht="18.75" hidden="1" x14ac:dyDescent="0.25">
      <c r="A162" s="2004" t="s">
        <v>527</v>
      </c>
      <c r="B162" s="275" t="s">
        <v>528</v>
      </c>
      <c r="C162" s="809" t="s">
        <v>429</v>
      </c>
      <c r="D162" s="809" t="s">
        <v>1108</v>
      </c>
      <c r="E162" s="2111">
        <v>27900</v>
      </c>
      <c r="F162" s="306">
        <v>1.28559</v>
      </c>
      <c r="G162" s="319">
        <f>125/F162</f>
        <v>97.231621278945852</v>
      </c>
      <c r="H162" s="320">
        <v>0</v>
      </c>
      <c r="I162" s="321">
        <f>220/F162</f>
        <v>171.12765345094471</v>
      </c>
      <c r="J162" s="559"/>
      <c r="K162" s="313">
        <f>Tabel668921274[[#This Row],[Fix.ch. 2017]]+Tabel668921274[[#This Row],[Var. ch. 2017]]+Tabel668921274[[#This Row],[Oth. ch. DW 2017]]+Tabel668921274[[#This Row],[VAT DW 2017]]</f>
        <v>268.35927472989056</v>
      </c>
      <c r="L162" s="322">
        <v>0</v>
      </c>
      <c r="M162" s="559"/>
      <c r="N162" s="323">
        <f>280/F162</f>
        <v>217.7988316648387</v>
      </c>
      <c r="O162" s="559"/>
      <c r="P162" s="324">
        <v>0</v>
      </c>
      <c r="Q162" s="559"/>
      <c r="R162" s="317">
        <f>Tabel668921274[[#This Row],[VAT DW 2017]]+Tabel668921274[[#This Row],[VAT Sew. 2017]]+Tabel668921274[[#This Row],[VAT WW 2017]]+Tabel668921274[[#This Row],[VAT Other ch. 2017]]</f>
        <v>0</v>
      </c>
      <c r="S162" s="318">
        <f>Tabel668921274[[#This Row],[Total. ch. DW 2017]]+Tabel668921274[[#This Row],[Sew. 2017]]+Tabel668921274[[#This Row],[VAT Sew. 2017]]+Tabel668921274[[#This Row],[WW 2017]]+Tabel668921274[[#This Row],[VAT WW 2017]]+Tabel668921274[[#This Row],[Other ch. 2017]]+Tabel668921274[[#This Row],[VAT Other ch. 2017]]</f>
        <v>486.15810639472926</v>
      </c>
      <c r="T162" s="397"/>
      <c r="U162" s="2112">
        <f>SUM(G162:G166)/5</f>
        <v>118.23365147519814</v>
      </c>
      <c r="V162" s="2113">
        <f>SUM(H162:H166)/5</f>
        <v>98.009474249177416</v>
      </c>
      <c r="W162" s="2114">
        <f>SUM(I162:I166)/5</f>
        <v>34.22553069018894</v>
      </c>
      <c r="X162" s="575"/>
      <c r="Y162" s="2115">
        <f>SUM(K162:K166)/5</f>
        <v>250.46865641456452</v>
      </c>
      <c r="Z162" s="2116">
        <f>SUM(L162:L166)/5</f>
        <v>0</v>
      </c>
      <c r="AA162" s="575"/>
      <c r="AB162" s="2117">
        <f>SUM(N162:N166)/5</f>
        <v>238.80086186109102</v>
      </c>
      <c r="AC162" s="575"/>
      <c r="AD162" s="2118">
        <f>SUM(P162:P166)/5</f>
        <v>0</v>
      </c>
      <c r="AE162" s="575"/>
      <c r="AF162" s="2093">
        <f t="shared" ref="AF162:AG162" si="29">SUM(R162:R166)/5</f>
        <v>0</v>
      </c>
      <c r="AG162" s="2094">
        <f t="shared" si="29"/>
        <v>489.26951827565551</v>
      </c>
      <c r="AH162" s="397"/>
      <c r="AI162" s="398"/>
      <c r="AJ162" s="398"/>
      <c r="AK162" s="398"/>
      <c r="AL162" s="398"/>
      <c r="AM162" s="398"/>
      <c r="AN162" s="398"/>
      <c r="AO162" s="398"/>
      <c r="AP162" s="397"/>
    </row>
    <row r="163" spans="1:42" ht="18.75" hidden="1" x14ac:dyDescent="0.25">
      <c r="A163" s="2005"/>
      <c r="B163" s="261" t="s">
        <v>529</v>
      </c>
      <c r="C163" s="261"/>
      <c r="D163" s="261" t="s">
        <v>1108</v>
      </c>
      <c r="E163" s="1837"/>
      <c r="F163" s="306">
        <v>1.28559</v>
      </c>
      <c r="G163" s="319">
        <f>360/F163</f>
        <v>280.02706928336403</v>
      </c>
      <c r="H163" s="320">
        <v>0</v>
      </c>
      <c r="I163" s="321">
        <v>0</v>
      </c>
      <c r="J163" s="559"/>
      <c r="K163" s="313">
        <f>Tabel668921274[[#This Row],[Fix.ch. 2017]]+Tabel668921274[[#This Row],[Var. ch. 2017]]+Tabel668921274[[#This Row],[Oth. ch. DW 2017]]+Tabel668921274[[#This Row],[VAT DW 2017]]</f>
        <v>280.02706928336403</v>
      </c>
      <c r="L163" s="322">
        <v>0</v>
      </c>
      <c r="M163" s="559"/>
      <c r="N163" s="323">
        <f>310/F163</f>
        <v>241.13442077178573</v>
      </c>
      <c r="O163" s="559"/>
      <c r="P163" s="324">
        <v>0</v>
      </c>
      <c r="Q163" s="559"/>
      <c r="R163" s="317">
        <f>Tabel668921274[[#This Row],[VAT DW 2017]]+Tabel668921274[[#This Row],[VAT Sew. 2017]]+Tabel668921274[[#This Row],[VAT WW 2017]]+Tabel668921274[[#This Row],[VAT Other ch. 2017]]</f>
        <v>0</v>
      </c>
      <c r="S163" s="318">
        <f>Tabel668921274[[#This Row],[Total. ch. DW 2017]]+Tabel668921274[[#This Row],[Sew. 2017]]+Tabel668921274[[#This Row],[VAT Sew. 2017]]+Tabel668921274[[#This Row],[WW 2017]]+Tabel668921274[[#This Row],[VAT WW 2017]]+Tabel668921274[[#This Row],[Other ch. 2017]]+Tabel668921274[[#This Row],[VAT Other ch. 2017]]</f>
        <v>521.16149005514978</v>
      </c>
      <c r="T163" s="397"/>
      <c r="U163" s="1840"/>
      <c r="V163" s="1843"/>
      <c r="W163" s="1846"/>
      <c r="X163" s="576"/>
      <c r="Y163" s="1849"/>
      <c r="Z163" s="1852"/>
      <c r="AA163" s="576"/>
      <c r="AB163" s="1855"/>
      <c r="AC163" s="576"/>
      <c r="AD163" s="1858"/>
      <c r="AE163" s="576"/>
      <c r="AF163" s="1873"/>
      <c r="AG163" s="1876"/>
      <c r="AH163" s="397"/>
      <c r="AI163" s="398"/>
      <c r="AJ163" s="398"/>
      <c r="AK163" s="398"/>
      <c r="AL163" s="398"/>
      <c r="AM163" s="398"/>
      <c r="AN163" s="398"/>
      <c r="AO163" s="398"/>
      <c r="AP163" s="397"/>
    </row>
    <row r="164" spans="1:42" ht="18.75" hidden="1" x14ac:dyDescent="0.25">
      <c r="A164" s="2005"/>
      <c r="B164" s="261" t="s">
        <v>530</v>
      </c>
      <c r="C164" s="261"/>
      <c r="D164" s="261" t="s">
        <v>1108</v>
      </c>
      <c r="E164" s="1837"/>
      <c r="F164" s="306">
        <v>1.28559</v>
      </c>
      <c r="G164" s="319">
        <f>225/F164</f>
        <v>175.01691830210254</v>
      </c>
      <c r="H164" s="320">
        <v>0</v>
      </c>
      <c r="I164" s="321">
        <v>0</v>
      </c>
      <c r="J164" s="559"/>
      <c r="K164" s="313">
        <f>Tabel668921274[[#This Row],[Fix.ch. 2017]]+Tabel668921274[[#This Row],[Var. ch. 2017]]+Tabel668921274[[#This Row],[Oth. ch. DW 2017]]+Tabel668921274[[#This Row],[VAT DW 2017]]</f>
        <v>175.01691830210254</v>
      </c>
      <c r="L164" s="322">
        <v>0</v>
      </c>
      <c r="M164" s="559"/>
      <c r="N164" s="323">
        <f>125/F164</f>
        <v>97.231621278945852</v>
      </c>
      <c r="O164" s="559"/>
      <c r="P164" s="324">
        <v>0</v>
      </c>
      <c r="Q164" s="559"/>
      <c r="R164" s="317">
        <f>Tabel668921274[[#This Row],[VAT DW 2017]]+Tabel668921274[[#This Row],[VAT Sew. 2017]]+Tabel668921274[[#This Row],[VAT WW 2017]]+Tabel668921274[[#This Row],[VAT Other ch. 2017]]</f>
        <v>0</v>
      </c>
      <c r="S164" s="318">
        <f>Tabel668921274[[#This Row],[Total. ch. DW 2017]]+Tabel668921274[[#This Row],[Sew. 2017]]+Tabel668921274[[#This Row],[VAT Sew. 2017]]+Tabel668921274[[#This Row],[WW 2017]]+Tabel668921274[[#This Row],[VAT WW 2017]]+Tabel668921274[[#This Row],[Other ch. 2017]]+Tabel668921274[[#This Row],[VAT Other ch. 2017]]</f>
        <v>272.24853958104836</v>
      </c>
      <c r="T164" s="397"/>
      <c r="U164" s="1840"/>
      <c r="V164" s="1843"/>
      <c r="W164" s="1846"/>
      <c r="X164" s="576"/>
      <c r="Y164" s="1849"/>
      <c r="Z164" s="1852"/>
      <c r="AA164" s="576"/>
      <c r="AB164" s="1855"/>
      <c r="AC164" s="576"/>
      <c r="AD164" s="1858"/>
      <c r="AE164" s="576"/>
      <c r="AF164" s="1873"/>
      <c r="AG164" s="1876"/>
      <c r="AH164" s="397"/>
      <c r="AI164" s="398"/>
      <c r="AJ164" s="398"/>
      <c r="AK164" s="398"/>
      <c r="AL164" s="398"/>
      <c r="AM164" s="398"/>
      <c r="AN164" s="398"/>
      <c r="AO164" s="398"/>
      <c r="AP164" s="397"/>
    </row>
    <row r="165" spans="1:42" ht="18.75" hidden="1" x14ac:dyDescent="0.25">
      <c r="A165" s="2005"/>
      <c r="B165" s="261" t="s">
        <v>531</v>
      </c>
      <c r="C165" s="261"/>
      <c r="D165" s="261" t="s">
        <v>1108</v>
      </c>
      <c r="E165" s="1837"/>
      <c r="F165" s="306">
        <v>1.28559</v>
      </c>
      <c r="G165" s="319">
        <f>25/F165</f>
        <v>19.446324255789172</v>
      </c>
      <c r="H165" s="320">
        <f>280/F165</f>
        <v>217.7988316648387</v>
      </c>
      <c r="I165" s="321">
        <v>0</v>
      </c>
      <c r="J165" s="559"/>
      <c r="K165" s="313">
        <f>Tabel668921274[[#This Row],[Fix.ch. 2017]]+Tabel668921274[[#This Row],[Var. ch. 2017]]+Tabel668921274[[#This Row],[Oth. ch. DW 2017]]+Tabel668921274[[#This Row],[VAT DW 2017]]</f>
        <v>237.24515592062787</v>
      </c>
      <c r="L165" s="322">
        <v>0</v>
      </c>
      <c r="M165" s="559"/>
      <c r="N165" s="323">
        <f>280/F165</f>
        <v>217.7988316648387</v>
      </c>
      <c r="O165" s="559"/>
      <c r="P165" s="324">
        <v>0</v>
      </c>
      <c r="Q165" s="559"/>
      <c r="R165" s="317">
        <f>Tabel668921274[[#This Row],[VAT DW 2017]]+Tabel668921274[[#This Row],[VAT Sew. 2017]]+Tabel668921274[[#This Row],[VAT WW 2017]]+Tabel668921274[[#This Row],[VAT Other ch. 2017]]</f>
        <v>0</v>
      </c>
      <c r="S165" s="318">
        <f>Tabel668921274[[#This Row],[Total. ch. DW 2017]]+Tabel668921274[[#This Row],[Sew. 2017]]+Tabel668921274[[#This Row],[VAT Sew. 2017]]+Tabel668921274[[#This Row],[WW 2017]]+Tabel668921274[[#This Row],[VAT WW 2017]]+Tabel668921274[[#This Row],[Other ch. 2017]]+Tabel668921274[[#This Row],[VAT Other ch. 2017]]</f>
        <v>455.04398758546654</v>
      </c>
      <c r="T165" s="397"/>
      <c r="U165" s="1840"/>
      <c r="V165" s="1843"/>
      <c r="W165" s="1846"/>
      <c r="X165" s="576"/>
      <c r="Y165" s="1849"/>
      <c r="Z165" s="1852"/>
      <c r="AA165" s="576"/>
      <c r="AB165" s="1855"/>
      <c r="AC165" s="576"/>
      <c r="AD165" s="1858"/>
      <c r="AE165" s="576"/>
      <c r="AF165" s="1873"/>
      <c r="AG165" s="1876"/>
      <c r="AH165" s="397"/>
      <c r="AI165" s="398"/>
      <c r="AJ165" s="398"/>
      <c r="AK165" s="398"/>
      <c r="AL165" s="398"/>
      <c r="AM165" s="398"/>
      <c r="AN165" s="398"/>
      <c r="AO165" s="398"/>
      <c r="AP165" s="397"/>
    </row>
    <row r="166" spans="1:42" ht="19.5" hidden="1" thickBot="1" x14ac:dyDescent="0.3">
      <c r="A166" s="2006"/>
      <c r="B166" s="262" t="s">
        <v>532</v>
      </c>
      <c r="C166" s="800"/>
      <c r="D166" s="800" t="s">
        <v>1108</v>
      </c>
      <c r="E166" s="1838"/>
      <c r="F166" s="306">
        <v>1.28559</v>
      </c>
      <c r="G166" s="319">
        <f>25/F166</f>
        <v>19.446324255789172</v>
      </c>
      <c r="H166" s="320">
        <f>350/F166</f>
        <v>272.24853958104836</v>
      </c>
      <c r="I166" s="321">
        <v>0</v>
      </c>
      <c r="J166" s="559"/>
      <c r="K166" s="313">
        <f>Tabel668921274[[#This Row],[Fix.ch. 2017]]+Tabel668921274[[#This Row],[Var. ch. 2017]]+Tabel668921274[[#This Row],[Oth. ch. DW 2017]]+Tabel668921274[[#This Row],[VAT DW 2017]]</f>
        <v>291.69486383683756</v>
      </c>
      <c r="L166" s="322">
        <v>0</v>
      </c>
      <c r="M166" s="559"/>
      <c r="N166" s="323">
        <f>540/F166</f>
        <v>420.04060392504607</v>
      </c>
      <c r="O166" s="559"/>
      <c r="P166" s="324">
        <v>0</v>
      </c>
      <c r="Q166" s="559"/>
      <c r="R166" s="317">
        <f>Tabel668921274[[#This Row],[VAT DW 2017]]+Tabel668921274[[#This Row],[VAT Sew. 2017]]+Tabel668921274[[#This Row],[VAT WW 2017]]+Tabel668921274[[#This Row],[VAT Other ch. 2017]]</f>
        <v>0</v>
      </c>
      <c r="S166" s="318">
        <f>Tabel668921274[[#This Row],[Total. ch. DW 2017]]+Tabel668921274[[#This Row],[Sew. 2017]]+Tabel668921274[[#This Row],[VAT Sew. 2017]]+Tabel668921274[[#This Row],[WW 2017]]+Tabel668921274[[#This Row],[VAT WW 2017]]+Tabel668921274[[#This Row],[Other ch. 2017]]+Tabel668921274[[#This Row],[VAT Other ch. 2017]]</f>
        <v>711.73546776188368</v>
      </c>
      <c r="T166" s="397"/>
      <c r="U166" s="1841"/>
      <c r="V166" s="1844"/>
      <c r="W166" s="1847"/>
      <c r="X166" s="577"/>
      <c r="Y166" s="1850"/>
      <c r="Z166" s="1853"/>
      <c r="AA166" s="577"/>
      <c r="AB166" s="1856"/>
      <c r="AC166" s="577"/>
      <c r="AD166" s="1859"/>
      <c r="AE166" s="577"/>
      <c r="AF166" s="1874"/>
      <c r="AG166" s="1877"/>
      <c r="AH166" s="397"/>
      <c r="AI166" s="398"/>
      <c r="AJ166" s="398"/>
      <c r="AK166" s="398"/>
      <c r="AL166" s="398"/>
      <c r="AM166" s="398"/>
      <c r="AN166" s="398"/>
      <c r="AO166" s="398"/>
      <c r="AP166" s="397"/>
    </row>
    <row r="167" spans="1:42" ht="19.5" hidden="1" thickBot="1" x14ac:dyDescent="0.35">
      <c r="A167" s="267" t="s">
        <v>46</v>
      </c>
      <c r="B167" s="295" t="s">
        <v>477</v>
      </c>
      <c r="C167" s="1048"/>
      <c r="D167" s="811" t="s">
        <v>1110</v>
      </c>
      <c r="E167" s="302">
        <v>39500</v>
      </c>
      <c r="F167" s="306">
        <v>0.64417999999999997</v>
      </c>
      <c r="G167" s="319">
        <f>94/F167</f>
        <v>145.92194728181565</v>
      </c>
      <c r="H167" s="320">
        <f>208/F167</f>
        <v>322.89111738954949</v>
      </c>
      <c r="I167" s="321">
        <v>0</v>
      </c>
      <c r="J167" s="559"/>
      <c r="K167" s="313">
        <f>Tabel668921274[[#This Row],[Fix.ch. 2017]]+Tabel668921274[[#This Row],[Var. ch. 2017]]+Tabel668921274[[#This Row],[Oth. ch. DW 2017]]+Tabel668921274[[#This Row],[VAT DW 2017]]</f>
        <v>468.81306467136517</v>
      </c>
      <c r="L167" s="322">
        <v>0</v>
      </c>
      <c r="M167" s="559"/>
      <c r="N167" s="323">
        <f>449/F167</f>
        <v>697.01015244186408</v>
      </c>
      <c r="O167" s="559"/>
      <c r="P167" s="324">
        <v>0</v>
      </c>
      <c r="Q167" s="559"/>
      <c r="R167" s="317">
        <f>Tabel668921274[[#This Row],[VAT DW 2017]]+Tabel668921274[[#This Row],[VAT Sew. 2017]]+Tabel668921274[[#This Row],[VAT WW 2017]]+Tabel668921274[[#This Row],[VAT Other ch. 2017]]</f>
        <v>0</v>
      </c>
      <c r="S167" s="318">
        <f>Tabel668921274[[#This Row],[Total. ch. DW 2017]]+Tabel668921274[[#This Row],[Sew. 2017]]+Tabel668921274[[#This Row],[VAT Sew. 2017]]+Tabel668921274[[#This Row],[WW 2017]]+Tabel668921274[[#This Row],[VAT WW 2017]]+Tabel668921274[[#This Row],[Other ch. 2017]]+Tabel668921274[[#This Row],[VAT Other ch. 2017]]</f>
        <v>1165.8232171132292</v>
      </c>
      <c r="T167" s="397"/>
      <c r="U167" s="385">
        <f>Tabel668921274[[#This Row],[Fix.ch. 2017]]</f>
        <v>145.92194728181565</v>
      </c>
      <c r="V167" s="386">
        <f>Tabel668921274[[#This Row],[Var. ch. 2017]]</f>
        <v>322.89111738954949</v>
      </c>
      <c r="W167" s="387">
        <v>0</v>
      </c>
      <c r="X167" s="574"/>
      <c r="Y167" s="388">
        <f>Tabel668921274[[#This Row],[Total. ch. DW 2017]]</f>
        <v>468.81306467136517</v>
      </c>
      <c r="Z167" s="389">
        <v>0</v>
      </c>
      <c r="AA167" s="574"/>
      <c r="AB167" s="390">
        <f>Tabel668921274[[#This Row],[WW 2017]]</f>
        <v>697.01015244186408</v>
      </c>
      <c r="AC167" s="574"/>
      <c r="AD167" s="391">
        <v>0</v>
      </c>
      <c r="AE167" s="574"/>
      <c r="AF167" s="392">
        <f>Tabel668921274[[#This Row],[Total VAT 2017]]</f>
        <v>0</v>
      </c>
      <c r="AG167" s="393">
        <f>Tabel668921274[[#This Row],[total charge 2017]]</f>
        <v>1165.8232171132292</v>
      </c>
      <c r="AH167" s="397"/>
      <c r="AI167" s="398"/>
      <c r="AJ167" s="398"/>
      <c r="AK167" s="398"/>
      <c r="AL167" s="398"/>
      <c r="AM167" s="398"/>
      <c r="AN167" s="398"/>
      <c r="AO167" s="398" t="s">
        <v>476</v>
      </c>
      <c r="AP167" s="397"/>
    </row>
    <row r="168" spans="1:42" ht="15.75" hidden="1" customHeight="1" x14ac:dyDescent="0.25">
      <c r="A168" s="1818" t="s">
        <v>21</v>
      </c>
      <c r="B168" s="546" t="s">
        <v>125</v>
      </c>
      <c r="C168" s="1046"/>
      <c r="D168" s="802" t="s">
        <v>1112</v>
      </c>
      <c r="E168" s="1983">
        <v>70600</v>
      </c>
      <c r="F168" s="617">
        <f>'exchange rates'!$O$47</f>
        <v>8.20533</v>
      </c>
      <c r="G168" s="549">
        <f>1229/F168</f>
        <v>149.78069133112257</v>
      </c>
      <c r="H168" s="550">
        <v>0</v>
      </c>
      <c r="I168" s="551">
        <v>0</v>
      </c>
      <c r="J168" s="560">
        <f>307.25/F168</f>
        <v>37.445172832780642</v>
      </c>
      <c r="K168" s="566">
        <f>Tabel668921274[[#This Row],[Fix.ch. 2017]]+Tabel668921274[[#This Row],[Var. ch. 2017]]+Tabel668921274[[#This Row],[Oth. ch. DW 2017]]+Tabel668921274[[#This Row],[VAT DW 2017]]</f>
        <v>187.22586416390322</v>
      </c>
      <c r="L168" s="567">
        <f>1714/F168</f>
        <v>208.88861264568274</v>
      </c>
      <c r="M168" s="560">
        <f>428.5/F168</f>
        <v>52.222153161420685</v>
      </c>
      <c r="N168" s="568">
        <f>0</f>
        <v>0</v>
      </c>
      <c r="O168" s="560">
        <v>0</v>
      </c>
      <c r="P168" s="569">
        <v>0</v>
      </c>
      <c r="Q168" s="560">
        <v>0</v>
      </c>
      <c r="R168" s="570">
        <f>Tabel668921274[[#This Row],[VAT DW 2017]]+Tabel668921274[[#This Row],[VAT Sew. 2017]]+Tabel668921274[[#This Row],[VAT WW 2017]]+Tabel668921274[[#This Row],[VAT Other ch. 2017]]</f>
        <v>89.66732599420132</v>
      </c>
      <c r="S168" s="571">
        <f>Tabel668921274[[#This Row],[Total. ch. DW 2017]]+Tabel668921274[[#This Row],[Sew. 2017]]+Tabel668921274[[#This Row],[VAT Sew. 2017]]+Tabel668921274[[#This Row],[WW 2017]]+Tabel668921274[[#This Row],[VAT WW 2017]]+Tabel668921274[[#This Row],[Other ch. 2017]]+Tabel668921274[[#This Row],[VAT Other ch. 2017]]</f>
        <v>448.33662997100669</v>
      </c>
      <c r="T168" s="397"/>
      <c r="U168" s="2080">
        <f>MEDIAN(G168:G170)</f>
        <v>38.609050458665287</v>
      </c>
      <c r="V168" s="2096">
        <f>MEDIAN(H168:H170)</f>
        <v>106.51613036891874</v>
      </c>
      <c r="W168" s="2099">
        <f>MEDIAN(I168:I170)</f>
        <v>0</v>
      </c>
      <c r="X168" s="2102">
        <f>MEDIAN(J168:J170)</f>
        <v>37.445172832780642</v>
      </c>
      <c r="Y168" s="2105">
        <f>SUM(U168:X170)</f>
        <v>182.57035366036467</v>
      </c>
      <c r="Z168" s="2108">
        <f t="shared" ref="Z168:AF168" si="30">MEDIAN(L168:L170)</f>
        <v>178.66435597349528</v>
      </c>
      <c r="AA168" s="2102">
        <f t="shared" si="30"/>
        <v>49.3581610977255</v>
      </c>
      <c r="AB168" s="2119">
        <f t="shared" si="30"/>
        <v>0</v>
      </c>
      <c r="AC168" s="2102">
        <f t="shared" si="30"/>
        <v>0</v>
      </c>
      <c r="AD168" s="2122">
        <f t="shared" si="30"/>
        <v>0</v>
      </c>
      <c r="AE168" s="2102">
        <f t="shared" si="30"/>
        <v>0</v>
      </c>
      <c r="AF168" s="2125">
        <f t="shared" si="30"/>
        <v>83.817469864100531</v>
      </c>
      <c r="AG168" s="1817">
        <f>Y168+Z168+AA168+AB168+AC168+AD168+AE168</f>
        <v>410.59287073158544</v>
      </c>
      <c r="AH168" s="397"/>
      <c r="AI168" s="591" t="s">
        <v>429</v>
      </c>
      <c r="AJ168" s="591" t="s">
        <v>429</v>
      </c>
      <c r="AK168" s="591"/>
      <c r="AL168" s="591"/>
      <c r="AM168" s="591" t="s">
        <v>429</v>
      </c>
      <c r="AN168" s="591" t="s">
        <v>429</v>
      </c>
      <c r="AO168" s="614"/>
      <c r="AP168" s="397"/>
    </row>
    <row r="169" spans="1:42" ht="16.5" hidden="1" customHeight="1" x14ac:dyDescent="0.25">
      <c r="A169" s="1819"/>
      <c r="B169" s="547" t="s">
        <v>126</v>
      </c>
      <c r="C169" s="1046" t="s">
        <v>429</v>
      </c>
      <c r="D169" s="802" t="s">
        <v>1112</v>
      </c>
      <c r="E169" s="1760"/>
      <c r="F169" s="617">
        <f>'exchange rates'!$O$47</f>
        <v>8.20533</v>
      </c>
      <c r="G169" s="549">
        <f>308/F169</f>
        <v>37.536576834813467</v>
      </c>
      <c r="H169" s="550">
        <f>977/F169</f>
        <v>119.06894664809337</v>
      </c>
      <c r="I169" s="551">
        <v>0</v>
      </c>
      <c r="J169" s="560">
        <f>282.75/F169</f>
        <v>34.459308766375024</v>
      </c>
      <c r="K169" s="566">
        <f>Tabel668921274[[#This Row],[Fix.ch. 2017]]+Tabel668921274[[#This Row],[Var. ch. 2017]]+Tabel668921274[[#This Row],[Oth. ch. DW 2017]]+Tabel668921274[[#This Row],[VAT DW 2017]]</f>
        <v>191.06483224928186</v>
      </c>
      <c r="L169" s="567">
        <f>1466/F169</f>
        <v>178.66435597349528</v>
      </c>
      <c r="M169" s="560">
        <f>405/F169</f>
        <v>49.3581610977255</v>
      </c>
      <c r="N169" s="568">
        <v>0</v>
      </c>
      <c r="O169" s="560">
        <v>0</v>
      </c>
      <c r="P169" s="569">
        <v>0</v>
      </c>
      <c r="Q169" s="560">
        <v>0</v>
      </c>
      <c r="R169" s="570">
        <f>Tabel668921274[[#This Row],[VAT DW 2017]]+Tabel668921274[[#This Row],[VAT Sew. 2017]]+Tabel668921274[[#This Row],[VAT WW 2017]]+Tabel668921274[[#This Row],[VAT Other ch. 2017]]</f>
        <v>83.817469864100531</v>
      </c>
      <c r="S169" s="571">
        <f>Tabel668921274[[#This Row],[Total. ch. DW 2017]]+Tabel668921274[[#This Row],[Sew. 2017]]+Tabel668921274[[#This Row],[VAT Sew. 2017]]+Tabel668921274[[#This Row],[WW 2017]]+Tabel668921274[[#This Row],[VAT WW 2017]]+Tabel668921274[[#This Row],[Other ch. 2017]]+Tabel668921274[[#This Row],[VAT Other ch. 2017]]</f>
        <v>419.0873493205026</v>
      </c>
      <c r="T169" s="397"/>
      <c r="U169" s="2081"/>
      <c r="V169" s="2097"/>
      <c r="W169" s="2100"/>
      <c r="X169" s="2103"/>
      <c r="Y169" s="2106"/>
      <c r="Z169" s="2109"/>
      <c r="AA169" s="2103"/>
      <c r="AB169" s="2120"/>
      <c r="AC169" s="2103"/>
      <c r="AD169" s="2123"/>
      <c r="AE169" s="2103"/>
      <c r="AF169" s="2126"/>
      <c r="AG169" s="1791"/>
      <c r="AH169" s="397"/>
      <c r="AI169" s="591" t="s">
        <v>429</v>
      </c>
      <c r="AJ169" s="591" t="s">
        <v>429</v>
      </c>
      <c r="AK169" s="591"/>
      <c r="AL169" s="591"/>
      <c r="AM169" s="591" t="s">
        <v>429</v>
      </c>
      <c r="AN169" s="591" t="s">
        <v>429</v>
      </c>
      <c r="AO169" s="614"/>
      <c r="AP169" s="397"/>
    </row>
    <row r="170" spans="1:42" ht="18" hidden="1" customHeight="1" thickBot="1" x14ac:dyDescent="0.3">
      <c r="A170" s="1820"/>
      <c r="B170" s="641" t="s">
        <v>127</v>
      </c>
      <c r="C170" s="1046"/>
      <c r="D170" s="807" t="s">
        <v>1112</v>
      </c>
      <c r="E170" s="1996"/>
      <c r="F170" s="617">
        <f>'exchange rates'!$O$47</f>
        <v>8.20533</v>
      </c>
      <c r="G170" s="549">
        <f>316.8/F170</f>
        <v>38.609050458665287</v>
      </c>
      <c r="H170" s="550">
        <f>874/F170</f>
        <v>106.51613036891874</v>
      </c>
      <c r="I170" s="551">
        <f>97.6/F170</f>
        <v>11.894707464538293</v>
      </c>
      <c r="J170" s="560">
        <f>322.1/F170</f>
        <v>39.254972073030579</v>
      </c>
      <c r="K170" s="566">
        <f>Tabel668921274[[#This Row],[Fix.ch. 2017]]+Tabel668921274[[#This Row],[Var. ch. 2017]]+Tabel668921274[[#This Row],[Oth. ch. DW 2017]]+Tabel668921274[[#This Row],[VAT DW 2017]]</f>
        <v>196.2748603651529</v>
      </c>
      <c r="L170" s="567">
        <f>1334.6/F170</f>
        <v>162.65037481734433</v>
      </c>
      <c r="M170" s="560">
        <f>333.65/F170</f>
        <v>40.662593704336082</v>
      </c>
      <c r="N170" s="568">
        <v>0</v>
      </c>
      <c r="O170" s="560">
        <v>0</v>
      </c>
      <c r="P170" s="569">
        <v>0</v>
      </c>
      <c r="Q170" s="560">
        <v>0</v>
      </c>
      <c r="R170" s="570">
        <f>Tabel668921274[[#This Row],[VAT DW 2017]]+Tabel668921274[[#This Row],[VAT Sew. 2017]]+Tabel668921274[[#This Row],[VAT WW 2017]]+Tabel668921274[[#This Row],[VAT Other ch. 2017]]</f>
        <v>79.917565777366661</v>
      </c>
      <c r="S170" s="571">
        <f>Tabel668921274[[#This Row],[Total. ch. DW 2017]]+Tabel668921274[[#This Row],[Sew. 2017]]+Tabel668921274[[#This Row],[VAT Sew. 2017]]+Tabel668921274[[#This Row],[WW 2017]]+Tabel668921274[[#This Row],[VAT WW 2017]]+Tabel668921274[[#This Row],[Other ch. 2017]]+Tabel668921274[[#This Row],[VAT Other ch. 2017]]</f>
        <v>399.58782888683328</v>
      </c>
      <c r="T170" s="397"/>
      <c r="U170" s="2095"/>
      <c r="V170" s="2098"/>
      <c r="W170" s="2101"/>
      <c r="X170" s="2104"/>
      <c r="Y170" s="2107"/>
      <c r="Z170" s="2110"/>
      <c r="AA170" s="2104"/>
      <c r="AB170" s="2121"/>
      <c r="AC170" s="2104"/>
      <c r="AD170" s="2124"/>
      <c r="AE170" s="2104"/>
      <c r="AF170" s="2127"/>
      <c r="AG170" s="2002"/>
      <c r="AH170" s="397"/>
      <c r="AI170" s="591" t="s">
        <v>429</v>
      </c>
      <c r="AJ170" s="591" t="s">
        <v>429</v>
      </c>
      <c r="AK170" s="591"/>
      <c r="AL170" s="591"/>
      <c r="AM170" s="591" t="s">
        <v>429</v>
      </c>
      <c r="AN170" s="591" t="s">
        <v>429</v>
      </c>
      <c r="AO170" s="614"/>
      <c r="AP170" s="397"/>
    </row>
    <row r="171" spans="1:42" ht="18" hidden="1" customHeight="1" x14ac:dyDescent="0.25">
      <c r="A171" s="1818" t="s">
        <v>22</v>
      </c>
      <c r="B171" s="546" t="s">
        <v>128</v>
      </c>
      <c r="C171" s="1046"/>
      <c r="D171" s="802" t="s">
        <v>1114</v>
      </c>
      <c r="E171" s="1884">
        <v>29300</v>
      </c>
      <c r="F171" s="661">
        <f>'exchange rates'!$O$48</f>
        <v>3.4784999999999999</v>
      </c>
      <c r="G171" s="549">
        <v>0</v>
      </c>
      <c r="H171" s="550">
        <f>477/F171</f>
        <v>137.1280724450194</v>
      </c>
      <c r="I171" s="551">
        <v>0</v>
      </c>
      <c r="J171" s="560">
        <f>38.16/F171</f>
        <v>10.970245795601551</v>
      </c>
      <c r="K171" s="566">
        <f>Tabel668921274[[#This Row],[Fix.ch. 2017]]+Tabel668921274[[#This Row],[Var. ch. 2017]]+Tabel668921274[[#This Row],[Oth. ch. DW 2017]]+Tabel668921274[[#This Row],[VAT DW 2017]]</f>
        <v>148.09831824062096</v>
      </c>
      <c r="L171" s="567">
        <v>0</v>
      </c>
      <c r="M171" s="560">
        <v>0</v>
      </c>
      <c r="N171" s="568">
        <f>488/F171</f>
        <v>140.29035503809112</v>
      </c>
      <c r="O171" s="560">
        <f>39.04/F171</f>
        <v>11.22322840304729</v>
      </c>
      <c r="P171" s="569">
        <v>0</v>
      </c>
      <c r="Q171" s="560">
        <v>0</v>
      </c>
      <c r="R171" s="570">
        <f>Tabel668921274[[#This Row],[VAT DW 2017]]+Tabel668921274[[#This Row],[VAT Sew. 2017]]+Tabel668921274[[#This Row],[VAT WW 2017]]+Tabel668921274[[#This Row],[VAT Other ch. 2017]]</f>
        <v>22.193474198648843</v>
      </c>
      <c r="S171" s="571">
        <f>Tabel668921274[[#This Row],[Total. ch. DW 2017]]+Tabel668921274[[#This Row],[Sew. 2017]]+Tabel668921274[[#This Row],[VAT Sew. 2017]]+Tabel668921274[[#This Row],[WW 2017]]+Tabel668921274[[#This Row],[VAT WW 2017]]+Tabel668921274[[#This Row],[Other ch. 2017]]+Tabel668921274[[#This Row],[VAT Other ch. 2017]]</f>
        <v>299.61190168175938</v>
      </c>
      <c r="T171" s="397"/>
      <c r="U171" s="1885">
        <f>MEDIAN(G171:G176)</f>
        <v>0</v>
      </c>
      <c r="V171" s="1887">
        <f>MEDIAN(H171:H176)</f>
        <v>108.95500934310766</v>
      </c>
      <c r="W171" s="1889">
        <f>MEDIAN(I171:I176)</f>
        <v>0</v>
      </c>
      <c r="X171" s="1771">
        <f>MEDIAN(J171:J176)</f>
        <v>8.7164007474486134</v>
      </c>
      <c r="Y171" s="1891">
        <f>SUM(U171:X176)</f>
        <v>117.67141009055628</v>
      </c>
      <c r="Z171" s="1893">
        <f t="shared" ref="Z171:AF171" si="31">MEDIAN(L171:L176)</f>
        <v>0</v>
      </c>
      <c r="AA171" s="1771">
        <f t="shared" si="31"/>
        <v>0</v>
      </c>
      <c r="AB171" s="1910">
        <f t="shared" si="31"/>
        <v>149.34598246370561</v>
      </c>
      <c r="AC171" s="1771">
        <f t="shared" si="31"/>
        <v>11.947678597096449</v>
      </c>
      <c r="AD171" s="1912">
        <f t="shared" si="31"/>
        <v>0</v>
      </c>
      <c r="AE171" s="1771">
        <f t="shared" si="31"/>
        <v>0</v>
      </c>
      <c r="AF171" s="1914">
        <f t="shared" si="31"/>
        <v>21.319534282018111</v>
      </c>
      <c r="AG171" s="1909">
        <f>Y171+Z171+AA171+AB171+AC171+AD171+AE171</f>
        <v>278.96507115135836</v>
      </c>
      <c r="AH171" s="397"/>
      <c r="AI171" s="398"/>
      <c r="AJ171" s="591" t="s">
        <v>429</v>
      </c>
      <c r="AK171" s="398"/>
      <c r="AL171" s="398"/>
      <c r="AM171" s="398"/>
      <c r="AN171" s="398"/>
      <c r="AO171" s="398"/>
      <c r="AP171" s="397"/>
    </row>
    <row r="172" spans="1:42" ht="15.75" hidden="1" x14ac:dyDescent="0.25">
      <c r="A172" s="1819"/>
      <c r="B172" s="641" t="s">
        <v>891</v>
      </c>
      <c r="C172" s="1046" t="s">
        <v>429</v>
      </c>
      <c r="D172" s="802" t="s">
        <v>1114</v>
      </c>
      <c r="E172" s="1760"/>
      <c r="F172" s="661">
        <f>'exchange rates'!$O$48</f>
        <v>3.4784999999999999</v>
      </c>
      <c r="G172" s="549">
        <v>0</v>
      </c>
      <c r="H172" s="550">
        <f>420/F172</f>
        <v>120.74169900819319</v>
      </c>
      <c r="I172" s="551">
        <v>0</v>
      </c>
      <c r="J172" s="560">
        <f>33.6/F172</f>
        <v>9.6593359206554563</v>
      </c>
      <c r="K172" s="566">
        <f>Tabel668921274[[#This Row],[Fix.ch. 2017]]+Tabel668921274[[#This Row],[Var. ch. 2017]]+Tabel668921274[[#This Row],[Oth. ch. DW 2017]]+Tabel668921274[[#This Row],[VAT DW 2017]]</f>
        <v>130.40103492884865</v>
      </c>
      <c r="L172" s="567">
        <v>0</v>
      </c>
      <c r="M172" s="560">
        <v>0</v>
      </c>
      <c r="N172" s="568">
        <f>642/F172</f>
        <v>184.5623113410953</v>
      </c>
      <c r="O172" s="560">
        <f>51.36/F172</f>
        <v>14.764984907287625</v>
      </c>
      <c r="P172" s="569">
        <v>0</v>
      </c>
      <c r="Q172" s="560">
        <v>0</v>
      </c>
      <c r="R172" s="570">
        <f>Tabel668921274[[#This Row],[VAT DW 2017]]+Tabel668921274[[#This Row],[VAT Sew. 2017]]+Tabel668921274[[#This Row],[VAT WW 2017]]+Tabel668921274[[#This Row],[VAT Other ch. 2017]]</f>
        <v>24.424320827943081</v>
      </c>
      <c r="S172" s="571">
        <f>Tabel668921274[[#This Row],[Total. ch. DW 2017]]+Tabel668921274[[#This Row],[Sew. 2017]]+Tabel668921274[[#This Row],[VAT Sew. 2017]]+Tabel668921274[[#This Row],[WW 2017]]+Tabel668921274[[#This Row],[VAT WW 2017]]+Tabel668921274[[#This Row],[Other ch. 2017]]+Tabel668921274[[#This Row],[VAT Other ch. 2017]]</f>
        <v>329.72833117723155</v>
      </c>
      <c r="T172" s="397"/>
      <c r="U172" s="1763"/>
      <c r="V172" s="1766"/>
      <c r="W172" s="1769"/>
      <c r="X172" s="1772"/>
      <c r="Y172" s="1775"/>
      <c r="Z172" s="1778"/>
      <c r="AA172" s="1772"/>
      <c r="AB172" s="1781"/>
      <c r="AC172" s="1772"/>
      <c r="AD172" s="1785"/>
      <c r="AE172" s="1772"/>
      <c r="AF172" s="1788"/>
      <c r="AG172" s="1791"/>
      <c r="AH172" s="397"/>
      <c r="AI172" s="398"/>
      <c r="AJ172" s="591" t="s">
        <v>429</v>
      </c>
      <c r="AK172" s="398"/>
      <c r="AL172" s="398"/>
      <c r="AM172" s="398"/>
      <c r="AN172" s="398"/>
      <c r="AO172" s="398"/>
      <c r="AP172" s="397"/>
    </row>
    <row r="173" spans="1:42" ht="15.75" hidden="1" x14ac:dyDescent="0.25">
      <c r="A173" s="1819"/>
      <c r="B173" s="547" t="s">
        <v>129</v>
      </c>
      <c r="C173" s="1046"/>
      <c r="D173" s="802" t="s">
        <v>1114</v>
      </c>
      <c r="E173" s="1880"/>
      <c r="F173" s="661">
        <f>'exchange rates'!$O$48</f>
        <v>3.4784999999999999</v>
      </c>
      <c r="G173" s="549">
        <v>0</v>
      </c>
      <c r="H173" s="550">
        <f>448/F173</f>
        <v>128.79114560873941</v>
      </c>
      <c r="I173" s="551">
        <v>0</v>
      </c>
      <c r="J173" s="560">
        <f>35.84/F173</f>
        <v>10.303291648699153</v>
      </c>
      <c r="K173" s="566">
        <f>Tabel668921274[[#This Row],[Fix.ch. 2017]]+Tabel668921274[[#This Row],[Var. ch. 2017]]+Tabel668921274[[#This Row],[Oth. ch. DW 2017]]+Tabel668921274[[#This Row],[VAT DW 2017]]</f>
        <v>139.09443725743856</v>
      </c>
      <c r="L173" s="567">
        <v>0</v>
      </c>
      <c r="M173" s="560">
        <v>0</v>
      </c>
      <c r="N173" s="568">
        <f>551/F173</f>
        <v>158.4016098893201</v>
      </c>
      <c r="O173" s="560">
        <f>44.08/F173</f>
        <v>12.672128791145608</v>
      </c>
      <c r="P173" s="569">
        <v>0</v>
      </c>
      <c r="Q173" s="560">
        <v>0</v>
      </c>
      <c r="R173" s="570">
        <f>Tabel668921274[[#This Row],[VAT DW 2017]]+Tabel668921274[[#This Row],[VAT Sew. 2017]]+Tabel668921274[[#This Row],[VAT WW 2017]]+Tabel668921274[[#This Row],[VAT Other ch. 2017]]</f>
        <v>22.975420439844761</v>
      </c>
      <c r="S173" s="571">
        <f>Tabel668921274[[#This Row],[Total. ch. DW 2017]]+Tabel668921274[[#This Row],[Sew. 2017]]+Tabel668921274[[#This Row],[VAT Sew. 2017]]+Tabel668921274[[#This Row],[WW 2017]]+Tabel668921274[[#This Row],[VAT WW 2017]]+Tabel668921274[[#This Row],[Other ch. 2017]]+Tabel668921274[[#This Row],[VAT Other ch. 2017]]</f>
        <v>310.16817593790427</v>
      </c>
      <c r="T173" s="397"/>
      <c r="U173" s="1886"/>
      <c r="V173" s="1888"/>
      <c r="W173" s="1890"/>
      <c r="X173" s="1772"/>
      <c r="Y173" s="1892"/>
      <c r="Z173" s="1894"/>
      <c r="AA173" s="1772"/>
      <c r="AB173" s="1911"/>
      <c r="AC173" s="1772"/>
      <c r="AD173" s="1913"/>
      <c r="AE173" s="1772"/>
      <c r="AF173" s="1915"/>
      <c r="AG173" s="1832"/>
      <c r="AH173" s="397"/>
      <c r="AI173" s="398"/>
      <c r="AJ173" s="591" t="s">
        <v>429</v>
      </c>
      <c r="AK173" s="398"/>
      <c r="AL173" s="398"/>
      <c r="AM173" s="398"/>
      <c r="AN173" s="398"/>
      <c r="AO173" s="398"/>
      <c r="AP173" s="397"/>
    </row>
    <row r="174" spans="1:42" ht="15.75" hidden="1" x14ac:dyDescent="0.25">
      <c r="A174" s="1819"/>
      <c r="B174" s="547" t="s">
        <v>130</v>
      </c>
      <c r="C174" s="1046"/>
      <c r="D174" s="802" t="s">
        <v>1114</v>
      </c>
      <c r="E174" s="1880"/>
      <c r="F174" s="661">
        <f>'exchange rates'!$O$48</f>
        <v>3.4784999999999999</v>
      </c>
      <c r="G174" s="549">
        <v>0</v>
      </c>
      <c r="H174" s="550">
        <f>334/F174</f>
        <v>96.018398735086961</v>
      </c>
      <c r="I174" s="551">
        <v>0</v>
      </c>
      <c r="J174" s="560">
        <f>26.72/F174</f>
        <v>7.681471898806957</v>
      </c>
      <c r="K174" s="566">
        <f>Tabel668921274[[#This Row],[Fix.ch. 2017]]+Tabel668921274[[#This Row],[Var. ch. 2017]]+Tabel668921274[[#This Row],[Oth. ch. DW 2017]]+Tabel668921274[[#This Row],[VAT DW 2017]]</f>
        <v>103.69987063389392</v>
      </c>
      <c r="L174" s="567">
        <v>0</v>
      </c>
      <c r="M174" s="560">
        <v>0</v>
      </c>
      <c r="N174" s="568">
        <f>555/F174</f>
        <v>159.55153083225528</v>
      </c>
      <c r="O174" s="560">
        <f>44.4/F174</f>
        <v>12.764122466580423</v>
      </c>
      <c r="P174" s="569">
        <v>0</v>
      </c>
      <c r="Q174" s="560">
        <v>0</v>
      </c>
      <c r="R174" s="570">
        <f>Tabel668921274[[#This Row],[VAT DW 2017]]+Tabel668921274[[#This Row],[VAT Sew. 2017]]+Tabel668921274[[#This Row],[VAT WW 2017]]+Tabel668921274[[#This Row],[VAT Other ch. 2017]]</f>
        <v>20.445594365387379</v>
      </c>
      <c r="S174" s="571">
        <f>Tabel668921274[[#This Row],[Total. ch. DW 2017]]+Tabel668921274[[#This Row],[Sew. 2017]]+Tabel668921274[[#This Row],[VAT Sew. 2017]]+Tabel668921274[[#This Row],[WW 2017]]+Tabel668921274[[#This Row],[VAT WW 2017]]+Tabel668921274[[#This Row],[Other ch. 2017]]+Tabel668921274[[#This Row],[VAT Other ch. 2017]]</f>
        <v>276.01552393272965</v>
      </c>
      <c r="T174" s="397"/>
      <c r="U174" s="1886"/>
      <c r="V174" s="1888"/>
      <c r="W174" s="1890"/>
      <c r="X174" s="1772"/>
      <c r="Y174" s="1892"/>
      <c r="Z174" s="1894"/>
      <c r="AA174" s="1772"/>
      <c r="AB174" s="1911"/>
      <c r="AC174" s="1772"/>
      <c r="AD174" s="1913"/>
      <c r="AE174" s="1772"/>
      <c r="AF174" s="1915"/>
      <c r="AG174" s="1832"/>
      <c r="AH174" s="397"/>
      <c r="AI174" s="396"/>
      <c r="AJ174" s="591" t="s">
        <v>429</v>
      </c>
      <c r="AK174" s="398"/>
      <c r="AL174" s="398"/>
      <c r="AM174" s="398"/>
      <c r="AN174" s="398"/>
      <c r="AO174" s="398"/>
      <c r="AP174" s="397"/>
    </row>
    <row r="175" spans="1:42" ht="15.75" hidden="1" x14ac:dyDescent="0.25">
      <c r="A175" s="1819"/>
      <c r="B175" s="547" t="s">
        <v>131</v>
      </c>
      <c r="C175" s="1046"/>
      <c r="D175" s="802" t="s">
        <v>1114</v>
      </c>
      <c r="E175" s="1880"/>
      <c r="F175" s="661">
        <f>'exchange rates'!$O$48</f>
        <v>3.4784999999999999</v>
      </c>
      <c r="G175" s="549">
        <v>0</v>
      </c>
      <c r="H175" s="550">
        <f>338/F175</f>
        <v>97.168319678022144</v>
      </c>
      <c r="I175" s="551">
        <v>0</v>
      </c>
      <c r="J175" s="560">
        <f>27.04/F175</f>
        <v>7.7734655742417704</v>
      </c>
      <c r="K175" s="566">
        <f>Tabel668921274[[#This Row],[Fix.ch. 2017]]+Tabel668921274[[#This Row],[Var. ch. 2017]]+Tabel668921274[[#This Row],[Oth. ch. DW 2017]]+Tabel668921274[[#This Row],[VAT DW 2017]]</f>
        <v>104.94178525226391</v>
      </c>
      <c r="L175" s="567">
        <v>0</v>
      </c>
      <c r="M175" s="560">
        <v>0</v>
      </c>
      <c r="N175" s="568">
        <f>332/F175</f>
        <v>95.443438263619385</v>
      </c>
      <c r="O175" s="560">
        <f>26.56/F175</f>
        <v>7.6354750610895499</v>
      </c>
      <c r="P175" s="569">
        <v>0</v>
      </c>
      <c r="Q175" s="560">
        <v>0</v>
      </c>
      <c r="R175" s="570">
        <f>Tabel668921274[[#This Row],[VAT DW 2017]]+Tabel668921274[[#This Row],[VAT Sew. 2017]]+Tabel668921274[[#This Row],[VAT WW 2017]]+Tabel668921274[[#This Row],[VAT Other ch. 2017]]</f>
        <v>15.408940635331319</v>
      </c>
      <c r="S175" s="571">
        <f>Tabel668921274[[#This Row],[Total. ch. DW 2017]]+Tabel668921274[[#This Row],[Sew. 2017]]+Tabel668921274[[#This Row],[VAT Sew. 2017]]+Tabel668921274[[#This Row],[WW 2017]]+Tabel668921274[[#This Row],[VAT WW 2017]]+Tabel668921274[[#This Row],[Other ch. 2017]]+Tabel668921274[[#This Row],[VAT Other ch. 2017]]</f>
        <v>208.02069857697285</v>
      </c>
      <c r="T175" s="397"/>
      <c r="U175" s="1886"/>
      <c r="V175" s="1888"/>
      <c r="W175" s="1890"/>
      <c r="X175" s="1772"/>
      <c r="Y175" s="1892"/>
      <c r="Z175" s="1894"/>
      <c r="AA175" s="1772"/>
      <c r="AB175" s="1911"/>
      <c r="AC175" s="1772"/>
      <c r="AD175" s="1913"/>
      <c r="AE175" s="1772"/>
      <c r="AF175" s="1915"/>
      <c r="AG175" s="1832"/>
      <c r="AH175" s="397"/>
      <c r="AI175" s="396"/>
      <c r="AJ175" s="591" t="s">
        <v>429</v>
      </c>
      <c r="AK175" s="398"/>
      <c r="AL175" s="398"/>
      <c r="AM175" s="398"/>
      <c r="AN175" s="398"/>
      <c r="AO175" s="398"/>
      <c r="AP175" s="397"/>
    </row>
    <row r="176" spans="1:42" ht="16.5" hidden="1" thickBot="1" x14ac:dyDescent="0.3">
      <c r="A176" s="1820"/>
      <c r="B176" s="543" t="s">
        <v>132</v>
      </c>
      <c r="C176" s="1046"/>
      <c r="D176" s="802" t="s">
        <v>1114</v>
      </c>
      <c r="E176" s="1799"/>
      <c r="F176" s="661">
        <f>'exchange rates'!$O$48</f>
        <v>3.4784999999999999</v>
      </c>
      <c r="G176" s="549">
        <v>0</v>
      </c>
      <c r="H176" s="550">
        <f>295/F176</f>
        <v>84.80666954146902</v>
      </c>
      <c r="I176" s="551">
        <v>0</v>
      </c>
      <c r="J176" s="560">
        <f>23.6/F176</f>
        <v>6.7845335633175221</v>
      </c>
      <c r="K176" s="566">
        <f>Tabel668921274[[#This Row],[Fix.ch. 2017]]+Tabel668921274[[#This Row],[Var. ch. 2017]]+Tabel668921274[[#This Row],[Oth. ch. DW 2017]]+Tabel668921274[[#This Row],[VAT DW 2017]]</f>
        <v>91.591203104786544</v>
      </c>
      <c r="L176" s="567">
        <v>0</v>
      </c>
      <c r="M176" s="560">
        <v>0</v>
      </c>
      <c r="N176" s="568">
        <f>451/F176</f>
        <v>129.65358631594077</v>
      </c>
      <c r="O176" s="560">
        <f>36.08/F176</f>
        <v>10.372286905275262</v>
      </c>
      <c r="P176" s="569">
        <v>0</v>
      </c>
      <c r="Q176" s="560">
        <v>0</v>
      </c>
      <c r="R176" s="570">
        <f>Tabel668921274[[#This Row],[VAT DW 2017]]+Tabel668921274[[#This Row],[VAT Sew. 2017]]+Tabel668921274[[#This Row],[VAT WW 2017]]+Tabel668921274[[#This Row],[VAT Other ch. 2017]]</f>
        <v>17.156820468592784</v>
      </c>
      <c r="S176" s="571">
        <f>Tabel668921274[[#This Row],[Total. ch. DW 2017]]+Tabel668921274[[#This Row],[Sew. 2017]]+Tabel668921274[[#This Row],[VAT Sew. 2017]]+Tabel668921274[[#This Row],[WW 2017]]+Tabel668921274[[#This Row],[VAT WW 2017]]+Tabel668921274[[#This Row],[Other ch. 2017]]+Tabel668921274[[#This Row],[VAT Other ch. 2017]]</f>
        <v>231.6170763260026</v>
      </c>
      <c r="T176" s="397"/>
      <c r="U176" s="1801"/>
      <c r="V176" s="1803"/>
      <c r="W176" s="1805"/>
      <c r="X176" s="1773"/>
      <c r="Y176" s="1807"/>
      <c r="Z176" s="1809"/>
      <c r="AA176" s="1773"/>
      <c r="AB176" s="1782"/>
      <c r="AC176" s="1773"/>
      <c r="AD176" s="1786"/>
      <c r="AE176" s="1773"/>
      <c r="AF176" s="1789"/>
      <c r="AG176" s="1792"/>
      <c r="AH176" s="397"/>
      <c r="AI176" s="396"/>
      <c r="AJ176" s="591" t="s">
        <v>429</v>
      </c>
      <c r="AK176" s="398"/>
      <c r="AL176" s="398"/>
      <c r="AM176" s="398"/>
      <c r="AN176" s="398"/>
      <c r="AO176" s="398"/>
      <c r="AP176" s="397"/>
    </row>
    <row r="177" spans="1:42" ht="18" hidden="1" customHeight="1" x14ac:dyDescent="0.25">
      <c r="A177" s="1878" t="s">
        <v>23</v>
      </c>
      <c r="B177" s="638" t="s">
        <v>133</v>
      </c>
      <c r="C177" s="693" t="s">
        <v>429</v>
      </c>
      <c r="D177" s="806" t="s">
        <v>1116</v>
      </c>
      <c r="E177" s="1934">
        <v>30300</v>
      </c>
      <c r="F177" s="616">
        <f>'exchange rates'!$O$49</f>
        <v>0.83301000000000003</v>
      </c>
      <c r="G177" s="549">
        <f>57/F177</f>
        <v>68.426549501206466</v>
      </c>
      <c r="H177" s="550">
        <f>51.85/F177</f>
        <v>62.244150730483426</v>
      </c>
      <c r="I177" s="551">
        <f>2.26/F177</f>
        <v>2.7130526644337998</v>
      </c>
      <c r="J177" s="560">
        <f>6.67/F177</f>
        <v>8.0071067574218802</v>
      </c>
      <c r="K177" s="566">
        <f>Tabel668921274[[#This Row],[Fix.ch. 2017]]+Tabel668921274[[#This Row],[Var. ch. 2017]]+Tabel668921274[[#This Row],[Oth. ch. DW 2017]]+Tabel668921274[[#This Row],[VAT DW 2017]]</f>
        <v>141.39085965354559</v>
      </c>
      <c r="L177" s="567">
        <f>71.28/F177</f>
        <v>85.569200849929771</v>
      </c>
      <c r="M177" s="560">
        <v>0</v>
      </c>
      <c r="N177" s="568">
        <v>0</v>
      </c>
      <c r="O177" s="560">
        <v>0</v>
      </c>
      <c r="P177" s="569">
        <f>14.53/F177</f>
        <v>17.442767793904032</v>
      </c>
      <c r="Q177" s="560">
        <v>0</v>
      </c>
      <c r="R177" s="570">
        <f>Tabel668921274[[#This Row],[VAT DW 2017]]+Tabel668921274[[#This Row],[VAT Sew. 2017]]+Tabel668921274[[#This Row],[VAT WW 2017]]+Tabel668921274[[#This Row],[VAT Other ch. 2017]]</f>
        <v>8.0071067574218802</v>
      </c>
      <c r="S177" s="571">
        <f>Tabel668921274[[#This Row],[Total. ch. DW 2017]]+Tabel668921274[[#This Row],[Sew. 2017]]+Tabel668921274[[#This Row],[VAT Sew. 2017]]+Tabel668921274[[#This Row],[WW 2017]]+Tabel668921274[[#This Row],[VAT WW 2017]]+Tabel668921274[[#This Row],[Other ch. 2017]]+Tabel668921274[[#This Row],[VAT Other ch. 2017]]</f>
        <v>244.40282829737939</v>
      </c>
      <c r="T177" s="397"/>
      <c r="U177" s="1935">
        <f>MEDIAN(G177:G183)</f>
        <v>56.181798537832677</v>
      </c>
      <c r="V177" s="1936">
        <f>MEDIAN(H177:H183)</f>
        <v>81.631673089158596</v>
      </c>
      <c r="W177" s="1937">
        <f>MEDIAN(I177:I183)</f>
        <v>2.7250573222410295</v>
      </c>
      <c r="X177" s="1938">
        <f>MEDIAN(J177:J183)</f>
        <v>8.4392744384821317</v>
      </c>
      <c r="Y177" s="1939">
        <f>SUM(U177:X183)</f>
        <v>148.97780338771443</v>
      </c>
      <c r="Z177" s="1950">
        <f t="shared" ref="Z177:AF177" si="32">MEDIAN(L177:L183)</f>
        <v>101.27129326178557</v>
      </c>
      <c r="AA177" s="1938">
        <f t="shared" si="32"/>
        <v>0</v>
      </c>
      <c r="AB177" s="1946">
        <f t="shared" si="32"/>
        <v>0</v>
      </c>
      <c r="AC177" s="1938">
        <f t="shared" si="32"/>
        <v>0</v>
      </c>
      <c r="AD177" s="1947">
        <f t="shared" si="32"/>
        <v>0</v>
      </c>
      <c r="AE177" s="1938">
        <f t="shared" si="32"/>
        <v>0</v>
      </c>
      <c r="AF177" s="1944">
        <f t="shared" si="32"/>
        <v>9.1115352756869665</v>
      </c>
      <c r="AG177" s="1945">
        <f>Y177+Z177+AA177+AB177+AC177+AD177+AE177</f>
        <v>250.24909664950002</v>
      </c>
      <c r="AH177" s="397"/>
      <c r="AI177" s="398"/>
      <c r="AJ177" s="398"/>
      <c r="AK177" s="398"/>
      <c r="AL177" s="591" t="s">
        <v>429</v>
      </c>
      <c r="AM177" s="591" t="s">
        <v>429</v>
      </c>
      <c r="AN177" s="614"/>
      <c r="AO177" s="398"/>
      <c r="AP177" s="397"/>
    </row>
    <row r="178" spans="1:42" ht="15.6" hidden="1" customHeight="1" x14ac:dyDescent="0.25">
      <c r="A178" s="1757"/>
      <c r="B178" s="639" t="s">
        <v>134</v>
      </c>
      <c r="C178" s="639"/>
      <c r="D178" s="724" t="s">
        <v>1116</v>
      </c>
      <c r="E178" s="1760"/>
      <c r="F178" s="616">
        <f>'exchange rates'!$O$49</f>
        <v>0.83301000000000003</v>
      </c>
      <c r="G178" s="549">
        <f>48.84/F178</f>
        <v>58.630748730507442</v>
      </c>
      <c r="H178" s="550">
        <f>75.33/F178</f>
        <v>90.431087261857598</v>
      </c>
      <c r="I178" s="551">
        <f>2.27/F178</f>
        <v>2.7250573222410295</v>
      </c>
      <c r="J178" s="560">
        <f>7.59/F178</f>
        <v>9.1115352756869665</v>
      </c>
      <c r="K178" s="566">
        <f>Tabel668921274[[#This Row],[Fix.ch. 2017]]+Tabel668921274[[#This Row],[Var. ch. 2017]]+Tabel668921274[[#This Row],[Oth. ch. DW 2017]]+Tabel668921274[[#This Row],[VAT DW 2017]]</f>
        <v>160.89842859029307</v>
      </c>
      <c r="L178" s="567">
        <f>109.92/F178</f>
        <v>131.95519861706342</v>
      </c>
      <c r="M178" s="560">
        <v>0</v>
      </c>
      <c r="N178" s="568">
        <v>0</v>
      </c>
      <c r="O178" s="560">
        <v>0</v>
      </c>
      <c r="P178" s="569">
        <v>0</v>
      </c>
      <c r="Q178" s="560">
        <v>0</v>
      </c>
      <c r="R178" s="570">
        <f>Tabel668921274[[#This Row],[VAT DW 2017]]+Tabel668921274[[#This Row],[VAT Sew. 2017]]+Tabel668921274[[#This Row],[VAT WW 2017]]+Tabel668921274[[#This Row],[VAT Other ch. 2017]]</f>
        <v>9.1115352756869665</v>
      </c>
      <c r="S178" s="571">
        <f>Tabel668921274[[#This Row],[Total. ch. DW 2017]]+Tabel668921274[[#This Row],[Sew. 2017]]+Tabel668921274[[#This Row],[VAT Sew. 2017]]+Tabel668921274[[#This Row],[WW 2017]]+Tabel668921274[[#This Row],[VAT WW 2017]]+Tabel668921274[[#This Row],[Other ch. 2017]]+Tabel668921274[[#This Row],[VAT Other ch. 2017]]</f>
        <v>292.85362720735645</v>
      </c>
      <c r="T178" s="397"/>
      <c r="U178" s="1763"/>
      <c r="V178" s="1766"/>
      <c r="W178" s="1769"/>
      <c r="X178" s="1772"/>
      <c r="Y178" s="1775"/>
      <c r="Z178" s="1778"/>
      <c r="AA178" s="1772"/>
      <c r="AB178" s="1781"/>
      <c r="AC178" s="1772"/>
      <c r="AD178" s="1785"/>
      <c r="AE178" s="1772"/>
      <c r="AF178" s="1788"/>
      <c r="AG178" s="1791"/>
      <c r="AH178" s="397"/>
      <c r="AI178" s="398"/>
      <c r="AJ178" s="398"/>
      <c r="AK178" s="398"/>
      <c r="AL178" s="591" t="s">
        <v>429</v>
      </c>
      <c r="AM178" s="591" t="s">
        <v>429</v>
      </c>
      <c r="AN178" s="614"/>
      <c r="AO178" s="398"/>
      <c r="AP178" s="397"/>
    </row>
    <row r="179" spans="1:42" ht="15.6" hidden="1" customHeight="1" x14ac:dyDescent="0.25">
      <c r="A179" s="1757"/>
      <c r="B179" s="639" t="s">
        <v>135</v>
      </c>
      <c r="C179" s="639"/>
      <c r="D179" s="724" t="s">
        <v>1116</v>
      </c>
      <c r="E179" s="1760"/>
      <c r="F179" s="616">
        <f>'exchange rates'!$O$49</f>
        <v>0.83301000000000003</v>
      </c>
      <c r="G179" s="549">
        <f>41.62/F179</f>
        <v>49.963385793687948</v>
      </c>
      <c r="H179" s="550">
        <f>78.89/F179</f>
        <v>94.704745441231196</v>
      </c>
      <c r="I179" s="551">
        <f>2.04/F179</f>
        <v>2.4489501926747579</v>
      </c>
      <c r="J179" s="560">
        <f>7.35/F179</f>
        <v>8.8234234883134643</v>
      </c>
      <c r="K179" s="566">
        <f>Tabel668921274[[#This Row],[Fix.ch. 2017]]+Tabel668921274[[#This Row],[Var. ch. 2017]]+Tabel668921274[[#This Row],[Oth. ch. DW 2017]]+Tabel668921274[[#This Row],[VAT DW 2017]]</f>
        <v>155.94050491590738</v>
      </c>
      <c r="L179" s="567">
        <f>47.51/F179</f>
        <v>57.034129242145951</v>
      </c>
      <c r="M179" s="560">
        <f>2.85/F179</f>
        <v>3.4213274750603233</v>
      </c>
      <c r="N179" s="568">
        <v>0</v>
      </c>
      <c r="O179" s="560">
        <v>0</v>
      </c>
      <c r="P179" s="569">
        <v>0</v>
      </c>
      <c r="Q179" s="560">
        <v>0</v>
      </c>
      <c r="R179" s="570">
        <f>Tabel668921274[[#This Row],[VAT DW 2017]]+Tabel668921274[[#This Row],[VAT Sew. 2017]]+Tabel668921274[[#This Row],[VAT WW 2017]]+Tabel668921274[[#This Row],[VAT Other ch. 2017]]</f>
        <v>12.244750963373788</v>
      </c>
      <c r="S179" s="571">
        <f>Tabel668921274[[#This Row],[Total. ch. DW 2017]]+Tabel668921274[[#This Row],[Sew. 2017]]+Tabel668921274[[#This Row],[VAT Sew. 2017]]+Tabel668921274[[#This Row],[WW 2017]]+Tabel668921274[[#This Row],[VAT WW 2017]]+Tabel668921274[[#This Row],[Other ch. 2017]]+Tabel668921274[[#This Row],[VAT Other ch. 2017]]</f>
        <v>216.39596163311364</v>
      </c>
      <c r="T179" s="397"/>
      <c r="U179" s="1763"/>
      <c r="V179" s="1766"/>
      <c r="W179" s="1769"/>
      <c r="X179" s="1772"/>
      <c r="Y179" s="1775"/>
      <c r="Z179" s="1778"/>
      <c r="AA179" s="1772"/>
      <c r="AB179" s="1781"/>
      <c r="AC179" s="1772"/>
      <c r="AD179" s="1785"/>
      <c r="AE179" s="1772"/>
      <c r="AF179" s="1788"/>
      <c r="AG179" s="1791"/>
      <c r="AH179" s="397"/>
      <c r="AI179" s="398"/>
      <c r="AJ179" s="398"/>
      <c r="AK179" s="398"/>
      <c r="AL179" s="591" t="s">
        <v>429</v>
      </c>
      <c r="AM179" s="591" t="s">
        <v>429</v>
      </c>
      <c r="AN179" s="614"/>
      <c r="AO179" s="398"/>
      <c r="AP179" s="397"/>
    </row>
    <row r="180" spans="1:42" ht="15.6" hidden="1" customHeight="1" x14ac:dyDescent="0.25">
      <c r="A180" s="1757"/>
      <c r="B180" s="639" t="s">
        <v>136</v>
      </c>
      <c r="C180" s="639"/>
      <c r="D180" s="724" t="s">
        <v>1116</v>
      </c>
      <c r="E180" s="1760"/>
      <c r="F180" s="616">
        <f>'exchange rates'!$O$49</f>
        <v>0.83301000000000003</v>
      </c>
      <c r="G180" s="549">
        <f>38.11/F180</f>
        <v>45.749750903350495</v>
      </c>
      <c r="H180" s="550">
        <f>87.82/F180</f>
        <v>105.42490486308687</v>
      </c>
      <c r="I180" s="551">
        <f>2.5/F180</f>
        <v>3.0011644518073011</v>
      </c>
      <c r="J180" s="560">
        <f>7.71/F180</f>
        <v>9.2555911693737158</v>
      </c>
      <c r="K180" s="566">
        <f>Tabel668921274[[#This Row],[Fix.ch. 2017]]+Tabel668921274[[#This Row],[Var. ch. 2017]]+Tabel668921274[[#This Row],[Oth. ch. DW 2017]]+Tabel668921274[[#This Row],[VAT DW 2017]]</f>
        <v>163.43141138761837</v>
      </c>
      <c r="L180" s="567">
        <f>102.88/F180</f>
        <v>123.50391952077405</v>
      </c>
      <c r="M180" s="560">
        <v>0</v>
      </c>
      <c r="N180" s="568">
        <v>0</v>
      </c>
      <c r="O180" s="560">
        <v>0</v>
      </c>
      <c r="P180" s="569">
        <v>0</v>
      </c>
      <c r="Q180" s="560">
        <v>0</v>
      </c>
      <c r="R180" s="570">
        <f>Tabel668921274[[#This Row],[VAT DW 2017]]+Tabel668921274[[#This Row],[VAT Sew. 2017]]+Tabel668921274[[#This Row],[VAT WW 2017]]+Tabel668921274[[#This Row],[VAT Other ch. 2017]]</f>
        <v>9.2555911693737158</v>
      </c>
      <c r="S180" s="571">
        <f>Tabel668921274[[#This Row],[Total. ch. DW 2017]]+Tabel668921274[[#This Row],[Sew. 2017]]+Tabel668921274[[#This Row],[VAT Sew. 2017]]+Tabel668921274[[#This Row],[WW 2017]]+Tabel668921274[[#This Row],[VAT WW 2017]]+Tabel668921274[[#This Row],[Other ch. 2017]]+Tabel668921274[[#This Row],[VAT Other ch. 2017]]</f>
        <v>286.93533090839242</v>
      </c>
      <c r="T180" s="397"/>
      <c r="U180" s="1763"/>
      <c r="V180" s="1766"/>
      <c r="W180" s="1769"/>
      <c r="X180" s="1772"/>
      <c r="Y180" s="1775"/>
      <c r="Z180" s="1778"/>
      <c r="AA180" s="1772"/>
      <c r="AB180" s="1781"/>
      <c r="AC180" s="1772"/>
      <c r="AD180" s="1785"/>
      <c r="AE180" s="1772"/>
      <c r="AF180" s="1788"/>
      <c r="AG180" s="1791"/>
      <c r="AH180" s="397"/>
      <c r="AI180" s="398"/>
      <c r="AJ180" s="398"/>
      <c r="AK180" s="398"/>
      <c r="AL180" s="591" t="s">
        <v>429</v>
      </c>
      <c r="AM180" s="591" t="s">
        <v>429</v>
      </c>
      <c r="AN180" s="614"/>
      <c r="AO180" s="398"/>
      <c r="AP180" s="397"/>
    </row>
    <row r="181" spans="1:42" ht="15.6" hidden="1" customHeight="1" x14ac:dyDescent="0.25">
      <c r="A181" s="1757"/>
      <c r="B181" s="639" t="s">
        <v>137</v>
      </c>
      <c r="C181" s="639"/>
      <c r="D181" s="724" t="s">
        <v>1116</v>
      </c>
      <c r="E181" s="1760"/>
      <c r="F181" s="616">
        <f>'exchange rates'!$O$49</f>
        <v>0.83301000000000003</v>
      </c>
      <c r="G181" s="549">
        <f>55.97/F181</f>
        <v>67.190069747061855</v>
      </c>
      <c r="H181" s="550">
        <f>56.19/F181</f>
        <v>67.454172218820901</v>
      </c>
      <c r="I181" s="551">
        <f>1.71/F181</f>
        <v>2.0527964850361937</v>
      </c>
      <c r="J181" s="560">
        <f>6.83/F181</f>
        <v>8.1991812823375465</v>
      </c>
      <c r="K181" s="566">
        <f>Tabel668921274[[#This Row],[Fix.ch. 2017]]+Tabel668921274[[#This Row],[Var. ch. 2017]]+Tabel668921274[[#This Row],[Oth. ch. DW 2017]]+Tabel668921274[[#This Row],[VAT DW 2017]]</f>
        <v>144.89621973325652</v>
      </c>
      <c r="L181" s="567">
        <f>49.09/F181</f>
        <v>58.930865175688169</v>
      </c>
      <c r="M181" s="560">
        <v>0</v>
      </c>
      <c r="N181" s="568">
        <v>0</v>
      </c>
      <c r="O181" s="560">
        <v>0</v>
      </c>
      <c r="P181" s="569">
        <v>0</v>
      </c>
      <c r="Q181" s="560">
        <v>0</v>
      </c>
      <c r="R181" s="570">
        <f>Tabel668921274[[#This Row],[VAT DW 2017]]+Tabel668921274[[#This Row],[VAT Sew. 2017]]+Tabel668921274[[#This Row],[VAT WW 2017]]+Tabel668921274[[#This Row],[VAT Other ch. 2017]]</f>
        <v>8.1991812823375465</v>
      </c>
      <c r="S181" s="571">
        <f>Tabel668921274[[#This Row],[Total. ch. DW 2017]]+Tabel668921274[[#This Row],[Sew. 2017]]+Tabel668921274[[#This Row],[VAT Sew. 2017]]+Tabel668921274[[#This Row],[WW 2017]]+Tabel668921274[[#This Row],[VAT WW 2017]]+Tabel668921274[[#This Row],[Other ch. 2017]]+Tabel668921274[[#This Row],[VAT Other ch. 2017]]</f>
        <v>203.8270849089447</v>
      </c>
      <c r="T181" s="397"/>
      <c r="U181" s="1763"/>
      <c r="V181" s="1766"/>
      <c r="W181" s="1769"/>
      <c r="X181" s="1772"/>
      <c r="Y181" s="1775"/>
      <c r="Z181" s="1778"/>
      <c r="AA181" s="1772"/>
      <c r="AB181" s="1781"/>
      <c r="AC181" s="1772"/>
      <c r="AD181" s="1785"/>
      <c r="AE181" s="1772"/>
      <c r="AF181" s="1788"/>
      <c r="AG181" s="1791"/>
      <c r="AH181" s="397"/>
      <c r="AI181" s="398"/>
      <c r="AJ181" s="398"/>
      <c r="AK181" s="398"/>
      <c r="AL181" s="591" t="s">
        <v>429</v>
      </c>
      <c r="AM181" s="591" t="s">
        <v>429</v>
      </c>
      <c r="AN181" s="614"/>
      <c r="AO181" s="398"/>
      <c r="AP181" s="397"/>
    </row>
    <row r="182" spans="1:42" ht="15.6" hidden="1" customHeight="1" x14ac:dyDescent="0.25">
      <c r="A182" s="1757"/>
      <c r="B182" s="639" t="s">
        <v>138</v>
      </c>
      <c r="C182" s="639"/>
      <c r="D182" s="724" t="s">
        <v>1116</v>
      </c>
      <c r="E182" s="1760"/>
      <c r="F182" s="616">
        <f>'exchange rates'!$O$49</f>
        <v>0.83301000000000003</v>
      </c>
      <c r="G182" s="549">
        <f>46.8/F182</f>
        <v>56.181798537832677</v>
      </c>
      <c r="H182" s="550">
        <f>68/F182</f>
        <v>81.631673089158596</v>
      </c>
      <c r="I182" s="551">
        <f>2.43/F182</f>
        <v>2.9171318471566967</v>
      </c>
      <c r="J182" s="560">
        <f>7.03/F182</f>
        <v>8.4392744384821317</v>
      </c>
      <c r="K182" s="566">
        <f>Tabel668921274[[#This Row],[Fix.ch. 2017]]+Tabel668921274[[#This Row],[Var. ch. 2017]]+Tabel668921274[[#This Row],[Oth. ch. DW 2017]]+Tabel668921274[[#This Row],[VAT DW 2017]]</f>
        <v>149.16987791263008</v>
      </c>
      <c r="L182" s="567">
        <f>84.36/F182</f>
        <v>101.27129326178557</v>
      </c>
      <c r="M182" s="560">
        <f>5.06/F182</f>
        <v>6.0743568504579768</v>
      </c>
      <c r="N182" s="568">
        <v>0</v>
      </c>
      <c r="O182" s="560">
        <v>0</v>
      </c>
      <c r="P182" s="569">
        <v>0</v>
      </c>
      <c r="Q182" s="560">
        <v>0</v>
      </c>
      <c r="R182" s="570">
        <f>Tabel668921274[[#This Row],[VAT DW 2017]]+Tabel668921274[[#This Row],[VAT Sew. 2017]]+Tabel668921274[[#This Row],[VAT WW 2017]]+Tabel668921274[[#This Row],[VAT Other ch. 2017]]</f>
        <v>14.513631288940108</v>
      </c>
      <c r="S182" s="571">
        <f>Tabel668921274[[#This Row],[Total. ch. DW 2017]]+Tabel668921274[[#This Row],[Sew. 2017]]+Tabel668921274[[#This Row],[VAT Sew. 2017]]+Tabel668921274[[#This Row],[WW 2017]]+Tabel668921274[[#This Row],[VAT WW 2017]]+Tabel668921274[[#This Row],[Other ch. 2017]]+Tabel668921274[[#This Row],[VAT Other ch. 2017]]</f>
        <v>256.51552802487367</v>
      </c>
      <c r="T182" s="397"/>
      <c r="U182" s="1763"/>
      <c r="V182" s="1766"/>
      <c r="W182" s="1769"/>
      <c r="X182" s="1772"/>
      <c r="Y182" s="1775"/>
      <c r="Z182" s="1778"/>
      <c r="AA182" s="1772"/>
      <c r="AB182" s="1781"/>
      <c r="AC182" s="1772"/>
      <c r="AD182" s="1785"/>
      <c r="AE182" s="1772"/>
      <c r="AF182" s="1788"/>
      <c r="AG182" s="1791"/>
      <c r="AH182" s="397"/>
      <c r="AI182" s="398"/>
      <c r="AJ182" s="398"/>
      <c r="AK182" s="398"/>
      <c r="AL182" s="591" t="s">
        <v>429</v>
      </c>
      <c r="AM182" s="591" t="s">
        <v>429</v>
      </c>
      <c r="AN182" s="614"/>
      <c r="AO182" s="398"/>
      <c r="AP182" s="397"/>
    </row>
    <row r="183" spans="1:42" ht="16.149999999999999" hidden="1" customHeight="1" thickBot="1" x14ac:dyDescent="0.3">
      <c r="A183" s="1758"/>
      <c r="B183" s="640" t="s">
        <v>139</v>
      </c>
      <c r="C183" s="652"/>
      <c r="D183" s="807" t="s">
        <v>1116</v>
      </c>
      <c r="E183" s="1799"/>
      <c r="F183" s="616">
        <f>'exchange rates'!$O$49</f>
        <v>0.83301000000000003</v>
      </c>
      <c r="G183" s="549">
        <f>33.94/F183</f>
        <v>40.743808597735921</v>
      </c>
      <c r="H183" s="550">
        <f>55.59/F183</f>
        <v>66.733892750387156</v>
      </c>
      <c r="I183" s="551">
        <f>2.68/F183</f>
        <v>3.2172482923374268</v>
      </c>
      <c r="J183" s="560">
        <f>5.53/F183</f>
        <v>6.6385757673977501</v>
      </c>
      <c r="K183" s="566">
        <f>Tabel668921274[[#This Row],[Fix.ch. 2017]]+Tabel668921274[[#This Row],[Var. ch. 2017]]+Tabel668921274[[#This Row],[Oth. ch. DW 2017]]+Tabel668921274[[#This Row],[VAT DW 2017]]</f>
        <v>117.33352540785826</v>
      </c>
      <c r="L183" s="567">
        <f>114.67/F183</f>
        <v>137.65741107549729</v>
      </c>
      <c r="M183" s="560">
        <v>0</v>
      </c>
      <c r="N183" s="568">
        <v>0</v>
      </c>
      <c r="O183" s="560">
        <v>0</v>
      </c>
      <c r="P183" s="569">
        <v>0</v>
      </c>
      <c r="Q183" s="560">
        <v>0</v>
      </c>
      <c r="R183" s="570">
        <f>Tabel668921274[[#This Row],[VAT DW 2017]]+Tabel668921274[[#This Row],[VAT Sew. 2017]]+Tabel668921274[[#This Row],[VAT WW 2017]]+Tabel668921274[[#This Row],[VAT Other ch. 2017]]</f>
        <v>6.6385757673977501</v>
      </c>
      <c r="S183" s="571">
        <f>Tabel668921274[[#This Row],[Total. ch. DW 2017]]+Tabel668921274[[#This Row],[Sew. 2017]]+Tabel668921274[[#This Row],[VAT Sew. 2017]]+Tabel668921274[[#This Row],[WW 2017]]+Tabel668921274[[#This Row],[VAT WW 2017]]+Tabel668921274[[#This Row],[Other ch. 2017]]+Tabel668921274[[#This Row],[VAT Other ch. 2017]]</f>
        <v>254.99093648335554</v>
      </c>
      <c r="T183" s="397"/>
      <c r="U183" s="1801"/>
      <c r="V183" s="1803"/>
      <c r="W183" s="1805"/>
      <c r="X183" s="1773"/>
      <c r="Y183" s="1807"/>
      <c r="Z183" s="1809"/>
      <c r="AA183" s="1773"/>
      <c r="AB183" s="1782"/>
      <c r="AC183" s="1773"/>
      <c r="AD183" s="1786"/>
      <c r="AE183" s="1773"/>
      <c r="AF183" s="1789"/>
      <c r="AG183" s="1792"/>
      <c r="AH183" s="397"/>
      <c r="AI183" s="398"/>
      <c r="AJ183" s="398"/>
      <c r="AK183" s="398"/>
      <c r="AL183" s="591" t="s">
        <v>429</v>
      </c>
      <c r="AM183" s="591" t="s">
        <v>429</v>
      </c>
      <c r="AN183" s="591" t="s">
        <v>429</v>
      </c>
      <c r="AO183" s="398"/>
      <c r="AP183" s="397"/>
    </row>
    <row r="184" spans="1:42" ht="18.75" hidden="1" customHeight="1" x14ac:dyDescent="0.25">
      <c r="A184" s="1878" t="s">
        <v>40</v>
      </c>
      <c r="B184" s="630" t="s">
        <v>869</v>
      </c>
      <c r="C184" s="754"/>
      <c r="D184" s="754" t="s">
        <v>1118</v>
      </c>
      <c r="E184" s="1983">
        <v>24000</v>
      </c>
      <c r="F184" s="616">
        <f>'exchange rates'!$O$50</f>
        <v>3.8868399999999999</v>
      </c>
      <c r="G184" s="549">
        <v>0</v>
      </c>
      <c r="H184" s="550">
        <f>263/F184</f>
        <v>67.664220806619255</v>
      </c>
      <c r="I184" s="551">
        <v>0</v>
      </c>
      <c r="J184" s="560">
        <f>23.67/F184</f>
        <v>6.0897798725957344</v>
      </c>
      <c r="K184" s="566">
        <f>Tabel668921274[[#This Row],[Fix.ch. 2017]]+Tabel668921274[[#This Row],[Var. ch. 2017]]+Tabel668921274[[#This Row],[Oth. ch. DW 2017]]+Tabel668921274[[#This Row],[VAT DW 2017]]</f>
        <v>73.754000679214982</v>
      </c>
      <c r="L184" s="567">
        <v>0</v>
      </c>
      <c r="M184" s="560">
        <v>0</v>
      </c>
      <c r="N184" s="568">
        <f>279/F184</f>
        <v>71.780675304360358</v>
      </c>
      <c r="O184" s="560">
        <f>53.01/F184</f>
        <v>13.638328307828468</v>
      </c>
      <c r="P184" s="569">
        <v>0</v>
      </c>
      <c r="Q184" s="560">
        <v>0</v>
      </c>
      <c r="R184" s="570">
        <f>Tabel668921274[[#This Row],[VAT DW 2017]]+Tabel668921274[[#This Row],[VAT Sew. 2017]]+Tabel668921274[[#This Row],[VAT WW 2017]]+Tabel668921274[[#This Row],[VAT Other ch. 2017]]</f>
        <v>19.728108180424201</v>
      </c>
      <c r="S184" s="571">
        <f>Tabel668921274[[#This Row],[Total. ch. DW 2017]]+Tabel668921274[[#This Row],[Sew. 2017]]+Tabel668921274[[#This Row],[VAT Sew. 2017]]+Tabel668921274[[#This Row],[WW 2017]]+Tabel668921274[[#This Row],[VAT WW 2017]]+Tabel668921274[[#This Row],[Other ch. 2017]]+Tabel668921274[[#This Row],[VAT Other ch. 2017]]</f>
        <v>159.1730042914038</v>
      </c>
      <c r="T184" s="397"/>
      <c r="U184" s="1824">
        <f t="shared" ref="U184:AG184" si="33">MEDIAN(G184:G224)</f>
        <v>0</v>
      </c>
      <c r="V184" s="2338">
        <f t="shared" si="33"/>
        <v>91.848390980848194</v>
      </c>
      <c r="W184" s="1826">
        <f t="shared" si="33"/>
        <v>0</v>
      </c>
      <c r="X184" s="1938">
        <f t="shared" si="33"/>
        <v>8.2663551882763393</v>
      </c>
      <c r="Y184" s="1827">
        <f t="shared" si="33"/>
        <v>100.11474616912453</v>
      </c>
      <c r="Z184" s="1828">
        <f t="shared" si="33"/>
        <v>0</v>
      </c>
      <c r="AA184" s="1938">
        <f t="shared" si="33"/>
        <v>0</v>
      </c>
      <c r="AB184" s="1829">
        <f t="shared" si="33"/>
        <v>66.892385588292811</v>
      </c>
      <c r="AC184" s="1938">
        <f t="shared" si="33"/>
        <v>12.709553261775632</v>
      </c>
      <c r="AD184" s="1830">
        <f t="shared" si="33"/>
        <v>0</v>
      </c>
      <c r="AE184" s="1938">
        <f t="shared" si="33"/>
        <v>0</v>
      </c>
      <c r="AF184" s="2136">
        <f t="shared" si="33"/>
        <v>21.17658560681685</v>
      </c>
      <c r="AG184" s="2052">
        <f t="shared" si="33"/>
        <v>183.3288738409608</v>
      </c>
      <c r="AH184" s="397"/>
      <c r="AI184" s="591" t="s">
        <v>429</v>
      </c>
      <c r="AJ184" s="591" t="s">
        <v>429</v>
      </c>
      <c r="AK184" s="591"/>
      <c r="AL184" s="591"/>
      <c r="AM184" s="591"/>
      <c r="AN184" s="591" t="s">
        <v>429</v>
      </c>
      <c r="AO184" s="614"/>
      <c r="AP184" s="397"/>
    </row>
    <row r="185" spans="1:42" ht="15.75" hidden="1" customHeight="1" x14ac:dyDescent="0.25">
      <c r="A185" s="1757"/>
      <c r="B185" s="274" t="s">
        <v>188</v>
      </c>
      <c r="C185" s="457"/>
      <c r="D185" s="457" t="s">
        <v>1118</v>
      </c>
      <c r="E185" s="1880"/>
      <c r="F185" s="616">
        <f>'exchange rates'!$O$50</f>
        <v>3.8868399999999999</v>
      </c>
      <c r="G185" s="319"/>
      <c r="H185" s="320"/>
      <c r="I185" s="321"/>
      <c r="J185" s="559"/>
      <c r="K185" s="313"/>
      <c r="L185" s="322"/>
      <c r="M185" s="559"/>
      <c r="N185" s="323"/>
      <c r="O185" s="559"/>
      <c r="P185" s="324"/>
      <c r="Q185" s="559"/>
      <c r="R185" s="317"/>
      <c r="S185" s="318"/>
      <c r="T185" s="397"/>
      <c r="U185" s="1763"/>
      <c r="V185" s="2129"/>
      <c r="W185" s="1769"/>
      <c r="X185" s="1772"/>
      <c r="Y185" s="1775"/>
      <c r="Z185" s="1778"/>
      <c r="AA185" s="1772"/>
      <c r="AB185" s="1781"/>
      <c r="AC185" s="1772"/>
      <c r="AD185" s="1785"/>
      <c r="AE185" s="1772"/>
      <c r="AF185" s="2137"/>
      <c r="AG185" s="1990"/>
      <c r="AH185" s="397"/>
      <c r="AI185" s="591"/>
      <c r="AJ185" s="591"/>
      <c r="AK185" s="591"/>
      <c r="AL185" s="591"/>
      <c r="AM185" s="591"/>
      <c r="AN185" s="591"/>
      <c r="AO185" s="614"/>
      <c r="AP185" s="397"/>
    </row>
    <row r="186" spans="1:42" ht="15.75" hidden="1" customHeight="1" x14ac:dyDescent="0.25">
      <c r="A186" s="1757"/>
      <c r="B186" s="630" t="s">
        <v>189</v>
      </c>
      <c r="C186" s="754"/>
      <c r="D186" s="754" t="s">
        <v>1118</v>
      </c>
      <c r="E186" s="1880"/>
      <c r="F186" s="616">
        <f>'exchange rates'!$O$50</f>
        <v>3.8868399999999999</v>
      </c>
      <c r="G186" s="549">
        <v>0</v>
      </c>
      <c r="H186" s="550">
        <f>320/F186</f>
        <v>82.32908995482191</v>
      </c>
      <c r="I186" s="551">
        <v>0</v>
      </c>
      <c r="J186" s="560">
        <f>28.8/F186</f>
        <v>7.4096180959339728</v>
      </c>
      <c r="K186" s="566">
        <f>Tabel668921274[[#This Row],[Fix.ch. 2017]]+Tabel668921274[[#This Row],[Var. ch. 2017]]+Tabel668921274[[#This Row],[Oth. ch. DW 2017]]+Tabel668921274[[#This Row],[VAT DW 2017]]</f>
        <v>89.738708050755889</v>
      </c>
      <c r="L186" s="567">
        <v>0</v>
      </c>
      <c r="M186" s="560">
        <v>0</v>
      </c>
      <c r="N186" s="568">
        <f>180/F186</f>
        <v>46.310113099587326</v>
      </c>
      <c r="O186" s="560">
        <f>34.2/F186</f>
        <v>8.798921488921593</v>
      </c>
      <c r="P186" s="569">
        <v>0</v>
      </c>
      <c r="Q186" s="560">
        <v>0</v>
      </c>
      <c r="R186" s="570">
        <f>Tabel668921274[[#This Row],[VAT DW 2017]]+Tabel668921274[[#This Row],[VAT Sew. 2017]]+Tabel668921274[[#This Row],[VAT WW 2017]]+Tabel668921274[[#This Row],[VAT Other ch. 2017]]</f>
        <v>16.208539584855565</v>
      </c>
      <c r="S186" s="571">
        <f>Tabel668921274[[#This Row],[Total. ch. DW 2017]]+Tabel668921274[[#This Row],[Sew. 2017]]+Tabel668921274[[#This Row],[VAT Sew. 2017]]+Tabel668921274[[#This Row],[WW 2017]]+Tabel668921274[[#This Row],[VAT WW 2017]]+Tabel668921274[[#This Row],[Other ch. 2017]]+Tabel668921274[[#This Row],[VAT Other ch. 2017]]</f>
        <v>144.84774263926479</v>
      </c>
      <c r="T186" s="397"/>
      <c r="U186" s="1763"/>
      <c r="V186" s="2129"/>
      <c r="W186" s="1769"/>
      <c r="X186" s="1772"/>
      <c r="Y186" s="1775"/>
      <c r="Z186" s="1778"/>
      <c r="AA186" s="1772"/>
      <c r="AB186" s="1781"/>
      <c r="AC186" s="1772"/>
      <c r="AD186" s="1785"/>
      <c r="AE186" s="1772"/>
      <c r="AF186" s="2137"/>
      <c r="AG186" s="1990"/>
      <c r="AH186" s="397"/>
      <c r="AI186" s="591" t="s">
        <v>429</v>
      </c>
      <c r="AJ186" s="591" t="s">
        <v>429</v>
      </c>
      <c r="AK186" s="591"/>
      <c r="AL186" s="591"/>
      <c r="AM186" s="591"/>
      <c r="AN186" s="591" t="s">
        <v>429</v>
      </c>
      <c r="AO186" s="614"/>
      <c r="AP186" s="397"/>
    </row>
    <row r="187" spans="1:42" ht="15.75" hidden="1" customHeight="1" x14ac:dyDescent="0.25">
      <c r="A187" s="1757"/>
      <c r="B187" s="630" t="s">
        <v>190</v>
      </c>
      <c r="C187" s="754"/>
      <c r="D187" s="754" t="s">
        <v>1118</v>
      </c>
      <c r="E187" s="1880"/>
      <c r="F187" s="616">
        <f>'exchange rates'!$O$50</f>
        <v>3.8868399999999999</v>
      </c>
      <c r="G187" s="549">
        <v>0</v>
      </c>
      <c r="H187" s="550">
        <f>372/F187</f>
        <v>95.707567072480472</v>
      </c>
      <c r="I187" s="551">
        <v>0</v>
      </c>
      <c r="J187" s="560">
        <f>33.48/F187</f>
        <v>8.6136810365232428</v>
      </c>
      <c r="K187" s="566">
        <f>Tabel668921274[[#This Row],[Fix.ch. 2017]]+Tabel668921274[[#This Row],[Var. ch. 2017]]+Tabel668921274[[#This Row],[Oth. ch. DW 2017]]+Tabel668921274[[#This Row],[VAT DW 2017]]</f>
        <v>104.32124810900372</v>
      </c>
      <c r="L187" s="567">
        <v>0</v>
      </c>
      <c r="M187" s="560">
        <v>0</v>
      </c>
      <c r="N187" s="568">
        <f>257/F187</f>
        <v>66.120550369966352</v>
      </c>
      <c r="O187" s="560">
        <f>48.83/F187</f>
        <v>12.562904570293606</v>
      </c>
      <c r="P187" s="569">
        <v>0</v>
      </c>
      <c r="Q187" s="560">
        <v>0</v>
      </c>
      <c r="R187" s="570">
        <f>Tabel668921274[[#This Row],[VAT DW 2017]]+Tabel668921274[[#This Row],[VAT Sew. 2017]]+Tabel668921274[[#This Row],[VAT WW 2017]]+Tabel668921274[[#This Row],[VAT Other ch. 2017]]</f>
        <v>21.17658560681685</v>
      </c>
      <c r="S187" s="571">
        <f>Tabel668921274[[#This Row],[Total. ch. DW 2017]]+Tabel668921274[[#This Row],[Sew. 2017]]+Tabel668921274[[#This Row],[VAT Sew. 2017]]+Tabel668921274[[#This Row],[WW 2017]]+Tabel668921274[[#This Row],[VAT WW 2017]]+Tabel668921274[[#This Row],[Other ch. 2017]]+Tabel668921274[[#This Row],[VAT Other ch. 2017]]</f>
        <v>183.00470304926367</v>
      </c>
      <c r="T187" s="397"/>
      <c r="U187" s="1763"/>
      <c r="V187" s="2129"/>
      <c r="W187" s="1769"/>
      <c r="X187" s="1772"/>
      <c r="Y187" s="1775"/>
      <c r="Z187" s="1778"/>
      <c r="AA187" s="1772"/>
      <c r="AB187" s="1781"/>
      <c r="AC187" s="1772"/>
      <c r="AD187" s="1785"/>
      <c r="AE187" s="1772"/>
      <c r="AF187" s="2137"/>
      <c r="AG187" s="1990"/>
      <c r="AH187" s="397"/>
      <c r="AI187" s="591" t="s">
        <v>429</v>
      </c>
      <c r="AJ187" s="591" t="s">
        <v>429</v>
      </c>
      <c r="AK187" s="591"/>
      <c r="AL187" s="591"/>
      <c r="AM187" s="591"/>
      <c r="AN187" s="591" t="s">
        <v>429</v>
      </c>
      <c r="AO187" s="614"/>
      <c r="AP187" s="397"/>
    </row>
    <row r="188" spans="1:42" ht="15.75" hidden="1" customHeight="1" x14ac:dyDescent="0.25">
      <c r="A188" s="1757"/>
      <c r="B188" s="631" t="s">
        <v>191</v>
      </c>
      <c r="C188" s="754"/>
      <c r="D188" s="754" t="s">
        <v>1118</v>
      </c>
      <c r="E188" s="1880"/>
      <c r="F188" s="616">
        <f>'exchange rates'!$O$50</f>
        <v>3.8868399999999999</v>
      </c>
      <c r="G188" s="549">
        <v>0</v>
      </c>
      <c r="H188" s="550">
        <f>285/F188</f>
        <v>73.324345741013275</v>
      </c>
      <c r="I188" s="551">
        <v>0</v>
      </c>
      <c r="J188" s="560">
        <f>25.65/F188</f>
        <v>6.5991911166911938</v>
      </c>
      <c r="K188" s="566">
        <f>Tabel668921274[[#This Row],[Fix.ch. 2017]]+Tabel668921274[[#This Row],[Var. ch. 2017]]+Tabel668921274[[#This Row],[Oth. ch. DW 2017]]+Tabel668921274[[#This Row],[VAT DW 2017]]</f>
        <v>79.923536857704462</v>
      </c>
      <c r="L188" s="567">
        <v>0</v>
      </c>
      <c r="M188" s="560">
        <v>0</v>
      </c>
      <c r="N188" s="568">
        <f>284/F188</f>
        <v>73.067067334904451</v>
      </c>
      <c r="O188" s="560">
        <f>53.96/F188</f>
        <v>13.882742793631845</v>
      </c>
      <c r="P188" s="569">
        <v>0</v>
      </c>
      <c r="Q188" s="560">
        <v>0</v>
      </c>
      <c r="R188" s="570">
        <f>Tabel668921274[[#This Row],[VAT DW 2017]]+Tabel668921274[[#This Row],[VAT Sew. 2017]]+Tabel668921274[[#This Row],[VAT WW 2017]]+Tabel668921274[[#This Row],[VAT Other ch. 2017]]</f>
        <v>20.48193391032304</v>
      </c>
      <c r="S188" s="571">
        <f>Tabel668921274[[#This Row],[Total. ch. DW 2017]]+Tabel668921274[[#This Row],[Sew. 2017]]+Tabel668921274[[#This Row],[VAT Sew. 2017]]+Tabel668921274[[#This Row],[WW 2017]]+Tabel668921274[[#This Row],[VAT WW 2017]]+Tabel668921274[[#This Row],[Other ch. 2017]]+Tabel668921274[[#This Row],[VAT Other ch. 2017]]</f>
        <v>166.87334698624076</v>
      </c>
      <c r="T188" s="397"/>
      <c r="U188" s="1763"/>
      <c r="V188" s="2129"/>
      <c r="W188" s="1769"/>
      <c r="X188" s="1772"/>
      <c r="Y188" s="1775"/>
      <c r="Z188" s="1778"/>
      <c r="AA188" s="1772"/>
      <c r="AB188" s="1781"/>
      <c r="AC188" s="1772"/>
      <c r="AD188" s="1785"/>
      <c r="AE188" s="1772"/>
      <c r="AF188" s="2137"/>
      <c r="AG188" s="1990"/>
      <c r="AH188" s="397"/>
      <c r="AI188" s="591" t="s">
        <v>429</v>
      </c>
      <c r="AJ188" s="591" t="s">
        <v>429</v>
      </c>
      <c r="AK188" s="591"/>
      <c r="AL188" s="591"/>
      <c r="AM188" s="591"/>
      <c r="AN188" s="591" t="s">
        <v>429</v>
      </c>
      <c r="AO188" s="614"/>
      <c r="AP188" s="397"/>
    </row>
    <row r="189" spans="1:42" ht="15.75" hidden="1" customHeight="1" x14ac:dyDescent="0.25">
      <c r="A189" s="1757"/>
      <c r="B189" s="631" t="s">
        <v>218</v>
      </c>
      <c r="C189" s="754"/>
      <c r="D189" s="754" t="s">
        <v>1118</v>
      </c>
      <c r="E189" s="1880"/>
      <c r="F189" s="616">
        <f>'exchange rates'!$O$50</f>
        <v>3.8868399999999999</v>
      </c>
      <c r="G189" s="549">
        <v>0</v>
      </c>
      <c r="H189" s="550">
        <f>402/F189</f>
        <v>103.42591925574503</v>
      </c>
      <c r="I189" s="551">
        <v>0</v>
      </c>
      <c r="J189" s="560">
        <f>36.18/F189</f>
        <v>9.3083327330170533</v>
      </c>
      <c r="K189" s="566">
        <f>Tabel668921274[[#This Row],[Fix.ch. 2017]]+Tabel668921274[[#This Row],[Var. ch. 2017]]+Tabel668921274[[#This Row],[Oth. ch. DW 2017]]+Tabel668921274[[#This Row],[VAT DW 2017]]</f>
        <v>112.73425198876208</v>
      </c>
      <c r="L189" s="567">
        <v>0</v>
      </c>
      <c r="M189" s="560">
        <v>0</v>
      </c>
      <c r="N189" s="568">
        <f>242/F189</f>
        <v>62.261374278334074</v>
      </c>
      <c r="O189" s="560">
        <f>45.98/F189</f>
        <v>11.829661112883473</v>
      </c>
      <c r="P189" s="569">
        <v>0</v>
      </c>
      <c r="Q189" s="560">
        <v>0</v>
      </c>
      <c r="R189" s="570">
        <f>Tabel668921274[[#This Row],[VAT DW 2017]]+Tabel668921274[[#This Row],[VAT Sew. 2017]]+Tabel668921274[[#This Row],[VAT WW 2017]]+Tabel668921274[[#This Row],[VAT Other ch. 2017]]</f>
        <v>21.137993845900525</v>
      </c>
      <c r="S189" s="571">
        <f>Tabel668921274[[#This Row],[Total. ch. DW 2017]]+Tabel668921274[[#This Row],[Sew. 2017]]+Tabel668921274[[#This Row],[VAT Sew. 2017]]+Tabel668921274[[#This Row],[WW 2017]]+Tabel668921274[[#This Row],[VAT WW 2017]]+Tabel668921274[[#This Row],[Other ch. 2017]]+Tabel668921274[[#This Row],[VAT Other ch. 2017]]</f>
        <v>186.82528737997964</v>
      </c>
      <c r="T189" s="397"/>
      <c r="U189" s="1763"/>
      <c r="V189" s="2129"/>
      <c r="W189" s="1769"/>
      <c r="X189" s="1772"/>
      <c r="Y189" s="1775"/>
      <c r="Z189" s="1778"/>
      <c r="AA189" s="1772"/>
      <c r="AB189" s="1781"/>
      <c r="AC189" s="1772"/>
      <c r="AD189" s="1785"/>
      <c r="AE189" s="1772"/>
      <c r="AF189" s="2137"/>
      <c r="AG189" s="1990"/>
      <c r="AH189" s="397"/>
      <c r="AI189" s="591" t="s">
        <v>429</v>
      </c>
      <c r="AJ189" s="591" t="s">
        <v>429</v>
      </c>
      <c r="AK189" s="591"/>
      <c r="AL189" s="591"/>
      <c r="AM189" s="591"/>
      <c r="AN189" s="591" t="s">
        <v>429</v>
      </c>
      <c r="AO189" s="614"/>
      <c r="AP189" s="397"/>
    </row>
    <row r="190" spans="1:42" ht="16.5" hidden="1" customHeight="1" x14ac:dyDescent="0.25">
      <c r="A190" s="1757"/>
      <c r="B190" s="632" t="s">
        <v>219</v>
      </c>
      <c r="C190" s="925"/>
      <c r="D190" s="754" t="s">
        <v>1118</v>
      </c>
      <c r="E190" s="1880"/>
      <c r="F190" s="616">
        <f>'exchange rates'!$O$50</f>
        <v>3.8868399999999999</v>
      </c>
      <c r="G190" s="549">
        <v>0</v>
      </c>
      <c r="H190" s="550">
        <f>308/F190</f>
        <v>79.24174908151609</v>
      </c>
      <c r="I190" s="551">
        <v>0</v>
      </c>
      <c r="J190" s="560">
        <f>27.72/F190</f>
        <v>7.1317574173364484</v>
      </c>
      <c r="K190" s="566">
        <f>Tabel668921274[[#This Row],[Fix.ch. 2017]]+Tabel668921274[[#This Row],[Var. ch. 2017]]+Tabel668921274[[#This Row],[Oth. ch. DW 2017]]+Tabel668921274[[#This Row],[VAT DW 2017]]</f>
        <v>86.373506498852535</v>
      </c>
      <c r="L190" s="567">
        <v>0</v>
      </c>
      <c r="M190" s="560">
        <v>0</v>
      </c>
      <c r="N190" s="568">
        <f>213/F190</f>
        <v>54.800300501178334</v>
      </c>
      <c r="O190" s="560">
        <f>40.47/F190</f>
        <v>10.412057095223883</v>
      </c>
      <c r="P190" s="569">
        <v>0</v>
      </c>
      <c r="Q190" s="560">
        <v>0</v>
      </c>
      <c r="R190" s="570">
        <f>Tabel668921274[[#This Row],[VAT DW 2017]]+Tabel668921274[[#This Row],[VAT Sew. 2017]]+Tabel668921274[[#This Row],[VAT WW 2017]]+Tabel668921274[[#This Row],[VAT Other ch. 2017]]</f>
        <v>17.543814512560331</v>
      </c>
      <c r="S190" s="571">
        <f>Tabel668921274[[#This Row],[Total. ch. DW 2017]]+Tabel668921274[[#This Row],[Sew. 2017]]+Tabel668921274[[#This Row],[VAT Sew. 2017]]+Tabel668921274[[#This Row],[WW 2017]]+Tabel668921274[[#This Row],[VAT WW 2017]]+Tabel668921274[[#This Row],[Other ch. 2017]]+Tabel668921274[[#This Row],[VAT Other ch. 2017]]</f>
        <v>151.58586409525475</v>
      </c>
      <c r="T190" s="397"/>
      <c r="U190" s="1763"/>
      <c r="V190" s="2129"/>
      <c r="W190" s="1769"/>
      <c r="X190" s="1772"/>
      <c r="Y190" s="1775"/>
      <c r="Z190" s="1778"/>
      <c r="AA190" s="1772"/>
      <c r="AB190" s="1781"/>
      <c r="AC190" s="1772"/>
      <c r="AD190" s="1785"/>
      <c r="AE190" s="1772"/>
      <c r="AF190" s="2137"/>
      <c r="AG190" s="1990"/>
      <c r="AH190" s="397"/>
      <c r="AI190" s="591" t="s">
        <v>429</v>
      </c>
      <c r="AJ190" s="591" t="s">
        <v>429</v>
      </c>
      <c r="AK190" s="591"/>
      <c r="AL190" s="591"/>
      <c r="AM190" s="591"/>
      <c r="AN190" s="591" t="s">
        <v>429</v>
      </c>
      <c r="AO190" s="614"/>
      <c r="AP190" s="397"/>
    </row>
    <row r="191" spans="1:42" ht="15.75" hidden="1" customHeight="1" x14ac:dyDescent="0.25">
      <c r="A191" s="1757"/>
      <c r="B191" s="632" t="s">
        <v>513</v>
      </c>
      <c r="C191" s="925"/>
      <c r="D191" s="754" t="s">
        <v>1118</v>
      </c>
      <c r="E191" s="1880"/>
      <c r="F191" s="616">
        <f>'exchange rates'!$O$50</f>
        <v>3.8868399999999999</v>
      </c>
      <c r="G191" s="549">
        <v>0</v>
      </c>
      <c r="H191" s="550">
        <f>409/F191</f>
        <v>105.22686809850676</v>
      </c>
      <c r="I191" s="551">
        <v>0</v>
      </c>
      <c r="J191" s="560">
        <f>36.81/F191</f>
        <v>9.4704181288656084</v>
      </c>
      <c r="K191" s="566">
        <f>Tabel668921274[[#This Row],[Fix.ch. 2017]]+Tabel668921274[[#This Row],[Var. ch. 2017]]+Tabel668921274[[#This Row],[Oth. ch. DW 2017]]+Tabel668921274[[#This Row],[VAT DW 2017]]</f>
        <v>114.69728622737236</v>
      </c>
      <c r="L191" s="567">
        <v>0</v>
      </c>
      <c r="M191" s="560">
        <v>0</v>
      </c>
      <c r="N191" s="568">
        <f>363/F191</f>
        <v>93.392061417501111</v>
      </c>
      <c r="O191" s="560">
        <f>68.97/F191</f>
        <v>17.74449166932521</v>
      </c>
      <c r="P191" s="569">
        <v>0</v>
      </c>
      <c r="Q191" s="560">
        <v>0</v>
      </c>
      <c r="R191" s="570">
        <f>Tabel668921274[[#This Row],[VAT DW 2017]]+Tabel668921274[[#This Row],[VAT Sew. 2017]]+Tabel668921274[[#This Row],[VAT WW 2017]]+Tabel668921274[[#This Row],[VAT Other ch. 2017]]</f>
        <v>27.214909798190817</v>
      </c>
      <c r="S191" s="571">
        <f>Tabel668921274[[#This Row],[Total. ch. DW 2017]]+Tabel668921274[[#This Row],[Sew. 2017]]+Tabel668921274[[#This Row],[VAT Sew. 2017]]+Tabel668921274[[#This Row],[WW 2017]]+Tabel668921274[[#This Row],[VAT WW 2017]]+Tabel668921274[[#This Row],[Other ch. 2017]]+Tabel668921274[[#This Row],[VAT Other ch. 2017]]</f>
        <v>225.83383931419868</v>
      </c>
      <c r="T191" s="397"/>
      <c r="U191" s="1763"/>
      <c r="V191" s="2129"/>
      <c r="W191" s="1769"/>
      <c r="X191" s="1772"/>
      <c r="Y191" s="1775"/>
      <c r="Z191" s="1778"/>
      <c r="AA191" s="1772"/>
      <c r="AB191" s="1781"/>
      <c r="AC191" s="1772"/>
      <c r="AD191" s="1785"/>
      <c r="AE191" s="1772"/>
      <c r="AF191" s="2137"/>
      <c r="AG191" s="1990"/>
      <c r="AH191" s="397"/>
      <c r="AI191" s="591" t="s">
        <v>429</v>
      </c>
      <c r="AJ191" s="591" t="s">
        <v>429</v>
      </c>
      <c r="AK191" s="591"/>
      <c r="AL191" s="591"/>
      <c r="AM191" s="591"/>
      <c r="AN191" s="591" t="s">
        <v>429</v>
      </c>
      <c r="AO191" s="614"/>
      <c r="AP191" s="397"/>
    </row>
    <row r="192" spans="1:42" ht="15.75" hidden="1" customHeight="1" x14ac:dyDescent="0.25">
      <c r="A192" s="1757"/>
      <c r="B192" s="632" t="s">
        <v>514</v>
      </c>
      <c r="C192" s="925"/>
      <c r="D192" s="754" t="s">
        <v>1118</v>
      </c>
      <c r="E192" s="1880"/>
      <c r="F192" s="616">
        <f>'exchange rates'!$O$50</f>
        <v>3.8868399999999999</v>
      </c>
      <c r="G192" s="549">
        <v>0</v>
      </c>
      <c r="H192" s="550">
        <f>320/F192</f>
        <v>82.32908995482191</v>
      </c>
      <c r="I192" s="551">
        <v>0</v>
      </c>
      <c r="J192" s="560">
        <f>28.8/F192</f>
        <v>7.4096180959339728</v>
      </c>
      <c r="K192" s="566">
        <f>Tabel668921274[[#This Row],[Fix.ch. 2017]]+Tabel668921274[[#This Row],[Var. ch. 2017]]+Tabel668921274[[#This Row],[Oth. ch. DW 2017]]+Tabel668921274[[#This Row],[VAT DW 2017]]</f>
        <v>89.738708050755889</v>
      </c>
      <c r="L192" s="567">
        <v>0</v>
      </c>
      <c r="M192" s="560">
        <v>0</v>
      </c>
      <c r="N192" s="568">
        <f>321/F192</f>
        <v>82.586368360930734</v>
      </c>
      <c r="O192" s="560">
        <f>60.99/F192</f>
        <v>15.69140998857684</v>
      </c>
      <c r="P192" s="569">
        <v>0</v>
      </c>
      <c r="Q192" s="560">
        <v>0</v>
      </c>
      <c r="R192" s="570">
        <f>Tabel668921274[[#This Row],[VAT DW 2017]]+Tabel668921274[[#This Row],[VAT Sew. 2017]]+Tabel668921274[[#This Row],[VAT WW 2017]]+Tabel668921274[[#This Row],[VAT Other ch. 2017]]</f>
        <v>23.101028084510812</v>
      </c>
      <c r="S192" s="571">
        <f>Tabel668921274[[#This Row],[Total. ch. DW 2017]]+Tabel668921274[[#This Row],[Sew. 2017]]+Tabel668921274[[#This Row],[VAT Sew. 2017]]+Tabel668921274[[#This Row],[WW 2017]]+Tabel668921274[[#This Row],[VAT WW 2017]]+Tabel668921274[[#This Row],[Other ch. 2017]]+Tabel668921274[[#This Row],[VAT Other ch. 2017]]</f>
        <v>188.01648640026346</v>
      </c>
      <c r="T192" s="397"/>
      <c r="U192" s="1763"/>
      <c r="V192" s="2129"/>
      <c r="W192" s="1769"/>
      <c r="X192" s="1772"/>
      <c r="Y192" s="1775"/>
      <c r="Z192" s="1778"/>
      <c r="AA192" s="1772"/>
      <c r="AB192" s="1781"/>
      <c r="AC192" s="1772"/>
      <c r="AD192" s="1785"/>
      <c r="AE192" s="1772"/>
      <c r="AF192" s="2137"/>
      <c r="AG192" s="1990"/>
      <c r="AH192" s="397"/>
      <c r="AI192" s="591" t="s">
        <v>429</v>
      </c>
      <c r="AJ192" s="591" t="s">
        <v>429</v>
      </c>
      <c r="AK192" s="591"/>
      <c r="AL192" s="591"/>
      <c r="AM192" s="591"/>
      <c r="AN192" s="591" t="s">
        <v>429</v>
      </c>
      <c r="AO192" s="614"/>
      <c r="AP192" s="397"/>
    </row>
    <row r="193" spans="1:42" ht="15.75" hidden="1" customHeight="1" x14ac:dyDescent="0.25">
      <c r="A193" s="1757"/>
      <c r="B193" s="632" t="s">
        <v>515</v>
      </c>
      <c r="C193" s="925"/>
      <c r="D193" s="754" t="s">
        <v>1118</v>
      </c>
      <c r="E193" s="1880"/>
      <c r="F193" s="616">
        <f>'exchange rates'!$O$50</f>
        <v>3.8868399999999999</v>
      </c>
      <c r="G193" s="549">
        <v>0</v>
      </c>
      <c r="H193" s="550">
        <f>371/F193</f>
        <v>95.450288666371662</v>
      </c>
      <c r="I193" s="551">
        <v>0</v>
      </c>
      <c r="J193" s="560">
        <f>33.39/F193</f>
        <v>8.5905259799734495</v>
      </c>
      <c r="K193" s="566">
        <f>Tabel668921274[[#This Row],[Fix.ch. 2017]]+Tabel668921274[[#This Row],[Var. ch. 2017]]+Tabel668921274[[#This Row],[Oth. ch. DW 2017]]+Tabel668921274[[#This Row],[VAT DW 2017]]</f>
        <v>104.04081464634511</v>
      </c>
      <c r="L193" s="567">
        <v>0</v>
      </c>
      <c r="M193" s="560">
        <v>0</v>
      </c>
      <c r="N193" s="568">
        <f>276/F193</f>
        <v>71.008840086033899</v>
      </c>
      <c r="O193" s="560">
        <f>52.44/F193</f>
        <v>13.49167961634644</v>
      </c>
      <c r="P193" s="569">
        <v>0</v>
      </c>
      <c r="Q193" s="560">
        <v>0</v>
      </c>
      <c r="R193" s="570">
        <f>Tabel668921274[[#This Row],[VAT DW 2017]]+Tabel668921274[[#This Row],[VAT Sew. 2017]]+Tabel668921274[[#This Row],[VAT WW 2017]]+Tabel668921274[[#This Row],[VAT Other ch. 2017]]</f>
        <v>22.082205596319888</v>
      </c>
      <c r="S193" s="571">
        <f>Tabel668921274[[#This Row],[Total. ch. DW 2017]]+Tabel668921274[[#This Row],[Sew. 2017]]+Tabel668921274[[#This Row],[VAT Sew. 2017]]+Tabel668921274[[#This Row],[WW 2017]]+Tabel668921274[[#This Row],[VAT WW 2017]]+Tabel668921274[[#This Row],[Other ch. 2017]]+Tabel668921274[[#This Row],[VAT Other ch. 2017]]</f>
        <v>188.54133434872543</v>
      </c>
      <c r="T193" s="397"/>
      <c r="U193" s="1763"/>
      <c r="V193" s="2129"/>
      <c r="W193" s="1769"/>
      <c r="X193" s="1772"/>
      <c r="Y193" s="1775"/>
      <c r="Z193" s="1778"/>
      <c r="AA193" s="1772"/>
      <c r="AB193" s="1781"/>
      <c r="AC193" s="1772"/>
      <c r="AD193" s="1785"/>
      <c r="AE193" s="1772"/>
      <c r="AF193" s="2137"/>
      <c r="AG193" s="1990"/>
      <c r="AH193" s="397"/>
      <c r="AI193" s="591" t="s">
        <v>429</v>
      </c>
      <c r="AJ193" s="591" t="s">
        <v>429</v>
      </c>
      <c r="AK193" s="591"/>
      <c r="AL193" s="591"/>
      <c r="AM193" s="591"/>
      <c r="AN193" s="591" t="s">
        <v>429</v>
      </c>
      <c r="AO193" s="614"/>
      <c r="AP193" s="397"/>
    </row>
    <row r="194" spans="1:42" ht="15.75" hidden="1" customHeight="1" x14ac:dyDescent="0.25">
      <c r="A194" s="1757"/>
      <c r="B194" s="632" t="s">
        <v>516</v>
      </c>
      <c r="C194" s="925"/>
      <c r="D194" s="754" t="s">
        <v>1118</v>
      </c>
      <c r="E194" s="1880"/>
      <c r="F194" s="616">
        <f>'exchange rates'!$O$50</f>
        <v>3.8868399999999999</v>
      </c>
      <c r="G194" s="549">
        <v>0</v>
      </c>
      <c r="H194" s="550">
        <f>464/F194</f>
        <v>119.37718043449178</v>
      </c>
      <c r="I194" s="551">
        <v>0</v>
      </c>
      <c r="J194" s="560">
        <f>41.76/F194</f>
        <v>10.743946239104259</v>
      </c>
      <c r="K194" s="566">
        <f>Tabel668921274[[#This Row],[Fix.ch. 2017]]+Tabel668921274[[#This Row],[Var. ch. 2017]]+Tabel668921274[[#This Row],[Oth. ch. DW 2017]]+Tabel668921274[[#This Row],[VAT DW 2017]]</f>
        <v>130.12112667359602</v>
      </c>
      <c r="L194" s="567">
        <v>0</v>
      </c>
      <c r="M194" s="560">
        <v>0</v>
      </c>
      <c r="N194" s="568">
        <f>260/F194</f>
        <v>66.892385588292811</v>
      </c>
      <c r="O194" s="560">
        <f>49.4/F194</f>
        <v>12.709553261775632</v>
      </c>
      <c r="P194" s="569">
        <v>0</v>
      </c>
      <c r="Q194" s="560">
        <v>0</v>
      </c>
      <c r="R194" s="570">
        <f>Tabel668921274[[#This Row],[VAT DW 2017]]+Tabel668921274[[#This Row],[VAT Sew. 2017]]+Tabel668921274[[#This Row],[VAT WW 2017]]+Tabel668921274[[#This Row],[VAT Other ch. 2017]]</f>
        <v>23.453499500879893</v>
      </c>
      <c r="S194" s="571">
        <f>Tabel668921274[[#This Row],[Total. ch. DW 2017]]+Tabel668921274[[#This Row],[Sew. 2017]]+Tabel668921274[[#This Row],[VAT Sew. 2017]]+Tabel668921274[[#This Row],[WW 2017]]+Tabel668921274[[#This Row],[VAT WW 2017]]+Tabel668921274[[#This Row],[Other ch. 2017]]+Tabel668921274[[#This Row],[VAT Other ch. 2017]]</f>
        <v>209.72306552366445</v>
      </c>
      <c r="T194" s="397"/>
      <c r="U194" s="1763"/>
      <c r="V194" s="2129"/>
      <c r="W194" s="1769"/>
      <c r="X194" s="1772"/>
      <c r="Y194" s="1775"/>
      <c r="Z194" s="1778"/>
      <c r="AA194" s="1772"/>
      <c r="AB194" s="1781"/>
      <c r="AC194" s="1772"/>
      <c r="AD194" s="1785"/>
      <c r="AE194" s="1772"/>
      <c r="AF194" s="2137"/>
      <c r="AG194" s="1990"/>
      <c r="AH194" s="397"/>
      <c r="AI194" s="591" t="s">
        <v>429</v>
      </c>
      <c r="AJ194" s="591" t="s">
        <v>429</v>
      </c>
      <c r="AK194" s="591"/>
      <c r="AL194" s="591"/>
      <c r="AM194" s="591"/>
      <c r="AN194" s="591" t="s">
        <v>429</v>
      </c>
      <c r="AO194" s="614"/>
      <c r="AP194" s="397"/>
    </row>
    <row r="195" spans="1:42" ht="15.75" hidden="1" customHeight="1" x14ac:dyDescent="0.25">
      <c r="A195" s="1757"/>
      <c r="B195" s="632" t="s">
        <v>875</v>
      </c>
      <c r="C195" s="925"/>
      <c r="D195" s="754" t="s">
        <v>1118</v>
      </c>
      <c r="E195" s="1880"/>
      <c r="F195" s="616">
        <f>'exchange rates'!$O$50</f>
        <v>3.8868399999999999</v>
      </c>
      <c r="G195" s="549">
        <v>0</v>
      </c>
      <c r="H195" s="550">
        <f>350/F195</f>
        <v>90.047442138086467</v>
      </c>
      <c r="I195" s="551">
        <v>0</v>
      </c>
      <c r="J195" s="560">
        <f>31.5/F195</f>
        <v>8.1042697924277824</v>
      </c>
      <c r="K195" s="566">
        <f>Tabel668921274[[#This Row],[Fix.ch. 2017]]+Tabel668921274[[#This Row],[Var. ch. 2017]]+Tabel668921274[[#This Row],[Oth. ch. DW 2017]]+Tabel668921274[[#This Row],[VAT DW 2017]]</f>
        <v>98.151711930514253</v>
      </c>
      <c r="L195" s="567">
        <v>0</v>
      </c>
      <c r="M195" s="560">
        <v>0</v>
      </c>
      <c r="N195" s="568">
        <f>297/F195</f>
        <v>76.411686614319095</v>
      </c>
      <c r="O195" s="560">
        <f>56.43/F195</f>
        <v>14.518220456720627</v>
      </c>
      <c r="P195" s="569">
        <v>0</v>
      </c>
      <c r="Q195" s="560">
        <v>0</v>
      </c>
      <c r="R195" s="570">
        <f>Tabel668921274[[#This Row],[VAT DW 2017]]+Tabel668921274[[#This Row],[VAT Sew. 2017]]+Tabel668921274[[#This Row],[VAT WW 2017]]+Tabel668921274[[#This Row],[VAT Other ch. 2017]]</f>
        <v>22.622490249148409</v>
      </c>
      <c r="S195" s="571">
        <f>Tabel668921274[[#This Row],[Total. ch. DW 2017]]+Tabel668921274[[#This Row],[Sew. 2017]]+Tabel668921274[[#This Row],[VAT Sew. 2017]]+Tabel668921274[[#This Row],[WW 2017]]+Tabel668921274[[#This Row],[VAT WW 2017]]+Tabel668921274[[#This Row],[Other ch. 2017]]+Tabel668921274[[#This Row],[VAT Other ch. 2017]]</f>
        <v>189.08161900155397</v>
      </c>
      <c r="T195" s="397"/>
      <c r="U195" s="1763"/>
      <c r="V195" s="2129"/>
      <c r="W195" s="1769"/>
      <c r="X195" s="1772"/>
      <c r="Y195" s="1775"/>
      <c r="Z195" s="1778"/>
      <c r="AA195" s="1772"/>
      <c r="AB195" s="1781"/>
      <c r="AC195" s="1772"/>
      <c r="AD195" s="1785"/>
      <c r="AE195" s="1772"/>
      <c r="AF195" s="2137"/>
      <c r="AG195" s="1990"/>
      <c r="AH195" s="397"/>
      <c r="AI195" s="591" t="s">
        <v>429</v>
      </c>
      <c r="AJ195" s="591" t="s">
        <v>429</v>
      </c>
      <c r="AK195" s="591"/>
      <c r="AL195" s="591"/>
      <c r="AM195" s="591"/>
      <c r="AN195" s="591" t="s">
        <v>429</v>
      </c>
      <c r="AO195" s="614"/>
      <c r="AP195" s="397"/>
    </row>
    <row r="196" spans="1:42" ht="15.75" hidden="1" customHeight="1" x14ac:dyDescent="0.25">
      <c r="A196" s="1757"/>
      <c r="B196" s="632" t="s">
        <v>517</v>
      </c>
      <c r="C196" s="925"/>
      <c r="D196" s="754" t="s">
        <v>1118</v>
      </c>
      <c r="E196" s="1880"/>
      <c r="F196" s="616">
        <f>'exchange rates'!$O$50</f>
        <v>3.8868399999999999</v>
      </c>
      <c r="G196" s="549">
        <v>0</v>
      </c>
      <c r="H196" s="550">
        <f>344/F196</f>
        <v>88.503771701433564</v>
      </c>
      <c r="I196" s="551">
        <v>0</v>
      </c>
      <c r="J196" s="560">
        <f>30.96/F196</f>
        <v>7.9653394531290207</v>
      </c>
      <c r="K196" s="566">
        <f>Tabel668921274[[#This Row],[Fix.ch. 2017]]+Tabel668921274[[#This Row],[Var. ch. 2017]]+Tabel668921274[[#This Row],[Oth. ch. DW 2017]]+Tabel668921274[[#This Row],[VAT DW 2017]]</f>
        <v>96.469111154562583</v>
      </c>
      <c r="L196" s="567">
        <v>0</v>
      </c>
      <c r="M196" s="560">
        <v>0</v>
      </c>
      <c r="N196" s="568">
        <f>299/F196</f>
        <v>76.926243426536729</v>
      </c>
      <c r="O196" s="560">
        <f>56.81/F196</f>
        <v>14.61598625104198</v>
      </c>
      <c r="P196" s="569">
        <v>0</v>
      </c>
      <c r="Q196" s="560">
        <v>0</v>
      </c>
      <c r="R196" s="570">
        <f>Tabel668921274[[#This Row],[VAT DW 2017]]+Tabel668921274[[#This Row],[VAT Sew. 2017]]+Tabel668921274[[#This Row],[VAT WW 2017]]+Tabel668921274[[#This Row],[VAT Other ch. 2017]]</f>
        <v>22.581325704171</v>
      </c>
      <c r="S196" s="571">
        <f>Tabel668921274[[#This Row],[Total. ch. DW 2017]]+Tabel668921274[[#This Row],[Sew. 2017]]+Tabel668921274[[#This Row],[VAT Sew. 2017]]+Tabel668921274[[#This Row],[WW 2017]]+Tabel668921274[[#This Row],[VAT WW 2017]]+Tabel668921274[[#This Row],[Other ch. 2017]]+Tabel668921274[[#This Row],[VAT Other ch. 2017]]</f>
        <v>188.01134083214129</v>
      </c>
      <c r="T196" s="397"/>
      <c r="U196" s="1763"/>
      <c r="V196" s="2129"/>
      <c r="W196" s="1769"/>
      <c r="X196" s="1772"/>
      <c r="Y196" s="1775"/>
      <c r="Z196" s="1778"/>
      <c r="AA196" s="1772"/>
      <c r="AB196" s="1781"/>
      <c r="AC196" s="1772"/>
      <c r="AD196" s="1785"/>
      <c r="AE196" s="1772"/>
      <c r="AF196" s="2137"/>
      <c r="AG196" s="1990"/>
      <c r="AH196" s="397"/>
      <c r="AI196" s="591" t="s">
        <v>429</v>
      </c>
      <c r="AJ196" s="591" t="s">
        <v>429</v>
      </c>
      <c r="AK196" s="591"/>
      <c r="AL196" s="591"/>
      <c r="AM196" s="591"/>
      <c r="AN196" s="591" t="s">
        <v>429</v>
      </c>
      <c r="AO196" s="614"/>
      <c r="AP196" s="397"/>
    </row>
    <row r="197" spans="1:42" ht="15.75" hidden="1" customHeight="1" x14ac:dyDescent="0.25">
      <c r="A197" s="1757"/>
      <c r="B197" s="456" t="s">
        <v>518</v>
      </c>
      <c r="C197" s="804"/>
      <c r="D197" s="804" t="s">
        <v>1118</v>
      </c>
      <c r="E197" s="1880"/>
      <c r="F197" s="616">
        <f>'exchange rates'!$O$50</f>
        <v>3.8868399999999999</v>
      </c>
      <c r="G197" s="319"/>
      <c r="H197" s="320"/>
      <c r="I197" s="321"/>
      <c r="J197" s="559"/>
      <c r="K197" s="313"/>
      <c r="L197" s="322"/>
      <c r="M197" s="559"/>
      <c r="N197" s="323"/>
      <c r="O197" s="559"/>
      <c r="P197" s="324"/>
      <c r="Q197" s="559"/>
      <c r="R197" s="317"/>
      <c r="S197" s="318"/>
      <c r="T197" s="397"/>
      <c r="U197" s="1763"/>
      <c r="V197" s="2129"/>
      <c r="W197" s="1769"/>
      <c r="X197" s="1772"/>
      <c r="Y197" s="1775"/>
      <c r="Z197" s="1778"/>
      <c r="AA197" s="1772"/>
      <c r="AB197" s="1781"/>
      <c r="AC197" s="1772"/>
      <c r="AD197" s="1785"/>
      <c r="AE197" s="1772"/>
      <c r="AF197" s="2137"/>
      <c r="AG197" s="1990"/>
      <c r="AH197" s="397"/>
      <c r="AI197" s="591"/>
      <c r="AJ197" s="591"/>
      <c r="AK197" s="591"/>
      <c r="AL197" s="591"/>
      <c r="AM197" s="591"/>
      <c r="AN197" s="591"/>
      <c r="AO197" s="614"/>
      <c r="AP197" s="397"/>
    </row>
    <row r="198" spans="1:42" ht="15.75" hidden="1" customHeight="1" x14ac:dyDescent="0.25">
      <c r="A198" s="1757"/>
      <c r="B198" s="456" t="s">
        <v>519</v>
      </c>
      <c r="C198" s="804"/>
      <c r="D198" s="804" t="s">
        <v>1118</v>
      </c>
      <c r="E198" s="1880"/>
      <c r="F198" s="616">
        <f>'exchange rates'!$O$50</f>
        <v>3.8868399999999999</v>
      </c>
      <c r="G198" s="319"/>
      <c r="H198" s="320"/>
      <c r="I198" s="321"/>
      <c r="J198" s="559"/>
      <c r="K198" s="313"/>
      <c r="L198" s="322"/>
      <c r="M198" s="559"/>
      <c r="N198" s="323"/>
      <c r="O198" s="559"/>
      <c r="P198" s="324"/>
      <c r="Q198" s="559"/>
      <c r="R198" s="317"/>
      <c r="S198" s="318"/>
      <c r="T198" s="397"/>
      <c r="U198" s="1763"/>
      <c r="V198" s="2129"/>
      <c r="W198" s="1769"/>
      <c r="X198" s="1772"/>
      <c r="Y198" s="1775"/>
      <c r="Z198" s="1778"/>
      <c r="AA198" s="1772"/>
      <c r="AB198" s="1781"/>
      <c r="AC198" s="1772"/>
      <c r="AD198" s="1785"/>
      <c r="AE198" s="1772"/>
      <c r="AF198" s="2137"/>
      <c r="AG198" s="1990"/>
      <c r="AH198" s="397"/>
      <c r="AI198" s="591"/>
      <c r="AJ198" s="591"/>
      <c r="AK198" s="591"/>
      <c r="AL198" s="591"/>
      <c r="AM198" s="591"/>
      <c r="AN198" s="591"/>
      <c r="AO198" s="614"/>
      <c r="AP198" s="397"/>
    </row>
    <row r="199" spans="1:42" ht="15.75" hidden="1" customHeight="1" x14ac:dyDescent="0.25">
      <c r="A199" s="1757"/>
      <c r="B199" s="456" t="s">
        <v>596</v>
      </c>
      <c r="C199" s="804"/>
      <c r="D199" s="804" t="s">
        <v>1118</v>
      </c>
      <c r="E199" s="1880"/>
      <c r="F199" s="616">
        <f>'exchange rates'!$O$50</f>
        <v>3.8868399999999999</v>
      </c>
      <c r="G199" s="319"/>
      <c r="H199" s="320"/>
      <c r="I199" s="321"/>
      <c r="J199" s="559"/>
      <c r="K199" s="313"/>
      <c r="L199" s="322"/>
      <c r="M199" s="559"/>
      <c r="N199" s="323"/>
      <c r="O199" s="559"/>
      <c r="P199" s="324"/>
      <c r="Q199" s="559"/>
      <c r="R199" s="317"/>
      <c r="S199" s="318"/>
      <c r="T199" s="397"/>
      <c r="U199" s="1763"/>
      <c r="V199" s="2129"/>
      <c r="W199" s="1769"/>
      <c r="X199" s="1772"/>
      <c r="Y199" s="1775"/>
      <c r="Z199" s="1778"/>
      <c r="AA199" s="1772"/>
      <c r="AB199" s="1781"/>
      <c r="AC199" s="1772"/>
      <c r="AD199" s="1785"/>
      <c r="AE199" s="1772"/>
      <c r="AF199" s="2137"/>
      <c r="AG199" s="1990"/>
      <c r="AH199" s="397"/>
      <c r="AI199" s="591"/>
      <c r="AJ199" s="591"/>
      <c r="AK199" s="591"/>
      <c r="AL199" s="591"/>
      <c r="AM199" s="591"/>
      <c r="AN199" s="591"/>
      <c r="AO199" s="614"/>
      <c r="AP199" s="397"/>
    </row>
    <row r="200" spans="1:42" ht="15.75" hidden="1" customHeight="1" x14ac:dyDescent="0.25">
      <c r="A200" s="1757"/>
      <c r="B200" s="632" t="s">
        <v>873</v>
      </c>
      <c r="C200" s="803"/>
      <c r="D200" s="803" t="s">
        <v>1118</v>
      </c>
      <c r="E200" s="1880"/>
      <c r="F200" s="616">
        <f>'exchange rates'!$O$50</f>
        <v>3.8868399999999999</v>
      </c>
      <c r="G200" s="549">
        <v>0</v>
      </c>
      <c r="H200" s="550">
        <f>382/F200</f>
        <v>98.280351133568658</v>
      </c>
      <c r="I200" s="551">
        <v>0</v>
      </c>
      <c r="J200" s="560">
        <f>34.38/F200</f>
        <v>8.8452316020211796</v>
      </c>
      <c r="K200" s="566">
        <f>Tabel668921274[[#This Row],[Fix.ch. 2017]]+Tabel668921274[[#This Row],[Var. ch. 2017]]+Tabel668921274[[#This Row],[Oth. ch. DW 2017]]+Tabel668921274[[#This Row],[VAT DW 2017]]</f>
        <v>107.12558273558983</v>
      </c>
      <c r="L200" s="567">
        <v>0</v>
      </c>
      <c r="M200" s="560">
        <v>0</v>
      </c>
      <c r="N200" s="568">
        <f>152/F200</f>
        <v>39.106317728540411</v>
      </c>
      <c r="O200" s="560">
        <f>28.88/F200</f>
        <v>7.4302003684226774</v>
      </c>
      <c r="P200" s="569">
        <v>0</v>
      </c>
      <c r="Q200" s="560">
        <v>0</v>
      </c>
      <c r="R200" s="570">
        <f>Tabel668921274[[#This Row],[VAT DW 2017]]+Tabel668921274[[#This Row],[VAT Sew. 2017]]+Tabel668921274[[#This Row],[VAT WW 2017]]+Tabel668921274[[#This Row],[VAT Other ch. 2017]]</f>
        <v>16.275431970443858</v>
      </c>
      <c r="S200" s="571">
        <f>Tabel668921274[[#This Row],[Total. ch. DW 2017]]+Tabel668921274[[#This Row],[Sew. 2017]]+Tabel668921274[[#This Row],[VAT Sew. 2017]]+Tabel668921274[[#This Row],[WW 2017]]+Tabel668921274[[#This Row],[VAT WW 2017]]+Tabel668921274[[#This Row],[Other ch. 2017]]+Tabel668921274[[#This Row],[VAT Other ch. 2017]]</f>
        <v>153.66210083255291</v>
      </c>
      <c r="T200" s="397"/>
      <c r="U200" s="1763"/>
      <c r="V200" s="2129"/>
      <c r="W200" s="1769"/>
      <c r="X200" s="1772"/>
      <c r="Y200" s="1775"/>
      <c r="Z200" s="1778"/>
      <c r="AA200" s="1772"/>
      <c r="AB200" s="1781"/>
      <c r="AC200" s="1772"/>
      <c r="AD200" s="1785"/>
      <c r="AE200" s="1772"/>
      <c r="AF200" s="2137"/>
      <c r="AG200" s="1990"/>
      <c r="AH200" s="397"/>
      <c r="AI200" s="591" t="s">
        <v>429</v>
      </c>
      <c r="AJ200" s="591" t="s">
        <v>429</v>
      </c>
      <c r="AK200" s="591"/>
      <c r="AL200" s="591"/>
      <c r="AM200" s="591"/>
      <c r="AN200" s="591" t="s">
        <v>429</v>
      </c>
      <c r="AO200" s="614"/>
      <c r="AP200" s="397"/>
    </row>
    <row r="201" spans="1:42" ht="16.5" hidden="1" customHeight="1" x14ac:dyDescent="0.25">
      <c r="A201" s="1757"/>
      <c r="B201" s="633" t="s">
        <v>520</v>
      </c>
      <c r="C201" s="803"/>
      <c r="D201" s="803" t="s">
        <v>1118</v>
      </c>
      <c r="E201" s="1880"/>
      <c r="F201" s="616">
        <f>'exchange rates'!$O$50</f>
        <v>3.8868399999999999</v>
      </c>
      <c r="G201" s="549">
        <v>0</v>
      </c>
      <c r="H201" s="550">
        <f>319/F201</f>
        <v>82.0718115487131</v>
      </c>
      <c r="I201" s="551">
        <v>0</v>
      </c>
      <c r="J201" s="560">
        <f>28.71/F201</f>
        <v>7.3864630393841786</v>
      </c>
      <c r="K201" s="566">
        <f>Tabel668921274[[#This Row],[Fix.ch. 2017]]+Tabel668921274[[#This Row],[Var. ch. 2017]]+Tabel668921274[[#This Row],[Oth. ch. DW 2017]]+Tabel668921274[[#This Row],[VAT DW 2017]]</f>
        <v>89.458274588097282</v>
      </c>
      <c r="L201" s="567">
        <v>0</v>
      </c>
      <c r="M201" s="560">
        <v>0</v>
      </c>
      <c r="N201" s="568">
        <f>307/F201</f>
        <v>78.98447067540728</v>
      </c>
      <c r="O201" s="560">
        <f>58.33/F201</f>
        <v>15.007049428327381</v>
      </c>
      <c r="P201" s="569">
        <v>0</v>
      </c>
      <c r="Q201" s="560">
        <v>0</v>
      </c>
      <c r="R201" s="570">
        <f>Tabel668921274[[#This Row],[VAT DW 2017]]+Tabel668921274[[#This Row],[VAT Sew. 2017]]+Tabel668921274[[#This Row],[VAT WW 2017]]+Tabel668921274[[#This Row],[VAT Other ch. 2017]]</f>
        <v>22.39351246771156</v>
      </c>
      <c r="S201" s="571">
        <f>Tabel668921274[[#This Row],[Total. ch. DW 2017]]+Tabel668921274[[#This Row],[Sew. 2017]]+Tabel668921274[[#This Row],[VAT Sew. 2017]]+Tabel668921274[[#This Row],[WW 2017]]+Tabel668921274[[#This Row],[VAT WW 2017]]+Tabel668921274[[#This Row],[Other ch. 2017]]+Tabel668921274[[#This Row],[VAT Other ch. 2017]]</f>
        <v>183.44979469183193</v>
      </c>
      <c r="T201" s="397"/>
      <c r="U201" s="1763"/>
      <c r="V201" s="2129"/>
      <c r="W201" s="1769"/>
      <c r="X201" s="1772"/>
      <c r="Y201" s="1775"/>
      <c r="Z201" s="1778"/>
      <c r="AA201" s="1772"/>
      <c r="AB201" s="1781"/>
      <c r="AC201" s="1772"/>
      <c r="AD201" s="1785"/>
      <c r="AE201" s="1772"/>
      <c r="AF201" s="2137"/>
      <c r="AG201" s="1990"/>
      <c r="AH201" s="397"/>
      <c r="AI201" s="591" t="s">
        <v>429</v>
      </c>
      <c r="AJ201" s="591" t="s">
        <v>429</v>
      </c>
      <c r="AK201" s="591"/>
      <c r="AL201" s="591"/>
      <c r="AM201" s="591"/>
      <c r="AN201" s="591" t="s">
        <v>429</v>
      </c>
      <c r="AO201" s="614"/>
      <c r="AP201" s="397"/>
    </row>
    <row r="202" spans="1:42" ht="18" hidden="1" customHeight="1" x14ac:dyDescent="0.25">
      <c r="A202" s="1757"/>
      <c r="B202" s="633" t="s">
        <v>597</v>
      </c>
      <c r="C202" s="803"/>
      <c r="D202" s="803" t="s">
        <v>1118</v>
      </c>
      <c r="E202" s="1880"/>
      <c r="F202" s="616">
        <f>'exchange rates'!$O$50</f>
        <v>3.8868399999999999</v>
      </c>
      <c r="G202" s="549">
        <v>0</v>
      </c>
      <c r="H202" s="550">
        <f>410/F202</f>
        <v>105.48414650461558</v>
      </c>
      <c r="I202" s="551">
        <v>0</v>
      </c>
      <c r="J202" s="560">
        <f>36.9/F202</f>
        <v>9.4935731854154017</v>
      </c>
      <c r="K202" s="566">
        <f>Tabel668921274[[#This Row],[Fix.ch. 2017]]+Tabel668921274[[#This Row],[Var. ch. 2017]]+Tabel668921274[[#This Row],[Oth. ch. DW 2017]]+Tabel668921274[[#This Row],[VAT DW 2017]]</f>
        <v>114.97771969003098</v>
      </c>
      <c r="L202" s="567">
        <v>0</v>
      </c>
      <c r="M202" s="560">
        <v>0</v>
      </c>
      <c r="N202" s="568">
        <f>289/F202</f>
        <v>74.353459365448543</v>
      </c>
      <c r="O202" s="560">
        <f>54.91/F202</f>
        <v>14.127157279435222</v>
      </c>
      <c r="P202" s="569">
        <v>0</v>
      </c>
      <c r="Q202" s="560">
        <v>0</v>
      </c>
      <c r="R202" s="570">
        <f>Tabel668921274[[#This Row],[VAT DW 2017]]+Tabel668921274[[#This Row],[VAT Sew. 2017]]+Tabel668921274[[#This Row],[VAT WW 2017]]+Tabel668921274[[#This Row],[VAT Other ch. 2017]]</f>
        <v>23.620730464850624</v>
      </c>
      <c r="S202" s="571">
        <f>Tabel668921274[[#This Row],[Total. ch. DW 2017]]+Tabel668921274[[#This Row],[Sew. 2017]]+Tabel668921274[[#This Row],[VAT Sew. 2017]]+Tabel668921274[[#This Row],[WW 2017]]+Tabel668921274[[#This Row],[VAT WW 2017]]+Tabel668921274[[#This Row],[Other ch. 2017]]+Tabel668921274[[#This Row],[VAT Other ch. 2017]]</f>
        <v>203.45833633491475</v>
      </c>
      <c r="T202" s="397"/>
      <c r="U202" s="1763"/>
      <c r="V202" s="2129"/>
      <c r="W202" s="1769"/>
      <c r="X202" s="1772"/>
      <c r="Y202" s="1775"/>
      <c r="Z202" s="1778"/>
      <c r="AA202" s="1772"/>
      <c r="AB202" s="1781"/>
      <c r="AC202" s="1772"/>
      <c r="AD202" s="1785"/>
      <c r="AE202" s="1772"/>
      <c r="AF202" s="2137"/>
      <c r="AG202" s="1990"/>
      <c r="AH202" s="397"/>
      <c r="AI202" s="591" t="s">
        <v>429</v>
      </c>
      <c r="AJ202" s="591" t="s">
        <v>429</v>
      </c>
      <c r="AK202" s="591"/>
      <c r="AL202" s="591"/>
      <c r="AM202" s="591"/>
      <c r="AN202" s="591" t="s">
        <v>429</v>
      </c>
      <c r="AO202" s="614"/>
      <c r="AP202" s="397"/>
    </row>
    <row r="203" spans="1:42" ht="18" hidden="1" customHeight="1" x14ac:dyDescent="0.25">
      <c r="A203" s="1757"/>
      <c r="B203" s="503" t="s">
        <v>765</v>
      </c>
      <c r="C203" s="804"/>
      <c r="D203" s="804" t="s">
        <v>1118</v>
      </c>
      <c r="E203" s="1880"/>
      <c r="F203" s="616">
        <f>'exchange rates'!$O$50</f>
        <v>3.8868399999999999</v>
      </c>
      <c r="G203" s="319"/>
      <c r="H203" s="320"/>
      <c r="I203" s="321"/>
      <c r="J203" s="559"/>
      <c r="K203" s="313"/>
      <c r="L203" s="322"/>
      <c r="M203" s="559"/>
      <c r="N203" s="323"/>
      <c r="O203" s="559"/>
      <c r="P203" s="324"/>
      <c r="Q203" s="559"/>
      <c r="R203" s="317"/>
      <c r="S203" s="318"/>
      <c r="T203" s="397"/>
      <c r="U203" s="1886"/>
      <c r="V203" s="2129"/>
      <c r="W203" s="1890"/>
      <c r="X203" s="1772"/>
      <c r="Y203" s="1892"/>
      <c r="Z203" s="1894"/>
      <c r="AA203" s="1772"/>
      <c r="AB203" s="1911"/>
      <c r="AC203" s="1772"/>
      <c r="AD203" s="1913"/>
      <c r="AE203" s="1772"/>
      <c r="AF203" s="2138"/>
      <c r="AG203" s="2053"/>
      <c r="AH203" s="397"/>
      <c r="AI203" s="591"/>
      <c r="AJ203" s="591"/>
      <c r="AK203" s="591"/>
      <c r="AL203" s="591"/>
      <c r="AM203" s="591"/>
      <c r="AN203" s="591"/>
      <c r="AO203" s="614"/>
      <c r="AP203" s="397"/>
    </row>
    <row r="204" spans="1:42" ht="18" hidden="1" customHeight="1" x14ac:dyDescent="0.25">
      <c r="A204" s="1757"/>
      <c r="B204" s="633" t="s">
        <v>860</v>
      </c>
      <c r="C204" s="803" t="s">
        <v>429</v>
      </c>
      <c r="D204" s="803" t="s">
        <v>1118</v>
      </c>
      <c r="E204" s="1880"/>
      <c r="F204" s="616">
        <f>'exchange rates'!$O$50</f>
        <v>3.8868399999999999</v>
      </c>
      <c r="G204" s="549">
        <v>0</v>
      </c>
      <c r="H204" s="550">
        <f>331/F204</f>
        <v>85.15915242201892</v>
      </c>
      <c r="I204" s="551">
        <v>0</v>
      </c>
      <c r="J204" s="560">
        <f>29.79/F204</f>
        <v>7.6643237179817021</v>
      </c>
      <c r="K204" s="566">
        <f>Tabel668921274[[#This Row],[Fix.ch. 2017]]+Tabel668921274[[#This Row],[Var. ch. 2017]]+Tabel668921274[[#This Row],[Oth. ch. DW 2017]]+Tabel668921274[[#This Row],[VAT DW 2017]]</f>
        <v>92.823476140000622</v>
      </c>
      <c r="L204" s="567">
        <v>0</v>
      </c>
      <c r="M204" s="560">
        <v>0</v>
      </c>
      <c r="N204" s="568">
        <f>174/F204</f>
        <v>44.766442662934416</v>
      </c>
      <c r="O204" s="560">
        <f>33.06/F204</f>
        <v>8.5056241059575388</v>
      </c>
      <c r="P204" s="569">
        <v>0</v>
      </c>
      <c r="Q204" s="560">
        <v>0</v>
      </c>
      <c r="R204" s="570">
        <f>Tabel668921274[[#This Row],[VAT DW 2017]]+Tabel668921274[[#This Row],[VAT Sew. 2017]]+Tabel668921274[[#This Row],[VAT WW 2017]]+Tabel668921274[[#This Row],[VAT Other ch. 2017]]</f>
        <v>16.169947823939239</v>
      </c>
      <c r="S204" s="571">
        <f>Tabel668921274[[#This Row],[Total. ch. DW 2017]]+Tabel668921274[[#This Row],[Sew. 2017]]+Tabel668921274[[#This Row],[VAT Sew. 2017]]+Tabel668921274[[#This Row],[WW 2017]]+Tabel668921274[[#This Row],[VAT WW 2017]]+Tabel668921274[[#This Row],[Other ch. 2017]]+Tabel668921274[[#This Row],[VAT Other ch. 2017]]</f>
        <v>146.09554290889258</v>
      </c>
      <c r="T204" s="397"/>
      <c r="U204" s="1886"/>
      <c r="V204" s="2129"/>
      <c r="W204" s="1890"/>
      <c r="X204" s="1772"/>
      <c r="Y204" s="1892"/>
      <c r="Z204" s="1894"/>
      <c r="AA204" s="1772"/>
      <c r="AB204" s="1911"/>
      <c r="AC204" s="1772"/>
      <c r="AD204" s="1913"/>
      <c r="AE204" s="1772"/>
      <c r="AF204" s="2138"/>
      <c r="AG204" s="2053"/>
      <c r="AH204" s="397"/>
      <c r="AI204" s="591" t="s">
        <v>429</v>
      </c>
      <c r="AJ204" s="591" t="s">
        <v>429</v>
      </c>
      <c r="AK204" s="591"/>
      <c r="AL204" s="591"/>
      <c r="AM204" s="591"/>
      <c r="AN204" s="591" t="s">
        <v>429</v>
      </c>
      <c r="AO204" s="614"/>
      <c r="AP204" s="397"/>
    </row>
    <row r="205" spans="1:42" ht="18" hidden="1" customHeight="1" x14ac:dyDescent="0.25">
      <c r="A205" s="1757"/>
      <c r="B205" s="503" t="s">
        <v>766</v>
      </c>
      <c r="C205" s="804"/>
      <c r="D205" s="804" t="s">
        <v>1118</v>
      </c>
      <c r="E205" s="1880"/>
      <c r="F205" s="616">
        <f>'exchange rates'!$O$50</f>
        <v>3.8868399999999999</v>
      </c>
      <c r="G205" s="319"/>
      <c r="H205" s="320"/>
      <c r="I205" s="321"/>
      <c r="J205" s="559"/>
      <c r="K205" s="313"/>
      <c r="L205" s="322"/>
      <c r="M205" s="559"/>
      <c r="N205" s="323"/>
      <c r="O205" s="559"/>
      <c r="P205" s="324"/>
      <c r="Q205" s="559"/>
      <c r="R205" s="317"/>
      <c r="S205" s="318"/>
      <c r="T205" s="397"/>
      <c r="U205" s="1886"/>
      <c r="V205" s="2129"/>
      <c r="W205" s="1890"/>
      <c r="X205" s="1772"/>
      <c r="Y205" s="1892"/>
      <c r="Z205" s="1894"/>
      <c r="AA205" s="1772"/>
      <c r="AB205" s="1911"/>
      <c r="AC205" s="1772"/>
      <c r="AD205" s="1913"/>
      <c r="AE205" s="1772"/>
      <c r="AF205" s="2138"/>
      <c r="AG205" s="2053"/>
      <c r="AH205" s="397"/>
      <c r="AI205" s="591"/>
      <c r="AJ205" s="591"/>
      <c r="AK205" s="591"/>
      <c r="AL205" s="591"/>
      <c r="AM205" s="591"/>
      <c r="AN205" s="591"/>
      <c r="AO205" s="614"/>
      <c r="AP205" s="397"/>
    </row>
    <row r="206" spans="1:42" ht="18" hidden="1" customHeight="1" x14ac:dyDescent="0.25">
      <c r="A206" s="1757"/>
      <c r="B206" s="503" t="s">
        <v>767</v>
      </c>
      <c r="C206" s="804"/>
      <c r="D206" s="804" t="s">
        <v>1118</v>
      </c>
      <c r="E206" s="1880"/>
      <c r="F206" s="616">
        <f>'exchange rates'!$O$50</f>
        <v>3.8868399999999999</v>
      </c>
      <c r="G206" s="319"/>
      <c r="H206" s="320"/>
      <c r="I206" s="321"/>
      <c r="J206" s="559"/>
      <c r="K206" s="313"/>
      <c r="L206" s="322"/>
      <c r="M206" s="559"/>
      <c r="N206" s="323"/>
      <c r="O206" s="559"/>
      <c r="P206" s="324"/>
      <c r="Q206" s="559"/>
      <c r="R206" s="317"/>
      <c r="S206" s="318"/>
      <c r="T206" s="397"/>
      <c r="U206" s="1886"/>
      <c r="V206" s="2129"/>
      <c r="W206" s="1890"/>
      <c r="X206" s="1772"/>
      <c r="Y206" s="1892"/>
      <c r="Z206" s="1894"/>
      <c r="AA206" s="1772"/>
      <c r="AB206" s="1911"/>
      <c r="AC206" s="1772"/>
      <c r="AD206" s="1913"/>
      <c r="AE206" s="1772"/>
      <c r="AF206" s="2138"/>
      <c r="AG206" s="2053"/>
      <c r="AH206" s="397"/>
      <c r="AI206" s="591"/>
      <c r="AJ206" s="591"/>
      <c r="AK206" s="591"/>
      <c r="AL206" s="591"/>
      <c r="AM206" s="591"/>
      <c r="AN206" s="591"/>
      <c r="AO206" s="614"/>
      <c r="AP206" s="397"/>
    </row>
    <row r="207" spans="1:42" ht="18" hidden="1" customHeight="1" x14ac:dyDescent="0.25">
      <c r="A207" s="1757"/>
      <c r="B207" s="503" t="s">
        <v>768</v>
      </c>
      <c r="C207" s="804"/>
      <c r="D207" s="804" t="s">
        <v>1118</v>
      </c>
      <c r="E207" s="1880"/>
      <c r="F207" s="616">
        <f>'exchange rates'!$O$50</f>
        <v>3.8868399999999999</v>
      </c>
      <c r="G207" s="319"/>
      <c r="H207" s="320"/>
      <c r="I207" s="321"/>
      <c r="J207" s="559"/>
      <c r="K207" s="313"/>
      <c r="L207" s="322"/>
      <c r="M207" s="559"/>
      <c r="N207" s="323"/>
      <c r="O207" s="559"/>
      <c r="P207" s="324"/>
      <c r="Q207" s="559"/>
      <c r="R207" s="317"/>
      <c r="S207" s="318"/>
      <c r="T207" s="397"/>
      <c r="U207" s="1886"/>
      <c r="V207" s="2129"/>
      <c r="W207" s="1890"/>
      <c r="X207" s="1772"/>
      <c r="Y207" s="1892"/>
      <c r="Z207" s="1894"/>
      <c r="AA207" s="1772"/>
      <c r="AB207" s="1911"/>
      <c r="AC207" s="1772"/>
      <c r="AD207" s="1913"/>
      <c r="AE207" s="1772"/>
      <c r="AF207" s="2138"/>
      <c r="AG207" s="2053"/>
      <c r="AH207" s="397"/>
      <c r="AI207" s="591"/>
      <c r="AJ207" s="591"/>
      <c r="AK207" s="591"/>
      <c r="AL207" s="591"/>
      <c r="AM207" s="591"/>
      <c r="AN207" s="591"/>
      <c r="AO207" s="614"/>
      <c r="AP207" s="397"/>
    </row>
    <row r="208" spans="1:42" ht="18" hidden="1" customHeight="1" x14ac:dyDescent="0.25">
      <c r="A208" s="1757"/>
      <c r="B208" s="633" t="s">
        <v>769</v>
      </c>
      <c r="C208" s="803"/>
      <c r="D208" s="803" t="s">
        <v>1118</v>
      </c>
      <c r="E208" s="1880"/>
      <c r="F208" s="616">
        <f>'exchange rates'!$O$50</f>
        <v>3.8868399999999999</v>
      </c>
      <c r="G208" s="549">
        <v>0</v>
      </c>
      <c r="H208" s="550">
        <f>348/F208</f>
        <v>89.532885325868833</v>
      </c>
      <c r="I208" s="551">
        <v>0</v>
      </c>
      <c r="J208" s="560">
        <f>31.32/F208</f>
        <v>8.0579596793281958</v>
      </c>
      <c r="K208" s="566">
        <f>Tabel668921274[[#This Row],[Fix.ch. 2017]]+Tabel668921274[[#This Row],[Var. ch. 2017]]+Tabel668921274[[#This Row],[Oth. ch. DW 2017]]+Tabel668921274[[#This Row],[VAT DW 2017]]</f>
        <v>97.590845005197025</v>
      </c>
      <c r="L208" s="567">
        <v>0</v>
      </c>
      <c r="M208" s="560">
        <v>0</v>
      </c>
      <c r="N208" s="568">
        <f>276/F208</f>
        <v>71.008840086033899</v>
      </c>
      <c r="O208" s="560">
        <f>52.44/F208</f>
        <v>13.49167961634644</v>
      </c>
      <c r="P208" s="569">
        <v>0</v>
      </c>
      <c r="Q208" s="560">
        <v>0</v>
      </c>
      <c r="R208" s="570">
        <f>Tabel668921274[[#This Row],[VAT DW 2017]]+Tabel668921274[[#This Row],[VAT Sew. 2017]]+Tabel668921274[[#This Row],[VAT WW 2017]]+Tabel668921274[[#This Row],[VAT Other ch. 2017]]</f>
        <v>21.549639295674638</v>
      </c>
      <c r="S208" s="571">
        <f>Tabel668921274[[#This Row],[Total. ch. DW 2017]]+Tabel668921274[[#This Row],[Sew. 2017]]+Tabel668921274[[#This Row],[VAT Sew. 2017]]+Tabel668921274[[#This Row],[WW 2017]]+Tabel668921274[[#This Row],[VAT WW 2017]]+Tabel668921274[[#This Row],[Other ch. 2017]]+Tabel668921274[[#This Row],[VAT Other ch. 2017]]</f>
        <v>182.09136470757736</v>
      </c>
      <c r="T208" s="397"/>
      <c r="U208" s="1886"/>
      <c r="V208" s="2129"/>
      <c r="W208" s="1890"/>
      <c r="X208" s="1772"/>
      <c r="Y208" s="1892"/>
      <c r="Z208" s="1894"/>
      <c r="AA208" s="1772"/>
      <c r="AB208" s="1911"/>
      <c r="AC208" s="1772"/>
      <c r="AD208" s="1913"/>
      <c r="AE208" s="1772"/>
      <c r="AF208" s="2138"/>
      <c r="AG208" s="2053"/>
      <c r="AH208" s="397"/>
      <c r="AI208" s="591" t="s">
        <v>429</v>
      </c>
      <c r="AJ208" s="591" t="s">
        <v>429</v>
      </c>
      <c r="AK208" s="591"/>
      <c r="AL208" s="591"/>
      <c r="AM208" s="591"/>
      <c r="AN208" s="591" t="s">
        <v>429</v>
      </c>
      <c r="AO208" s="614"/>
      <c r="AP208" s="397"/>
    </row>
    <row r="209" spans="1:42" ht="18" hidden="1" customHeight="1" x14ac:dyDescent="0.25">
      <c r="A209" s="1757"/>
      <c r="B209" s="503" t="s">
        <v>770</v>
      </c>
      <c r="C209" s="804"/>
      <c r="D209" s="804" t="s">
        <v>1118</v>
      </c>
      <c r="E209" s="1880"/>
      <c r="F209" s="616">
        <f>'exchange rates'!$O$50</f>
        <v>3.8868399999999999</v>
      </c>
      <c r="G209" s="319"/>
      <c r="H209" s="320"/>
      <c r="I209" s="321"/>
      <c r="J209" s="559"/>
      <c r="K209" s="313"/>
      <c r="L209" s="322"/>
      <c r="M209" s="559"/>
      <c r="N209" s="323"/>
      <c r="O209" s="559"/>
      <c r="P209" s="324"/>
      <c r="Q209" s="559"/>
      <c r="R209" s="317"/>
      <c r="S209" s="318"/>
      <c r="T209" s="397"/>
      <c r="U209" s="1886"/>
      <c r="V209" s="2129"/>
      <c r="W209" s="1890"/>
      <c r="X209" s="1772"/>
      <c r="Y209" s="1892"/>
      <c r="Z209" s="1894"/>
      <c r="AA209" s="1772"/>
      <c r="AB209" s="1911"/>
      <c r="AC209" s="1772"/>
      <c r="AD209" s="1913"/>
      <c r="AE209" s="1772"/>
      <c r="AF209" s="2138"/>
      <c r="AG209" s="2053"/>
      <c r="AH209" s="397"/>
      <c r="AI209" s="591"/>
      <c r="AJ209" s="591"/>
      <c r="AK209" s="591"/>
      <c r="AL209" s="591"/>
      <c r="AM209" s="591"/>
      <c r="AN209" s="591"/>
      <c r="AO209" s="614"/>
      <c r="AP209" s="397"/>
    </row>
    <row r="210" spans="1:42" ht="18" hidden="1" customHeight="1" x14ac:dyDescent="0.25">
      <c r="A210" s="1757"/>
      <c r="B210" s="633" t="s">
        <v>771</v>
      </c>
      <c r="C210" s="803"/>
      <c r="D210" s="803" t="s">
        <v>1118</v>
      </c>
      <c r="E210" s="1880"/>
      <c r="F210" s="616">
        <f>'exchange rates'!$O$50</f>
        <v>3.8868399999999999</v>
      </c>
      <c r="G210" s="549">
        <v>0</v>
      </c>
      <c r="H210" s="550">
        <f>357/F210</f>
        <v>91.848390980848194</v>
      </c>
      <c r="I210" s="551">
        <v>0</v>
      </c>
      <c r="J210" s="560">
        <f>32.13/F210</f>
        <v>8.2663551882763393</v>
      </c>
      <c r="K210" s="566">
        <f>Tabel668921274[[#This Row],[Fix.ch. 2017]]+Tabel668921274[[#This Row],[Var. ch. 2017]]+Tabel668921274[[#This Row],[Oth. ch. DW 2017]]+Tabel668921274[[#This Row],[VAT DW 2017]]</f>
        <v>100.11474616912453</v>
      </c>
      <c r="L210" s="567">
        <v>0</v>
      </c>
      <c r="M210" s="560">
        <v>0</v>
      </c>
      <c r="N210" s="568">
        <f>244/F210</f>
        <v>62.775931090551708</v>
      </c>
      <c r="O210" s="560">
        <f>46.36/F210</f>
        <v>11.927426907204826</v>
      </c>
      <c r="P210" s="569">
        <v>0</v>
      </c>
      <c r="Q210" s="560">
        <v>0</v>
      </c>
      <c r="R210" s="570">
        <f>Tabel668921274[[#This Row],[VAT DW 2017]]+Tabel668921274[[#This Row],[VAT Sew. 2017]]+Tabel668921274[[#This Row],[VAT WW 2017]]+Tabel668921274[[#This Row],[VAT Other ch. 2017]]</f>
        <v>20.193782095481165</v>
      </c>
      <c r="S210" s="571">
        <f>Tabel668921274[[#This Row],[Total. ch. DW 2017]]+Tabel668921274[[#This Row],[Sew. 2017]]+Tabel668921274[[#This Row],[VAT Sew. 2017]]+Tabel668921274[[#This Row],[WW 2017]]+Tabel668921274[[#This Row],[VAT WW 2017]]+Tabel668921274[[#This Row],[Other ch. 2017]]+Tabel668921274[[#This Row],[VAT Other ch. 2017]]</f>
        <v>174.81810416688106</v>
      </c>
      <c r="T210" s="397"/>
      <c r="U210" s="1886"/>
      <c r="V210" s="2129"/>
      <c r="W210" s="1890"/>
      <c r="X210" s="1772"/>
      <c r="Y210" s="1892"/>
      <c r="Z210" s="1894"/>
      <c r="AA210" s="1772"/>
      <c r="AB210" s="1911"/>
      <c r="AC210" s="1772"/>
      <c r="AD210" s="1913"/>
      <c r="AE210" s="1772"/>
      <c r="AF210" s="2138"/>
      <c r="AG210" s="2053"/>
      <c r="AH210" s="397"/>
      <c r="AI210" s="591" t="s">
        <v>429</v>
      </c>
      <c r="AJ210" s="591" t="s">
        <v>429</v>
      </c>
      <c r="AK210" s="591"/>
      <c r="AL210" s="591"/>
      <c r="AM210" s="591"/>
      <c r="AN210" s="591" t="s">
        <v>429</v>
      </c>
      <c r="AO210" s="614"/>
      <c r="AP210" s="397"/>
    </row>
    <row r="211" spans="1:42" ht="18" hidden="1" customHeight="1" x14ac:dyDescent="0.25">
      <c r="A211" s="1757"/>
      <c r="B211" s="503" t="s">
        <v>772</v>
      </c>
      <c r="C211" s="804"/>
      <c r="D211" s="804" t="s">
        <v>1118</v>
      </c>
      <c r="E211" s="1880"/>
      <c r="F211" s="616">
        <f>'exchange rates'!$O$50</f>
        <v>3.8868399999999999</v>
      </c>
      <c r="G211" s="319"/>
      <c r="H211" s="320"/>
      <c r="I211" s="321"/>
      <c r="J211" s="559"/>
      <c r="K211" s="313"/>
      <c r="L211" s="322"/>
      <c r="M211" s="559"/>
      <c r="N211" s="323"/>
      <c r="O211" s="559"/>
      <c r="P211" s="324"/>
      <c r="Q211" s="559"/>
      <c r="R211" s="317"/>
      <c r="S211" s="318"/>
      <c r="T211" s="397"/>
      <c r="U211" s="1886"/>
      <c r="V211" s="2129"/>
      <c r="W211" s="1890"/>
      <c r="X211" s="1772"/>
      <c r="Y211" s="1892"/>
      <c r="Z211" s="1894"/>
      <c r="AA211" s="1772"/>
      <c r="AB211" s="1911"/>
      <c r="AC211" s="1772"/>
      <c r="AD211" s="1913"/>
      <c r="AE211" s="1772"/>
      <c r="AF211" s="2138"/>
      <c r="AG211" s="2053"/>
      <c r="AH211" s="397"/>
      <c r="AI211" s="591"/>
      <c r="AJ211" s="591"/>
      <c r="AK211" s="591"/>
      <c r="AL211" s="591"/>
      <c r="AM211" s="591"/>
      <c r="AN211" s="591"/>
      <c r="AO211" s="614"/>
      <c r="AP211" s="397"/>
    </row>
    <row r="212" spans="1:42" ht="18" hidden="1" customHeight="1" x14ac:dyDescent="0.25">
      <c r="A212" s="1757"/>
      <c r="B212" s="633" t="s">
        <v>861</v>
      </c>
      <c r="C212" s="803"/>
      <c r="D212" s="803" t="s">
        <v>1118</v>
      </c>
      <c r="E212" s="1880"/>
      <c r="F212" s="616">
        <f>'exchange rates'!$O$50</f>
        <v>3.8868399999999999</v>
      </c>
      <c r="G212" s="549">
        <v>0</v>
      </c>
      <c r="H212" s="550">
        <f>389/F212</f>
        <v>100.08129997633038</v>
      </c>
      <c r="I212" s="551">
        <v>0</v>
      </c>
      <c r="J212" s="560">
        <f>35.01/F212</f>
        <v>9.0073169978697347</v>
      </c>
      <c r="K212" s="566">
        <f>Tabel668921274[[#This Row],[Fix.ch. 2017]]+Tabel668921274[[#This Row],[Var. ch. 2017]]+Tabel668921274[[#This Row],[Oth. ch. DW 2017]]+Tabel668921274[[#This Row],[VAT DW 2017]]</f>
        <v>109.08861697420012</v>
      </c>
      <c r="L212" s="567">
        <v>0</v>
      </c>
      <c r="M212" s="560">
        <v>0</v>
      </c>
      <c r="N212" s="568">
        <f>343/F212</f>
        <v>88.24649329532474</v>
      </c>
      <c r="O212" s="560">
        <f>65.17/F212</f>
        <v>16.766833726111702</v>
      </c>
      <c r="P212" s="569">
        <v>0</v>
      </c>
      <c r="Q212" s="560">
        <v>0</v>
      </c>
      <c r="R212" s="570">
        <f>Tabel668921274[[#This Row],[VAT DW 2017]]+Tabel668921274[[#This Row],[VAT Sew. 2017]]+Tabel668921274[[#This Row],[VAT WW 2017]]+Tabel668921274[[#This Row],[VAT Other ch. 2017]]</f>
        <v>25.774150723981435</v>
      </c>
      <c r="S212" s="571">
        <f>Tabel668921274[[#This Row],[Total. ch. DW 2017]]+Tabel668921274[[#This Row],[Sew. 2017]]+Tabel668921274[[#This Row],[VAT Sew. 2017]]+Tabel668921274[[#This Row],[WW 2017]]+Tabel668921274[[#This Row],[VAT WW 2017]]+Tabel668921274[[#This Row],[Other ch. 2017]]+Tabel668921274[[#This Row],[VAT Other ch. 2017]]</f>
        <v>214.10194399563659</v>
      </c>
      <c r="T212" s="397"/>
      <c r="U212" s="1886"/>
      <c r="V212" s="2129"/>
      <c r="W212" s="1890"/>
      <c r="X212" s="1772"/>
      <c r="Y212" s="1892"/>
      <c r="Z212" s="1894"/>
      <c r="AA212" s="1772"/>
      <c r="AB212" s="1911"/>
      <c r="AC212" s="1772"/>
      <c r="AD212" s="1913"/>
      <c r="AE212" s="1772"/>
      <c r="AF212" s="2138"/>
      <c r="AG212" s="2053"/>
      <c r="AH212" s="397"/>
      <c r="AI212" s="591" t="s">
        <v>429</v>
      </c>
      <c r="AJ212" s="591" t="s">
        <v>429</v>
      </c>
      <c r="AK212" s="591"/>
      <c r="AL212" s="591"/>
      <c r="AM212" s="591"/>
      <c r="AN212" s="591" t="s">
        <v>429</v>
      </c>
      <c r="AO212" s="614"/>
      <c r="AP212" s="397"/>
    </row>
    <row r="213" spans="1:42" ht="18" hidden="1" customHeight="1" x14ac:dyDescent="0.25">
      <c r="A213" s="1757"/>
      <c r="B213" s="633" t="s">
        <v>862</v>
      </c>
      <c r="C213" s="803"/>
      <c r="D213" s="803" t="s">
        <v>1118</v>
      </c>
      <c r="E213" s="1880"/>
      <c r="F213" s="616">
        <f>'exchange rates'!$O$50</f>
        <v>3.8868399999999999</v>
      </c>
      <c r="G213" s="549">
        <v>0</v>
      </c>
      <c r="H213" s="550">
        <f>413/F213</f>
        <v>106.25598172294204</v>
      </c>
      <c r="I213" s="551">
        <v>0</v>
      </c>
      <c r="J213" s="560">
        <f>37.17/F213</f>
        <v>9.5630383550647835</v>
      </c>
      <c r="K213" s="566">
        <f>Tabel668921274[[#This Row],[Fix.ch. 2017]]+Tabel668921274[[#This Row],[Var. ch. 2017]]+Tabel668921274[[#This Row],[Oth. ch. DW 2017]]+Tabel668921274[[#This Row],[VAT DW 2017]]</f>
        <v>115.81902007800682</v>
      </c>
      <c r="L213" s="567">
        <v>0</v>
      </c>
      <c r="M213" s="560">
        <v>0</v>
      </c>
      <c r="N213" s="568">
        <f>260/F213</f>
        <v>66.892385588292811</v>
      </c>
      <c r="O213" s="560">
        <f>49.4/F213</f>
        <v>12.709553261775632</v>
      </c>
      <c r="P213" s="569">
        <v>0</v>
      </c>
      <c r="Q213" s="560">
        <v>0</v>
      </c>
      <c r="R213" s="570">
        <f>Tabel668921274[[#This Row],[VAT DW 2017]]+Tabel668921274[[#This Row],[VAT Sew. 2017]]+Tabel668921274[[#This Row],[VAT WW 2017]]+Tabel668921274[[#This Row],[VAT Other ch. 2017]]</f>
        <v>22.272591616840415</v>
      </c>
      <c r="S213" s="571">
        <f>Tabel668921274[[#This Row],[Total. ch. DW 2017]]+Tabel668921274[[#This Row],[Sew. 2017]]+Tabel668921274[[#This Row],[VAT Sew. 2017]]+Tabel668921274[[#This Row],[WW 2017]]+Tabel668921274[[#This Row],[VAT WW 2017]]+Tabel668921274[[#This Row],[Other ch. 2017]]+Tabel668921274[[#This Row],[VAT Other ch. 2017]]</f>
        <v>195.42095892807527</v>
      </c>
      <c r="T213" s="397"/>
      <c r="U213" s="1886"/>
      <c r="V213" s="2129"/>
      <c r="W213" s="1890"/>
      <c r="X213" s="1772"/>
      <c r="Y213" s="1892"/>
      <c r="Z213" s="1894"/>
      <c r="AA213" s="1772"/>
      <c r="AB213" s="1911"/>
      <c r="AC213" s="1772"/>
      <c r="AD213" s="1913"/>
      <c r="AE213" s="1772"/>
      <c r="AF213" s="2138"/>
      <c r="AG213" s="2053"/>
      <c r="AH213" s="397"/>
      <c r="AI213" s="591" t="s">
        <v>429</v>
      </c>
      <c r="AJ213" s="591" t="s">
        <v>429</v>
      </c>
      <c r="AK213" s="591"/>
      <c r="AL213" s="591"/>
      <c r="AM213" s="591"/>
      <c r="AN213" s="591" t="s">
        <v>429</v>
      </c>
      <c r="AO213" s="614"/>
      <c r="AP213" s="397"/>
    </row>
    <row r="214" spans="1:42" ht="18" hidden="1" customHeight="1" x14ac:dyDescent="0.25">
      <c r="A214" s="1757"/>
      <c r="B214" s="633" t="s">
        <v>863</v>
      </c>
      <c r="C214" s="803"/>
      <c r="D214" s="803" t="s">
        <v>1118</v>
      </c>
      <c r="E214" s="1880"/>
      <c r="F214" s="616">
        <f>'exchange rates'!$O$50</f>
        <v>3.8868399999999999</v>
      </c>
      <c r="G214" s="549">
        <v>0</v>
      </c>
      <c r="H214" s="550">
        <f>356/F214</f>
        <v>91.591112574739384</v>
      </c>
      <c r="I214" s="551">
        <v>0</v>
      </c>
      <c r="J214" s="560">
        <f>32.04/F214</f>
        <v>8.2432001317265442</v>
      </c>
      <c r="K214" s="566">
        <f>Tabel668921274[[#This Row],[Fix.ch. 2017]]+Tabel668921274[[#This Row],[Var. ch. 2017]]+Tabel668921274[[#This Row],[Oth. ch. DW 2017]]+Tabel668921274[[#This Row],[VAT DW 2017]]</f>
        <v>99.834312706465923</v>
      </c>
      <c r="L214" s="567">
        <v>0</v>
      </c>
      <c r="M214" s="560">
        <v>0</v>
      </c>
      <c r="N214" s="568">
        <f>259/F214</f>
        <v>66.635107182183987</v>
      </c>
      <c r="O214" s="560">
        <f>49.21/F214</f>
        <v>12.660670364614958</v>
      </c>
      <c r="P214" s="569">
        <v>0</v>
      </c>
      <c r="Q214" s="560">
        <v>0</v>
      </c>
      <c r="R214" s="570">
        <f>Tabel668921274[[#This Row],[VAT DW 2017]]+Tabel668921274[[#This Row],[VAT Sew. 2017]]+Tabel668921274[[#This Row],[VAT WW 2017]]+Tabel668921274[[#This Row],[VAT Other ch. 2017]]</f>
        <v>20.903870496341504</v>
      </c>
      <c r="S214" s="571">
        <f>Tabel668921274[[#This Row],[Total. ch. DW 2017]]+Tabel668921274[[#This Row],[Sew. 2017]]+Tabel668921274[[#This Row],[VAT Sew. 2017]]+Tabel668921274[[#This Row],[WW 2017]]+Tabel668921274[[#This Row],[VAT WW 2017]]+Tabel668921274[[#This Row],[Other ch. 2017]]+Tabel668921274[[#This Row],[VAT Other ch. 2017]]</f>
        <v>179.13009025326485</v>
      </c>
      <c r="T214" s="397"/>
      <c r="U214" s="1886"/>
      <c r="V214" s="2129"/>
      <c r="W214" s="1890"/>
      <c r="X214" s="1772"/>
      <c r="Y214" s="1892"/>
      <c r="Z214" s="1894"/>
      <c r="AA214" s="1772"/>
      <c r="AB214" s="1911"/>
      <c r="AC214" s="1772"/>
      <c r="AD214" s="1913"/>
      <c r="AE214" s="1772"/>
      <c r="AF214" s="2138"/>
      <c r="AG214" s="2053"/>
      <c r="AH214" s="397"/>
      <c r="AI214" s="591" t="s">
        <v>429</v>
      </c>
      <c r="AJ214" s="591" t="s">
        <v>429</v>
      </c>
      <c r="AK214" s="591"/>
      <c r="AL214" s="591"/>
      <c r="AM214" s="591"/>
      <c r="AN214" s="591" t="s">
        <v>429</v>
      </c>
      <c r="AO214" s="614"/>
      <c r="AP214" s="397"/>
    </row>
    <row r="215" spans="1:42" ht="18" hidden="1" customHeight="1" x14ac:dyDescent="0.25">
      <c r="A215" s="1757"/>
      <c r="B215" s="633" t="s">
        <v>864</v>
      </c>
      <c r="C215" s="803"/>
      <c r="D215" s="803" t="s">
        <v>1118</v>
      </c>
      <c r="E215" s="1880"/>
      <c r="F215" s="616">
        <f>'exchange rates'!$O$50</f>
        <v>3.8868399999999999</v>
      </c>
      <c r="G215" s="549">
        <v>0</v>
      </c>
      <c r="H215" s="550">
        <f>356/F215</f>
        <v>91.591112574739384</v>
      </c>
      <c r="I215" s="551">
        <v>0</v>
      </c>
      <c r="J215" s="560">
        <f>32.04/F215</f>
        <v>8.2432001317265442</v>
      </c>
      <c r="K215" s="566">
        <f>Tabel668921274[[#This Row],[Fix.ch. 2017]]+Tabel668921274[[#This Row],[Var. ch. 2017]]+Tabel668921274[[#This Row],[Oth. ch. DW 2017]]+Tabel668921274[[#This Row],[VAT DW 2017]]</f>
        <v>99.834312706465923</v>
      </c>
      <c r="L215" s="567">
        <v>0</v>
      </c>
      <c r="M215" s="560">
        <v>0</v>
      </c>
      <c r="N215" s="568">
        <f>304/F215</f>
        <v>78.212635457080822</v>
      </c>
      <c r="O215" s="560">
        <f>57.76/F215</f>
        <v>14.860400736845355</v>
      </c>
      <c r="P215" s="569">
        <v>0</v>
      </c>
      <c r="Q215" s="560">
        <v>0</v>
      </c>
      <c r="R215" s="570">
        <f>Tabel668921274[[#This Row],[VAT DW 2017]]+Tabel668921274[[#This Row],[VAT Sew. 2017]]+Tabel668921274[[#This Row],[VAT WW 2017]]+Tabel668921274[[#This Row],[VAT Other ch. 2017]]</f>
        <v>23.103600868571899</v>
      </c>
      <c r="S215" s="571">
        <f>Tabel668921274[[#This Row],[Total. ch. DW 2017]]+Tabel668921274[[#This Row],[Sew. 2017]]+Tabel668921274[[#This Row],[VAT Sew. 2017]]+Tabel668921274[[#This Row],[WW 2017]]+Tabel668921274[[#This Row],[VAT WW 2017]]+Tabel668921274[[#This Row],[Other ch. 2017]]+Tabel668921274[[#This Row],[VAT Other ch. 2017]]</f>
        <v>192.90734890039209</v>
      </c>
      <c r="T215" s="397"/>
      <c r="U215" s="1886"/>
      <c r="V215" s="2129"/>
      <c r="W215" s="1890"/>
      <c r="X215" s="1772"/>
      <c r="Y215" s="1892"/>
      <c r="Z215" s="1894"/>
      <c r="AA215" s="1772"/>
      <c r="AB215" s="1911"/>
      <c r="AC215" s="1772"/>
      <c r="AD215" s="1913"/>
      <c r="AE215" s="1772"/>
      <c r="AF215" s="2138"/>
      <c r="AG215" s="2053"/>
      <c r="AH215" s="397"/>
      <c r="AI215" s="591" t="s">
        <v>429</v>
      </c>
      <c r="AJ215" s="591" t="s">
        <v>429</v>
      </c>
      <c r="AK215" s="591"/>
      <c r="AL215" s="591"/>
      <c r="AM215" s="591"/>
      <c r="AN215" s="591" t="s">
        <v>429</v>
      </c>
      <c r="AO215" s="614"/>
      <c r="AP215" s="397"/>
    </row>
    <row r="216" spans="1:42" ht="18" hidden="1" customHeight="1" x14ac:dyDescent="0.25">
      <c r="A216" s="1757"/>
      <c r="B216" s="633" t="s">
        <v>865</v>
      </c>
      <c r="C216" s="803"/>
      <c r="D216" s="803" t="s">
        <v>1118</v>
      </c>
      <c r="E216" s="1880"/>
      <c r="F216" s="616">
        <f>'exchange rates'!$O$50</f>
        <v>3.8868399999999999</v>
      </c>
      <c r="G216" s="549">
        <v>0</v>
      </c>
      <c r="H216" s="550">
        <f>347/F216</f>
        <v>89.275606919760008</v>
      </c>
      <c r="I216" s="551">
        <v>0</v>
      </c>
      <c r="J216" s="560">
        <f>31.23/F216</f>
        <v>8.0348046227784007</v>
      </c>
      <c r="K216" s="566">
        <f>Tabel668921274[[#This Row],[Fix.ch. 2017]]+Tabel668921274[[#This Row],[Var. ch. 2017]]+Tabel668921274[[#This Row],[Oth. ch. DW 2017]]+Tabel668921274[[#This Row],[VAT DW 2017]]</f>
        <v>97.310411542538404</v>
      </c>
      <c r="L216" s="567">
        <v>0</v>
      </c>
      <c r="M216" s="560">
        <v>0</v>
      </c>
      <c r="N216" s="568">
        <f>257/F216</f>
        <v>66.120550369966352</v>
      </c>
      <c r="O216" s="560">
        <f>48.83/F216</f>
        <v>12.562904570293606</v>
      </c>
      <c r="P216" s="569">
        <v>0</v>
      </c>
      <c r="Q216" s="560">
        <v>0</v>
      </c>
      <c r="R216" s="570">
        <f>Tabel668921274[[#This Row],[VAT DW 2017]]+Tabel668921274[[#This Row],[VAT Sew. 2017]]+Tabel668921274[[#This Row],[VAT WW 2017]]+Tabel668921274[[#This Row],[VAT Other ch. 2017]]</f>
        <v>20.597709193072006</v>
      </c>
      <c r="S216" s="571">
        <f>Tabel668921274[[#This Row],[Total. ch. DW 2017]]+Tabel668921274[[#This Row],[Sew. 2017]]+Tabel668921274[[#This Row],[VAT Sew. 2017]]+Tabel668921274[[#This Row],[WW 2017]]+Tabel668921274[[#This Row],[VAT WW 2017]]+Tabel668921274[[#This Row],[Other ch. 2017]]+Tabel668921274[[#This Row],[VAT Other ch. 2017]]</f>
        <v>175.99386648279835</v>
      </c>
      <c r="T216" s="397"/>
      <c r="U216" s="1886"/>
      <c r="V216" s="2129"/>
      <c r="W216" s="1890"/>
      <c r="X216" s="1772"/>
      <c r="Y216" s="1892"/>
      <c r="Z216" s="1894"/>
      <c r="AA216" s="1772"/>
      <c r="AB216" s="1911"/>
      <c r="AC216" s="1772"/>
      <c r="AD216" s="1913"/>
      <c r="AE216" s="1772"/>
      <c r="AF216" s="2138"/>
      <c r="AG216" s="2053"/>
      <c r="AH216" s="397"/>
      <c r="AI216" s="591" t="s">
        <v>429</v>
      </c>
      <c r="AJ216" s="591" t="s">
        <v>429</v>
      </c>
      <c r="AK216" s="591"/>
      <c r="AL216" s="591"/>
      <c r="AM216" s="591"/>
      <c r="AN216" s="591" t="s">
        <v>429</v>
      </c>
      <c r="AO216" s="614"/>
      <c r="AP216" s="397"/>
    </row>
    <row r="217" spans="1:42" ht="18" hidden="1" customHeight="1" x14ac:dyDescent="0.25">
      <c r="A217" s="1757"/>
      <c r="B217" s="633" t="s">
        <v>866</v>
      </c>
      <c r="C217" s="803"/>
      <c r="D217" s="803" t="s">
        <v>1118</v>
      </c>
      <c r="E217" s="1880"/>
      <c r="F217" s="616">
        <f>'exchange rates'!$O$50</f>
        <v>3.8868399999999999</v>
      </c>
      <c r="G217" s="549">
        <v>0</v>
      </c>
      <c r="H217" s="550">
        <f>407/F217</f>
        <v>104.71231128628912</v>
      </c>
      <c r="I217" s="551">
        <v>0</v>
      </c>
      <c r="J217" s="560">
        <f>36.63/F217</f>
        <v>9.4241080157660218</v>
      </c>
      <c r="K217" s="566">
        <f>Tabel668921274[[#This Row],[Fix.ch. 2017]]+Tabel668921274[[#This Row],[Var. ch. 2017]]+Tabel668921274[[#This Row],[Oth. ch. DW 2017]]+Tabel668921274[[#This Row],[VAT DW 2017]]</f>
        <v>114.13641930205515</v>
      </c>
      <c r="L217" s="567">
        <v>0</v>
      </c>
      <c r="M217" s="560">
        <v>0</v>
      </c>
      <c r="N217" s="568">
        <f>226/F217</f>
        <v>58.144919780592978</v>
      </c>
      <c r="O217" s="560">
        <f>42.94/F217</f>
        <v>11.047534758312665</v>
      </c>
      <c r="P217" s="569">
        <v>0</v>
      </c>
      <c r="Q217" s="560">
        <v>0</v>
      </c>
      <c r="R217" s="570">
        <f>Tabel668921274[[#This Row],[VAT DW 2017]]+Tabel668921274[[#This Row],[VAT Sew. 2017]]+Tabel668921274[[#This Row],[VAT WW 2017]]+Tabel668921274[[#This Row],[VAT Other ch. 2017]]</f>
        <v>20.471642774078688</v>
      </c>
      <c r="S217" s="571">
        <f>Tabel668921274[[#This Row],[Total. ch. DW 2017]]+Tabel668921274[[#This Row],[Sew. 2017]]+Tabel668921274[[#This Row],[VAT Sew. 2017]]+Tabel668921274[[#This Row],[WW 2017]]+Tabel668921274[[#This Row],[VAT WW 2017]]+Tabel668921274[[#This Row],[Other ch. 2017]]+Tabel668921274[[#This Row],[VAT Other ch. 2017]]</f>
        <v>183.3288738409608</v>
      </c>
      <c r="T217" s="397"/>
      <c r="U217" s="1886"/>
      <c r="V217" s="2129"/>
      <c r="W217" s="1890"/>
      <c r="X217" s="1772"/>
      <c r="Y217" s="1892"/>
      <c r="Z217" s="1894"/>
      <c r="AA217" s="1772"/>
      <c r="AB217" s="1911"/>
      <c r="AC217" s="1772"/>
      <c r="AD217" s="1913"/>
      <c r="AE217" s="1772"/>
      <c r="AF217" s="2138"/>
      <c r="AG217" s="2053"/>
      <c r="AH217" s="397"/>
      <c r="AI217" s="591" t="s">
        <v>429</v>
      </c>
      <c r="AJ217" s="591" t="s">
        <v>429</v>
      </c>
      <c r="AK217" s="591"/>
      <c r="AL217" s="591"/>
      <c r="AM217" s="591"/>
      <c r="AN217" s="591" t="s">
        <v>429</v>
      </c>
      <c r="AO217" s="614"/>
      <c r="AP217" s="397"/>
    </row>
    <row r="218" spans="1:42" ht="18" hidden="1" customHeight="1" x14ac:dyDescent="0.25">
      <c r="A218" s="1757"/>
      <c r="B218" s="633" t="s">
        <v>867</v>
      </c>
      <c r="C218" s="803"/>
      <c r="D218" s="803" t="s">
        <v>1118</v>
      </c>
      <c r="E218" s="1880"/>
      <c r="F218" s="616">
        <f>'exchange rates'!$O$50</f>
        <v>3.8868399999999999</v>
      </c>
      <c r="G218" s="549">
        <v>0</v>
      </c>
      <c r="H218" s="550">
        <f>316/F218</f>
        <v>81.299976330386642</v>
      </c>
      <c r="I218" s="551">
        <v>0</v>
      </c>
      <c r="J218" s="560">
        <f>28.44/F218</f>
        <v>7.3169978697347977</v>
      </c>
      <c r="K218" s="566">
        <f>Tabel668921274[[#This Row],[Fix.ch. 2017]]+Tabel668921274[[#This Row],[Var. ch. 2017]]+Tabel668921274[[#This Row],[Oth. ch. DW 2017]]+Tabel668921274[[#This Row],[VAT DW 2017]]</f>
        <v>88.616974200121433</v>
      </c>
      <c r="L218" s="567">
        <v>0</v>
      </c>
      <c r="M218" s="560">
        <v>0</v>
      </c>
      <c r="N218" s="568">
        <f>309/F218</f>
        <v>79.499027487624915</v>
      </c>
      <c r="O218" s="560">
        <f>58.71/F218</f>
        <v>15.104815222648734</v>
      </c>
      <c r="P218" s="569">
        <v>0</v>
      </c>
      <c r="Q218" s="560">
        <v>0</v>
      </c>
      <c r="R218" s="570">
        <f>Tabel668921274[[#This Row],[VAT DW 2017]]+Tabel668921274[[#This Row],[VAT Sew. 2017]]+Tabel668921274[[#This Row],[VAT WW 2017]]+Tabel668921274[[#This Row],[VAT Other ch. 2017]]</f>
        <v>22.42181309238353</v>
      </c>
      <c r="S218" s="571">
        <f>Tabel668921274[[#This Row],[Total. ch. DW 2017]]+Tabel668921274[[#This Row],[Sew. 2017]]+Tabel668921274[[#This Row],[VAT Sew. 2017]]+Tabel668921274[[#This Row],[WW 2017]]+Tabel668921274[[#This Row],[VAT WW 2017]]+Tabel668921274[[#This Row],[Other ch. 2017]]+Tabel668921274[[#This Row],[VAT Other ch. 2017]]</f>
        <v>183.22081691039509</v>
      </c>
      <c r="T218" s="397"/>
      <c r="U218" s="1886"/>
      <c r="V218" s="2129"/>
      <c r="W218" s="1890"/>
      <c r="X218" s="1772"/>
      <c r="Y218" s="1892"/>
      <c r="Z218" s="1894"/>
      <c r="AA218" s="1772"/>
      <c r="AB218" s="1911"/>
      <c r="AC218" s="1772"/>
      <c r="AD218" s="1913"/>
      <c r="AE218" s="1772"/>
      <c r="AF218" s="2138"/>
      <c r="AG218" s="2053"/>
      <c r="AH218" s="397"/>
      <c r="AI218" s="591" t="s">
        <v>429</v>
      </c>
      <c r="AJ218" s="591" t="s">
        <v>429</v>
      </c>
      <c r="AK218" s="591"/>
      <c r="AL218" s="591"/>
      <c r="AM218" s="591"/>
      <c r="AN218" s="591" t="s">
        <v>429</v>
      </c>
      <c r="AO218" s="614"/>
      <c r="AP218" s="397"/>
    </row>
    <row r="219" spans="1:42" ht="18" hidden="1" customHeight="1" x14ac:dyDescent="0.25">
      <c r="A219" s="1757"/>
      <c r="B219" s="633" t="s">
        <v>868</v>
      </c>
      <c r="C219" s="803"/>
      <c r="D219" s="803" t="s">
        <v>1118</v>
      </c>
      <c r="E219" s="1880"/>
      <c r="F219" s="616">
        <f>'exchange rates'!$O$50</f>
        <v>3.8868399999999999</v>
      </c>
      <c r="G219" s="549">
        <v>0</v>
      </c>
      <c r="H219" s="550">
        <f>321/F219</f>
        <v>82.586368360930734</v>
      </c>
      <c r="I219" s="551">
        <v>0</v>
      </c>
      <c r="J219" s="560">
        <f>28.89/F219</f>
        <v>7.4327731524837661</v>
      </c>
      <c r="K219" s="566">
        <f>Tabel668921274[[#This Row],[Fix.ch. 2017]]+Tabel668921274[[#This Row],[Var. ch. 2017]]+Tabel668921274[[#This Row],[Oth. ch. DW 2017]]+Tabel668921274[[#This Row],[VAT DW 2017]]</f>
        <v>90.019141513414496</v>
      </c>
      <c r="L219" s="567">
        <v>0</v>
      </c>
      <c r="M219" s="560">
        <v>0</v>
      </c>
      <c r="N219" s="568">
        <f>213/F219</f>
        <v>54.800300501178334</v>
      </c>
      <c r="O219" s="560">
        <f>40.47/F219</f>
        <v>10.412057095223883</v>
      </c>
      <c r="P219" s="569">
        <v>0</v>
      </c>
      <c r="Q219" s="560">
        <v>0</v>
      </c>
      <c r="R219" s="570">
        <f>Tabel668921274[[#This Row],[VAT DW 2017]]+Tabel668921274[[#This Row],[VAT Sew. 2017]]+Tabel668921274[[#This Row],[VAT WW 2017]]+Tabel668921274[[#This Row],[VAT Other ch. 2017]]</f>
        <v>17.844830247707648</v>
      </c>
      <c r="S219" s="571">
        <f>Tabel668921274[[#This Row],[Total. ch. DW 2017]]+Tabel668921274[[#This Row],[Sew. 2017]]+Tabel668921274[[#This Row],[VAT Sew. 2017]]+Tabel668921274[[#This Row],[WW 2017]]+Tabel668921274[[#This Row],[VAT WW 2017]]+Tabel668921274[[#This Row],[Other ch. 2017]]+Tabel668921274[[#This Row],[VAT Other ch. 2017]]</f>
        <v>155.2314991098167</v>
      </c>
      <c r="T219" s="397"/>
      <c r="U219" s="1886"/>
      <c r="V219" s="2129"/>
      <c r="W219" s="1890"/>
      <c r="X219" s="1772"/>
      <c r="Y219" s="1892"/>
      <c r="Z219" s="1894"/>
      <c r="AA219" s="1772"/>
      <c r="AB219" s="1911"/>
      <c r="AC219" s="1772"/>
      <c r="AD219" s="1913"/>
      <c r="AE219" s="1772"/>
      <c r="AF219" s="2138"/>
      <c r="AG219" s="2053"/>
      <c r="AH219" s="397"/>
      <c r="AI219" s="591" t="s">
        <v>429</v>
      </c>
      <c r="AJ219" s="591" t="s">
        <v>429</v>
      </c>
      <c r="AK219" s="591"/>
      <c r="AL219" s="591"/>
      <c r="AM219" s="591"/>
      <c r="AN219" s="591" t="s">
        <v>429</v>
      </c>
      <c r="AO219" s="614"/>
      <c r="AP219" s="397"/>
    </row>
    <row r="220" spans="1:42" ht="18" hidden="1" customHeight="1" x14ac:dyDescent="0.25">
      <c r="A220" s="1757"/>
      <c r="B220" s="633" t="s">
        <v>870</v>
      </c>
      <c r="C220" s="803"/>
      <c r="D220" s="803" t="s">
        <v>1118</v>
      </c>
      <c r="E220" s="1880"/>
      <c r="F220" s="616">
        <f>'exchange rates'!$O$50</f>
        <v>3.8868399999999999</v>
      </c>
      <c r="G220" s="549">
        <v>0</v>
      </c>
      <c r="H220" s="550">
        <f>422/F220</f>
        <v>108.5714873779214</v>
      </c>
      <c r="I220" s="551">
        <v>0</v>
      </c>
      <c r="J220" s="560">
        <f>37.98/F220</f>
        <v>9.7714338640129252</v>
      </c>
      <c r="K220" s="566">
        <f>Tabel668921274[[#This Row],[Fix.ch. 2017]]+Tabel668921274[[#This Row],[Var. ch. 2017]]+Tabel668921274[[#This Row],[Oth. ch. DW 2017]]+Tabel668921274[[#This Row],[VAT DW 2017]]</f>
        <v>118.34292124193432</v>
      </c>
      <c r="L220" s="567">
        <v>0</v>
      </c>
      <c r="M220" s="560">
        <v>0</v>
      </c>
      <c r="N220" s="568">
        <f>218/F220</f>
        <v>56.086692531722427</v>
      </c>
      <c r="O220" s="560">
        <f>41.42/F220</f>
        <v>10.656471581027262</v>
      </c>
      <c r="P220" s="569">
        <v>0</v>
      </c>
      <c r="Q220" s="560">
        <v>0</v>
      </c>
      <c r="R220" s="570">
        <f>Tabel668921274[[#This Row],[VAT DW 2017]]+Tabel668921274[[#This Row],[VAT Sew. 2017]]+Tabel668921274[[#This Row],[VAT WW 2017]]+Tabel668921274[[#This Row],[VAT Other ch. 2017]]</f>
        <v>20.427905445040189</v>
      </c>
      <c r="S220" s="571">
        <f>Tabel668921274[[#This Row],[Total. ch. DW 2017]]+Tabel668921274[[#This Row],[Sew. 2017]]+Tabel668921274[[#This Row],[VAT Sew. 2017]]+Tabel668921274[[#This Row],[WW 2017]]+Tabel668921274[[#This Row],[VAT WW 2017]]+Tabel668921274[[#This Row],[Other ch. 2017]]+Tabel668921274[[#This Row],[VAT Other ch. 2017]]</f>
        <v>185.086085354684</v>
      </c>
      <c r="T220" s="397"/>
      <c r="U220" s="1886"/>
      <c r="V220" s="2129"/>
      <c r="W220" s="1890"/>
      <c r="X220" s="1772"/>
      <c r="Y220" s="1892"/>
      <c r="Z220" s="1894"/>
      <c r="AA220" s="1772"/>
      <c r="AB220" s="1911"/>
      <c r="AC220" s="1772"/>
      <c r="AD220" s="1913"/>
      <c r="AE220" s="1772"/>
      <c r="AF220" s="2138"/>
      <c r="AG220" s="2053"/>
      <c r="AH220" s="397"/>
      <c r="AI220" s="591" t="s">
        <v>429</v>
      </c>
      <c r="AJ220" s="591" t="s">
        <v>429</v>
      </c>
      <c r="AK220" s="591"/>
      <c r="AL220" s="591"/>
      <c r="AM220" s="591"/>
      <c r="AN220" s="591" t="s">
        <v>429</v>
      </c>
      <c r="AO220" s="614"/>
      <c r="AP220" s="397"/>
    </row>
    <row r="221" spans="1:42" ht="18" hidden="1" customHeight="1" x14ac:dyDescent="0.25">
      <c r="A221" s="1757"/>
      <c r="B221" s="633" t="s">
        <v>871</v>
      </c>
      <c r="C221" s="803"/>
      <c r="D221" s="803" t="s">
        <v>1118</v>
      </c>
      <c r="E221" s="1880"/>
      <c r="F221" s="616">
        <f>'exchange rates'!$O$50</f>
        <v>3.8868399999999999</v>
      </c>
      <c r="G221" s="549">
        <v>0</v>
      </c>
      <c r="H221" s="550">
        <f>369/F221</f>
        <v>94.935731854154014</v>
      </c>
      <c r="I221" s="551">
        <v>0</v>
      </c>
      <c r="J221" s="560">
        <f>33.21/F221</f>
        <v>8.5442158668738628</v>
      </c>
      <c r="K221" s="566">
        <f>Tabel668921274[[#This Row],[Fix.ch. 2017]]+Tabel668921274[[#This Row],[Var. ch. 2017]]+Tabel668921274[[#This Row],[Oth. ch. DW 2017]]+Tabel668921274[[#This Row],[VAT DW 2017]]</f>
        <v>103.47994772102788</v>
      </c>
      <c r="L221" s="567">
        <v>0</v>
      </c>
      <c r="M221" s="560">
        <v>0</v>
      </c>
      <c r="N221" s="568">
        <f>203/F221</f>
        <v>52.227516440090149</v>
      </c>
      <c r="O221" s="560">
        <f>38.57/F221</f>
        <v>9.9232281236171289</v>
      </c>
      <c r="P221" s="569">
        <v>0</v>
      </c>
      <c r="Q221" s="560">
        <v>0</v>
      </c>
      <c r="R221" s="570">
        <f>Tabel668921274[[#This Row],[VAT DW 2017]]+Tabel668921274[[#This Row],[VAT Sew. 2017]]+Tabel668921274[[#This Row],[VAT WW 2017]]+Tabel668921274[[#This Row],[VAT Other ch. 2017]]</f>
        <v>18.467443990490992</v>
      </c>
      <c r="S221" s="571">
        <f>Tabel668921274[[#This Row],[Total. ch. DW 2017]]+Tabel668921274[[#This Row],[Sew. 2017]]+Tabel668921274[[#This Row],[VAT Sew. 2017]]+Tabel668921274[[#This Row],[WW 2017]]+Tabel668921274[[#This Row],[VAT WW 2017]]+Tabel668921274[[#This Row],[Other ch. 2017]]+Tabel668921274[[#This Row],[VAT Other ch. 2017]]</f>
        <v>165.63069228473515</v>
      </c>
      <c r="T221" s="397"/>
      <c r="U221" s="1886"/>
      <c r="V221" s="2129"/>
      <c r="W221" s="1890"/>
      <c r="X221" s="1772"/>
      <c r="Y221" s="1892"/>
      <c r="Z221" s="1894"/>
      <c r="AA221" s="1772"/>
      <c r="AB221" s="1911"/>
      <c r="AC221" s="1772"/>
      <c r="AD221" s="1913"/>
      <c r="AE221" s="1772"/>
      <c r="AF221" s="2138"/>
      <c r="AG221" s="2053"/>
      <c r="AH221" s="397"/>
      <c r="AI221" s="591" t="s">
        <v>429</v>
      </c>
      <c r="AJ221" s="591" t="s">
        <v>429</v>
      </c>
      <c r="AK221" s="591"/>
      <c r="AL221" s="591"/>
      <c r="AM221" s="591"/>
      <c r="AN221" s="591" t="s">
        <v>429</v>
      </c>
      <c r="AO221" s="614"/>
      <c r="AP221" s="397"/>
    </row>
    <row r="222" spans="1:42" ht="18" hidden="1" customHeight="1" x14ac:dyDescent="0.25">
      <c r="A222" s="1757"/>
      <c r="B222" s="633" t="s">
        <v>872</v>
      </c>
      <c r="C222" s="803"/>
      <c r="D222" s="803" t="s">
        <v>1118</v>
      </c>
      <c r="E222" s="1880"/>
      <c r="F222" s="616">
        <f>'exchange rates'!$O$50</f>
        <v>3.8868399999999999</v>
      </c>
      <c r="G222" s="549">
        <v>0</v>
      </c>
      <c r="H222" s="550">
        <f>403/F222</f>
        <v>103.68319766185385</v>
      </c>
      <c r="I222" s="551">
        <v>0</v>
      </c>
      <c r="J222" s="560">
        <f>36.27/F222</f>
        <v>9.3314877895668467</v>
      </c>
      <c r="K222" s="566">
        <f>Tabel668921274[[#This Row],[Fix.ch. 2017]]+Tabel668921274[[#This Row],[Var. ch. 2017]]+Tabel668921274[[#This Row],[Oth. ch. DW 2017]]+Tabel668921274[[#This Row],[VAT DW 2017]]</f>
        <v>113.0146854514207</v>
      </c>
      <c r="L222" s="567">
        <v>0</v>
      </c>
      <c r="M222" s="560">
        <v>0</v>
      </c>
      <c r="N222" s="568">
        <f>223/F222</f>
        <v>57.37308456226652</v>
      </c>
      <c r="O222" s="560">
        <f>42.37/F222</f>
        <v>10.900886066830639</v>
      </c>
      <c r="P222" s="569">
        <v>0</v>
      </c>
      <c r="Q222" s="560">
        <v>0</v>
      </c>
      <c r="R222" s="570">
        <f>Tabel668921274[[#This Row],[VAT DW 2017]]+Tabel668921274[[#This Row],[VAT Sew. 2017]]+Tabel668921274[[#This Row],[VAT WW 2017]]+Tabel668921274[[#This Row],[VAT Other ch. 2017]]</f>
        <v>20.232373856397487</v>
      </c>
      <c r="S222" s="571">
        <f>Tabel668921274[[#This Row],[Total. ch. DW 2017]]+Tabel668921274[[#This Row],[Sew. 2017]]+Tabel668921274[[#This Row],[VAT Sew. 2017]]+Tabel668921274[[#This Row],[WW 2017]]+Tabel668921274[[#This Row],[VAT WW 2017]]+Tabel668921274[[#This Row],[Other ch. 2017]]+Tabel668921274[[#This Row],[VAT Other ch. 2017]]</f>
        <v>181.28865608051788</v>
      </c>
      <c r="T222" s="397"/>
      <c r="U222" s="1886"/>
      <c r="V222" s="2129"/>
      <c r="W222" s="1890"/>
      <c r="X222" s="1772"/>
      <c r="Y222" s="1892"/>
      <c r="Z222" s="1894"/>
      <c r="AA222" s="1772"/>
      <c r="AB222" s="1911"/>
      <c r="AC222" s="1772"/>
      <c r="AD222" s="1913"/>
      <c r="AE222" s="1772"/>
      <c r="AF222" s="2138"/>
      <c r="AG222" s="2053"/>
      <c r="AH222" s="397"/>
      <c r="AI222" s="591" t="s">
        <v>429</v>
      </c>
      <c r="AJ222" s="591" t="s">
        <v>429</v>
      </c>
      <c r="AK222" s="591"/>
      <c r="AL222" s="591"/>
      <c r="AM222" s="591"/>
      <c r="AN222" s="591" t="s">
        <v>429</v>
      </c>
      <c r="AO222" s="614"/>
      <c r="AP222" s="397"/>
    </row>
    <row r="223" spans="1:42" ht="18" hidden="1" customHeight="1" x14ac:dyDescent="0.25">
      <c r="A223" s="1757"/>
      <c r="B223" s="633" t="s">
        <v>874</v>
      </c>
      <c r="C223" s="803"/>
      <c r="D223" s="803" t="s">
        <v>1118</v>
      </c>
      <c r="E223" s="1880"/>
      <c r="F223" s="616">
        <f>'exchange rates'!$O$50</f>
        <v>3.8868399999999999</v>
      </c>
      <c r="G223" s="549">
        <v>0</v>
      </c>
      <c r="H223" s="550">
        <f>381/F223</f>
        <v>98.023072727459848</v>
      </c>
      <c r="I223" s="551">
        <v>0</v>
      </c>
      <c r="J223" s="560">
        <f>34.29/F223</f>
        <v>8.8220765454713863</v>
      </c>
      <c r="K223" s="566">
        <f>Tabel668921274[[#This Row],[Fix.ch. 2017]]+Tabel668921274[[#This Row],[Var. ch. 2017]]+Tabel668921274[[#This Row],[Oth. ch. DW 2017]]+Tabel668921274[[#This Row],[VAT DW 2017]]</f>
        <v>106.84514927293124</v>
      </c>
      <c r="L223" s="567">
        <v>0</v>
      </c>
      <c r="M223" s="560">
        <v>0</v>
      </c>
      <c r="N223" s="568">
        <f>359/F223</f>
        <v>92.362947793065842</v>
      </c>
      <c r="O223" s="560">
        <f>68.21/F223</f>
        <v>17.548960080682509</v>
      </c>
      <c r="P223" s="569">
        <v>0</v>
      </c>
      <c r="Q223" s="560">
        <v>0</v>
      </c>
      <c r="R223" s="570">
        <f>Tabel668921274[[#This Row],[VAT DW 2017]]+Tabel668921274[[#This Row],[VAT Sew. 2017]]+Tabel668921274[[#This Row],[VAT WW 2017]]+Tabel668921274[[#This Row],[VAT Other ch. 2017]]</f>
        <v>26.371036626153895</v>
      </c>
      <c r="S223" s="571">
        <f>Tabel668921274[[#This Row],[Total. ch. DW 2017]]+Tabel668921274[[#This Row],[Sew. 2017]]+Tabel668921274[[#This Row],[VAT Sew. 2017]]+Tabel668921274[[#This Row],[WW 2017]]+Tabel668921274[[#This Row],[VAT WW 2017]]+Tabel668921274[[#This Row],[Other ch. 2017]]+Tabel668921274[[#This Row],[VAT Other ch. 2017]]</f>
        <v>216.75705714667961</v>
      </c>
      <c r="T223" s="397"/>
      <c r="U223" s="1886"/>
      <c r="V223" s="2129"/>
      <c r="W223" s="1890"/>
      <c r="X223" s="1772"/>
      <c r="Y223" s="1892"/>
      <c r="Z223" s="1894"/>
      <c r="AA223" s="1772"/>
      <c r="AB223" s="1911"/>
      <c r="AC223" s="1772"/>
      <c r="AD223" s="1913"/>
      <c r="AE223" s="1772"/>
      <c r="AF223" s="2138"/>
      <c r="AG223" s="2053"/>
      <c r="AH223" s="397"/>
      <c r="AI223" s="591" t="s">
        <v>429</v>
      </c>
      <c r="AJ223" s="591" t="s">
        <v>429</v>
      </c>
      <c r="AK223" s="591"/>
      <c r="AL223" s="591"/>
      <c r="AM223" s="591"/>
      <c r="AN223" s="591" t="s">
        <v>429</v>
      </c>
      <c r="AO223" s="614"/>
      <c r="AP223" s="397"/>
    </row>
    <row r="224" spans="1:42" ht="18.600000000000001" hidden="1" customHeight="1" thickBot="1" x14ac:dyDescent="0.3">
      <c r="A224" s="1757"/>
      <c r="B224" s="648" t="s">
        <v>598</v>
      </c>
      <c r="C224" s="803"/>
      <c r="D224" s="803" t="s">
        <v>1118</v>
      </c>
      <c r="E224" s="1880"/>
      <c r="F224" s="616">
        <f>'exchange rates'!$O$50</f>
        <v>3.8868399999999999</v>
      </c>
      <c r="G224" s="549">
        <v>0</v>
      </c>
      <c r="H224" s="550">
        <f>367/F224</f>
        <v>94.42117504193638</v>
      </c>
      <c r="I224" s="551">
        <v>0</v>
      </c>
      <c r="J224" s="560">
        <f>33.03/F224</f>
        <v>8.4979057537742744</v>
      </c>
      <c r="K224" s="566">
        <f>Tabel668921274[[#This Row],[Fix.ch. 2017]]+Tabel668921274[[#This Row],[Var. ch. 2017]]+Tabel668921274[[#This Row],[Oth. ch. DW 2017]]+Tabel668921274[[#This Row],[VAT DW 2017]]</f>
        <v>102.91908079571066</v>
      </c>
      <c r="L224" s="567">
        <v>0</v>
      </c>
      <c r="M224" s="560">
        <v>0</v>
      </c>
      <c r="N224" s="568">
        <f>379/F224</f>
        <v>97.508515915242199</v>
      </c>
      <c r="O224" s="560">
        <f>72.01/F224</f>
        <v>18.52661802389602</v>
      </c>
      <c r="P224" s="569">
        <v>0</v>
      </c>
      <c r="Q224" s="560">
        <v>0</v>
      </c>
      <c r="R224" s="570">
        <f>Tabel668921274[[#This Row],[VAT DW 2017]]+Tabel668921274[[#This Row],[VAT Sew. 2017]]+Tabel668921274[[#This Row],[VAT WW 2017]]+Tabel668921274[[#This Row],[VAT Other ch. 2017]]</f>
        <v>27.024523777670296</v>
      </c>
      <c r="S224" s="571">
        <f>Tabel668921274[[#This Row],[Total. ch. DW 2017]]+Tabel668921274[[#This Row],[Sew. 2017]]+Tabel668921274[[#This Row],[VAT Sew. 2017]]+Tabel668921274[[#This Row],[WW 2017]]+Tabel668921274[[#This Row],[VAT WW 2017]]+Tabel668921274[[#This Row],[Other ch. 2017]]+Tabel668921274[[#This Row],[VAT Other ch. 2017]]</f>
        <v>218.95421473484888</v>
      </c>
      <c r="T224" s="397"/>
      <c r="U224" s="1886"/>
      <c r="V224" s="2130"/>
      <c r="W224" s="1890"/>
      <c r="X224" s="1783"/>
      <c r="Y224" s="1892"/>
      <c r="Z224" s="1894"/>
      <c r="AA224" s="1783"/>
      <c r="AB224" s="1911"/>
      <c r="AC224" s="1783"/>
      <c r="AD224" s="1913"/>
      <c r="AE224" s="1783"/>
      <c r="AF224" s="2138"/>
      <c r="AG224" s="2053"/>
      <c r="AH224" s="397"/>
      <c r="AI224" s="591" t="s">
        <v>429</v>
      </c>
      <c r="AJ224" s="591" t="s">
        <v>429</v>
      </c>
      <c r="AK224" s="591"/>
      <c r="AL224" s="591"/>
      <c r="AM224" s="591"/>
      <c r="AN224" s="591" t="s">
        <v>429</v>
      </c>
      <c r="AO224" s="614"/>
      <c r="AP224" s="397"/>
    </row>
    <row r="225" spans="1:42" ht="18.600000000000001" hidden="1" customHeight="1" x14ac:dyDescent="0.25">
      <c r="A225" s="2337" t="s">
        <v>693</v>
      </c>
      <c r="B225" s="653" t="s">
        <v>887</v>
      </c>
      <c r="C225" s="653" t="s">
        <v>429</v>
      </c>
      <c r="D225" s="653" t="s">
        <v>1120</v>
      </c>
      <c r="E225" s="2166">
        <v>27900</v>
      </c>
      <c r="F225" s="616">
        <f>'exchange rates'!$O$51</f>
        <v>57.611829999999998</v>
      </c>
      <c r="G225" s="549">
        <v>0</v>
      </c>
      <c r="H225" s="550">
        <f>3074/F225</f>
        <v>53.357096971229694</v>
      </c>
      <c r="I225" s="551">
        <v>0</v>
      </c>
      <c r="J225" s="560">
        <v>0</v>
      </c>
      <c r="K225" s="566">
        <f>Tabel668921274[[#This Row],[Fix.ch. 2017]]+Tabel668921274[[#This Row],[Var. ch. 2017]]+Tabel668921274[[#This Row],[Oth. ch. DW 2017]]+Tabel668921274[[#This Row],[VAT DW 2017]]</f>
        <v>53.357096971229694</v>
      </c>
      <c r="L225" s="567">
        <f>2204/F225</f>
        <v>38.256031790692987</v>
      </c>
      <c r="M225" s="560">
        <v>0</v>
      </c>
      <c r="N225" s="568">
        <v>0</v>
      </c>
      <c r="O225" s="560">
        <v>0</v>
      </c>
      <c r="P225" s="569">
        <v>0</v>
      </c>
      <c r="Q225" s="560">
        <v>0</v>
      </c>
      <c r="R225" s="570">
        <f>Tabel668921274[[#This Row],[VAT DW 2017]]+Tabel668921274[[#This Row],[VAT Sew. 2017]]+Tabel668921274[[#This Row],[VAT WW 2017]]+Tabel668921274[[#This Row],[VAT Other ch. 2017]]</f>
        <v>0</v>
      </c>
      <c r="S225" s="571">
        <f>Tabel668921274[[#This Row],[Total. ch. DW 2017]]+Tabel668921274[[#This Row],[Sew. 2017]]+Tabel668921274[[#This Row],[VAT Sew. 2017]]+Tabel668921274[[#This Row],[WW 2017]]+Tabel668921274[[#This Row],[VAT WW 2017]]+Tabel668921274[[#This Row],[Other ch. 2017]]+Tabel668921274[[#This Row],[VAT Other ch. 2017]]</f>
        <v>91.613128761922681</v>
      </c>
      <c r="T225" s="397"/>
      <c r="U225" s="1762">
        <f>G226</f>
        <v>0</v>
      </c>
      <c r="V225" s="2271">
        <f>H226</f>
        <v>48.288693485348411</v>
      </c>
      <c r="W225" s="1768">
        <f>I226</f>
        <v>2.0134753574048943</v>
      </c>
      <c r="X225" s="1771">
        <f>J226</f>
        <v>0</v>
      </c>
      <c r="Y225" s="1774">
        <f>SUM(U225:X226)</f>
        <v>50.302168842753304</v>
      </c>
      <c r="Z225" s="1777">
        <f t="shared" ref="Z225:AF225" si="34">L226</f>
        <v>42.19619477458015</v>
      </c>
      <c r="AA225" s="1771">
        <f t="shared" si="34"/>
        <v>0</v>
      </c>
      <c r="AB225" s="1810">
        <f t="shared" si="34"/>
        <v>0</v>
      </c>
      <c r="AC225" s="1771">
        <f t="shared" si="34"/>
        <v>0</v>
      </c>
      <c r="AD225" s="1812">
        <f t="shared" si="34"/>
        <v>2.1870508192501439</v>
      </c>
      <c r="AE225" s="1771">
        <f t="shared" si="34"/>
        <v>0</v>
      </c>
      <c r="AF225" s="1814">
        <f t="shared" si="34"/>
        <v>0</v>
      </c>
      <c r="AG225" s="2260">
        <f>Y225+Z225+AA225+AB225+AC225+AD225+AE225</f>
        <v>94.685414436583599</v>
      </c>
      <c r="AH225" s="397"/>
      <c r="AI225" s="591"/>
      <c r="AJ225" s="591"/>
      <c r="AK225" s="591"/>
      <c r="AL225" s="591"/>
      <c r="AM225" s="591"/>
      <c r="AN225" s="591"/>
      <c r="AO225" s="614"/>
      <c r="AP225" s="397"/>
    </row>
    <row r="226" spans="1:42" ht="16.5" hidden="1" thickBot="1" x14ac:dyDescent="0.3">
      <c r="A226" s="1758"/>
      <c r="B226" s="652" t="s">
        <v>694</v>
      </c>
      <c r="C226" s="651"/>
      <c r="D226" s="823" t="s">
        <v>1120</v>
      </c>
      <c r="E226" s="1761"/>
      <c r="F226" s="616">
        <f>'exchange rates'!$O$51</f>
        <v>57.611829999999998</v>
      </c>
      <c r="G226" s="549">
        <v>0</v>
      </c>
      <c r="H226" s="550">
        <f>2782/F226</f>
        <v>48.288693485348411</v>
      </c>
      <c r="I226" s="551">
        <f>116/F226</f>
        <v>2.0134753574048943</v>
      </c>
      <c r="J226" s="560">
        <v>0</v>
      </c>
      <c r="K226" s="566">
        <f>Tabel668921274[[#This Row],[Fix.ch. 2017]]+Tabel668921274[[#This Row],[Var. ch. 2017]]+Tabel668921274[[#This Row],[Oth. ch. DW 2017]]+Tabel668921274[[#This Row],[VAT DW 2017]]</f>
        <v>50.302168842753304</v>
      </c>
      <c r="L226" s="567">
        <f>2431/F226</f>
        <v>42.19619477458015</v>
      </c>
      <c r="M226" s="560">
        <v>0</v>
      </c>
      <c r="N226" s="568">
        <f>0</f>
        <v>0</v>
      </c>
      <c r="O226" s="560">
        <v>0</v>
      </c>
      <c r="P226" s="569">
        <f>126/F226</f>
        <v>2.1870508192501439</v>
      </c>
      <c r="Q226" s="560">
        <v>0</v>
      </c>
      <c r="R226" s="570">
        <f>Tabel668921274[[#This Row],[VAT DW 2017]]+Tabel668921274[[#This Row],[VAT Sew. 2017]]+Tabel668921274[[#This Row],[VAT WW 2017]]+Tabel668921274[[#This Row],[VAT Other ch. 2017]]</f>
        <v>0</v>
      </c>
      <c r="S226" s="571">
        <f>Tabel668921274[[#This Row],[Total. ch. DW 2017]]+Tabel668921274[[#This Row],[Sew. 2017]]+Tabel668921274[[#This Row],[VAT Sew. 2017]]+Tabel668921274[[#This Row],[WW 2017]]+Tabel668921274[[#This Row],[VAT WW 2017]]+Tabel668921274[[#This Row],[Other ch. 2017]]+Tabel668921274[[#This Row],[VAT Other ch. 2017]]</f>
        <v>94.685414436583599</v>
      </c>
      <c r="T226" s="397"/>
      <c r="U226" s="1764"/>
      <c r="V226" s="2132"/>
      <c r="W226" s="1770"/>
      <c r="X226" s="1773"/>
      <c r="Y226" s="1776"/>
      <c r="Z226" s="1779"/>
      <c r="AA226" s="1773"/>
      <c r="AB226" s="1811"/>
      <c r="AC226" s="1773"/>
      <c r="AD226" s="1813"/>
      <c r="AE226" s="1773"/>
      <c r="AF226" s="1815"/>
      <c r="AG226" s="1991"/>
      <c r="AH226" s="397"/>
      <c r="AI226" s="591" t="s">
        <v>429</v>
      </c>
      <c r="AJ226" s="396"/>
      <c r="AK226" s="398"/>
      <c r="AL226" s="398"/>
      <c r="AM226" s="398"/>
      <c r="AN226" s="396"/>
      <c r="AO226" s="398"/>
      <c r="AP226" s="397"/>
    </row>
    <row r="227" spans="1:42" ht="18.75" hidden="1" x14ac:dyDescent="0.25">
      <c r="A227" s="1878" t="s">
        <v>47</v>
      </c>
      <c r="B227" s="837" t="s">
        <v>1154</v>
      </c>
      <c r="C227" s="1046" t="s">
        <v>429</v>
      </c>
      <c r="D227" s="802" t="s">
        <v>1121</v>
      </c>
      <c r="E227" s="2166">
        <v>43600</v>
      </c>
      <c r="F227" s="617">
        <f>'exchange rates'!$O$52</f>
        <v>0.73992000000000002</v>
      </c>
      <c r="G227" s="549"/>
      <c r="H227" s="550"/>
      <c r="I227" s="551"/>
      <c r="J227" s="560"/>
      <c r="K227" s="566">
        <f>Tabel668921274[[#This Row],[Fix.ch. 2017]]+Tabel668921274[[#This Row],[Var. ch. 2017]]+Tabel668921274[[#This Row],[Oth. ch. DW 2017]]+Tabel668921274[[#This Row],[VAT DW 2017]]</f>
        <v>0</v>
      </c>
      <c r="L227" s="567"/>
      <c r="M227" s="560"/>
      <c r="N227" s="568"/>
      <c r="O227" s="560"/>
      <c r="P227" s="569"/>
      <c r="Q227" s="560"/>
      <c r="R227" s="570">
        <f>Tabel668921274[[#This Row],[VAT DW 2017]]+Tabel668921274[[#This Row],[VAT Sew. 2017]]+Tabel668921274[[#This Row],[VAT WW 2017]]+Tabel668921274[[#This Row],[VAT Other ch. 2017]]</f>
        <v>0</v>
      </c>
      <c r="S227" s="571">
        <f>Tabel668921274[[#This Row],[Total. ch. DW 2017]]+Tabel668921274[[#This Row],[Sew. 2017]]+Tabel668921274[[#This Row],[VAT Sew. 2017]]+Tabel668921274[[#This Row],[WW 2017]]+Tabel668921274[[#This Row],[VAT WW 2017]]+Tabel668921274[[#This Row],[Other ch. 2017]]+Tabel668921274[[#This Row],[VAT Other ch. 2017]]</f>
        <v>0</v>
      </c>
      <c r="T227" s="397"/>
      <c r="U227" s="825"/>
      <c r="V227" s="826"/>
      <c r="W227" s="827"/>
      <c r="X227" s="828"/>
      <c r="Y227" s="829"/>
      <c r="Z227" s="830"/>
      <c r="AA227" s="828"/>
      <c r="AB227" s="831"/>
      <c r="AC227" s="828"/>
      <c r="AD227" s="832"/>
      <c r="AE227" s="828"/>
      <c r="AF227" s="836"/>
      <c r="AG227" s="834"/>
      <c r="AH227" s="397"/>
      <c r="AI227" s="591" t="s">
        <v>429</v>
      </c>
      <c r="AJ227" s="396"/>
      <c r="AK227" s="398"/>
      <c r="AL227" s="398"/>
      <c r="AM227" s="591" t="s">
        <v>429</v>
      </c>
      <c r="AN227" s="396"/>
      <c r="AO227" s="398"/>
      <c r="AP227" s="397"/>
    </row>
    <row r="228" spans="1:42" ht="15.75" hidden="1" x14ac:dyDescent="0.25">
      <c r="A228" s="1757"/>
      <c r="B228" s="276" t="s">
        <v>204</v>
      </c>
      <c r="C228" s="1048"/>
      <c r="D228" s="805" t="s">
        <v>1121</v>
      </c>
      <c r="E228" s="1760"/>
      <c r="F228" s="617">
        <f>'exchange rates'!$O$52</f>
        <v>0.73992000000000002</v>
      </c>
      <c r="G228" s="319"/>
      <c r="H228" s="320"/>
      <c r="I228" s="321"/>
      <c r="J228" s="559"/>
      <c r="K228" s="313">
        <f>Tabel668921274[[#This Row],[Fix.ch. 2017]]+Tabel668921274[[#This Row],[Var. ch. 2017]]+Tabel668921274[[#This Row],[Oth. ch. DW 2017]]+Tabel668921274[[#This Row],[VAT DW 2017]]</f>
        <v>0</v>
      </c>
      <c r="L228" s="322"/>
      <c r="M228" s="559"/>
      <c r="N228" s="323"/>
      <c r="O228" s="559"/>
      <c r="P228" s="324"/>
      <c r="Q228" s="559"/>
      <c r="R228" s="317">
        <f>Tabel668921274[[#This Row],[VAT DW 2017]]+Tabel668921274[[#This Row],[VAT Sew. 2017]]+Tabel668921274[[#This Row],[VAT WW 2017]]+Tabel668921274[[#This Row],[VAT Other ch. 2017]]</f>
        <v>0</v>
      </c>
      <c r="S228" s="318">
        <f>Tabel668921274[[#This Row],[Total. ch. DW 2017]]+Tabel668921274[[#This Row],[Sew. 2017]]+Tabel668921274[[#This Row],[VAT Sew. 2017]]+Tabel668921274[[#This Row],[WW 2017]]+Tabel668921274[[#This Row],[VAT WW 2017]]+Tabel668921274[[#This Row],[Other ch. 2017]]+Tabel668921274[[#This Row],[VAT Other ch. 2017]]</f>
        <v>0</v>
      </c>
      <c r="T228" s="397"/>
      <c r="U228" s="349"/>
      <c r="V228" s="350"/>
      <c r="W228" s="351"/>
      <c r="X228" s="582"/>
      <c r="Y228" s="352"/>
      <c r="Z228" s="353"/>
      <c r="AA228" s="582"/>
      <c r="AB228" s="354"/>
      <c r="AC228" s="582"/>
      <c r="AD228" s="355"/>
      <c r="AE228" s="582"/>
      <c r="AF228" s="356"/>
      <c r="AG228" s="357"/>
      <c r="AH228" s="397"/>
      <c r="AI228" s="400"/>
      <c r="AJ228" s="400"/>
      <c r="AK228" s="398"/>
      <c r="AL228" s="398"/>
      <c r="AM228" s="398"/>
      <c r="AN228" s="398"/>
      <c r="AO228" s="398"/>
      <c r="AP228" s="397"/>
    </row>
    <row r="229" spans="1:42" ht="15.75" hidden="1" x14ac:dyDescent="0.25">
      <c r="A229" s="1757"/>
      <c r="B229" s="276" t="s">
        <v>205</v>
      </c>
      <c r="C229" s="1048"/>
      <c r="D229" s="805" t="s">
        <v>1121</v>
      </c>
      <c r="E229" s="1760"/>
      <c r="F229" s="617">
        <f>'exchange rates'!$O$52</f>
        <v>0.73992000000000002</v>
      </c>
      <c r="G229" s="319"/>
      <c r="H229" s="320"/>
      <c r="I229" s="321"/>
      <c r="J229" s="559"/>
      <c r="K229" s="313">
        <f>Tabel668921274[[#This Row],[Fix.ch. 2017]]+Tabel668921274[[#This Row],[Var. ch. 2017]]+Tabel668921274[[#This Row],[Oth. ch. DW 2017]]+Tabel668921274[[#This Row],[VAT DW 2017]]</f>
        <v>0</v>
      </c>
      <c r="L229" s="322"/>
      <c r="M229" s="559"/>
      <c r="N229" s="323"/>
      <c r="O229" s="559"/>
      <c r="P229" s="324"/>
      <c r="Q229" s="559"/>
      <c r="R229" s="317">
        <f>Tabel668921274[[#This Row],[VAT DW 2017]]+Tabel668921274[[#This Row],[VAT Sew. 2017]]+Tabel668921274[[#This Row],[VAT WW 2017]]+Tabel668921274[[#This Row],[VAT Other ch. 2017]]</f>
        <v>0</v>
      </c>
      <c r="S229" s="318">
        <f>Tabel668921274[[#This Row],[Total. ch. DW 2017]]+Tabel668921274[[#This Row],[Sew. 2017]]+Tabel668921274[[#This Row],[VAT Sew. 2017]]+Tabel668921274[[#This Row],[WW 2017]]+Tabel668921274[[#This Row],[VAT WW 2017]]+Tabel668921274[[#This Row],[Other ch. 2017]]+Tabel668921274[[#This Row],[VAT Other ch. 2017]]</f>
        <v>0</v>
      </c>
      <c r="T229" s="397"/>
      <c r="U229" s="358"/>
      <c r="V229" s="359"/>
      <c r="W229" s="360"/>
      <c r="X229" s="586"/>
      <c r="Y229" s="361"/>
      <c r="Z229" s="362"/>
      <c r="AA229" s="586"/>
      <c r="AB229" s="363"/>
      <c r="AC229" s="586"/>
      <c r="AD229" s="364"/>
      <c r="AE229" s="586"/>
      <c r="AF229" s="365"/>
      <c r="AG229" s="366"/>
      <c r="AH229" s="397"/>
      <c r="AI229" s="400"/>
      <c r="AJ229" s="400"/>
      <c r="AK229" s="398"/>
      <c r="AL229" s="398"/>
      <c r="AM229" s="398"/>
      <c r="AN229" s="398"/>
      <c r="AO229" s="398"/>
      <c r="AP229" s="397"/>
    </row>
    <row r="230" spans="1:42" ht="15.75" hidden="1" x14ac:dyDescent="0.25">
      <c r="A230" s="1757"/>
      <c r="B230" s="276" t="s">
        <v>206</v>
      </c>
      <c r="C230" s="1048"/>
      <c r="D230" s="805" t="s">
        <v>1121</v>
      </c>
      <c r="E230" s="1760"/>
      <c r="F230" s="617">
        <f>'exchange rates'!$O$52</f>
        <v>0.73992000000000002</v>
      </c>
      <c r="G230" s="319"/>
      <c r="H230" s="320"/>
      <c r="I230" s="321"/>
      <c r="J230" s="559"/>
      <c r="K230" s="313">
        <f>Tabel668921274[[#This Row],[Fix.ch. 2017]]+Tabel668921274[[#This Row],[Var. ch. 2017]]+Tabel668921274[[#This Row],[Oth. ch. DW 2017]]+Tabel668921274[[#This Row],[VAT DW 2017]]</f>
        <v>0</v>
      </c>
      <c r="L230" s="322"/>
      <c r="M230" s="559"/>
      <c r="N230" s="323"/>
      <c r="O230" s="559"/>
      <c r="P230" s="324"/>
      <c r="Q230" s="559"/>
      <c r="R230" s="317">
        <f>Tabel668921274[[#This Row],[VAT DW 2017]]+Tabel668921274[[#This Row],[VAT Sew. 2017]]+Tabel668921274[[#This Row],[VAT WW 2017]]+Tabel668921274[[#This Row],[VAT Other ch. 2017]]</f>
        <v>0</v>
      </c>
      <c r="S230" s="318">
        <f>Tabel668921274[[#This Row],[Total. ch. DW 2017]]+Tabel668921274[[#This Row],[Sew. 2017]]+Tabel668921274[[#This Row],[VAT Sew. 2017]]+Tabel668921274[[#This Row],[WW 2017]]+Tabel668921274[[#This Row],[VAT WW 2017]]+Tabel668921274[[#This Row],[Other ch. 2017]]+Tabel668921274[[#This Row],[VAT Other ch. 2017]]</f>
        <v>0</v>
      </c>
      <c r="T230" s="397"/>
      <c r="U230" s="358"/>
      <c r="V230" s="359"/>
      <c r="W230" s="360"/>
      <c r="X230" s="586"/>
      <c r="Y230" s="361"/>
      <c r="Z230" s="362"/>
      <c r="AA230" s="586"/>
      <c r="AB230" s="363"/>
      <c r="AC230" s="586"/>
      <c r="AD230" s="364"/>
      <c r="AE230" s="586"/>
      <c r="AF230" s="365"/>
      <c r="AG230" s="366"/>
      <c r="AH230" s="397"/>
      <c r="AI230" s="400"/>
      <c r="AJ230" s="400"/>
      <c r="AK230" s="398"/>
      <c r="AL230" s="398"/>
      <c r="AM230" s="398"/>
      <c r="AN230" s="398"/>
      <c r="AO230" s="398"/>
      <c r="AP230" s="397"/>
    </row>
    <row r="231" spans="1:42" ht="15.75" hidden="1" x14ac:dyDescent="0.25">
      <c r="A231" s="1757"/>
      <c r="B231" s="276" t="s">
        <v>207</v>
      </c>
      <c r="C231" s="1048"/>
      <c r="D231" s="805" t="s">
        <v>1121</v>
      </c>
      <c r="E231" s="1760"/>
      <c r="F231" s="617">
        <f>'exchange rates'!$O$52</f>
        <v>0.73992000000000002</v>
      </c>
      <c r="G231" s="319"/>
      <c r="H231" s="320"/>
      <c r="I231" s="321"/>
      <c r="J231" s="559"/>
      <c r="K231" s="313">
        <f>Tabel668921274[[#This Row],[Fix.ch. 2017]]+Tabel668921274[[#This Row],[Var. ch. 2017]]+Tabel668921274[[#This Row],[Oth. ch. DW 2017]]+Tabel668921274[[#This Row],[VAT DW 2017]]</f>
        <v>0</v>
      </c>
      <c r="L231" s="322"/>
      <c r="M231" s="559"/>
      <c r="N231" s="323"/>
      <c r="O231" s="559"/>
      <c r="P231" s="324"/>
      <c r="Q231" s="559"/>
      <c r="R231" s="317">
        <f>Tabel668921274[[#This Row],[VAT DW 2017]]+Tabel668921274[[#This Row],[VAT Sew. 2017]]+Tabel668921274[[#This Row],[VAT WW 2017]]+Tabel668921274[[#This Row],[VAT Other ch. 2017]]</f>
        <v>0</v>
      </c>
      <c r="S231" s="318">
        <f>Tabel668921274[[#This Row],[Total. ch. DW 2017]]+Tabel668921274[[#This Row],[Sew. 2017]]+Tabel668921274[[#This Row],[VAT Sew. 2017]]+Tabel668921274[[#This Row],[WW 2017]]+Tabel668921274[[#This Row],[VAT WW 2017]]+Tabel668921274[[#This Row],[Other ch. 2017]]+Tabel668921274[[#This Row],[VAT Other ch. 2017]]</f>
        <v>0</v>
      </c>
      <c r="T231" s="397"/>
      <c r="U231" s="358"/>
      <c r="V231" s="359"/>
      <c r="W231" s="360"/>
      <c r="X231" s="586"/>
      <c r="Y231" s="361"/>
      <c r="Z231" s="362"/>
      <c r="AA231" s="586"/>
      <c r="AB231" s="363"/>
      <c r="AC231" s="586"/>
      <c r="AD231" s="364"/>
      <c r="AE231" s="586"/>
      <c r="AF231" s="365"/>
      <c r="AG231" s="366"/>
      <c r="AH231" s="397"/>
      <c r="AI231" s="400"/>
      <c r="AJ231" s="400"/>
      <c r="AK231" s="398"/>
      <c r="AL231" s="398"/>
      <c r="AM231" s="398"/>
      <c r="AN231" s="398"/>
      <c r="AO231" s="398"/>
      <c r="AP231" s="397"/>
    </row>
    <row r="232" spans="1:42" ht="15.75" hidden="1" x14ac:dyDescent="0.25">
      <c r="A232" s="1757"/>
      <c r="B232" s="276" t="s">
        <v>208</v>
      </c>
      <c r="C232" s="1048"/>
      <c r="D232" s="805" t="s">
        <v>1121</v>
      </c>
      <c r="E232" s="1760"/>
      <c r="F232" s="617">
        <f>'exchange rates'!$O$52</f>
        <v>0.73992000000000002</v>
      </c>
      <c r="G232" s="319"/>
      <c r="H232" s="320"/>
      <c r="I232" s="321"/>
      <c r="J232" s="559"/>
      <c r="K232" s="313">
        <f>Tabel668921274[[#This Row],[Fix.ch. 2017]]+Tabel668921274[[#This Row],[Var. ch. 2017]]+Tabel668921274[[#This Row],[Oth. ch. DW 2017]]+Tabel668921274[[#This Row],[VAT DW 2017]]</f>
        <v>0</v>
      </c>
      <c r="L232" s="322"/>
      <c r="M232" s="559"/>
      <c r="N232" s="323"/>
      <c r="O232" s="559"/>
      <c r="P232" s="324"/>
      <c r="Q232" s="559"/>
      <c r="R232" s="317">
        <f>Tabel668921274[[#This Row],[VAT DW 2017]]+Tabel668921274[[#This Row],[VAT Sew. 2017]]+Tabel668921274[[#This Row],[VAT WW 2017]]+Tabel668921274[[#This Row],[VAT Other ch. 2017]]</f>
        <v>0</v>
      </c>
      <c r="S232" s="318">
        <f>Tabel668921274[[#This Row],[Total. ch. DW 2017]]+Tabel668921274[[#This Row],[Sew. 2017]]+Tabel668921274[[#This Row],[VAT Sew. 2017]]+Tabel668921274[[#This Row],[WW 2017]]+Tabel668921274[[#This Row],[VAT WW 2017]]+Tabel668921274[[#This Row],[Other ch. 2017]]+Tabel668921274[[#This Row],[VAT Other ch. 2017]]</f>
        <v>0</v>
      </c>
      <c r="T232" s="397"/>
      <c r="U232" s="358"/>
      <c r="V232" s="359"/>
      <c r="W232" s="360"/>
      <c r="X232" s="586"/>
      <c r="Y232" s="361"/>
      <c r="Z232" s="362"/>
      <c r="AA232" s="586"/>
      <c r="AB232" s="363"/>
      <c r="AC232" s="586"/>
      <c r="AD232" s="364"/>
      <c r="AE232" s="586"/>
      <c r="AF232" s="365"/>
      <c r="AG232" s="366"/>
      <c r="AH232" s="397"/>
      <c r="AI232" s="400"/>
      <c r="AJ232" s="400"/>
      <c r="AK232" s="398"/>
      <c r="AL232" s="398"/>
      <c r="AM232" s="398"/>
      <c r="AN232" s="398"/>
      <c r="AO232" s="398"/>
      <c r="AP232" s="397"/>
    </row>
    <row r="233" spans="1:42" ht="15.75" hidden="1" x14ac:dyDescent="0.25">
      <c r="A233" s="1757"/>
      <c r="B233" s="276" t="s">
        <v>209</v>
      </c>
      <c r="C233" s="1048"/>
      <c r="D233" s="805" t="s">
        <v>1121</v>
      </c>
      <c r="E233" s="1760"/>
      <c r="F233" s="617">
        <f>'exchange rates'!$O$52</f>
        <v>0.73992000000000002</v>
      </c>
      <c r="G233" s="319"/>
      <c r="H233" s="320"/>
      <c r="I233" s="321"/>
      <c r="J233" s="559"/>
      <c r="K233" s="313">
        <f>Tabel668921274[[#This Row],[Fix.ch. 2017]]+Tabel668921274[[#This Row],[Var. ch. 2017]]+Tabel668921274[[#This Row],[Oth. ch. DW 2017]]+Tabel668921274[[#This Row],[VAT DW 2017]]</f>
        <v>0</v>
      </c>
      <c r="L233" s="322"/>
      <c r="M233" s="559"/>
      <c r="N233" s="323"/>
      <c r="O233" s="559"/>
      <c r="P233" s="324"/>
      <c r="Q233" s="559"/>
      <c r="R233" s="317">
        <f>Tabel668921274[[#This Row],[VAT DW 2017]]+Tabel668921274[[#This Row],[VAT Sew. 2017]]+Tabel668921274[[#This Row],[VAT WW 2017]]+Tabel668921274[[#This Row],[VAT Other ch. 2017]]</f>
        <v>0</v>
      </c>
      <c r="S233" s="318">
        <f>Tabel668921274[[#This Row],[Total. ch. DW 2017]]+Tabel668921274[[#This Row],[Sew. 2017]]+Tabel668921274[[#This Row],[VAT Sew. 2017]]+Tabel668921274[[#This Row],[WW 2017]]+Tabel668921274[[#This Row],[VAT WW 2017]]+Tabel668921274[[#This Row],[Other ch. 2017]]+Tabel668921274[[#This Row],[VAT Other ch. 2017]]</f>
        <v>0</v>
      </c>
      <c r="T233" s="397"/>
      <c r="U233" s="358"/>
      <c r="V233" s="359"/>
      <c r="W233" s="360"/>
      <c r="X233" s="586"/>
      <c r="Y233" s="361"/>
      <c r="Z233" s="362"/>
      <c r="AA233" s="586"/>
      <c r="AB233" s="363"/>
      <c r="AC233" s="586"/>
      <c r="AD233" s="364"/>
      <c r="AE233" s="586"/>
      <c r="AF233" s="365"/>
      <c r="AG233" s="366"/>
      <c r="AH233" s="397"/>
      <c r="AI233" s="400"/>
      <c r="AJ233" s="400"/>
      <c r="AK233" s="398"/>
      <c r="AL233" s="398"/>
      <c r="AM233" s="398"/>
      <c r="AN233" s="398"/>
      <c r="AO233" s="398"/>
      <c r="AP233" s="397"/>
    </row>
    <row r="234" spans="1:42" ht="15.75" hidden="1" x14ac:dyDescent="0.25">
      <c r="A234" s="1757"/>
      <c r="B234" s="276" t="s">
        <v>210</v>
      </c>
      <c r="C234" s="1048"/>
      <c r="D234" s="805" t="s">
        <v>1121</v>
      </c>
      <c r="E234" s="1760"/>
      <c r="F234" s="617">
        <f>'exchange rates'!$O$52</f>
        <v>0.73992000000000002</v>
      </c>
      <c r="G234" s="319"/>
      <c r="H234" s="320"/>
      <c r="I234" s="321"/>
      <c r="J234" s="559"/>
      <c r="K234" s="313">
        <f>Tabel668921274[[#This Row],[Fix.ch. 2017]]+Tabel668921274[[#This Row],[Var. ch. 2017]]+Tabel668921274[[#This Row],[Oth. ch. DW 2017]]+Tabel668921274[[#This Row],[VAT DW 2017]]</f>
        <v>0</v>
      </c>
      <c r="L234" s="322"/>
      <c r="M234" s="559"/>
      <c r="N234" s="323"/>
      <c r="O234" s="559"/>
      <c r="P234" s="324"/>
      <c r="Q234" s="559"/>
      <c r="R234" s="317">
        <f>Tabel668921274[[#This Row],[VAT DW 2017]]+Tabel668921274[[#This Row],[VAT Sew. 2017]]+Tabel668921274[[#This Row],[VAT WW 2017]]+Tabel668921274[[#This Row],[VAT Other ch. 2017]]</f>
        <v>0</v>
      </c>
      <c r="S234" s="318">
        <f>Tabel668921274[[#This Row],[Total. ch. DW 2017]]+Tabel668921274[[#This Row],[Sew. 2017]]+Tabel668921274[[#This Row],[VAT Sew. 2017]]+Tabel668921274[[#This Row],[WW 2017]]+Tabel668921274[[#This Row],[VAT WW 2017]]+Tabel668921274[[#This Row],[Other ch. 2017]]+Tabel668921274[[#This Row],[VAT Other ch. 2017]]</f>
        <v>0</v>
      </c>
      <c r="T234" s="397"/>
      <c r="U234" s="358"/>
      <c r="V234" s="359"/>
      <c r="W234" s="360"/>
      <c r="X234" s="586"/>
      <c r="Y234" s="361"/>
      <c r="Z234" s="362"/>
      <c r="AA234" s="586"/>
      <c r="AB234" s="363"/>
      <c r="AC234" s="586"/>
      <c r="AD234" s="364"/>
      <c r="AE234" s="586"/>
      <c r="AF234" s="365"/>
      <c r="AG234" s="366"/>
      <c r="AH234" s="397"/>
      <c r="AI234" s="400"/>
      <c r="AJ234" s="400"/>
      <c r="AK234" s="398"/>
      <c r="AL234" s="398"/>
      <c r="AM234" s="398"/>
      <c r="AN234" s="398"/>
      <c r="AO234" s="398"/>
      <c r="AP234" s="397"/>
    </row>
    <row r="235" spans="1:42" ht="16.5" hidden="1" thickBot="1" x14ac:dyDescent="0.3">
      <c r="A235" s="1758"/>
      <c r="B235" s="835" t="s">
        <v>211</v>
      </c>
      <c r="C235" s="835"/>
      <c r="D235" s="801" t="s">
        <v>1121</v>
      </c>
      <c r="E235" s="1761"/>
      <c r="F235" s="617">
        <f>'exchange rates'!$O$52</f>
        <v>0.73992000000000002</v>
      </c>
      <c r="G235" s="319"/>
      <c r="H235" s="320"/>
      <c r="I235" s="321"/>
      <c r="J235" s="559"/>
      <c r="K235" s="313">
        <f>Tabel668921274[[#This Row],[Fix.ch. 2017]]+Tabel668921274[[#This Row],[Var. ch. 2017]]+Tabel668921274[[#This Row],[Oth. ch. DW 2017]]+Tabel668921274[[#This Row],[VAT DW 2017]]</f>
        <v>0</v>
      </c>
      <c r="L235" s="322"/>
      <c r="M235" s="559"/>
      <c r="N235" s="323"/>
      <c r="O235" s="559"/>
      <c r="P235" s="324"/>
      <c r="Q235" s="559"/>
      <c r="R235" s="317">
        <f>Tabel668921274[[#This Row],[VAT DW 2017]]+Tabel668921274[[#This Row],[VAT Sew. 2017]]+Tabel668921274[[#This Row],[VAT WW 2017]]+Tabel668921274[[#This Row],[VAT Other ch. 2017]]</f>
        <v>0</v>
      </c>
      <c r="S235" s="318">
        <f>Tabel668921274[[#This Row],[Total. ch. DW 2017]]+Tabel668921274[[#This Row],[Sew. 2017]]+Tabel668921274[[#This Row],[VAT Sew. 2017]]+Tabel668921274[[#This Row],[WW 2017]]+Tabel668921274[[#This Row],[VAT WW 2017]]+Tabel668921274[[#This Row],[Other ch. 2017]]+Tabel668921274[[#This Row],[VAT Other ch. 2017]]</f>
        <v>0</v>
      </c>
      <c r="T235" s="397"/>
      <c r="U235" s="358"/>
      <c r="V235" s="359"/>
      <c r="W235" s="360"/>
      <c r="X235" s="586"/>
      <c r="Y235" s="361"/>
      <c r="Z235" s="362"/>
      <c r="AA235" s="586"/>
      <c r="AB235" s="363"/>
      <c r="AC235" s="586"/>
      <c r="AD235" s="364"/>
      <c r="AE235" s="586"/>
      <c r="AF235" s="365"/>
      <c r="AG235" s="366"/>
      <c r="AH235" s="397"/>
      <c r="AI235" s="400"/>
      <c r="AJ235" s="400"/>
      <c r="AK235" s="398"/>
      <c r="AL235" s="398"/>
      <c r="AM235" s="398"/>
      <c r="AN235" s="398"/>
      <c r="AO235" s="398"/>
      <c r="AP235" s="397"/>
    </row>
    <row r="236" spans="1:42" ht="15.75" hidden="1" x14ac:dyDescent="0.25">
      <c r="A236" s="2150" t="s">
        <v>41</v>
      </c>
      <c r="B236" s="261" t="s">
        <v>192</v>
      </c>
      <c r="C236" s="261" t="s">
        <v>429</v>
      </c>
      <c r="D236" s="261" t="s">
        <v>1123</v>
      </c>
      <c r="E236" s="2153"/>
      <c r="F236" s="306"/>
      <c r="G236" s="325"/>
      <c r="H236" s="326"/>
      <c r="I236" s="327"/>
      <c r="J236" s="561"/>
      <c r="K236" s="313">
        <f>Tabel668921274[[#This Row],[Fix.ch. 2017]]+Tabel668921274[[#This Row],[Var. ch. 2017]]+Tabel668921274[[#This Row],[Oth. ch. DW 2017]]+Tabel668921274[[#This Row],[VAT DW 2017]]</f>
        <v>0</v>
      </c>
      <c r="L236" s="328"/>
      <c r="M236" s="561"/>
      <c r="N236" s="329"/>
      <c r="O236" s="561"/>
      <c r="P236" s="330"/>
      <c r="Q236" s="561"/>
      <c r="R236" s="317">
        <f>Tabel668921274[[#This Row],[VAT DW 2017]]+Tabel668921274[[#This Row],[VAT Sew. 2017]]+Tabel668921274[[#This Row],[VAT WW 2017]]+Tabel668921274[[#This Row],[VAT Other ch. 2017]]</f>
        <v>0</v>
      </c>
      <c r="S236" s="318">
        <f>Tabel668921274[[#This Row],[Total. ch. DW 2017]]+Tabel668921274[[#This Row],[Sew. 2017]]+Tabel668921274[[#This Row],[VAT Sew. 2017]]+Tabel668921274[[#This Row],[WW 2017]]+Tabel668921274[[#This Row],[VAT WW 2017]]+Tabel668921274[[#This Row],[Other ch. 2017]]+Tabel668921274[[#This Row],[VAT Other ch. 2017]]</f>
        <v>0</v>
      </c>
      <c r="T236" s="397"/>
      <c r="U236" s="358"/>
      <c r="V236" s="359"/>
      <c r="W236" s="360"/>
      <c r="X236" s="586"/>
      <c r="Y236" s="361"/>
      <c r="Z236" s="362"/>
      <c r="AA236" s="586"/>
      <c r="AB236" s="363"/>
      <c r="AC236" s="586"/>
      <c r="AD236" s="364"/>
      <c r="AE236" s="586"/>
      <c r="AF236" s="365"/>
      <c r="AG236" s="366"/>
      <c r="AH236" s="397"/>
      <c r="AI236" s="398"/>
      <c r="AJ236" s="398"/>
      <c r="AK236" s="398"/>
      <c r="AL236" s="398"/>
      <c r="AM236" s="398"/>
      <c r="AN236" s="398"/>
      <c r="AO236" s="398"/>
      <c r="AP236" s="397"/>
    </row>
    <row r="237" spans="1:42" ht="15.75" hidden="1" x14ac:dyDescent="0.25">
      <c r="A237" s="2151"/>
      <c r="B237" s="261" t="s">
        <v>193</v>
      </c>
      <c r="C237" s="261"/>
      <c r="D237" s="261" t="s">
        <v>1123</v>
      </c>
      <c r="E237" s="2154"/>
      <c r="F237" s="306"/>
      <c r="G237" s="325"/>
      <c r="H237" s="326"/>
      <c r="I237" s="327"/>
      <c r="J237" s="561"/>
      <c r="K237" s="313">
        <f>Tabel668921274[[#This Row],[Fix.ch. 2017]]+Tabel668921274[[#This Row],[Var. ch. 2017]]+Tabel668921274[[#This Row],[Oth. ch. DW 2017]]+Tabel668921274[[#This Row],[VAT DW 2017]]</f>
        <v>0</v>
      </c>
      <c r="L237" s="328"/>
      <c r="M237" s="561"/>
      <c r="N237" s="329"/>
      <c r="O237" s="561"/>
      <c r="P237" s="330"/>
      <c r="Q237" s="561"/>
      <c r="R237" s="317">
        <f>Tabel668921274[[#This Row],[VAT DW 2017]]+Tabel668921274[[#This Row],[VAT Sew. 2017]]+Tabel668921274[[#This Row],[VAT WW 2017]]+Tabel668921274[[#This Row],[VAT Other ch. 2017]]</f>
        <v>0</v>
      </c>
      <c r="S237" s="318">
        <f>Tabel668921274[[#This Row],[Total. ch. DW 2017]]+Tabel668921274[[#This Row],[Sew. 2017]]+Tabel668921274[[#This Row],[VAT Sew. 2017]]+Tabel668921274[[#This Row],[WW 2017]]+Tabel668921274[[#This Row],[VAT WW 2017]]+Tabel668921274[[#This Row],[Other ch. 2017]]+Tabel668921274[[#This Row],[VAT Other ch. 2017]]</f>
        <v>0</v>
      </c>
      <c r="T237" s="397"/>
      <c r="U237" s="358"/>
      <c r="V237" s="359"/>
      <c r="W237" s="360"/>
      <c r="X237" s="586"/>
      <c r="Y237" s="361"/>
      <c r="Z237" s="362"/>
      <c r="AA237" s="586"/>
      <c r="AB237" s="363"/>
      <c r="AC237" s="586"/>
      <c r="AD237" s="364"/>
      <c r="AE237" s="586"/>
      <c r="AF237" s="365"/>
      <c r="AG237" s="366"/>
      <c r="AH237" s="397"/>
      <c r="AI237" s="398"/>
      <c r="AJ237" s="398"/>
      <c r="AK237" s="398"/>
      <c r="AL237" s="398"/>
      <c r="AM237" s="398"/>
      <c r="AN237" s="398"/>
      <c r="AO237" s="398"/>
      <c r="AP237" s="397"/>
    </row>
    <row r="238" spans="1:42" ht="16.5" hidden="1" thickBot="1" x14ac:dyDescent="0.3">
      <c r="A238" s="2152"/>
      <c r="B238" s="261" t="s">
        <v>194</v>
      </c>
      <c r="C238" s="261"/>
      <c r="D238" s="261" t="s">
        <v>1123</v>
      </c>
      <c r="E238" s="2155"/>
      <c r="F238" s="306"/>
      <c r="G238" s="325"/>
      <c r="H238" s="326"/>
      <c r="I238" s="327"/>
      <c r="J238" s="561"/>
      <c r="K238" s="313">
        <f>Tabel668921274[[#This Row],[Fix.ch. 2017]]+Tabel668921274[[#This Row],[Var. ch. 2017]]+Tabel668921274[[#This Row],[Oth. ch. DW 2017]]+Tabel668921274[[#This Row],[VAT DW 2017]]</f>
        <v>0</v>
      </c>
      <c r="L238" s="328"/>
      <c r="M238" s="561"/>
      <c r="N238" s="329"/>
      <c r="O238" s="561"/>
      <c r="P238" s="330"/>
      <c r="Q238" s="561"/>
      <c r="R238" s="317">
        <f>Tabel668921274[[#This Row],[VAT DW 2017]]+Tabel668921274[[#This Row],[VAT Sew. 2017]]+Tabel668921274[[#This Row],[VAT WW 2017]]+Tabel668921274[[#This Row],[VAT Other ch. 2017]]</f>
        <v>0</v>
      </c>
      <c r="S238" s="318">
        <f>Tabel668921274[[#This Row],[Total. ch. DW 2017]]+Tabel668921274[[#This Row],[Sew. 2017]]+Tabel668921274[[#This Row],[VAT Sew. 2017]]+Tabel668921274[[#This Row],[WW 2017]]+Tabel668921274[[#This Row],[VAT WW 2017]]+Tabel668921274[[#This Row],[Other ch. 2017]]+Tabel668921274[[#This Row],[VAT Other ch. 2017]]</f>
        <v>0</v>
      </c>
      <c r="T238" s="397"/>
      <c r="U238" s="367"/>
      <c r="V238" s="368"/>
      <c r="W238" s="369"/>
      <c r="X238" s="587"/>
      <c r="Y238" s="370"/>
      <c r="Z238" s="371"/>
      <c r="AA238" s="587"/>
      <c r="AB238" s="372"/>
      <c r="AC238" s="587"/>
      <c r="AD238" s="373"/>
      <c r="AE238" s="587"/>
      <c r="AF238" s="374"/>
      <c r="AG238" s="375"/>
      <c r="AH238" s="397"/>
      <c r="AI238" s="398"/>
      <c r="AJ238" s="398"/>
      <c r="AK238" s="398"/>
      <c r="AL238" s="398"/>
      <c r="AM238" s="398"/>
      <c r="AN238" s="398"/>
      <c r="AO238" s="398"/>
      <c r="AP238" s="397"/>
    </row>
    <row r="239" spans="1:42" ht="19.5" hidden="1" thickBot="1" x14ac:dyDescent="0.35">
      <c r="A239" s="270" t="s">
        <v>42</v>
      </c>
      <c r="B239" s="260" t="s">
        <v>42</v>
      </c>
      <c r="C239" s="1049" t="s">
        <v>429</v>
      </c>
      <c r="D239" s="817" t="s">
        <v>1125</v>
      </c>
      <c r="E239" s="301">
        <v>59900</v>
      </c>
      <c r="F239" s="306">
        <v>1.2966299999999999</v>
      </c>
      <c r="G239" s="319">
        <v>0</v>
      </c>
      <c r="H239" s="320">
        <f>234/F239</f>
        <v>180.46782813909905</v>
      </c>
      <c r="I239" s="321">
        <f>70.2/F239</f>
        <v>54.140348441729721</v>
      </c>
      <c r="J239" s="559"/>
      <c r="K239" s="313">
        <f>Tabel668921274[[#This Row],[Fix.ch. 2017]]+Tabel668921274[[#This Row],[Var. ch. 2017]]+Tabel668921274[[#This Row],[Oth. ch. DW 2017]]+Tabel668921274[[#This Row],[VAT DW 2017]]</f>
        <v>234.60817658082877</v>
      </c>
      <c r="L239" s="322">
        <v>0</v>
      </c>
      <c r="M239" s="559"/>
      <c r="N239" s="323">
        <f>56.06/F239</f>
        <v>43.23515574990553</v>
      </c>
      <c r="O239" s="559"/>
      <c r="P239" s="324">
        <f>67.29/F239</f>
        <v>51.896069040512721</v>
      </c>
      <c r="Q239" s="559"/>
      <c r="R239" s="317">
        <f>Tabel668921274[[#This Row],[VAT DW 2017]]+Tabel668921274[[#This Row],[VAT Sew. 2017]]+Tabel668921274[[#This Row],[VAT WW 2017]]+Tabel668921274[[#This Row],[VAT Other ch. 2017]]</f>
        <v>0</v>
      </c>
      <c r="S239" s="318">
        <f>Tabel668921274[[#This Row],[Total. ch. DW 2017]]+Tabel668921274[[#This Row],[Sew. 2017]]+Tabel668921274[[#This Row],[VAT Sew. 2017]]+Tabel668921274[[#This Row],[WW 2017]]+Tabel668921274[[#This Row],[VAT WW 2017]]+Tabel668921274[[#This Row],[Other ch. 2017]]+Tabel668921274[[#This Row],[VAT Other ch. 2017]]</f>
        <v>329.73940137124703</v>
      </c>
      <c r="T239" s="397"/>
      <c r="U239" s="331">
        <f>Tabel668921274[[#This Row],[Fix.ch. 2017]]</f>
        <v>0</v>
      </c>
      <c r="V239" s="332">
        <f>Tabel668921274[[#This Row],[Var. ch. 2017]]</f>
        <v>180.46782813909905</v>
      </c>
      <c r="W239" s="333">
        <f>Tabel668921274[[#This Row],[Oth. ch. DW 2017]]</f>
        <v>54.140348441729721</v>
      </c>
      <c r="X239" s="574"/>
      <c r="Y239" s="334">
        <f>Tabel668921274[[#This Row],[Total. ch. DW 2017]]</f>
        <v>234.60817658082877</v>
      </c>
      <c r="Z239" s="335">
        <f>Tabel668921274[[#This Row],[Sew. 2017]]</f>
        <v>0</v>
      </c>
      <c r="AA239" s="574"/>
      <c r="AB239" s="336">
        <f>Tabel668921274[[#This Row],[WW 2017]]</f>
        <v>43.23515574990553</v>
      </c>
      <c r="AC239" s="574"/>
      <c r="AD239" s="337">
        <f>Tabel668921274[[#This Row],[Other ch. 2017]]</f>
        <v>51.896069040512721</v>
      </c>
      <c r="AE239" s="574"/>
      <c r="AF239" s="338">
        <f>Tabel668921274[[#This Row],[Total VAT 2017]]</f>
        <v>0</v>
      </c>
      <c r="AG239" s="339">
        <f>Tabel668921274[[#This Row],[total charge 2017]]</f>
        <v>329.73940137124703</v>
      </c>
      <c r="AH239" s="397"/>
      <c r="AI239" s="398"/>
      <c r="AJ239" s="398"/>
      <c r="AK239" s="398"/>
      <c r="AL239" s="396" t="s">
        <v>429</v>
      </c>
      <c r="AM239" s="398"/>
      <c r="AN239" s="398"/>
      <c r="AO239" s="398"/>
      <c r="AP239" s="397"/>
    </row>
    <row r="240" spans="1:42" ht="18.75" hidden="1" x14ac:dyDescent="0.25">
      <c r="A240" s="1833" t="s">
        <v>24</v>
      </c>
      <c r="B240" s="289" t="s">
        <v>140</v>
      </c>
      <c r="C240" s="1048" t="s">
        <v>429</v>
      </c>
      <c r="D240" s="805" t="s">
        <v>1127</v>
      </c>
      <c r="E240" s="2156">
        <v>23400</v>
      </c>
      <c r="F240" s="307">
        <v>0.77166999999999997</v>
      </c>
      <c r="G240" s="319">
        <f>0.9*200/F240</f>
        <v>233.26033148884886</v>
      </c>
      <c r="H240" s="320">
        <v>0</v>
      </c>
      <c r="I240" s="321">
        <v>0</v>
      </c>
      <c r="J240" s="559"/>
      <c r="K240" s="313">
        <f>Tabel668921274[[#This Row],[Fix.ch. 2017]]+Tabel668921274[[#This Row],[Var. ch. 2017]]+Tabel668921274[[#This Row],[Oth. ch. DW 2017]]+Tabel668921274[[#This Row],[VAT DW 2017]]</f>
        <v>233.26033148884886</v>
      </c>
      <c r="L240" s="322">
        <f>1.02*200/F240</f>
        <v>264.3617090206954</v>
      </c>
      <c r="M240" s="559"/>
      <c r="N240" s="323">
        <v>0</v>
      </c>
      <c r="O240" s="559"/>
      <c r="P240" s="324">
        <v>0</v>
      </c>
      <c r="Q240" s="559"/>
      <c r="R240" s="317">
        <f>Tabel668921274[[#This Row],[VAT DW 2017]]+Tabel668921274[[#This Row],[VAT Sew. 2017]]+Tabel668921274[[#This Row],[VAT WW 2017]]+Tabel668921274[[#This Row],[VAT Other ch. 2017]]</f>
        <v>0</v>
      </c>
      <c r="S240" s="318">
        <f>Tabel668921274[[#This Row],[Total. ch. DW 2017]]+Tabel668921274[[#This Row],[Sew. 2017]]+Tabel668921274[[#This Row],[VAT Sew. 2017]]+Tabel668921274[[#This Row],[WW 2017]]+Tabel668921274[[#This Row],[VAT WW 2017]]+Tabel668921274[[#This Row],[Other ch. 2017]]+Tabel668921274[[#This Row],[VAT Other ch. 2017]]</f>
        <v>497.62204050954426</v>
      </c>
      <c r="T240" s="397"/>
      <c r="U240" s="1839">
        <f>SUM(G240:G242)/3</f>
        <v>264.3617090206954</v>
      </c>
      <c r="V240" s="1842">
        <v>0</v>
      </c>
      <c r="W240" s="1845">
        <v>0</v>
      </c>
      <c r="X240" s="575"/>
      <c r="Y240" s="1848">
        <f>SUM(K240:K242)/3</f>
        <v>264.3617090206954</v>
      </c>
      <c r="Z240" s="1851">
        <f>SUM(L240:L242)/3</f>
        <v>282.50417924760586</v>
      </c>
      <c r="AA240" s="575"/>
      <c r="AB240" s="1854">
        <v>0</v>
      </c>
      <c r="AC240" s="575"/>
      <c r="AD240" s="1857">
        <v>0</v>
      </c>
      <c r="AE240" s="575"/>
      <c r="AF240" s="1872">
        <f>SUM(R240:R242)/3</f>
        <v>0</v>
      </c>
      <c r="AG240" s="1875">
        <f>SUM(S240:S242)/3</f>
        <v>546.86588826830121</v>
      </c>
      <c r="AH240" s="397"/>
      <c r="AI240" s="398"/>
      <c r="AJ240" s="396" t="s">
        <v>429</v>
      </c>
      <c r="AK240" s="396" t="s">
        <v>429</v>
      </c>
      <c r="AL240" s="396"/>
      <c r="AM240" s="396" t="s">
        <v>429</v>
      </c>
      <c r="AN240" s="398"/>
      <c r="AO240" s="398"/>
      <c r="AP240" s="397"/>
    </row>
    <row r="241" spans="1:42" ht="18.75" hidden="1" x14ac:dyDescent="0.25">
      <c r="A241" s="1834"/>
      <c r="B241" s="269" t="s">
        <v>141</v>
      </c>
      <c r="C241" s="1048"/>
      <c r="D241" s="805" t="s">
        <v>1127</v>
      </c>
      <c r="E241" s="2157"/>
      <c r="F241" s="307">
        <v>0.77166999999999997</v>
      </c>
      <c r="G241" s="319">
        <f>0.96*200/F241</f>
        <v>248.81102025477213</v>
      </c>
      <c r="H241" s="320">
        <v>0</v>
      </c>
      <c r="I241" s="321">
        <v>0</v>
      </c>
      <c r="J241" s="559"/>
      <c r="K241" s="313">
        <f>Tabel668921274[[#This Row],[Fix.ch. 2017]]+Tabel668921274[[#This Row],[Var. ch. 2017]]+Tabel668921274[[#This Row],[Oth. ch. DW 2017]]+Tabel668921274[[#This Row],[VAT DW 2017]]</f>
        <v>248.81102025477213</v>
      </c>
      <c r="L241" s="322">
        <f>1.1*200/F241</f>
        <v>285.09596070859311</v>
      </c>
      <c r="M241" s="559"/>
      <c r="N241" s="323">
        <v>0</v>
      </c>
      <c r="O241" s="559"/>
      <c r="P241" s="324">
        <v>0</v>
      </c>
      <c r="Q241" s="559"/>
      <c r="R241" s="317">
        <f>Tabel668921274[[#This Row],[VAT DW 2017]]+Tabel668921274[[#This Row],[VAT Sew. 2017]]+Tabel668921274[[#This Row],[VAT WW 2017]]+Tabel668921274[[#This Row],[VAT Other ch. 2017]]</f>
        <v>0</v>
      </c>
      <c r="S241" s="318">
        <f>Tabel668921274[[#This Row],[Total. ch. DW 2017]]+Tabel668921274[[#This Row],[Sew. 2017]]+Tabel668921274[[#This Row],[VAT Sew. 2017]]+Tabel668921274[[#This Row],[WW 2017]]+Tabel668921274[[#This Row],[VAT WW 2017]]+Tabel668921274[[#This Row],[Other ch. 2017]]+Tabel668921274[[#This Row],[VAT Other ch. 2017]]</f>
        <v>533.90698096336519</v>
      </c>
      <c r="T241" s="397"/>
      <c r="U241" s="2158"/>
      <c r="V241" s="2159"/>
      <c r="W241" s="2160"/>
      <c r="X241" s="576"/>
      <c r="Y241" s="2141"/>
      <c r="Z241" s="2142"/>
      <c r="AA241" s="576"/>
      <c r="AB241" s="2143"/>
      <c r="AC241" s="576"/>
      <c r="AD241" s="2144"/>
      <c r="AE241" s="576"/>
      <c r="AF241" s="2145"/>
      <c r="AG241" s="2146"/>
      <c r="AH241" s="397"/>
      <c r="AI241" s="398"/>
      <c r="AJ241" s="396" t="s">
        <v>429</v>
      </c>
      <c r="AK241" s="396" t="s">
        <v>429</v>
      </c>
      <c r="AL241" s="396"/>
      <c r="AM241" s="396" t="s">
        <v>429</v>
      </c>
      <c r="AN241" s="398"/>
      <c r="AO241" s="398"/>
      <c r="AP241" s="397"/>
    </row>
    <row r="242" spans="1:42" ht="19.5" hidden="1" thickBot="1" x14ac:dyDescent="0.3">
      <c r="A242" s="1835"/>
      <c r="B242" s="290" t="s">
        <v>142</v>
      </c>
      <c r="C242" s="1048"/>
      <c r="D242" s="805" t="s">
        <v>1127</v>
      </c>
      <c r="E242" s="1838"/>
      <c r="F242" s="307">
        <v>0.77166999999999997</v>
      </c>
      <c r="G242" s="319">
        <f>1.2*200/F242</f>
        <v>311.01377531846515</v>
      </c>
      <c r="H242" s="320">
        <v>0</v>
      </c>
      <c r="I242" s="321">
        <v>0</v>
      </c>
      <c r="J242" s="559"/>
      <c r="K242" s="313">
        <f>Tabel668921274[[#This Row],[Fix.ch. 2017]]+Tabel668921274[[#This Row],[Var. ch. 2017]]+Tabel668921274[[#This Row],[Oth. ch. DW 2017]]+Tabel668921274[[#This Row],[VAT DW 2017]]</f>
        <v>311.01377531846515</v>
      </c>
      <c r="L242" s="322">
        <f>1.15*200/F242</f>
        <v>298.05486801352907</v>
      </c>
      <c r="M242" s="559"/>
      <c r="N242" s="323">
        <v>0</v>
      </c>
      <c r="O242" s="559"/>
      <c r="P242" s="324">
        <v>0</v>
      </c>
      <c r="Q242" s="559"/>
      <c r="R242" s="317">
        <f>Tabel668921274[[#This Row],[VAT DW 2017]]+Tabel668921274[[#This Row],[VAT Sew. 2017]]+Tabel668921274[[#This Row],[VAT WW 2017]]+Tabel668921274[[#This Row],[VAT Other ch. 2017]]</f>
        <v>0</v>
      </c>
      <c r="S242" s="318">
        <f>Tabel668921274[[#This Row],[Total. ch. DW 2017]]+Tabel668921274[[#This Row],[Sew. 2017]]+Tabel668921274[[#This Row],[VAT Sew. 2017]]+Tabel668921274[[#This Row],[WW 2017]]+Tabel668921274[[#This Row],[VAT WW 2017]]+Tabel668921274[[#This Row],[Other ch. 2017]]+Tabel668921274[[#This Row],[VAT Other ch. 2017]]</f>
        <v>609.06864333199428</v>
      </c>
      <c r="T242" s="397"/>
      <c r="U242" s="1841"/>
      <c r="V242" s="1844"/>
      <c r="W242" s="1847"/>
      <c r="X242" s="577"/>
      <c r="Y242" s="1850"/>
      <c r="Z242" s="1853"/>
      <c r="AA242" s="577"/>
      <c r="AB242" s="1856"/>
      <c r="AC242" s="577"/>
      <c r="AD242" s="1859"/>
      <c r="AE242" s="577"/>
      <c r="AF242" s="1874"/>
      <c r="AG242" s="1877"/>
      <c r="AH242" s="397"/>
      <c r="AI242" s="398"/>
      <c r="AJ242" s="396" t="s">
        <v>429</v>
      </c>
      <c r="AK242" s="396" t="s">
        <v>429</v>
      </c>
      <c r="AL242" s="396"/>
      <c r="AM242" s="396" t="s">
        <v>429</v>
      </c>
      <c r="AN242" s="398"/>
      <c r="AO242" s="398"/>
      <c r="AP242" s="397"/>
    </row>
    <row r="243" spans="1:42" ht="19.5" hidden="1" thickBot="1" x14ac:dyDescent="0.35">
      <c r="A243" s="267" t="s">
        <v>43</v>
      </c>
      <c r="B243" s="294" t="s">
        <v>644</v>
      </c>
      <c r="C243" s="261" t="s">
        <v>429</v>
      </c>
      <c r="D243" s="808" t="s">
        <v>1129</v>
      </c>
      <c r="E243" s="301">
        <v>11500</v>
      </c>
      <c r="F243" s="306">
        <f>'exchange rates'!K56</f>
        <v>10.498559999999999</v>
      </c>
      <c r="G243" s="319">
        <v>0</v>
      </c>
      <c r="H243" s="320">
        <f>1099.22/F243</f>
        <v>104.70197817605462</v>
      </c>
      <c r="I243" s="321">
        <v>0</v>
      </c>
      <c r="J243" s="559"/>
      <c r="K243" s="313">
        <f>Tabel668921274[[#This Row],[Fix.ch. 2017]]+Tabel668921274[[#This Row],[Var. ch. 2017]]+Tabel668921274[[#This Row],[Oth. ch. DW 2017]]+Tabel668921274[[#This Row],[VAT DW 2017]]</f>
        <v>104.70197817605462</v>
      </c>
      <c r="L243" s="322">
        <f>860.9/F243</f>
        <v>82.00172214094124</v>
      </c>
      <c r="M243" s="559"/>
      <c r="N243" s="323">
        <v>0</v>
      </c>
      <c r="O243" s="559"/>
      <c r="P243" s="324">
        <v>0</v>
      </c>
      <c r="Q243" s="559"/>
      <c r="R243" s="317">
        <f>Tabel668921274[[#This Row],[VAT DW 2017]]+Tabel668921274[[#This Row],[VAT Sew. 2017]]+Tabel668921274[[#This Row],[VAT WW 2017]]+Tabel668921274[[#This Row],[VAT Other ch. 2017]]</f>
        <v>0</v>
      </c>
      <c r="S243" s="318">
        <f>Tabel668921274[[#This Row],[Total. ch. DW 2017]]+Tabel668921274[[#This Row],[Sew. 2017]]+Tabel668921274[[#This Row],[VAT Sew. 2017]]+Tabel668921274[[#This Row],[WW 2017]]+Tabel668921274[[#This Row],[VAT WW 2017]]+Tabel668921274[[#This Row],[Other ch. 2017]]+Tabel668921274[[#This Row],[VAT Other ch. 2017]]</f>
        <v>186.70370031699588</v>
      </c>
      <c r="T243" s="397"/>
      <c r="U243" s="340">
        <f>Tabel668921274[[#This Row],[Fix.ch. 2017]]</f>
        <v>0</v>
      </c>
      <c r="V243" s="341">
        <f>Tabel668921274[[#This Row],[Var. ch. 2017]]</f>
        <v>104.70197817605462</v>
      </c>
      <c r="W243" s="333">
        <f>Tabel668921274[[#This Row],[Oth. ch. DW 2017]]</f>
        <v>0</v>
      </c>
      <c r="X243" s="574"/>
      <c r="Y243" s="334">
        <f>Tabel668921274[[#This Row],[Total. ch. DW 2017]]</f>
        <v>104.70197817605462</v>
      </c>
      <c r="Z243" s="335">
        <f>Tabel668921274[[#This Row],[Sew. 2017]]</f>
        <v>82.00172214094124</v>
      </c>
      <c r="AA243" s="574"/>
      <c r="AB243" s="336">
        <f>Tabel668921274[[#This Row],[WW 2017]]</f>
        <v>0</v>
      </c>
      <c r="AC243" s="574"/>
      <c r="AD243" s="337">
        <f>Tabel668921274[[#This Row],[Other ch. 2017]]</f>
        <v>0</v>
      </c>
      <c r="AE243" s="574"/>
      <c r="AF243" s="338">
        <f>Tabel668921274[[#This Row],[Total VAT 2017]]</f>
        <v>0</v>
      </c>
      <c r="AG243" s="458">
        <f>SUM(Y243:AF243)</f>
        <v>186.70370031699588</v>
      </c>
      <c r="AH243" s="397"/>
      <c r="AI243" s="398"/>
      <c r="AJ243" s="398"/>
      <c r="AK243" s="398"/>
      <c r="AL243" s="396" t="s">
        <v>429</v>
      </c>
      <c r="AM243" s="396"/>
      <c r="AN243" s="396" t="s">
        <v>429</v>
      </c>
      <c r="AO243" s="398"/>
      <c r="AP243" s="397"/>
    </row>
    <row r="244" spans="1:42" ht="19.5" hidden="1" thickBot="1" x14ac:dyDescent="0.3">
      <c r="A244" s="267" t="s">
        <v>450</v>
      </c>
      <c r="B244" s="261" t="s">
        <v>177</v>
      </c>
      <c r="C244" s="261"/>
      <c r="D244" s="808" t="s">
        <v>1028</v>
      </c>
      <c r="E244" s="301">
        <v>40800</v>
      </c>
      <c r="F244" s="306">
        <v>0.97958999999999996</v>
      </c>
      <c r="G244" s="310">
        <f>142.4/F244</f>
        <v>145.36693922967774</v>
      </c>
      <c r="H244" s="311">
        <f>352/F244</f>
        <v>359.33400708459664</v>
      </c>
      <c r="I244" s="312">
        <f>36/F244</f>
        <v>36.750068906379198</v>
      </c>
      <c r="J244" s="558"/>
      <c r="K244" s="313">
        <f>Tabel668921274[[#This Row],[Fix.ch. 2017]]+Tabel668921274[[#This Row],[Var. ch. 2017]]+Tabel668921274[[#This Row],[Oth. ch. DW 2017]]+Tabel668921274[[#This Row],[VAT DW 2017]]</f>
        <v>541.45101522065352</v>
      </c>
      <c r="L244" s="314">
        <f>457.3/F244</f>
        <v>466.82795863575581</v>
      </c>
      <c r="M244" s="558"/>
      <c r="N244" s="315">
        <f>0</f>
        <v>0</v>
      </c>
      <c r="O244" s="558"/>
      <c r="P244" s="316">
        <v>0</v>
      </c>
      <c r="Q244" s="558"/>
      <c r="R244" s="317">
        <f>Tabel668921274[[#This Row],[VAT DW 2017]]+Tabel668921274[[#This Row],[VAT Sew. 2017]]+Tabel668921274[[#This Row],[VAT WW 2017]]+Tabel668921274[[#This Row],[VAT Other ch. 2017]]</f>
        <v>0</v>
      </c>
      <c r="S244" s="318">
        <f>Tabel668921274[[#This Row],[Total. ch. DW 2017]]+Tabel668921274[[#This Row],[Sew. 2017]]+Tabel668921274[[#This Row],[VAT Sew. 2017]]+Tabel668921274[[#This Row],[WW 2017]]+Tabel668921274[[#This Row],[VAT WW 2017]]+Tabel668921274[[#This Row],[Other ch. 2017]]+Tabel668921274[[#This Row],[VAT Other ch. 2017]]</f>
        <v>1008.2789738564093</v>
      </c>
      <c r="T244" s="397"/>
      <c r="U244" s="340">
        <f>Tabel668921274[[#This Row],[Fix.ch. 2017]]</f>
        <v>145.36693922967774</v>
      </c>
      <c r="V244" s="341">
        <v>359.33400708459664</v>
      </c>
      <c r="W244" s="342">
        <v>36.750068906379198</v>
      </c>
      <c r="X244" s="581"/>
      <c r="Y244" s="343">
        <v>541.45101522065352</v>
      </c>
      <c r="Z244" s="344">
        <v>466.82795863575581</v>
      </c>
      <c r="AA244" s="581"/>
      <c r="AB244" s="345">
        <v>0</v>
      </c>
      <c r="AC244" s="581"/>
      <c r="AD244" s="346">
        <v>0</v>
      </c>
      <c r="AE244" s="581"/>
      <c r="AF244" s="347">
        <v>0</v>
      </c>
      <c r="AG244" s="348">
        <v>1008.2789738564093</v>
      </c>
      <c r="AH244" s="397"/>
      <c r="AI244" s="398"/>
      <c r="AJ244" s="398"/>
      <c r="AK244" s="398"/>
      <c r="AL244" s="396" t="s">
        <v>429</v>
      </c>
      <c r="AM244" s="396" t="s">
        <v>429</v>
      </c>
      <c r="AN244" s="396" t="s">
        <v>429</v>
      </c>
      <c r="AO244" s="398" t="s">
        <v>452</v>
      </c>
      <c r="AP244" s="397"/>
    </row>
    <row r="245" spans="1:42" ht="18" hidden="1" customHeight="1" x14ac:dyDescent="0.25">
      <c r="A245" s="1878" t="s">
        <v>25</v>
      </c>
      <c r="B245" s="638" t="s">
        <v>143</v>
      </c>
      <c r="C245" s="693" t="s">
        <v>429</v>
      </c>
      <c r="D245" s="806" t="s">
        <v>1131</v>
      </c>
      <c r="E245" s="1934">
        <v>39400</v>
      </c>
      <c r="F245" s="617">
        <f>'exchange rates'!$O$57</f>
        <v>1066.97433</v>
      </c>
      <c r="G245" s="549">
        <v>0</v>
      </c>
      <c r="H245" s="550">
        <f>57210/F245</f>
        <v>53.618909463360751</v>
      </c>
      <c r="I245" s="551">
        <v>0</v>
      </c>
      <c r="J245" s="560">
        <v>0</v>
      </c>
      <c r="K245" s="566">
        <f>Tabel668921274[[#This Row],[Fix.ch. 2017]]+Tabel668921274[[#This Row],[Var. ch. 2017]]+Tabel668921274[[#This Row],[Oth. ch. DW 2017]]+Tabel668921274[[#This Row],[VAT DW 2017]]</f>
        <v>53.618909463360751</v>
      </c>
      <c r="L245" s="567">
        <v>0</v>
      </c>
      <c r="M245" s="560">
        <v>0</v>
      </c>
      <c r="N245" s="568">
        <v>0</v>
      </c>
      <c r="O245" s="560">
        <v>0</v>
      </c>
      <c r="P245" s="569">
        <v>0</v>
      </c>
      <c r="Q245" s="560">
        <v>0</v>
      </c>
      <c r="R245" s="570">
        <f>Tabel668921274[[#This Row],[VAT DW 2017]]+Tabel668921274[[#This Row],[VAT Sew. 2017]]+Tabel668921274[[#This Row],[VAT WW 2017]]+Tabel668921274[[#This Row],[VAT Other ch. 2017]]</f>
        <v>0</v>
      </c>
      <c r="S245" s="571">
        <f>Tabel668921274[[#This Row],[Total. ch. DW 2017]]+Tabel668921274[[#This Row],[Sew. 2017]]+Tabel668921274[[#This Row],[VAT Sew. 2017]]+Tabel668921274[[#This Row],[WW 2017]]+Tabel668921274[[#This Row],[VAT WW 2017]]+Tabel668921274[[#This Row],[Other ch. 2017]]+Tabel668921274[[#This Row],[VAT Other ch. 2017]]</f>
        <v>53.618909463360751</v>
      </c>
      <c r="T245" s="397"/>
      <c r="U245" s="1935">
        <f>MEDIAN(G245:G252)</f>
        <v>0</v>
      </c>
      <c r="V245" s="1936">
        <f>MEDIAN(H245:H252)</f>
        <v>63.698814572230617</v>
      </c>
      <c r="W245" s="1937">
        <f>MEDIAN(I245:I252)</f>
        <v>0</v>
      </c>
      <c r="X245" s="1771">
        <f>MEDIAN(J245:J252)</f>
        <v>0</v>
      </c>
      <c r="Y245" s="1939">
        <f>SUM(U245:X252)</f>
        <v>63.698814572230617</v>
      </c>
      <c r="Z245" s="1950">
        <f t="shared" ref="Z245:AF245" si="35">MEDIAN(L245:L252)</f>
        <v>0</v>
      </c>
      <c r="AA245" s="1771">
        <f t="shared" si="35"/>
        <v>0</v>
      </c>
      <c r="AB245" s="1946">
        <f t="shared" si="35"/>
        <v>0</v>
      </c>
      <c r="AC245" s="1771">
        <f t="shared" si="35"/>
        <v>0</v>
      </c>
      <c r="AD245" s="1947">
        <f t="shared" si="35"/>
        <v>0</v>
      </c>
      <c r="AE245" s="1771">
        <f t="shared" si="35"/>
        <v>0</v>
      </c>
      <c r="AF245" s="1944">
        <f t="shared" si="35"/>
        <v>0</v>
      </c>
      <c r="AG245" s="1945">
        <f>Y245+Z245+AA245+AB245+AC245+AD245+AE245</f>
        <v>63.698814572230617</v>
      </c>
      <c r="AH245" s="397"/>
      <c r="AI245" s="398"/>
      <c r="AJ245" s="398"/>
      <c r="AK245" s="398"/>
      <c r="AL245" s="591" t="s">
        <v>429</v>
      </c>
      <c r="AM245" s="398"/>
      <c r="AN245" s="398"/>
      <c r="AO245" s="398"/>
      <c r="AP245" s="397"/>
    </row>
    <row r="246" spans="1:42" ht="15.75" hidden="1" x14ac:dyDescent="0.25">
      <c r="A246" s="1757"/>
      <c r="B246" s="639" t="s">
        <v>144</v>
      </c>
      <c r="C246" s="639"/>
      <c r="D246" s="724" t="s">
        <v>1131</v>
      </c>
      <c r="E246" s="1760"/>
      <c r="F246" s="617">
        <f>'exchange rates'!$O$57</f>
        <v>1066.97433</v>
      </c>
      <c r="G246" s="549">
        <v>0</v>
      </c>
      <c r="H246" s="550">
        <f>77030/F246</f>
        <v>72.194801537540272</v>
      </c>
      <c r="I246" s="551">
        <v>0</v>
      </c>
      <c r="J246" s="560">
        <v>0</v>
      </c>
      <c r="K246" s="566">
        <f>Tabel668921274[[#This Row],[Fix.ch. 2017]]+Tabel668921274[[#This Row],[Var. ch. 2017]]+Tabel668921274[[#This Row],[Oth. ch. DW 2017]]+Tabel668921274[[#This Row],[VAT DW 2017]]</f>
        <v>72.194801537540272</v>
      </c>
      <c r="L246" s="567">
        <v>0</v>
      </c>
      <c r="M246" s="560">
        <v>0</v>
      </c>
      <c r="N246" s="568">
        <v>0</v>
      </c>
      <c r="O246" s="560">
        <v>0</v>
      </c>
      <c r="P246" s="569">
        <v>0</v>
      </c>
      <c r="Q246" s="560">
        <v>0</v>
      </c>
      <c r="R246" s="570">
        <f>Tabel668921274[[#This Row],[VAT DW 2017]]+Tabel668921274[[#This Row],[VAT Sew. 2017]]+Tabel668921274[[#This Row],[VAT WW 2017]]+Tabel668921274[[#This Row],[VAT Other ch. 2017]]</f>
        <v>0</v>
      </c>
      <c r="S246" s="571">
        <f>Tabel668921274[[#This Row],[Total. ch. DW 2017]]+Tabel668921274[[#This Row],[Sew. 2017]]+Tabel668921274[[#This Row],[VAT Sew. 2017]]+Tabel668921274[[#This Row],[WW 2017]]+Tabel668921274[[#This Row],[VAT WW 2017]]+Tabel668921274[[#This Row],[Other ch. 2017]]+Tabel668921274[[#This Row],[VAT Other ch. 2017]]</f>
        <v>72.194801537540272</v>
      </c>
      <c r="T246" s="397"/>
      <c r="U246" s="1763"/>
      <c r="V246" s="1766"/>
      <c r="W246" s="1769"/>
      <c r="X246" s="1772"/>
      <c r="Y246" s="1775"/>
      <c r="Z246" s="1778"/>
      <c r="AA246" s="1772"/>
      <c r="AB246" s="1781"/>
      <c r="AC246" s="1772"/>
      <c r="AD246" s="1785"/>
      <c r="AE246" s="1772"/>
      <c r="AF246" s="1788"/>
      <c r="AG246" s="1791"/>
      <c r="AH246" s="397"/>
      <c r="AI246" s="398"/>
      <c r="AJ246" s="398"/>
      <c r="AK246" s="398"/>
      <c r="AL246" s="591" t="s">
        <v>429</v>
      </c>
      <c r="AM246" s="398"/>
      <c r="AN246" s="398"/>
      <c r="AO246" s="398"/>
      <c r="AP246" s="397"/>
    </row>
    <row r="247" spans="1:42" ht="15.75" hidden="1" x14ac:dyDescent="0.25">
      <c r="A247" s="1757"/>
      <c r="B247" s="639" t="s">
        <v>145</v>
      </c>
      <c r="C247" s="639"/>
      <c r="D247" s="724" t="s">
        <v>1131</v>
      </c>
      <c r="E247" s="1760"/>
      <c r="F247" s="617">
        <f>'exchange rates'!$O$57</f>
        <v>1066.97433</v>
      </c>
      <c r="G247" s="549">
        <v>0</v>
      </c>
      <c r="H247" s="550">
        <f>68930/F247</f>
        <v>64.603241204500208</v>
      </c>
      <c r="I247" s="551">
        <v>0</v>
      </c>
      <c r="J247" s="560">
        <v>0</v>
      </c>
      <c r="K247" s="566">
        <f>Tabel668921274[[#This Row],[Fix.ch. 2017]]+Tabel668921274[[#This Row],[Var. ch. 2017]]+Tabel668921274[[#This Row],[Oth. ch. DW 2017]]+Tabel668921274[[#This Row],[VAT DW 2017]]</f>
        <v>64.603241204500208</v>
      </c>
      <c r="L247" s="567">
        <v>0</v>
      </c>
      <c r="M247" s="560">
        <v>0</v>
      </c>
      <c r="N247" s="568">
        <v>0</v>
      </c>
      <c r="O247" s="560">
        <v>0</v>
      </c>
      <c r="P247" s="569">
        <v>0</v>
      </c>
      <c r="Q247" s="560">
        <v>0</v>
      </c>
      <c r="R247" s="570">
        <f>Tabel668921274[[#This Row],[VAT DW 2017]]+Tabel668921274[[#This Row],[VAT Sew. 2017]]+Tabel668921274[[#This Row],[VAT WW 2017]]+Tabel668921274[[#This Row],[VAT Other ch. 2017]]</f>
        <v>0</v>
      </c>
      <c r="S247" s="571">
        <f>Tabel668921274[[#This Row],[Total. ch. DW 2017]]+Tabel668921274[[#This Row],[Sew. 2017]]+Tabel668921274[[#This Row],[VAT Sew. 2017]]+Tabel668921274[[#This Row],[WW 2017]]+Tabel668921274[[#This Row],[VAT WW 2017]]+Tabel668921274[[#This Row],[Other ch. 2017]]+Tabel668921274[[#This Row],[VAT Other ch. 2017]]</f>
        <v>64.603241204500208</v>
      </c>
      <c r="T247" s="397"/>
      <c r="U247" s="1763"/>
      <c r="V247" s="1766"/>
      <c r="W247" s="1769"/>
      <c r="X247" s="1772"/>
      <c r="Y247" s="1775"/>
      <c r="Z247" s="1778"/>
      <c r="AA247" s="1772"/>
      <c r="AB247" s="1781"/>
      <c r="AC247" s="1772"/>
      <c r="AD247" s="1785"/>
      <c r="AE247" s="1772"/>
      <c r="AF247" s="1788"/>
      <c r="AG247" s="1791"/>
      <c r="AH247" s="397"/>
      <c r="AI247" s="398"/>
      <c r="AJ247" s="398"/>
      <c r="AK247" s="398"/>
      <c r="AL247" s="591" t="s">
        <v>429</v>
      </c>
      <c r="AM247" s="398"/>
      <c r="AN247" s="398"/>
      <c r="AO247" s="398"/>
      <c r="AP247" s="397"/>
    </row>
    <row r="248" spans="1:42" ht="15.75" hidden="1" x14ac:dyDescent="0.25">
      <c r="A248" s="1757"/>
      <c r="B248" s="639" t="s">
        <v>146</v>
      </c>
      <c r="C248" s="639"/>
      <c r="D248" s="724" t="s">
        <v>1131</v>
      </c>
      <c r="E248" s="1760"/>
      <c r="F248" s="617">
        <f>'exchange rates'!$O$57</f>
        <v>1066.97433</v>
      </c>
      <c r="G248" s="549">
        <v>0</v>
      </c>
      <c r="H248" s="550">
        <f>67150/F248</f>
        <v>62.934972390572881</v>
      </c>
      <c r="I248" s="551">
        <v>0</v>
      </c>
      <c r="J248" s="560">
        <v>0</v>
      </c>
      <c r="K248" s="566">
        <f>Tabel668921274[[#This Row],[Fix.ch. 2017]]+Tabel668921274[[#This Row],[Var. ch. 2017]]+Tabel668921274[[#This Row],[Oth. ch. DW 2017]]+Tabel668921274[[#This Row],[VAT DW 2017]]</f>
        <v>62.934972390572881</v>
      </c>
      <c r="L248" s="567">
        <v>0</v>
      </c>
      <c r="M248" s="560">
        <v>0</v>
      </c>
      <c r="N248" s="568">
        <v>0</v>
      </c>
      <c r="O248" s="560">
        <v>0</v>
      </c>
      <c r="P248" s="569">
        <v>0</v>
      </c>
      <c r="Q248" s="560">
        <v>0</v>
      </c>
      <c r="R248" s="570">
        <f>Tabel668921274[[#This Row],[VAT DW 2017]]+Tabel668921274[[#This Row],[VAT Sew. 2017]]+Tabel668921274[[#This Row],[VAT WW 2017]]+Tabel668921274[[#This Row],[VAT Other ch. 2017]]</f>
        <v>0</v>
      </c>
      <c r="S248" s="571">
        <f>Tabel668921274[[#This Row],[Total. ch. DW 2017]]+Tabel668921274[[#This Row],[Sew. 2017]]+Tabel668921274[[#This Row],[VAT Sew. 2017]]+Tabel668921274[[#This Row],[WW 2017]]+Tabel668921274[[#This Row],[VAT WW 2017]]+Tabel668921274[[#This Row],[Other ch. 2017]]+Tabel668921274[[#This Row],[VAT Other ch. 2017]]</f>
        <v>62.934972390572881</v>
      </c>
      <c r="T248" s="397"/>
      <c r="U248" s="1763"/>
      <c r="V248" s="1766"/>
      <c r="W248" s="1769"/>
      <c r="X248" s="1772"/>
      <c r="Y248" s="1775"/>
      <c r="Z248" s="1778"/>
      <c r="AA248" s="1772"/>
      <c r="AB248" s="1781"/>
      <c r="AC248" s="1772"/>
      <c r="AD248" s="1785"/>
      <c r="AE248" s="1772"/>
      <c r="AF248" s="1788"/>
      <c r="AG248" s="1791"/>
      <c r="AH248" s="397"/>
      <c r="AI248" s="398"/>
      <c r="AJ248" s="398"/>
      <c r="AK248" s="398"/>
      <c r="AL248" s="591" t="s">
        <v>429</v>
      </c>
      <c r="AM248" s="398"/>
      <c r="AN248" s="398"/>
      <c r="AO248" s="398"/>
      <c r="AP248" s="397"/>
    </row>
    <row r="249" spans="1:42" ht="15.75" hidden="1" x14ac:dyDescent="0.25">
      <c r="A249" s="1757"/>
      <c r="B249" s="639" t="s">
        <v>147</v>
      </c>
      <c r="C249" s="639"/>
      <c r="D249" s="724" t="s">
        <v>1131</v>
      </c>
      <c r="E249" s="1760"/>
      <c r="F249" s="617">
        <f>'exchange rates'!$O$57</f>
        <v>1066.97433</v>
      </c>
      <c r="G249" s="549">
        <v>0</v>
      </c>
      <c r="H249" s="550">
        <f>62240/F249</f>
        <v>58.333174707211562</v>
      </c>
      <c r="I249" s="551">
        <v>0</v>
      </c>
      <c r="J249" s="560">
        <v>0</v>
      </c>
      <c r="K249" s="566">
        <f>Tabel668921274[[#This Row],[Fix.ch. 2017]]+Tabel668921274[[#This Row],[Var. ch. 2017]]+Tabel668921274[[#This Row],[Oth. ch. DW 2017]]+Tabel668921274[[#This Row],[VAT DW 2017]]</f>
        <v>58.333174707211562</v>
      </c>
      <c r="L249" s="567">
        <v>0</v>
      </c>
      <c r="M249" s="560">
        <v>0</v>
      </c>
      <c r="N249" s="568">
        <v>0</v>
      </c>
      <c r="O249" s="560">
        <v>0</v>
      </c>
      <c r="P249" s="569">
        <v>0</v>
      </c>
      <c r="Q249" s="560">
        <v>0</v>
      </c>
      <c r="R249" s="570">
        <f>Tabel668921274[[#This Row],[VAT DW 2017]]+Tabel668921274[[#This Row],[VAT Sew. 2017]]+Tabel668921274[[#This Row],[VAT WW 2017]]+Tabel668921274[[#This Row],[VAT Other ch. 2017]]</f>
        <v>0</v>
      </c>
      <c r="S249" s="571">
        <f>Tabel668921274[[#This Row],[Total. ch. DW 2017]]+Tabel668921274[[#This Row],[Sew. 2017]]+Tabel668921274[[#This Row],[VAT Sew. 2017]]+Tabel668921274[[#This Row],[WW 2017]]+Tabel668921274[[#This Row],[VAT WW 2017]]+Tabel668921274[[#This Row],[Other ch. 2017]]+Tabel668921274[[#This Row],[VAT Other ch. 2017]]</f>
        <v>58.333174707211562</v>
      </c>
      <c r="T249" s="397"/>
      <c r="U249" s="1763"/>
      <c r="V249" s="1766"/>
      <c r="W249" s="1769"/>
      <c r="X249" s="1772"/>
      <c r="Y249" s="1775"/>
      <c r="Z249" s="1778"/>
      <c r="AA249" s="1772"/>
      <c r="AB249" s="1781"/>
      <c r="AC249" s="1772"/>
      <c r="AD249" s="1785"/>
      <c r="AE249" s="1772"/>
      <c r="AF249" s="1788"/>
      <c r="AG249" s="1791"/>
      <c r="AH249" s="397"/>
      <c r="AI249" s="398"/>
      <c r="AJ249" s="398"/>
      <c r="AK249" s="398"/>
      <c r="AL249" s="591" t="s">
        <v>429</v>
      </c>
      <c r="AM249" s="398"/>
      <c r="AN249" s="398"/>
      <c r="AO249" s="398"/>
      <c r="AP249" s="397"/>
    </row>
    <row r="250" spans="1:42" ht="15.75" hidden="1" x14ac:dyDescent="0.25">
      <c r="A250" s="1757"/>
      <c r="B250" s="639" t="s">
        <v>148</v>
      </c>
      <c r="C250" s="639"/>
      <c r="D250" s="724" t="s">
        <v>1131</v>
      </c>
      <c r="E250" s="1760"/>
      <c r="F250" s="617">
        <f>'exchange rates'!$O$57</f>
        <v>1066.97433</v>
      </c>
      <c r="G250" s="549">
        <v>0</v>
      </c>
      <c r="H250" s="550">
        <f>52990/F250</f>
        <v>49.663800252813957</v>
      </c>
      <c r="I250" s="551">
        <v>0</v>
      </c>
      <c r="J250" s="560">
        <v>0</v>
      </c>
      <c r="K250" s="566">
        <f>Tabel668921274[[#This Row],[Fix.ch. 2017]]+Tabel668921274[[#This Row],[Var. ch. 2017]]+Tabel668921274[[#This Row],[Oth. ch. DW 2017]]+Tabel668921274[[#This Row],[VAT DW 2017]]</f>
        <v>49.663800252813957</v>
      </c>
      <c r="L250" s="567">
        <v>0</v>
      </c>
      <c r="M250" s="560">
        <v>0</v>
      </c>
      <c r="N250" s="568">
        <v>0</v>
      </c>
      <c r="O250" s="560">
        <v>0</v>
      </c>
      <c r="P250" s="569">
        <v>0</v>
      </c>
      <c r="Q250" s="560">
        <v>0</v>
      </c>
      <c r="R250" s="570">
        <f>Tabel668921274[[#This Row],[VAT DW 2017]]+Tabel668921274[[#This Row],[VAT Sew. 2017]]+Tabel668921274[[#This Row],[VAT WW 2017]]+Tabel668921274[[#This Row],[VAT Other ch. 2017]]</f>
        <v>0</v>
      </c>
      <c r="S250" s="571">
        <f>Tabel668921274[[#This Row],[Total. ch. DW 2017]]+Tabel668921274[[#This Row],[Sew. 2017]]+Tabel668921274[[#This Row],[VAT Sew. 2017]]+Tabel668921274[[#This Row],[WW 2017]]+Tabel668921274[[#This Row],[VAT WW 2017]]+Tabel668921274[[#This Row],[Other ch. 2017]]+Tabel668921274[[#This Row],[VAT Other ch. 2017]]</f>
        <v>49.663800252813957</v>
      </c>
      <c r="T250" s="397"/>
      <c r="U250" s="1763"/>
      <c r="V250" s="1766"/>
      <c r="W250" s="1769"/>
      <c r="X250" s="1772"/>
      <c r="Y250" s="1775"/>
      <c r="Z250" s="1778"/>
      <c r="AA250" s="1772"/>
      <c r="AB250" s="1781"/>
      <c r="AC250" s="1772"/>
      <c r="AD250" s="1785"/>
      <c r="AE250" s="1772"/>
      <c r="AF250" s="1788"/>
      <c r="AG250" s="1791"/>
      <c r="AH250" s="397"/>
      <c r="AI250" s="398"/>
      <c r="AJ250" s="398"/>
      <c r="AK250" s="398"/>
      <c r="AL250" s="591" t="s">
        <v>429</v>
      </c>
      <c r="AM250" s="398"/>
      <c r="AN250" s="398"/>
      <c r="AO250" s="398"/>
      <c r="AP250" s="397"/>
    </row>
    <row r="251" spans="1:42" ht="15.75" hidden="1" x14ac:dyDescent="0.25">
      <c r="A251" s="1757"/>
      <c r="B251" s="639" t="s">
        <v>149</v>
      </c>
      <c r="C251" s="639"/>
      <c r="D251" s="724" t="s">
        <v>1131</v>
      </c>
      <c r="E251" s="1760"/>
      <c r="F251" s="617">
        <f>'exchange rates'!$O$57</f>
        <v>1066.97433</v>
      </c>
      <c r="G251" s="549">
        <v>0</v>
      </c>
      <c r="H251" s="550">
        <f>86540/F251</f>
        <v>81.107855706331748</v>
      </c>
      <c r="I251" s="551">
        <v>0</v>
      </c>
      <c r="J251" s="560">
        <v>0</v>
      </c>
      <c r="K251" s="566">
        <f>Tabel668921274[[#This Row],[Fix.ch. 2017]]+Tabel668921274[[#This Row],[Var. ch. 2017]]+Tabel668921274[[#This Row],[Oth. ch. DW 2017]]+Tabel668921274[[#This Row],[VAT DW 2017]]</f>
        <v>81.107855706331748</v>
      </c>
      <c r="L251" s="567">
        <v>0</v>
      </c>
      <c r="M251" s="560">
        <v>0</v>
      </c>
      <c r="N251" s="568">
        <v>0</v>
      </c>
      <c r="O251" s="560">
        <v>0</v>
      </c>
      <c r="P251" s="569">
        <v>0</v>
      </c>
      <c r="Q251" s="560">
        <v>0</v>
      </c>
      <c r="R251" s="570">
        <f>Tabel668921274[[#This Row],[VAT DW 2017]]+Tabel668921274[[#This Row],[VAT Sew. 2017]]+Tabel668921274[[#This Row],[VAT WW 2017]]+Tabel668921274[[#This Row],[VAT Other ch. 2017]]</f>
        <v>0</v>
      </c>
      <c r="S251" s="571">
        <f>Tabel668921274[[#This Row],[Total. ch. DW 2017]]+Tabel668921274[[#This Row],[Sew. 2017]]+Tabel668921274[[#This Row],[VAT Sew. 2017]]+Tabel668921274[[#This Row],[WW 2017]]+Tabel668921274[[#This Row],[VAT WW 2017]]+Tabel668921274[[#This Row],[Other ch. 2017]]+Tabel668921274[[#This Row],[VAT Other ch. 2017]]</f>
        <v>81.107855706331748</v>
      </c>
      <c r="T251" s="397"/>
      <c r="U251" s="1763"/>
      <c r="V251" s="1766"/>
      <c r="W251" s="1769"/>
      <c r="X251" s="1772"/>
      <c r="Y251" s="1775"/>
      <c r="Z251" s="1778"/>
      <c r="AA251" s="1772"/>
      <c r="AB251" s="1781"/>
      <c r="AC251" s="1772"/>
      <c r="AD251" s="1785"/>
      <c r="AE251" s="1772"/>
      <c r="AF251" s="1788"/>
      <c r="AG251" s="1791"/>
      <c r="AH251" s="397"/>
      <c r="AI251" s="398"/>
      <c r="AJ251" s="398"/>
      <c r="AK251" s="398"/>
      <c r="AL251" s="591" t="s">
        <v>429</v>
      </c>
      <c r="AM251" s="398"/>
      <c r="AN251" s="398"/>
      <c r="AO251" s="398"/>
      <c r="AP251" s="397"/>
    </row>
    <row r="252" spans="1:42" ht="16.5" hidden="1" thickBot="1" x14ac:dyDescent="0.3">
      <c r="A252" s="1758"/>
      <c r="B252" s="640" t="s">
        <v>150</v>
      </c>
      <c r="C252" s="652"/>
      <c r="D252" s="807" t="s">
        <v>1131</v>
      </c>
      <c r="E252" s="1799"/>
      <c r="F252" s="617">
        <f>'exchange rates'!$O$57</f>
        <v>1066.97433</v>
      </c>
      <c r="G252" s="549">
        <v>0</v>
      </c>
      <c r="H252" s="550">
        <f>68780/F252</f>
        <v>64.462656753888353</v>
      </c>
      <c r="I252" s="551">
        <v>0</v>
      </c>
      <c r="J252" s="560">
        <v>0</v>
      </c>
      <c r="K252" s="566">
        <f>Tabel668921274[[#This Row],[Fix.ch. 2017]]+Tabel668921274[[#This Row],[Var. ch. 2017]]+Tabel668921274[[#This Row],[Oth. ch. DW 2017]]+Tabel668921274[[#This Row],[VAT DW 2017]]</f>
        <v>64.462656753888353</v>
      </c>
      <c r="L252" s="567">
        <v>0</v>
      </c>
      <c r="M252" s="560">
        <v>0</v>
      </c>
      <c r="N252" s="568">
        <v>0</v>
      </c>
      <c r="O252" s="560">
        <v>0</v>
      </c>
      <c r="P252" s="569">
        <v>0</v>
      </c>
      <c r="Q252" s="560">
        <v>0</v>
      </c>
      <c r="R252" s="570">
        <f>Tabel668921274[[#This Row],[VAT DW 2017]]+Tabel668921274[[#This Row],[VAT Sew. 2017]]+Tabel668921274[[#This Row],[VAT WW 2017]]+Tabel668921274[[#This Row],[VAT Other ch. 2017]]</f>
        <v>0</v>
      </c>
      <c r="S252" s="571">
        <f>Tabel668921274[[#This Row],[Total. ch. DW 2017]]+Tabel668921274[[#This Row],[Sew. 2017]]+Tabel668921274[[#This Row],[VAT Sew. 2017]]+Tabel668921274[[#This Row],[WW 2017]]+Tabel668921274[[#This Row],[VAT WW 2017]]+Tabel668921274[[#This Row],[Other ch. 2017]]+Tabel668921274[[#This Row],[VAT Other ch. 2017]]</f>
        <v>64.462656753888353</v>
      </c>
      <c r="T252" s="397"/>
      <c r="U252" s="1801"/>
      <c r="V252" s="1803"/>
      <c r="W252" s="1805"/>
      <c r="X252" s="1773"/>
      <c r="Y252" s="1807"/>
      <c r="Z252" s="1809"/>
      <c r="AA252" s="1773"/>
      <c r="AB252" s="1782"/>
      <c r="AC252" s="1773"/>
      <c r="AD252" s="1786"/>
      <c r="AE252" s="1773"/>
      <c r="AF252" s="1789"/>
      <c r="AG252" s="1792"/>
      <c r="AH252" s="397"/>
      <c r="AI252" s="398"/>
      <c r="AJ252" s="398"/>
      <c r="AK252" s="398"/>
      <c r="AL252" s="591" t="s">
        <v>429</v>
      </c>
      <c r="AM252" s="398"/>
      <c r="AN252" s="398"/>
      <c r="AO252" s="398"/>
      <c r="AP252" s="397"/>
    </row>
    <row r="253" spans="1:42" ht="18" hidden="1" customHeight="1" x14ac:dyDescent="0.25">
      <c r="A253" s="1878" t="s">
        <v>26</v>
      </c>
      <c r="B253" s="638" t="s">
        <v>151</v>
      </c>
      <c r="C253" s="693"/>
      <c r="D253" s="806" t="s">
        <v>1133</v>
      </c>
      <c r="E253" s="1934">
        <v>38200</v>
      </c>
      <c r="F253" s="617">
        <f>'exchange rates'!$O$58</f>
        <v>0.83301000000000003</v>
      </c>
      <c r="G253" s="549">
        <v>0</v>
      </c>
      <c r="H253" s="550">
        <f>160.46/F253</f>
        <v>192.62673917479984</v>
      </c>
      <c r="I253" s="551">
        <v>0</v>
      </c>
      <c r="J253" s="560">
        <f>16.05/F253</f>
        <v>19.267475780602876</v>
      </c>
      <c r="K253" s="566">
        <f>Tabel668921274[[#This Row],[Fix.ch. 2017]]+Tabel668921274[[#This Row],[Var. ch. 2017]]+Tabel668921274[[#This Row],[Oth. ch. DW 2017]]+Tabel668921274[[#This Row],[VAT DW 2017]]</f>
        <v>211.8942149554027</v>
      </c>
      <c r="L253" s="567">
        <f>15.29/F253</f>
        <v>18.355121787253452</v>
      </c>
      <c r="M253" s="560">
        <f>1.53/F253</f>
        <v>1.8367126445060684</v>
      </c>
      <c r="N253" s="568">
        <f>48.63/F253</f>
        <v>58.378650916555628</v>
      </c>
      <c r="O253" s="560">
        <f>4.86/F253</f>
        <v>5.8342636943133934</v>
      </c>
      <c r="P253" s="569">
        <v>0</v>
      </c>
      <c r="Q253" s="560">
        <v>0</v>
      </c>
      <c r="R253" s="570">
        <f>Tabel668921274[[#This Row],[VAT DW 2017]]+Tabel668921274[[#This Row],[VAT Sew. 2017]]+Tabel668921274[[#This Row],[VAT WW 2017]]+Tabel668921274[[#This Row],[VAT Other ch. 2017]]</f>
        <v>26.938452119422337</v>
      </c>
      <c r="S253" s="571">
        <f>Tabel668921274[[#This Row],[Total. ch. DW 2017]]+Tabel668921274[[#This Row],[Sew. 2017]]+Tabel668921274[[#This Row],[VAT Sew. 2017]]+Tabel668921274[[#This Row],[WW 2017]]+Tabel668921274[[#This Row],[VAT WW 2017]]+Tabel668921274[[#This Row],[Other ch. 2017]]+Tabel668921274[[#This Row],[VAT Other ch. 2017]]</f>
        <v>296.29896399803124</v>
      </c>
      <c r="T253" s="397"/>
      <c r="U253" s="1935">
        <f>MEDIAN(G253:G257)</f>
        <v>0</v>
      </c>
      <c r="V253" s="1936">
        <f>MEDIAN(H253:H257)</f>
        <v>125.11254366694277</v>
      </c>
      <c r="W253" s="1937">
        <f>MEDIAN(I253:I257)</f>
        <v>0</v>
      </c>
      <c r="X253" s="1771">
        <f>MEDIAN(J253:J257)</f>
        <v>12.508853435132831</v>
      </c>
      <c r="Y253" s="1939">
        <f>SUM(U253:X257)</f>
        <v>137.6213971020756</v>
      </c>
      <c r="Z253" s="1950">
        <f t="shared" ref="Z253:AF253" si="36">MEDIAN(L253:L257)</f>
        <v>20.840085953349899</v>
      </c>
      <c r="AA253" s="1771">
        <f t="shared" si="36"/>
        <v>2.0888104584578815</v>
      </c>
      <c r="AB253" s="1946">
        <f t="shared" si="36"/>
        <v>91.811622909688964</v>
      </c>
      <c r="AC253" s="1771">
        <f t="shared" si="36"/>
        <v>9.1835632225303421</v>
      </c>
      <c r="AD253" s="1947">
        <f t="shared" si="36"/>
        <v>0</v>
      </c>
      <c r="AE253" s="1771">
        <f t="shared" si="36"/>
        <v>0</v>
      </c>
      <c r="AF253" s="1944">
        <f t="shared" si="36"/>
        <v>24.249408770602994</v>
      </c>
      <c r="AG253" s="1945">
        <f>Y253+Z253+AA253+AB253+AC253+AD253+AE253</f>
        <v>261.54547964610271</v>
      </c>
      <c r="AH253" s="397"/>
      <c r="AI253" s="398"/>
      <c r="AJ253" s="398"/>
      <c r="AK253" s="398"/>
      <c r="AL253" s="591" t="s">
        <v>429</v>
      </c>
      <c r="AM253" s="591" t="s">
        <v>429</v>
      </c>
      <c r="AN253" s="614"/>
      <c r="AO253" s="398"/>
      <c r="AP253" s="430" t="s">
        <v>937</v>
      </c>
    </row>
    <row r="254" spans="1:42" ht="15.75" hidden="1" x14ac:dyDescent="0.25">
      <c r="A254" s="1757"/>
      <c r="B254" s="639" t="s">
        <v>152</v>
      </c>
      <c r="C254" s="639"/>
      <c r="D254" s="724" t="s">
        <v>1133</v>
      </c>
      <c r="E254" s="1760"/>
      <c r="F254" s="617">
        <f>'exchange rates'!$O$58</f>
        <v>0.83301000000000003</v>
      </c>
      <c r="G254" s="549">
        <v>0</v>
      </c>
      <c r="H254" s="550">
        <f>87.7/F254</f>
        <v>105.28084896940013</v>
      </c>
      <c r="I254" s="551">
        <v>0</v>
      </c>
      <c r="J254" s="560">
        <f>8.77/F254</f>
        <v>10.528084896940012</v>
      </c>
      <c r="K254" s="566">
        <f>Tabel668921274[[#This Row],[Fix.ch. 2017]]+Tabel668921274[[#This Row],[Var. ch. 2017]]+Tabel668921274[[#This Row],[Oth. ch. DW 2017]]+Tabel668921274[[#This Row],[VAT DW 2017]]</f>
        <v>115.80893386634014</v>
      </c>
      <c r="L254" s="567">
        <v>0</v>
      </c>
      <c r="M254" s="560">
        <v>0</v>
      </c>
      <c r="N254" s="568">
        <f>80.93/F254</f>
        <v>97.153695633905954</v>
      </c>
      <c r="O254" s="560">
        <f>8.09/F254</f>
        <v>9.7117681660484259</v>
      </c>
      <c r="P254" s="569">
        <v>0</v>
      </c>
      <c r="Q254" s="560">
        <v>0</v>
      </c>
      <c r="R254" s="570">
        <f>Tabel668921274[[#This Row],[VAT DW 2017]]+Tabel668921274[[#This Row],[VAT Sew. 2017]]+Tabel668921274[[#This Row],[VAT WW 2017]]+Tabel668921274[[#This Row],[VAT Other ch. 2017]]</f>
        <v>20.239853062988438</v>
      </c>
      <c r="S254" s="571">
        <f>Tabel668921274[[#This Row],[Total. ch. DW 2017]]+Tabel668921274[[#This Row],[Sew. 2017]]+Tabel668921274[[#This Row],[VAT Sew. 2017]]+Tabel668921274[[#This Row],[WW 2017]]+Tabel668921274[[#This Row],[VAT WW 2017]]+Tabel668921274[[#This Row],[Other ch. 2017]]+Tabel668921274[[#This Row],[VAT Other ch. 2017]]</f>
        <v>222.67439766629451</v>
      </c>
      <c r="T254" s="397"/>
      <c r="U254" s="1763"/>
      <c r="V254" s="1766"/>
      <c r="W254" s="1769"/>
      <c r="X254" s="1772"/>
      <c r="Y254" s="1775"/>
      <c r="Z254" s="1778"/>
      <c r="AA254" s="1772"/>
      <c r="AB254" s="1781"/>
      <c r="AC254" s="1772"/>
      <c r="AD254" s="1785"/>
      <c r="AE254" s="1772"/>
      <c r="AF254" s="1788"/>
      <c r="AG254" s="1791"/>
      <c r="AH254" s="397"/>
      <c r="AI254" s="398"/>
      <c r="AJ254" s="398"/>
      <c r="AK254" s="398"/>
      <c r="AL254" s="591" t="s">
        <v>429</v>
      </c>
      <c r="AM254" s="591" t="s">
        <v>429</v>
      </c>
      <c r="AN254" s="591" t="s">
        <v>429</v>
      </c>
      <c r="AO254" s="398"/>
      <c r="AP254" s="430" t="s">
        <v>937</v>
      </c>
    </row>
    <row r="255" spans="1:42" ht="15.75" hidden="1" x14ac:dyDescent="0.25">
      <c r="A255" s="1757"/>
      <c r="B255" s="639" t="s">
        <v>153</v>
      </c>
      <c r="C255" s="639" t="s">
        <v>429</v>
      </c>
      <c r="D255" s="724" t="s">
        <v>1133</v>
      </c>
      <c r="E255" s="1760"/>
      <c r="F255" s="617">
        <f>'exchange rates'!$O$58</f>
        <v>0.83301000000000003</v>
      </c>
      <c r="G255" s="549">
        <v>0</v>
      </c>
      <c r="H255" s="550">
        <f>104.22/F255</f>
        <v>125.11254366694277</v>
      </c>
      <c r="I255" s="551">
        <v>0</v>
      </c>
      <c r="J255" s="560">
        <f>10.42/F255</f>
        <v>12.508853435132831</v>
      </c>
      <c r="K255" s="566">
        <f>Tabel668921274[[#This Row],[Fix.ch. 2017]]+Tabel668921274[[#This Row],[Var. ch. 2017]]+Tabel668921274[[#This Row],[Oth. ch. DW 2017]]+Tabel668921274[[#This Row],[VAT DW 2017]]</f>
        <v>137.6213971020756</v>
      </c>
      <c r="L255" s="567">
        <f>17.36/F255</f>
        <v>20.840085953349899</v>
      </c>
      <c r="M255" s="560">
        <f>1.74/F255</f>
        <v>2.0888104584578815</v>
      </c>
      <c r="N255" s="568">
        <f>49.97/F255</f>
        <v>59.987275062724336</v>
      </c>
      <c r="O255" s="560">
        <f>5/F255</f>
        <v>6.0023289036146021</v>
      </c>
      <c r="P255" s="569">
        <v>0</v>
      </c>
      <c r="Q255" s="560">
        <v>0</v>
      </c>
      <c r="R255" s="570">
        <f>Tabel668921274[[#This Row],[VAT DW 2017]]+Tabel668921274[[#This Row],[VAT Sew. 2017]]+Tabel668921274[[#This Row],[VAT WW 2017]]+Tabel668921274[[#This Row],[VAT Other ch. 2017]]</f>
        <v>20.599992797205317</v>
      </c>
      <c r="S255" s="571">
        <f>Tabel668921274[[#This Row],[Total. ch. DW 2017]]+Tabel668921274[[#This Row],[Sew. 2017]]+Tabel668921274[[#This Row],[VAT Sew. 2017]]+Tabel668921274[[#This Row],[WW 2017]]+Tabel668921274[[#This Row],[VAT WW 2017]]+Tabel668921274[[#This Row],[Other ch. 2017]]+Tabel668921274[[#This Row],[VAT Other ch. 2017]]</f>
        <v>226.53989748022232</v>
      </c>
      <c r="T255" s="397"/>
      <c r="U255" s="1763"/>
      <c r="V255" s="1766"/>
      <c r="W255" s="1769"/>
      <c r="X255" s="1772"/>
      <c r="Y255" s="1775"/>
      <c r="Z255" s="1778"/>
      <c r="AA255" s="1772"/>
      <c r="AB255" s="1781"/>
      <c r="AC255" s="1772"/>
      <c r="AD255" s="1785"/>
      <c r="AE255" s="1772"/>
      <c r="AF255" s="1788"/>
      <c r="AG255" s="1791"/>
      <c r="AH255" s="397"/>
      <c r="AI255" s="398"/>
      <c r="AJ255" s="398"/>
      <c r="AK255" s="398"/>
      <c r="AL255" s="591" t="s">
        <v>429</v>
      </c>
      <c r="AM255" s="591" t="s">
        <v>429</v>
      </c>
      <c r="AN255" s="614"/>
      <c r="AO255" s="398"/>
      <c r="AP255" s="430" t="s">
        <v>937</v>
      </c>
    </row>
    <row r="256" spans="1:42" ht="15.75" hidden="1" x14ac:dyDescent="0.25">
      <c r="A256" s="1757"/>
      <c r="B256" s="639" t="s">
        <v>214</v>
      </c>
      <c r="C256" s="639"/>
      <c r="D256" s="724" t="s">
        <v>1133</v>
      </c>
      <c r="E256" s="1760"/>
      <c r="F256" s="617">
        <f>'exchange rates'!$O$58</f>
        <v>0.83301000000000003</v>
      </c>
      <c r="G256" s="549">
        <v>0</v>
      </c>
      <c r="H256" s="550">
        <f>87.25/F256</f>
        <v>104.74063936807481</v>
      </c>
      <c r="I256" s="551">
        <v>0</v>
      </c>
      <c r="J256" s="560">
        <f>8.73/F256</f>
        <v>10.480066265711097</v>
      </c>
      <c r="K256" s="566">
        <f>Tabel668921274[[#This Row],[Fix.ch. 2017]]+Tabel668921274[[#This Row],[Var. ch. 2017]]+Tabel668921274[[#This Row],[Oth. ch. DW 2017]]+Tabel668921274[[#This Row],[VAT DW 2017]]</f>
        <v>115.22070563378591</v>
      </c>
      <c r="L256" s="567">
        <f>38.21/F256</f>
        <v>45.869797481422793</v>
      </c>
      <c r="M256" s="560">
        <f>3.82/F256</f>
        <v>4.585779282361556</v>
      </c>
      <c r="N256" s="568">
        <f>76.48/F256</f>
        <v>91.811622909688964</v>
      </c>
      <c r="O256" s="560">
        <f>7.65/F256</f>
        <v>9.1835632225303421</v>
      </c>
      <c r="P256" s="569">
        <v>0</v>
      </c>
      <c r="Q256" s="560">
        <v>0</v>
      </c>
      <c r="R256" s="570">
        <f>Tabel668921274[[#This Row],[VAT DW 2017]]+Tabel668921274[[#This Row],[VAT Sew. 2017]]+Tabel668921274[[#This Row],[VAT WW 2017]]+Tabel668921274[[#This Row],[VAT Other ch. 2017]]</f>
        <v>24.249408770602994</v>
      </c>
      <c r="S256" s="571">
        <f>Tabel668921274[[#This Row],[Total. ch. DW 2017]]+Tabel668921274[[#This Row],[Sew. 2017]]+Tabel668921274[[#This Row],[VAT Sew. 2017]]+Tabel668921274[[#This Row],[WW 2017]]+Tabel668921274[[#This Row],[VAT WW 2017]]+Tabel668921274[[#This Row],[Other ch. 2017]]+Tabel668921274[[#This Row],[VAT Other ch. 2017]]</f>
        <v>266.67146852978954</v>
      </c>
      <c r="T256" s="397"/>
      <c r="U256" s="1763"/>
      <c r="V256" s="1766"/>
      <c r="W256" s="1769"/>
      <c r="X256" s="1772"/>
      <c r="Y256" s="1775"/>
      <c r="Z256" s="1778"/>
      <c r="AA256" s="1772"/>
      <c r="AB256" s="1781"/>
      <c r="AC256" s="1772"/>
      <c r="AD256" s="1785"/>
      <c r="AE256" s="1772"/>
      <c r="AF256" s="1788"/>
      <c r="AG256" s="1791"/>
      <c r="AH256" s="397"/>
      <c r="AI256" s="398"/>
      <c r="AJ256" s="398"/>
      <c r="AK256" s="398"/>
      <c r="AL256" s="591" t="s">
        <v>429</v>
      </c>
      <c r="AM256" s="591" t="s">
        <v>429</v>
      </c>
      <c r="AN256" s="614"/>
      <c r="AO256" s="398"/>
      <c r="AP256" s="430" t="s">
        <v>937</v>
      </c>
    </row>
    <row r="257" spans="1:42" ht="16.5" hidden="1" thickBot="1" x14ac:dyDescent="0.3">
      <c r="A257" s="1758"/>
      <c r="B257" s="640" t="s">
        <v>154</v>
      </c>
      <c r="C257" s="652"/>
      <c r="D257" s="807" t="s">
        <v>1133</v>
      </c>
      <c r="E257" s="1799"/>
      <c r="F257" s="617">
        <f>'exchange rates'!$O$58</f>
        <v>0.83301000000000003</v>
      </c>
      <c r="G257" s="549">
        <v>0</v>
      </c>
      <c r="H257" s="550">
        <f>127.74/F257</f>
        <v>153.34749882954586</v>
      </c>
      <c r="I257" s="551">
        <v>0</v>
      </c>
      <c r="J257" s="560">
        <f>12.77/F257</f>
        <v>15.329948019831694</v>
      </c>
      <c r="K257" s="566">
        <f>Tabel668921274[[#This Row],[Fix.ch. 2017]]+Tabel668921274[[#This Row],[Var. ch. 2017]]+Tabel668921274[[#This Row],[Oth. ch. DW 2017]]+Tabel668921274[[#This Row],[VAT DW 2017]]</f>
        <v>168.67744684937756</v>
      </c>
      <c r="L257" s="567">
        <f>30.29/F257</f>
        <v>36.362108498097257</v>
      </c>
      <c r="M257" s="560">
        <f>3.03/F257</f>
        <v>3.6374113155904486</v>
      </c>
      <c r="N257" s="568">
        <f>88.93/F257</f>
        <v>106.75742187968932</v>
      </c>
      <c r="O257" s="560">
        <f>8.89/F257</f>
        <v>10.672140790626763</v>
      </c>
      <c r="P257" s="569">
        <v>0</v>
      </c>
      <c r="Q257" s="560">
        <v>0</v>
      </c>
      <c r="R257" s="570">
        <f>Tabel668921274[[#This Row],[VAT DW 2017]]+Tabel668921274[[#This Row],[VAT Sew. 2017]]+Tabel668921274[[#This Row],[VAT WW 2017]]+Tabel668921274[[#This Row],[VAT Other ch. 2017]]</f>
        <v>29.639500126048905</v>
      </c>
      <c r="S257" s="571">
        <f>Tabel668921274[[#This Row],[Total. ch. DW 2017]]+Tabel668921274[[#This Row],[Sew. 2017]]+Tabel668921274[[#This Row],[VAT Sew. 2017]]+Tabel668921274[[#This Row],[WW 2017]]+Tabel668921274[[#This Row],[VAT WW 2017]]+Tabel668921274[[#This Row],[Other ch. 2017]]+Tabel668921274[[#This Row],[VAT Other ch. 2017]]</f>
        <v>326.10652933338133</v>
      </c>
      <c r="T257" s="397"/>
      <c r="U257" s="1801"/>
      <c r="V257" s="1803"/>
      <c r="W257" s="1805"/>
      <c r="X257" s="1773"/>
      <c r="Y257" s="1807"/>
      <c r="Z257" s="1809"/>
      <c r="AA257" s="1773"/>
      <c r="AB257" s="1782"/>
      <c r="AC257" s="1773"/>
      <c r="AD257" s="1786"/>
      <c r="AE257" s="1773"/>
      <c r="AF257" s="1789"/>
      <c r="AG257" s="1792"/>
      <c r="AH257" s="397"/>
      <c r="AI257" s="398"/>
      <c r="AJ257" s="396"/>
      <c r="AK257" s="396"/>
      <c r="AL257" s="591" t="s">
        <v>429</v>
      </c>
      <c r="AM257" s="591" t="s">
        <v>429</v>
      </c>
      <c r="AN257" s="614"/>
      <c r="AO257" s="398"/>
      <c r="AP257" s="430" t="s">
        <v>937</v>
      </c>
    </row>
    <row r="258" spans="1:42" ht="15.75" hidden="1" customHeight="1" x14ac:dyDescent="0.25">
      <c r="A258" s="1878" t="s">
        <v>48</v>
      </c>
      <c r="B258" s="638" t="s">
        <v>155</v>
      </c>
      <c r="C258" s="693" t="s">
        <v>429</v>
      </c>
      <c r="D258" s="806" t="s">
        <v>1135</v>
      </c>
      <c r="E258" s="1934">
        <v>51300</v>
      </c>
      <c r="F258" s="617">
        <f>'exchange rates'!$O$59</f>
        <v>8.1602899999999998</v>
      </c>
      <c r="G258" s="549">
        <f>1683/F258</f>
        <v>206.24267029725661</v>
      </c>
      <c r="H258" s="550">
        <f>365/F258</f>
        <v>44.728802530302232</v>
      </c>
      <c r="I258" s="551">
        <f>0</f>
        <v>0</v>
      </c>
      <c r="J258" s="560">
        <f>512/F258</f>
        <v>62.74286820688971</v>
      </c>
      <c r="K258" s="566">
        <f>Tabel668921274[[#This Row],[Fix.ch. 2017]]+Tabel668921274[[#This Row],[Var. ch. 2017]]+Tabel668921274[[#This Row],[Oth. ch. DW 2017]]+Tabel668921274[[#This Row],[VAT DW 2017]]</f>
        <v>313.71434103444858</v>
      </c>
      <c r="L258" s="567">
        <f>325/F258</f>
        <v>39.827015951638977</v>
      </c>
      <c r="M258" s="560">
        <f>81.25/F258</f>
        <v>9.9567539879097442</v>
      </c>
      <c r="N258" s="568">
        <v>0</v>
      </c>
      <c r="O258" s="560">
        <v>0</v>
      </c>
      <c r="P258" s="569">
        <v>0</v>
      </c>
      <c r="Q258" s="560">
        <v>0</v>
      </c>
      <c r="R258" s="570">
        <f>Tabel668921274[[#This Row],[VAT DW 2017]]+Tabel668921274[[#This Row],[VAT Sew. 2017]]+Tabel668921274[[#This Row],[VAT WW 2017]]+Tabel668921274[[#This Row],[VAT Other ch. 2017]]</f>
        <v>72.69962219479946</v>
      </c>
      <c r="S258" s="571">
        <f>Tabel668921274[[#This Row],[Total. ch. DW 2017]]+Tabel668921274[[#This Row],[Sew. 2017]]+Tabel668921274[[#This Row],[VAT Sew. 2017]]+Tabel668921274[[#This Row],[WW 2017]]+Tabel668921274[[#This Row],[VAT WW 2017]]+Tabel668921274[[#This Row],[Other ch. 2017]]+Tabel668921274[[#This Row],[VAT Other ch. 2017]]</f>
        <v>363.49811097399731</v>
      </c>
      <c r="T258" s="397"/>
      <c r="U258" s="1824">
        <f>MEDIAN(G258:G262)</f>
        <v>206.24267029725661</v>
      </c>
      <c r="V258" s="1825">
        <f t="shared" ref="V258:X258" si="37">MEDIAN(H258:H262)</f>
        <v>77.815861936279234</v>
      </c>
      <c r="W258" s="1826">
        <f t="shared" si="37"/>
        <v>0</v>
      </c>
      <c r="X258" s="1908">
        <f t="shared" si="37"/>
        <v>65.46948699127114</v>
      </c>
      <c r="Y258" s="1827">
        <f>SUM(U258:X262)</f>
        <v>349.528019224807</v>
      </c>
      <c r="Z258" s="1828">
        <f t="shared" ref="Z258:AF258" si="38">MEDIAN(L258:L262)</f>
        <v>90.805596369736861</v>
      </c>
      <c r="AA258" s="1908">
        <f t="shared" si="38"/>
        <v>22.701399092434215</v>
      </c>
      <c r="AB258" s="1829">
        <f t="shared" si="38"/>
        <v>0</v>
      </c>
      <c r="AC258" s="1908">
        <f t="shared" si="38"/>
        <v>0</v>
      </c>
      <c r="AD258" s="1830">
        <f t="shared" si="38"/>
        <v>0</v>
      </c>
      <c r="AE258" s="1908">
        <f t="shared" si="38"/>
        <v>0</v>
      </c>
      <c r="AF258" s="1816">
        <f t="shared" si="38"/>
        <v>94.604480968200889</v>
      </c>
      <c r="AG258" s="1817">
        <f>Y258+Z258+AA258+AB258+AC258+AD258+AE258</f>
        <v>463.03501468697806</v>
      </c>
      <c r="AH258" s="397"/>
      <c r="AI258" s="398"/>
      <c r="AJ258" s="591" t="s">
        <v>429</v>
      </c>
      <c r="AK258" s="591"/>
      <c r="AL258" s="396"/>
      <c r="AM258" s="591" t="s">
        <v>429</v>
      </c>
      <c r="AN258" s="396"/>
      <c r="AO258" s="398"/>
      <c r="AP258" s="397"/>
    </row>
    <row r="259" spans="1:42" ht="15.75" hidden="1" customHeight="1" x14ac:dyDescent="0.25">
      <c r="A259" s="1757"/>
      <c r="B259" s="639" t="s">
        <v>156</v>
      </c>
      <c r="C259" s="639"/>
      <c r="D259" s="724" t="s">
        <v>1135</v>
      </c>
      <c r="E259" s="1967"/>
      <c r="F259" s="617">
        <f>'exchange rates'!$O$59</f>
        <v>8.1602899999999998</v>
      </c>
      <c r="G259" s="549">
        <f>2443/F259</f>
        <v>299.37661529185851</v>
      </c>
      <c r="H259" s="550">
        <f>719/F259</f>
        <v>88.109613751472068</v>
      </c>
      <c r="I259" s="551">
        <v>0</v>
      </c>
      <c r="J259" s="560">
        <f>790.5/F259</f>
        <v>96.871557260832645</v>
      </c>
      <c r="K259" s="566">
        <f>Tabel668921274[[#This Row],[Fix.ch. 2017]]+Tabel668921274[[#This Row],[Var. ch. 2017]]+Tabel668921274[[#This Row],[Oth. ch. DW 2017]]+Tabel668921274[[#This Row],[VAT DW 2017]]</f>
        <v>484.35778630416326</v>
      </c>
      <c r="L259" s="567">
        <f>741/F259</f>
        <v>90.805596369736861</v>
      </c>
      <c r="M259" s="560">
        <f>185.25/F259</f>
        <v>22.701399092434215</v>
      </c>
      <c r="N259" s="568">
        <v>0</v>
      </c>
      <c r="O259" s="560">
        <v>0</v>
      </c>
      <c r="P259" s="569">
        <v>0</v>
      </c>
      <c r="Q259" s="560">
        <v>0</v>
      </c>
      <c r="R259" s="570">
        <f>Tabel668921274[[#This Row],[VAT DW 2017]]+Tabel668921274[[#This Row],[VAT Sew. 2017]]+Tabel668921274[[#This Row],[VAT WW 2017]]+Tabel668921274[[#This Row],[VAT Other ch. 2017]]</f>
        <v>119.57295635326686</v>
      </c>
      <c r="S259" s="571">
        <f>Tabel668921274[[#This Row],[Total. ch. DW 2017]]+Tabel668921274[[#This Row],[Sew. 2017]]+Tabel668921274[[#This Row],[VAT Sew. 2017]]+Tabel668921274[[#This Row],[WW 2017]]+Tabel668921274[[#This Row],[VAT WW 2017]]+Tabel668921274[[#This Row],[Other ch. 2017]]+Tabel668921274[[#This Row],[VAT Other ch. 2017]]</f>
        <v>597.86478176633432</v>
      </c>
      <c r="T259" s="397"/>
      <c r="U259" s="1763"/>
      <c r="V259" s="1766"/>
      <c r="W259" s="1769"/>
      <c r="X259" s="1772"/>
      <c r="Y259" s="1775"/>
      <c r="Z259" s="1778"/>
      <c r="AA259" s="1772"/>
      <c r="AB259" s="1781"/>
      <c r="AC259" s="1772"/>
      <c r="AD259" s="1785"/>
      <c r="AE259" s="1772"/>
      <c r="AF259" s="1788"/>
      <c r="AG259" s="1791"/>
      <c r="AH259" s="397"/>
      <c r="AI259" s="398"/>
      <c r="AJ259" s="591" t="s">
        <v>429</v>
      </c>
      <c r="AK259" s="591"/>
      <c r="AL259" s="396"/>
      <c r="AM259" s="591" t="s">
        <v>429</v>
      </c>
      <c r="AN259" s="396"/>
      <c r="AO259" s="398"/>
      <c r="AP259" s="397"/>
    </row>
    <row r="260" spans="1:42" ht="15.75" hidden="1" customHeight="1" x14ac:dyDescent="0.25">
      <c r="A260" s="1757"/>
      <c r="B260" s="639" t="s">
        <v>157</v>
      </c>
      <c r="C260" s="639"/>
      <c r="D260" s="724" t="s">
        <v>1135</v>
      </c>
      <c r="E260" s="1967"/>
      <c r="F260" s="617">
        <f>'exchange rates'!$O$59</f>
        <v>8.1602899999999998</v>
      </c>
      <c r="G260" s="549">
        <f>1653/F260</f>
        <v>202.56633036325914</v>
      </c>
      <c r="H260" s="550">
        <f>484/F260</f>
        <v>59.311617601825425</v>
      </c>
      <c r="I260" s="551">
        <v>0</v>
      </c>
      <c r="J260" s="560">
        <f>534.25/F260</f>
        <v>65.46948699127114</v>
      </c>
      <c r="K260" s="566">
        <f>Tabel668921274[[#This Row],[Fix.ch. 2017]]+Tabel668921274[[#This Row],[Var. ch. 2017]]+Tabel668921274[[#This Row],[Oth. ch. DW 2017]]+Tabel668921274[[#This Row],[VAT DW 2017]]</f>
        <v>327.3474349563557</v>
      </c>
      <c r="L260" s="567">
        <f>514/F260</f>
        <v>62.987957535822872</v>
      </c>
      <c r="M260" s="560">
        <f>128.5/F260</f>
        <v>15.746989383955718</v>
      </c>
      <c r="N260" s="568">
        <v>0</v>
      </c>
      <c r="O260" s="560">
        <v>0</v>
      </c>
      <c r="P260" s="569">
        <v>0</v>
      </c>
      <c r="Q260" s="560">
        <v>0</v>
      </c>
      <c r="R260" s="570">
        <f>Tabel668921274[[#This Row],[VAT DW 2017]]+Tabel668921274[[#This Row],[VAT Sew. 2017]]+Tabel668921274[[#This Row],[VAT WW 2017]]+Tabel668921274[[#This Row],[VAT Other ch. 2017]]</f>
        <v>81.216476375226861</v>
      </c>
      <c r="S260" s="571">
        <f>Tabel668921274[[#This Row],[Total. ch. DW 2017]]+Tabel668921274[[#This Row],[Sew. 2017]]+Tabel668921274[[#This Row],[VAT Sew. 2017]]+Tabel668921274[[#This Row],[WW 2017]]+Tabel668921274[[#This Row],[VAT WW 2017]]+Tabel668921274[[#This Row],[Other ch. 2017]]+Tabel668921274[[#This Row],[VAT Other ch. 2017]]</f>
        <v>406.08238187613432</v>
      </c>
      <c r="T260" s="397"/>
      <c r="U260" s="1763"/>
      <c r="V260" s="1766"/>
      <c r="W260" s="1769"/>
      <c r="X260" s="1772"/>
      <c r="Y260" s="1775"/>
      <c r="Z260" s="1778"/>
      <c r="AA260" s="1772"/>
      <c r="AB260" s="1781"/>
      <c r="AC260" s="1772"/>
      <c r="AD260" s="1785"/>
      <c r="AE260" s="1772"/>
      <c r="AF260" s="1788"/>
      <c r="AG260" s="1791"/>
      <c r="AH260" s="397"/>
      <c r="AI260" s="398"/>
      <c r="AJ260" s="591" t="s">
        <v>429</v>
      </c>
      <c r="AK260" s="591"/>
      <c r="AL260" s="396"/>
      <c r="AM260" s="591" t="s">
        <v>429</v>
      </c>
      <c r="AN260" s="396"/>
      <c r="AO260" s="398"/>
      <c r="AP260" s="397"/>
    </row>
    <row r="261" spans="1:42" ht="15.75" hidden="1" customHeight="1" x14ac:dyDescent="0.25">
      <c r="A261" s="1757"/>
      <c r="B261" s="639" t="s">
        <v>158</v>
      </c>
      <c r="C261" s="639"/>
      <c r="D261" s="724" t="s">
        <v>1135</v>
      </c>
      <c r="E261" s="1967"/>
      <c r="F261" s="617">
        <f>'exchange rates'!$O$59</f>
        <v>8.1602899999999998</v>
      </c>
      <c r="G261" s="549">
        <f>0</f>
        <v>0</v>
      </c>
      <c r="H261" s="550">
        <f>1235/F261</f>
        <v>151.3426606162281</v>
      </c>
      <c r="I261" s="551">
        <v>0</v>
      </c>
      <c r="J261" s="560">
        <f>308.75/F261</f>
        <v>37.835665154057025</v>
      </c>
      <c r="K261" s="566">
        <f>Tabel668921274[[#This Row],[Fix.ch. 2017]]+Tabel668921274[[#This Row],[Var. ch. 2017]]+Tabel668921274[[#This Row],[Oth. ch. DW 2017]]+Tabel668921274[[#This Row],[VAT DW 2017]]</f>
        <v>189.17832577028514</v>
      </c>
      <c r="L261" s="567">
        <f>1853/F261</f>
        <v>227.07526325657545</v>
      </c>
      <c r="M261" s="560">
        <f>463.25/F261</f>
        <v>56.768815814143863</v>
      </c>
      <c r="N261" s="568">
        <v>0</v>
      </c>
      <c r="O261" s="560">
        <v>0</v>
      </c>
      <c r="P261" s="569">
        <v>0</v>
      </c>
      <c r="Q261" s="560">
        <v>0</v>
      </c>
      <c r="R261" s="570">
        <f>Tabel668921274[[#This Row],[VAT DW 2017]]+Tabel668921274[[#This Row],[VAT Sew. 2017]]+Tabel668921274[[#This Row],[VAT WW 2017]]+Tabel668921274[[#This Row],[VAT Other ch. 2017]]</f>
        <v>94.604480968200889</v>
      </c>
      <c r="S261" s="571">
        <f>Tabel668921274[[#This Row],[Total. ch. DW 2017]]+Tabel668921274[[#This Row],[Sew. 2017]]+Tabel668921274[[#This Row],[VAT Sew. 2017]]+Tabel668921274[[#This Row],[WW 2017]]+Tabel668921274[[#This Row],[VAT WW 2017]]+Tabel668921274[[#This Row],[Other ch. 2017]]+Tabel668921274[[#This Row],[VAT Other ch. 2017]]</f>
        <v>473.02240484100446</v>
      </c>
      <c r="T261" s="397"/>
      <c r="U261" s="1763"/>
      <c r="V261" s="1766"/>
      <c r="W261" s="1769"/>
      <c r="X261" s="1772"/>
      <c r="Y261" s="1775"/>
      <c r="Z261" s="1778"/>
      <c r="AA261" s="1772"/>
      <c r="AB261" s="1781"/>
      <c r="AC261" s="1772"/>
      <c r="AD261" s="1785"/>
      <c r="AE261" s="1772"/>
      <c r="AF261" s="1788"/>
      <c r="AG261" s="1791"/>
      <c r="AH261" s="397"/>
      <c r="AI261" s="398"/>
      <c r="AJ261" s="591" t="s">
        <v>429</v>
      </c>
      <c r="AK261" s="591"/>
      <c r="AL261" s="396"/>
      <c r="AM261" s="591"/>
      <c r="AN261" s="396"/>
      <c r="AO261" s="398"/>
      <c r="AP261" s="397"/>
    </row>
    <row r="262" spans="1:42" ht="16.5" hidden="1" customHeight="1" thickBot="1" x14ac:dyDescent="0.3">
      <c r="A262" s="1758"/>
      <c r="B262" s="640" t="s">
        <v>159</v>
      </c>
      <c r="C262" s="652"/>
      <c r="D262" s="807" t="s">
        <v>1135</v>
      </c>
      <c r="E262" s="1799"/>
      <c r="F262" s="617">
        <f>'exchange rates'!$O$59</f>
        <v>8.1602899999999998</v>
      </c>
      <c r="G262" s="549">
        <f>2330/F262</f>
        <v>285.5290682071348</v>
      </c>
      <c r="H262" s="550">
        <f>635/F262</f>
        <v>77.815861936279234</v>
      </c>
      <c r="I262" s="551">
        <v>0</v>
      </c>
      <c r="J262" s="560">
        <f>741.25/F262</f>
        <v>90.836232535853512</v>
      </c>
      <c r="K262" s="566">
        <f>Tabel668921274[[#This Row],[Fix.ch. 2017]]+Tabel668921274[[#This Row],[Var. ch. 2017]]+Tabel668921274[[#This Row],[Oth. ch. DW 2017]]+Tabel668921274[[#This Row],[VAT DW 2017]]</f>
        <v>454.18116267926757</v>
      </c>
      <c r="L262" s="567">
        <f>855/F262</f>
        <v>104.77568811892715</v>
      </c>
      <c r="M262" s="560">
        <f>213.75/F262</f>
        <v>26.193922029731787</v>
      </c>
      <c r="N262" s="568">
        <v>0</v>
      </c>
      <c r="O262" s="560">
        <v>0</v>
      </c>
      <c r="P262" s="569">
        <v>0</v>
      </c>
      <c r="Q262" s="560">
        <v>0</v>
      </c>
      <c r="R262" s="570">
        <f>Tabel668921274[[#This Row],[VAT DW 2017]]+Tabel668921274[[#This Row],[VAT Sew. 2017]]+Tabel668921274[[#This Row],[VAT WW 2017]]+Tabel668921274[[#This Row],[VAT Other ch. 2017]]</f>
        <v>117.03015456558529</v>
      </c>
      <c r="S262" s="571">
        <f>Tabel668921274[[#This Row],[Total. ch. DW 2017]]+Tabel668921274[[#This Row],[Sew. 2017]]+Tabel668921274[[#This Row],[VAT Sew. 2017]]+Tabel668921274[[#This Row],[WW 2017]]+Tabel668921274[[#This Row],[VAT WW 2017]]+Tabel668921274[[#This Row],[Other ch. 2017]]+Tabel668921274[[#This Row],[VAT Other ch. 2017]]</f>
        <v>585.15077282792652</v>
      </c>
      <c r="T262" s="397"/>
      <c r="U262" s="2182"/>
      <c r="V262" s="2183"/>
      <c r="W262" s="2184"/>
      <c r="X262" s="1773"/>
      <c r="Y262" s="2168"/>
      <c r="Z262" s="2169"/>
      <c r="AA262" s="1773"/>
      <c r="AB262" s="2179"/>
      <c r="AC262" s="1773"/>
      <c r="AD262" s="2180"/>
      <c r="AE262" s="1773"/>
      <c r="AF262" s="2181"/>
      <c r="AG262" s="2174"/>
      <c r="AH262" s="397"/>
      <c r="AI262" s="398"/>
      <c r="AJ262" s="591" t="s">
        <v>429</v>
      </c>
      <c r="AK262" s="591"/>
      <c r="AL262" s="396"/>
      <c r="AM262" s="591" t="s">
        <v>429</v>
      </c>
      <c r="AN262" s="396"/>
      <c r="AO262" s="398"/>
      <c r="AP262" s="397"/>
    </row>
    <row r="263" spans="1:42" ht="18" hidden="1" customHeight="1" x14ac:dyDescent="0.25">
      <c r="A263" s="1818" t="s">
        <v>28</v>
      </c>
      <c r="B263" s="547" t="s">
        <v>160</v>
      </c>
      <c r="C263" s="1046"/>
      <c r="D263" s="802" t="s">
        <v>1137</v>
      </c>
      <c r="E263" s="1966">
        <v>61400</v>
      </c>
      <c r="F263" s="617">
        <f>'exchange rates'!$O$60</f>
        <v>0.97441999999999995</v>
      </c>
      <c r="G263" s="549">
        <f>112/F263</f>
        <v>114.94016953675008</v>
      </c>
      <c r="H263" s="550">
        <f>108/F263</f>
        <v>110.83516348186615</v>
      </c>
      <c r="I263" s="551">
        <v>0</v>
      </c>
      <c r="J263" s="560">
        <f>17.6/F263</f>
        <v>18.0620266414893</v>
      </c>
      <c r="K263" s="566">
        <f>Tabel668921274[[#This Row],[Fix.ch. 2017]]+Tabel668921274[[#This Row],[Var. ch. 2017]]+Tabel668921274[[#This Row],[Oth. ch. DW 2017]]+Tabel668921274[[#This Row],[VAT DW 2017]]</f>
        <v>243.83735966010551</v>
      </c>
      <c r="L263" s="567">
        <f>265/F263</f>
        <v>271.95665113606043</v>
      </c>
      <c r="M263" s="560">
        <f>6.63/F263</f>
        <v>6.804047535970116</v>
      </c>
      <c r="N263" s="568">
        <v>0</v>
      </c>
      <c r="O263" s="560">
        <v>0</v>
      </c>
      <c r="P263" s="569">
        <v>0</v>
      </c>
      <c r="Q263" s="560">
        <v>0</v>
      </c>
      <c r="R263" s="570">
        <f>Tabel668921274[[#This Row],[VAT DW 2017]]+Tabel668921274[[#This Row],[VAT Sew. 2017]]+Tabel668921274[[#This Row],[VAT WW 2017]]+Tabel668921274[[#This Row],[VAT Other ch. 2017]]</f>
        <v>24.866074177459417</v>
      </c>
      <c r="S263" s="571">
        <f>Tabel668921274[[#This Row],[Total. ch. DW 2017]]+Tabel668921274[[#This Row],[Sew. 2017]]+Tabel668921274[[#This Row],[VAT Sew. 2017]]+Tabel668921274[[#This Row],[WW 2017]]+Tabel668921274[[#This Row],[VAT WW 2017]]+Tabel668921274[[#This Row],[Other ch. 2017]]+Tabel668921274[[#This Row],[VAT Other ch. 2017]]</f>
        <v>522.59805833213602</v>
      </c>
      <c r="T263" s="397"/>
      <c r="U263" s="1968">
        <f>MEDIAN(G263:G267)</f>
        <v>71.837605960468792</v>
      </c>
      <c r="V263" s="1971">
        <f>MEDIAN(H263:H267)</f>
        <v>197.04029063442869</v>
      </c>
      <c r="W263" s="2175">
        <f>MEDIAN(I263:I267)</f>
        <v>0</v>
      </c>
      <c r="X263" s="2178">
        <f>MEDIAN(J263:J267)</f>
        <v>19.12932821575912</v>
      </c>
      <c r="Y263" s="1939">
        <f>SUM(U263:X267)</f>
        <v>288.00722481065662</v>
      </c>
      <c r="Z263" s="1980">
        <f t="shared" ref="Z263:AF263" si="39">MEDIAN(L263:L267)</f>
        <v>262.54592475523901</v>
      </c>
      <c r="AA263" s="1938">
        <f t="shared" si="39"/>
        <v>6.56800968781429</v>
      </c>
      <c r="AB263" s="1954">
        <f t="shared" si="39"/>
        <v>0</v>
      </c>
      <c r="AC263" s="1938">
        <f t="shared" si="39"/>
        <v>0</v>
      </c>
      <c r="AD263" s="1957">
        <f t="shared" si="39"/>
        <v>0</v>
      </c>
      <c r="AE263" s="1938">
        <f t="shared" si="39"/>
        <v>0</v>
      </c>
      <c r="AF263" s="1960">
        <f t="shared" si="39"/>
        <v>25.286837298085018</v>
      </c>
      <c r="AG263" s="2171">
        <f>Y263+Z263+AA263+AB263+AC263+AD263+AE263</f>
        <v>557.12115925370995</v>
      </c>
      <c r="AH263" s="397"/>
      <c r="AI263" s="398"/>
      <c r="AJ263" s="591" t="s">
        <v>429</v>
      </c>
      <c r="AK263" s="614"/>
      <c r="AL263" s="614"/>
      <c r="AM263" s="591" t="s">
        <v>429</v>
      </c>
      <c r="AN263" s="398"/>
      <c r="AO263" s="398"/>
      <c r="AP263" s="397"/>
    </row>
    <row r="264" spans="1:42" ht="15.75" hidden="1" x14ac:dyDescent="0.25">
      <c r="A264" s="1819"/>
      <c r="B264" s="547" t="s">
        <v>603</v>
      </c>
      <c r="C264" s="1046"/>
      <c r="D264" s="802" t="s">
        <v>1137</v>
      </c>
      <c r="E264" s="1967"/>
      <c r="F264" s="617">
        <f>'exchange rates'!$O$60</f>
        <v>0.97441999999999995</v>
      </c>
      <c r="G264" s="549">
        <f>136/F264</f>
        <v>139.57020586605367</v>
      </c>
      <c r="H264" s="550">
        <f>192/F264</f>
        <v>197.04029063442869</v>
      </c>
      <c r="I264" s="551">
        <v>0</v>
      </c>
      <c r="J264" s="560">
        <f>26.24/F264</f>
        <v>26.928839720038585</v>
      </c>
      <c r="K264" s="566">
        <f>Tabel668921274[[#This Row],[Fix.ch. 2017]]+Tabel668921274[[#This Row],[Var. ch. 2017]]+Tabel668921274[[#This Row],[Oth. ch. DW 2017]]+Tabel668921274[[#This Row],[VAT DW 2017]]</f>
        <v>363.53933622052091</v>
      </c>
      <c r="L264" s="567">
        <f>291.62/F264</f>
        <v>299.27546643131302</v>
      </c>
      <c r="M264" s="560">
        <f>7.29/F264</f>
        <v>7.4813735350259645</v>
      </c>
      <c r="N264" s="568">
        <v>0</v>
      </c>
      <c r="O264" s="560">
        <v>0</v>
      </c>
      <c r="P264" s="569">
        <v>0</v>
      </c>
      <c r="Q264" s="560">
        <v>0</v>
      </c>
      <c r="R264" s="570">
        <f>Tabel668921274[[#This Row],[VAT DW 2017]]+Tabel668921274[[#This Row],[VAT Sew. 2017]]+Tabel668921274[[#This Row],[VAT WW 2017]]+Tabel668921274[[#This Row],[VAT Other ch. 2017]]</f>
        <v>34.410213255064548</v>
      </c>
      <c r="S264" s="571">
        <f>Tabel668921274[[#This Row],[Total. ch. DW 2017]]+Tabel668921274[[#This Row],[Sew. 2017]]+Tabel668921274[[#This Row],[VAT Sew. 2017]]+Tabel668921274[[#This Row],[WW 2017]]+Tabel668921274[[#This Row],[VAT WW 2017]]+Tabel668921274[[#This Row],[Other ch. 2017]]+Tabel668921274[[#This Row],[VAT Other ch. 2017]]</f>
        <v>670.29617618685984</v>
      </c>
      <c r="T264" s="397"/>
      <c r="U264" s="1969"/>
      <c r="V264" s="1972"/>
      <c r="W264" s="2176"/>
      <c r="X264" s="2103"/>
      <c r="Y264" s="1775"/>
      <c r="Z264" s="1981"/>
      <c r="AA264" s="1772"/>
      <c r="AB264" s="2170"/>
      <c r="AC264" s="1772"/>
      <c r="AD264" s="1958"/>
      <c r="AE264" s="1772"/>
      <c r="AF264" s="1961"/>
      <c r="AG264" s="2172"/>
      <c r="AH264" s="397"/>
      <c r="AI264" s="398"/>
      <c r="AJ264" s="591" t="s">
        <v>429</v>
      </c>
      <c r="AK264" s="614"/>
      <c r="AL264" s="614"/>
      <c r="AM264" s="591" t="s">
        <v>429</v>
      </c>
      <c r="AN264" s="398"/>
      <c r="AO264" s="398"/>
      <c r="AP264" s="397"/>
    </row>
    <row r="265" spans="1:42" ht="15.75" hidden="1" x14ac:dyDescent="0.25">
      <c r="A265" s="1819"/>
      <c r="B265" s="547" t="s">
        <v>162</v>
      </c>
      <c r="C265" s="1046"/>
      <c r="D265" s="802" t="s">
        <v>1137</v>
      </c>
      <c r="E265" s="1967"/>
      <c r="F265" s="617">
        <f>'exchange rates'!$O$60</f>
        <v>0.97441999999999995</v>
      </c>
      <c r="G265" s="549">
        <f>70/F265</f>
        <v>71.837605960468792</v>
      </c>
      <c r="H265" s="550">
        <f>146/F265</f>
        <v>149.83272100326349</v>
      </c>
      <c r="I265" s="551">
        <v>0</v>
      </c>
      <c r="J265" s="560">
        <f>17.28/F265</f>
        <v>17.733626157098584</v>
      </c>
      <c r="K265" s="566">
        <f>Tabel668921274[[#This Row],[Fix.ch. 2017]]+Tabel668921274[[#This Row],[Var. ch. 2017]]+Tabel668921274[[#This Row],[Oth. ch. DW 2017]]+Tabel668921274[[#This Row],[VAT DW 2017]]</f>
        <v>239.40395312083086</v>
      </c>
      <c r="L265" s="567">
        <f>120/F265</f>
        <v>123.15018164651794</v>
      </c>
      <c r="M265" s="560">
        <f>3/F265</f>
        <v>3.0787545411629482</v>
      </c>
      <c r="N265" s="568">
        <v>0</v>
      </c>
      <c r="O265" s="560">
        <v>0</v>
      </c>
      <c r="P265" s="569">
        <v>0</v>
      </c>
      <c r="Q265" s="560">
        <v>0</v>
      </c>
      <c r="R265" s="570">
        <f>Tabel668921274[[#This Row],[VAT DW 2017]]+Tabel668921274[[#This Row],[VAT Sew. 2017]]+Tabel668921274[[#This Row],[VAT WW 2017]]+Tabel668921274[[#This Row],[VAT Other ch. 2017]]</f>
        <v>20.812380698261531</v>
      </c>
      <c r="S265" s="571">
        <f>Tabel668921274[[#This Row],[Total. ch. DW 2017]]+Tabel668921274[[#This Row],[Sew. 2017]]+Tabel668921274[[#This Row],[VAT Sew. 2017]]+Tabel668921274[[#This Row],[WW 2017]]+Tabel668921274[[#This Row],[VAT WW 2017]]+Tabel668921274[[#This Row],[Other ch. 2017]]+Tabel668921274[[#This Row],[VAT Other ch. 2017]]</f>
        <v>365.63288930851172</v>
      </c>
      <c r="T265" s="397"/>
      <c r="U265" s="1969"/>
      <c r="V265" s="1972"/>
      <c r="W265" s="2176"/>
      <c r="X265" s="2103"/>
      <c r="Y265" s="1775"/>
      <c r="Z265" s="1981"/>
      <c r="AA265" s="1772"/>
      <c r="AB265" s="2170"/>
      <c r="AC265" s="1772"/>
      <c r="AD265" s="1958"/>
      <c r="AE265" s="1772"/>
      <c r="AF265" s="1961"/>
      <c r="AG265" s="2172"/>
      <c r="AH265" s="397"/>
      <c r="AI265" s="398"/>
      <c r="AJ265" s="591" t="s">
        <v>429</v>
      </c>
      <c r="AK265" s="614"/>
      <c r="AL265" s="614"/>
      <c r="AM265" s="591" t="s">
        <v>429</v>
      </c>
      <c r="AN265" s="398"/>
      <c r="AO265" s="398"/>
      <c r="AP265" s="397"/>
    </row>
    <row r="266" spans="1:42" ht="15.75" hidden="1" x14ac:dyDescent="0.25">
      <c r="A266" s="1819"/>
      <c r="B266" s="547" t="s">
        <v>161</v>
      </c>
      <c r="C266" s="1046"/>
      <c r="D266" s="802" t="s">
        <v>1137</v>
      </c>
      <c r="E266" s="1967"/>
      <c r="F266" s="617">
        <f>'exchange rates'!$O$60</f>
        <v>0.97441999999999995</v>
      </c>
      <c r="G266" s="549">
        <f>28/F266</f>
        <v>28.735042384187519</v>
      </c>
      <c r="H266" s="550">
        <f>205/F266</f>
        <v>210.38156031280147</v>
      </c>
      <c r="I266" s="551">
        <v>0</v>
      </c>
      <c r="J266" s="560">
        <f>18.64/F266</f>
        <v>19.12932821575912</v>
      </c>
      <c r="K266" s="566">
        <f>Tabel668921274[[#This Row],[Fix.ch. 2017]]+Tabel668921274[[#This Row],[Var. ch. 2017]]+Tabel668921274[[#This Row],[Oth. ch. DW 2017]]+Tabel668921274[[#This Row],[VAT DW 2017]]</f>
        <v>258.24593091274812</v>
      </c>
      <c r="L266" s="567">
        <f>240/F266</f>
        <v>246.30036329303587</v>
      </c>
      <c r="M266" s="560">
        <f>6/F266</f>
        <v>6.1575090823258964</v>
      </c>
      <c r="N266" s="568">
        <v>0</v>
      </c>
      <c r="O266" s="560">
        <v>0</v>
      </c>
      <c r="P266" s="569">
        <v>0</v>
      </c>
      <c r="Q266" s="560">
        <v>0</v>
      </c>
      <c r="R266" s="570">
        <f>Tabel668921274[[#This Row],[VAT DW 2017]]+Tabel668921274[[#This Row],[VAT Sew. 2017]]+Tabel668921274[[#This Row],[VAT WW 2017]]+Tabel668921274[[#This Row],[VAT Other ch. 2017]]</f>
        <v>25.286837298085018</v>
      </c>
      <c r="S266" s="571">
        <f>Tabel668921274[[#This Row],[Total. ch. DW 2017]]+Tabel668921274[[#This Row],[Sew. 2017]]+Tabel668921274[[#This Row],[VAT Sew. 2017]]+Tabel668921274[[#This Row],[WW 2017]]+Tabel668921274[[#This Row],[VAT WW 2017]]+Tabel668921274[[#This Row],[Other ch. 2017]]+Tabel668921274[[#This Row],[VAT Other ch. 2017]]</f>
        <v>510.70380328810984</v>
      </c>
      <c r="T266" s="397"/>
      <c r="U266" s="1969"/>
      <c r="V266" s="1972"/>
      <c r="W266" s="2176"/>
      <c r="X266" s="2103"/>
      <c r="Y266" s="1775"/>
      <c r="Z266" s="1981"/>
      <c r="AA266" s="1772"/>
      <c r="AB266" s="2170"/>
      <c r="AC266" s="1772"/>
      <c r="AD266" s="1958"/>
      <c r="AE266" s="1772"/>
      <c r="AF266" s="1961"/>
      <c r="AG266" s="2172"/>
      <c r="AH266" s="397"/>
      <c r="AI266" s="398"/>
      <c r="AJ266" s="591" t="s">
        <v>429</v>
      </c>
      <c r="AK266" s="614"/>
      <c r="AL266" s="614"/>
      <c r="AM266" s="591" t="s">
        <v>429</v>
      </c>
      <c r="AN266" s="398"/>
      <c r="AO266" s="398"/>
      <c r="AP266" s="397"/>
    </row>
    <row r="267" spans="1:42" ht="16.5" hidden="1" thickBot="1" x14ac:dyDescent="0.3">
      <c r="A267" s="1820"/>
      <c r="B267" s="613" t="s">
        <v>163</v>
      </c>
      <c r="C267" s="1046" t="s">
        <v>429</v>
      </c>
      <c r="D267" s="802" t="s">
        <v>1137</v>
      </c>
      <c r="E267" s="1799"/>
      <c r="F267" s="617">
        <f>'exchange rates'!$O$60</f>
        <v>0.97441999999999995</v>
      </c>
      <c r="G267" s="549">
        <f>54/F267</f>
        <v>55.417581740933073</v>
      </c>
      <c r="H267" s="550">
        <f>232/F267</f>
        <v>238.09035118326801</v>
      </c>
      <c r="I267" s="551">
        <v>0</v>
      </c>
      <c r="J267" s="560">
        <f>22.88/F267</f>
        <v>23.480634633936084</v>
      </c>
      <c r="K267" s="566">
        <f>Tabel668921274[[#This Row],[Fix.ch. 2017]]+Tabel668921274[[#This Row],[Var. ch. 2017]]+Tabel668921274[[#This Row],[Oth. ch. DW 2017]]+Tabel668921274[[#This Row],[VAT DW 2017]]</f>
        <v>316.98856755813716</v>
      </c>
      <c r="L267" s="567">
        <f>255.83/F267</f>
        <v>262.54592475523901</v>
      </c>
      <c r="M267" s="560">
        <f>6.4/F267</f>
        <v>6.56800968781429</v>
      </c>
      <c r="N267" s="568">
        <v>0</v>
      </c>
      <c r="O267" s="560">
        <v>0</v>
      </c>
      <c r="P267" s="569">
        <v>0</v>
      </c>
      <c r="Q267" s="560">
        <v>0</v>
      </c>
      <c r="R267" s="570">
        <f>Tabel668921274[[#This Row],[VAT DW 2017]]+Tabel668921274[[#This Row],[VAT Sew. 2017]]+Tabel668921274[[#This Row],[VAT WW 2017]]+Tabel668921274[[#This Row],[VAT Other ch. 2017]]</f>
        <v>30.048644321750373</v>
      </c>
      <c r="S267" s="571">
        <f>Tabel668921274[[#This Row],[Total. ch. DW 2017]]+Tabel668921274[[#This Row],[Sew. 2017]]+Tabel668921274[[#This Row],[VAT Sew. 2017]]+Tabel668921274[[#This Row],[WW 2017]]+Tabel668921274[[#This Row],[VAT WW 2017]]+Tabel668921274[[#This Row],[Other ch. 2017]]+Tabel668921274[[#This Row],[VAT Other ch. 2017]]</f>
        <v>586.10250200119049</v>
      </c>
      <c r="T267" s="397"/>
      <c r="U267" s="1801"/>
      <c r="V267" s="1803"/>
      <c r="W267" s="2177"/>
      <c r="X267" s="2104"/>
      <c r="Y267" s="1807"/>
      <c r="Z267" s="1809"/>
      <c r="AA267" s="1773"/>
      <c r="AB267" s="1865"/>
      <c r="AC267" s="1773"/>
      <c r="AD267" s="1786"/>
      <c r="AE267" s="1773"/>
      <c r="AF267" s="1789"/>
      <c r="AG267" s="2173"/>
      <c r="AH267" s="397"/>
      <c r="AI267" s="398"/>
      <c r="AJ267" s="591" t="s">
        <v>429</v>
      </c>
      <c r="AK267" s="614"/>
      <c r="AL267" s="614"/>
      <c r="AM267" s="591" t="s">
        <v>429</v>
      </c>
      <c r="AN267" s="398"/>
      <c r="AO267" s="398"/>
      <c r="AP267" s="397"/>
    </row>
    <row r="268" spans="1:42" ht="19.5" hidden="1" thickBot="1" x14ac:dyDescent="0.3">
      <c r="A268" s="1725" t="s">
        <v>706</v>
      </c>
      <c r="B268" s="455" t="s">
        <v>708</v>
      </c>
      <c r="C268" s="1048"/>
      <c r="D268" s="811" t="s">
        <v>1139</v>
      </c>
      <c r="E268" s="1734">
        <v>3000</v>
      </c>
      <c r="F268" s="307">
        <f>'exchange rates'!M61</f>
        <v>2171.8366799999999</v>
      </c>
      <c r="G268" s="319"/>
      <c r="H268" s="320"/>
      <c r="I268" s="321"/>
      <c r="J268" s="559"/>
      <c r="K268" s="313">
        <f>Tabel668921274[[#This Row],[Fix.ch. 2017]]+Tabel668921274[[#This Row],[Var. ch. 2017]]+Tabel668921274[[#This Row],[Oth. ch. DW 2017]]+Tabel668921274[[#This Row],[VAT DW 2017]]</f>
        <v>0</v>
      </c>
      <c r="L268" s="322"/>
      <c r="M268" s="559"/>
      <c r="N268" s="323"/>
      <c r="O268" s="559"/>
      <c r="P268" s="324"/>
      <c r="Q268" s="559"/>
      <c r="R268" s="317">
        <f>Tabel668921274[[#This Row],[VAT DW 2017]]+Tabel668921274[[#This Row],[VAT Sew. 2017]]+Tabel668921274[[#This Row],[VAT WW 2017]]+Tabel668921274[[#This Row],[VAT Other ch. 2017]]</f>
        <v>0</v>
      </c>
      <c r="S268" s="318">
        <f>Tabel668921274[[#This Row],[Total. ch. DW 2017]]+Tabel668921274[[#This Row],[Sew. 2017]]+Tabel668921274[[#This Row],[VAT Sew. 2017]]+Tabel668921274[[#This Row],[WW 2017]]+Tabel668921274[[#This Row],[VAT WW 2017]]+Tabel668921274[[#This Row],[Other ch. 2017]]+Tabel668921274[[#This Row],[VAT Other ch. 2017]]</f>
        <v>0</v>
      </c>
      <c r="T268" s="397"/>
      <c r="U268" s="340"/>
      <c r="V268" s="341"/>
      <c r="W268" s="401"/>
      <c r="X268" s="580"/>
      <c r="Y268" s="343"/>
      <c r="Z268" s="344"/>
      <c r="AA268" s="581"/>
      <c r="AB268" s="514"/>
      <c r="AC268" s="592"/>
      <c r="AD268" s="346"/>
      <c r="AE268" s="581"/>
      <c r="AF268" s="347"/>
      <c r="AG268" s="515"/>
      <c r="AH268" s="397"/>
      <c r="AI268" s="398"/>
      <c r="AJ268" s="396"/>
      <c r="AK268" s="398"/>
      <c r="AL268" s="398"/>
      <c r="AM268" s="396"/>
      <c r="AN268" s="398"/>
      <c r="AO268" s="398"/>
      <c r="AP268" s="397"/>
    </row>
    <row r="269" spans="1:42" ht="19.5" hidden="1" thickBot="1" x14ac:dyDescent="0.3">
      <c r="A269" s="1725" t="s">
        <v>737</v>
      </c>
      <c r="B269" s="292" t="s">
        <v>738</v>
      </c>
      <c r="C269" s="1047"/>
      <c r="D269" s="811" t="s">
        <v>1141</v>
      </c>
      <c r="E269" s="1734">
        <v>16100</v>
      </c>
      <c r="F269" s="307">
        <f>'exchange rates'!M62</f>
        <v>36.151380000000003</v>
      </c>
      <c r="G269" s="319"/>
      <c r="H269" s="320"/>
      <c r="I269" s="321"/>
      <c r="J269" s="559"/>
      <c r="K269" s="313">
        <f>Tabel668921274[[#This Row],[Fix.ch. 2017]]+Tabel668921274[[#This Row],[Var. ch. 2017]]+Tabel668921274[[#This Row],[Oth. ch. DW 2017]]+Tabel668921274[[#This Row],[VAT DW 2017]]</f>
        <v>0</v>
      </c>
      <c r="L269" s="322"/>
      <c r="M269" s="559"/>
      <c r="N269" s="323">
        <f>(3.358*200)/F269</f>
        <v>18.577437431157538</v>
      </c>
      <c r="O269" s="559"/>
      <c r="P269" s="324"/>
      <c r="Q269" s="559"/>
      <c r="R269" s="317">
        <f>Tabel668921274[[#This Row],[VAT DW 2017]]+Tabel668921274[[#This Row],[VAT Sew. 2017]]+Tabel668921274[[#This Row],[VAT WW 2017]]+Tabel668921274[[#This Row],[VAT Other ch. 2017]]</f>
        <v>0</v>
      </c>
      <c r="S269" s="318">
        <f>Tabel668921274[[#This Row],[Total. ch. DW 2017]]+Tabel668921274[[#This Row],[Sew. 2017]]+Tabel668921274[[#This Row],[VAT Sew. 2017]]+Tabel668921274[[#This Row],[WW 2017]]+Tabel668921274[[#This Row],[VAT WW 2017]]+Tabel668921274[[#This Row],[Other ch. 2017]]+Tabel668921274[[#This Row],[VAT Other ch. 2017]]</f>
        <v>18.577437431157538</v>
      </c>
      <c r="T269" s="397"/>
      <c r="U269" s="340"/>
      <c r="V269" s="341"/>
      <c r="W269" s="401"/>
      <c r="X269" s="580"/>
      <c r="Y269" s="343">
        <f>Tabel668921274[[#This Row],[Total. ch. DW 2017]]</f>
        <v>0</v>
      </c>
      <c r="Z269" s="344"/>
      <c r="AA269" s="581"/>
      <c r="AB269" s="345">
        <f>Tabel668921274[[#This Row],[WW 2017]]</f>
        <v>18.577437431157538</v>
      </c>
      <c r="AC269" s="581"/>
      <c r="AD269" s="346"/>
      <c r="AE269" s="581"/>
      <c r="AF269" s="347"/>
      <c r="AG269" s="516">
        <f>SUM(Y269:AF269)</f>
        <v>18.577437431157538</v>
      </c>
      <c r="AH269" s="397"/>
      <c r="AI269" s="398"/>
      <c r="AJ269" s="396"/>
      <c r="AK269" s="396" t="s">
        <v>429</v>
      </c>
      <c r="AL269" s="398"/>
      <c r="AM269" s="396" t="s">
        <v>429</v>
      </c>
      <c r="AN269" s="398"/>
      <c r="AO269" s="398"/>
      <c r="AP269" s="397"/>
    </row>
    <row r="270" spans="1:42" ht="16.5" hidden="1" thickBot="1" x14ac:dyDescent="0.3">
      <c r="A270" s="267" t="s">
        <v>29</v>
      </c>
      <c r="B270" s="455" t="s">
        <v>164</v>
      </c>
      <c r="C270" s="1048"/>
      <c r="D270" s="811" t="s">
        <v>1143</v>
      </c>
      <c r="E270" s="304"/>
      <c r="F270" s="307"/>
      <c r="G270" s="319"/>
      <c r="H270" s="320"/>
      <c r="I270" s="321"/>
      <c r="J270" s="559"/>
      <c r="K270" s="313">
        <f>Tabel668921274[[#This Row],[Fix.ch. 2017]]+Tabel668921274[[#This Row],[Var. ch. 2017]]+Tabel668921274[[#This Row],[Oth. ch. DW 2017]]+Tabel668921274[[#This Row],[VAT DW 2017]]</f>
        <v>0</v>
      </c>
      <c r="L270" s="322"/>
      <c r="M270" s="559"/>
      <c r="N270" s="323"/>
      <c r="O270" s="559"/>
      <c r="P270" s="324"/>
      <c r="Q270" s="559"/>
      <c r="R270" s="317">
        <f>Tabel668921274[[#This Row],[VAT DW 2017]]+Tabel668921274[[#This Row],[VAT Sew. 2017]]+Tabel668921274[[#This Row],[VAT WW 2017]]+Tabel668921274[[#This Row],[VAT Other ch. 2017]]</f>
        <v>0</v>
      </c>
      <c r="S270" s="318">
        <f>Tabel668921274[[#This Row],[Total. ch. DW 2017]]+Tabel668921274[[#This Row],[Sew. 2017]]+Tabel668921274[[#This Row],[VAT Sew. 2017]]+Tabel668921274[[#This Row],[WW 2017]]+Tabel668921274[[#This Row],[VAT WW 2017]]+Tabel668921274[[#This Row],[Other ch. 2017]]+Tabel668921274[[#This Row],[VAT Other ch. 2017]]</f>
        <v>0</v>
      </c>
      <c r="T270" s="397"/>
      <c r="U270" s="376"/>
      <c r="V270" s="377"/>
      <c r="W270" s="378"/>
      <c r="X270" s="588"/>
      <c r="Y270" s="379"/>
      <c r="Z270" s="380"/>
      <c r="AA270" s="588"/>
      <c r="AB270" s="381"/>
      <c r="AC270" s="588"/>
      <c r="AD270" s="382"/>
      <c r="AE270" s="588"/>
      <c r="AF270" s="383"/>
      <c r="AG270" s="384"/>
      <c r="AH270" s="397"/>
      <c r="AI270" s="398"/>
      <c r="AJ270" s="398"/>
      <c r="AK270" s="398"/>
      <c r="AL270" s="398"/>
      <c r="AM270" s="398"/>
      <c r="AN270" s="398"/>
      <c r="AO270" s="398"/>
      <c r="AP270" s="397"/>
    </row>
    <row r="271" spans="1:42" ht="15.75" hidden="1" x14ac:dyDescent="0.25">
      <c r="A271" s="1878" t="s">
        <v>927</v>
      </c>
      <c r="B271" s="693" t="s">
        <v>928</v>
      </c>
      <c r="C271" s="693" t="s">
        <v>429</v>
      </c>
      <c r="D271" s="806" t="s">
        <v>1145</v>
      </c>
      <c r="E271" s="1759">
        <v>26500</v>
      </c>
      <c r="F271" s="617">
        <f>'exchange rates'!$O$64</f>
        <v>3.7947000000000002</v>
      </c>
      <c r="G271" s="549">
        <f>442/F271</f>
        <v>116.47824597464884</v>
      </c>
      <c r="H271" s="550">
        <v>0</v>
      </c>
      <c r="I271" s="551">
        <v>0</v>
      </c>
      <c r="J271" s="560">
        <f>35.36/F271</f>
        <v>9.3182596779719074</v>
      </c>
      <c r="K271" s="566">
        <f>Tabel668921274[[#This Row],[Fix.ch. 2017]]+Tabel668921274[[#This Row],[Var. ch. 2017]]+Tabel668921274[[#This Row],[Oth. ch. DW 2017]]+Tabel668921274[[#This Row],[VAT DW 2017]]</f>
        <v>125.79650565262075</v>
      </c>
      <c r="L271" s="567">
        <v>0</v>
      </c>
      <c r="M271" s="560">
        <v>0</v>
      </c>
      <c r="N271" s="568">
        <f>221/F271</f>
        <v>58.239122987324421</v>
      </c>
      <c r="O271" s="560">
        <f>17.68/F271</f>
        <v>4.6591298389859537</v>
      </c>
      <c r="P271" s="569">
        <f>24/F271</f>
        <v>6.3246106411574035</v>
      </c>
      <c r="Q271" s="560">
        <v>0</v>
      </c>
      <c r="R271" s="570">
        <f>Tabel668921274[[#This Row],[VAT DW 2017]]+Tabel668921274[[#This Row],[VAT Sew. 2017]]+Tabel668921274[[#This Row],[VAT WW 2017]]+Tabel668921274[[#This Row],[VAT Other ch. 2017]]</f>
        <v>13.97738951695786</v>
      </c>
      <c r="S271" s="571">
        <f>Tabel668921274[[#This Row],[Total. ch. DW 2017]]+Tabel668921274[[#This Row],[Sew. 2017]]+Tabel668921274[[#This Row],[VAT Sew. 2017]]+Tabel668921274[[#This Row],[WW 2017]]+Tabel668921274[[#This Row],[VAT WW 2017]]+Tabel668921274[[#This Row],[Other ch. 2017]]+Tabel668921274[[#This Row],[VAT Other ch. 2017]]</f>
        <v>195.01936912008853</v>
      </c>
      <c r="T271" s="397"/>
      <c r="U271" s="1762">
        <f xml:space="preserve"> MEDIAN(G271:G273)</f>
        <v>116.47824597464884</v>
      </c>
      <c r="V271" s="1765">
        <f xml:space="preserve"> MEDIAN(H271:H273)</f>
        <v>0</v>
      </c>
      <c r="W271" s="1768">
        <f xml:space="preserve"> MEDIAN(I271:I273)</f>
        <v>0</v>
      </c>
      <c r="X271" s="1771">
        <f xml:space="preserve"> MEDIAN(J271:J273)</f>
        <v>9.3182596779719074</v>
      </c>
      <c r="Y271" s="1774">
        <f>SUM(U271:X273)</f>
        <v>125.79650565262075</v>
      </c>
      <c r="Z271" s="1777">
        <f t="shared" ref="Z271:AF271" si="40" xml:space="preserve"> MEDIAN(L271:L273)</f>
        <v>0</v>
      </c>
      <c r="AA271" s="1771">
        <f t="shared" si="40"/>
        <v>0</v>
      </c>
      <c r="AB271" s="1810">
        <f t="shared" si="40"/>
        <v>49.279257912351433</v>
      </c>
      <c r="AC271" s="1771">
        <f t="shared" si="40"/>
        <v>3.942340632988115</v>
      </c>
      <c r="AD271" s="1812">
        <f t="shared" si="40"/>
        <v>6.3246106411574035</v>
      </c>
      <c r="AE271" s="1771">
        <f t="shared" si="40"/>
        <v>0</v>
      </c>
      <c r="AF271" s="1814">
        <f t="shared" si="40"/>
        <v>12.670303317785331</v>
      </c>
      <c r="AG271" s="1793">
        <f>Y271+Z271+AA271+AB271+AC271+AD271+AE271</f>
        <v>185.34271483911769</v>
      </c>
      <c r="AH271" s="397"/>
      <c r="AI271" s="398"/>
      <c r="AJ271" s="398"/>
      <c r="AK271" s="398"/>
      <c r="AL271" s="398"/>
      <c r="AM271" s="398"/>
      <c r="AN271" s="398"/>
      <c r="AO271" s="398"/>
      <c r="AP271" s="397"/>
    </row>
    <row r="272" spans="1:42" ht="15.75" hidden="1" x14ac:dyDescent="0.25">
      <c r="A272" s="1757"/>
      <c r="B272" s="639" t="s">
        <v>929</v>
      </c>
      <c r="C272" s="639"/>
      <c r="D272" s="724" t="s">
        <v>1145</v>
      </c>
      <c r="E272" s="1760"/>
      <c r="F272" s="617">
        <f>'exchange rates'!$O$64</f>
        <v>3.7947000000000002</v>
      </c>
      <c r="G272" s="549">
        <f>445/F272</f>
        <v>117.26882230479352</v>
      </c>
      <c r="H272" s="550">
        <v>0</v>
      </c>
      <c r="I272" s="551">
        <f>(4.47*12)/F272</f>
        <v>14.135504782986796</v>
      </c>
      <c r="J272" s="560">
        <f>35.6/F272</f>
        <v>9.3815057843834815</v>
      </c>
      <c r="K272" s="566">
        <f>Tabel668921274[[#This Row],[Fix.ch. 2017]]+Tabel668921274[[#This Row],[Var. ch. 2017]]+Tabel668921274[[#This Row],[Oth. ch. DW 2017]]+Tabel668921274[[#This Row],[VAT DW 2017]]</f>
        <v>140.78583287216378</v>
      </c>
      <c r="L272" s="567">
        <v>0</v>
      </c>
      <c r="M272" s="560">
        <v>0</v>
      </c>
      <c r="N272" s="568">
        <f>156/F272</f>
        <v>41.109969167523126</v>
      </c>
      <c r="O272" s="560">
        <f>12.48/F272</f>
        <v>3.28879753340185</v>
      </c>
      <c r="P272" s="569">
        <f t="shared" ref="P272:P273" si="41">24/F272</f>
        <v>6.3246106411574035</v>
      </c>
      <c r="Q272" s="560">
        <v>0</v>
      </c>
      <c r="R272" s="570">
        <f>Tabel668921274[[#This Row],[VAT DW 2017]]+Tabel668921274[[#This Row],[VAT Sew. 2017]]+Tabel668921274[[#This Row],[VAT WW 2017]]+Tabel668921274[[#This Row],[VAT Other ch. 2017]]</f>
        <v>12.670303317785331</v>
      </c>
      <c r="S272" s="571">
        <f>Tabel668921274[[#This Row],[Total. ch. DW 2017]]+Tabel668921274[[#This Row],[Sew. 2017]]+Tabel668921274[[#This Row],[VAT Sew. 2017]]+Tabel668921274[[#This Row],[WW 2017]]+Tabel668921274[[#This Row],[VAT WW 2017]]+Tabel668921274[[#This Row],[Other ch. 2017]]+Tabel668921274[[#This Row],[VAT Other ch. 2017]]</f>
        <v>191.50921021424617</v>
      </c>
      <c r="T272" s="397"/>
      <c r="U272" s="1763"/>
      <c r="V272" s="1766"/>
      <c r="W272" s="1769"/>
      <c r="X272" s="1772"/>
      <c r="Y272" s="1775"/>
      <c r="Z272" s="1778"/>
      <c r="AA272" s="1772"/>
      <c r="AB272" s="1781"/>
      <c r="AC272" s="1772"/>
      <c r="AD272" s="1785"/>
      <c r="AE272" s="1772"/>
      <c r="AF272" s="1788"/>
      <c r="AG272" s="1791"/>
      <c r="AH272" s="397"/>
      <c r="AI272" s="398"/>
      <c r="AJ272" s="398"/>
      <c r="AK272" s="398"/>
      <c r="AL272" s="591" t="s">
        <v>429</v>
      </c>
      <c r="AM272" s="591" t="s">
        <v>429</v>
      </c>
      <c r="AN272" s="398"/>
      <c r="AO272" s="398"/>
      <c r="AP272" s="397"/>
    </row>
    <row r="273" spans="1:42" ht="16.5" hidden="1" thickBot="1" x14ac:dyDescent="0.3">
      <c r="A273" s="1758"/>
      <c r="B273" s="652" t="s">
        <v>930</v>
      </c>
      <c r="C273" s="652"/>
      <c r="D273" s="807" t="s">
        <v>1145</v>
      </c>
      <c r="E273" s="1761"/>
      <c r="F273" s="617">
        <f>'exchange rates'!$O$64</f>
        <v>3.7947000000000002</v>
      </c>
      <c r="G273" s="549">
        <f>229/F273</f>
        <v>60.34732653437689</v>
      </c>
      <c r="H273" s="550">
        <v>0</v>
      </c>
      <c r="I273" s="551">
        <v>0</v>
      </c>
      <c r="J273" s="560">
        <f>18.32/F273</f>
        <v>4.8277861227501511</v>
      </c>
      <c r="K273" s="566">
        <f>Tabel668921274[[#This Row],[Fix.ch. 2017]]+Tabel668921274[[#This Row],[Var. ch. 2017]]+Tabel668921274[[#This Row],[Oth. ch. DW 2017]]+Tabel668921274[[#This Row],[VAT DW 2017]]</f>
        <v>65.175112657127045</v>
      </c>
      <c r="L273" s="567">
        <v>0</v>
      </c>
      <c r="M273" s="560">
        <v>0</v>
      </c>
      <c r="N273" s="568">
        <f>187/F273</f>
        <v>49.279257912351433</v>
      </c>
      <c r="O273" s="560">
        <f>14.96/F273</f>
        <v>3.942340632988115</v>
      </c>
      <c r="P273" s="569">
        <f t="shared" si="41"/>
        <v>6.3246106411574035</v>
      </c>
      <c r="Q273" s="560">
        <v>0</v>
      </c>
      <c r="R273" s="570">
        <f>Tabel668921274[[#This Row],[VAT DW 2017]]+Tabel668921274[[#This Row],[VAT Sew. 2017]]+Tabel668921274[[#This Row],[VAT WW 2017]]+Tabel668921274[[#This Row],[VAT Other ch. 2017]]</f>
        <v>8.7701267557382661</v>
      </c>
      <c r="S273" s="571">
        <f>Tabel668921274[[#This Row],[Total. ch. DW 2017]]+Tabel668921274[[#This Row],[Sew. 2017]]+Tabel668921274[[#This Row],[VAT Sew. 2017]]+Tabel668921274[[#This Row],[WW 2017]]+Tabel668921274[[#This Row],[VAT WW 2017]]+Tabel668921274[[#This Row],[Other ch. 2017]]+Tabel668921274[[#This Row],[VAT Other ch. 2017]]</f>
        <v>124.721321843624</v>
      </c>
      <c r="T273" s="397"/>
      <c r="U273" s="1764"/>
      <c r="V273" s="1767"/>
      <c r="W273" s="1770"/>
      <c r="X273" s="1773"/>
      <c r="Y273" s="1776"/>
      <c r="Z273" s="1779"/>
      <c r="AA273" s="1773"/>
      <c r="AB273" s="1811"/>
      <c r="AC273" s="1773"/>
      <c r="AD273" s="1813"/>
      <c r="AE273" s="1773"/>
      <c r="AF273" s="1815"/>
      <c r="AG273" s="1794"/>
      <c r="AH273" s="397"/>
      <c r="AI273" s="398"/>
      <c r="AJ273" s="398"/>
      <c r="AK273" s="398"/>
      <c r="AL273" s="398"/>
      <c r="AM273" s="398"/>
      <c r="AN273" s="398"/>
      <c r="AO273" s="398"/>
      <c r="AP273" s="397"/>
    </row>
    <row r="274" spans="1:42" ht="18" hidden="1" customHeight="1" x14ac:dyDescent="0.25">
      <c r="A274" s="1878" t="s">
        <v>505</v>
      </c>
      <c r="B274" s="690" t="s">
        <v>746</v>
      </c>
      <c r="C274" s="693" t="s">
        <v>429</v>
      </c>
      <c r="D274" s="806" t="s">
        <v>1147</v>
      </c>
      <c r="E274" s="2185">
        <v>2400</v>
      </c>
      <c r="F274" s="617">
        <f>'exchange rates'!$O$65</f>
        <v>3628.4174400000002</v>
      </c>
      <c r="G274" s="549">
        <f>18000/F274</f>
        <v>4.9608404483911857</v>
      </c>
      <c r="H274" s="550">
        <f>319900/F274</f>
        <v>88.165158857796683</v>
      </c>
      <c r="I274" s="551">
        <v>0</v>
      </c>
      <c r="J274" s="560">
        <f>57582/F274</f>
        <v>15.869728594403403</v>
      </c>
      <c r="K274" s="566">
        <f>Tabel668921274[[#This Row],[Fix.ch. 2017]]+Tabel668921274[[#This Row],[Var. ch. 2017]]+Tabel668921274[[#This Row],[Oth. ch. DW 2017]]+Tabel668921274[[#This Row],[VAT DW 2017]]</f>
        <v>108.99572790059126</v>
      </c>
      <c r="L274" s="567">
        <f>239925/F274</f>
        <v>66.12386914334752</v>
      </c>
      <c r="M274" s="560">
        <f>43187/F274</f>
        <v>11.90243424692612</v>
      </c>
      <c r="N274" s="568">
        <v>0</v>
      </c>
      <c r="O274" s="560">
        <v>0</v>
      </c>
      <c r="P274" s="569">
        <v>0</v>
      </c>
      <c r="Q274" s="560">
        <v>0</v>
      </c>
      <c r="R274" s="570">
        <f>Tabel668921274[[#This Row],[VAT DW 2017]]+Tabel668921274[[#This Row],[VAT Sew. 2017]]+Tabel668921274[[#This Row],[VAT WW 2017]]+Tabel668921274[[#This Row],[VAT Other ch. 2017]]</f>
        <v>27.772162841329525</v>
      </c>
      <c r="S274" s="571">
        <f>Tabel668921274[[#This Row],[Total. ch. DW 2017]]+Tabel668921274[[#This Row],[Sew. 2017]]+Tabel668921274[[#This Row],[VAT Sew. 2017]]+Tabel668921274[[#This Row],[WW 2017]]+Tabel668921274[[#This Row],[VAT WW 2017]]+Tabel668921274[[#This Row],[Other ch. 2017]]+Tabel668921274[[#This Row],[VAT Other ch. 2017]]</f>
        <v>187.0220312908649</v>
      </c>
      <c r="T274" s="397"/>
      <c r="U274" s="1984">
        <f>MEDIAN(G274:G277)</f>
        <v>4.9608404483911857</v>
      </c>
      <c r="V274" s="1985">
        <f>MEDIAN(H274:H277)</f>
        <v>88.165158857796683</v>
      </c>
      <c r="W274" s="1986">
        <f>MEDIAN(I274:I277)</f>
        <v>0</v>
      </c>
      <c r="X274" s="1908">
        <f>MEDIAN(J274:J277)</f>
        <v>15.869728594403403</v>
      </c>
      <c r="Y274" s="1987">
        <f>SUM(U274:X277)</f>
        <v>108.99572790059126</v>
      </c>
      <c r="Z274" s="2031">
        <f t="shared" ref="Z274:AF274" si="42">MEDIAN(L274:L277)</f>
        <v>66.12386914334752</v>
      </c>
      <c r="AA274" s="1908">
        <f t="shared" si="42"/>
        <v>11.90243424692612</v>
      </c>
      <c r="AB274" s="2032">
        <f t="shared" si="42"/>
        <v>0</v>
      </c>
      <c r="AC274" s="1908">
        <f t="shared" si="42"/>
        <v>0</v>
      </c>
      <c r="AD274" s="2028">
        <f t="shared" si="42"/>
        <v>0</v>
      </c>
      <c r="AE274" s="1908">
        <f t="shared" si="42"/>
        <v>0</v>
      </c>
      <c r="AF274" s="1988">
        <f t="shared" si="42"/>
        <v>27.772162841329525</v>
      </c>
      <c r="AG274" s="2190">
        <f>Y274+Z274+AA274+AB274+AC274+AD274+AE274</f>
        <v>187.0220312908649</v>
      </c>
      <c r="AH274" s="397"/>
      <c r="AI274" s="398"/>
      <c r="AJ274" s="591" t="s">
        <v>429</v>
      </c>
      <c r="AK274" s="614"/>
      <c r="AL274" s="614"/>
      <c r="AM274" s="591" t="s">
        <v>429</v>
      </c>
      <c r="AN274" s="396"/>
      <c r="AO274" s="398"/>
      <c r="AP274" s="397"/>
    </row>
    <row r="275" spans="1:42" ht="15.75" hidden="1" x14ac:dyDescent="0.25">
      <c r="A275" s="1757"/>
      <c r="B275" s="639" t="s">
        <v>747</v>
      </c>
      <c r="C275" s="639"/>
      <c r="D275" s="724" t="s">
        <v>1147</v>
      </c>
      <c r="E275" s="2186"/>
      <c r="F275" s="617">
        <f>'exchange rates'!$O$65</f>
        <v>3628.4174400000002</v>
      </c>
      <c r="G275" s="549">
        <f t="shared" ref="G275:G277" si="43">18000/F275</f>
        <v>4.9608404483911857</v>
      </c>
      <c r="H275" s="550">
        <f t="shared" ref="H275:H277" si="44">319900/F275</f>
        <v>88.165158857796683</v>
      </c>
      <c r="I275" s="551">
        <v>0</v>
      </c>
      <c r="J275" s="560">
        <f t="shared" ref="J275:J277" si="45">57582/F275</f>
        <v>15.869728594403403</v>
      </c>
      <c r="K275" s="566">
        <f>Tabel668921274[[#This Row],[Fix.ch. 2017]]+Tabel668921274[[#This Row],[Var. ch. 2017]]+Tabel668921274[[#This Row],[Oth. ch. DW 2017]]+Tabel668921274[[#This Row],[VAT DW 2017]]</f>
        <v>108.99572790059126</v>
      </c>
      <c r="L275" s="567">
        <f t="shared" ref="L275:L277" si="46">239925/F275</f>
        <v>66.12386914334752</v>
      </c>
      <c r="M275" s="560">
        <f t="shared" ref="M275:M277" si="47">43187/F275</f>
        <v>11.90243424692612</v>
      </c>
      <c r="N275" s="568">
        <v>0</v>
      </c>
      <c r="O275" s="560">
        <v>0</v>
      </c>
      <c r="P275" s="569">
        <v>0</v>
      </c>
      <c r="Q275" s="560">
        <v>0</v>
      </c>
      <c r="R275" s="570">
        <f>Tabel668921274[[#This Row],[VAT DW 2017]]+Tabel668921274[[#This Row],[VAT Sew. 2017]]+Tabel668921274[[#This Row],[VAT WW 2017]]+Tabel668921274[[#This Row],[VAT Other ch. 2017]]</f>
        <v>27.772162841329525</v>
      </c>
      <c r="S275" s="571">
        <f>Tabel668921274[[#This Row],[Total. ch. DW 2017]]+Tabel668921274[[#This Row],[Sew. 2017]]+Tabel668921274[[#This Row],[VAT Sew. 2017]]+Tabel668921274[[#This Row],[WW 2017]]+Tabel668921274[[#This Row],[VAT WW 2017]]+Tabel668921274[[#This Row],[Other ch. 2017]]+Tabel668921274[[#This Row],[VAT Other ch. 2017]]</f>
        <v>187.0220312908649</v>
      </c>
      <c r="T275" s="397"/>
      <c r="U275" s="1763"/>
      <c r="V275" s="1766"/>
      <c r="W275" s="1769"/>
      <c r="X275" s="1772"/>
      <c r="Y275" s="1775"/>
      <c r="Z275" s="1778"/>
      <c r="AA275" s="1772"/>
      <c r="AB275" s="1781"/>
      <c r="AC275" s="1772"/>
      <c r="AD275" s="1785"/>
      <c r="AE275" s="1772"/>
      <c r="AF275" s="1788"/>
      <c r="AG275" s="1791"/>
      <c r="AH275" s="397"/>
      <c r="AI275" s="398"/>
      <c r="AJ275" s="591" t="s">
        <v>429</v>
      </c>
      <c r="AK275" s="614"/>
      <c r="AL275" s="614"/>
      <c r="AM275" s="591" t="s">
        <v>429</v>
      </c>
      <c r="AN275" s="396"/>
      <c r="AO275" s="398"/>
      <c r="AP275" s="397"/>
    </row>
    <row r="276" spans="1:42" ht="15.75" hidden="1" x14ac:dyDescent="0.25">
      <c r="A276" s="1757"/>
      <c r="B276" s="639" t="s">
        <v>748</v>
      </c>
      <c r="C276" s="639"/>
      <c r="D276" s="724" t="s">
        <v>1147</v>
      </c>
      <c r="E276" s="2186"/>
      <c r="F276" s="617">
        <f>'exchange rates'!$O$65</f>
        <v>3628.4174400000002</v>
      </c>
      <c r="G276" s="549">
        <f t="shared" si="43"/>
        <v>4.9608404483911857</v>
      </c>
      <c r="H276" s="550">
        <f t="shared" si="44"/>
        <v>88.165158857796683</v>
      </c>
      <c r="I276" s="551">
        <v>0</v>
      </c>
      <c r="J276" s="560">
        <f t="shared" si="45"/>
        <v>15.869728594403403</v>
      </c>
      <c r="K276" s="566">
        <f>Tabel668921274[[#This Row],[Fix.ch. 2017]]+Tabel668921274[[#This Row],[Var. ch. 2017]]+Tabel668921274[[#This Row],[Oth. ch. DW 2017]]+Tabel668921274[[#This Row],[VAT DW 2017]]</f>
        <v>108.99572790059126</v>
      </c>
      <c r="L276" s="567">
        <f t="shared" si="46"/>
        <v>66.12386914334752</v>
      </c>
      <c r="M276" s="560">
        <f t="shared" si="47"/>
        <v>11.90243424692612</v>
      </c>
      <c r="N276" s="568">
        <v>0</v>
      </c>
      <c r="O276" s="560">
        <v>0</v>
      </c>
      <c r="P276" s="569">
        <v>0</v>
      </c>
      <c r="Q276" s="560">
        <v>0</v>
      </c>
      <c r="R276" s="570">
        <f>Tabel668921274[[#This Row],[VAT DW 2017]]+Tabel668921274[[#This Row],[VAT Sew. 2017]]+Tabel668921274[[#This Row],[VAT WW 2017]]+Tabel668921274[[#This Row],[VAT Other ch. 2017]]</f>
        <v>27.772162841329525</v>
      </c>
      <c r="S276" s="571">
        <f>Tabel668921274[[#This Row],[Total. ch. DW 2017]]+Tabel668921274[[#This Row],[Sew. 2017]]+Tabel668921274[[#This Row],[VAT Sew. 2017]]+Tabel668921274[[#This Row],[WW 2017]]+Tabel668921274[[#This Row],[VAT WW 2017]]+Tabel668921274[[#This Row],[Other ch. 2017]]+Tabel668921274[[#This Row],[VAT Other ch. 2017]]</f>
        <v>187.0220312908649</v>
      </c>
      <c r="T276" s="397"/>
      <c r="U276" s="1763"/>
      <c r="V276" s="1766"/>
      <c r="W276" s="1769"/>
      <c r="X276" s="1772"/>
      <c r="Y276" s="1775"/>
      <c r="Z276" s="1778"/>
      <c r="AA276" s="1772"/>
      <c r="AB276" s="1781"/>
      <c r="AC276" s="1772"/>
      <c r="AD276" s="1785"/>
      <c r="AE276" s="1772"/>
      <c r="AF276" s="1788"/>
      <c r="AG276" s="1791"/>
      <c r="AH276" s="397"/>
      <c r="AI276" s="398"/>
      <c r="AJ276" s="591" t="s">
        <v>429</v>
      </c>
      <c r="AK276" s="614"/>
      <c r="AL276" s="614"/>
      <c r="AM276" s="591" t="s">
        <v>429</v>
      </c>
      <c r="AN276" s="396"/>
      <c r="AO276" s="398"/>
      <c r="AP276" s="397"/>
    </row>
    <row r="277" spans="1:42" ht="16.5" hidden="1" thickBot="1" x14ac:dyDescent="0.3">
      <c r="A277" s="1758"/>
      <c r="B277" s="652" t="s">
        <v>749</v>
      </c>
      <c r="C277" s="652"/>
      <c r="D277" s="807" t="s">
        <v>1147</v>
      </c>
      <c r="E277" s="2187"/>
      <c r="F277" s="617">
        <f>'exchange rates'!$O$65</f>
        <v>3628.4174400000002</v>
      </c>
      <c r="G277" s="549">
        <f t="shared" si="43"/>
        <v>4.9608404483911857</v>
      </c>
      <c r="H277" s="550">
        <f t="shared" si="44"/>
        <v>88.165158857796683</v>
      </c>
      <c r="I277" s="551">
        <v>0</v>
      </c>
      <c r="J277" s="560">
        <f t="shared" si="45"/>
        <v>15.869728594403403</v>
      </c>
      <c r="K277" s="566">
        <f>Tabel668921274[[#This Row],[Fix.ch. 2017]]+Tabel668921274[[#This Row],[Var. ch. 2017]]+Tabel668921274[[#This Row],[Oth. ch. DW 2017]]+Tabel668921274[[#This Row],[VAT DW 2017]]</f>
        <v>108.99572790059126</v>
      </c>
      <c r="L277" s="567">
        <f t="shared" si="46"/>
        <v>66.12386914334752</v>
      </c>
      <c r="M277" s="560">
        <f t="shared" si="47"/>
        <v>11.90243424692612</v>
      </c>
      <c r="N277" s="568">
        <v>0</v>
      </c>
      <c r="O277" s="560">
        <v>0</v>
      </c>
      <c r="P277" s="569">
        <v>0</v>
      </c>
      <c r="Q277" s="560">
        <v>0</v>
      </c>
      <c r="R277" s="570">
        <f>Tabel668921274[[#This Row],[VAT DW 2017]]+Tabel668921274[[#This Row],[VAT Sew. 2017]]+Tabel668921274[[#This Row],[VAT WW 2017]]+Tabel668921274[[#This Row],[VAT Other ch. 2017]]</f>
        <v>27.772162841329525</v>
      </c>
      <c r="S277" s="571">
        <f>Tabel668921274[[#This Row],[Total. ch. DW 2017]]+Tabel668921274[[#This Row],[Sew. 2017]]+Tabel668921274[[#This Row],[VAT Sew. 2017]]+Tabel668921274[[#This Row],[WW 2017]]+Tabel668921274[[#This Row],[VAT WW 2017]]+Tabel668921274[[#This Row],[Other ch. 2017]]+Tabel668921274[[#This Row],[VAT Other ch. 2017]]</f>
        <v>187.0220312908649</v>
      </c>
      <c r="T277" s="397"/>
      <c r="U277" s="1764"/>
      <c r="V277" s="1767"/>
      <c r="W277" s="1770"/>
      <c r="X277" s="1773"/>
      <c r="Y277" s="1776"/>
      <c r="Z277" s="1779"/>
      <c r="AA277" s="1773"/>
      <c r="AB277" s="1811"/>
      <c r="AC277" s="1773"/>
      <c r="AD277" s="1813"/>
      <c r="AE277" s="1773"/>
      <c r="AF277" s="1815"/>
      <c r="AG277" s="1794"/>
      <c r="AH277" s="397"/>
      <c r="AI277" s="398"/>
      <c r="AJ277" s="591" t="s">
        <v>429</v>
      </c>
      <c r="AK277" s="614"/>
      <c r="AL277" s="614"/>
      <c r="AM277" s="591" t="s">
        <v>429</v>
      </c>
      <c r="AN277" s="396"/>
      <c r="AO277" s="398"/>
      <c r="AP277" s="397"/>
    </row>
    <row r="278" spans="1:42" ht="15.75" hidden="1" customHeight="1" x14ac:dyDescent="0.25">
      <c r="A278" s="1818" t="s">
        <v>456</v>
      </c>
      <c r="B278" s="663" t="s">
        <v>165</v>
      </c>
      <c r="C278" s="1046"/>
      <c r="D278" s="802" t="s">
        <v>1149</v>
      </c>
      <c r="E278" s="2196">
        <v>43600</v>
      </c>
      <c r="F278" s="617">
        <f>'exchange rates'!$O$66</f>
        <v>0.73992000000000002</v>
      </c>
      <c r="G278" s="549">
        <f>26.08/F278</f>
        <v>35.247053735538977</v>
      </c>
      <c r="H278" s="550">
        <f>151.93/F278</f>
        <v>205.33300897394312</v>
      </c>
      <c r="I278" s="551">
        <v>0</v>
      </c>
      <c r="J278" s="560">
        <v>0</v>
      </c>
      <c r="K278" s="566">
        <f>Tabel668921274[[#This Row],[Fix.ch. 2017]]+Tabel668921274[[#This Row],[Var. ch. 2017]]+Tabel668921274[[#This Row],[Oth. ch. DW 2017]]+Tabel668921274[[#This Row],[VAT DW 2017]]</f>
        <v>240.58006270948209</v>
      </c>
      <c r="L278" s="567">
        <v>0</v>
      </c>
      <c r="M278" s="560">
        <v>0</v>
      </c>
      <c r="N278" s="568">
        <f>170.61/F278</f>
        <v>230.57898151151477</v>
      </c>
      <c r="O278" s="560">
        <v>0</v>
      </c>
      <c r="P278" s="569">
        <v>0</v>
      </c>
      <c r="Q278" s="560">
        <v>0</v>
      </c>
      <c r="R278" s="570">
        <f>Tabel668921274[[#This Row],[VAT DW 2017]]+Tabel668921274[[#This Row],[VAT Sew. 2017]]+Tabel668921274[[#This Row],[VAT WW 2017]]+Tabel668921274[[#This Row],[VAT Other ch. 2017]]</f>
        <v>0</v>
      </c>
      <c r="S278" s="571">
        <f>Tabel668921274[[#This Row],[Total. ch. DW 2017]]+Tabel668921274[[#This Row],[Sew. 2017]]+Tabel668921274[[#This Row],[VAT Sew. 2017]]+Tabel668921274[[#This Row],[WW 2017]]+Tabel668921274[[#This Row],[VAT WW 2017]]+Tabel668921274[[#This Row],[Other ch. 2017]]+Tabel668921274[[#This Row],[VAT Other ch. 2017]]</f>
        <v>471.15904422099686</v>
      </c>
      <c r="T278" s="397"/>
      <c r="U278" s="2197">
        <f>MEDIAN(G278:G282)</f>
        <v>42.301870472483515</v>
      </c>
      <c r="V278" s="2198">
        <f>MEDIAN(H278:H282)</f>
        <v>182.18185749810792</v>
      </c>
      <c r="W278" s="2199">
        <f>MEDIAN(I278:I282)</f>
        <v>0</v>
      </c>
      <c r="X278" s="1908">
        <f>MEDIAN(J278:J282)</f>
        <v>0</v>
      </c>
      <c r="Y278" s="2200">
        <f>SUM(U278:X282)</f>
        <v>224.48372797059142</v>
      </c>
      <c r="Z278" s="2201">
        <f t="shared" ref="Z278:AF278" si="48">MEDIAN(L278:L282)</f>
        <v>0</v>
      </c>
      <c r="AA278" s="1908">
        <f t="shared" si="48"/>
        <v>0</v>
      </c>
      <c r="AB278" s="2193">
        <f t="shared" si="48"/>
        <v>291.50448697156446</v>
      </c>
      <c r="AC278" s="1908">
        <f t="shared" si="48"/>
        <v>0</v>
      </c>
      <c r="AD278" s="2194">
        <f t="shared" si="48"/>
        <v>0</v>
      </c>
      <c r="AE278" s="1908">
        <f t="shared" si="48"/>
        <v>0</v>
      </c>
      <c r="AF278" s="2195">
        <f t="shared" si="48"/>
        <v>0</v>
      </c>
      <c r="AG278" s="2202">
        <f>Y278+Z278+AA278+AB278+AC278+AD278+AE278</f>
        <v>515.98821494215588</v>
      </c>
      <c r="AH278" s="397"/>
      <c r="AI278" s="398"/>
      <c r="AJ278" s="398"/>
      <c r="AK278" s="398"/>
      <c r="AL278" s="398"/>
      <c r="AM278" s="398"/>
      <c r="AN278" s="398"/>
      <c r="AO278" s="398"/>
      <c r="AP278" s="2191"/>
    </row>
    <row r="279" spans="1:42" ht="15.75" hidden="1" customHeight="1" x14ac:dyDescent="0.25">
      <c r="A279" s="1819"/>
      <c r="B279" s="547" t="s">
        <v>166</v>
      </c>
      <c r="C279" s="1046" t="s">
        <v>429</v>
      </c>
      <c r="D279" s="802" t="s">
        <v>1149</v>
      </c>
      <c r="E279" s="1760"/>
      <c r="F279" s="617">
        <f>'exchange rates'!$O$66</f>
        <v>0.73992000000000002</v>
      </c>
      <c r="G279" s="549">
        <f>34.45/F279</f>
        <v>46.559087468915564</v>
      </c>
      <c r="H279" s="550">
        <f>128.09/F279</f>
        <v>173.11330954697806</v>
      </c>
      <c r="I279" s="551">
        <v>0</v>
      </c>
      <c r="J279" s="560">
        <v>0</v>
      </c>
      <c r="K279" s="566">
        <f>Tabel668921274[[#This Row],[Fix.ch. 2017]]+Tabel668921274[[#This Row],[Var. ch. 2017]]+Tabel668921274[[#This Row],[Oth. ch. DW 2017]]+Tabel668921274[[#This Row],[VAT DW 2017]]</f>
        <v>219.67239701589364</v>
      </c>
      <c r="L279" s="567">
        <v>0</v>
      </c>
      <c r="M279" s="560">
        <v>0</v>
      </c>
      <c r="N279" s="568">
        <f>246.31/F279</f>
        <v>332.88733917180235</v>
      </c>
      <c r="O279" s="560">
        <v>0</v>
      </c>
      <c r="P279" s="569">
        <v>0</v>
      </c>
      <c r="Q279" s="560">
        <v>0</v>
      </c>
      <c r="R279" s="570">
        <f>Tabel668921274[[#This Row],[VAT DW 2017]]+Tabel668921274[[#This Row],[VAT Sew. 2017]]+Tabel668921274[[#This Row],[VAT WW 2017]]+Tabel668921274[[#This Row],[VAT Other ch. 2017]]</f>
        <v>0</v>
      </c>
      <c r="S279" s="571">
        <f>Tabel668921274[[#This Row],[Total. ch. DW 2017]]+Tabel668921274[[#This Row],[Sew. 2017]]+Tabel668921274[[#This Row],[VAT Sew. 2017]]+Tabel668921274[[#This Row],[WW 2017]]+Tabel668921274[[#This Row],[VAT WW 2017]]+Tabel668921274[[#This Row],[Other ch. 2017]]+Tabel668921274[[#This Row],[VAT Other ch. 2017]]</f>
        <v>552.55973618769599</v>
      </c>
      <c r="T279" s="397"/>
      <c r="U279" s="1763"/>
      <c r="V279" s="1766"/>
      <c r="W279" s="1769"/>
      <c r="X279" s="1772"/>
      <c r="Y279" s="1775"/>
      <c r="Z279" s="1778"/>
      <c r="AA279" s="1772"/>
      <c r="AB279" s="1781"/>
      <c r="AC279" s="1772"/>
      <c r="AD279" s="1785"/>
      <c r="AE279" s="1772"/>
      <c r="AF279" s="1788"/>
      <c r="AG279" s="1791"/>
      <c r="AH279" s="397"/>
      <c r="AI279" s="398"/>
      <c r="AJ279" s="398"/>
      <c r="AK279" s="398"/>
      <c r="AL279" s="398"/>
      <c r="AM279" s="398"/>
      <c r="AN279" s="398"/>
      <c r="AO279" s="398"/>
      <c r="AP279" s="2191"/>
    </row>
    <row r="280" spans="1:42" ht="15.75" hidden="1" customHeight="1" x14ac:dyDescent="0.25">
      <c r="A280" s="1819"/>
      <c r="B280" s="547" t="s">
        <v>167</v>
      </c>
      <c r="C280" s="1046" t="s">
        <v>429</v>
      </c>
      <c r="D280" s="802" t="s">
        <v>1149</v>
      </c>
      <c r="E280" s="1760"/>
      <c r="F280" s="617">
        <f>'exchange rates'!$O$66</f>
        <v>0.73992000000000002</v>
      </c>
      <c r="G280" s="549">
        <f>31.3/F280</f>
        <v>42.301870472483515</v>
      </c>
      <c r="H280" s="550">
        <f>128.37/F280</f>
        <v>173.49172883554979</v>
      </c>
      <c r="I280" s="551">
        <v>0</v>
      </c>
      <c r="J280" s="560">
        <v>0</v>
      </c>
      <c r="K280" s="566">
        <f>Tabel668921274[[#This Row],[Fix.ch. 2017]]+Tabel668921274[[#This Row],[Var. ch. 2017]]+Tabel668921274[[#This Row],[Oth. ch. DW 2017]]+Tabel668921274[[#This Row],[VAT DW 2017]]</f>
        <v>215.79359930803332</v>
      </c>
      <c r="L280" s="567">
        <v>0</v>
      </c>
      <c r="M280" s="560">
        <v>0</v>
      </c>
      <c r="N280" s="568">
        <f>125.46/F280</f>
        <v>169.55887122932208</v>
      </c>
      <c r="O280" s="560">
        <v>0</v>
      </c>
      <c r="P280" s="569">
        <v>0</v>
      </c>
      <c r="Q280" s="560">
        <v>0</v>
      </c>
      <c r="R280" s="570">
        <f>Tabel668921274[[#This Row],[VAT DW 2017]]+Tabel668921274[[#This Row],[VAT Sew. 2017]]+Tabel668921274[[#This Row],[VAT WW 2017]]+Tabel668921274[[#This Row],[VAT Other ch. 2017]]</f>
        <v>0</v>
      </c>
      <c r="S280" s="571">
        <f>Tabel668921274[[#This Row],[Total. ch. DW 2017]]+Tabel668921274[[#This Row],[Sew. 2017]]+Tabel668921274[[#This Row],[VAT Sew. 2017]]+Tabel668921274[[#This Row],[WW 2017]]+Tabel668921274[[#This Row],[VAT WW 2017]]+Tabel668921274[[#This Row],[Other ch. 2017]]+Tabel668921274[[#This Row],[VAT Other ch. 2017]]</f>
        <v>385.35247053735543</v>
      </c>
      <c r="T280" s="397"/>
      <c r="U280" s="1763"/>
      <c r="V280" s="1766"/>
      <c r="W280" s="1769"/>
      <c r="X280" s="1772"/>
      <c r="Y280" s="1775"/>
      <c r="Z280" s="1778"/>
      <c r="AA280" s="1772"/>
      <c r="AB280" s="1781"/>
      <c r="AC280" s="1772"/>
      <c r="AD280" s="1785"/>
      <c r="AE280" s="1772"/>
      <c r="AF280" s="1788"/>
      <c r="AG280" s="1791"/>
      <c r="AH280" s="397"/>
      <c r="AI280" s="398"/>
      <c r="AJ280" s="398"/>
      <c r="AK280" s="398"/>
      <c r="AL280" s="398"/>
      <c r="AM280" s="398"/>
      <c r="AN280" s="398"/>
      <c r="AO280" s="398"/>
      <c r="AP280" s="2191"/>
    </row>
    <row r="281" spans="1:42" ht="15.75" hidden="1" customHeight="1" x14ac:dyDescent="0.25">
      <c r="A281" s="1819"/>
      <c r="B281" s="547" t="s">
        <v>168</v>
      </c>
      <c r="C281" s="1046"/>
      <c r="D281" s="802" t="s">
        <v>1149</v>
      </c>
      <c r="E281" s="1760"/>
      <c r="F281" s="617">
        <f>'exchange rates'!$O$66</f>
        <v>0.73992000000000002</v>
      </c>
      <c r="G281" s="549">
        <f>31.84/F281</f>
        <v>43.031679100443291</v>
      </c>
      <c r="H281" s="550">
        <f>176.2/F281</f>
        <v>238.13385230835763</v>
      </c>
      <c r="I281" s="551">
        <v>0</v>
      </c>
      <c r="J281" s="560">
        <v>0</v>
      </c>
      <c r="K281" s="566">
        <f>Tabel668921274[[#This Row],[Fix.ch. 2017]]+Tabel668921274[[#This Row],[Var. ch. 2017]]+Tabel668921274[[#This Row],[Oth. ch. DW 2017]]+Tabel668921274[[#This Row],[VAT DW 2017]]</f>
        <v>281.16553140880092</v>
      </c>
      <c r="L281" s="567">
        <v>0</v>
      </c>
      <c r="M281" s="560">
        <v>0</v>
      </c>
      <c r="N281" s="568">
        <f>215.69/F281</f>
        <v>291.50448697156446</v>
      </c>
      <c r="O281" s="560">
        <v>0</v>
      </c>
      <c r="P281" s="569">
        <v>0</v>
      </c>
      <c r="Q281" s="560">
        <v>0</v>
      </c>
      <c r="R281" s="570">
        <f>Tabel668921274[[#This Row],[VAT DW 2017]]+Tabel668921274[[#This Row],[VAT Sew. 2017]]+Tabel668921274[[#This Row],[VAT WW 2017]]+Tabel668921274[[#This Row],[VAT Other ch. 2017]]</f>
        <v>0</v>
      </c>
      <c r="S281" s="571">
        <f>Tabel668921274[[#This Row],[Total. ch. DW 2017]]+Tabel668921274[[#This Row],[Sew. 2017]]+Tabel668921274[[#This Row],[VAT Sew. 2017]]+Tabel668921274[[#This Row],[WW 2017]]+Tabel668921274[[#This Row],[VAT WW 2017]]+Tabel668921274[[#This Row],[Other ch. 2017]]+Tabel668921274[[#This Row],[VAT Other ch. 2017]]</f>
        <v>572.67001838036538</v>
      </c>
      <c r="T281" s="397"/>
      <c r="U281" s="1763"/>
      <c r="V281" s="1766"/>
      <c r="W281" s="1769"/>
      <c r="X281" s="1772"/>
      <c r="Y281" s="1775"/>
      <c r="Z281" s="1778"/>
      <c r="AA281" s="1772"/>
      <c r="AB281" s="1781"/>
      <c r="AC281" s="1772"/>
      <c r="AD281" s="1785"/>
      <c r="AE281" s="1772"/>
      <c r="AF281" s="1788"/>
      <c r="AG281" s="1791"/>
      <c r="AH281" s="397"/>
      <c r="AI281" s="398"/>
      <c r="AJ281" s="398"/>
      <c r="AK281" s="398"/>
      <c r="AL281" s="398"/>
      <c r="AM281" s="398"/>
      <c r="AN281" s="398"/>
      <c r="AO281" s="398"/>
      <c r="AP281" s="2191"/>
    </row>
    <row r="282" spans="1:42" ht="16.5" hidden="1" customHeight="1" thickBot="1" x14ac:dyDescent="0.3">
      <c r="A282" s="1820"/>
      <c r="B282" s="547" t="s">
        <v>169</v>
      </c>
      <c r="C282" s="1046"/>
      <c r="D282" s="802" t="s">
        <v>1149</v>
      </c>
      <c r="E282" s="1799"/>
      <c r="F282" s="617">
        <f>'exchange rates'!$O$66</f>
        <v>0.73992000000000002</v>
      </c>
      <c r="G282" s="549">
        <f>24.07/F282</f>
        <v>32.530543842577572</v>
      </c>
      <c r="H282" s="550">
        <f>134.8/F282</f>
        <v>182.18185749810792</v>
      </c>
      <c r="I282" s="551">
        <v>0</v>
      </c>
      <c r="J282" s="560">
        <v>0</v>
      </c>
      <c r="K282" s="566">
        <f>Tabel668921274[[#This Row],[Fix.ch. 2017]]+Tabel668921274[[#This Row],[Var. ch. 2017]]+Tabel668921274[[#This Row],[Oth. ch. DW 2017]]+Tabel668921274[[#This Row],[VAT DW 2017]]</f>
        <v>214.71240134068549</v>
      </c>
      <c r="L282" s="567">
        <v>0</v>
      </c>
      <c r="M282" s="560">
        <v>0</v>
      </c>
      <c r="N282" s="568">
        <f>222.83/F282</f>
        <v>301.15417883014379</v>
      </c>
      <c r="O282" s="560">
        <v>0</v>
      </c>
      <c r="P282" s="569">
        <v>0</v>
      </c>
      <c r="Q282" s="560">
        <v>0</v>
      </c>
      <c r="R282" s="570">
        <f>Tabel668921274[[#This Row],[VAT DW 2017]]+Tabel668921274[[#This Row],[VAT Sew. 2017]]+Tabel668921274[[#This Row],[VAT WW 2017]]+Tabel668921274[[#This Row],[VAT Other ch. 2017]]</f>
        <v>0</v>
      </c>
      <c r="S282" s="571">
        <f>Tabel668921274[[#This Row],[Total. ch. DW 2017]]+Tabel668921274[[#This Row],[Sew. 2017]]+Tabel668921274[[#This Row],[VAT Sew. 2017]]+Tabel668921274[[#This Row],[WW 2017]]+Tabel668921274[[#This Row],[VAT WW 2017]]+Tabel668921274[[#This Row],[Other ch. 2017]]+Tabel668921274[[#This Row],[VAT Other ch. 2017]]</f>
        <v>515.86658017082925</v>
      </c>
      <c r="T282" s="397"/>
      <c r="U282" s="1801"/>
      <c r="V282" s="1803"/>
      <c r="W282" s="1805"/>
      <c r="X282" s="1773"/>
      <c r="Y282" s="1807"/>
      <c r="Z282" s="1809"/>
      <c r="AA282" s="1773"/>
      <c r="AB282" s="1782"/>
      <c r="AC282" s="1773"/>
      <c r="AD282" s="1786"/>
      <c r="AE282" s="1773"/>
      <c r="AF282" s="1789"/>
      <c r="AG282" s="1792"/>
      <c r="AH282" s="397"/>
      <c r="AI282" s="398"/>
      <c r="AJ282" s="398"/>
      <c r="AK282" s="398"/>
      <c r="AL282" s="398"/>
      <c r="AM282" s="398"/>
      <c r="AN282" s="398"/>
      <c r="AO282" s="398"/>
      <c r="AP282" s="2191"/>
    </row>
    <row r="283" spans="1:42" ht="18" hidden="1" customHeight="1" x14ac:dyDescent="0.25">
      <c r="A283" s="2192" t="s">
        <v>31</v>
      </c>
      <c r="B283" s="638" t="s">
        <v>170</v>
      </c>
      <c r="C283" s="693"/>
      <c r="D283" s="806" t="s">
        <v>1151</v>
      </c>
      <c r="E283" s="1934">
        <v>59500</v>
      </c>
      <c r="F283" s="715">
        <v>1</v>
      </c>
      <c r="G283" s="549" t="s">
        <v>5</v>
      </c>
      <c r="H283" s="550">
        <v>178.85</v>
      </c>
      <c r="I283" s="551" t="s">
        <v>5</v>
      </c>
      <c r="J283" s="560" t="s">
        <v>5</v>
      </c>
      <c r="K283" s="566">
        <f>Tabel668921274[[#This Row],[Var. ch. 2017]]</f>
        <v>178.85</v>
      </c>
      <c r="L283" s="567" t="s">
        <v>5</v>
      </c>
      <c r="M283" s="560" t="s">
        <v>5</v>
      </c>
      <c r="N283" s="568">
        <v>284.37</v>
      </c>
      <c r="O283" s="560" t="s">
        <v>5</v>
      </c>
      <c r="P283" s="569" t="s">
        <v>5</v>
      </c>
      <c r="Q283" s="560" t="s">
        <v>5</v>
      </c>
      <c r="R283" s="570" t="s">
        <v>5</v>
      </c>
      <c r="S283" s="571">
        <f>Tabel668921274[[#This Row],[Total. ch. DW 2017]]+Tabel668921274[[#This Row],[WW 2017]]</f>
        <v>463.22</v>
      </c>
      <c r="T283" s="397"/>
      <c r="U283" s="1935">
        <f>MEDIAN(G283:G289)</f>
        <v>84.960000000000008</v>
      </c>
      <c r="V283" s="1936">
        <f>MEDIAN(H283:H289)</f>
        <v>119.72</v>
      </c>
      <c r="W283" s="1937">
        <f>MEDIAN(I283:I289)</f>
        <v>23.66</v>
      </c>
      <c r="X283" s="1771" t="s">
        <v>5</v>
      </c>
      <c r="Y283" s="1939">
        <f>SUM(U283:W289)</f>
        <v>228.34</v>
      </c>
      <c r="Z283" s="1950" t="s">
        <v>5</v>
      </c>
      <c r="AA283" s="1771" t="s">
        <v>5</v>
      </c>
      <c r="AB283" s="1946">
        <f>MEDIAN(N283:N289)</f>
        <v>182.97</v>
      </c>
      <c r="AC283" s="1771" t="s">
        <v>5</v>
      </c>
      <c r="AD283" s="1947">
        <f>MEDIAN(P283:P289)</f>
        <v>16.670000000000002</v>
      </c>
      <c r="AE283" s="1771" t="s">
        <v>5</v>
      </c>
      <c r="AF283" s="1944" t="s">
        <v>5</v>
      </c>
      <c r="AG283" s="1945">
        <f>SUM(Y283:AF289)</f>
        <v>427.98</v>
      </c>
      <c r="AH283" s="397"/>
      <c r="AI283" s="396"/>
      <c r="AJ283" s="591" t="s">
        <v>429</v>
      </c>
      <c r="AK283" s="591"/>
      <c r="AL283" s="591"/>
      <c r="AM283" s="591"/>
      <c r="AN283" s="591" t="s">
        <v>429</v>
      </c>
      <c r="AO283" s="396"/>
      <c r="AP283" s="397"/>
    </row>
    <row r="284" spans="1:42" ht="15.75" hidden="1" x14ac:dyDescent="0.25">
      <c r="A284" s="2148"/>
      <c r="B284" s="639" t="s">
        <v>171</v>
      </c>
      <c r="C284" s="639" t="s">
        <v>429</v>
      </c>
      <c r="D284" s="724" t="s">
        <v>1151</v>
      </c>
      <c r="E284" s="1760"/>
      <c r="F284" s="715">
        <v>1</v>
      </c>
      <c r="G284" s="549">
        <v>121.92</v>
      </c>
      <c r="H284" s="550">
        <v>119.72</v>
      </c>
      <c r="I284" s="551">
        <v>23.66</v>
      </c>
      <c r="J284" s="560" t="s">
        <v>5</v>
      </c>
      <c r="K284" s="566">
        <f>Tabel668921274[[#This Row],[Fix.ch. 2017]]+Tabel668921274[[#This Row],[Var. ch. 2017]]+Tabel668921274[[#This Row],[Oth. ch. DW 2017]]</f>
        <v>265.3</v>
      </c>
      <c r="L284" s="567" t="s">
        <v>5</v>
      </c>
      <c r="M284" s="560" t="s">
        <v>5</v>
      </c>
      <c r="N284" s="568">
        <v>294.17</v>
      </c>
      <c r="O284" s="560" t="s">
        <v>5</v>
      </c>
      <c r="P284" s="569">
        <v>334.2</v>
      </c>
      <c r="Q284" s="560" t="s">
        <v>5</v>
      </c>
      <c r="R284" s="570" t="s">
        <v>5</v>
      </c>
      <c r="S284" s="571">
        <f>Tabel668921274[[#This Row],[Total. ch. DW 2017]]+Tabel668921274[[#This Row],[WW 2017]]+Tabel668921274[[#This Row],[Other ch. 2017]]</f>
        <v>893.67000000000007</v>
      </c>
      <c r="T284" s="397"/>
      <c r="U284" s="1969"/>
      <c r="V284" s="1972"/>
      <c r="W284" s="1975"/>
      <c r="X284" s="1772"/>
      <c r="Y284" s="1978"/>
      <c r="Z284" s="1981"/>
      <c r="AA284" s="1772"/>
      <c r="AB284" s="1955"/>
      <c r="AC284" s="1772"/>
      <c r="AD284" s="1958"/>
      <c r="AE284" s="1772"/>
      <c r="AF284" s="1961"/>
      <c r="AG284" s="1964"/>
      <c r="AH284" s="397"/>
      <c r="AI284" s="396"/>
      <c r="AJ284" s="396"/>
      <c r="AK284" s="396"/>
      <c r="AL284" s="591" t="s">
        <v>429</v>
      </c>
      <c r="AM284" s="591" t="s">
        <v>429</v>
      </c>
      <c r="AN284" s="591" t="s">
        <v>429</v>
      </c>
      <c r="AO284" s="396"/>
      <c r="AP284" s="397"/>
    </row>
    <row r="285" spans="1:42" ht="15.75" hidden="1" x14ac:dyDescent="0.25">
      <c r="A285" s="2148"/>
      <c r="B285" s="639" t="s">
        <v>172</v>
      </c>
      <c r="C285" s="639"/>
      <c r="D285" s="724" t="s">
        <v>1151</v>
      </c>
      <c r="E285" s="1760"/>
      <c r="F285" s="715">
        <v>1</v>
      </c>
      <c r="G285" s="549" t="s">
        <v>5</v>
      </c>
      <c r="H285" s="550">
        <v>204.17</v>
      </c>
      <c r="I285" s="551" t="s">
        <v>5</v>
      </c>
      <c r="J285" s="560" t="s">
        <v>5</v>
      </c>
      <c r="K285" s="566">
        <f>Tabel668921274[[#This Row],[Var. ch. 2017]]</f>
        <v>204.17</v>
      </c>
      <c r="L285" s="567" t="s">
        <v>5</v>
      </c>
      <c r="M285" s="560" t="s">
        <v>5</v>
      </c>
      <c r="N285" s="568">
        <v>166.12</v>
      </c>
      <c r="O285" s="560" t="s">
        <v>5</v>
      </c>
      <c r="P285" s="569" t="s">
        <v>5</v>
      </c>
      <c r="Q285" s="560" t="s">
        <v>5</v>
      </c>
      <c r="R285" s="570" t="s">
        <v>5</v>
      </c>
      <c r="S285" s="571">
        <f>Tabel668921274[[#This Row],[Total. ch. DW 2017]]+Tabel668921274[[#This Row],[WW 2017]]</f>
        <v>370.28999999999996</v>
      </c>
      <c r="T285" s="397"/>
      <c r="U285" s="1969"/>
      <c r="V285" s="1972"/>
      <c r="W285" s="1975"/>
      <c r="X285" s="1772"/>
      <c r="Y285" s="1978"/>
      <c r="Z285" s="1981"/>
      <c r="AA285" s="1772"/>
      <c r="AB285" s="1955"/>
      <c r="AC285" s="1772"/>
      <c r="AD285" s="1958"/>
      <c r="AE285" s="1772"/>
      <c r="AF285" s="1961"/>
      <c r="AG285" s="1964"/>
      <c r="AH285" s="397"/>
      <c r="AI285" s="396"/>
      <c r="AJ285" s="396"/>
      <c r="AK285" s="396"/>
      <c r="AL285" s="591" t="s">
        <v>429</v>
      </c>
      <c r="AM285" s="591"/>
      <c r="AN285" s="591" t="s">
        <v>429</v>
      </c>
      <c r="AO285" s="396"/>
      <c r="AP285" s="397"/>
    </row>
    <row r="286" spans="1:42" ht="15.75" hidden="1" x14ac:dyDescent="0.25">
      <c r="A286" s="2148"/>
      <c r="B286" s="639" t="s">
        <v>173</v>
      </c>
      <c r="C286" s="639"/>
      <c r="D286" s="724" t="s">
        <v>1151</v>
      </c>
      <c r="E286" s="1760"/>
      <c r="F286" s="715">
        <v>1</v>
      </c>
      <c r="G286" s="549" t="s">
        <v>5</v>
      </c>
      <c r="H286" s="550">
        <v>102.55</v>
      </c>
      <c r="I286" s="551" t="s">
        <v>5</v>
      </c>
      <c r="J286" s="560" t="s">
        <v>5</v>
      </c>
      <c r="K286" s="566">
        <f>Tabel668921274[[#This Row],[Var. ch. 2017]]</f>
        <v>102.55</v>
      </c>
      <c r="L286" s="567" t="s">
        <v>5</v>
      </c>
      <c r="M286" s="560" t="s">
        <v>5</v>
      </c>
      <c r="N286" s="568">
        <v>102.55</v>
      </c>
      <c r="O286" s="560" t="s">
        <v>5</v>
      </c>
      <c r="P286" s="569" t="s">
        <v>5</v>
      </c>
      <c r="Q286" s="560" t="s">
        <v>5</v>
      </c>
      <c r="R286" s="570" t="s">
        <v>5</v>
      </c>
      <c r="S286" s="571">
        <f>Tabel668921274[[#This Row],[Total. ch. DW 2017]]+Tabel668921274[[#This Row],[WW 2017]]</f>
        <v>205.1</v>
      </c>
      <c r="T286" s="397"/>
      <c r="U286" s="1969"/>
      <c r="V286" s="1972"/>
      <c r="W286" s="1975"/>
      <c r="X286" s="1772"/>
      <c r="Y286" s="1978"/>
      <c r="Z286" s="1981"/>
      <c r="AA286" s="1772"/>
      <c r="AB286" s="1955"/>
      <c r="AC286" s="1772"/>
      <c r="AD286" s="1958"/>
      <c r="AE286" s="1772"/>
      <c r="AF286" s="1961"/>
      <c r="AG286" s="1964"/>
      <c r="AH286" s="397"/>
      <c r="AI286" s="396"/>
      <c r="AJ286" s="591" t="s">
        <v>429</v>
      </c>
      <c r="AK286" s="591"/>
      <c r="AL286" s="591"/>
      <c r="AM286" s="591"/>
      <c r="AN286" s="591" t="s">
        <v>429</v>
      </c>
      <c r="AO286" s="396"/>
      <c r="AP286" s="397"/>
    </row>
    <row r="287" spans="1:42" ht="15.75" hidden="1" x14ac:dyDescent="0.25">
      <c r="A287" s="2148"/>
      <c r="B287" s="639" t="s">
        <v>174</v>
      </c>
      <c r="C287" s="639"/>
      <c r="D287" s="724" t="s">
        <v>1151</v>
      </c>
      <c r="E287" s="1760"/>
      <c r="F287" s="715">
        <v>1</v>
      </c>
      <c r="G287" s="549">
        <v>142.32</v>
      </c>
      <c r="H287" s="550">
        <v>67.36</v>
      </c>
      <c r="I287" s="551" t="s">
        <v>5</v>
      </c>
      <c r="J287" s="560" t="s">
        <v>5</v>
      </c>
      <c r="K287" s="566">
        <f>Tabel668921274[[#This Row],[Fix.ch. 2017]]+Tabel668921274[[#This Row],[Var. ch. 2017]]</f>
        <v>209.68</v>
      </c>
      <c r="L287" s="567" t="s">
        <v>5</v>
      </c>
      <c r="M287" s="560" t="s">
        <v>5</v>
      </c>
      <c r="N287" s="568">
        <v>252.36</v>
      </c>
      <c r="O287" s="560" t="s">
        <v>5</v>
      </c>
      <c r="P287" s="569">
        <v>16.670000000000002</v>
      </c>
      <c r="Q287" s="560" t="s">
        <v>5</v>
      </c>
      <c r="R287" s="570" t="s">
        <v>5</v>
      </c>
      <c r="S287" s="571">
        <f>Tabel668921274[[#This Row],[Total. ch. DW 2017]]+Tabel668921274[[#This Row],[WW 2017]]+Tabel668921274[[#This Row],[Other ch. 2017]]</f>
        <v>478.71000000000004</v>
      </c>
      <c r="T287" s="397"/>
      <c r="U287" s="1969"/>
      <c r="V287" s="1972"/>
      <c r="W287" s="1975"/>
      <c r="X287" s="1772"/>
      <c r="Y287" s="1978"/>
      <c r="Z287" s="1981"/>
      <c r="AA287" s="1772"/>
      <c r="AB287" s="1955"/>
      <c r="AC287" s="1772"/>
      <c r="AD287" s="1958"/>
      <c r="AE287" s="1772"/>
      <c r="AF287" s="1961"/>
      <c r="AG287" s="1964"/>
      <c r="AH287" s="397"/>
      <c r="AI287" s="396"/>
      <c r="AJ287" s="396"/>
      <c r="AK287" s="396"/>
      <c r="AL287" s="591" t="s">
        <v>429</v>
      </c>
      <c r="AM287" s="591" t="s">
        <v>429</v>
      </c>
      <c r="AN287" s="591" t="s">
        <v>429</v>
      </c>
      <c r="AO287" s="396"/>
      <c r="AP287" s="397"/>
    </row>
    <row r="288" spans="1:42" ht="15.75" hidden="1" x14ac:dyDescent="0.25">
      <c r="A288" s="2148"/>
      <c r="B288" s="639" t="s">
        <v>175</v>
      </c>
      <c r="C288" s="639"/>
      <c r="D288" s="724" t="s">
        <v>1151</v>
      </c>
      <c r="E288" s="1760"/>
      <c r="F288" s="715">
        <v>1</v>
      </c>
      <c r="G288" s="549">
        <v>38.4</v>
      </c>
      <c r="H288" s="550">
        <v>13.07</v>
      </c>
      <c r="I288" s="551" t="s">
        <v>5</v>
      </c>
      <c r="J288" s="560" t="s">
        <v>5</v>
      </c>
      <c r="K288" s="566">
        <f>Tabel668921274[[#This Row],[Fix.ch. 2017]]+Tabel668921274[[#This Row],[Var. ch. 2017]]</f>
        <v>51.47</v>
      </c>
      <c r="L288" s="567" t="s">
        <v>5</v>
      </c>
      <c r="M288" s="560" t="s">
        <v>5</v>
      </c>
      <c r="N288" s="568">
        <v>87.73</v>
      </c>
      <c r="O288" s="560" t="s">
        <v>5</v>
      </c>
      <c r="P288" s="569" t="s">
        <v>5</v>
      </c>
      <c r="Q288" s="560" t="s">
        <v>5</v>
      </c>
      <c r="R288" s="570" t="s">
        <v>5</v>
      </c>
      <c r="S288" s="571">
        <f>Tabel668921274[[#This Row],[Total. ch. DW 2017]]+Tabel668921274[[#This Row],[WW 2017]]</f>
        <v>139.19999999999999</v>
      </c>
      <c r="T288" s="397"/>
      <c r="U288" s="1969"/>
      <c r="V288" s="1972"/>
      <c r="W288" s="1975"/>
      <c r="X288" s="1772"/>
      <c r="Y288" s="1978"/>
      <c r="Z288" s="1981"/>
      <c r="AA288" s="1772"/>
      <c r="AB288" s="1955"/>
      <c r="AC288" s="1772"/>
      <c r="AD288" s="1958"/>
      <c r="AE288" s="1772"/>
      <c r="AF288" s="1961"/>
      <c r="AG288" s="1964"/>
      <c r="AH288" s="397"/>
      <c r="AI288" s="396"/>
      <c r="AJ288" s="396"/>
      <c r="AK288" s="396"/>
      <c r="AL288" s="591" t="s">
        <v>429</v>
      </c>
      <c r="AM288" s="591" t="s">
        <v>429</v>
      </c>
      <c r="AN288" s="591" t="s">
        <v>429</v>
      </c>
      <c r="AO288" s="396"/>
      <c r="AP288" s="397"/>
    </row>
    <row r="289" spans="1:42" ht="16.5" hidden="1" thickBot="1" x14ac:dyDescent="0.3">
      <c r="A289" s="2148"/>
      <c r="B289" s="714" t="s">
        <v>212</v>
      </c>
      <c r="C289" s="1053"/>
      <c r="D289" s="807" t="s">
        <v>1151</v>
      </c>
      <c r="E289" s="1923"/>
      <c r="F289" s="715">
        <v>1</v>
      </c>
      <c r="G289" s="716">
        <v>48</v>
      </c>
      <c r="H289" s="717">
        <v>124.66</v>
      </c>
      <c r="I289" s="718" t="s">
        <v>5</v>
      </c>
      <c r="J289" s="560" t="s">
        <v>5</v>
      </c>
      <c r="K289" s="566">
        <f>Tabel668921274[[#This Row],[Fix.ch. 2017]]+Tabel668921274[[#This Row],[Var. ch. 2017]]</f>
        <v>172.66</v>
      </c>
      <c r="L289" s="567" t="s">
        <v>5</v>
      </c>
      <c r="M289" s="560" t="s">
        <v>5</v>
      </c>
      <c r="N289" s="720">
        <v>182.97</v>
      </c>
      <c r="O289" s="560" t="s">
        <v>5</v>
      </c>
      <c r="P289" s="721">
        <v>12.36</v>
      </c>
      <c r="Q289" s="719" t="s">
        <v>5</v>
      </c>
      <c r="R289" s="570" t="s">
        <v>5</v>
      </c>
      <c r="S289" s="571">
        <f>Tabel668921274[[#This Row],[Total. ch. DW 2017]]+Tabel668921274[[#This Row],[WW 2017]]+Tabel668921274[[#This Row],[Other ch. 2017]]</f>
        <v>367.99</v>
      </c>
      <c r="T289" s="397"/>
      <c r="U289" s="1970"/>
      <c r="V289" s="1973"/>
      <c r="W289" s="1976"/>
      <c r="X289" s="1773"/>
      <c r="Y289" s="1979"/>
      <c r="Z289" s="1982"/>
      <c r="AA289" s="1773"/>
      <c r="AB289" s="1956"/>
      <c r="AC289" s="1773"/>
      <c r="AD289" s="1959"/>
      <c r="AE289" s="1773"/>
      <c r="AF289" s="1962"/>
      <c r="AG289" s="1965"/>
      <c r="AH289" s="397"/>
      <c r="AI289" s="396"/>
      <c r="AJ289" s="591" t="s">
        <v>429</v>
      </c>
      <c r="AK289" s="591"/>
      <c r="AL289" s="591"/>
      <c r="AM289" s="591" t="s">
        <v>429</v>
      </c>
      <c r="AN289" s="591" t="s">
        <v>429</v>
      </c>
      <c r="AO289" s="396"/>
      <c r="AP289" s="397"/>
    </row>
    <row r="290" spans="1:42" ht="19.5" hidden="1" thickBot="1" x14ac:dyDescent="0.3">
      <c r="A290" s="1833" t="s">
        <v>718</v>
      </c>
      <c r="B290" s="269" t="s">
        <v>761</v>
      </c>
      <c r="C290" s="1048" t="s">
        <v>429</v>
      </c>
      <c r="D290" s="805" t="s">
        <v>1153</v>
      </c>
      <c r="E290" s="2203">
        <v>4300</v>
      </c>
      <c r="F290" s="517">
        <f>'exchange rates'!$M$68</f>
        <v>11.06053</v>
      </c>
      <c r="G290" s="518">
        <f>10/F290</f>
        <v>0.90411580638540834</v>
      </c>
      <c r="H290" s="508">
        <f>908.98/F290</f>
        <v>82.182318568820847</v>
      </c>
      <c r="I290" s="509">
        <v>0</v>
      </c>
      <c r="J290" s="562"/>
      <c r="K290" s="565" t="e">
        <f>Tabel668921274[[#This Row],[Fix.ch. 2017]]+Tabel668921274[[#This Row],[Var. ch. 2017]]+Tabel668921274[[#This Row],[Oth. ch. DW 2017]]+Tabel668921274[[#This Row],[VAT DW 2017]]</f>
        <v>#VALUE!</v>
      </c>
      <c r="L290" s="510">
        <v>0</v>
      </c>
      <c r="M290" s="562"/>
      <c r="N290" s="511">
        <f>272.69/F290</f>
        <v>24.654333924323698</v>
      </c>
      <c r="O290" s="562"/>
      <c r="P290" s="512">
        <f>22.7/F290</f>
        <v>2.0523428804948769</v>
      </c>
      <c r="Q290" s="562"/>
      <c r="R290" s="513" t="e">
        <f>Tabel668921274[[#This Row],[VAT DW 2017]]+Tabel668921274[[#This Row],[VAT Sew. 2017]]+Tabel668921274[[#This Row],[VAT WW 2017]]+Tabel668921274[[#This Row],[VAT Other ch. 2017]]</f>
        <v>#VALUE!</v>
      </c>
      <c r="S290" s="590" t="e">
        <f>Tabel668921274[[#This Row],[Total. ch. DW 2017]]+Tabel668921274[[#This Row],[Sew. 2017]]+Tabel668921274[[#This Row],[VAT Sew. 2017]]+Tabel668921274[[#This Row],[WW 2017]]+Tabel668921274[[#This Row],[VAT WW 2017]]+Tabel668921274[[#This Row],[Other ch. 2017]]+Tabel668921274[[#This Row],[VAT Other ch. 2017]]</f>
        <v>#VALUE!</v>
      </c>
      <c r="T290" s="397"/>
      <c r="U290" s="2057">
        <f>MEDIAN(G290:G293)</f>
        <v>0.45205790319270417</v>
      </c>
      <c r="V290" s="2059">
        <f>MEDIAN(H290:H293)</f>
        <v>75.057886014503822</v>
      </c>
      <c r="W290" s="2204">
        <f>MEDIAN(I290:I293)</f>
        <v>0</v>
      </c>
      <c r="X290" s="583"/>
      <c r="Y290" s="2115">
        <f>SUM(U290:W293)</f>
        <v>75.509943917696532</v>
      </c>
      <c r="Z290" s="2065">
        <f>MEDIAN(L290:L293)</f>
        <v>0</v>
      </c>
      <c r="AA290" s="575"/>
      <c r="AB290" s="2067">
        <f>MEDIAN(N290:N293)</f>
        <v>24.397112977407048</v>
      </c>
      <c r="AC290" s="575"/>
      <c r="AD290" s="2069">
        <f>MEDIAN(P290:P293)</f>
        <v>1.6011890931085579</v>
      </c>
      <c r="AE290" s="575"/>
      <c r="AF290" s="2071" t="e">
        <f>MEDIAN(R290:R293)</f>
        <v>#VALUE!</v>
      </c>
      <c r="AG290" s="2049" t="e">
        <f>SUM(Y290:AF293)</f>
        <v>#VALUE!</v>
      </c>
      <c r="AH290" s="397"/>
      <c r="AI290" s="396" t="s">
        <v>429</v>
      </c>
      <c r="AJ290" s="396"/>
      <c r="AK290" s="398"/>
      <c r="AL290" s="396" t="s">
        <v>429</v>
      </c>
      <c r="AM290" s="396" t="s">
        <v>429</v>
      </c>
      <c r="AN290" s="396" t="s">
        <v>429</v>
      </c>
      <c r="AO290" s="398"/>
      <c r="AP290" s="397"/>
    </row>
    <row r="291" spans="1:42" ht="19.5" hidden="1" thickBot="1" x14ac:dyDescent="0.3">
      <c r="A291" s="1834"/>
      <c r="B291" s="269" t="s">
        <v>762</v>
      </c>
      <c r="C291" s="1048"/>
      <c r="D291" s="805" t="s">
        <v>1153</v>
      </c>
      <c r="E291" s="2086"/>
      <c r="F291" s="519">
        <f>'exchange rates'!$M$68</f>
        <v>11.06053</v>
      </c>
      <c r="G291" s="518">
        <f>5/F291</f>
        <v>0.45205790319270417</v>
      </c>
      <c r="H291" s="508">
        <f>669/F291</f>
        <v>60.485347447183813</v>
      </c>
      <c r="I291" s="509">
        <v>0</v>
      </c>
      <c r="J291" s="562"/>
      <c r="K291" s="565" t="e">
        <f>Tabel668921274[[#This Row],[Fix.ch. 2017]]+Tabel668921274[[#This Row],[Var. ch. 2017]]+Tabel668921274[[#This Row],[Oth. ch. DW 2017]]+Tabel668921274[[#This Row],[VAT DW 2017]]</f>
        <v>#VALUE!</v>
      </c>
      <c r="L291" s="510">
        <v>0</v>
      </c>
      <c r="M291" s="562"/>
      <c r="N291" s="511">
        <f>267/F291</f>
        <v>24.139892030490401</v>
      </c>
      <c r="O291" s="562"/>
      <c r="P291" s="512">
        <f>16.72/F291</f>
        <v>1.5116816282764025</v>
      </c>
      <c r="Q291" s="562"/>
      <c r="R291" s="513" t="e">
        <f>Tabel668921274[[#This Row],[VAT DW 2017]]+Tabel668921274[[#This Row],[VAT Sew. 2017]]+Tabel668921274[[#This Row],[VAT WW 2017]]+Tabel668921274[[#This Row],[VAT Other ch. 2017]]</f>
        <v>#VALUE!</v>
      </c>
      <c r="S291" s="590" t="e">
        <f>Tabel668921274[[#This Row],[Total. ch. DW 2017]]+Tabel668921274[[#This Row],[Sew. 2017]]+Tabel668921274[[#This Row],[VAT Sew. 2017]]+Tabel668921274[[#This Row],[WW 2017]]+Tabel668921274[[#This Row],[VAT WW 2017]]+Tabel668921274[[#This Row],[Other ch. 2017]]+Tabel668921274[[#This Row],[VAT Other ch. 2017]]</f>
        <v>#VALUE!</v>
      </c>
      <c r="T291" s="397"/>
      <c r="U291" s="2058"/>
      <c r="V291" s="2060"/>
      <c r="W291" s="2205"/>
      <c r="X291" s="584"/>
      <c r="Y291" s="1849"/>
      <c r="Z291" s="2066"/>
      <c r="AA291" s="576"/>
      <c r="AB291" s="2207"/>
      <c r="AC291" s="578"/>
      <c r="AD291" s="2070"/>
      <c r="AE291" s="576"/>
      <c r="AF291" s="2072"/>
      <c r="AG291" s="2050"/>
      <c r="AH291" s="397"/>
      <c r="AI291" s="396" t="s">
        <v>429</v>
      </c>
      <c r="AJ291" s="396"/>
      <c r="AK291" s="398"/>
      <c r="AL291" s="396" t="s">
        <v>429</v>
      </c>
      <c r="AM291" s="396" t="s">
        <v>429</v>
      </c>
      <c r="AN291" s="396" t="s">
        <v>429</v>
      </c>
      <c r="AO291" s="398"/>
      <c r="AP291" s="397"/>
    </row>
    <row r="292" spans="1:42" ht="19.5" hidden="1" thickBot="1" x14ac:dyDescent="0.3">
      <c r="A292" s="1834"/>
      <c r="B292" s="269" t="s">
        <v>763</v>
      </c>
      <c r="C292" s="1048"/>
      <c r="D292" s="805" t="s">
        <v>1153</v>
      </c>
      <c r="E292" s="2086"/>
      <c r="F292" s="519">
        <f>'exchange rates'!$M$68</f>
        <v>11.06053</v>
      </c>
      <c r="G292" s="518">
        <f>5/F292</f>
        <v>0.45205790319270417</v>
      </c>
      <c r="H292" s="508">
        <f>751.38/F292</f>
        <v>67.933453460186811</v>
      </c>
      <c r="I292" s="509">
        <v>0</v>
      </c>
      <c r="J292" s="562"/>
      <c r="K292" s="565" t="e">
        <f>Tabel668921274[[#This Row],[Fix.ch. 2017]]+Tabel668921274[[#This Row],[Var. ch. 2017]]+Tabel668921274[[#This Row],[Oth. ch. DW 2017]]+Tabel668921274[[#This Row],[VAT DW 2017]]</f>
        <v>#VALUE!</v>
      </c>
      <c r="L292" s="510">
        <v>0</v>
      </c>
      <c r="M292" s="562"/>
      <c r="N292" s="511">
        <f>150.2/F292</f>
        <v>13.579819411908831</v>
      </c>
      <c r="O292" s="562"/>
      <c r="P292" s="512">
        <f>18.7/F292</f>
        <v>1.6906965579407134</v>
      </c>
      <c r="Q292" s="562"/>
      <c r="R292" s="513" t="e">
        <f>Tabel668921274[[#This Row],[VAT DW 2017]]+Tabel668921274[[#This Row],[VAT Sew. 2017]]+Tabel668921274[[#This Row],[VAT WW 2017]]+Tabel668921274[[#This Row],[VAT Other ch. 2017]]</f>
        <v>#VALUE!</v>
      </c>
      <c r="S292" s="590" t="e">
        <f>Tabel668921274[[#This Row],[Total. ch. DW 2017]]+Tabel668921274[[#This Row],[Sew. 2017]]+Tabel668921274[[#This Row],[VAT Sew. 2017]]+Tabel668921274[[#This Row],[WW 2017]]+Tabel668921274[[#This Row],[VAT WW 2017]]+Tabel668921274[[#This Row],[Other ch. 2017]]+Tabel668921274[[#This Row],[VAT Other ch. 2017]]</f>
        <v>#VALUE!</v>
      </c>
      <c r="T292" s="397"/>
      <c r="U292" s="2058"/>
      <c r="V292" s="2060"/>
      <c r="W292" s="2205"/>
      <c r="X292" s="584"/>
      <c r="Y292" s="1849"/>
      <c r="Z292" s="2066"/>
      <c r="AA292" s="576"/>
      <c r="AB292" s="2207"/>
      <c r="AC292" s="578"/>
      <c r="AD292" s="2070"/>
      <c r="AE292" s="576"/>
      <c r="AF292" s="2072"/>
      <c r="AG292" s="2050"/>
      <c r="AH292" s="397"/>
      <c r="AI292" s="396" t="s">
        <v>429</v>
      </c>
      <c r="AJ292" s="396"/>
      <c r="AK292" s="398"/>
      <c r="AL292" s="396" t="s">
        <v>429</v>
      </c>
      <c r="AM292" s="396" t="s">
        <v>429</v>
      </c>
      <c r="AN292" s="396" t="s">
        <v>429</v>
      </c>
      <c r="AO292" s="398"/>
      <c r="AP292" s="397"/>
    </row>
    <row r="293" spans="1:42" ht="19.5" hidden="1" thickBot="1" x14ac:dyDescent="0.3">
      <c r="A293" s="1835"/>
      <c r="B293" s="290" t="s">
        <v>764</v>
      </c>
      <c r="C293" s="1048"/>
      <c r="D293" s="801" t="s">
        <v>1153</v>
      </c>
      <c r="E293" s="1838"/>
      <c r="F293" s="520">
        <f>'exchange rates'!$M$68</f>
        <v>11.06053</v>
      </c>
      <c r="G293" s="521">
        <f>5/F293</f>
        <v>0.45205790319270417</v>
      </c>
      <c r="H293" s="522">
        <f>1319.38/F293</f>
        <v>119.28723126287801</v>
      </c>
      <c r="I293" s="523">
        <v>0</v>
      </c>
      <c r="J293" s="563"/>
      <c r="K293" s="565" t="e">
        <f>Tabel668921274[[#This Row],[Fix.ch. 2017]]+Tabel668921274[[#This Row],[Var. ch. 2017]]+Tabel668921274[[#This Row],[Oth. ch. DW 2017]]+Tabel668921274[[#This Row],[VAT DW 2017]]</f>
        <v>#VALUE!</v>
      </c>
      <c r="L293" s="524">
        <v>0</v>
      </c>
      <c r="M293" s="563"/>
      <c r="N293" s="511">
        <f>527.75/F293</f>
        <v>47.714711681989925</v>
      </c>
      <c r="O293" s="562"/>
      <c r="P293" s="512">
        <v>0</v>
      </c>
      <c r="Q293" s="563"/>
      <c r="R293" s="513" t="e">
        <f>Tabel668921274[[#This Row],[VAT DW 2017]]+Tabel668921274[[#This Row],[VAT Sew. 2017]]+Tabel668921274[[#This Row],[VAT WW 2017]]+Tabel668921274[[#This Row],[VAT Other ch. 2017]]</f>
        <v>#VALUE!</v>
      </c>
      <c r="S293" s="590" t="e">
        <f>Tabel668921274[[#This Row],[Total. ch. DW 2017]]+Tabel668921274[[#This Row],[Sew. 2017]]+Tabel668921274[[#This Row],[VAT Sew. 2017]]+Tabel668921274[[#This Row],[WW 2017]]+Tabel668921274[[#This Row],[VAT WW 2017]]+Tabel668921274[[#This Row],[Other ch. 2017]]+Tabel668921274[[#This Row],[VAT Other ch. 2017]]</f>
        <v>#VALUE!</v>
      </c>
      <c r="T293" s="397"/>
      <c r="U293" s="1841"/>
      <c r="V293" s="1844"/>
      <c r="W293" s="2206"/>
      <c r="X293" s="585"/>
      <c r="Y293" s="1850"/>
      <c r="Z293" s="1853"/>
      <c r="AA293" s="577"/>
      <c r="AB293" s="2208"/>
      <c r="AC293" s="579"/>
      <c r="AD293" s="1859"/>
      <c r="AE293" s="577"/>
      <c r="AF293" s="1874"/>
      <c r="AG293" s="2051"/>
      <c r="AH293" s="397"/>
      <c r="AI293" s="398"/>
      <c r="AJ293" s="396"/>
      <c r="AK293" s="398"/>
      <c r="AL293" s="396" t="s">
        <v>429</v>
      </c>
      <c r="AM293" s="396" t="s">
        <v>429</v>
      </c>
      <c r="AN293" s="398"/>
      <c r="AO293" s="398"/>
      <c r="AP293" s="397"/>
    </row>
    <row r="294" spans="1:42" hidden="1" x14ac:dyDescent="0.25">
      <c r="A294" s="29"/>
    </row>
    <row r="295" spans="1:42" hidden="1" x14ac:dyDescent="0.25"/>
    <row r="296" spans="1:42" hidden="1" x14ac:dyDescent="0.25">
      <c r="A296" s="29"/>
    </row>
    <row r="297" spans="1:42" ht="48" hidden="1" thickBot="1" x14ac:dyDescent="0.3">
      <c r="A297" s="250" t="s">
        <v>58</v>
      </c>
      <c r="B297" s="799" t="s">
        <v>1190</v>
      </c>
      <c r="C297" s="799" t="s">
        <v>1022</v>
      </c>
      <c r="D297" s="1061" t="s">
        <v>1192</v>
      </c>
      <c r="E297" s="1062" t="s">
        <v>1193</v>
      </c>
      <c r="F297" s="1063" t="s">
        <v>1194</v>
      </c>
      <c r="G297" s="1064" t="s">
        <v>1195</v>
      </c>
      <c r="H297" s="1065" t="s">
        <v>1196</v>
      </c>
      <c r="I297" s="1066" t="s">
        <v>1198</v>
      </c>
      <c r="J297" s="1064" t="s">
        <v>1197</v>
      </c>
      <c r="K297" s="1067" t="s">
        <v>1199</v>
      </c>
      <c r="L297" s="1064" t="s">
        <v>1200</v>
      </c>
      <c r="M297" s="1081" t="s">
        <v>1205</v>
      </c>
      <c r="N297" s="1082" t="s">
        <v>1208</v>
      </c>
      <c r="O297" s="1070" t="s">
        <v>1206</v>
      </c>
      <c r="P297" s="1064" t="s">
        <v>1207</v>
      </c>
      <c r="Q297" s="1072" t="s">
        <v>1214</v>
      </c>
      <c r="R297" s="618" t="s">
        <v>1203</v>
      </c>
      <c r="S297" s="618" t="s">
        <v>1204</v>
      </c>
    </row>
    <row r="298" spans="1:42" ht="15.75" hidden="1" x14ac:dyDescent="0.25">
      <c r="A298" s="752" t="s">
        <v>217</v>
      </c>
      <c r="B298" s="747" t="s">
        <v>429</v>
      </c>
      <c r="C298" s="815" t="s">
        <v>1024</v>
      </c>
      <c r="D298" s="625" t="s">
        <v>5</v>
      </c>
      <c r="E298" s="593" t="s">
        <v>5</v>
      </c>
      <c r="F298" s="594" t="s">
        <v>5</v>
      </c>
      <c r="G298" s="595" t="s">
        <v>5</v>
      </c>
      <c r="H298" s="566" t="s">
        <v>5</v>
      </c>
      <c r="I298" s="596" t="s">
        <v>5</v>
      </c>
      <c r="J298" s="595" t="s">
        <v>5</v>
      </c>
      <c r="K298" s="626" t="s">
        <v>5</v>
      </c>
      <c r="L298" s="595" t="s">
        <v>5</v>
      </c>
      <c r="M298" s="1076" t="s">
        <v>5</v>
      </c>
      <c r="N298" s="1077" t="s">
        <v>5</v>
      </c>
      <c r="O298" s="597" t="s">
        <v>5</v>
      </c>
      <c r="P298" s="595" t="s">
        <v>5</v>
      </c>
      <c r="Q298" s="571">
        <v>39.878410497900838</v>
      </c>
      <c r="R298" s="1075">
        <f>Q298</f>
        <v>39.878410497900838</v>
      </c>
      <c r="S298" s="1075">
        <f>Q298-R298</f>
        <v>0</v>
      </c>
    </row>
    <row r="299" spans="1:42" ht="15.75" hidden="1" x14ac:dyDescent="0.25">
      <c r="A299" s="747" t="s">
        <v>942</v>
      </c>
      <c r="B299" s="747"/>
      <c r="C299" s="815" t="s">
        <v>1024</v>
      </c>
      <c r="D299" s="625" t="s">
        <v>5</v>
      </c>
      <c r="E299" s="593" t="s">
        <v>5</v>
      </c>
      <c r="F299" s="594" t="s">
        <v>5</v>
      </c>
      <c r="G299" s="595" t="s">
        <v>5</v>
      </c>
      <c r="H299" s="566" t="s">
        <v>5</v>
      </c>
      <c r="I299" s="596" t="s">
        <v>5</v>
      </c>
      <c r="J299" s="595" t="s">
        <v>5</v>
      </c>
      <c r="K299" s="626" t="s">
        <v>5</v>
      </c>
      <c r="L299" s="595" t="s">
        <v>5</v>
      </c>
      <c r="M299" s="1076" t="s">
        <v>5</v>
      </c>
      <c r="N299" s="1077" t="s">
        <v>5</v>
      </c>
      <c r="O299" s="597" t="s">
        <v>5</v>
      </c>
      <c r="P299" s="595" t="s">
        <v>5</v>
      </c>
      <c r="Q299" s="571">
        <v>53.017452953690501</v>
      </c>
      <c r="R299" s="1075">
        <f t="shared" ref="R299:R304" si="49">Q299</f>
        <v>53.017452953690501</v>
      </c>
      <c r="S299" s="1075">
        <f t="shared" ref="S299:S362" si="50">Q299-R299</f>
        <v>0</v>
      </c>
    </row>
    <row r="300" spans="1:42" ht="15.75" hidden="1" x14ac:dyDescent="0.25">
      <c r="A300" s="747" t="s">
        <v>943</v>
      </c>
      <c r="B300" s="747"/>
      <c r="C300" s="815" t="s">
        <v>1024</v>
      </c>
      <c r="D300" s="625" t="s">
        <v>5</v>
      </c>
      <c r="E300" s="593" t="s">
        <v>5</v>
      </c>
      <c r="F300" s="594" t="s">
        <v>5</v>
      </c>
      <c r="G300" s="595" t="s">
        <v>5</v>
      </c>
      <c r="H300" s="566" t="s">
        <v>5</v>
      </c>
      <c r="I300" s="596" t="s">
        <v>5</v>
      </c>
      <c r="J300" s="595" t="s">
        <v>5</v>
      </c>
      <c r="K300" s="626" t="s">
        <v>5</v>
      </c>
      <c r="L300" s="595" t="s">
        <v>5</v>
      </c>
      <c r="M300" s="1076" t="s">
        <v>5</v>
      </c>
      <c r="N300" s="1077" t="s">
        <v>5</v>
      </c>
      <c r="O300" s="597" t="s">
        <v>5</v>
      </c>
      <c r="P300" s="595" t="s">
        <v>5</v>
      </c>
      <c r="Q300" s="571">
        <v>52.186283117091179</v>
      </c>
      <c r="R300" s="1075">
        <f t="shared" si="49"/>
        <v>52.186283117091179</v>
      </c>
      <c r="S300" s="1075">
        <f t="shared" si="50"/>
        <v>0</v>
      </c>
    </row>
    <row r="301" spans="1:42" ht="15.75" hidden="1" x14ac:dyDescent="0.25">
      <c r="A301" s="747" t="s">
        <v>944</v>
      </c>
      <c r="B301" s="747"/>
      <c r="C301" s="815" t="s">
        <v>1024</v>
      </c>
      <c r="D301" s="625" t="s">
        <v>5</v>
      </c>
      <c r="E301" s="593" t="s">
        <v>5</v>
      </c>
      <c r="F301" s="594" t="s">
        <v>5</v>
      </c>
      <c r="G301" s="595" t="s">
        <v>5</v>
      </c>
      <c r="H301" s="566" t="s">
        <v>5</v>
      </c>
      <c r="I301" s="596" t="s">
        <v>5</v>
      </c>
      <c r="J301" s="595" t="s">
        <v>5</v>
      </c>
      <c r="K301" s="626" t="s">
        <v>5</v>
      </c>
      <c r="L301" s="595" t="s">
        <v>5</v>
      </c>
      <c r="M301" s="1076" t="s">
        <v>5</v>
      </c>
      <c r="N301" s="1077" t="s">
        <v>5</v>
      </c>
      <c r="O301" s="597" t="s">
        <v>5</v>
      </c>
      <c r="P301" s="595" t="s">
        <v>5</v>
      </c>
      <c r="Q301" s="571">
        <v>21.048058928113484</v>
      </c>
      <c r="R301" s="1075">
        <f t="shared" si="49"/>
        <v>21.048058928113484</v>
      </c>
      <c r="S301" s="1075">
        <f t="shared" si="50"/>
        <v>0</v>
      </c>
    </row>
    <row r="302" spans="1:42" ht="15.75" hidden="1" x14ac:dyDescent="0.25">
      <c r="A302" s="747" t="s">
        <v>945</v>
      </c>
      <c r="B302" s="747"/>
      <c r="C302" s="815" t="s">
        <v>1024</v>
      </c>
      <c r="D302" s="625" t="s">
        <v>5</v>
      </c>
      <c r="E302" s="593" t="s">
        <v>5</v>
      </c>
      <c r="F302" s="594" t="s">
        <v>5</v>
      </c>
      <c r="G302" s="595" t="s">
        <v>5</v>
      </c>
      <c r="H302" s="566" t="s">
        <v>5</v>
      </c>
      <c r="I302" s="596" t="s">
        <v>5</v>
      </c>
      <c r="J302" s="595" t="s">
        <v>5</v>
      </c>
      <c r="K302" s="626" t="s">
        <v>5</v>
      </c>
      <c r="L302" s="595" t="s">
        <v>5</v>
      </c>
      <c r="M302" s="1076" t="s">
        <v>5</v>
      </c>
      <c r="N302" s="1077" t="s">
        <v>5</v>
      </c>
      <c r="O302" s="597" t="s">
        <v>5</v>
      </c>
      <c r="P302" s="595" t="s">
        <v>5</v>
      </c>
      <c r="Q302" s="571">
        <v>31.054892154907261</v>
      </c>
      <c r="R302" s="1075">
        <f t="shared" si="49"/>
        <v>31.054892154907261</v>
      </c>
      <c r="S302" s="1075">
        <f t="shared" si="50"/>
        <v>0</v>
      </c>
    </row>
    <row r="303" spans="1:42" ht="15.75" hidden="1" x14ac:dyDescent="0.25">
      <c r="A303" s="747" t="s">
        <v>946</v>
      </c>
      <c r="B303" s="747"/>
      <c r="C303" s="815" t="s">
        <v>1024</v>
      </c>
      <c r="D303" s="625" t="s">
        <v>5</v>
      </c>
      <c r="E303" s="593" t="s">
        <v>5</v>
      </c>
      <c r="F303" s="594" t="s">
        <v>5</v>
      </c>
      <c r="G303" s="595" t="s">
        <v>5</v>
      </c>
      <c r="H303" s="566" t="s">
        <v>5</v>
      </c>
      <c r="I303" s="596" t="s">
        <v>5</v>
      </c>
      <c r="J303" s="595" t="s">
        <v>5</v>
      </c>
      <c r="K303" s="626" t="s">
        <v>5</v>
      </c>
      <c r="L303" s="595" t="s">
        <v>5</v>
      </c>
      <c r="M303" s="1076" t="s">
        <v>5</v>
      </c>
      <c r="N303" s="1077" t="s">
        <v>5</v>
      </c>
      <c r="O303" s="597" t="s">
        <v>5</v>
      </c>
      <c r="P303" s="595" t="s">
        <v>5</v>
      </c>
      <c r="Q303" s="571">
        <v>16.652428537404525</v>
      </c>
      <c r="R303" s="1075">
        <f t="shared" si="49"/>
        <v>16.652428537404525</v>
      </c>
      <c r="S303" s="1075">
        <f t="shared" si="50"/>
        <v>0</v>
      </c>
    </row>
    <row r="304" spans="1:42" ht="16.5" hidden="1" thickBot="1" x14ac:dyDescent="0.3">
      <c r="A304" s="658" t="s">
        <v>947</v>
      </c>
      <c r="B304" s="747"/>
      <c r="C304" s="815" t="s">
        <v>1024</v>
      </c>
      <c r="D304" s="625" t="s">
        <v>5</v>
      </c>
      <c r="E304" s="593" t="s">
        <v>5</v>
      </c>
      <c r="F304" s="594" t="s">
        <v>5</v>
      </c>
      <c r="G304" s="595" t="s">
        <v>5</v>
      </c>
      <c r="H304" s="566" t="s">
        <v>5</v>
      </c>
      <c r="I304" s="596" t="s">
        <v>5</v>
      </c>
      <c r="J304" s="595" t="s">
        <v>5</v>
      </c>
      <c r="K304" s="626" t="s">
        <v>5</v>
      </c>
      <c r="L304" s="595" t="s">
        <v>5</v>
      </c>
      <c r="M304" s="1076" t="s">
        <v>5</v>
      </c>
      <c r="N304" s="1077" t="s">
        <v>5</v>
      </c>
      <c r="O304" s="597" t="s">
        <v>5</v>
      </c>
      <c r="P304" s="595" t="s">
        <v>5</v>
      </c>
      <c r="Q304" s="571">
        <v>52.199723767747699</v>
      </c>
      <c r="R304" s="1075">
        <f t="shared" si="49"/>
        <v>52.199723767747699</v>
      </c>
      <c r="S304" s="1075">
        <f t="shared" si="50"/>
        <v>0</v>
      </c>
    </row>
    <row r="305" spans="1:19" ht="16.5" hidden="1" thickBot="1" x14ac:dyDescent="0.3">
      <c r="A305" s="646" t="s">
        <v>526</v>
      </c>
      <c r="B305" s="1054" t="s">
        <v>429</v>
      </c>
      <c r="C305" s="816" t="s">
        <v>1026</v>
      </c>
      <c r="D305" s="625">
        <v>26.392844595536175</v>
      </c>
      <c r="E305" s="593">
        <v>0</v>
      </c>
      <c r="F305" s="594">
        <v>0</v>
      </c>
      <c r="G305" s="595">
        <v>5.2785689191072356</v>
      </c>
      <c r="H305" s="566">
        <v>31.671413514643412</v>
      </c>
      <c r="I305" s="596">
        <v>4.6575608109769719</v>
      </c>
      <c r="J305" s="595">
        <v>0.93151216219539446</v>
      </c>
      <c r="K305" s="626">
        <v>0</v>
      </c>
      <c r="L305" s="595">
        <v>0</v>
      </c>
      <c r="M305" s="1057">
        <f t="shared" ref="M305:N362" si="51">I305+K305</f>
        <v>4.6575608109769719</v>
      </c>
      <c r="N305" s="1058">
        <f t="shared" si="51"/>
        <v>0.93151216219539446</v>
      </c>
      <c r="O305" s="597">
        <v>0</v>
      </c>
      <c r="P305" s="595">
        <v>0</v>
      </c>
      <c r="Q305" s="571">
        <v>37.260486487815783</v>
      </c>
      <c r="R305" s="1075">
        <f>H305+M305+N305+O305+P305</f>
        <v>37.260486487815783</v>
      </c>
      <c r="S305" s="1075">
        <f t="shared" si="50"/>
        <v>0</v>
      </c>
    </row>
    <row r="306" spans="1:19" ht="15.75" hidden="1" x14ac:dyDescent="0.25">
      <c r="A306" s="664" t="s">
        <v>176</v>
      </c>
      <c r="B306" s="653"/>
      <c r="C306" s="653" t="s">
        <v>1028</v>
      </c>
      <c r="D306" s="625">
        <v>149.97854997854998</v>
      </c>
      <c r="E306" s="593">
        <v>274.37307437307436</v>
      </c>
      <c r="F306" s="594">
        <v>0</v>
      </c>
      <c r="G306" s="595">
        <v>0</v>
      </c>
      <c r="H306" s="566">
        <v>424.35162435162431</v>
      </c>
      <c r="I306" s="596">
        <v>407.1604071604072</v>
      </c>
      <c r="J306" s="595">
        <v>0</v>
      </c>
      <c r="K306" s="626">
        <v>0</v>
      </c>
      <c r="L306" s="595">
        <v>0</v>
      </c>
      <c r="M306" s="1057">
        <f t="shared" si="51"/>
        <v>407.1604071604072</v>
      </c>
      <c r="N306" s="1058">
        <f t="shared" si="51"/>
        <v>0</v>
      </c>
      <c r="O306" s="597">
        <v>0</v>
      </c>
      <c r="P306" s="595">
        <v>0</v>
      </c>
      <c r="Q306" s="571">
        <v>831.51203151203151</v>
      </c>
      <c r="R306" s="1075">
        <f t="shared" ref="R306:R319" si="52">H306+M306+N306+O306+P306</f>
        <v>831.51203151203151</v>
      </c>
      <c r="S306" s="1075">
        <f t="shared" si="50"/>
        <v>0</v>
      </c>
    </row>
    <row r="307" spans="1:19" ht="15.75" hidden="1" x14ac:dyDescent="0.25">
      <c r="A307" s="631" t="s">
        <v>178</v>
      </c>
      <c r="B307" s="631"/>
      <c r="C307" s="631" t="s">
        <v>1028</v>
      </c>
      <c r="D307" s="625">
        <v>129.72192972192974</v>
      </c>
      <c r="E307" s="593">
        <v>168.08236808236811</v>
      </c>
      <c r="F307" s="594">
        <v>0</v>
      </c>
      <c r="G307" s="595">
        <v>0</v>
      </c>
      <c r="H307" s="566">
        <v>297.80429780429785</v>
      </c>
      <c r="I307" s="596">
        <v>485.28528528528528</v>
      </c>
      <c r="J307" s="595">
        <v>0</v>
      </c>
      <c r="K307" s="626">
        <v>0</v>
      </c>
      <c r="L307" s="595">
        <v>0</v>
      </c>
      <c r="M307" s="1057">
        <f t="shared" si="51"/>
        <v>485.28528528528528</v>
      </c>
      <c r="N307" s="1058">
        <f t="shared" si="51"/>
        <v>0</v>
      </c>
      <c r="O307" s="597">
        <v>0</v>
      </c>
      <c r="P307" s="595">
        <v>0</v>
      </c>
      <c r="Q307" s="571">
        <v>783.08958308958313</v>
      </c>
      <c r="R307" s="1075">
        <f t="shared" si="52"/>
        <v>783.08958308958313</v>
      </c>
      <c r="S307" s="1075">
        <f t="shared" si="50"/>
        <v>0</v>
      </c>
    </row>
    <row r="308" spans="1:19" ht="15.75" hidden="1" x14ac:dyDescent="0.25">
      <c r="A308" s="631" t="s">
        <v>179</v>
      </c>
      <c r="B308" s="631"/>
      <c r="C308" s="631" t="s">
        <v>1028</v>
      </c>
      <c r="D308" s="625">
        <v>184.32978432978433</v>
      </c>
      <c r="E308" s="593">
        <v>133.61413361413364</v>
      </c>
      <c r="F308" s="594">
        <v>0</v>
      </c>
      <c r="G308" s="595">
        <v>0</v>
      </c>
      <c r="H308" s="566">
        <v>317.943917943918</v>
      </c>
      <c r="I308" s="596">
        <v>591.24059124059124</v>
      </c>
      <c r="J308" s="595">
        <v>0</v>
      </c>
      <c r="K308" s="626">
        <v>0</v>
      </c>
      <c r="L308" s="595">
        <v>0</v>
      </c>
      <c r="M308" s="1057">
        <f t="shared" si="51"/>
        <v>591.24059124059124</v>
      </c>
      <c r="N308" s="1058">
        <f t="shared" si="51"/>
        <v>0</v>
      </c>
      <c r="O308" s="597">
        <v>0</v>
      </c>
      <c r="P308" s="595">
        <v>0</v>
      </c>
      <c r="Q308" s="571">
        <v>909.18450918450924</v>
      </c>
      <c r="R308" s="1075">
        <f t="shared" si="52"/>
        <v>909.18450918450924</v>
      </c>
      <c r="S308" s="1075">
        <f t="shared" si="50"/>
        <v>0</v>
      </c>
    </row>
    <row r="309" spans="1:19" ht="15.75" hidden="1" x14ac:dyDescent="0.25">
      <c r="A309" s="631" t="s">
        <v>180</v>
      </c>
      <c r="B309" s="631"/>
      <c r="C309" s="631" t="s">
        <v>1028</v>
      </c>
      <c r="D309" s="625">
        <v>70.200070200070201</v>
      </c>
      <c r="E309" s="593">
        <v>156.00015600015601</v>
      </c>
      <c r="F309" s="594">
        <v>0</v>
      </c>
      <c r="G309" s="595">
        <v>0</v>
      </c>
      <c r="H309" s="566">
        <v>226.20022620022621</v>
      </c>
      <c r="I309" s="596">
        <v>455.52045552045553</v>
      </c>
      <c r="J309" s="595">
        <v>0</v>
      </c>
      <c r="K309" s="626">
        <v>0</v>
      </c>
      <c r="L309" s="595">
        <v>0</v>
      </c>
      <c r="M309" s="1057">
        <f t="shared" si="51"/>
        <v>455.52045552045553</v>
      </c>
      <c r="N309" s="1058">
        <f t="shared" si="51"/>
        <v>0</v>
      </c>
      <c r="O309" s="597">
        <v>0</v>
      </c>
      <c r="P309" s="595">
        <v>0</v>
      </c>
      <c r="Q309" s="571">
        <v>681.7206817206818</v>
      </c>
      <c r="R309" s="1075">
        <f t="shared" si="52"/>
        <v>681.7206817206818</v>
      </c>
      <c r="S309" s="1075">
        <f t="shared" si="50"/>
        <v>0</v>
      </c>
    </row>
    <row r="310" spans="1:19" ht="16.5" hidden="1" thickBot="1" x14ac:dyDescent="0.3">
      <c r="A310" s="631" t="s">
        <v>544</v>
      </c>
      <c r="B310" s="631" t="s">
        <v>429</v>
      </c>
      <c r="C310" s="631" t="s">
        <v>1028</v>
      </c>
      <c r="D310" s="625">
        <v>79.154479154479162</v>
      </c>
      <c r="E310" s="593">
        <v>203.5802035802036</v>
      </c>
      <c r="F310" s="594">
        <v>0</v>
      </c>
      <c r="G310" s="595">
        <v>0</v>
      </c>
      <c r="H310" s="566">
        <v>282.73468273468279</v>
      </c>
      <c r="I310" s="596">
        <v>412.62041262041265</v>
      </c>
      <c r="J310" s="595">
        <v>0</v>
      </c>
      <c r="K310" s="626">
        <v>0</v>
      </c>
      <c r="L310" s="595">
        <v>0</v>
      </c>
      <c r="M310" s="1057">
        <f t="shared" si="51"/>
        <v>412.62041262041265</v>
      </c>
      <c r="N310" s="1058">
        <f t="shared" si="51"/>
        <v>0</v>
      </c>
      <c r="O310" s="597">
        <v>0</v>
      </c>
      <c r="P310" s="595">
        <v>0</v>
      </c>
      <c r="Q310" s="571">
        <v>695.3550953550955</v>
      </c>
      <c r="R310" s="1075">
        <f t="shared" si="52"/>
        <v>695.3550953550955</v>
      </c>
      <c r="S310" s="1075">
        <f t="shared" si="50"/>
        <v>0</v>
      </c>
    </row>
    <row r="311" spans="1:19" ht="15.75" hidden="1" x14ac:dyDescent="0.25">
      <c r="A311" s="724" t="s">
        <v>932</v>
      </c>
      <c r="B311" s="724"/>
      <c r="C311" s="806" t="s">
        <v>1030</v>
      </c>
      <c r="D311" s="625">
        <v>44.417233886748058</v>
      </c>
      <c r="E311" s="593">
        <v>178.86940132771514</v>
      </c>
      <c r="F311" s="594">
        <v>0</v>
      </c>
      <c r="G311" s="595">
        <v>22.244630916795717</v>
      </c>
      <c r="H311" s="566">
        <v>245.53126613125892</v>
      </c>
      <c r="I311" s="596">
        <v>0</v>
      </c>
      <c r="J311" s="595">
        <v>0</v>
      </c>
      <c r="K311" s="626">
        <v>231.68989567952366</v>
      </c>
      <c r="L311" s="595">
        <v>23.192998883566823</v>
      </c>
      <c r="M311" s="1057">
        <f t="shared" si="51"/>
        <v>231.68989567952366</v>
      </c>
      <c r="N311" s="1058">
        <f t="shared" si="51"/>
        <v>23.192998883566823</v>
      </c>
      <c r="O311" s="597">
        <v>0</v>
      </c>
      <c r="P311" s="595">
        <v>0</v>
      </c>
      <c r="Q311" s="571">
        <v>500.41416069434939</v>
      </c>
      <c r="R311" s="1075">
        <f t="shared" si="52"/>
        <v>500.41416069434939</v>
      </c>
      <c r="S311" s="1075">
        <f t="shared" si="50"/>
        <v>0</v>
      </c>
    </row>
    <row r="312" spans="1:19" ht="15.75" hidden="1" x14ac:dyDescent="0.25">
      <c r="A312" s="735" t="s">
        <v>67</v>
      </c>
      <c r="B312" s="802"/>
      <c r="C312" s="802" t="s">
        <v>1032</v>
      </c>
      <c r="D312" s="625">
        <v>24.009315614458409</v>
      </c>
      <c r="E312" s="593">
        <v>207.12836580593267</v>
      </c>
      <c r="F312" s="594">
        <v>0</v>
      </c>
      <c r="G312" s="595">
        <v>13.865379767349731</v>
      </c>
      <c r="H312" s="566">
        <v>245.00306118774083</v>
      </c>
      <c r="I312" s="596">
        <v>173.63537052376319</v>
      </c>
      <c r="J312" s="595">
        <v>10.420042976674949</v>
      </c>
      <c r="K312" s="626">
        <v>123.33585431147284</v>
      </c>
      <c r="L312" s="595">
        <v>7.3948692092531898</v>
      </c>
      <c r="M312" s="1057">
        <f t="shared" si="51"/>
        <v>296.97122483523606</v>
      </c>
      <c r="N312" s="1058">
        <f t="shared" si="51"/>
        <v>17.81491218592814</v>
      </c>
      <c r="O312" s="597">
        <v>0</v>
      </c>
      <c r="P312" s="595">
        <v>0</v>
      </c>
      <c r="Q312" s="571">
        <v>559.78919820890508</v>
      </c>
      <c r="R312" s="1075">
        <f t="shared" si="52"/>
        <v>559.78919820890508</v>
      </c>
      <c r="S312" s="1075">
        <f t="shared" si="50"/>
        <v>0</v>
      </c>
    </row>
    <row r="313" spans="1:19" ht="15.75" hidden="1" x14ac:dyDescent="0.25">
      <c r="A313" s="685" t="s">
        <v>71</v>
      </c>
      <c r="B313" s="802"/>
      <c r="C313" s="802" t="s">
        <v>1032</v>
      </c>
      <c r="D313" s="625">
        <v>31.212110298795931</v>
      </c>
      <c r="E313" s="593">
        <v>170.98234114836558</v>
      </c>
      <c r="F313" s="594">
        <v>0</v>
      </c>
      <c r="G313" s="595">
        <v>12.136709043108725</v>
      </c>
      <c r="H313" s="566">
        <v>214.33116049027024</v>
      </c>
      <c r="I313" s="596">
        <v>129.35018787289468</v>
      </c>
      <c r="J313" s="595">
        <v>7.767013601277295</v>
      </c>
      <c r="K313" s="626">
        <v>120.55077370019568</v>
      </c>
      <c r="L313" s="595">
        <v>7.2388086577592103</v>
      </c>
      <c r="M313" s="1057">
        <f t="shared" si="51"/>
        <v>249.90096157309034</v>
      </c>
      <c r="N313" s="1058">
        <f t="shared" si="51"/>
        <v>15.005822259036506</v>
      </c>
      <c r="O313" s="597">
        <v>0</v>
      </c>
      <c r="P313" s="595">
        <v>0</v>
      </c>
      <c r="Q313" s="571">
        <v>479.23794432239714</v>
      </c>
      <c r="R313" s="1075">
        <f t="shared" si="52"/>
        <v>479.23794432239708</v>
      </c>
      <c r="S313" s="1075">
        <f t="shared" si="50"/>
        <v>0</v>
      </c>
    </row>
    <row r="314" spans="1:19" ht="15.75" hidden="1" x14ac:dyDescent="0.25">
      <c r="A314" s="685" t="s">
        <v>68</v>
      </c>
      <c r="B314" s="802" t="s">
        <v>429</v>
      </c>
      <c r="C314" s="802" t="s">
        <v>1032</v>
      </c>
      <c r="D314" s="625">
        <v>28.81117873735009</v>
      </c>
      <c r="E314" s="593">
        <v>243.33441375253597</v>
      </c>
      <c r="F314" s="594">
        <v>0</v>
      </c>
      <c r="G314" s="595">
        <v>16.326334617831719</v>
      </c>
      <c r="H314" s="566">
        <v>288.47192710771776</v>
      </c>
      <c r="I314" s="596">
        <v>121.96732332144872</v>
      </c>
      <c r="J314" s="595">
        <v>7.3228412624098143</v>
      </c>
      <c r="K314" s="626">
        <v>65.845548072652193</v>
      </c>
      <c r="L314" s="595">
        <v>3.9495324185784084</v>
      </c>
      <c r="M314" s="1057">
        <f t="shared" si="51"/>
        <v>187.81287139410091</v>
      </c>
      <c r="N314" s="1058">
        <f t="shared" si="51"/>
        <v>11.272373680988222</v>
      </c>
      <c r="O314" s="597">
        <v>0</v>
      </c>
      <c r="P314" s="595">
        <v>0</v>
      </c>
      <c r="Q314" s="571">
        <v>487.55717218280694</v>
      </c>
      <c r="R314" s="1075">
        <f t="shared" si="52"/>
        <v>487.55717218280688</v>
      </c>
      <c r="S314" s="1075">
        <f t="shared" si="50"/>
        <v>0</v>
      </c>
    </row>
    <row r="315" spans="1:19" ht="15.75" hidden="1" x14ac:dyDescent="0.25">
      <c r="A315" s="685" t="s">
        <v>72</v>
      </c>
      <c r="B315" s="802"/>
      <c r="C315" s="802" t="s">
        <v>1032</v>
      </c>
      <c r="D315" s="625">
        <v>67.430162903206437</v>
      </c>
      <c r="E315" s="593">
        <v>286.5871958319828</v>
      </c>
      <c r="F315" s="594">
        <v>3.1092063720723639</v>
      </c>
      <c r="G315" s="595">
        <v>0</v>
      </c>
      <c r="H315" s="566">
        <v>357.12656510726163</v>
      </c>
      <c r="I315" s="596">
        <v>0</v>
      </c>
      <c r="J315" s="595">
        <v>0</v>
      </c>
      <c r="K315" s="626">
        <v>268.90433488193418</v>
      </c>
      <c r="L315" s="595">
        <v>16.134260092916051</v>
      </c>
      <c r="M315" s="1057">
        <f t="shared" si="51"/>
        <v>268.90433488193418</v>
      </c>
      <c r="N315" s="1058">
        <f t="shared" si="51"/>
        <v>16.134260092916051</v>
      </c>
      <c r="O315" s="597">
        <v>0</v>
      </c>
      <c r="P315" s="595">
        <v>0</v>
      </c>
      <c r="Q315" s="571">
        <v>642.16516008211192</v>
      </c>
      <c r="R315" s="1075">
        <f t="shared" si="52"/>
        <v>642.16516008211192</v>
      </c>
      <c r="S315" s="1075">
        <f t="shared" si="50"/>
        <v>0</v>
      </c>
    </row>
    <row r="316" spans="1:19" ht="15.75" hidden="1" x14ac:dyDescent="0.25">
      <c r="A316" s="685" t="s">
        <v>69</v>
      </c>
      <c r="B316" s="802"/>
      <c r="C316" s="802" t="s">
        <v>1032</v>
      </c>
      <c r="D316" s="625">
        <v>24.009315614458409</v>
      </c>
      <c r="E316" s="593">
        <v>207.12836580593267</v>
      </c>
      <c r="F316" s="594">
        <v>0</v>
      </c>
      <c r="G316" s="595">
        <v>13.865379767349731</v>
      </c>
      <c r="H316" s="566">
        <v>245.00306118774083</v>
      </c>
      <c r="I316" s="596">
        <v>173.63537052376319</v>
      </c>
      <c r="J316" s="595">
        <v>10.420042976674949</v>
      </c>
      <c r="K316" s="626">
        <v>123.33585431147284</v>
      </c>
      <c r="L316" s="595">
        <v>7.3948692092531898</v>
      </c>
      <c r="M316" s="1057">
        <f t="shared" si="51"/>
        <v>296.97122483523606</v>
      </c>
      <c r="N316" s="1058">
        <f t="shared" si="51"/>
        <v>17.81491218592814</v>
      </c>
      <c r="O316" s="597">
        <v>0</v>
      </c>
      <c r="P316" s="595">
        <v>0</v>
      </c>
      <c r="Q316" s="571">
        <v>559.78919820890508</v>
      </c>
      <c r="R316" s="1075">
        <f t="shared" si="52"/>
        <v>559.78919820890508</v>
      </c>
      <c r="S316" s="1075">
        <f t="shared" si="50"/>
        <v>0</v>
      </c>
    </row>
    <row r="317" spans="1:19" ht="15.75" hidden="1" x14ac:dyDescent="0.25">
      <c r="A317" s="685" t="s">
        <v>70</v>
      </c>
      <c r="B317" s="802"/>
      <c r="C317" s="802" t="s">
        <v>1032</v>
      </c>
      <c r="D317" s="625">
        <v>24.009315614458409</v>
      </c>
      <c r="E317" s="593">
        <v>207.12836580593267</v>
      </c>
      <c r="F317" s="594">
        <v>0</v>
      </c>
      <c r="G317" s="595">
        <v>13.865379767349731</v>
      </c>
      <c r="H317" s="566">
        <v>245.00306118774083</v>
      </c>
      <c r="I317" s="596">
        <v>173.63537052376319</v>
      </c>
      <c r="J317" s="595">
        <v>10.420042976674949</v>
      </c>
      <c r="K317" s="626">
        <v>123.33585431147284</v>
      </c>
      <c r="L317" s="595">
        <v>7.3948692092531898</v>
      </c>
      <c r="M317" s="1057">
        <f t="shared" si="51"/>
        <v>296.97122483523606</v>
      </c>
      <c r="N317" s="1058">
        <f t="shared" si="51"/>
        <v>17.81491218592814</v>
      </c>
      <c r="O317" s="597">
        <v>0</v>
      </c>
      <c r="P317" s="595">
        <v>0</v>
      </c>
      <c r="Q317" s="571">
        <v>559.78919820890508</v>
      </c>
      <c r="R317" s="1075">
        <f t="shared" si="52"/>
        <v>559.78919820890508</v>
      </c>
      <c r="S317" s="1075">
        <f t="shared" si="50"/>
        <v>0</v>
      </c>
    </row>
    <row r="318" spans="1:19" ht="15.75" hidden="1" x14ac:dyDescent="0.25">
      <c r="A318" s="735" t="s">
        <v>216</v>
      </c>
      <c r="B318" s="802"/>
      <c r="C318" s="802" t="s">
        <v>1032</v>
      </c>
      <c r="D318" s="625">
        <v>31.212110298795931</v>
      </c>
      <c r="E318" s="593">
        <v>249.60084512790959</v>
      </c>
      <c r="F318" s="594">
        <v>0</v>
      </c>
      <c r="G318" s="595">
        <v>16.842534903542575</v>
      </c>
      <c r="H318" s="566">
        <v>297.65549033024809</v>
      </c>
      <c r="I318" s="596">
        <v>168.7854887696426</v>
      </c>
      <c r="J318" s="595">
        <v>10.131931189301447</v>
      </c>
      <c r="K318" s="626">
        <v>120.55077370019568</v>
      </c>
      <c r="L318" s="595">
        <v>7.2388086577592103</v>
      </c>
      <c r="M318" s="1057">
        <f t="shared" si="51"/>
        <v>289.33626246983829</v>
      </c>
      <c r="N318" s="1058">
        <f t="shared" si="51"/>
        <v>17.370739847060658</v>
      </c>
      <c r="O318" s="597">
        <v>0</v>
      </c>
      <c r="P318" s="595">
        <v>0</v>
      </c>
      <c r="Q318" s="571">
        <v>604.36249264714706</v>
      </c>
      <c r="R318" s="1075">
        <f t="shared" si="52"/>
        <v>604.36249264714706</v>
      </c>
      <c r="S318" s="1075">
        <f t="shared" si="50"/>
        <v>0</v>
      </c>
    </row>
    <row r="319" spans="1:19" ht="16.5" hidden="1" thickBot="1" x14ac:dyDescent="0.3">
      <c r="A319" s="736" t="s">
        <v>629</v>
      </c>
      <c r="B319" s="802"/>
      <c r="C319" s="807" t="s">
        <v>1032</v>
      </c>
      <c r="D319" s="625">
        <v>62.904406909881033</v>
      </c>
      <c r="E319" s="593">
        <v>267.34372936699435</v>
      </c>
      <c r="F319" s="594">
        <v>3.1092063720723639</v>
      </c>
      <c r="G319" s="595">
        <v>0</v>
      </c>
      <c r="H319" s="566">
        <v>333.35734264894774</v>
      </c>
      <c r="I319" s="596">
        <v>0</v>
      </c>
      <c r="J319" s="595">
        <v>0</v>
      </c>
      <c r="K319" s="626">
        <v>268.90433488193418</v>
      </c>
      <c r="L319" s="595">
        <v>16.134260092916051</v>
      </c>
      <c r="M319" s="1057">
        <f t="shared" si="51"/>
        <v>268.90433488193418</v>
      </c>
      <c r="N319" s="1058">
        <f t="shared" si="51"/>
        <v>16.134260092916051</v>
      </c>
      <c r="O319" s="597">
        <v>0</v>
      </c>
      <c r="P319" s="595">
        <v>0</v>
      </c>
      <c r="Q319" s="571">
        <v>618.39593762379798</v>
      </c>
      <c r="R319" s="1075">
        <f t="shared" si="52"/>
        <v>618.39593762379798</v>
      </c>
      <c r="S319" s="1075">
        <f t="shared" si="50"/>
        <v>0</v>
      </c>
    </row>
    <row r="320" spans="1:19" ht="15.75" hidden="1" x14ac:dyDescent="0.25">
      <c r="A320" s="729" t="s">
        <v>935</v>
      </c>
      <c r="B320" s="803"/>
      <c r="C320" s="803" t="s">
        <v>1034</v>
      </c>
      <c r="D320" s="625" t="s">
        <v>5</v>
      </c>
      <c r="E320" s="593" t="s">
        <v>5</v>
      </c>
      <c r="F320" s="594" t="s">
        <v>5</v>
      </c>
      <c r="G320" s="595" t="s">
        <v>5</v>
      </c>
      <c r="H320" s="566" t="s">
        <v>5</v>
      </c>
      <c r="I320" s="596" t="s">
        <v>5</v>
      </c>
      <c r="J320" s="595" t="s">
        <v>5</v>
      </c>
      <c r="K320" s="626" t="s">
        <v>5</v>
      </c>
      <c r="L320" s="595" t="s">
        <v>5</v>
      </c>
      <c r="M320" s="1076" t="s">
        <v>5</v>
      </c>
      <c r="N320" s="1077" t="s">
        <v>5</v>
      </c>
      <c r="O320" s="597" t="s">
        <v>5</v>
      </c>
      <c r="P320" s="595" t="s">
        <v>5</v>
      </c>
      <c r="Q320" s="571">
        <v>89.379267029618958</v>
      </c>
      <c r="R320" s="1075">
        <f>Q320</f>
        <v>89.379267029618958</v>
      </c>
      <c r="S320" s="1075">
        <f t="shared" si="50"/>
        <v>0</v>
      </c>
    </row>
    <row r="321" spans="1:19" ht="15.75" hidden="1" x14ac:dyDescent="0.25">
      <c r="A321" s="632" t="s">
        <v>462</v>
      </c>
      <c r="B321" s="803"/>
      <c r="C321" s="803" t="s">
        <v>1034</v>
      </c>
      <c r="D321" s="625" t="s">
        <v>5</v>
      </c>
      <c r="E321" s="593" t="s">
        <v>5</v>
      </c>
      <c r="F321" s="594" t="s">
        <v>5</v>
      </c>
      <c r="G321" s="595" t="s">
        <v>5</v>
      </c>
      <c r="H321" s="566" t="s">
        <v>5</v>
      </c>
      <c r="I321" s="596" t="s">
        <v>5</v>
      </c>
      <c r="J321" s="595" t="s">
        <v>5</v>
      </c>
      <c r="K321" s="626" t="s">
        <v>5</v>
      </c>
      <c r="L321" s="595" t="s">
        <v>5</v>
      </c>
      <c r="M321" s="1076" t="s">
        <v>5</v>
      </c>
      <c r="N321" s="1077" t="s">
        <v>5</v>
      </c>
      <c r="O321" s="597" t="s">
        <v>5</v>
      </c>
      <c r="P321" s="595" t="s">
        <v>5</v>
      </c>
      <c r="Q321" s="571">
        <v>73.375546919585844</v>
      </c>
      <c r="R321" s="1075">
        <f>Q321</f>
        <v>73.375546919585844</v>
      </c>
      <c r="S321" s="1075">
        <f t="shared" si="50"/>
        <v>0</v>
      </c>
    </row>
    <row r="322" spans="1:19" ht="16.5" hidden="1" thickBot="1" x14ac:dyDescent="0.3">
      <c r="A322" s="730" t="s">
        <v>933</v>
      </c>
      <c r="B322" s="803" t="s">
        <v>429</v>
      </c>
      <c r="C322" s="810" t="s">
        <v>1034</v>
      </c>
      <c r="D322" s="625" t="s">
        <v>5</v>
      </c>
      <c r="E322" s="593" t="s">
        <v>5</v>
      </c>
      <c r="F322" s="594" t="s">
        <v>5</v>
      </c>
      <c r="G322" s="595" t="s">
        <v>5</v>
      </c>
      <c r="H322" s="566" t="s">
        <v>5</v>
      </c>
      <c r="I322" s="596" t="s">
        <v>5</v>
      </c>
      <c r="J322" s="595" t="s">
        <v>5</v>
      </c>
      <c r="K322" s="626" t="s">
        <v>5</v>
      </c>
      <c r="L322" s="595" t="s">
        <v>5</v>
      </c>
      <c r="M322" s="1076" t="s">
        <v>5</v>
      </c>
      <c r="N322" s="1077" t="s">
        <v>5</v>
      </c>
      <c r="O322" s="597" t="s">
        <v>5</v>
      </c>
      <c r="P322" s="595" t="s">
        <v>5</v>
      </c>
      <c r="Q322" s="571">
        <v>131.95520166197124</v>
      </c>
      <c r="R322" s="1075">
        <f>Q322</f>
        <v>131.95520166197124</v>
      </c>
      <c r="S322" s="1075">
        <f t="shared" si="50"/>
        <v>0</v>
      </c>
    </row>
    <row r="323" spans="1:19" ht="15.75" hidden="1" x14ac:dyDescent="0.25">
      <c r="A323" s="623" t="s">
        <v>73</v>
      </c>
      <c r="B323" s="802" t="s">
        <v>429</v>
      </c>
      <c r="C323" s="802" t="s">
        <v>1036</v>
      </c>
      <c r="D323" s="625">
        <v>71.806453988633706</v>
      </c>
      <c r="E323" s="593">
        <v>0</v>
      </c>
      <c r="F323" s="594">
        <v>0</v>
      </c>
      <c r="G323" s="595">
        <v>14.11579864733825</v>
      </c>
      <c r="H323" s="566">
        <v>85.922252635971958</v>
      </c>
      <c r="I323" s="596">
        <v>20.866832783021763</v>
      </c>
      <c r="J323" s="595">
        <v>4.2961126317985983</v>
      </c>
      <c r="K323" s="626">
        <v>17.798180903165619</v>
      </c>
      <c r="L323" s="595">
        <v>3.68238225582737</v>
      </c>
      <c r="M323" s="1057">
        <f t="shared" si="51"/>
        <v>38.665013686187379</v>
      </c>
      <c r="N323" s="1058">
        <f t="shared" si="51"/>
        <v>7.9784948876259687</v>
      </c>
      <c r="O323" s="597">
        <v>0</v>
      </c>
      <c r="P323" s="595">
        <v>0</v>
      </c>
      <c r="Q323" s="571">
        <v>132.56576120978531</v>
      </c>
      <c r="R323" s="1075">
        <f t="shared" ref="R323:R386" si="53">H323+M323+N323+O323+P323</f>
        <v>132.56576120978531</v>
      </c>
      <c r="S323" s="1075">
        <f t="shared" si="50"/>
        <v>0</v>
      </c>
    </row>
    <row r="324" spans="1:19" ht="15.75" hidden="1" x14ac:dyDescent="0.25">
      <c r="A324" s="685" t="s">
        <v>74</v>
      </c>
      <c r="B324" s="802"/>
      <c r="C324" s="802" t="s">
        <v>1036</v>
      </c>
      <c r="D324" s="625">
        <v>79.171218500288447</v>
      </c>
      <c r="E324" s="593">
        <v>0</v>
      </c>
      <c r="F324" s="594">
        <v>0</v>
      </c>
      <c r="G324" s="595">
        <v>15.956989775251936</v>
      </c>
      <c r="H324" s="566">
        <v>95.128208275540388</v>
      </c>
      <c r="I324" s="596">
        <v>17.798180903165619</v>
      </c>
      <c r="J324" s="595">
        <v>3.68238225582737</v>
      </c>
      <c r="K324" s="626">
        <v>34.368901054388786</v>
      </c>
      <c r="L324" s="595">
        <v>6.7510341356835113</v>
      </c>
      <c r="M324" s="1057">
        <f t="shared" si="51"/>
        <v>52.167081957554402</v>
      </c>
      <c r="N324" s="1058">
        <f t="shared" si="51"/>
        <v>10.433416391510882</v>
      </c>
      <c r="O324" s="597">
        <v>0</v>
      </c>
      <c r="P324" s="595">
        <v>0</v>
      </c>
      <c r="Q324" s="571">
        <v>157.72870662460568</v>
      </c>
      <c r="R324" s="1075">
        <f t="shared" si="53"/>
        <v>157.72870662460568</v>
      </c>
      <c r="S324" s="1075">
        <f t="shared" si="50"/>
        <v>0</v>
      </c>
    </row>
    <row r="325" spans="1:19" ht="15.75" hidden="1" x14ac:dyDescent="0.25">
      <c r="A325" s="685" t="s">
        <v>75</v>
      </c>
      <c r="B325" s="802"/>
      <c r="C325" s="802" t="s">
        <v>1036</v>
      </c>
      <c r="D325" s="625">
        <v>90.832095643741795</v>
      </c>
      <c r="E325" s="593">
        <v>0</v>
      </c>
      <c r="F325" s="594">
        <v>0</v>
      </c>
      <c r="G325" s="595">
        <v>18.411911279136849</v>
      </c>
      <c r="H325" s="566">
        <v>109.24400692287864</v>
      </c>
      <c r="I325" s="596">
        <v>7.36476451165474</v>
      </c>
      <c r="J325" s="595">
        <v>1.2274607519424565</v>
      </c>
      <c r="K325" s="626">
        <v>19.025641655108078</v>
      </c>
      <c r="L325" s="595">
        <v>3.68238225582737</v>
      </c>
      <c r="M325" s="1057">
        <f t="shared" si="51"/>
        <v>26.390406166762819</v>
      </c>
      <c r="N325" s="1058">
        <f t="shared" si="51"/>
        <v>4.9098430077698261</v>
      </c>
      <c r="O325" s="597">
        <v>0</v>
      </c>
      <c r="P325" s="595">
        <v>0</v>
      </c>
      <c r="Q325" s="571">
        <v>140.54425609741131</v>
      </c>
      <c r="R325" s="1075">
        <f t="shared" si="53"/>
        <v>140.54425609741131</v>
      </c>
      <c r="S325" s="1075">
        <f t="shared" si="50"/>
        <v>0</v>
      </c>
    </row>
    <row r="326" spans="1:19" ht="15.75" hidden="1" x14ac:dyDescent="0.25">
      <c r="A326" s="685" t="s">
        <v>76</v>
      </c>
      <c r="B326" s="802"/>
      <c r="C326" s="802" t="s">
        <v>1036</v>
      </c>
      <c r="D326" s="625">
        <v>128.88337895395793</v>
      </c>
      <c r="E326" s="593">
        <v>0</v>
      </c>
      <c r="F326" s="594">
        <v>0</v>
      </c>
      <c r="G326" s="595">
        <v>25.77667579079159</v>
      </c>
      <c r="H326" s="566">
        <v>154.66005474474952</v>
      </c>
      <c r="I326" s="596">
        <v>4.9098430077698261</v>
      </c>
      <c r="J326" s="595">
        <v>1.2274607519424565</v>
      </c>
      <c r="K326" s="626">
        <v>10.433416391510882</v>
      </c>
      <c r="L326" s="595">
        <v>1.841191127913685</v>
      </c>
      <c r="M326" s="1057">
        <f t="shared" si="51"/>
        <v>15.343259399280708</v>
      </c>
      <c r="N326" s="1058">
        <f t="shared" si="51"/>
        <v>3.0686518798561417</v>
      </c>
      <c r="O326" s="597">
        <v>0</v>
      </c>
      <c r="P326" s="595">
        <v>0</v>
      </c>
      <c r="Q326" s="571">
        <v>173.07196602388638</v>
      </c>
      <c r="R326" s="1075">
        <f t="shared" si="53"/>
        <v>173.07196602388635</v>
      </c>
      <c r="S326" s="1075">
        <f t="shared" si="50"/>
        <v>0</v>
      </c>
    </row>
    <row r="327" spans="1:19" ht="16.5" hidden="1" thickBot="1" x14ac:dyDescent="0.3">
      <c r="A327" s="624" t="s">
        <v>77</v>
      </c>
      <c r="B327" s="802"/>
      <c r="C327" s="802" t="s">
        <v>1036</v>
      </c>
      <c r="D327" s="625">
        <v>111.08519805079233</v>
      </c>
      <c r="E327" s="593">
        <v>0</v>
      </c>
      <c r="F327" s="594">
        <v>0</v>
      </c>
      <c r="G327" s="595">
        <v>22.094293534964219</v>
      </c>
      <c r="H327" s="566">
        <v>133.17949158575655</v>
      </c>
      <c r="I327" s="596">
        <v>6.1373037597122826</v>
      </c>
      <c r="J327" s="595">
        <v>1.2274607519424565</v>
      </c>
      <c r="K327" s="626">
        <v>22.094293534964219</v>
      </c>
      <c r="L327" s="595">
        <v>4.2961126317985983</v>
      </c>
      <c r="M327" s="1057">
        <f t="shared" si="51"/>
        <v>28.231597294676501</v>
      </c>
      <c r="N327" s="1058">
        <f t="shared" si="51"/>
        <v>5.5235733837410548</v>
      </c>
      <c r="O327" s="597">
        <v>0</v>
      </c>
      <c r="P327" s="595">
        <v>0</v>
      </c>
      <c r="Q327" s="571">
        <v>166.93466226417411</v>
      </c>
      <c r="R327" s="1075">
        <f t="shared" si="53"/>
        <v>166.93466226417411</v>
      </c>
      <c r="S327" s="1075">
        <f t="shared" si="50"/>
        <v>0</v>
      </c>
    </row>
    <row r="328" spans="1:19" ht="15.75" hidden="1" x14ac:dyDescent="0.25">
      <c r="A328" s="740" t="s">
        <v>548</v>
      </c>
      <c r="B328" s="806"/>
      <c r="C328" s="806" t="s">
        <v>1040</v>
      </c>
      <c r="D328" s="625">
        <v>148.76072487853753</v>
      </c>
      <c r="E328" s="593">
        <v>138.29626507844367</v>
      </c>
      <c r="F328" s="594">
        <v>0</v>
      </c>
      <c r="G328" s="595">
        <v>0</v>
      </c>
      <c r="H328" s="566">
        <v>287.05698995698117</v>
      </c>
      <c r="I328" s="596">
        <v>0</v>
      </c>
      <c r="J328" s="595">
        <v>0</v>
      </c>
      <c r="K328" s="626">
        <v>346.69486875690808</v>
      </c>
      <c r="L328" s="595">
        <v>0</v>
      </c>
      <c r="M328" s="1057">
        <f t="shared" si="51"/>
        <v>346.69486875690808</v>
      </c>
      <c r="N328" s="1058">
        <f t="shared" si="51"/>
        <v>0</v>
      </c>
      <c r="O328" s="597">
        <v>0</v>
      </c>
      <c r="P328" s="595">
        <v>0</v>
      </c>
      <c r="Q328" s="571">
        <v>633.75185871388931</v>
      </c>
      <c r="R328" s="1075">
        <f t="shared" si="53"/>
        <v>633.75185871388931</v>
      </c>
      <c r="S328" s="1075">
        <f t="shared" si="50"/>
        <v>0</v>
      </c>
    </row>
    <row r="329" spans="1:19" ht="15.75" hidden="1" x14ac:dyDescent="0.25">
      <c r="A329" s="724" t="s">
        <v>940</v>
      </c>
      <c r="B329" s="724" t="s">
        <v>429</v>
      </c>
      <c r="C329" s="724" t="s">
        <v>1040</v>
      </c>
      <c r="D329" s="625">
        <v>87.214433957013028</v>
      </c>
      <c r="E329" s="593">
        <v>149.74673780802965</v>
      </c>
      <c r="F329" s="594">
        <v>0</v>
      </c>
      <c r="G329" s="595">
        <v>0</v>
      </c>
      <c r="H329" s="566">
        <v>236.96117176504268</v>
      </c>
      <c r="I329" s="596">
        <v>0</v>
      </c>
      <c r="J329" s="595">
        <v>0</v>
      </c>
      <c r="K329" s="626">
        <v>252.06943439435747</v>
      </c>
      <c r="L329" s="595">
        <v>0</v>
      </c>
      <c r="M329" s="1057">
        <f t="shared" si="51"/>
        <v>252.06943439435747</v>
      </c>
      <c r="N329" s="1058">
        <f t="shared" si="51"/>
        <v>0</v>
      </c>
      <c r="O329" s="597">
        <v>0</v>
      </c>
      <c r="P329" s="595">
        <v>0</v>
      </c>
      <c r="Q329" s="571">
        <v>489.03060615940012</v>
      </c>
      <c r="R329" s="1075">
        <f t="shared" si="53"/>
        <v>489.03060615940012</v>
      </c>
      <c r="S329" s="1075">
        <f t="shared" si="50"/>
        <v>0</v>
      </c>
    </row>
    <row r="330" spans="1:19" ht="15.75" hidden="1" x14ac:dyDescent="0.25">
      <c r="A330" s="724" t="s">
        <v>549</v>
      </c>
      <c r="B330" s="724"/>
      <c r="C330" s="724" t="s">
        <v>1040</v>
      </c>
      <c r="D330" s="625">
        <v>142.60609578638508</v>
      </c>
      <c r="E330" s="593">
        <v>141.27020730126671</v>
      </c>
      <c r="F330" s="594">
        <v>0</v>
      </c>
      <c r="G330" s="595">
        <v>0</v>
      </c>
      <c r="H330" s="566">
        <v>283.87630308765176</v>
      </c>
      <c r="I330" s="596">
        <v>0</v>
      </c>
      <c r="J330" s="595">
        <v>0</v>
      </c>
      <c r="K330" s="626">
        <v>201.97361620241892</v>
      </c>
      <c r="L330" s="595">
        <v>0</v>
      </c>
      <c r="M330" s="1057">
        <f t="shared" si="51"/>
        <v>201.97361620241892</v>
      </c>
      <c r="N330" s="1058">
        <f t="shared" si="51"/>
        <v>0</v>
      </c>
      <c r="O330" s="597">
        <v>0</v>
      </c>
      <c r="P330" s="595">
        <v>0</v>
      </c>
      <c r="Q330" s="571">
        <v>485.84991929007072</v>
      </c>
      <c r="R330" s="1075">
        <f t="shared" si="53"/>
        <v>485.84991929007072</v>
      </c>
      <c r="S330" s="1075">
        <f t="shared" si="50"/>
        <v>0</v>
      </c>
    </row>
    <row r="331" spans="1:19" ht="15.75" hidden="1" x14ac:dyDescent="0.25">
      <c r="A331" s="724" t="s">
        <v>722</v>
      </c>
      <c r="B331" s="724"/>
      <c r="C331" s="724" t="s">
        <v>1040</v>
      </c>
      <c r="D331" s="625">
        <v>190.84121215976592</v>
      </c>
      <c r="E331" s="593">
        <v>284.67147480498414</v>
      </c>
      <c r="F331" s="594">
        <v>0</v>
      </c>
      <c r="G331" s="595">
        <v>0</v>
      </c>
      <c r="H331" s="566">
        <v>475.51268696475006</v>
      </c>
      <c r="I331" s="596">
        <v>0</v>
      </c>
      <c r="J331" s="595">
        <v>0</v>
      </c>
      <c r="K331" s="626">
        <v>196.40741418109241</v>
      </c>
      <c r="L331" s="595">
        <v>0</v>
      </c>
      <c r="M331" s="1057">
        <f t="shared" si="51"/>
        <v>196.40741418109241</v>
      </c>
      <c r="N331" s="1058">
        <f t="shared" si="51"/>
        <v>0</v>
      </c>
      <c r="O331" s="597">
        <v>0</v>
      </c>
      <c r="P331" s="595">
        <v>0</v>
      </c>
      <c r="Q331" s="571">
        <v>671.92010114584241</v>
      </c>
      <c r="R331" s="1075">
        <f t="shared" si="53"/>
        <v>671.92010114584241</v>
      </c>
      <c r="S331" s="1075">
        <f t="shared" si="50"/>
        <v>0</v>
      </c>
    </row>
    <row r="332" spans="1:19" ht="15.75" hidden="1" x14ac:dyDescent="0.25">
      <c r="A332" s="724" t="s">
        <v>723</v>
      </c>
      <c r="B332" s="724"/>
      <c r="C332" s="724" t="s">
        <v>1040</v>
      </c>
      <c r="D332" s="625">
        <v>489.8257778767325</v>
      </c>
      <c r="E332" s="593">
        <v>0</v>
      </c>
      <c r="F332" s="594">
        <v>0</v>
      </c>
      <c r="G332" s="595">
        <v>0</v>
      </c>
      <c r="H332" s="566">
        <v>489.8257778767325</v>
      </c>
      <c r="I332" s="596">
        <v>0</v>
      </c>
      <c r="J332" s="595">
        <v>0</v>
      </c>
      <c r="K332" s="626">
        <v>305.34593945562546</v>
      </c>
      <c r="L332" s="595">
        <v>0</v>
      </c>
      <c r="M332" s="1057">
        <f t="shared" si="51"/>
        <v>305.34593945562546</v>
      </c>
      <c r="N332" s="1058">
        <f t="shared" si="51"/>
        <v>0</v>
      </c>
      <c r="O332" s="597">
        <v>0</v>
      </c>
      <c r="P332" s="595">
        <v>0</v>
      </c>
      <c r="Q332" s="571">
        <v>795.17171733235796</v>
      </c>
      <c r="R332" s="1075">
        <f t="shared" si="53"/>
        <v>795.17171733235796</v>
      </c>
      <c r="S332" s="1075">
        <f t="shared" si="50"/>
        <v>0</v>
      </c>
    </row>
    <row r="333" spans="1:19" ht="16.5" hidden="1" thickBot="1" x14ac:dyDescent="0.3">
      <c r="A333" s="743" t="s">
        <v>552</v>
      </c>
      <c r="B333" s="807"/>
      <c r="C333" s="807" t="s">
        <v>1040</v>
      </c>
      <c r="D333" s="625">
        <v>167.65400488235434</v>
      </c>
      <c r="E333" s="593">
        <v>82.825086077338398</v>
      </c>
      <c r="F333" s="594">
        <v>0</v>
      </c>
      <c r="G333" s="595">
        <v>0</v>
      </c>
      <c r="H333" s="566">
        <v>250.47909095969274</v>
      </c>
      <c r="I333" s="596">
        <v>0</v>
      </c>
      <c r="J333" s="595">
        <v>0</v>
      </c>
      <c r="K333" s="626">
        <v>199.58810105042184</v>
      </c>
      <c r="L333" s="595">
        <v>0</v>
      </c>
      <c r="M333" s="1057">
        <f t="shared" si="51"/>
        <v>199.58810105042184</v>
      </c>
      <c r="N333" s="1058">
        <f t="shared" si="51"/>
        <v>0</v>
      </c>
      <c r="O333" s="597">
        <v>0</v>
      </c>
      <c r="P333" s="595">
        <v>0</v>
      </c>
      <c r="Q333" s="571">
        <v>450.06719201011458</v>
      </c>
      <c r="R333" s="1075">
        <f t="shared" si="53"/>
        <v>450.06719201011458</v>
      </c>
      <c r="S333" s="1075">
        <f t="shared" si="50"/>
        <v>0</v>
      </c>
    </row>
    <row r="334" spans="1:19" ht="15.75" hidden="1" x14ac:dyDescent="0.25">
      <c r="A334" s="623" t="s">
        <v>78</v>
      </c>
      <c r="B334" s="802" t="s">
        <v>429</v>
      </c>
      <c r="C334" s="802" t="s">
        <v>1044</v>
      </c>
      <c r="D334" s="686">
        <v>31.837533221773793</v>
      </c>
      <c r="E334" s="593">
        <v>0</v>
      </c>
      <c r="F334" s="594">
        <v>0</v>
      </c>
      <c r="G334" s="595">
        <v>0</v>
      </c>
      <c r="H334" s="566">
        <v>31.837533221773793</v>
      </c>
      <c r="I334" s="596">
        <v>0</v>
      </c>
      <c r="J334" s="595">
        <v>0</v>
      </c>
      <c r="K334" s="626">
        <v>20.917413131213703</v>
      </c>
      <c r="L334" s="595">
        <v>0</v>
      </c>
      <c r="M334" s="1057">
        <f t="shared" si="51"/>
        <v>20.917413131213703</v>
      </c>
      <c r="N334" s="1058">
        <f t="shared" si="51"/>
        <v>0</v>
      </c>
      <c r="O334" s="597">
        <v>24.147307805886406</v>
      </c>
      <c r="P334" s="595">
        <v>0</v>
      </c>
      <c r="Q334" s="571">
        <v>76.902254158873902</v>
      </c>
      <c r="R334" s="1075">
        <f t="shared" si="53"/>
        <v>76.902254158873902</v>
      </c>
      <c r="S334" s="1075">
        <f t="shared" si="50"/>
        <v>0</v>
      </c>
    </row>
    <row r="335" spans="1:19" ht="15.75" hidden="1" x14ac:dyDescent="0.25">
      <c r="A335" s="685" t="s">
        <v>79</v>
      </c>
      <c r="B335" s="802"/>
      <c r="C335" s="802" t="s">
        <v>1044</v>
      </c>
      <c r="D335" s="686">
        <v>29.530465597007581</v>
      </c>
      <c r="E335" s="593">
        <v>0</v>
      </c>
      <c r="F335" s="594">
        <v>0</v>
      </c>
      <c r="G335" s="595">
        <v>0</v>
      </c>
      <c r="H335" s="566">
        <v>29.530465597007581</v>
      </c>
      <c r="I335" s="596">
        <v>0</v>
      </c>
      <c r="J335" s="595">
        <v>0</v>
      </c>
      <c r="K335" s="626">
        <v>26.146766414017129</v>
      </c>
      <c r="L335" s="595">
        <v>0</v>
      </c>
      <c r="M335" s="1057">
        <f t="shared" si="51"/>
        <v>26.146766414017129</v>
      </c>
      <c r="N335" s="1058">
        <f t="shared" si="51"/>
        <v>0</v>
      </c>
      <c r="O335" s="597">
        <v>0</v>
      </c>
      <c r="P335" s="595">
        <v>0</v>
      </c>
      <c r="Q335" s="571">
        <v>55.677232011024714</v>
      </c>
      <c r="R335" s="1075">
        <f t="shared" si="53"/>
        <v>55.677232011024714</v>
      </c>
      <c r="S335" s="1075">
        <f t="shared" si="50"/>
        <v>0</v>
      </c>
    </row>
    <row r="336" spans="1:19" ht="15.75" hidden="1" x14ac:dyDescent="0.25">
      <c r="A336" s="685" t="s">
        <v>80</v>
      </c>
      <c r="B336" s="802"/>
      <c r="C336" s="802" t="s">
        <v>1044</v>
      </c>
      <c r="D336" s="686">
        <v>40.142976670932178</v>
      </c>
      <c r="E336" s="593">
        <v>0</v>
      </c>
      <c r="F336" s="594">
        <v>21.378826656166947</v>
      </c>
      <c r="G336" s="595">
        <v>0</v>
      </c>
      <c r="H336" s="566">
        <v>61.521803327099121</v>
      </c>
      <c r="I336" s="596">
        <v>0</v>
      </c>
      <c r="J336" s="595">
        <v>0</v>
      </c>
      <c r="K336" s="626">
        <v>13.842405748597303</v>
      </c>
      <c r="L336" s="595">
        <v>0</v>
      </c>
      <c r="M336" s="1057">
        <f t="shared" si="51"/>
        <v>13.842405748597303</v>
      </c>
      <c r="N336" s="1058">
        <f t="shared" si="51"/>
        <v>0</v>
      </c>
      <c r="O336" s="597">
        <v>0</v>
      </c>
      <c r="P336" s="595">
        <v>0</v>
      </c>
      <c r="Q336" s="571">
        <v>75.364209075696422</v>
      </c>
      <c r="R336" s="1075">
        <f t="shared" si="53"/>
        <v>75.364209075696422</v>
      </c>
      <c r="S336" s="1075">
        <f t="shared" si="50"/>
        <v>0</v>
      </c>
    </row>
    <row r="337" spans="1:19" ht="15.75" hidden="1" x14ac:dyDescent="0.25">
      <c r="A337" s="624" t="s">
        <v>81</v>
      </c>
      <c r="B337" s="802"/>
      <c r="C337" s="802" t="s">
        <v>1044</v>
      </c>
      <c r="D337" s="686">
        <v>41.065803720838666</v>
      </c>
      <c r="E337" s="593">
        <v>0</v>
      </c>
      <c r="F337" s="594">
        <v>0</v>
      </c>
      <c r="G337" s="595">
        <v>0</v>
      </c>
      <c r="H337" s="566">
        <v>41.065803720838666</v>
      </c>
      <c r="I337" s="596">
        <v>0</v>
      </c>
      <c r="J337" s="595">
        <v>0</v>
      </c>
      <c r="K337" s="626">
        <v>13.842405748597303</v>
      </c>
      <c r="L337" s="595">
        <v>0</v>
      </c>
      <c r="M337" s="1057">
        <f t="shared" si="51"/>
        <v>13.842405748597303</v>
      </c>
      <c r="N337" s="1058">
        <f t="shared" si="51"/>
        <v>0</v>
      </c>
      <c r="O337" s="597">
        <v>0</v>
      </c>
      <c r="P337" s="595">
        <v>0</v>
      </c>
      <c r="Q337" s="571">
        <v>54.908209469435967</v>
      </c>
      <c r="R337" s="1075">
        <f t="shared" si="53"/>
        <v>54.908209469435967</v>
      </c>
      <c r="S337" s="1075">
        <f t="shared" si="50"/>
        <v>0</v>
      </c>
    </row>
    <row r="338" spans="1:19" ht="16.5" hidden="1" thickBot="1" x14ac:dyDescent="0.3">
      <c r="A338" s="684" t="s">
        <v>468</v>
      </c>
      <c r="B338" s="802"/>
      <c r="C338" s="802" t="s">
        <v>1044</v>
      </c>
      <c r="D338" s="686">
        <v>30.453292646914065</v>
      </c>
      <c r="E338" s="593">
        <v>0</v>
      </c>
      <c r="F338" s="594">
        <v>0</v>
      </c>
      <c r="G338" s="595">
        <v>0</v>
      </c>
      <c r="H338" s="566">
        <v>30.453292646914065</v>
      </c>
      <c r="I338" s="596">
        <v>0</v>
      </c>
      <c r="J338" s="595">
        <v>0</v>
      </c>
      <c r="K338" s="626">
        <v>13.842405748597303</v>
      </c>
      <c r="L338" s="595">
        <v>0</v>
      </c>
      <c r="M338" s="1057">
        <f t="shared" si="51"/>
        <v>13.842405748597303</v>
      </c>
      <c r="N338" s="1058">
        <f t="shared" si="51"/>
        <v>0</v>
      </c>
      <c r="O338" s="597">
        <v>0</v>
      </c>
      <c r="P338" s="595">
        <v>0</v>
      </c>
      <c r="Q338" s="571">
        <v>44.295698395511366</v>
      </c>
      <c r="R338" s="1075">
        <f t="shared" si="53"/>
        <v>44.295698395511366</v>
      </c>
      <c r="S338" s="1075">
        <f t="shared" si="50"/>
        <v>0</v>
      </c>
    </row>
    <row r="339" spans="1:19" ht="16.5" hidden="1" thickBot="1" x14ac:dyDescent="0.3">
      <c r="A339" s="685" t="s">
        <v>84</v>
      </c>
      <c r="B339" s="802" t="s">
        <v>429</v>
      </c>
      <c r="C339" s="812" t="s">
        <v>1046</v>
      </c>
      <c r="D339" s="625">
        <v>0</v>
      </c>
      <c r="E339" s="593">
        <v>33.546712337709714</v>
      </c>
      <c r="F339" s="594">
        <v>0</v>
      </c>
      <c r="G339" s="595">
        <v>0</v>
      </c>
      <c r="H339" s="566">
        <v>33.546712337709714</v>
      </c>
      <c r="I339" s="596">
        <v>0</v>
      </c>
      <c r="J339" s="595">
        <v>0</v>
      </c>
      <c r="K339" s="626">
        <v>37.376526261489765</v>
      </c>
      <c r="L339" s="595">
        <v>0</v>
      </c>
      <c r="M339" s="1057">
        <f t="shared" si="51"/>
        <v>37.376526261489765</v>
      </c>
      <c r="N339" s="1058">
        <f t="shared" si="51"/>
        <v>0</v>
      </c>
      <c r="O339" s="597">
        <v>0</v>
      </c>
      <c r="P339" s="595">
        <v>0</v>
      </c>
      <c r="Q339" s="571">
        <v>70.923238599199479</v>
      </c>
      <c r="R339" s="1075">
        <f t="shared" si="53"/>
        <v>70.923238599199479</v>
      </c>
      <c r="S339" s="1075">
        <f t="shared" si="50"/>
        <v>0</v>
      </c>
    </row>
    <row r="340" spans="1:19" ht="15.75" hidden="1" x14ac:dyDescent="0.25">
      <c r="A340" s="623" t="s">
        <v>82</v>
      </c>
      <c r="B340" s="802" t="s">
        <v>429</v>
      </c>
      <c r="C340" s="802" t="s">
        <v>1048</v>
      </c>
      <c r="D340" s="625">
        <v>27.510121600805885</v>
      </c>
      <c r="E340" s="593">
        <v>23.869076094816872</v>
      </c>
      <c r="F340" s="594">
        <v>1.6890405541671261</v>
      </c>
      <c r="G340" s="595">
        <v>0</v>
      </c>
      <c r="H340" s="566">
        <v>53.068238249789886</v>
      </c>
      <c r="I340" s="596">
        <v>0</v>
      </c>
      <c r="J340" s="595">
        <v>0</v>
      </c>
      <c r="K340" s="626">
        <v>16.89040554167126</v>
      </c>
      <c r="L340" s="595">
        <v>0</v>
      </c>
      <c r="M340" s="1057">
        <f t="shared" si="51"/>
        <v>16.89040554167126</v>
      </c>
      <c r="N340" s="1058">
        <f t="shared" si="51"/>
        <v>0</v>
      </c>
      <c r="O340" s="597">
        <v>0</v>
      </c>
      <c r="P340" s="595">
        <v>2.5689598847811381</v>
      </c>
      <c r="Q340" s="571">
        <v>72.527603676242279</v>
      </c>
      <c r="R340" s="1075">
        <f t="shared" si="53"/>
        <v>72.527603676242279</v>
      </c>
      <c r="S340" s="1075">
        <f t="shared" si="50"/>
        <v>0</v>
      </c>
    </row>
    <row r="341" spans="1:19" ht="16.5" hidden="1" thickBot="1" x14ac:dyDescent="0.3">
      <c r="A341" s="624" t="s">
        <v>83</v>
      </c>
      <c r="B341" s="802"/>
      <c r="C341" s="802" t="s">
        <v>1048</v>
      </c>
      <c r="D341" s="625">
        <v>14.442813840423089</v>
      </c>
      <c r="E341" s="593">
        <v>36.986953931671735</v>
      </c>
      <c r="F341" s="594">
        <v>1.6890405541671261</v>
      </c>
      <c r="G341" s="595">
        <v>0</v>
      </c>
      <c r="H341" s="566">
        <v>53.118808326261949</v>
      </c>
      <c r="I341" s="596">
        <v>0</v>
      </c>
      <c r="J341" s="595">
        <v>0</v>
      </c>
      <c r="K341" s="626">
        <v>16.89040554167126</v>
      </c>
      <c r="L341" s="595">
        <v>0</v>
      </c>
      <c r="M341" s="1057">
        <f t="shared" si="51"/>
        <v>16.89040554167126</v>
      </c>
      <c r="N341" s="1058">
        <f t="shared" si="51"/>
        <v>0</v>
      </c>
      <c r="O341" s="597">
        <v>0</v>
      </c>
      <c r="P341" s="595">
        <v>2.5689598847811381</v>
      </c>
      <c r="Q341" s="571">
        <v>72.578173752714349</v>
      </c>
      <c r="R341" s="1075">
        <f t="shared" si="53"/>
        <v>72.578173752714349</v>
      </c>
      <c r="S341" s="1075">
        <f t="shared" si="50"/>
        <v>0</v>
      </c>
    </row>
    <row r="342" spans="1:19" ht="15.75" hidden="1" x14ac:dyDescent="0.25">
      <c r="A342" s="638" t="s">
        <v>85</v>
      </c>
      <c r="B342" s="693"/>
      <c r="C342" s="806" t="s">
        <v>1050</v>
      </c>
      <c r="D342" s="625">
        <v>79.230741527712752</v>
      </c>
      <c r="E342" s="593">
        <v>112.84378338795452</v>
      </c>
      <c r="F342" s="594">
        <v>0</v>
      </c>
      <c r="G342" s="595">
        <v>9.6037262457833634</v>
      </c>
      <c r="H342" s="566">
        <v>201.67825116145065</v>
      </c>
      <c r="I342" s="596">
        <v>60.023289036146025</v>
      </c>
      <c r="J342" s="595">
        <v>0</v>
      </c>
      <c r="K342" s="626">
        <v>107.56173395277366</v>
      </c>
      <c r="L342" s="595">
        <v>0</v>
      </c>
      <c r="M342" s="1057">
        <f t="shared" si="51"/>
        <v>167.58502298891969</v>
      </c>
      <c r="N342" s="1058">
        <f t="shared" si="51"/>
        <v>0</v>
      </c>
      <c r="O342" s="597">
        <v>30.731923986506764</v>
      </c>
      <c r="P342" s="595">
        <v>0</v>
      </c>
      <c r="Q342" s="571">
        <v>399.99519813687709</v>
      </c>
      <c r="R342" s="1075">
        <f t="shared" si="53"/>
        <v>399.99519813687709</v>
      </c>
      <c r="S342" s="1075">
        <f t="shared" si="50"/>
        <v>0</v>
      </c>
    </row>
    <row r="343" spans="1:19" ht="15.75" hidden="1" x14ac:dyDescent="0.25">
      <c r="A343" s="639" t="s">
        <v>878</v>
      </c>
      <c r="B343" s="639" t="s">
        <v>429</v>
      </c>
      <c r="C343" s="724" t="s">
        <v>1050</v>
      </c>
      <c r="D343" s="625">
        <v>50.419562790362662</v>
      </c>
      <c r="E343" s="593">
        <v>115.24471494940036</v>
      </c>
      <c r="F343" s="594">
        <v>0</v>
      </c>
      <c r="G343" s="595">
        <v>8.2832138869881522</v>
      </c>
      <c r="H343" s="566">
        <v>173.94749162675117</v>
      </c>
      <c r="I343" s="596">
        <v>66.025617939760622</v>
      </c>
      <c r="J343" s="595">
        <v>0</v>
      </c>
      <c r="K343" s="626">
        <v>131.4510029891598</v>
      </c>
      <c r="L343" s="595">
        <v>0</v>
      </c>
      <c r="M343" s="1057">
        <f t="shared" si="51"/>
        <v>197.47662092892043</v>
      </c>
      <c r="N343" s="1058">
        <f t="shared" si="51"/>
        <v>0</v>
      </c>
      <c r="O343" s="597">
        <v>0</v>
      </c>
      <c r="P343" s="595">
        <v>0</v>
      </c>
      <c r="Q343" s="571">
        <v>371.42411255567163</v>
      </c>
      <c r="R343" s="1075">
        <f t="shared" si="53"/>
        <v>371.42411255567163</v>
      </c>
      <c r="S343" s="1075">
        <f t="shared" si="50"/>
        <v>0</v>
      </c>
    </row>
    <row r="344" spans="1:19" ht="15.75" hidden="1" x14ac:dyDescent="0.25">
      <c r="A344" s="639" t="s">
        <v>879</v>
      </c>
      <c r="B344" s="639"/>
      <c r="C344" s="724" t="s">
        <v>1050</v>
      </c>
      <c r="D344" s="625">
        <v>79.230741527712752</v>
      </c>
      <c r="E344" s="593">
        <v>108.04192026506284</v>
      </c>
      <c r="F344" s="594">
        <v>0</v>
      </c>
      <c r="G344" s="595">
        <v>9.36363308963878</v>
      </c>
      <c r="H344" s="566">
        <v>196.63629488241435</v>
      </c>
      <c r="I344" s="596">
        <v>76.829809966266907</v>
      </c>
      <c r="J344" s="595">
        <v>0</v>
      </c>
      <c r="K344" s="626">
        <v>188.53315086253468</v>
      </c>
      <c r="L344" s="595">
        <v>0</v>
      </c>
      <c r="M344" s="1057">
        <f t="shared" si="51"/>
        <v>265.36296082880159</v>
      </c>
      <c r="N344" s="1058">
        <f t="shared" si="51"/>
        <v>0</v>
      </c>
      <c r="O344" s="597">
        <v>43.216768106025135</v>
      </c>
      <c r="P344" s="595">
        <v>0</v>
      </c>
      <c r="Q344" s="571">
        <v>505.21602381724108</v>
      </c>
      <c r="R344" s="1075">
        <f t="shared" si="53"/>
        <v>505.21602381724108</v>
      </c>
      <c r="S344" s="1075">
        <f t="shared" si="50"/>
        <v>0</v>
      </c>
    </row>
    <row r="345" spans="1:19" ht="16.5" hidden="1" thickBot="1" x14ac:dyDescent="0.3">
      <c r="A345" s="640" t="s">
        <v>86</v>
      </c>
      <c r="B345" s="652"/>
      <c r="C345" s="807" t="s">
        <v>1050</v>
      </c>
      <c r="D345" s="625">
        <v>57.622357474700181</v>
      </c>
      <c r="E345" s="593">
        <v>101.55940504915907</v>
      </c>
      <c r="F345" s="594">
        <v>0</v>
      </c>
      <c r="G345" s="595">
        <v>7.9590881261929622</v>
      </c>
      <c r="H345" s="566">
        <v>167.14085065005222</v>
      </c>
      <c r="I345" s="596">
        <v>51.283898152483161</v>
      </c>
      <c r="J345" s="595">
        <v>0</v>
      </c>
      <c r="K345" s="626">
        <v>189.07336046385998</v>
      </c>
      <c r="L345" s="595">
        <v>0</v>
      </c>
      <c r="M345" s="1057">
        <f t="shared" si="51"/>
        <v>240.35725861634313</v>
      </c>
      <c r="N345" s="1058">
        <f t="shared" si="51"/>
        <v>0</v>
      </c>
      <c r="O345" s="597">
        <v>42.016302325302213</v>
      </c>
      <c r="P345" s="595">
        <v>0</v>
      </c>
      <c r="Q345" s="571">
        <v>449.51441159169752</v>
      </c>
      <c r="R345" s="1075">
        <f t="shared" si="53"/>
        <v>449.51441159169752</v>
      </c>
      <c r="S345" s="1075">
        <f t="shared" si="50"/>
        <v>0</v>
      </c>
    </row>
    <row r="346" spans="1:19" ht="15.75" hidden="1" x14ac:dyDescent="0.25">
      <c r="A346" s="693" t="s">
        <v>911</v>
      </c>
      <c r="B346" s="693" t="s">
        <v>429</v>
      </c>
      <c r="C346" s="806" t="s">
        <v>1052</v>
      </c>
      <c r="D346" s="625">
        <v>0</v>
      </c>
      <c r="E346" s="593">
        <v>189.74895043496079</v>
      </c>
      <c r="F346" s="594">
        <v>0</v>
      </c>
      <c r="G346" s="595">
        <v>28.483493674408283</v>
      </c>
      <c r="H346" s="566">
        <v>218.23244410936908</v>
      </c>
      <c r="I346" s="596">
        <v>0</v>
      </c>
      <c r="J346" s="595">
        <v>0</v>
      </c>
      <c r="K346" s="626">
        <v>159.38535816818234</v>
      </c>
      <c r="L346" s="595">
        <v>23.877252123101332</v>
      </c>
      <c r="M346" s="1057">
        <f t="shared" si="51"/>
        <v>159.38535816818234</v>
      </c>
      <c r="N346" s="1058">
        <f t="shared" si="51"/>
        <v>23.877252123101332</v>
      </c>
      <c r="O346" s="597">
        <v>0</v>
      </c>
      <c r="P346" s="595">
        <v>0</v>
      </c>
      <c r="Q346" s="571">
        <v>401.49505440065275</v>
      </c>
      <c r="R346" s="1075">
        <f t="shared" si="53"/>
        <v>401.49505440065275</v>
      </c>
      <c r="S346" s="1075">
        <f t="shared" si="50"/>
        <v>0</v>
      </c>
    </row>
    <row r="347" spans="1:19" ht="15.75" hidden="1" x14ac:dyDescent="0.25">
      <c r="A347" s="639" t="s">
        <v>912</v>
      </c>
      <c r="B347" s="639"/>
      <c r="C347" s="724" t="s">
        <v>1052</v>
      </c>
      <c r="D347" s="625">
        <v>0</v>
      </c>
      <c r="E347" s="593">
        <v>151.53594654503681</v>
      </c>
      <c r="F347" s="594">
        <v>0</v>
      </c>
      <c r="G347" s="595">
        <v>22.749192967679225</v>
      </c>
      <c r="H347" s="566">
        <v>174.28513951271603</v>
      </c>
      <c r="I347" s="596">
        <v>0</v>
      </c>
      <c r="J347" s="595">
        <v>0</v>
      </c>
      <c r="K347" s="626">
        <v>158.02228668871393</v>
      </c>
      <c r="L347" s="595">
        <v>23.689242263864315</v>
      </c>
      <c r="M347" s="1057">
        <f t="shared" si="51"/>
        <v>158.02228668871393</v>
      </c>
      <c r="N347" s="1058">
        <f t="shared" si="51"/>
        <v>23.689242263864315</v>
      </c>
      <c r="O347" s="597">
        <v>0</v>
      </c>
      <c r="P347" s="595">
        <v>0</v>
      </c>
      <c r="Q347" s="571">
        <v>355.99666846529431</v>
      </c>
      <c r="R347" s="1075">
        <f t="shared" si="53"/>
        <v>355.99666846529431</v>
      </c>
      <c r="S347" s="1075">
        <f t="shared" si="50"/>
        <v>0</v>
      </c>
    </row>
    <row r="348" spans="1:19" ht="15.75" hidden="1" x14ac:dyDescent="0.25">
      <c r="A348" s="639" t="s">
        <v>913</v>
      </c>
      <c r="B348" s="639"/>
      <c r="C348" s="724" t="s">
        <v>1052</v>
      </c>
      <c r="D348" s="625">
        <v>0</v>
      </c>
      <c r="E348" s="593">
        <v>152.52299830603116</v>
      </c>
      <c r="F348" s="594">
        <v>0</v>
      </c>
      <c r="G348" s="595">
        <v>22.890200362106988</v>
      </c>
      <c r="H348" s="566">
        <v>175.41319866813814</v>
      </c>
      <c r="I348" s="596">
        <v>0</v>
      </c>
      <c r="J348" s="595">
        <v>0</v>
      </c>
      <c r="K348" s="626">
        <v>160.60742225322295</v>
      </c>
      <c r="L348" s="595">
        <v>24.112264447147606</v>
      </c>
      <c r="M348" s="1057">
        <f t="shared" si="51"/>
        <v>160.60742225322295</v>
      </c>
      <c r="N348" s="1058">
        <f t="shared" si="51"/>
        <v>24.112264447147606</v>
      </c>
      <c r="O348" s="597">
        <v>0</v>
      </c>
      <c r="P348" s="595">
        <v>0</v>
      </c>
      <c r="Q348" s="571">
        <v>360.13288536850871</v>
      </c>
      <c r="R348" s="1075">
        <f t="shared" si="53"/>
        <v>360.13288536850871</v>
      </c>
      <c r="S348" s="1075">
        <f t="shared" si="50"/>
        <v>0</v>
      </c>
    </row>
    <row r="349" spans="1:19" ht="15.75" hidden="1" x14ac:dyDescent="0.25">
      <c r="A349" s="639" t="s">
        <v>914</v>
      </c>
      <c r="B349" s="639"/>
      <c r="C349" s="724" t="s">
        <v>1052</v>
      </c>
      <c r="D349" s="625">
        <v>0</v>
      </c>
      <c r="E349" s="593">
        <v>211.79310643050121</v>
      </c>
      <c r="F349" s="594">
        <v>0</v>
      </c>
      <c r="G349" s="595">
        <v>31.773666211056106</v>
      </c>
      <c r="H349" s="566">
        <v>243.56677264155732</v>
      </c>
      <c r="I349" s="596">
        <v>0</v>
      </c>
      <c r="J349" s="595">
        <v>0</v>
      </c>
      <c r="K349" s="626">
        <v>140.2553549908157</v>
      </c>
      <c r="L349" s="595">
        <v>21.057104234546056</v>
      </c>
      <c r="M349" s="1057">
        <f t="shared" si="51"/>
        <v>140.2553549908157</v>
      </c>
      <c r="N349" s="1058">
        <f t="shared" si="51"/>
        <v>21.057104234546056</v>
      </c>
      <c r="O349" s="597">
        <v>0</v>
      </c>
      <c r="P349" s="595">
        <v>0</v>
      </c>
      <c r="Q349" s="571">
        <v>404.8792318669191</v>
      </c>
      <c r="R349" s="1075">
        <f t="shared" si="53"/>
        <v>404.8792318669191</v>
      </c>
      <c r="S349" s="1075">
        <f t="shared" si="50"/>
        <v>0</v>
      </c>
    </row>
    <row r="350" spans="1:19" ht="16.5" hidden="1" thickBot="1" x14ac:dyDescent="0.3">
      <c r="A350" s="652" t="s">
        <v>915</v>
      </c>
      <c r="B350" s="652"/>
      <c r="C350" s="807" t="s">
        <v>1052</v>
      </c>
      <c r="D350" s="625">
        <v>0</v>
      </c>
      <c r="E350" s="593">
        <v>204.27271206102046</v>
      </c>
      <c r="F350" s="594">
        <v>0</v>
      </c>
      <c r="G350" s="595">
        <v>30.645607055633995</v>
      </c>
      <c r="H350" s="566">
        <v>234.91831911665446</v>
      </c>
      <c r="I350" s="596">
        <v>0</v>
      </c>
      <c r="J350" s="595">
        <v>0</v>
      </c>
      <c r="K350" s="626">
        <v>197.50435712848781</v>
      </c>
      <c r="L350" s="595">
        <v>29.611552829830394</v>
      </c>
      <c r="M350" s="1057">
        <f t="shared" si="51"/>
        <v>197.50435712848781</v>
      </c>
      <c r="N350" s="1058">
        <f t="shared" si="51"/>
        <v>29.611552829830394</v>
      </c>
      <c r="O350" s="597">
        <v>0</v>
      </c>
      <c r="P350" s="595">
        <v>0</v>
      </c>
      <c r="Q350" s="571">
        <v>462.03422907497264</v>
      </c>
      <c r="R350" s="1075">
        <f t="shared" si="53"/>
        <v>462.03422907497264</v>
      </c>
      <c r="S350" s="1075">
        <f t="shared" si="50"/>
        <v>0</v>
      </c>
    </row>
    <row r="351" spans="1:19" ht="15.75" hidden="1" x14ac:dyDescent="0.25">
      <c r="A351" s="663" t="s">
        <v>87</v>
      </c>
      <c r="B351" s="1046"/>
      <c r="C351" s="802" t="s">
        <v>1054</v>
      </c>
      <c r="D351" s="625">
        <v>161.19308675089545</v>
      </c>
      <c r="E351" s="593">
        <v>82.240712860306843</v>
      </c>
      <c r="F351" s="594">
        <v>100.74567921930965</v>
      </c>
      <c r="G351" s="595">
        <v>86.044869707627981</v>
      </c>
      <c r="H351" s="566">
        <v>430.22434853813991</v>
      </c>
      <c r="I351" s="596">
        <v>0</v>
      </c>
      <c r="J351" s="595">
        <v>0</v>
      </c>
      <c r="K351" s="626">
        <v>430.7611215170204</v>
      </c>
      <c r="L351" s="595">
        <v>107.68987739653822</v>
      </c>
      <c r="M351" s="1057">
        <f t="shared" si="51"/>
        <v>430.7611215170204</v>
      </c>
      <c r="N351" s="1058">
        <f t="shared" si="51"/>
        <v>107.68987739653822</v>
      </c>
      <c r="O351" s="597">
        <v>12.326435343840974</v>
      </c>
      <c r="P351" s="595">
        <v>3.0820118186771208</v>
      </c>
      <c r="Q351" s="571">
        <v>984.08379461421657</v>
      </c>
      <c r="R351" s="1075">
        <f t="shared" si="53"/>
        <v>984.08379461421657</v>
      </c>
      <c r="S351" s="1075">
        <f t="shared" si="50"/>
        <v>0</v>
      </c>
    </row>
    <row r="352" spans="1:19" ht="15.75" hidden="1" x14ac:dyDescent="0.25">
      <c r="A352" s="547" t="s">
        <v>213</v>
      </c>
      <c r="B352" s="1046"/>
      <c r="C352" s="802" t="s">
        <v>1054</v>
      </c>
      <c r="D352" s="625">
        <v>88.720674947692842</v>
      </c>
      <c r="E352" s="593">
        <v>136.53054447800844</v>
      </c>
      <c r="F352" s="594">
        <v>100.74567921930965</v>
      </c>
      <c r="G352" s="595">
        <v>81.49922466125274</v>
      </c>
      <c r="H352" s="566">
        <v>407.49612330626366</v>
      </c>
      <c r="I352" s="596">
        <v>0</v>
      </c>
      <c r="J352" s="595">
        <v>0</v>
      </c>
      <c r="K352" s="626">
        <v>440.34405052436114</v>
      </c>
      <c r="L352" s="595">
        <v>110.08681859652404</v>
      </c>
      <c r="M352" s="1057">
        <f t="shared" si="51"/>
        <v>440.34405052436114</v>
      </c>
      <c r="N352" s="1058">
        <f t="shared" si="51"/>
        <v>110.08681859652404</v>
      </c>
      <c r="O352" s="597">
        <v>9.1912298065360574</v>
      </c>
      <c r="P352" s="595">
        <v>2.2970014862002599</v>
      </c>
      <c r="Q352" s="571">
        <v>969.41522371988515</v>
      </c>
      <c r="R352" s="1075">
        <f t="shared" si="53"/>
        <v>969.41522371988515</v>
      </c>
      <c r="S352" s="1075">
        <f t="shared" si="50"/>
        <v>0</v>
      </c>
    </row>
    <row r="353" spans="1:19" ht="15.75" hidden="1" x14ac:dyDescent="0.25">
      <c r="A353" s="547" t="s">
        <v>88</v>
      </c>
      <c r="B353" s="1046" t="s">
        <v>429</v>
      </c>
      <c r="C353" s="802" t="s">
        <v>1054</v>
      </c>
      <c r="D353" s="625">
        <v>61.898145312343843</v>
      </c>
      <c r="E353" s="593">
        <v>134.33831849819626</v>
      </c>
      <c r="F353" s="594">
        <v>100.74567921930965</v>
      </c>
      <c r="G353" s="595">
        <v>74.245535757462434</v>
      </c>
      <c r="H353" s="566">
        <v>371.22767878731219</v>
      </c>
      <c r="I353" s="596">
        <v>0</v>
      </c>
      <c r="J353" s="595">
        <v>0</v>
      </c>
      <c r="K353" s="626">
        <v>250.56175790732689</v>
      </c>
      <c r="L353" s="595">
        <v>62.639633511397967</v>
      </c>
      <c r="M353" s="1057">
        <f t="shared" si="51"/>
        <v>250.56175790732689</v>
      </c>
      <c r="N353" s="1058">
        <f t="shared" si="51"/>
        <v>62.639633511397967</v>
      </c>
      <c r="O353" s="597">
        <v>11.215814976127303</v>
      </c>
      <c r="P353" s="595">
        <v>2.8047597094655803</v>
      </c>
      <c r="Q353" s="571">
        <v>698.44964489162987</v>
      </c>
      <c r="R353" s="1075">
        <f t="shared" si="53"/>
        <v>698.44964489162987</v>
      </c>
      <c r="S353" s="1075">
        <f t="shared" si="50"/>
        <v>0</v>
      </c>
    </row>
    <row r="354" spans="1:19" ht="15.75" hidden="1" x14ac:dyDescent="0.25">
      <c r="A354" s="547" t="s">
        <v>89</v>
      </c>
      <c r="B354" s="1046"/>
      <c r="C354" s="802" t="s">
        <v>1054</v>
      </c>
      <c r="D354" s="625">
        <v>106.77430066379313</v>
      </c>
      <c r="E354" s="593">
        <v>78.243124308884646</v>
      </c>
      <c r="F354" s="594">
        <v>100.74567921930965</v>
      </c>
      <c r="G354" s="595">
        <v>71.440776047996849</v>
      </c>
      <c r="H354" s="566">
        <v>357.20388023998424</v>
      </c>
      <c r="I354" s="596">
        <v>0</v>
      </c>
      <c r="J354" s="595">
        <v>0</v>
      </c>
      <c r="K354" s="626">
        <v>465.52563453658598</v>
      </c>
      <c r="L354" s="595">
        <v>116.3814086341465</v>
      </c>
      <c r="M354" s="1057">
        <f t="shared" si="51"/>
        <v>465.52563453658598</v>
      </c>
      <c r="N354" s="1058">
        <f t="shared" si="51"/>
        <v>116.3814086341465</v>
      </c>
      <c r="O354" s="597">
        <v>8.1241315722451297</v>
      </c>
      <c r="P354" s="595">
        <v>2.0310328930612824</v>
      </c>
      <c r="Q354" s="571">
        <v>949.26608787602311</v>
      </c>
      <c r="R354" s="1075">
        <f t="shared" si="53"/>
        <v>949.26608787602311</v>
      </c>
      <c r="S354" s="1075">
        <f t="shared" si="50"/>
        <v>0</v>
      </c>
    </row>
    <row r="355" spans="1:19" ht="16.5" hidden="1" thickBot="1" x14ac:dyDescent="0.3">
      <c r="A355" s="613" t="s">
        <v>90</v>
      </c>
      <c r="B355" s="1046"/>
      <c r="C355" s="807" t="s">
        <v>1054</v>
      </c>
      <c r="D355" s="625">
        <v>77.372681640429803</v>
      </c>
      <c r="E355" s="593">
        <v>153.16567103070085</v>
      </c>
      <c r="F355" s="594">
        <v>100.74567921930965</v>
      </c>
      <c r="G355" s="595">
        <v>82.821007972610062</v>
      </c>
      <c r="H355" s="566">
        <v>414.10503986305037</v>
      </c>
      <c r="I355" s="596">
        <v>0</v>
      </c>
      <c r="J355" s="595">
        <v>0</v>
      </c>
      <c r="K355" s="626">
        <v>592.64572661007719</v>
      </c>
      <c r="L355" s="595">
        <v>148.16223761795305</v>
      </c>
      <c r="M355" s="1057">
        <f t="shared" si="51"/>
        <v>592.64572661007719</v>
      </c>
      <c r="N355" s="1058">
        <f t="shared" si="51"/>
        <v>148.16223761795305</v>
      </c>
      <c r="O355" s="597">
        <v>8.6689642054631566</v>
      </c>
      <c r="P355" s="595">
        <v>2.1664350859320347</v>
      </c>
      <c r="Q355" s="571">
        <v>1165.748403382476</v>
      </c>
      <c r="R355" s="1075">
        <f t="shared" si="53"/>
        <v>1165.748403382476</v>
      </c>
      <c r="S355" s="1075">
        <f t="shared" si="50"/>
        <v>0</v>
      </c>
    </row>
    <row r="356" spans="1:19" ht="15.75" hidden="1" x14ac:dyDescent="0.25">
      <c r="A356" s="546" t="s">
        <v>91</v>
      </c>
      <c r="B356" s="1046"/>
      <c r="C356" s="802" t="s">
        <v>1056</v>
      </c>
      <c r="D356" s="625">
        <v>47.44240765416982</v>
      </c>
      <c r="E356" s="593">
        <v>135.65263322169002</v>
      </c>
      <c r="F356" s="594">
        <v>0</v>
      </c>
      <c r="G356" s="595">
        <v>43.937047574458887</v>
      </c>
      <c r="H356" s="566">
        <v>227.03208845031872</v>
      </c>
      <c r="I356" s="596">
        <v>166.86474352048594</v>
      </c>
      <c r="J356" s="595">
        <v>40.047538444916626</v>
      </c>
      <c r="K356" s="626">
        <v>0</v>
      </c>
      <c r="L356" s="595">
        <v>0</v>
      </c>
      <c r="M356" s="1057">
        <f t="shared" si="51"/>
        <v>166.86474352048594</v>
      </c>
      <c r="N356" s="1058">
        <f t="shared" si="51"/>
        <v>40.047538444916626</v>
      </c>
      <c r="O356" s="597">
        <v>47.44240765416982</v>
      </c>
      <c r="P356" s="595">
        <v>11.380415601253286</v>
      </c>
      <c r="Q356" s="571">
        <v>492.76719367114441</v>
      </c>
      <c r="R356" s="1075">
        <f t="shared" si="53"/>
        <v>492.76719367114441</v>
      </c>
      <c r="S356" s="1075">
        <f t="shared" si="50"/>
        <v>0</v>
      </c>
    </row>
    <row r="357" spans="1:19" ht="15.75" hidden="1" x14ac:dyDescent="0.25">
      <c r="A357" s="547" t="s">
        <v>92</v>
      </c>
      <c r="B357" s="1046" t="s">
        <v>429</v>
      </c>
      <c r="C357" s="802" t="s">
        <v>1056</v>
      </c>
      <c r="D357" s="625">
        <v>47.44240765416982</v>
      </c>
      <c r="E357" s="593">
        <v>135.65263322169002</v>
      </c>
      <c r="F357" s="594">
        <v>0</v>
      </c>
      <c r="G357" s="595">
        <v>43.937047574458887</v>
      </c>
      <c r="H357" s="566">
        <v>227.03208845031872</v>
      </c>
      <c r="I357" s="596">
        <v>166.86474352048594</v>
      </c>
      <c r="J357" s="595">
        <v>40.047538444916626</v>
      </c>
      <c r="K357" s="626">
        <v>0</v>
      </c>
      <c r="L357" s="595">
        <v>0</v>
      </c>
      <c r="M357" s="1057">
        <f t="shared" si="51"/>
        <v>166.86474352048594</v>
      </c>
      <c r="N357" s="1058">
        <f t="shared" si="51"/>
        <v>40.047538444916626</v>
      </c>
      <c r="O357" s="597">
        <v>47.44240765416982</v>
      </c>
      <c r="P357" s="595">
        <v>11.380415601253286</v>
      </c>
      <c r="Q357" s="571">
        <v>492.76719367114441</v>
      </c>
      <c r="R357" s="1075">
        <f t="shared" si="53"/>
        <v>492.76719367114441</v>
      </c>
      <c r="S357" s="1075">
        <f t="shared" si="50"/>
        <v>0</v>
      </c>
    </row>
    <row r="358" spans="1:19" ht="15.75" hidden="1" x14ac:dyDescent="0.25">
      <c r="A358" s="547" t="s">
        <v>93</v>
      </c>
      <c r="B358" s="1046"/>
      <c r="C358" s="802" t="s">
        <v>1056</v>
      </c>
      <c r="D358" s="625">
        <v>50.347534843519284</v>
      </c>
      <c r="E358" s="593">
        <v>147.65729102891922</v>
      </c>
      <c r="F358" s="594">
        <v>0</v>
      </c>
      <c r="G358" s="595">
        <v>47.526440258820422</v>
      </c>
      <c r="H358" s="566">
        <v>245.53126613125895</v>
      </c>
      <c r="I358" s="596">
        <v>192.07452491566727</v>
      </c>
      <c r="J358" s="595">
        <v>46.097885979760143</v>
      </c>
      <c r="K358" s="626">
        <v>0</v>
      </c>
      <c r="L358" s="595">
        <v>0</v>
      </c>
      <c r="M358" s="1057">
        <f t="shared" si="51"/>
        <v>192.07452491566727</v>
      </c>
      <c r="N358" s="1058">
        <f t="shared" si="51"/>
        <v>46.097885979760143</v>
      </c>
      <c r="O358" s="597">
        <v>50.347534843519284</v>
      </c>
      <c r="P358" s="595">
        <v>12.08869041187981</v>
      </c>
      <c r="Q358" s="571">
        <v>546.13990228208547</v>
      </c>
      <c r="R358" s="1075">
        <f t="shared" si="53"/>
        <v>546.13990228208547</v>
      </c>
      <c r="S358" s="1075">
        <f t="shared" si="50"/>
        <v>0</v>
      </c>
    </row>
    <row r="359" spans="1:19" ht="15.75" hidden="1" x14ac:dyDescent="0.25">
      <c r="A359" s="547" t="s">
        <v>94</v>
      </c>
      <c r="B359" s="1046"/>
      <c r="C359" s="802" t="s">
        <v>1056</v>
      </c>
      <c r="D359" s="625">
        <v>96.817565215303546</v>
      </c>
      <c r="E359" s="593">
        <v>138.05356478313584</v>
      </c>
      <c r="F359" s="594">
        <v>0</v>
      </c>
      <c r="G359" s="595">
        <v>56.373873062748345</v>
      </c>
      <c r="H359" s="566">
        <v>291.24500306118773</v>
      </c>
      <c r="I359" s="596">
        <v>199.2773196000048</v>
      </c>
      <c r="J359" s="595">
        <v>47.826556704001156</v>
      </c>
      <c r="K359" s="626">
        <v>0</v>
      </c>
      <c r="L359" s="595">
        <v>0</v>
      </c>
      <c r="M359" s="1057">
        <f t="shared" si="51"/>
        <v>199.2773196000048</v>
      </c>
      <c r="N359" s="1058">
        <f t="shared" si="51"/>
        <v>47.826556704001156</v>
      </c>
      <c r="O359" s="597">
        <v>0</v>
      </c>
      <c r="P359" s="595">
        <v>0</v>
      </c>
      <c r="Q359" s="571">
        <v>538.34887936519374</v>
      </c>
      <c r="R359" s="1075">
        <f t="shared" si="53"/>
        <v>538.34887936519374</v>
      </c>
      <c r="S359" s="1075">
        <f t="shared" si="50"/>
        <v>0</v>
      </c>
    </row>
    <row r="360" spans="1:19" ht="15.75" hidden="1" x14ac:dyDescent="0.25">
      <c r="A360" s="547" t="s">
        <v>95</v>
      </c>
      <c r="B360" s="1046"/>
      <c r="C360" s="802" t="s">
        <v>1056</v>
      </c>
      <c r="D360" s="625">
        <v>129.72233226491878</v>
      </c>
      <c r="E360" s="593">
        <v>169.42173563342575</v>
      </c>
      <c r="F360" s="594">
        <v>0</v>
      </c>
      <c r="G360" s="595">
        <v>71.799858345037876</v>
      </c>
      <c r="H360" s="566">
        <v>370.94392624338241</v>
      </c>
      <c r="I360" s="596">
        <v>185.88012148713702</v>
      </c>
      <c r="J360" s="595">
        <v>44.609308411663719</v>
      </c>
      <c r="K360" s="626">
        <v>0</v>
      </c>
      <c r="L360" s="595">
        <v>0</v>
      </c>
      <c r="M360" s="1057">
        <f t="shared" si="51"/>
        <v>185.88012148713702</v>
      </c>
      <c r="N360" s="1058">
        <f t="shared" si="51"/>
        <v>44.609308411663719</v>
      </c>
      <c r="O360" s="597">
        <v>0</v>
      </c>
      <c r="P360" s="595">
        <v>0</v>
      </c>
      <c r="Q360" s="571">
        <v>601.43335614218313</v>
      </c>
      <c r="R360" s="1075">
        <f t="shared" si="53"/>
        <v>601.43335614218313</v>
      </c>
      <c r="S360" s="1075">
        <f t="shared" si="50"/>
        <v>0</v>
      </c>
    </row>
    <row r="361" spans="1:19" ht="16.5" hidden="1" thickBot="1" x14ac:dyDescent="0.3">
      <c r="A361" s="613" t="s">
        <v>195</v>
      </c>
      <c r="B361" s="1046"/>
      <c r="C361" s="807" t="s">
        <v>1056</v>
      </c>
      <c r="D361" s="625">
        <v>47.44240765416982</v>
      </c>
      <c r="E361" s="593">
        <v>135.65263322169002</v>
      </c>
      <c r="F361" s="594">
        <v>0</v>
      </c>
      <c r="G361" s="595">
        <v>43.937047574458887</v>
      </c>
      <c r="H361" s="566">
        <v>227.03208845031872</v>
      </c>
      <c r="I361" s="596">
        <v>166.86474352048594</v>
      </c>
      <c r="J361" s="595">
        <v>40.047538444916626</v>
      </c>
      <c r="K361" s="626">
        <v>0</v>
      </c>
      <c r="L361" s="595">
        <v>0</v>
      </c>
      <c r="M361" s="1057">
        <f t="shared" si="51"/>
        <v>166.86474352048594</v>
      </c>
      <c r="N361" s="1058">
        <f t="shared" si="51"/>
        <v>40.047538444916626</v>
      </c>
      <c r="O361" s="597">
        <v>47.44240765416982</v>
      </c>
      <c r="P361" s="595">
        <v>11.380415601253286</v>
      </c>
      <c r="Q361" s="571">
        <v>492.76719367114441</v>
      </c>
      <c r="R361" s="1075">
        <f t="shared" si="53"/>
        <v>492.76719367114441</v>
      </c>
      <c r="S361" s="1075">
        <f t="shared" si="50"/>
        <v>0</v>
      </c>
    </row>
    <row r="362" spans="1:19" ht="15.75" hidden="1" x14ac:dyDescent="0.25">
      <c r="A362" s="546" t="s">
        <v>97</v>
      </c>
      <c r="B362" s="1046"/>
      <c r="C362" s="802" t="s">
        <v>1058</v>
      </c>
      <c r="D362" s="625">
        <v>66.409766989591958</v>
      </c>
      <c r="E362" s="593">
        <v>129.6503043180754</v>
      </c>
      <c r="F362" s="594">
        <v>46.818165448193895</v>
      </c>
      <c r="G362" s="595">
        <v>13.313165508217187</v>
      </c>
      <c r="H362" s="566">
        <v>256.19140226407842</v>
      </c>
      <c r="I362" s="596">
        <v>132.05123587952127</v>
      </c>
      <c r="J362" s="595">
        <v>16.038222830458217</v>
      </c>
      <c r="K362" s="626">
        <v>0</v>
      </c>
      <c r="L362" s="595">
        <v>0</v>
      </c>
      <c r="M362" s="1057">
        <f t="shared" si="51"/>
        <v>132.05123587952127</v>
      </c>
      <c r="N362" s="1058">
        <f t="shared" si="51"/>
        <v>16.038222830458217</v>
      </c>
      <c r="O362" s="597">
        <v>28.81117873735009</v>
      </c>
      <c r="P362" s="595">
        <v>0</v>
      </c>
      <c r="Q362" s="571">
        <v>433.09203971140801</v>
      </c>
      <c r="R362" s="1075">
        <f t="shared" si="53"/>
        <v>433.09203971140801</v>
      </c>
      <c r="S362" s="1075">
        <f t="shared" si="50"/>
        <v>0</v>
      </c>
    </row>
    <row r="363" spans="1:19" ht="15.75" hidden="1" x14ac:dyDescent="0.25">
      <c r="A363" s="547" t="s">
        <v>98</v>
      </c>
      <c r="B363" s="1046"/>
      <c r="C363" s="802" t="s">
        <v>1058</v>
      </c>
      <c r="D363" s="625">
        <v>27.178545275566918</v>
      </c>
      <c r="E363" s="593">
        <v>141.65496212530462</v>
      </c>
      <c r="F363" s="594">
        <v>60.023289036146025</v>
      </c>
      <c r="G363" s="595">
        <v>12.604890697590665</v>
      </c>
      <c r="H363" s="566">
        <v>241.46168713460824</v>
      </c>
      <c r="I363" s="596">
        <v>192.07452491566727</v>
      </c>
      <c r="J363" s="595">
        <v>0</v>
      </c>
      <c r="K363" s="626">
        <v>148.85775680964213</v>
      </c>
      <c r="L363" s="595">
        <v>37.670616199085245</v>
      </c>
      <c r="M363" s="1057">
        <f t="shared" ref="M363:N426" si="54">I363+K363</f>
        <v>340.93228172530939</v>
      </c>
      <c r="N363" s="1058">
        <f t="shared" si="54"/>
        <v>37.670616199085245</v>
      </c>
      <c r="O363" s="597">
        <v>36.013973421687616</v>
      </c>
      <c r="P363" s="595">
        <v>0</v>
      </c>
      <c r="Q363" s="571">
        <v>656.07855848069039</v>
      </c>
      <c r="R363" s="1075">
        <f t="shared" si="53"/>
        <v>656.0785584806905</v>
      </c>
      <c r="S363" s="1075">
        <f t="shared" ref="S363:S426" si="55">Q363-R363</f>
        <v>0</v>
      </c>
    </row>
    <row r="364" spans="1:19" ht="15.75" hidden="1" x14ac:dyDescent="0.25">
      <c r="A364" s="547" t="s">
        <v>99</v>
      </c>
      <c r="B364" s="1046"/>
      <c r="C364" s="802" t="s">
        <v>1058</v>
      </c>
      <c r="D364" s="625">
        <v>44.801382936579394</v>
      </c>
      <c r="E364" s="593">
        <v>136.8530990024129</v>
      </c>
      <c r="F364" s="594">
        <v>55.221425913254343</v>
      </c>
      <c r="G364" s="595">
        <v>13.013049063036458</v>
      </c>
      <c r="H364" s="566">
        <v>249.88895691528307</v>
      </c>
      <c r="I364" s="596">
        <v>175.26800398554639</v>
      </c>
      <c r="J364" s="595">
        <v>20.756053348699293</v>
      </c>
      <c r="K364" s="626">
        <v>0</v>
      </c>
      <c r="L364" s="595">
        <v>0</v>
      </c>
      <c r="M364" s="1057">
        <f t="shared" si="54"/>
        <v>175.26800398554639</v>
      </c>
      <c r="N364" s="1058">
        <f t="shared" si="54"/>
        <v>20.756053348699293</v>
      </c>
      <c r="O364" s="597">
        <v>31.932389767229687</v>
      </c>
      <c r="P364" s="595">
        <v>0</v>
      </c>
      <c r="Q364" s="571">
        <v>477.84540401675844</v>
      </c>
      <c r="R364" s="1075">
        <f t="shared" si="53"/>
        <v>477.84540401675844</v>
      </c>
      <c r="S364" s="1075">
        <f t="shared" si="55"/>
        <v>0</v>
      </c>
    </row>
    <row r="365" spans="1:19" ht="15.75" hidden="1" x14ac:dyDescent="0.25">
      <c r="A365" s="547" t="s">
        <v>100</v>
      </c>
      <c r="B365" s="1046"/>
      <c r="C365" s="802" t="s">
        <v>1058</v>
      </c>
      <c r="D365" s="625">
        <v>49.447185507977089</v>
      </c>
      <c r="E365" s="593">
        <v>123.6479754144608</v>
      </c>
      <c r="F365" s="594">
        <v>42.016302325302213</v>
      </c>
      <c r="G365" s="595">
        <v>11.800578624506308</v>
      </c>
      <c r="H365" s="566">
        <v>226.91204187224639</v>
      </c>
      <c r="I365" s="596">
        <v>117.64564651084621</v>
      </c>
      <c r="J365" s="595">
        <v>14.645682524819629</v>
      </c>
      <c r="K365" s="626">
        <v>0</v>
      </c>
      <c r="L365" s="595">
        <v>0</v>
      </c>
      <c r="M365" s="1057">
        <f t="shared" si="54"/>
        <v>117.64564651084621</v>
      </c>
      <c r="N365" s="1058">
        <f t="shared" si="54"/>
        <v>14.645682524819629</v>
      </c>
      <c r="O365" s="597">
        <v>28.968439754624793</v>
      </c>
      <c r="P365" s="595">
        <v>0</v>
      </c>
      <c r="Q365" s="571">
        <v>388.17181066253698</v>
      </c>
      <c r="R365" s="1075">
        <f t="shared" si="53"/>
        <v>388.17181066253698</v>
      </c>
      <c r="S365" s="1075">
        <f t="shared" si="55"/>
        <v>0</v>
      </c>
    </row>
    <row r="366" spans="1:19" ht="15.75" hidden="1" x14ac:dyDescent="0.25">
      <c r="A366" s="547" t="s">
        <v>101</v>
      </c>
      <c r="B366" s="1046" t="s">
        <v>429</v>
      </c>
      <c r="C366" s="802" t="s">
        <v>1058</v>
      </c>
      <c r="D366" s="625">
        <v>24.741599740699389</v>
      </c>
      <c r="E366" s="593">
        <v>122.44750963373788</v>
      </c>
      <c r="F366" s="594">
        <v>57.622357474700181</v>
      </c>
      <c r="G366" s="595">
        <v>11.308387654409911</v>
      </c>
      <c r="H366" s="566">
        <v>216.11985450354734</v>
      </c>
      <c r="I366" s="596">
        <v>37.214439202410531</v>
      </c>
      <c r="J366" s="595">
        <v>0</v>
      </c>
      <c r="K366" s="626">
        <v>124.84844119518372</v>
      </c>
      <c r="L366" s="595">
        <v>19.843699355349877</v>
      </c>
      <c r="M366" s="1057">
        <f t="shared" si="54"/>
        <v>162.06288039759426</v>
      </c>
      <c r="N366" s="1058">
        <f t="shared" si="54"/>
        <v>19.843699355349877</v>
      </c>
      <c r="O366" s="597">
        <v>36.013973421687616</v>
      </c>
      <c r="P366" s="595">
        <v>0</v>
      </c>
      <c r="Q366" s="571">
        <v>434.04040767817912</v>
      </c>
      <c r="R366" s="1075">
        <f t="shared" si="53"/>
        <v>434.04040767817912</v>
      </c>
      <c r="S366" s="1075">
        <f t="shared" si="55"/>
        <v>0</v>
      </c>
    </row>
    <row r="367" spans="1:19" ht="15.75" hidden="1" x14ac:dyDescent="0.25">
      <c r="A367" s="547" t="s">
        <v>630</v>
      </c>
      <c r="B367" s="1046"/>
      <c r="C367" s="802" t="s">
        <v>1058</v>
      </c>
      <c r="D367" s="625">
        <v>32.040431687494745</v>
      </c>
      <c r="E367" s="593">
        <v>120.04657807229205</v>
      </c>
      <c r="F367" s="594">
        <v>42.016302325302213</v>
      </c>
      <c r="G367" s="595">
        <v>10.672140790626763</v>
      </c>
      <c r="H367" s="566">
        <v>204.77545287571576</v>
      </c>
      <c r="I367" s="596">
        <v>60.023289036146025</v>
      </c>
      <c r="J367" s="595">
        <v>0</v>
      </c>
      <c r="K367" s="626">
        <v>56.421891693977258</v>
      </c>
      <c r="L367" s="595">
        <v>15.82213898992809</v>
      </c>
      <c r="M367" s="1057">
        <f t="shared" si="54"/>
        <v>116.44518073012328</v>
      </c>
      <c r="N367" s="1058">
        <f t="shared" si="54"/>
        <v>15.82213898992809</v>
      </c>
      <c r="O367" s="597">
        <v>42.016302325302213</v>
      </c>
      <c r="P367" s="595">
        <v>0</v>
      </c>
      <c r="Q367" s="571">
        <v>379.05907492106934</v>
      </c>
      <c r="R367" s="1075">
        <f t="shared" si="53"/>
        <v>379.05907492106934</v>
      </c>
      <c r="S367" s="1075">
        <f t="shared" si="55"/>
        <v>0</v>
      </c>
    </row>
    <row r="368" spans="1:19" ht="15.75" hidden="1" x14ac:dyDescent="0.25">
      <c r="A368" s="547" t="s">
        <v>631</v>
      </c>
      <c r="B368" s="1046"/>
      <c r="C368" s="802" t="s">
        <v>1058</v>
      </c>
      <c r="D368" s="625">
        <v>13.145100298915978</v>
      </c>
      <c r="E368" s="593">
        <v>111.64331760723161</v>
      </c>
      <c r="F368" s="594">
        <v>52.820494351808499</v>
      </c>
      <c r="G368" s="595">
        <v>9.7597867972773447</v>
      </c>
      <c r="H368" s="566">
        <v>187.36869905523344</v>
      </c>
      <c r="I368" s="596">
        <v>139.25403056385875</v>
      </c>
      <c r="J368" s="595">
        <v>17.526800398554638</v>
      </c>
      <c r="K368" s="626">
        <v>0</v>
      </c>
      <c r="L368" s="595">
        <v>0</v>
      </c>
      <c r="M368" s="1057">
        <f t="shared" si="54"/>
        <v>139.25403056385875</v>
      </c>
      <c r="N368" s="1058">
        <f t="shared" si="54"/>
        <v>17.526800398554638</v>
      </c>
      <c r="O368" s="597">
        <v>36.013973421687616</v>
      </c>
      <c r="P368" s="595">
        <v>0</v>
      </c>
      <c r="Q368" s="571">
        <v>380.16350343933448</v>
      </c>
      <c r="R368" s="1075">
        <f t="shared" si="53"/>
        <v>380.16350343933448</v>
      </c>
      <c r="S368" s="1075">
        <f t="shared" si="55"/>
        <v>0</v>
      </c>
    </row>
    <row r="369" spans="1:19" ht="15.75" hidden="1" x14ac:dyDescent="0.25">
      <c r="A369" s="547" t="s">
        <v>632</v>
      </c>
      <c r="B369" s="1046"/>
      <c r="C369" s="802" t="s">
        <v>1058</v>
      </c>
      <c r="D369" s="625">
        <v>49.147069062796362</v>
      </c>
      <c r="E369" s="593">
        <v>171.66660664337763</v>
      </c>
      <c r="F369" s="594">
        <v>49.219097009639739</v>
      </c>
      <c r="G369" s="595">
        <v>14.873771023156985</v>
      </c>
      <c r="H369" s="566">
        <v>284.9065437389707</v>
      </c>
      <c r="I369" s="596">
        <v>109.24238604578576</v>
      </c>
      <c r="J369" s="595">
        <v>13.481230717518397</v>
      </c>
      <c r="K369" s="626">
        <v>0</v>
      </c>
      <c r="L369" s="595">
        <v>0</v>
      </c>
      <c r="M369" s="1057">
        <f t="shared" si="54"/>
        <v>109.24238604578576</v>
      </c>
      <c r="N369" s="1058">
        <f t="shared" si="54"/>
        <v>13.481230717518397</v>
      </c>
      <c r="O369" s="597">
        <v>25.173767421759642</v>
      </c>
      <c r="P369" s="595">
        <v>0</v>
      </c>
      <c r="Q369" s="571">
        <v>432.80392792403444</v>
      </c>
      <c r="R369" s="1075">
        <f t="shared" si="53"/>
        <v>432.80392792403444</v>
      </c>
      <c r="S369" s="1075">
        <f t="shared" si="55"/>
        <v>0</v>
      </c>
    </row>
    <row r="370" spans="1:19" ht="15.75" hidden="1" x14ac:dyDescent="0.25">
      <c r="A370" s="547" t="s">
        <v>633</v>
      </c>
      <c r="B370" s="1046"/>
      <c r="C370" s="802" t="s">
        <v>1058</v>
      </c>
      <c r="D370" s="625">
        <v>36.458145760555098</v>
      </c>
      <c r="E370" s="593">
        <v>181.27033288916098</v>
      </c>
      <c r="F370" s="594">
        <v>62.424220597591862</v>
      </c>
      <c r="G370" s="595">
        <v>15.401975966675069</v>
      </c>
      <c r="H370" s="566">
        <v>295.55467521398299</v>
      </c>
      <c r="I370" s="596">
        <v>241.29362192530698</v>
      </c>
      <c r="J370" s="595">
        <v>27.766773508121148</v>
      </c>
      <c r="K370" s="626">
        <v>0</v>
      </c>
      <c r="L370" s="595">
        <v>0</v>
      </c>
      <c r="M370" s="1057">
        <f t="shared" si="54"/>
        <v>241.29362192530698</v>
      </c>
      <c r="N370" s="1058">
        <f t="shared" si="54"/>
        <v>27.766773508121148</v>
      </c>
      <c r="O370" s="597">
        <v>36.013973421687616</v>
      </c>
      <c r="P370" s="595">
        <v>0</v>
      </c>
      <c r="Q370" s="571">
        <v>600.62904406909877</v>
      </c>
      <c r="R370" s="1075">
        <f t="shared" si="53"/>
        <v>600.62904406909877</v>
      </c>
      <c r="S370" s="1075">
        <f t="shared" si="55"/>
        <v>0</v>
      </c>
    </row>
    <row r="371" spans="1:19" ht="15.75" hidden="1" x14ac:dyDescent="0.25">
      <c r="A371" s="547" t="s">
        <v>634</v>
      </c>
      <c r="B371" s="1046"/>
      <c r="C371" s="802" t="s">
        <v>1058</v>
      </c>
      <c r="D371" s="625">
        <v>11.356406285638828</v>
      </c>
      <c r="E371" s="593">
        <v>169.26567508193179</v>
      </c>
      <c r="F371" s="594">
        <v>44.417233886748058</v>
      </c>
      <c r="G371" s="595">
        <v>12.364797541446082</v>
      </c>
      <c r="H371" s="566">
        <v>237.40411279576475</v>
      </c>
      <c r="I371" s="596">
        <v>154.86008571325675</v>
      </c>
      <c r="J371" s="595">
        <v>17.430763136096804</v>
      </c>
      <c r="K371" s="626">
        <v>0</v>
      </c>
      <c r="L371" s="595">
        <v>0</v>
      </c>
      <c r="M371" s="1057">
        <f t="shared" si="54"/>
        <v>154.86008571325675</v>
      </c>
      <c r="N371" s="1058">
        <f t="shared" si="54"/>
        <v>17.430763136096804</v>
      </c>
      <c r="O371" s="597">
        <v>19.207452491566727</v>
      </c>
      <c r="P371" s="595">
        <v>0</v>
      </c>
      <c r="Q371" s="571">
        <v>428.90241413668502</v>
      </c>
      <c r="R371" s="1075">
        <f t="shared" si="53"/>
        <v>428.90241413668502</v>
      </c>
      <c r="S371" s="1075">
        <f t="shared" si="55"/>
        <v>0</v>
      </c>
    </row>
    <row r="372" spans="1:19" ht="16.5" hidden="1" thickBot="1" x14ac:dyDescent="0.3">
      <c r="A372" s="547" t="s">
        <v>635</v>
      </c>
      <c r="B372" s="1046"/>
      <c r="C372" s="802" t="s">
        <v>1058</v>
      </c>
      <c r="D372" s="625">
        <v>14.837757049735297</v>
      </c>
      <c r="E372" s="593">
        <v>194.47545647711311</v>
      </c>
      <c r="F372" s="594">
        <v>45.61769966747098</v>
      </c>
      <c r="G372" s="595">
        <v>14.021440318843711</v>
      </c>
      <c r="H372" s="566">
        <v>268.95235351316313</v>
      </c>
      <c r="I372" s="596">
        <v>244.89501926747576</v>
      </c>
      <c r="J372" s="595">
        <v>26.986470750651254</v>
      </c>
      <c r="K372" s="626">
        <v>0</v>
      </c>
      <c r="L372" s="595">
        <v>0</v>
      </c>
      <c r="M372" s="1057">
        <f t="shared" si="54"/>
        <v>244.89501926747576</v>
      </c>
      <c r="N372" s="1058">
        <f t="shared" si="54"/>
        <v>26.986470750651254</v>
      </c>
      <c r="O372" s="597">
        <v>25.089734817109036</v>
      </c>
      <c r="P372" s="595">
        <v>0</v>
      </c>
      <c r="Q372" s="571">
        <v>565.92357834839925</v>
      </c>
      <c r="R372" s="1075">
        <f t="shared" si="53"/>
        <v>565.92357834839925</v>
      </c>
      <c r="S372" s="1075">
        <f t="shared" si="55"/>
        <v>0</v>
      </c>
    </row>
    <row r="373" spans="1:19" ht="16.5" hidden="1" thickBot="1" x14ac:dyDescent="0.3">
      <c r="A373" s="544" t="s">
        <v>939</v>
      </c>
      <c r="B373" s="1046" t="s">
        <v>429</v>
      </c>
      <c r="C373" s="812" t="s">
        <v>1062</v>
      </c>
      <c r="D373" s="549">
        <v>19.723652777277582</v>
      </c>
      <c r="E373" s="550">
        <v>203.35890325446272</v>
      </c>
      <c r="F373" s="551">
        <v>0</v>
      </c>
      <c r="G373" s="560">
        <v>15.606055149397966</v>
      </c>
      <c r="H373" s="566">
        <v>238.68861118113827</v>
      </c>
      <c r="I373" s="567">
        <v>0</v>
      </c>
      <c r="J373" s="560">
        <v>0</v>
      </c>
      <c r="K373" s="568">
        <v>265.30293753976542</v>
      </c>
      <c r="L373" s="560">
        <v>0</v>
      </c>
      <c r="M373" s="1057">
        <f t="shared" si="54"/>
        <v>265.30293753976542</v>
      </c>
      <c r="N373" s="1058">
        <f t="shared" si="54"/>
        <v>0</v>
      </c>
      <c r="O373" s="569">
        <v>0</v>
      </c>
      <c r="P373" s="560">
        <v>0</v>
      </c>
      <c r="Q373" s="571">
        <v>503.99154872090367</v>
      </c>
      <c r="R373" s="1075">
        <f t="shared" si="53"/>
        <v>503.99154872090367</v>
      </c>
      <c r="S373" s="1075">
        <f t="shared" si="55"/>
        <v>0</v>
      </c>
    </row>
    <row r="374" spans="1:19" ht="15.75" hidden="1" x14ac:dyDescent="0.25">
      <c r="A374" s="546" t="s">
        <v>102</v>
      </c>
      <c r="B374" s="1046" t="s">
        <v>429</v>
      </c>
      <c r="C374" s="802" t="s">
        <v>1066</v>
      </c>
      <c r="D374" s="549">
        <v>6.5670679389832856</v>
      </c>
      <c r="E374" s="550">
        <v>66.597794863571664</v>
      </c>
      <c r="F374" s="551">
        <v>0</v>
      </c>
      <c r="G374" s="560">
        <v>19.75451295668984</v>
      </c>
      <c r="H374" s="566">
        <v>92.919375759244787</v>
      </c>
      <c r="I374" s="567">
        <v>1.7653823812443303</v>
      </c>
      <c r="J374" s="560">
        <v>0.47665324293596917</v>
      </c>
      <c r="K374" s="568">
        <v>114.21290040234106</v>
      </c>
      <c r="L374" s="560">
        <v>30.837483108632089</v>
      </c>
      <c r="M374" s="1057">
        <f t="shared" si="54"/>
        <v>115.9782827835854</v>
      </c>
      <c r="N374" s="1058">
        <f t="shared" si="54"/>
        <v>31.31413635156806</v>
      </c>
      <c r="O374" s="569">
        <v>0</v>
      </c>
      <c r="P374" s="560">
        <v>0</v>
      </c>
      <c r="Q374" s="571">
        <v>240.21179489439825</v>
      </c>
      <c r="R374" s="1075">
        <f t="shared" si="53"/>
        <v>240.21179489439825</v>
      </c>
      <c r="S374" s="1075">
        <f t="shared" si="55"/>
        <v>0</v>
      </c>
    </row>
    <row r="375" spans="1:19" ht="15.75" hidden="1" x14ac:dyDescent="0.25">
      <c r="A375" s="547" t="s">
        <v>103</v>
      </c>
      <c r="B375" s="1046"/>
      <c r="C375" s="802" t="s">
        <v>1066</v>
      </c>
      <c r="D375" s="549">
        <v>4.7553297840520141</v>
      </c>
      <c r="E375" s="550">
        <v>94.604408132765101</v>
      </c>
      <c r="F375" s="551">
        <v>0</v>
      </c>
      <c r="G375" s="560">
        <v>26.827129237540621</v>
      </c>
      <c r="H375" s="566">
        <v>126.18686715435773</v>
      </c>
      <c r="I375" s="567">
        <v>1.6494929470269781</v>
      </c>
      <c r="J375" s="560">
        <v>0.44536309569728411</v>
      </c>
      <c r="K375" s="568">
        <v>75.212242807061514</v>
      </c>
      <c r="L375" s="560">
        <v>20.307305557906606</v>
      </c>
      <c r="M375" s="1057">
        <f t="shared" si="54"/>
        <v>76.8617357540885</v>
      </c>
      <c r="N375" s="1058">
        <f t="shared" si="54"/>
        <v>20.752668653603891</v>
      </c>
      <c r="O375" s="569">
        <v>4.7553297840520141</v>
      </c>
      <c r="P375" s="560">
        <v>1.2839390416940439</v>
      </c>
      <c r="Q375" s="571">
        <v>229.84054038779615</v>
      </c>
      <c r="R375" s="1075">
        <f t="shared" si="53"/>
        <v>229.84054038779621</v>
      </c>
      <c r="S375" s="1075">
        <f t="shared" si="55"/>
        <v>0</v>
      </c>
    </row>
    <row r="376" spans="1:19" ht="15.75" hidden="1" x14ac:dyDescent="0.25">
      <c r="A376" s="547" t="s">
        <v>104</v>
      </c>
      <c r="B376" s="1046"/>
      <c r="C376" s="802" t="s">
        <v>1066</v>
      </c>
      <c r="D376" s="549">
        <v>0</v>
      </c>
      <c r="E376" s="550">
        <v>96.234586174089173</v>
      </c>
      <c r="F376" s="551">
        <v>0</v>
      </c>
      <c r="G376" s="560">
        <v>25.983338267004079</v>
      </c>
      <c r="H376" s="566">
        <v>122.21792444109326</v>
      </c>
      <c r="I376" s="567">
        <v>0</v>
      </c>
      <c r="J376" s="560">
        <v>0</v>
      </c>
      <c r="K376" s="568">
        <v>74.018581634622777</v>
      </c>
      <c r="L376" s="560">
        <v>19.985017041348154</v>
      </c>
      <c r="M376" s="1057">
        <f t="shared" si="54"/>
        <v>74.018581634622777</v>
      </c>
      <c r="N376" s="1058">
        <f t="shared" si="54"/>
        <v>19.985017041348154</v>
      </c>
      <c r="O376" s="569">
        <v>0</v>
      </c>
      <c r="P376" s="560">
        <v>0</v>
      </c>
      <c r="Q376" s="571">
        <v>216.22152311706418</v>
      </c>
      <c r="R376" s="1075">
        <f t="shared" si="53"/>
        <v>216.22152311706418</v>
      </c>
      <c r="S376" s="1075">
        <f t="shared" si="55"/>
        <v>0</v>
      </c>
    </row>
    <row r="377" spans="1:19" ht="15.75" hidden="1" x14ac:dyDescent="0.25">
      <c r="A377" s="543" t="s">
        <v>105</v>
      </c>
      <c r="B377" s="1046"/>
      <c r="C377" s="802" t="s">
        <v>1066</v>
      </c>
      <c r="D377" s="549">
        <v>0</v>
      </c>
      <c r="E377" s="550">
        <v>131.34135877966571</v>
      </c>
      <c r="F377" s="551">
        <v>0</v>
      </c>
      <c r="G377" s="560">
        <v>35.462166870509741</v>
      </c>
      <c r="H377" s="566">
        <v>166.80352565017546</v>
      </c>
      <c r="I377" s="567">
        <v>1.5451924562313613</v>
      </c>
      <c r="J377" s="560">
        <v>0.41720196318246755</v>
      </c>
      <c r="K377" s="568">
        <v>95.801932286344396</v>
      </c>
      <c r="L377" s="560">
        <v>25.866521717312988</v>
      </c>
      <c r="M377" s="1057">
        <f t="shared" si="54"/>
        <v>97.347124742575758</v>
      </c>
      <c r="N377" s="1058">
        <f t="shared" si="54"/>
        <v>26.283723680495456</v>
      </c>
      <c r="O377" s="569">
        <v>0</v>
      </c>
      <c r="P377" s="560">
        <v>0</v>
      </c>
      <c r="Q377" s="571">
        <v>290.43437407324666</v>
      </c>
      <c r="R377" s="1075">
        <f t="shared" si="53"/>
        <v>290.43437407324666</v>
      </c>
      <c r="S377" s="1075">
        <f t="shared" si="55"/>
        <v>0</v>
      </c>
    </row>
    <row r="378" spans="1:19" ht="16.5" hidden="1" thickBot="1" x14ac:dyDescent="0.3">
      <c r="A378" s="548" t="s">
        <v>613</v>
      </c>
      <c r="B378" s="1046"/>
      <c r="C378" s="802" t="s">
        <v>1066</v>
      </c>
      <c r="D378" s="549">
        <v>0</v>
      </c>
      <c r="E378" s="550">
        <v>84.13572924179762</v>
      </c>
      <c r="F378" s="551">
        <v>0</v>
      </c>
      <c r="G378" s="560">
        <v>22.71432910660101</v>
      </c>
      <c r="H378" s="566">
        <v>106.85005834839863</v>
      </c>
      <c r="I378" s="567">
        <v>2.4336781185643939</v>
      </c>
      <c r="J378" s="560">
        <v>0.65709309201238641</v>
      </c>
      <c r="K378" s="568">
        <v>51.107240489852273</v>
      </c>
      <c r="L378" s="560">
        <v>13.798568634146056</v>
      </c>
      <c r="M378" s="1057">
        <f t="shared" si="54"/>
        <v>53.540918608416668</v>
      </c>
      <c r="N378" s="1058">
        <f t="shared" si="54"/>
        <v>14.455661726158443</v>
      </c>
      <c r="O378" s="569">
        <v>0</v>
      </c>
      <c r="P378" s="560">
        <v>0</v>
      </c>
      <c r="Q378" s="571">
        <v>174.84663868297375</v>
      </c>
      <c r="R378" s="1075">
        <f t="shared" si="53"/>
        <v>174.84663868297375</v>
      </c>
      <c r="S378" s="1075">
        <f t="shared" si="55"/>
        <v>0</v>
      </c>
    </row>
    <row r="379" spans="1:19" ht="15.75" hidden="1" x14ac:dyDescent="0.25">
      <c r="A379" s="546" t="s">
        <v>107</v>
      </c>
      <c r="B379" s="1046"/>
      <c r="C379" s="802" t="s">
        <v>1074</v>
      </c>
      <c r="D379" s="549">
        <v>30.419802883518805</v>
      </c>
      <c r="E379" s="550">
        <v>50.203478949832537</v>
      </c>
      <c r="F379" s="551">
        <v>0.48018631228916819</v>
      </c>
      <c r="G379" s="560">
        <v>8.1151486776869426</v>
      </c>
      <c r="H379" s="566">
        <v>89.218616823327451</v>
      </c>
      <c r="I379" s="567">
        <v>26.326214571253644</v>
      </c>
      <c r="J379" s="560">
        <v>2.6290200597831959</v>
      </c>
      <c r="K379" s="568">
        <v>70.935522982917377</v>
      </c>
      <c r="L379" s="560">
        <v>7.0947527640724601</v>
      </c>
      <c r="M379" s="1057">
        <f t="shared" si="54"/>
        <v>97.26173755417102</v>
      </c>
      <c r="N379" s="1058">
        <f t="shared" si="54"/>
        <v>9.723772823855656</v>
      </c>
      <c r="O379" s="569">
        <v>0.96037262457833639</v>
      </c>
      <c r="P379" s="560">
        <v>9.6037262457833644E-2</v>
      </c>
      <c r="Q379" s="571">
        <v>197.26053708839029</v>
      </c>
      <c r="R379" s="1075">
        <f t="shared" si="53"/>
        <v>197.26053708839029</v>
      </c>
      <c r="S379" s="1075">
        <f t="shared" si="55"/>
        <v>0</v>
      </c>
    </row>
    <row r="380" spans="1:19" ht="15.75" hidden="1" x14ac:dyDescent="0.25">
      <c r="A380" s="547" t="s">
        <v>108</v>
      </c>
      <c r="B380" s="1046"/>
      <c r="C380" s="802" t="s">
        <v>1074</v>
      </c>
      <c r="D380" s="549">
        <v>0.36013973421687612</v>
      </c>
      <c r="E380" s="550">
        <v>17.022604770651011</v>
      </c>
      <c r="F380" s="551">
        <v>0.48018631228916819</v>
      </c>
      <c r="G380" s="560">
        <v>1.7886940132771514</v>
      </c>
      <c r="H380" s="566">
        <v>19.651624830434205</v>
      </c>
      <c r="I380" s="567">
        <v>16.72248832547028</v>
      </c>
      <c r="J380" s="560">
        <v>1.6686474352048593</v>
      </c>
      <c r="K380" s="568">
        <v>42.88063768742272</v>
      </c>
      <c r="L380" s="560">
        <v>4.2856628371808254</v>
      </c>
      <c r="M380" s="1057">
        <f t="shared" si="54"/>
        <v>59.603126012893</v>
      </c>
      <c r="N380" s="1058">
        <f t="shared" si="54"/>
        <v>5.9543102723856851</v>
      </c>
      <c r="O380" s="569">
        <v>0.96037262457833639</v>
      </c>
      <c r="P380" s="560">
        <v>9.6037262457833644E-2</v>
      </c>
      <c r="Q380" s="571">
        <v>86.265471002749052</v>
      </c>
      <c r="R380" s="1075">
        <f t="shared" si="53"/>
        <v>86.265471002749052</v>
      </c>
      <c r="S380" s="1075">
        <f t="shared" si="55"/>
        <v>0</v>
      </c>
    </row>
    <row r="381" spans="1:19" ht="15.75" hidden="1" x14ac:dyDescent="0.25">
      <c r="A381" s="547" t="s">
        <v>109</v>
      </c>
      <c r="B381" s="1046"/>
      <c r="C381" s="802" t="s">
        <v>1074</v>
      </c>
      <c r="D381" s="549">
        <v>13.013049063036458</v>
      </c>
      <c r="E381" s="550">
        <v>73.900673461302986</v>
      </c>
      <c r="F381" s="551">
        <v>0.48018631228916819</v>
      </c>
      <c r="G381" s="560">
        <v>8.7393908836628604</v>
      </c>
      <c r="H381" s="566">
        <v>96.133299720291475</v>
      </c>
      <c r="I381" s="567">
        <v>13.949412372000335</v>
      </c>
      <c r="J381" s="560">
        <v>1.3925403056385877</v>
      </c>
      <c r="K381" s="568">
        <v>37.262457833639452</v>
      </c>
      <c r="L381" s="560">
        <v>3.7214439202410534</v>
      </c>
      <c r="M381" s="1057">
        <f t="shared" si="54"/>
        <v>51.211870205639784</v>
      </c>
      <c r="N381" s="1058">
        <f t="shared" si="54"/>
        <v>5.1139842258796406</v>
      </c>
      <c r="O381" s="569">
        <v>0.96037262457833639</v>
      </c>
      <c r="P381" s="560">
        <v>9.6037262457833644E-2</v>
      </c>
      <c r="Q381" s="571">
        <v>153.51556403884706</v>
      </c>
      <c r="R381" s="1075">
        <f t="shared" si="53"/>
        <v>153.51556403884706</v>
      </c>
      <c r="S381" s="1075">
        <f t="shared" si="55"/>
        <v>0</v>
      </c>
    </row>
    <row r="382" spans="1:19" ht="15.75" hidden="1" x14ac:dyDescent="0.25">
      <c r="A382" s="547" t="s">
        <v>110</v>
      </c>
      <c r="B382" s="1046" t="s">
        <v>429</v>
      </c>
      <c r="C382" s="802" t="s">
        <v>1074</v>
      </c>
      <c r="D382" s="549">
        <v>22.028547076265593</v>
      </c>
      <c r="E382" s="550">
        <v>30.97201714265135</v>
      </c>
      <c r="F382" s="551">
        <v>0.48018631228916819</v>
      </c>
      <c r="G382" s="560">
        <v>5.3420727242169965</v>
      </c>
      <c r="H382" s="566">
        <v>58.82282325542311</v>
      </c>
      <c r="I382" s="567">
        <v>30.599872750627242</v>
      </c>
      <c r="J382" s="560">
        <v>3.0611877408434469</v>
      </c>
      <c r="K382" s="568">
        <v>88.714421195423824</v>
      </c>
      <c r="L382" s="560">
        <v>8.8714421195423814</v>
      </c>
      <c r="M382" s="1057">
        <f t="shared" si="54"/>
        <v>119.31429394605107</v>
      </c>
      <c r="N382" s="1058">
        <f t="shared" si="54"/>
        <v>11.932629860385829</v>
      </c>
      <c r="O382" s="569">
        <v>0.96037262457833639</v>
      </c>
      <c r="P382" s="560">
        <v>9.6037262457833644E-2</v>
      </c>
      <c r="Q382" s="571">
        <v>191.12615694889618</v>
      </c>
      <c r="R382" s="1075">
        <f t="shared" si="53"/>
        <v>191.12615694889615</v>
      </c>
      <c r="S382" s="1075">
        <f t="shared" si="55"/>
        <v>0</v>
      </c>
    </row>
    <row r="383" spans="1:19" ht="16.5" hidden="1" thickBot="1" x14ac:dyDescent="0.3">
      <c r="A383" s="613" t="s">
        <v>111</v>
      </c>
      <c r="B383" s="1046"/>
      <c r="C383" s="807" t="s">
        <v>1074</v>
      </c>
      <c r="D383" s="549">
        <v>10.372024345446034</v>
      </c>
      <c r="E383" s="550">
        <v>54.249048630868771</v>
      </c>
      <c r="F383" s="551">
        <v>0.48018631228916819</v>
      </c>
      <c r="G383" s="560">
        <v>6.5065245315182292</v>
      </c>
      <c r="H383" s="566">
        <v>71.607783820122194</v>
      </c>
      <c r="I383" s="567">
        <v>32.964790338651397</v>
      </c>
      <c r="J383" s="560">
        <v>3.3012808969880312</v>
      </c>
      <c r="K383" s="568">
        <v>87.898104464532238</v>
      </c>
      <c r="L383" s="560">
        <v>8.7874095148917775</v>
      </c>
      <c r="M383" s="1057">
        <f t="shared" si="54"/>
        <v>120.86289480318364</v>
      </c>
      <c r="N383" s="1058">
        <f t="shared" si="54"/>
        <v>12.088690411879808</v>
      </c>
      <c r="O383" s="569">
        <v>0.96037262457833639</v>
      </c>
      <c r="P383" s="560">
        <v>9.6037262457833644E-2</v>
      </c>
      <c r="Q383" s="571">
        <v>205.61577892222181</v>
      </c>
      <c r="R383" s="1075">
        <f t="shared" si="53"/>
        <v>205.61577892222181</v>
      </c>
      <c r="S383" s="1075">
        <f t="shared" si="55"/>
        <v>0</v>
      </c>
    </row>
    <row r="384" spans="1:19" ht="15.75" hidden="1" x14ac:dyDescent="0.25">
      <c r="A384" s="546" t="s">
        <v>112</v>
      </c>
      <c r="B384" s="1046"/>
      <c r="C384" s="802" t="s">
        <v>1076</v>
      </c>
      <c r="D384" s="549">
        <v>66.571407420741423</v>
      </c>
      <c r="E384" s="550">
        <v>2.1302850374637252</v>
      </c>
      <c r="F384" s="551">
        <v>0</v>
      </c>
      <c r="G384" s="560">
        <v>5.414474470220302</v>
      </c>
      <c r="H384" s="566">
        <v>74.116166928425443</v>
      </c>
      <c r="I384" s="567">
        <v>59.647981048984306</v>
      </c>
      <c r="J384" s="560">
        <v>4.7043794577323936</v>
      </c>
      <c r="K384" s="568">
        <v>0</v>
      </c>
      <c r="L384" s="560">
        <v>0</v>
      </c>
      <c r="M384" s="1057">
        <f t="shared" si="54"/>
        <v>59.647981048984306</v>
      </c>
      <c r="N384" s="1058">
        <f t="shared" si="54"/>
        <v>4.7043794577323936</v>
      </c>
      <c r="O384" s="569">
        <v>0</v>
      </c>
      <c r="P384" s="560">
        <v>0</v>
      </c>
      <c r="Q384" s="571">
        <v>138.46852743514214</v>
      </c>
      <c r="R384" s="1075">
        <f t="shared" si="53"/>
        <v>138.46852743514214</v>
      </c>
      <c r="S384" s="1075">
        <f t="shared" si="55"/>
        <v>0</v>
      </c>
    </row>
    <row r="385" spans="1:19" ht="15.75" hidden="1" x14ac:dyDescent="0.25">
      <c r="A385" s="547" t="s">
        <v>113</v>
      </c>
      <c r="B385" s="1046"/>
      <c r="C385" s="802" t="s">
        <v>1076</v>
      </c>
      <c r="D385" s="549">
        <v>90.537114092208327</v>
      </c>
      <c r="E385" s="550">
        <v>8.8761876560988551</v>
      </c>
      <c r="F385" s="551">
        <v>0</v>
      </c>
      <c r="G385" s="560">
        <v>7.926435576896278</v>
      </c>
      <c r="H385" s="566">
        <v>107.33973732520346</v>
      </c>
      <c r="I385" s="567">
        <v>58.582838530252445</v>
      </c>
      <c r="J385" s="560">
        <v>4.6777508947640971</v>
      </c>
      <c r="K385" s="568">
        <v>0</v>
      </c>
      <c r="L385" s="560">
        <v>0</v>
      </c>
      <c r="M385" s="1057">
        <f t="shared" si="54"/>
        <v>58.582838530252445</v>
      </c>
      <c r="N385" s="1058">
        <f t="shared" si="54"/>
        <v>4.6777508947640971</v>
      </c>
      <c r="O385" s="569">
        <v>0</v>
      </c>
      <c r="P385" s="560">
        <v>0</v>
      </c>
      <c r="Q385" s="571">
        <v>170.60032675022001</v>
      </c>
      <c r="R385" s="1075">
        <f t="shared" si="53"/>
        <v>170.60032675022001</v>
      </c>
      <c r="S385" s="1075">
        <f t="shared" si="55"/>
        <v>0</v>
      </c>
    </row>
    <row r="386" spans="1:19" ht="15.75" hidden="1" x14ac:dyDescent="0.25">
      <c r="A386" s="547" t="s">
        <v>114</v>
      </c>
      <c r="B386" s="1046"/>
      <c r="C386" s="802" t="s">
        <v>1076</v>
      </c>
      <c r="D386" s="549">
        <v>86.27654401728087</v>
      </c>
      <c r="E386" s="550">
        <v>4.4380938280494275</v>
      </c>
      <c r="F386" s="551">
        <v>0</v>
      </c>
      <c r="G386" s="560">
        <v>7.2340929397205675</v>
      </c>
      <c r="H386" s="566">
        <v>97.94873078505087</v>
      </c>
      <c r="I386" s="567">
        <v>75.270071323718298</v>
      </c>
      <c r="J386" s="560">
        <v>6.0091790431789249</v>
      </c>
      <c r="K386" s="568">
        <v>0</v>
      </c>
      <c r="L386" s="560">
        <v>0</v>
      </c>
      <c r="M386" s="1057">
        <f t="shared" si="54"/>
        <v>75.270071323718298</v>
      </c>
      <c r="N386" s="1058">
        <f t="shared" si="54"/>
        <v>6.0091790431789249</v>
      </c>
      <c r="O386" s="569">
        <v>0</v>
      </c>
      <c r="P386" s="560">
        <v>0</v>
      </c>
      <c r="Q386" s="571">
        <v>179.22798115194811</v>
      </c>
      <c r="R386" s="1075">
        <f t="shared" si="53"/>
        <v>179.22798115194811</v>
      </c>
      <c r="S386" s="1075">
        <f t="shared" si="55"/>
        <v>0</v>
      </c>
    </row>
    <row r="387" spans="1:19" ht="15.75" hidden="1" x14ac:dyDescent="0.25">
      <c r="A387" s="547" t="s">
        <v>115</v>
      </c>
      <c r="B387" s="1046"/>
      <c r="C387" s="802" t="s">
        <v>1076</v>
      </c>
      <c r="D387" s="549">
        <v>90.537114092208327</v>
      </c>
      <c r="E387" s="550">
        <v>14.485938254753332</v>
      </c>
      <c r="F387" s="551">
        <v>0</v>
      </c>
      <c r="G387" s="560">
        <v>8.3436163967329247</v>
      </c>
      <c r="H387" s="566">
        <v>113.36666874369459</v>
      </c>
      <c r="I387" s="567">
        <v>92.028313618432932</v>
      </c>
      <c r="J387" s="560">
        <v>7.3139786286254571</v>
      </c>
      <c r="K387" s="568">
        <v>0</v>
      </c>
      <c r="L387" s="560">
        <v>0</v>
      </c>
      <c r="M387" s="1057">
        <f t="shared" si="54"/>
        <v>92.028313618432932</v>
      </c>
      <c r="N387" s="1058">
        <f t="shared" si="54"/>
        <v>7.3139786286254571</v>
      </c>
      <c r="O387" s="569">
        <v>0</v>
      </c>
      <c r="P387" s="560">
        <v>0</v>
      </c>
      <c r="Q387" s="571">
        <v>212.70896099075296</v>
      </c>
      <c r="R387" s="1075">
        <f t="shared" ref="R387:R450" si="56">H387+M387+N387+O387+P387</f>
        <v>212.70896099075296</v>
      </c>
      <c r="S387" s="1075">
        <f t="shared" si="55"/>
        <v>0</v>
      </c>
    </row>
    <row r="388" spans="1:19" ht="15.75" hidden="1" x14ac:dyDescent="0.25">
      <c r="A388" s="547" t="s">
        <v>116</v>
      </c>
      <c r="B388" s="1046"/>
      <c r="C388" s="802" t="s">
        <v>1076</v>
      </c>
      <c r="D388" s="549">
        <v>140.59881247260589</v>
      </c>
      <c r="E388" s="550">
        <v>0</v>
      </c>
      <c r="F388" s="551">
        <v>0</v>
      </c>
      <c r="G388" s="560">
        <v>11.201748821996755</v>
      </c>
      <c r="H388" s="566">
        <v>151.80056129460263</v>
      </c>
      <c r="I388" s="567">
        <v>63.908551123911757</v>
      </c>
      <c r="J388" s="560">
        <v>5.0949317146007429</v>
      </c>
      <c r="K388" s="568">
        <v>0</v>
      </c>
      <c r="L388" s="560">
        <v>0</v>
      </c>
      <c r="M388" s="1057">
        <f t="shared" si="54"/>
        <v>63.908551123911757</v>
      </c>
      <c r="N388" s="1058">
        <f t="shared" si="54"/>
        <v>5.0949317146007429</v>
      </c>
      <c r="O388" s="569">
        <v>0</v>
      </c>
      <c r="P388" s="560">
        <v>0</v>
      </c>
      <c r="Q388" s="571">
        <v>220.80404413311513</v>
      </c>
      <c r="R388" s="1075">
        <f t="shared" si="56"/>
        <v>220.80404413311513</v>
      </c>
      <c r="S388" s="1075">
        <f t="shared" si="55"/>
        <v>0</v>
      </c>
    </row>
    <row r="389" spans="1:19" ht="15.75" hidden="1" x14ac:dyDescent="0.25">
      <c r="A389" s="547" t="s">
        <v>117</v>
      </c>
      <c r="B389" s="1046"/>
      <c r="C389" s="802" t="s">
        <v>1076</v>
      </c>
      <c r="D389" s="549">
        <v>133.14281484148285</v>
      </c>
      <c r="E389" s="550">
        <v>70.725463243795687</v>
      </c>
      <c r="F389" s="551">
        <v>0</v>
      </c>
      <c r="G389" s="560">
        <v>16.2789281612853</v>
      </c>
      <c r="H389" s="566">
        <v>220.14720624656383</v>
      </c>
      <c r="I389" s="567">
        <v>74.879519066849952</v>
      </c>
      <c r="J389" s="560">
        <v>5.9825504802106284</v>
      </c>
      <c r="K389" s="568">
        <v>0</v>
      </c>
      <c r="L389" s="560">
        <v>0</v>
      </c>
      <c r="M389" s="1057">
        <f t="shared" si="54"/>
        <v>74.879519066849952</v>
      </c>
      <c r="N389" s="1058">
        <f t="shared" si="54"/>
        <v>5.9825504802106284</v>
      </c>
      <c r="O389" s="569">
        <v>0</v>
      </c>
      <c r="P389" s="560">
        <v>0</v>
      </c>
      <c r="Q389" s="571">
        <v>301.0092757936244</v>
      </c>
      <c r="R389" s="1075">
        <f t="shared" si="56"/>
        <v>301.0092757936244</v>
      </c>
      <c r="S389" s="1075">
        <f t="shared" si="55"/>
        <v>0</v>
      </c>
    </row>
    <row r="390" spans="1:19" ht="15.75" hidden="1" x14ac:dyDescent="0.25">
      <c r="A390" s="547" t="s">
        <v>118</v>
      </c>
      <c r="B390" s="1046" t="s">
        <v>429</v>
      </c>
      <c r="C390" s="802" t="s">
        <v>1076</v>
      </c>
      <c r="D390" s="549">
        <v>124.62167469162793</v>
      </c>
      <c r="E390" s="550">
        <v>7.8110451373669925</v>
      </c>
      <c r="F390" s="551">
        <v>0</v>
      </c>
      <c r="G390" s="560">
        <v>10.482777621852748</v>
      </c>
      <c r="H390" s="566">
        <v>142.91549745084768</v>
      </c>
      <c r="I390" s="567">
        <v>63.553503617667808</v>
      </c>
      <c r="J390" s="560">
        <v>5.0327984010080513</v>
      </c>
      <c r="K390" s="568">
        <v>0</v>
      </c>
      <c r="L390" s="560">
        <v>0</v>
      </c>
      <c r="M390" s="1057">
        <f t="shared" si="54"/>
        <v>63.553503617667808</v>
      </c>
      <c r="N390" s="1058">
        <f t="shared" si="54"/>
        <v>5.0327984010080513</v>
      </c>
      <c r="O390" s="569">
        <v>0</v>
      </c>
      <c r="P390" s="560">
        <v>0</v>
      </c>
      <c r="Q390" s="571">
        <v>211.50179946952355</v>
      </c>
      <c r="R390" s="1075">
        <f t="shared" si="56"/>
        <v>211.50179946952355</v>
      </c>
      <c r="S390" s="1075">
        <f t="shared" si="55"/>
        <v>0</v>
      </c>
    </row>
    <row r="391" spans="1:19" ht="16.5" hidden="1" thickBot="1" x14ac:dyDescent="0.3">
      <c r="A391" s="613" t="s">
        <v>119</v>
      </c>
      <c r="B391" s="1046"/>
      <c r="C391" s="802" t="s">
        <v>1076</v>
      </c>
      <c r="D391" s="549">
        <v>84.146258979817148</v>
      </c>
      <c r="E391" s="550">
        <v>1.5267042768490031</v>
      </c>
      <c r="F391" s="551">
        <v>0</v>
      </c>
      <c r="G391" s="560">
        <v>6.8169121198839209</v>
      </c>
      <c r="H391" s="566">
        <v>92.489875376550074</v>
      </c>
      <c r="I391" s="567">
        <v>67.814073692595258</v>
      </c>
      <c r="J391" s="560">
        <v>5.3967220949081041</v>
      </c>
      <c r="K391" s="568">
        <v>0</v>
      </c>
      <c r="L391" s="560">
        <v>0</v>
      </c>
      <c r="M391" s="1057">
        <f t="shared" si="54"/>
        <v>67.814073692595258</v>
      </c>
      <c r="N391" s="1058">
        <f t="shared" si="54"/>
        <v>5.3967220949081041</v>
      </c>
      <c r="O391" s="569">
        <v>0</v>
      </c>
      <c r="P391" s="560">
        <v>0</v>
      </c>
      <c r="Q391" s="571">
        <v>165.70067116405346</v>
      </c>
      <c r="R391" s="1075">
        <f t="shared" si="56"/>
        <v>165.70067116405346</v>
      </c>
      <c r="S391" s="1075">
        <f t="shared" si="55"/>
        <v>0</v>
      </c>
    </row>
    <row r="392" spans="1:19" ht="16.5" hidden="1" thickBot="1" x14ac:dyDescent="0.3">
      <c r="A392" s="696" t="s">
        <v>587</v>
      </c>
      <c r="B392" s="760"/>
      <c r="C392" s="812" t="s">
        <v>1084</v>
      </c>
      <c r="D392" s="549">
        <v>0</v>
      </c>
      <c r="E392" s="550">
        <v>84.287296553798782</v>
      </c>
      <c r="F392" s="551">
        <v>0</v>
      </c>
      <c r="G392" s="560">
        <v>0</v>
      </c>
      <c r="H392" s="566">
        <v>84.287296553798782</v>
      </c>
      <c r="I392" s="567">
        <v>0</v>
      </c>
      <c r="J392" s="560">
        <v>0</v>
      </c>
      <c r="K392" s="568">
        <v>0</v>
      </c>
      <c r="L392" s="560">
        <v>0</v>
      </c>
      <c r="M392" s="1057">
        <f t="shared" si="54"/>
        <v>0</v>
      </c>
      <c r="N392" s="1058">
        <f t="shared" si="54"/>
        <v>0</v>
      </c>
      <c r="O392" s="569">
        <v>0</v>
      </c>
      <c r="P392" s="560">
        <v>0</v>
      </c>
      <c r="Q392" s="571">
        <v>84.287296553798782</v>
      </c>
      <c r="R392" s="1075">
        <f t="shared" si="56"/>
        <v>84.287296553798782</v>
      </c>
      <c r="S392" s="1075">
        <f t="shared" si="55"/>
        <v>0</v>
      </c>
    </row>
    <row r="393" spans="1:19" ht="16.5" hidden="1" thickBot="1" x14ac:dyDescent="0.3">
      <c r="A393" s="645" t="s">
        <v>775</v>
      </c>
      <c r="B393" s="751"/>
      <c r="C393" s="818" t="s">
        <v>1088</v>
      </c>
      <c r="D393" s="549">
        <v>70.827481062652311</v>
      </c>
      <c r="E393" s="550">
        <v>172.13478829785956</v>
      </c>
      <c r="F393" s="551">
        <v>0</v>
      </c>
      <c r="G393" s="560">
        <v>0</v>
      </c>
      <c r="H393" s="566">
        <v>242.96226936051187</v>
      </c>
      <c r="I393" s="567">
        <v>0</v>
      </c>
      <c r="J393" s="560">
        <v>0</v>
      </c>
      <c r="K393" s="568">
        <v>0</v>
      </c>
      <c r="L393" s="560">
        <v>0</v>
      </c>
      <c r="M393" s="1057">
        <f t="shared" si="54"/>
        <v>0</v>
      </c>
      <c r="N393" s="1058">
        <f t="shared" si="54"/>
        <v>0</v>
      </c>
      <c r="O393" s="569">
        <v>0</v>
      </c>
      <c r="P393" s="560">
        <v>0</v>
      </c>
      <c r="Q393" s="571">
        <v>242.96226936051187</v>
      </c>
      <c r="R393" s="1075">
        <f t="shared" si="56"/>
        <v>242.96226936051187</v>
      </c>
      <c r="S393" s="1075">
        <f t="shared" si="55"/>
        <v>0</v>
      </c>
    </row>
    <row r="394" spans="1:19" ht="15.75" hidden="1" x14ac:dyDescent="0.25">
      <c r="A394" s="659" t="s">
        <v>620</v>
      </c>
      <c r="B394" s="752"/>
      <c r="C394" s="816" t="s">
        <v>1092</v>
      </c>
      <c r="D394" s="549">
        <v>70.664551813892956</v>
      </c>
      <c r="E394" s="550">
        <v>0</v>
      </c>
      <c r="F394" s="551">
        <v>0</v>
      </c>
      <c r="G394" s="560">
        <v>0</v>
      </c>
      <c r="H394" s="566">
        <v>70.664551813892956</v>
      </c>
      <c r="I394" s="567">
        <v>0</v>
      </c>
      <c r="J394" s="560">
        <v>0</v>
      </c>
      <c r="K394" s="568">
        <v>23.385391247763135</v>
      </c>
      <c r="L394" s="560">
        <v>0</v>
      </c>
      <c r="M394" s="1057">
        <f t="shared" si="54"/>
        <v>23.385391247763135</v>
      </c>
      <c r="N394" s="1058">
        <f t="shared" si="54"/>
        <v>0</v>
      </c>
      <c r="O394" s="569">
        <v>0</v>
      </c>
      <c r="P394" s="560">
        <v>0</v>
      </c>
      <c r="Q394" s="571">
        <v>94.049943061656094</v>
      </c>
      <c r="R394" s="1075">
        <f t="shared" si="56"/>
        <v>94.049943061656094</v>
      </c>
      <c r="S394" s="1075">
        <f t="shared" si="55"/>
        <v>0</v>
      </c>
    </row>
    <row r="395" spans="1:19" ht="15.75" hidden="1" x14ac:dyDescent="0.25">
      <c r="A395" s="657" t="s">
        <v>889</v>
      </c>
      <c r="B395" s="747" t="s">
        <v>429</v>
      </c>
      <c r="C395" s="815" t="s">
        <v>1092</v>
      </c>
      <c r="D395" s="549">
        <v>105.74263868553766</v>
      </c>
      <c r="E395" s="550">
        <v>0</v>
      </c>
      <c r="F395" s="551">
        <v>0</v>
      </c>
      <c r="G395" s="560">
        <v>0</v>
      </c>
      <c r="H395" s="566">
        <v>105.74263868553766</v>
      </c>
      <c r="I395" s="567">
        <v>0</v>
      </c>
      <c r="J395" s="560">
        <v>0</v>
      </c>
      <c r="K395" s="568">
        <v>0</v>
      </c>
      <c r="L395" s="560">
        <v>0</v>
      </c>
      <c r="M395" s="1057">
        <f t="shared" si="54"/>
        <v>0</v>
      </c>
      <c r="N395" s="1058">
        <f t="shared" si="54"/>
        <v>0</v>
      </c>
      <c r="O395" s="569">
        <v>0</v>
      </c>
      <c r="P395" s="560">
        <v>0</v>
      </c>
      <c r="Q395" s="571">
        <v>105.74263868553766</v>
      </c>
      <c r="R395" s="1075">
        <f t="shared" si="56"/>
        <v>105.74263868553766</v>
      </c>
      <c r="S395" s="1075">
        <f t="shared" si="55"/>
        <v>0</v>
      </c>
    </row>
    <row r="396" spans="1:19" ht="15.75" hidden="1" x14ac:dyDescent="0.25">
      <c r="A396" s="657" t="s">
        <v>621</v>
      </c>
      <c r="B396" s="747"/>
      <c r="C396" s="815" t="s">
        <v>1092</v>
      </c>
      <c r="D396" s="549">
        <v>57.446721978200749</v>
      </c>
      <c r="E396" s="550">
        <v>0</v>
      </c>
      <c r="F396" s="551">
        <v>0</v>
      </c>
      <c r="G396" s="560">
        <v>0</v>
      </c>
      <c r="H396" s="566">
        <v>57.446721978200749</v>
      </c>
      <c r="I396" s="567">
        <v>0</v>
      </c>
      <c r="J396" s="560">
        <v>0</v>
      </c>
      <c r="K396" s="568">
        <v>4.0670245648283716</v>
      </c>
      <c r="L396" s="560">
        <v>0</v>
      </c>
      <c r="M396" s="1057">
        <f t="shared" si="54"/>
        <v>4.0670245648283716</v>
      </c>
      <c r="N396" s="1058">
        <f t="shared" si="54"/>
        <v>0</v>
      </c>
      <c r="O396" s="569">
        <v>0</v>
      </c>
      <c r="P396" s="560">
        <v>0</v>
      </c>
      <c r="Q396" s="571">
        <v>61.513746543029121</v>
      </c>
      <c r="R396" s="1075">
        <f t="shared" si="56"/>
        <v>61.513746543029121</v>
      </c>
      <c r="S396" s="1075">
        <f t="shared" si="55"/>
        <v>0</v>
      </c>
    </row>
    <row r="397" spans="1:19" ht="15.75" hidden="1" x14ac:dyDescent="0.25">
      <c r="A397" s="657" t="s">
        <v>622</v>
      </c>
      <c r="B397" s="747"/>
      <c r="C397" s="815" t="s">
        <v>1092</v>
      </c>
      <c r="D397" s="549">
        <v>116.92695623881568</v>
      </c>
      <c r="E397" s="550">
        <v>0</v>
      </c>
      <c r="F397" s="551">
        <v>0</v>
      </c>
      <c r="G397" s="560">
        <v>0</v>
      </c>
      <c r="H397" s="566">
        <v>116.92695623881568</v>
      </c>
      <c r="I397" s="567">
        <v>0</v>
      </c>
      <c r="J397" s="560">
        <v>0</v>
      </c>
      <c r="K397" s="568">
        <v>0</v>
      </c>
      <c r="L397" s="560">
        <v>0</v>
      </c>
      <c r="M397" s="1057">
        <f t="shared" si="54"/>
        <v>0</v>
      </c>
      <c r="N397" s="1058">
        <f t="shared" si="54"/>
        <v>0</v>
      </c>
      <c r="O397" s="569">
        <v>0</v>
      </c>
      <c r="P397" s="560">
        <v>0</v>
      </c>
      <c r="Q397" s="571">
        <v>116.92695623881568</v>
      </c>
      <c r="R397" s="1075">
        <f t="shared" si="56"/>
        <v>116.92695623881568</v>
      </c>
      <c r="S397" s="1075">
        <f t="shared" si="55"/>
        <v>0</v>
      </c>
    </row>
    <row r="398" spans="1:19" ht="15.75" hidden="1" x14ac:dyDescent="0.25">
      <c r="A398" s="657" t="s">
        <v>623</v>
      </c>
      <c r="B398" s="747"/>
      <c r="C398" s="815" t="s">
        <v>1092</v>
      </c>
      <c r="D398" s="549">
        <v>61.005368472425573</v>
      </c>
      <c r="E398" s="550">
        <v>0</v>
      </c>
      <c r="F398" s="551">
        <v>0</v>
      </c>
      <c r="G398" s="560">
        <v>0</v>
      </c>
      <c r="H398" s="566">
        <v>61.005368472425573</v>
      </c>
      <c r="I398" s="567">
        <v>0</v>
      </c>
      <c r="J398" s="560">
        <v>0</v>
      </c>
      <c r="K398" s="568">
        <v>13.217829835692207</v>
      </c>
      <c r="L398" s="560">
        <v>0</v>
      </c>
      <c r="M398" s="1057">
        <f t="shared" si="54"/>
        <v>13.217829835692207</v>
      </c>
      <c r="N398" s="1058">
        <f t="shared" si="54"/>
        <v>0</v>
      </c>
      <c r="O398" s="569">
        <v>0</v>
      </c>
      <c r="P398" s="560">
        <v>0</v>
      </c>
      <c r="Q398" s="571">
        <v>74.223198308117787</v>
      </c>
      <c r="R398" s="1075">
        <f t="shared" si="56"/>
        <v>74.223198308117787</v>
      </c>
      <c r="S398" s="1075">
        <f t="shared" si="55"/>
        <v>0</v>
      </c>
    </row>
    <row r="399" spans="1:19" ht="16.5" hidden="1" thickBot="1" x14ac:dyDescent="0.3">
      <c r="A399" s="657" t="s">
        <v>624</v>
      </c>
      <c r="B399" s="747"/>
      <c r="C399" s="819" t="s">
        <v>1092</v>
      </c>
      <c r="D399" s="549">
        <v>104.21750447372702</v>
      </c>
      <c r="E399" s="550">
        <v>0</v>
      </c>
      <c r="F399" s="551">
        <v>0</v>
      </c>
      <c r="G399" s="560">
        <v>0</v>
      </c>
      <c r="H399" s="566">
        <v>104.21750447372702</v>
      </c>
      <c r="I399" s="567">
        <v>0</v>
      </c>
      <c r="J399" s="560">
        <v>0</v>
      </c>
      <c r="K399" s="568">
        <v>17.28485440052058</v>
      </c>
      <c r="L399" s="560">
        <v>0</v>
      </c>
      <c r="M399" s="1057">
        <f t="shared" si="54"/>
        <v>17.28485440052058</v>
      </c>
      <c r="N399" s="1058">
        <f t="shared" si="54"/>
        <v>0</v>
      </c>
      <c r="O399" s="569">
        <v>0</v>
      </c>
      <c r="P399" s="560">
        <v>0</v>
      </c>
      <c r="Q399" s="571">
        <v>121.50235887424759</v>
      </c>
      <c r="R399" s="1075">
        <f t="shared" si="56"/>
        <v>121.50235887424759</v>
      </c>
      <c r="S399" s="1075">
        <f t="shared" si="55"/>
        <v>0</v>
      </c>
    </row>
    <row r="400" spans="1:19" ht="15.75" hidden="1" x14ac:dyDescent="0.25">
      <c r="A400" s="631" t="s">
        <v>182</v>
      </c>
      <c r="B400" s="631" t="s">
        <v>429</v>
      </c>
      <c r="C400" s="631" t="s">
        <v>1106</v>
      </c>
      <c r="D400" s="549">
        <v>50.599632657471098</v>
      </c>
      <c r="E400" s="550">
        <v>141.65496212530462</v>
      </c>
      <c r="F400" s="551">
        <v>0</v>
      </c>
      <c r="G400" s="560">
        <v>11.536476152747264</v>
      </c>
      <c r="H400" s="566">
        <v>203.79107093552298</v>
      </c>
      <c r="I400" s="567">
        <v>153.65961993253381</v>
      </c>
      <c r="J400" s="560">
        <v>0</v>
      </c>
      <c r="K400" s="568">
        <v>189.61357006518529</v>
      </c>
      <c r="L400" s="560">
        <v>0</v>
      </c>
      <c r="M400" s="1057">
        <f t="shared" si="54"/>
        <v>343.2731899977191</v>
      </c>
      <c r="N400" s="1058">
        <f t="shared" si="54"/>
        <v>0</v>
      </c>
      <c r="O400" s="569">
        <v>40.335650232290128</v>
      </c>
      <c r="P400" s="560">
        <v>2.4249408770602994</v>
      </c>
      <c r="Q400" s="571">
        <v>589.82485204259251</v>
      </c>
      <c r="R400" s="1075">
        <f t="shared" si="56"/>
        <v>589.82485204259251</v>
      </c>
      <c r="S400" s="1075">
        <f t="shared" si="55"/>
        <v>0</v>
      </c>
    </row>
    <row r="401" spans="1:19" ht="15.75" hidden="1" x14ac:dyDescent="0.25">
      <c r="A401" s="631" t="s">
        <v>183</v>
      </c>
      <c r="B401" s="631"/>
      <c r="C401" s="631" t="s">
        <v>1106</v>
      </c>
      <c r="D401" s="549">
        <v>70.827481062652311</v>
      </c>
      <c r="E401" s="550">
        <v>108.04192026506284</v>
      </c>
      <c r="F401" s="551">
        <v>9.4116517208676953</v>
      </c>
      <c r="G401" s="560">
        <v>11.296382996602681</v>
      </c>
      <c r="H401" s="566">
        <v>199.57743604518552</v>
      </c>
      <c r="I401" s="567">
        <v>228.08849833735488</v>
      </c>
      <c r="J401" s="560">
        <v>0</v>
      </c>
      <c r="K401" s="568">
        <v>191.94247367978772</v>
      </c>
      <c r="L401" s="560">
        <v>0</v>
      </c>
      <c r="M401" s="1057">
        <f t="shared" si="54"/>
        <v>420.03097201714263</v>
      </c>
      <c r="N401" s="1058">
        <f t="shared" si="54"/>
        <v>0</v>
      </c>
      <c r="O401" s="569">
        <v>40.335650232290128</v>
      </c>
      <c r="P401" s="560">
        <v>2.4249408770602994</v>
      </c>
      <c r="Q401" s="571">
        <v>662.36899917167864</v>
      </c>
      <c r="R401" s="1075">
        <f t="shared" si="56"/>
        <v>662.36899917167864</v>
      </c>
      <c r="S401" s="1075">
        <f t="shared" si="55"/>
        <v>0</v>
      </c>
    </row>
    <row r="402" spans="1:19" ht="15.75" hidden="1" x14ac:dyDescent="0.25">
      <c r="A402" s="631" t="s">
        <v>184</v>
      </c>
      <c r="B402" s="631"/>
      <c r="C402" s="631" t="s">
        <v>1106</v>
      </c>
      <c r="D402" s="549">
        <v>73.444496464628273</v>
      </c>
      <c r="E402" s="550">
        <v>122.44750963373788</v>
      </c>
      <c r="F402" s="551">
        <v>22.088570365301734</v>
      </c>
      <c r="G402" s="560">
        <v>13.073072352072604</v>
      </c>
      <c r="H402" s="566">
        <v>231.0536488157405</v>
      </c>
      <c r="I402" s="567">
        <v>164.4638119590401</v>
      </c>
      <c r="J402" s="560">
        <v>0</v>
      </c>
      <c r="K402" s="568">
        <v>336.7306514927792</v>
      </c>
      <c r="L402" s="560">
        <v>0</v>
      </c>
      <c r="M402" s="1057">
        <f t="shared" si="54"/>
        <v>501.19446345181927</v>
      </c>
      <c r="N402" s="1058">
        <f t="shared" si="54"/>
        <v>0</v>
      </c>
      <c r="O402" s="569">
        <v>40.335650232290128</v>
      </c>
      <c r="P402" s="560">
        <v>2.4249408770602994</v>
      </c>
      <c r="Q402" s="571">
        <v>775.00870337691026</v>
      </c>
      <c r="R402" s="1075">
        <f t="shared" si="56"/>
        <v>775.00870337691026</v>
      </c>
      <c r="S402" s="1075">
        <f t="shared" si="55"/>
        <v>0</v>
      </c>
    </row>
    <row r="403" spans="1:19" ht="15.75" hidden="1" x14ac:dyDescent="0.25">
      <c r="A403" s="631" t="s">
        <v>185</v>
      </c>
      <c r="B403" s="631"/>
      <c r="C403" s="631" t="s">
        <v>1106</v>
      </c>
      <c r="D403" s="549">
        <v>54.020960132531421</v>
      </c>
      <c r="E403" s="550">
        <v>75.629344185543985</v>
      </c>
      <c r="F403" s="551">
        <v>0</v>
      </c>
      <c r="G403" s="560">
        <v>7.7790182590845252</v>
      </c>
      <c r="H403" s="566">
        <v>137.42932257715992</v>
      </c>
      <c r="I403" s="567">
        <v>264.10247175904249</v>
      </c>
      <c r="J403" s="560">
        <v>0</v>
      </c>
      <c r="K403" s="568">
        <v>230.77754168617423</v>
      </c>
      <c r="L403" s="560">
        <v>0</v>
      </c>
      <c r="M403" s="1057">
        <f t="shared" si="54"/>
        <v>494.88001344521672</v>
      </c>
      <c r="N403" s="1058">
        <f t="shared" si="54"/>
        <v>0</v>
      </c>
      <c r="O403" s="569">
        <v>40.335650232290128</v>
      </c>
      <c r="P403" s="560">
        <v>2.4249408770602994</v>
      </c>
      <c r="Q403" s="571">
        <v>675.06992713172713</v>
      </c>
      <c r="R403" s="1075">
        <f t="shared" si="56"/>
        <v>675.06992713172713</v>
      </c>
      <c r="S403" s="1075">
        <f t="shared" si="55"/>
        <v>0</v>
      </c>
    </row>
    <row r="404" spans="1:19" ht="16.5" hidden="1" thickBot="1" x14ac:dyDescent="0.3">
      <c r="A404" s="631" t="s">
        <v>186</v>
      </c>
      <c r="B404" s="631"/>
      <c r="C404" s="631" t="s">
        <v>1106</v>
      </c>
      <c r="D404" s="549">
        <v>84.560809594122517</v>
      </c>
      <c r="E404" s="550">
        <v>55.401495780362779</v>
      </c>
      <c r="F404" s="551">
        <v>0</v>
      </c>
      <c r="G404" s="560">
        <v>8.403260465060443</v>
      </c>
      <c r="H404" s="566">
        <v>148.36556583954575</v>
      </c>
      <c r="I404" s="567">
        <v>172.86707242410054</v>
      </c>
      <c r="J404" s="560">
        <v>0</v>
      </c>
      <c r="K404" s="568">
        <v>174.59574314834154</v>
      </c>
      <c r="L404" s="560">
        <v>0</v>
      </c>
      <c r="M404" s="1057">
        <f t="shared" si="54"/>
        <v>347.46281557244208</v>
      </c>
      <c r="N404" s="1058">
        <f t="shared" si="54"/>
        <v>0</v>
      </c>
      <c r="O404" s="569">
        <v>40.335650232290128</v>
      </c>
      <c r="P404" s="560">
        <v>2.4249408770602994</v>
      </c>
      <c r="Q404" s="571">
        <v>538.58897252133829</v>
      </c>
      <c r="R404" s="1075">
        <f t="shared" si="56"/>
        <v>538.58897252133829</v>
      </c>
      <c r="S404" s="1075">
        <f t="shared" si="55"/>
        <v>0</v>
      </c>
    </row>
    <row r="405" spans="1:19" ht="15.75" hidden="1" x14ac:dyDescent="0.25">
      <c r="A405" s="546" t="s">
        <v>125</v>
      </c>
      <c r="B405" s="1046"/>
      <c r="C405" s="802" t="s">
        <v>1112</v>
      </c>
      <c r="D405" s="549">
        <v>149.78069133112257</v>
      </c>
      <c r="E405" s="550">
        <v>0</v>
      </c>
      <c r="F405" s="551">
        <v>0</v>
      </c>
      <c r="G405" s="560">
        <v>37.445172832780642</v>
      </c>
      <c r="H405" s="566">
        <v>187.22586416390322</v>
      </c>
      <c r="I405" s="567">
        <v>208.88861264568274</v>
      </c>
      <c r="J405" s="560">
        <v>52.222153161420685</v>
      </c>
      <c r="K405" s="568">
        <v>0</v>
      </c>
      <c r="L405" s="560">
        <v>0</v>
      </c>
      <c r="M405" s="1057">
        <f t="shared" si="54"/>
        <v>208.88861264568274</v>
      </c>
      <c r="N405" s="1058">
        <f t="shared" si="54"/>
        <v>52.222153161420685</v>
      </c>
      <c r="O405" s="569">
        <v>0</v>
      </c>
      <c r="P405" s="560">
        <v>0</v>
      </c>
      <c r="Q405" s="571">
        <v>448.33662997100669</v>
      </c>
      <c r="R405" s="1075">
        <f t="shared" si="56"/>
        <v>448.33662997100669</v>
      </c>
      <c r="S405" s="1075">
        <f t="shared" si="55"/>
        <v>0</v>
      </c>
    </row>
    <row r="406" spans="1:19" ht="15.75" hidden="1" x14ac:dyDescent="0.25">
      <c r="A406" s="547" t="s">
        <v>126</v>
      </c>
      <c r="B406" s="1046" t="s">
        <v>429</v>
      </c>
      <c r="C406" s="802" t="s">
        <v>1112</v>
      </c>
      <c r="D406" s="549">
        <v>37.536576834813467</v>
      </c>
      <c r="E406" s="550">
        <v>119.06894664809337</v>
      </c>
      <c r="F406" s="551">
        <v>0</v>
      </c>
      <c r="G406" s="560">
        <v>34.459308766375024</v>
      </c>
      <c r="H406" s="566">
        <v>191.06483224928186</v>
      </c>
      <c r="I406" s="567">
        <v>178.66435597349528</v>
      </c>
      <c r="J406" s="560">
        <v>49.3581610977255</v>
      </c>
      <c r="K406" s="568">
        <v>0</v>
      </c>
      <c r="L406" s="560">
        <v>0</v>
      </c>
      <c r="M406" s="1057">
        <f t="shared" si="54"/>
        <v>178.66435597349528</v>
      </c>
      <c r="N406" s="1058">
        <f t="shared" si="54"/>
        <v>49.3581610977255</v>
      </c>
      <c r="O406" s="569">
        <v>0</v>
      </c>
      <c r="P406" s="560">
        <v>0</v>
      </c>
      <c r="Q406" s="571">
        <v>419.0873493205026</v>
      </c>
      <c r="R406" s="1075">
        <f t="shared" si="56"/>
        <v>419.0873493205026</v>
      </c>
      <c r="S406" s="1075">
        <f t="shared" si="55"/>
        <v>0</v>
      </c>
    </row>
    <row r="407" spans="1:19" ht="16.5" hidden="1" thickBot="1" x14ac:dyDescent="0.3">
      <c r="A407" s="641" t="s">
        <v>127</v>
      </c>
      <c r="B407" s="1046"/>
      <c r="C407" s="807" t="s">
        <v>1112</v>
      </c>
      <c r="D407" s="549">
        <v>38.609050458665287</v>
      </c>
      <c r="E407" s="550">
        <v>106.51613036891874</v>
      </c>
      <c r="F407" s="551">
        <v>11.894707464538293</v>
      </c>
      <c r="G407" s="560">
        <v>39.254972073030579</v>
      </c>
      <c r="H407" s="566">
        <v>196.2748603651529</v>
      </c>
      <c r="I407" s="567">
        <v>162.65037481734433</v>
      </c>
      <c r="J407" s="560">
        <v>40.662593704336082</v>
      </c>
      <c r="K407" s="568">
        <v>0</v>
      </c>
      <c r="L407" s="560">
        <v>0</v>
      </c>
      <c r="M407" s="1057">
        <f t="shared" si="54"/>
        <v>162.65037481734433</v>
      </c>
      <c r="N407" s="1058">
        <f t="shared" si="54"/>
        <v>40.662593704336082</v>
      </c>
      <c r="O407" s="569">
        <v>0</v>
      </c>
      <c r="P407" s="560">
        <v>0</v>
      </c>
      <c r="Q407" s="571">
        <v>399.58782888683328</v>
      </c>
      <c r="R407" s="1075">
        <f t="shared" si="56"/>
        <v>399.58782888683328</v>
      </c>
      <c r="S407" s="1075">
        <f t="shared" si="55"/>
        <v>0</v>
      </c>
    </row>
    <row r="408" spans="1:19" ht="15.75" hidden="1" x14ac:dyDescent="0.25">
      <c r="A408" s="546" t="s">
        <v>128</v>
      </c>
      <c r="B408" s="1046"/>
      <c r="C408" s="802" t="s">
        <v>1114</v>
      </c>
      <c r="D408" s="549">
        <v>0</v>
      </c>
      <c r="E408" s="550">
        <v>137.1280724450194</v>
      </c>
      <c r="F408" s="551">
        <v>0</v>
      </c>
      <c r="G408" s="560">
        <v>10.970245795601551</v>
      </c>
      <c r="H408" s="566">
        <v>148.09831824062096</v>
      </c>
      <c r="I408" s="567">
        <v>0</v>
      </c>
      <c r="J408" s="560">
        <v>0</v>
      </c>
      <c r="K408" s="568">
        <v>140.29035503809112</v>
      </c>
      <c r="L408" s="560">
        <v>11.22322840304729</v>
      </c>
      <c r="M408" s="1057">
        <f t="shared" si="54"/>
        <v>140.29035503809112</v>
      </c>
      <c r="N408" s="1058">
        <f t="shared" si="54"/>
        <v>11.22322840304729</v>
      </c>
      <c r="O408" s="569">
        <v>0</v>
      </c>
      <c r="P408" s="560">
        <v>0</v>
      </c>
      <c r="Q408" s="571">
        <v>299.61190168175938</v>
      </c>
      <c r="R408" s="1075">
        <f t="shared" si="56"/>
        <v>299.61190168175938</v>
      </c>
      <c r="S408" s="1075">
        <f t="shared" si="55"/>
        <v>0</v>
      </c>
    </row>
    <row r="409" spans="1:19" ht="15.75" hidden="1" x14ac:dyDescent="0.25">
      <c r="A409" s="641" t="s">
        <v>891</v>
      </c>
      <c r="B409" s="1046" t="s">
        <v>429</v>
      </c>
      <c r="C409" s="802" t="s">
        <v>1114</v>
      </c>
      <c r="D409" s="549">
        <v>0</v>
      </c>
      <c r="E409" s="550">
        <v>120.74169900819319</v>
      </c>
      <c r="F409" s="551">
        <v>0</v>
      </c>
      <c r="G409" s="560">
        <v>9.6593359206554563</v>
      </c>
      <c r="H409" s="566">
        <v>130.40103492884865</v>
      </c>
      <c r="I409" s="567">
        <v>0</v>
      </c>
      <c r="J409" s="560">
        <v>0</v>
      </c>
      <c r="K409" s="568">
        <v>184.5623113410953</v>
      </c>
      <c r="L409" s="560">
        <v>14.764984907287625</v>
      </c>
      <c r="M409" s="1057">
        <f t="shared" si="54"/>
        <v>184.5623113410953</v>
      </c>
      <c r="N409" s="1058">
        <f t="shared" si="54"/>
        <v>14.764984907287625</v>
      </c>
      <c r="O409" s="569">
        <v>0</v>
      </c>
      <c r="P409" s="560">
        <v>0</v>
      </c>
      <c r="Q409" s="571">
        <v>329.72833117723155</v>
      </c>
      <c r="R409" s="1075">
        <f t="shared" si="56"/>
        <v>329.72833117723155</v>
      </c>
      <c r="S409" s="1075">
        <f t="shared" si="55"/>
        <v>0</v>
      </c>
    </row>
    <row r="410" spans="1:19" ht="15.75" hidden="1" x14ac:dyDescent="0.25">
      <c r="A410" s="547" t="s">
        <v>129</v>
      </c>
      <c r="B410" s="1046"/>
      <c r="C410" s="802" t="s">
        <v>1114</v>
      </c>
      <c r="D410" s="549">
        <v>0</v>
      </c>
      <c r="E410" s="550">
        <v>128.79114560873941</v>
      </c>
      <c r="F410" s="551">
        <v>0</v>
      </c>
      <c r="G410" s="560">
        <v>10.303291648699153</v>
      </c>
      <c r="H410" s="566">
        <v>139.09443725743856</v>
      </c>
      <c r="I410" s="567">
        <v>0</v>
      </c>
      <c r="J410" s="560">
        <v>0</v>
      </c>
      <c r="K410" s="568">
        <v>158.4016098893201</v>
      </c>
      <c r="L410" s="560">
        <v>12.672128791145608</v>
      </c>
      <c r="M410" s="1057">
        <f t="shared" si="54"/>
        <v>158.4016098893201</v>
      </c>
      <c r="N410" s="1058">
        <f t="shared" si="54"/>
        <v>12.672128791145608</v>
      </c>
      <c r="O410" s="569">
        <v>0</v>
      </c>
      <c r="P410" s="560">
        <v>0</v>
      </c>
      <c r="Q410" s="571">
        <v>310.16817593790427</v>
      </c>
      <c r="R410" s="1075">
        <f t="shared" si="56"/>
        <v>310.16817593790427</v>
      </c>
      <c r="S410" s="1075">
        <f t="shared" si="55"/>
        <v>0</v>
      </c>
    </row>
    <row r="411" spans="1:19" ht="15.75" hidden="1" x14ac:dyDescent="0.25">
      <c r="A411" s="547" t="s">
        <v>130</v>
      </c>
      <c r="B411" s="1046"/>
      <c r="C411" s="802" t="s">
        <v>1114</v>
      </c>
      <c r="D411" s="549">
        <v>0</v>
      </c>
      <c r="E411" s="550">
        <v>96.018398735086961</v>
      </c>
      <c r="F411" s="551">
        <v>0</v>
      </c>
      <c r="G411" s="560">
        <v>7.681471898806957</v>
      </c>
      <c r="H411" s="566">
        <v>103.69987063389392</v>
      </c>
      <c r="I411" s="567">
        <v>0</v>
      </c>
      <c r="J411" s="560">
        <v>0</v>
      </c>
      <c r="K411" s="568">
        <v>159.55153083225528</v>
      </c>
      <c r="L411" s="560">
        <v>12.764122466580423</v>
      </c>
      <c r="M411" s="1057">
        <f t="shared" si="54"/>
        <v>159.55153083225528</v>
      </c>
      <c r="N411" s="1058">
        <f t="shared" si="54"/>
        <v>12.764122466580423</v>
      </c>
      <c r="O411" s="569">
        <v>0</v>
      </c>
      <c r="P411" s="560">
        <v>0</v>
      </c>
      <c r="Q411" s="571">
        <v>276.01552393272965</v>
      </c>
      <c r="R411" s="1075">
        <f t="shared" si="56"/>
        <v>276.01552393272965</v>
      </c>
      <c r="S411" s="1075">
        <f t="shared" si="55"/>
        <v>0</v>
      </c>
    </row>
    <row r="412" spans="1:19" ht="15.75" hidden="1" x14ac:dyDescent="0.25">
      <c r="A412" s="547" t="s">
        <v>131</v>
      </c>
      <c r="B412" s="1046"/>
      <c r="C412" s="802" t="s">
        <v>1114</v>
      </c>
      <c r="D412" s="549">
        <v>0</v>
      </c>
      <c r="E412" s="550">
        <v>97.168319678022144</v>
      </c>
      <c r="F412" s="551">
        <v>0</v>
      </c>
      <c r="G412" s="560">
        <v>7.7734655742417704</v>
      </c>
      <c r="H412" s="566">
        <v>104.94178525226391</v>
      </c>
      <c r="I412" s="567">
        <v>0</v>
      </c>
      <c r="J412" s="560">
        <v>0</v>
      </c>
      <c r="K412" s="568">
        <v>95.443438263619385</v>
      </c>
      <c r="L412" s="560">
        <v>7.6354750610895499</v>
      </c>
      <c r="M412" s="1057">
        <f t="shared" si="54"/>
        <v>95.443438263619385</v>
      </c>
      <c r="N412" s="1058">
        <f t="shared" si="54"/>
        <v>7.6354750610895499</v>
      </c>
      <c r="O412" s="569">
        <v>0</v>
      </c>
      <c r="P412" s="560">
        <v>0</v>
      </c>
      <c r="Q412" s="571">
        <v>208.02069857697285</v>
      </c>
      <c r="R412" s="1075">
        <f t="shared" si="56"/>
        <v>208.02069857697285</v>
      </c>
      <c r="S412" s="1075">
        <f t="shared" si="55"/>
        <v>0</v>
      </c>
    </row>
    <row r="413" spans="1:19" ht="16.5" hidden="1" thickBot="1" x14ac:dyDescent="0.3">
      <c r="A413" s="543" t="s">
        <v>132</v>
      </c>
      <c r="B413" s="1046"/>
      <c r="C413" s="802" t="s">
        <v>1114</v>
      </c>
      <c r="D413" s="549">
        <v>0</v>
      </c>
      <c r="E413" s="550">
        <v>84.80666954146902</v>
      </c>
      <c r="F413" s="551">
        <v>0</v>
      </c>
      <c r="G413" s="560">
        <v>6.7845335633175221</v>
      </c>
      <c r="H413" s="566">
        <v>91.591203104786544</v>
      </c>
      <c r="I413" s="567">
        <v>0</v>
      </c>
      <c r="J413" s="560">
        <v>0</v>
      </c>
      <c r="K413" s="568">
        <v>129.65358631594077</v>
      </c>
      <c r="L413" s="560">
        <v>10.372286905275262</v>
      </c>
      <c r="M413" s="1057">
        <f t="shared" si="54"/>
        <v>129.65358631594077</v>
      </c>
      <c r="N413" s="1058">
        <f t="shared" si="54"/>
        <v>10.372286905275262</v>
      </c>
      <c r="O413" s="569">
        <v>0</v>
      </c>
      <c r="P413" s="560">
        <v>0</v>
      </c>
      <c r="Q413" s="571">
        <v>231.6170763260026</v>
      </c>
      <c r="R413" s="1075">
        <f t="shared" si="56"/>
        <v>231.6170763260026</v>
      </c>
      <c r="S413" s="1075">
        <f t="shared" si="55"/>
        <v>0</v>
      </c>
    </row>
    <row r="414" spans="1:19" ht="15.75" hidden="1" x14ac:dyDescent="0.25">
      <c r="A414" s="638" t="s">
        <v>133</v>
      </c>
      <c r="B414" s="693" t="s">
        <v>429</v>
      </c>
      <c r="C414" s="806" t="s">
        <v>1116</v>
      </c>
      <c r="D414" s="549">
        <v>68.426549501206466</v>
      </c>
      <c r="E414" s="550">
        <v>62.244150730483426</v>
      </c>
      <c r="F414" s="551">
        <v>2.7130526644337998</v>
      </c>
      <c r="G414" s="560">
        <v>8.0071067574218802</v>
      </c>
      <c r="H414" s="566">
        <v>141.39085965354559</v>
      </c>
      <c r="I414" s="567">
        <v>85.569200849929771</v>
      </c>
      <c r="J414" s="560">
        <v>0</v>
      </c>
      <c r="K414" s="568">
        <v>0</v>
      </c>
      <c r="L414" s="560">
        <v>0</v>
      </c>
      <c r="M414" s="1057">
        <f t="shared" si="54"/>
        <v>85.569200849929771</v>
      </c>
      <c r="N414" s="1058">
        <f t="shared" si="54"/>
        <v>0</v>
      </c>
      <c r="O414" s="569">
        <v>17.442767793904032</v>
      </c>
      <c r="P414" s="560">
        <v>0</v>
      </c>
      <c r="Q414" s="571">
        <v>244.40282829737939</v>
      </c>
      <c r="R414" s="1075">
        <f t="shared" si="56"/>
        <v>244.40282829737939</v>
      </c>
      <c r="S414" s="1075">
        <f t="shared" si="55"/>
        <v>0</v>
      </c>
    </row>
    <row r="415" spans="1:19" ht="15.75" hidden="1" x14ac:dyDescent="0.25">
      <c r="A415" s="639" t="s">
        <v>134</v>
      </c>
      <c r="B415" s="639"/>
      <c r="C415" s="724" t="s">
        <v>1116</v>
      </c>
      <c r="D415" s="549">
        <v>58.630748730507442</v>
      </c>
      <c r="E415" s="550">
        <v>90.431087261857598</v>
      </c>
      <c r="F415" s="551">
        <v>2.7250573222410295</v>
      </c>
      <c r="G415" s="560">
        <v>9.1115352756869665</v>
      </c>
      <c r="H415" s="566">
        <v>160.89842859029307</v>
      </c>
      <c r="I415" s="567">
        <v>131.95519861706342</v>
      </c>
      <c r="J415" s="560">
        <v>0</v>
      </c>
      <c r="K415" s="568">
        <v>0</v>
      </c>
      <c r="L415" s="560">
        <v>0</v>
      </c>
      <c r="M415" s="1057">
        <f t="shared" si="54"/>
        <v>131.95519861706342</v>
      </c>
      <c r="N415" s="1058">
        <f t="shared" si="54"/>
        <v>0</v>
      </c>
      <c r="O415" s="569">
        <v>0</v>
      </c>
      <c r="P415" s="560">
        <v>0</v>
      </c>
      <c r="Q415" s="571">
        <v>292.85362720735645</v>
      </c>
      <c r="R415" s="1075">
        <f t="shared" si="56"/>
        <v>292.85362720735645</v>
      </c>
      <c r="S415" s="1075">
        <f t="shared" si="55"/>
        <v>0</v>
      </c>
    </row>
    <row r="416" spans="1:19" ht="15.75" hidden="1" x14ac:dyDescent="0.25">
      <c r="A416" s="639" t="s">
        <v>135</v>
      </c>
      <c r="B416" s="639"/>
      <c r="C416" s="724" t="s">
        <v>1116</v>
      </c>
      <c r="D416" s="549">
        <v>49.963385793687948</v>
      </c>
      <c r="E416" s="550">
        <v>94.704745441231196</v>
      </c>
      <c r="F416" s="551">
        <v>2.4489501926747579</v>
      </c>
      <c r="G416" s="560">
        <v>8.8234234883134643</v>
      </c>
      <c r="H416" s="566">
        <v>155.94050491590738</v>
      </c>
      <c r="I416" s="567">
        <v>57.034129242145951</v>
      </c>
      <c r="J416" s="560">
        <v>3.4213274750603233</v>
      </c>
      <c r="K416" s="568">
        <v>0</v>
      </c>
      <c r="L416" s="560">
        <v>0</v>
      </c>
      <c r="M416" s="1057">
        <f t="shared" si="54"/>
        <v>57.034129242145951</v>
      </c>
      <c r="N416" s="1058">
        <f t="shared" si="54"/>
        <v>3.4213274750603233</v>
      </c>
      <c r="O416" s="569">
        <v>0</v>
      </c>
      <c r="P416" s="560">
        <v>0</v>
      </c>
      <c r="Q416" s="571">
        <v>216.39596163311364</v>
      </c>
      <c r="R416" s="1075">
        <f t="shared" si="56"/>
        <v>216.39596163311364</v>
      </c>
      <c r="S416" s="1075">
        <f t="shared" si="55"/>
        <v>0</v>
      </c>
    </row>
    <row r="417" spans="1:19" ht="15.75" hidden="1" x14ac:dyDescent="0.25">
      <c r="A417" s="639" t="s">
        <v>136</v>
      </c>
      <c r="B417" s="639"/>
      <c r="C417" s="724" t="s">
        <v>1116</v>
      </c>
      <c r="D417" s="549">
        <v>45.749750903350495</v>
      </c>
      <c r="E417" s="550">
        <v>105.42490486308687</v>
      </c>
      <c r="F417" s="551">
        <v>3.0011644518073011</v>
      </c>
      <c r="G417" s="560">
        <v>9.2555911693737158</v>
      </c>
      <c r="H417" s="566">
        <v>163.43141138761837</v>
      </c>
      <c r="I417" s="567">
        <v>123.50391952077405</v>
      </c>
      <c r="J417" s="560">
        <v>0</v>
      </c>
      <c r="K417" s="568">
        <v>0</v>
      </c>
      <c r="L417" s="560">
        <v>0</v>
      </c>
      <c r="M417" s="1057">
        <f t="shared" si="54"/>
        <v>123.50391952077405</v>
      </c>
      <c r="N417" s="1058">
        <f t="shared" si="54"/>
        <v>0</v>
      </c>
      <c r="O417" s="569">
        <v>0</v>
      </c>
      <c r="P417" s="560">
        <v>0</v>
      </c>
      <c r="Q417" s="571">
        <v>286.93533090839242</v>
      </c>
      <c r="R417" s="1075">
        <f t="shared" si="56"/>
        <v>286.93533090839242</v>
      </c>
      <c r="S417" s="1075">
        <f t="shared" si="55"/>
        <v>0</v>
      </c>
    </row>
    <row r="418" spans="1:19" ht="15.75" hidden="1" x14ac:dyDescent="0.25">
      <c r="A418" s="639" t="s">
        <v>137</v>
      </c>
      <c r="B418" s="639"/>
      <c r="C418" s="724" t="s">
        <v>1116</v>
      </c>
      <c r="D418" s="549">
        <v>67.190069747061855</v>
      </c>
      <c r="E418" s="550">
        <v>67.454172218820901</v>
      </c>
      <c r="F418" s="551">
        <v>2.0527964850361937</v>
      </c>
      <c r="G418" s="560">
        <v>8.1991812823375465</v>
      </c>
      <c r="H418" s="566">
        <v>144.89621973325652</v>
      </c>
      <c r="I418" s="567">
        <v>58.930865175688169</v>
      </c>
      <c r="J418" s="560">
        <v>0</v>
      </c>
      <c r="K418" s="568">
        <v>0</v>
      </c>
      <c r="L418" s="560">
        <v>0</v>
      </c>
      <c r="M418" s="1057">
        <f t="shared" si="54"/>
        <v>58.930865175688169</v>
      </c>
      <c r="N418" s="1058">
        <f t="shared" si="54"/>
        <v>0</v>
      </c>
      <c r="O418" s="569">
        <v>0</v>
      </c>
      <c r="P418" s="560">
        <v>0</v>
      </c>
      <c r="Q418" s="571">
        <v>203.8270849089447</v>
      </c>
      <c r="R418" s="1075">
        <f t="shared" si="56"/>
        <v>203.8270849089447</v>
      </c>
      <c r="S418" s="1075">
        <f t="shared" si="55"/>
        <v>0</v>
      </c>
    </row>
    <row r="419" spans="1:19" ht="15.75" hidden="1" x14ac:dyDescent="0.25">
      <c r="A419" s="639" t="s">
        <v>138</v>
      </c>
      <c r="B419" s="639"/>
      <c r="C419" s="724" t="s">
        <v>1116</v>
      </c>
      <c r="D419" s="549">
        <v>56.181798537832677</v>
      </c>
      <c r="E419" s="550">
        <v>81.631673089158596</v>
      </c>
      <c r="F419" s="551">
        <v>2.9171318471566967</v>
      </c>
      <c r="G419" s="560">
        <v>8.4392744384821317</v>
      </c>
      <c r="H419" s="566">
        <v>149.16987791263008</v>
      </c>
      <c r="I419" s="567">
        <v>101.27129326178557</v>
      </c>
      <c r="J419" s="560">
        <v>6.0743568504579768</v>
      </c>
      <c r="K419" s="568">
        <v>0</v>
      </c>
      <c r="L419" s="560">
        <v>0</v>
      </c>
      <c r="M419" s="1057">
        <f t="shared" si="54"/>
        <v>101.27129326178557</v>
      </c>
      <c r="N419" s="1058">
        <f t="shared" si="54"/>
        <v>6.0743568504579768</v>
      </c>
      <c r="O419" s="569">
        <v>0</v>
      </c>
      <c r="P419" s="560">
        <v>0</v>
      </c>
      <c r="Q419" s="571">
        <v>256.51552802487367</v>
      </c>
      <c r="R419" s="1075">
        <f t="shared" si="56"/>
        <v>256.51552802487367</v>
      </c>
      <c r="S419" s="1075">
        <f t="shared" si="55"/>
        <v>0</v>
      </c>
    </row>
    <row r="420" spans="1:19" ht="16.5" hidden="1" thickBot="1" x14ac:dyDescent="0.3">
      <c r="A420" s="640" t="s">
        <v>139</v>
      </c>
      <c r="B420" s="652"/>
      <c r="C420" s="807" t="s">
        <v>1116</v>
      </c>
      <c r="D420" s="549">
        <v>40.743808597735921</v>
      </c>
      <c r="E420" s="550">
        <v>66.733892750387156</v>
      </c>
      <c r="F420" s="551">
        <v>3.2172482923374268</v>
      </c>
      <c r="G420" s="560">
        <v>6.6385757673977501</v>
      </c>
      <c r="H420" s="566">
        <v>117.33352540785826</v>
      </c>
      <c r="I420" s="567">
        <v>137.65741107549729</v>
      </c>
      <c r="J420" s="560">
        <v>0</v>
      </c>
      <c r="K420" s="568">
        <v>0</v>
      </c>
      <c r="L420" s="560">
        <v>0</v>
      </c>
      <c r="M420" s="1057">
        <f t="shared" si="54"/>
        <v>137.65741107549729</v>
      </c>
      <c r="N420" s="1058">
        <f t="shared" si="54"/>
        <v>0</v>
      </c>
      <c r="O420" s="569">
        <v>0</v>
      </c>
      <c r="P420" s="560">
        <v>0</v>
      </c>
      <c r="Q420" s="571">
        <v>254.99093648335554</v>
      </c>
      <c r="R420" s="1075">
        <f t="shared" si="56"/>
        <v>254.99093648335554</v>
      </c>
      <c r="S420" s="1075">
        <f t="shared" si="55"/>
        <v>0</v>
      </c>
    </row>
    <row r="421" spans="1:19" ht="15.75" hidden="1" x14ac:dyDescent="0.25">
      <c r="A421" s="630" t="s">
        <v>869</v>
      </c>
      <c r="B421" s="754"/>
      <c r="C421" s="754" t="s">
        <v>1118</v>
      </c>
      <c r="D421" s="549">
        <v>0</v>
      </c>
      <c r="E421" s="550">
        <v>67.664220806619255</v>
      </c>
      <c r="F421" s="551">
        <v>0</v>
      </c>
      <c r="G421" s="560">
        <v>6.0897798725957344</v>
      </c>
      <c r="H421" s="566">
        <v>73.754000679214982</v>
      </c>
      <c r="I421" s="567">
        <v>0</v>
      </c>
      <c r="J421" s="560">
        <v>0</v>
      </c>
      <c r="K421" s="568">
        <v>71.780675304360358</v>
      </c>
      <c r="L421" s="560">
        <v>13.638328307828468</v>
      </c>
      <c r="M421" s="1057">
        <f t="shared" si="54"/>
        <v>71.780675304360358</v>
      </c>
      <c r="N421" s="1058">
        <f t="shared" si="54"/>
        <v>13.638328307828468</v>
      </c>
      <c r="O421" s="569">
        <v>0</v>
      </c>
      <c r="P421" s="560">
        <v>0</v>
      </c>
      <c r="Q421" s="571">
        <v>159.1730042914038</v>
      </c>
      <c r="R421" s="1075">
        <f t="shared" si="56"/>
        <v>159.1730042914038</v>
      </c>
      <c r="S421" s="1075">
        <f t="shared" si="55"/>
        <v>0</v>
      </c>
    </row>
    <row r="422" spans="1:19" ht="15.75" hidden="1" x14ac:dyDescent="0.25">
      <c r="A422" s="630" t="s">
        <v>189</v>
      </c>
      <c r="B422" s="754"/>
      <c r="C422" s="754" t="s">
        <v>1118</v>
      </c>
      <c r="D422" s="549">
        <v>0</v>
      </c>
      <c r="E422" s="550">
        <v>82.32908995482191</v>
      </c>
      <c r="F422" s="551">
        <v>0</v>
      </c>
      <c r="G422" s="560">
        <v>7.4096180959339728</v>
      </c>
      <c r="H422" s="566">
        <v>89.738708050755889</v>
      </c>
      <c r="I422" s="567">
        <v>0</v>
      </c>
      <c r="J422" s="560">
        <v>0</v>
      </c>
      <c r="K422" s="568">
        <v>46.310113099587326</v>
      </c>
      <c r="L422" s="560">
        <v>8.798921488921593</v>
      </c>
      <c r="M422" s="1057">
        <f t="shared" si="54"/>
        <v>46.310113099587326</v>
      </c>
      <c r="N422" s="1058">
        <f t="shared" si="54"/>
        <v>8.798921488921593</v>
      </c>
      <c r="O422" s="569">
        <v>0</v>
      </c>
      <c r="P422" s="560">
        <v>0</v>
      </c>
      <c r="Q422" s="571">
        <v>144.84774263926479</v>
      </c>
      <c r="R422" s="1075">
        <f t="shared" si="56"/>
        <v>144.84774263926479</v>
      </c>
      <c r="S422" s="1075">
        <f t="shared" si="55"/>
        <v>0</v>
      </c>
    </row>
    <row r="423" spans="1:19" ht="15.75" hidden="1" x14ac:dyDescent="0.25">
      <c r="A423" s="630" t="s">
        <v>190</v>
      </c>
      <c r="B423" s="754"/>
      <c r="C423" s="754" t="s">
        <v>1118</v>
      </c>
      <c r="D423" s="549">
        <v>0</v>
      </c>
      <c r="E423" s="550">
        <v>95.707567072480472</v>
      </c>
      <c r="F423" s="551">
        <v>0</v>
      </c>
      <c r="G423" s="560">
        <v>8.6136810365232428</v>
      </c>
      <c r="H423" s="566">
        <v>104.32124810900372</v>
      </c>
      <c r="I423" s="567">
        <v>0</v>
      </c>
      <c r="J423" s="560">
        <v>0</v>
      </c>
      <c r="K423" s="568">
        <v>66.120550369966352</v>
      </c>
      <c r="L423" s="560">
        <v>12.562904570293606</v>
      </c>
      <c r="M423" s="1057">
        <f t="shared" si="54"/>
        <v>66.120550369966352</v>
      </c>
      <c r="N423" s="1058">
        <f t="shared" si="54"/>
        <v>12.562904570293606</v>
      </c>
      <c r="O423" s="569">
        <v>0</v>
      </c>
      <c r="P423" s="560">
        <v>0</v>
      </c>
      <c r="Q423" s="571">
        <v>183.00470304926367</v>
      </c>
      <c r="R423" s="1075">
        <f t="shared" si="56"/>
        <v>183.00470304926367</v>
      </c>
      <c r="S423" s="1075">
        <f t="shared" si="55"/>
        <v>0</v>
      </c>
    </row>
    <row r="424" spans="1:19" ht="15.75" hidden="1" x14ac:dyDescent="0.25">
      <c r="A424" s="631" t="s">
        <v>191</v>
      </c>
      <c r="B424" s="754"/>
      <c r="C424" s="754" t="s">
        <v>1118</v>
      </c>
      <c r="D424" s="549">
        <v>0</v>
      </c>
      <c r="E424" s="550">
        <v>73.324345741013275</v>
      </c>
      <c r="F424" s="551">
        <v>0</v>
      </c>
      <c r="G424" s="560">
        <v>6.5991911166911938</v>
      </c>
      <c r="H424" s="566">
        <v>79.923536857704462</v>
      </c>
      <c r="I424" s="567">
        <v>0</v>
      </c>
      <c r="J424" s="560">
        <v>0</v>
      </c>
      <c r="K424" s="568">
        <v>73.067067334904451</v>
      </c>
      <c r="L424" s="560">
        <v>13.882742793631845</v>
      </c>
      <c r="M424" s="1057">
        <f t="shared" si="54"/>
        <v>73.067067334904451</v>
      </c>
      <c r="N424" s="1058">
        <f t="shared" si="54"/>
        <v>13.882742793631845</v>
      </c>
      <c r="O424" s="569">
        <v>0</v>
      </c>
      <c r="P424" s="560">
        <v>0</v>
      </c>
      <c r="Q424" s="571">
        <v>166.87334698624076</v>
      </c>
      <c r="R424" s="1075">
        <f t="shared" si="56"/>
        <v>166.87334698624076</v>
      </c>
      <c r="S424" s="1075">
        <f t="shared" si="55"/>
        <v>0</v>
      </c>
    </row>
    <row r="425" spans="1:19" ht="15.75" hidden="1" x14ac:dyDescent="0.25">
      <c r="A425" s="631" t="s">
        <v>218</v>
      </c>
      <c r="B425" s="754"/>
      <c r="C425" s="754" t="s">
        <v>1118</v>
      </c>
      <c r="D425" s="549">
        <v>0</v>
      </c>
      <c r="E425" s="550">
        <v>103.42591925574503</v>
      </c>
      <c r="F425" s="551">
        <v>0</v>
      </c>
      <c r="G425" s="560">
        <v>9.3083327330170533</v>
      </c>
      <c r="H425" s="566">
        <v>112.73425198876208</v>
      </c>
      <c r="I425" s="567">
        <v>0</v>
      </c>
      <c r="J425" s="560">
        <v>0</v>
      </c>
      <c r="K425" s="568">
        <v>62.261374278334074</v>
      </c>
      <c r="L425" s="560">
        <v>11.829661112883473</v>
      </c>
      <c r="M425" s="1057">
        <f t="shared" si="54"/>
        <v>62.261374278334074</v>
      </c>
      <c r="N425" s="1058">
        <f t="shared" si="54"/>
        <v>11.829661112883473</v>
      </c>
      <c r="O425" s="569">
        <v>0</v>
      </c>
      <c r="P425" s="560">
        <v>0</v>
      </c>
      <c r="Q425" s="571">
        <v>186.82528737997964</v>
      </c>
      <c r="R425" s="1075">
        <f t="shared" si="56"/>
        <v>186.82528737997964</v>
      </c>
      <c r="S425" s="1075">
        <f t="shared" si="55"/>
        <v>0</v>
      </c>
    </row>
    <row r="426" spans="1:19" ht="15.75" hidden="1" x14ac:dyDescent="0.25">
      <c r="A426" s="632" t="s">
        <v>219</v>
      </c>
      <c r="B426" s="925"/>
      <c r="C426" s="754" t="s">
        <v>1118</v>
      </c>
      <c r="D426" s="549">
        <v>0</v>
      </c>
      <c r="E426" s="550">
        <v>79.24174908151609</v>
      </c>
      <c r="F426" s="551">
        <v>0</v>
      </c>
      <c r="G426" s="560">
        <v>7.1317574173364484</v>
      </c>
      <c r="H426" s="566">
        <v>86.373506498852535</v>
      </c>
      <c r="I426" s="567">
        <v>0</v>
      </c>
      <c r="J426" s="560">
        <v>0</v>
      </c>
      <c r="K426" s="568">
        <v>54.800300501178334</v>
      </c>
      <c r="L426" s="560">
        <v>10.412057095223883</v>
      </c>
      <c r="M426" s="1057">
        <f t="shared" si="54"/>
        <v>54.800300501178334</v>
      </c>
      <c r="N426" s="1058">
        <f t="shared" si="54"/>
        <v>10.412057095223883</v>
      </c>
      <c r="O426" s="569">
        <v>0</v>
      </c>
      <c r="P426" s="560">
        <v>0</v>
      </c>
      <c r="Q426" s="571">
        <v>151.58586409525475</v>
      </c>
      <c r="R426" s="1075">
        <f t="shared" si="56"/>
        <v>151.58586409525475</v>
      </c>
      <c r="S426" s="1075">
        <f t="shared" si="55"/>
        <v>0</v>
      </c>
    </row>
    <row r="427" spans="1:19" ht="15.75" hidden="1" x14ac:dyDescent="0.25">
      <c r="A427" s="632" t="s">
        <v>513</v>
      </c>
      <c r="B427" s="925"/>
      <c r="C427" s="754" t="s">
        <v>1118</v>
      </c>
      <c r="D427" s="549">
        <v>0</v>
      </c>
      <c r="E427" s="550">
        <v>105.22686809850676</v>
      </c>
      <c r="F427" s="551">
        <v>0</v>
      </c>
      <c r="G427" s="560">
        <v>9.4704181288656084</v>
      </c>
      <c r="H427" s="566">
        <v>114.69728622737236</v>
      </c>
      <c r="I427" s="567">
        <v>0</v>
      </c>
      <c r="J427" s="560">
        <v>0</v>
      </c>
      <c r="K427" s="568">
        <v>93.392061417501111</v>
      </c>
      <c r="L427" s="560">
        <v>17.74449166932521</v>
      </c>
      <c r="M427" s="1057">
        <f t="shared" ref="M427:N488" si="57">I427+K427</f>
        <v>93.392061417501111</v>
      </c>
      <c r="N427" s="1058">
        <f t="shared" si="57"/>
        <v>17.74449166932521</v>
      </c>
      <c r="O427" s="569">
        <v>0</v>
      </c>
      <c r="P427" s="560">
        <v>0</v>
      </c>
      <c r="Q427" s="571">
        <v>225.83383931419868</v>
      </c>
      <c r="R427" s="1075">
        <f t="shared" si="56"/>
        <v>225.83383931419868</v>
      </c>
      <c r="S427" s="1075">
        <f t="shared" ref="S427:S490" si="58">Q427-R427</f>
        <v>0</v>
      </c>
    </row>
    <row r="428" spans="1:19" ht="15.75" hidden="1" x14ac:dyDescent="0.25">
      <c r="A428" s="632" t="s">
        <v>514</v>
      </c>
      <c r="B428" s="925"/>
      <c r="C428" s="754" t="s">
        <v>1118</v>
      </c>
      <c r="D428" s="549">
        <v>0</v>
      </c>
      <c r="E428" s="550">
        <v>82.32908995482191</v>
      </c>
      <c r="F428" s="551">
        <v>0</v>
      </c>
      <c r="G428" s="560">
        <v>7.4096180959339728</v>
      </c>
      <c r="H428" s="566">
        <v>89.738708050755889</v>
      </c>
      <c r="I428" s="567">
        <v>0</v>
      </c>
      <c r="J428" s="560">
        <v>0</v>
      </c>
      <c r="K428" s="568">
        <v>82.586368360930734</v>
      </c>
      <c r="L428" s="560">
        <v>15.69140998857684</v>
      </c>
      <c r="M428" s="1057">
        <f t="shared" si="57"/>
        <v>82.586368360930734</v>
      </c>
      <c r="N428" s="1058">
        <f t="shared" si="57"/>
        <v>15.69140998857684</v>
      </c>
      <c r="O428" s="569">
        <v>0</v>
      </c>
      <c r="P428" s="560">
        <v>0</v>
      </c>
      <c r="Q428" s="571">
        <v>188.01648640026346</v>
      </c>
      <c r="R428" s="1075">
        <f t="shared" si="56"/>
        <v>188.01648640026346</v>
      </c>
      <c r="S428" s="1075">
        <f t="shared" si="58"/>
        <v>0</v>
      </c>
    </row>
    <row r="429" spans="1:19" ht="15.75" hidden="1" x14ac:dyDescent="0.25">
      <c r="A429" s="632" t="s">
        <v>515</v>
      </c>
      <c r="B429" s="925"/>
      <c r="C429" s="754" t="s">
        <v>1118</v>
      </c>
      <c r="D429" s="549">
        <v>0</v>
      </c>
      <c r="E429" s="550">
        <v>95.450288666371662</v>
      </c>
      <c r="F429" s="551">
        <v>0</v>
      </c>
      <c r="G429" s="560">
        <v>8.5905259799734495</v>
      </c>
      <c r="H429" s="566">
        <v>104.04081464634511</v>
      </c>
      <c r="I429" s="567">
        <v>0</v>
      </c>
      <c r="J429" s="560">
        <v>0</v>
      </c>
      <c r="K429" s="568">
        <v>71.008840086033899</v>
      </c>
      <c r="L429" s="560">
        <v>13.49167961634644</v>
      </c>
      <c r="M429" s="1057">
        <f t="shared" si="57"/>
        <v>71.008840086033899</v>
      </c>
      <c r="N429" s="1058">
        <f t="shared" si="57"/>
        <v>13.49167961634644</v>
      </c>
      <c r="O429" s="569">
        <v>0</v>
      </c>
      <c r="P429" s="560">
        <v>0</v>
      </c>
      <c r="Q429" s="571">
        <v>188.54133434872543</v>
      </c>
      <c r="R429" s="1075">
        <f t="shared" si="56"/>
        <v>188.54133434872543</v>
      </c>
      <c r="S429" s="1075">
        <f t="shared" si="58"/>
        <v>0</v>
      </c>
    </row>
    <row r="430" spans="1:19" ht="15.75" hidden="1" x14ac:dyDescent="0.25">
      <c r="A430" s="632" t="s">
        <v>516</v>
      </c>
      <c r="B430" s="925"/>
      <c r="C430" s="754" t="s">
        <v>1118</v>
      </c>
      <c r="D430" s="549">
        <v>0</v>
      </c>
      <c r="E430" s="550">
        <v>119.37718043449178</v>
      </c>
      <c r="F430" s="551">
        <v>0</v>
      </c>
      <c r="G430" s="560">
        <v>10.743946239104259</v>
      </c>
      <c r="H430" s="566">
        <v>130.12112667359602</v>
      </c>
      <c r="I430" s="567">
        <v>0</v>
      </c>
      <c r="J430" s="560">
        <v>0</v>
      </c>
      <c r="K430" s="568">
        <v>66.892385588292811</v>
      </c>
      <c r="L430" s="560">
        <v>12.709553261775632</v>
      </c>
      <c r="M430" s="1057">
        <f t="shared" si="57"/>
        <v>66.892385588292811</v>
      </c>
      <c r="N430" s="1058">
        <f t="shared" si="57"/>
        <v>12.709553261775632</v>
      </c>
      <c r="O430" s="569">
        <v>0</v>
      </c>
      <c r="P430" s="560">
        <v>0</v>
      </c>
      <c r="Q430" s="571">
        <v>209.72306552366445</v>
      </c>
      <c r="R430" s="1075">
        <f t="shared" si="56"/>
        <v>209.72306552366445</v>
      </c>
      <c r="S430" s="1075">
        <f t="shared" si="58"/>
        <v>0</v>
      </c>
    </row>
    <row r="431" spans="1:19" ht="15.75" hidden="1" x14ac:dyDescent="0.25">
      <c r="A431" s="632" t="s">
        <v>875</v>
      </c>
      <c r="B431" s="925"/>
      <c r="C431" s="754" t="s">
        <v>1118</v>
      </c>
      <c r="D431" s="549">
        <v>0</v>
      </c>
      <c r="E431" s="550">
        <v>90.047442138086467</v>
      </c>
      <c r="F431" s="551">
        <v>0</v>
      </c>
      <c r="G431" s="560">
        <v>8.1042697924277824</v>
      </c>
      <c r="H431" s="566">
        <v>98.151711930514253</v>
      </c>
      <c r="I431" s="567">
        <v>0</v>
      </c>
      <c r="J431" s="560">
        <v>0</v>
      </c>
      <c r="K431" s="568">
        <v>76.411686614319095</v>
      </c>
      <c r="L431" s="560">
        <v>14.518220456720627</v>
      </c>
      <c r="M431" s="1057">
        <f t="shared" si="57"/>
        <v>76.411686614319095</v>
      </c>
      <c r="N431" s="1058">
        <f t="shared" si="57"/>
        <v>14.518220456720627</v>
      </c>
      <c r="O431" s="569">
        <v>0</v>
      </c>
      <c r="P431" s="560">
        <v>0</v>
      </c>
      <c r="Q431" s="571">
        <v>189.08161900155397</v>
      </c>
      <c r="R431" s="1075">
        <f t="shared" si="56"/>
        <v>189.08161900155397</v>
      </c>
      <c r="S431" s="1075">
        <f t="shared" si="58"/>
        <v>0</v>
      </c>
    </row>
    <row r="432" spans="1:19" ht="15.75" hidden="1" x14ac:dyDescent="0.25">
      <c r="A432" s="632" t="s">
        <v>517</v>
      </c>
      <c r="B432" s="925"/>
      <c r="C432" s="754" t="s">
        <v>1118</v>
      </c>
      <c r="D432" s="549">
        <v>0</v>
      </c>
      <c r="E432" s="550">
        <v>88.503771701433564</v>
      </c>
      <c r="F432" s="551">
        <v>0</v>
      </c>
      <c r="G432" s="560">
        <v>7.9653394531290207</v>
      </c>
      <c r="H432" s="566">
        <v>96.469111154562583</v>
      </c>
      <c r="I432" s="567">
        <v>0</v>
      </c>
      <c r="J432" s="560">
        <v>0</v>
      </c>
      <c r="K432" s="568">
        <v>76.926243426536729</v>
      </c>
      <c r="L432" s="560">
        <v>14.61598625104198</v>
      </c>
      <c r="M432" s="1057">
        <f t="shared" si="57"/>
        <v>76.926243426536729</v>
      </c>
      <c r="N432" s="1058">
        <f t="shared" si="57"/>
        <v>14.61598625104198</v>
      </c>
      <c r="O432" s="569">
        <v>0</v>
      </c>
      <c r="P432" s="560">
        <v>0</v>
      </c>
      <c r="Q432" s="571">
        <v>188.01134083214129</v>
      </c>
      <c r="R432" s="1075">
        <f t="shared" si="56"/>
        <v>188.01134083214129</v>
      </c>
      <c r="S432" s="1075">
        <f t="shared" si="58"/>
        <v>0</v>
      </c>
    </row>
    <row r="433" spans="1:19" ht="15.75" hidden="1" x14ac:dyDescent="0.25">
      <c r="A433" s="632" t="s">
        <v>873</v>
      </c>
      <c r="B433" s="803"/>
      <c r="C433" s="803" t="s">
        <v>1118</v>
      </c>
      <c r="D433" s="549">
        <v>0</v>
      </c>
      <c r="E433" s="550">
        <v>98.280351133568658</v>
      </c>
      <c r="F433" s="551">
        <v>0</v>
      </c>
      <c r="G433" s="560">
        <v>8.8452316020211796</v>
      </c>
      <c r="H433" s="566">
        <v>107.12558273558983</v>
      </c>
      <c r="I433" s="567">
        <v>0</v>
      </c>
      <c r="J433" s="560">
        <v>0</v>
      </c>
      <c r="K433" s="568">
        <v>39.106317728540411</v>
      </c>
      <c r="L433" s="560">
        <v>7.4302003684226774</v>
      </c>
      <c r="M433" s="1057">
        <f t="shared" si="57"/>
        <v>39.106317728540411</v>
      </c>
      <c r="N433" s="1058">
        <f t="shared" si="57"/>
        <v>7.4302003684226774</v>
      </c>
      <c r="O433" s="569">
        <v>0</v>
      </c>
      <c r="P433" s="560">
        <v>0</v>
      </c>
      <c r="Q433" s="571">
        <v>153.66210083255291</v>
      </c>
      <c r="R433" s="1075">
        <f t="shared" si="56"/>
        <v>153.66210083255291</v>
      </c>
      <c r="S433" s="1075">
        <f t="shared" si="58"/>
        <v>0</v>
      </c>
    </row>
    <row r="434" spans="1:19" ht="15.75" hidden="1" x14ac:dyDescent="0.25">
      <c r="A434" s="633" t="s">
        <v>520</v>
      </c>
      <c r="B434" s="803"/>
      <c r="C434" s="803" t="s">
        <v>1118</v>
      </c>
      <c r="D434" s="549">
        <v>0</v>
      </c>
      <c r="E434" s="550">
        <v>82.0718115487131</v>
      </c>
      <c r="F434" s="551">
        <v>0</v>
      </c>
      <c r="G434" s="560">
        <v>7.3864630393841786</v>
      </c>
      <c r="H434" s="566">
        <v>89.458274588097282</v>
      </c>
      <c r="I434" s="567">
        <v>0</v>
      </c>
      <c r="J434" s="560">
        <v>0</v>
      </c>
      <c r="K434" s="568">
        <v>78.98447067540728</v>
      </c>
      <c r="L434" s="560">
        <v>15.007049428327381</v>
      </c>
      <c r="M434" s="1057">
        <f t="shared" si="57"/>
        <v>78.98447067540728</v>
      </c>
      <c r="N434" s="1058">
        <f t="shared" si="57"/>
        <v>15.007049428327381</v>
      </c>
      <c r="O434" s="569">
        <v>0</v>
      </c>
      <c r="P434" s="560">
        <v>0</v>
      </c>
      <c r="Q434" s="571">
        <v>183.44979469183193</v>
      </c>
      <c r="R434" s="1075">
        <f t="shared" si="56"/>
        <v>183.44979469183193</v>
      </c>
      <c r="S434" s="1075">
        <f t="shared" si="58"/>
        <v>0</v>
      </c>
    </row>
    <row r="435" spans="1:19" ht="15.75" hidden="1" x14ac:dyDescent="0.25">
      <c r="A435" s="633" t="s">
        <v>597</v>
      </c>
      <c r="B435" s="803"/>
      <c r="C435" s="803" t="s">
        <v>1118</v>
      </c>
      <c r="D435" s="549">
        <v>0</v>
      </c>
      <c r="E435" s="550">
        <v>105.48414650461558</v>
      </c>
      <c r="F435" s="551">
        <v>0</v>
      </c>
      <c r="G435" s="560">
        <v>9.4935731854154017</v>
      </c>
      <c r="H435" s="566">
        <v>114.97771969003098</v>
      </c>
      <c r="I435" s="567">
        <v>0</v>
      </c>
      <c r="J435" s="560">
        <v>0</v>
      </c>
      <c r="K435" s="568">
        <v>74.353459365448543</v>
      </c>
      <c r="L435" s="560">
        <v>14.127157279435222</v>
      </c>
      <c r="M435" s="1057">
        <f t="shared" si="57"/>
        <v>74.353459365448543</v>
      </c>
      <c r="N435" s="1058">
        <f t="shared" si="57"/>
        <v>14.127157279435222</v>
      </c>
      <c r="O435" s="569">
        <v>0</v>
      </c>
      <c r="P435" s="560">
        <v>0</v>
      </c>
      <c r="Q435" s="571">
        <v>203.45833633491475</v>
      </c>
      <c r="R435" s="1075">
        <f t="shared" si="56"/>
        <v>203.45833633491475</v>
      </c>
      <c r="S435" s="1075">
        <f t="shared" si="58"/>
        <v>0</v>
      </c>
    </row>
    <row r="436" spans="1:19" ht="15.75" hidden="1" x14ac:dyDescent="0.25">
      <c r="A436" s="633" t="s">
        <v>860</v>
      </c>
      <c r="B436" s="803" t="s">
        <v>429</v>
      </c>
      <c r="C436" s="803" t="s">
        <v>1118</v>
      </c>
      <c r="D436" s="549">
        <v>0</v>
      </c>
      <c r="E436" s="550">
        <v>85.15915242201892</v>
      </c>
      <c r="F436" s="551">
        <v>0</v>
      </c>
      <c r="G436" s="560">
        <v>7.6643237179817021</v>
      </c>
      <c r="H436" s="566">
        <v>92.823476140000622</v>
      </c>
      <c r="I436" s="567">
        <v>0</v>
      </c>
      <c r="J436" s="560">
        <v>0</v>
      </c>
      <c r="K436" s="568">
        <v>44.766442662934416</v>
      </c>
      <c r="L436" s="560">
        <v>8.5056241059575388</v>
      </c>
      <c r="M436" s="1057">
        <f t="shared" si="57"/>
        <v>44.766442662934416</v>
      </c>
      <c r="N436" s="1058">
        <f t="shared" si="57"/>
        <v>8.5056241059575388</v>
      </c>
      <c r="O436" s="569">
        <v>0</v>
      </c>
      <c r="P436" s="560">
        <v>0</v>
      </c>
      <c r="Q436" s="571">
        <v>146.09554290889258</v>
      </c>
      <c r="R436" s="1075">
        <f t="shared" si="56"/>
        <v>146.09554290889258</v>
      </c>
      <c r="S436" s="1075">
        <f t="shared" si="58"/>
        <v>0</v>
      </c>
    </row>
    <row r="437" spans="1:19" ht="15.75" hidden="1" x14ac:dyDescent="0.25">
      <c r="A437" s="633" t="s">
        <v>769</v>
      </c>
      <c r="B437" s="803"/>
      <c r="C437" s="803" t="s">
        <v>1118</v>
      </c>
      <c r="D437" s="549">
        <v>0</v>
      </c>
      <c r="E437" s="550">
        <v>89.532885325868833</v>
      </c>
      <c r="F437" s="551">
        <v>0</v>
      </c>
      <c r="G437" s="560">
        <v>8.0579596793281958</v>
      </c>
      <c r="H437" s="566">
        <v>97.590845005197025</v>
      </c>
      <c r="I437" s="567">
        <v>0</v>
      </c>
      <c r="J437" s="560">
        <v>0</v>
      </c>
      <c r="K437" s="568">
        <v>71.008840086033899</v>
      </c>
      <c r="L437" s="560">
        <v>13.49167961634644</v>
      </c>
      <c r="M437" s="1057">
        <f t="shared" si="57"/>
        <v>71.008840086033899</v>
      </c>
      <c r="N437" s="1058">
        <f t="shared" si="57"/>
        <v>13.49167961634644</v>
      </c>
      <c r="O437" s="569">
        <v>0</v>
      </c>
      <c r="P437" s="560">
        <v>0</v>
      </c>
      <c r="Q437" s="571">
        <v>182.09136470757736</v>
      </c>
      <c r="R437" s="1075">
        <f t="shared" si="56"/>
        <v>182.09136470757736</v>
      </c>
      <c r="S437" s="1075">
        <f t="shared" si="58"/>
        <v>0</v>
      </c>
    </row>
    <row r="438" spans="1:19" ht="15.75" hidden="1" x14ac:dyDescent="0.25">
      <c r="A438" s="633" t="s">
        <v>771</v>
      </c>
      <c r="B438" s="803"/>
      <c r="C438" s="803" t="s">
        <v>1118</v>
      </c>
      <c r="D438" s="549">
        <v>0</v>
      </c>
      <c r="E438" s="550">
        <v>91.848390980848194</v>
      </c>
      <c r="F438" s="551">
        <v>0</v>
      </c>
      <c r="G438" s="560">
        <v>8.2663551882763393</v>
      </c>
      <c r="H438" s="566">
        <v>100.11474616912453</v>
      </c>
      <c r="I438" s="567">
        <v>0</v>
      </c>
      <c r="J438" s="560">
        <v>0</v>
      </c>
      <c r="K438" s="568">
        <v>62.775931090551708</v>
      </c>
      <c r="L438" s="560">
        <v>11.927426907204826</v>
      </c>
      <c r="M438" s="1057">
        <f t="shared" si="57"/>
        <v>62.775931090551708</v>
      </c>
      <c r="N438" s="1058">
        <f t="shared" si="57"/>
        <v>11.927426907204826</v>
      </c>
      <c r="O438" s="569">
        <v>0</v>
      </c>
      <c r="P438" s="560">
        <v>0</v>
      </c>
      <c r="Q438" s="571">
        <v>174.81810416688106</v>
      </c>
      <c r="R438" s="1075">
        <f t="shared" si="56"/>
        <v>174.81810416688106</v>
      </c>
      <c r="S438" s="1075">
        <f t="shared" si="58"/>
        <v>0</v>
      </c>
    </row>
    <row r="439" spans="1:19" ht="15.75" hidden="1" x14ac:dyDescent="0.25">
      <c r="A439" s="633" t="s">
        <v>861</v>
      </c>
      <c r="B439" s="803"/>
      <c r="C439" s="803" t="s">
        <v>1118</v>
      </c>
      <c r="D439" s="549">
        <v>0</v>
      </c>
      <c r="E439" s="550">
        <v>100.08129997633038</v>
      </c>
      <c r="F439" s="551">
        <v>0</v>
      </c>
      <c r="G439" s="560">
        <v>9.0073169978697347</v>
      </c>
      <c r="H439" s="566">
        <v>109.08861697420012</v>
      </c>
      <c r="I439" s="567">
        <v>0</v>
      </c>
      <c r="J439" s="560">
        <v>0</v>
      </c>
      <c r="K439" s="568">
        <v>88.24649329532474</v>
      </c>
      <c r="L439" s="560">
        <v>16.766833726111702</v>
      </c>
      <c r="M439" s="1057">
        <f t="shared" si="57"/>
        <v>88.24649329532474</v>
      </c>
      <c r="N439" s="1058">
        <f t="shared" si="57"/>
        <v>16.766833726111702</v>
      </c>
      <c r="O439" s="569">
        <v>0</v>
      </c>
      <c r="P439" s="560">
        <v>0</v>
      </c>
      <c r="Q439" s="571">
        <v>214.10194399563659</v>
      </c>
      <c r="R439" s="1075">
        <f t="shared" si="56"/>
        <v>214.10194399563659</v>
      </c>
      <c r="S439" s="1075">
        <f t="shared" si="58"/>
        <v>0</v>
      </c>
    </row>
    <row r="440" spans="1:19" ht="15.75" hidden="1" x14ac:dyDescent="0.25">
      <c r="A440" s="633" t="s">
        <v>862</v>
      </c>
      <c r="B440" s="803"/>
      <c r="C440" s="803" t="s">
        <v>1118</v>
      </c>
      <c r="D440" s="549">
        <v>0</v>
      </c>
      <c r="E440" s="550">
        <v>106.25598172294204</v>
      </c>
      <c r="F440" s="551">
        <v>0</v>
      </c>
      <c r="G440" s="560">
        <v>9.5630383550647835</v>
      </c>
      <c r="H440" s="566">
        <v>115.81902007800682</v>
      </c>
      <c r="I440" s="567">
        <v>0</v>
      </c>
      <c r="J440" s="560">
        <v>0</v>
      </c>
      <c r="K440" s="568">
        <v>66.892385588292811</v>
      </c>
      <c r="L440" s="560">
        <v>12.709553261775632</v>
      </c>
      <c r="M440" s="1057">
        <f t="shared" si="57"/>
        <v>66.892385588292811</v>
      </c>
      <c r="N440" s="1058">
        <f t="shared" si="57"/>
        <v>12.709553261775632</v>
      </c>
      <c r="O440" s="569">
        <v>0</v>
      </c>
      <c r="P440" s="560">
        <v>0</v>
      </c>
      <c r="Q440" s="571">
        <v>195.42095892807527</v>
      </c>
      <c r="R440" s="1075">
        <f t="shared" si="56"/>
        <v>195.42095892807527</v>
      </c>
      <c r="S440" s="1075">
        <f t="shared" si="58"/>
        <v>0</v>
      </c>
    </row>
    <row r="441" spans="1:19" ht="15.75" hidden="1" x14ac:dyDescent="0.25">
      <c r="A441" s="633" t="s">
        <v>863</v>
      </c>
      <c r="B441" s="803"/>
      <c r="C441" s="803" t="s">
        <v>1118</v>
      </c>
      <c r="D441" s="549">
        <v>0</v>
      </c>
      <c r="E441" s="550">
        <v>91.591112574739384</v>
      </c>
      <c r="F441" s="551">
        <v>0</v>
      </c>
      <c r="G441" s="560">
        <v>8.2432001317265442</v>
      </c>
      <c r="H441" s="566">
        <v>99.834312706465923</v>
      </c>
      <c r="I441" s="567">
        <v>0</v>
      </c>
      <c r="J441" s="560">
        <v>0</v>
      </c>
      <c r="K441" s="568">
        <v>66.635107182183987</v>
      </c>
      <c r="L441" s="560">
        <v>12.660670364614958</v>
      </c>
      <c r="M441" s="1057">
        <f t="shared" si="57"/>
        <v>66.635107182183987</v>
      </c>
      <c r="N441" s="1058">
        <f t="shared" si="57"/>
        <v>12.660670364614958</v>
      </c>
      <c r="O441" s="569">
        <v>0</v>
      </c>
      <c r="P441" s="560">
        <v>0</v>
      </c>
      <c r="Q441" s="571">
        <v>179.13009025326485</v>
      </c>
      <c r="R441" s="1075">
        <f t="shared" si="56"/>
        <v>179.13009025326485</v>
      </c>
      <c r="S441" s="1075">
        <f t="shared" si="58"/>
        <v>0</v>
      </c>
    </row>
    <row r="442" spans="1:19" ht="15.75" hidden="1" x14ac:dyDescent="0.25">
      <c r="A442" s="633" t="s">
        <v>864</v>
      </c>
      <c r="B442" s="803"/>
      <c r="C442" s="803" t="s">
        <v>1118</v>
      </c>
      <c r="D442" s="549">
        <v>0</v>
      </c>
      <c r="E442" s="550">
        <v>91.591112574739384</v>
      </c>
      <c r="F442" s="551">
        <v>0</v>
      </c>
      <c r="G442" s="560">
        <v>8.2432001317265442</v>
      </c>
      <c r="H442" s="566">
        <v>99.834312706465923</v>
      </c>
      <c r="I442" s="567">
        <v>0</v>
      </c>
      <c r="J442" s="560">
        <v>0</v>
      </c>
      <c r="K442" s="568">
        <v>78.212635457080822</v>
      </c>
      <c r="L442" s="560">
        <v>14.860400736845355</v>
      </c>
      <c r="M442" s="1057">
        <f t="shared" si="57"/>
        <v>78.212635457080822</v>
      </c>
      <c r="N442" s="1058">
        <f t="shared" si="57"/>
        <v>14.860400736845355</v>
      </c>
      <c r="O442" s="569">
        <v>0</v>
      </c>
      <c r="P442" s="560">
        <v>0</v>
      </c>
      <c r="Q442" s="571">
        <v>192.90734890039209</v>
      </c>
      <c r="R442" s="1075">
        <f t="shared" si="56"/>
        <v>192.90734890039209</v>
      </c>
      <c r="S442" s="1075">
        <f t="shared" si="58"/>
        <v>0</v>
      </c>
    </row>
    <row r="443" spans="1:19" ht="15.75" hidden="1" x14ac:dyDescent="0.25">
      <c r="A443" s="633" t="s">
        <v>865</v>
      </c>
      <c r="B443" s="803"/>
      <c r="C443" s="803" t="s">
        <v>1118</v>
      </c>
      <c r="D443" s="549">
        <v>0</v>
      </c>
      <c r="E443" s="550">
        <v>89.275606919760008</v>
      </c>
      <c r="F443" s="551">
        <v>0</v>
      </c>
      <c r="G443" s="560">
        <v>8.0348046227784007</v>
      </c>
      <c r="H443" s="566">
        <v>97.310411542538404</v>
      </c>
      <c r="I443" s="567">
        <v>0</v>
      </c>
      <c r="J443" s="560">
        <v>0</v>
      </c>
      <c r="K443" s="568">
        <v>66.120550369966352</v>
      </c>
      <c r="L443" s="560">
        <v>12.562904570293606</v>
      </c>
      <c r="M443" s="1057">
        <f t="shared" si="57"/>
        <v>66.120550369966352</v>
      </c>
      <c r="N443" s="1058">
        <f t="shared" si="57"/>
        <v>12.562904570293606</v>
      </c>
      <c r="O443" s="569">
        <v>0</v>
      </c>
      <c r="P443" s="560">
        <v>0</v>
      </c>
      <c r="Q443" s="571">
        <v>175.99386648279835</v>
      </c>
      <c r="R443" s="1075">
        <f t="shared" si="56"/>
        <v>175.99386648279835</v>
      </c>
      <c r="S443" s="1075">
        <f t="shared" si="58"/>
        <v>0</v>
      </c>
    </row>
    <row r="444" spans="1:19" ht="15.75" hidden="1" x14ac:dyDescent="0.25">
      <c r="A444" s="633" t="s">
        <v>866</v>
      </c>
      <c r="B444" s="803"/>
      <c r="C444" s="803" t="s">
        <v>1118</v>
      </c>
      <c r="D444" s="549">
        <v>0</v>
      </c>
      <c r="E444" s="550">
        <v>104.71231128628912</v>
      </c>
      <c r="F444" s="551">
        <v>0</v>
      </c>
      <c r="G444" s="560">
        <v>9.4241080157660218</v>
      </c>
      <c r="H444" s="566">
        <v>114.13641930205515</v>
      </c>
      <c r="I444" s="567">
        <v>0</v>
      </c>
      <c r="J444" s="560">
        <v>0</v>
      </c>
      <c r="K444" s="568">
        <v>58.144919780592978</v>
      </c>
      <c r="L444" s="560">
        <v>11.047534758312665</v>
      </c>
      <c r="M444" s="1057">
        <f t="shared" si="57"/>
        <v>58.144919780592978</v>
      </c>
      <c r="N444" s="1058">
        <f t="shared" si="57"/>
        <v>11.047534758312665</v>
      </c>
      <c r="O444" s="569">
        <v>0</v>
      </c>
      <c r="P444" s="560">
        <v>0</v>
      </c>
      <c r="Q444" s="571">
        <v>183.3288738409608</v>
      </c>
      <c r="R444" s="1075">
        <f t="shared" si="56"/>
        <v>183.3288738409608</v>
      </c>
      <c r="S444" s="1075">
        <f t="shared" si="58"/>
        <v>0</v>
      </c>
    </row>
    <row r="445" spans="1:19" ht="15.75" hidden="1" x14ac:dyDescent="0.25">
      <c r="A445" s="633" t="s">
        <v>867</v>
      </c>
      <c r="B445" s="803"/>
      <c r="C445" s="803" t="s">
        <v>1118</v>
      </c>
      <c r="D445" s="549">
        <v>0</v>
      </c>
      <c r="E445" s="550">
        <v>81.299976330386642</v>
      </c>
      <c r="F445" s="551">
        <v>0</v>
      </c>
      <c r="G445" s="560">
        <v>7.3169978697347977</v>
      </c>
      <c r="H445" s="566">
        <v>88.616974200121433</v>
      </c>
      <c r="I445" s="567">
        <v>0</v>
      </c>
      <c r="J445" s="560">
        <v>0</v>
      </c>
      <c r="K445" s="568">
        <v>79.499027487624915</v>
      </c>
      <c r="L445" s="560">
        <v>15.104815222648734</v>
      </c>
      <c r="M445" s="1057">
        <f t="shared" si="57"/>
        <v>79.499027487624915</v>
      </c>
      <c r="N445" s="1058">
        <f t="shared" si="57"/>
        <v>15.104815222648734</v>
      </c>
      <c r="O445" s="569">
        <v>0</v>
      </c>
      <c r="P445" s="560">
        <v>0</v>
      </c>
      <c r="Q445" s="571">
        <v>183.22081691039509</v>
      </c>
      <c r="R445" s="1075">
        <f t="shared" si="56"/>
        <v>183.22081691039509</v>
      </c>
      <c r="S445" s="1075">
        <f t="shared" si="58"/>
        <v>0</v>
      </c>
    </row>
    <row r="446" spans="1:19" ht="15.75" hidden="1" x14ac:dyDescent="0.25">
      <c r="A446" s="633" t="s">
        <v>868</v>
      </c>
      <c r="B446" s="803"/>
      <c r="C446" s="803" t="s">
        <v>1118</v>
      </c>
      <c r="D446" s="549">
        <v>0</v>
      </c>
      <c r="E446" s="550">
        <v>82.586368360930734</v>
      </c>
      <c r="F446" s="551">
        <v>0</v>
      </c>
      <c r="G446" s="560">
        <v>7.4327731524837661</v>
      </c>
      <c r="H446" s="566">
        <v>90.019141513414496</v>
      </c>
      <c r="I446" s="567">
        <v>0</v>
      </c>
      <c r="J446" s="560">
        <v>0</v>
      </c>
      <c r="K446" s="568">
        <v>54.800300501178334</v>
      </c>
      <c r="L446" s="560">
        <v>10.412057095223883</v>
      </c>
      <c r="M446" s="1057">
        <f t="shared" si="57"/>
        <v>54.800300501178334</v>
      </c>
      <c r="N446" s="1058">
        <f t="shared" si="57"/>
        <v>10.412057095223883</v>
      </c>
      <c r="O446" s="569">
        <v>0</v>
      </c>
      <c r="P446" s="560">
        <v>0</v>
      </c>
      <c r="Q446" s="571">
        <v>155.2314991098167</v>
      </c>
      <c r="R446" s="1075">
        <f t="shared" si="56"/>
        <v>155.2314991098167</v>
      </c>
      <c r="S446" s="1075">
        <f t="shared" si="58"/>
        <v>0</v>
      </c>
    </row>
    <row r="447" spans="1:19" ht="15.75" hidden="1" x14ac:dyDescent="0.25">
      <c r="A447" s="633" t="s">
        <v>870</v>
      </c>
      <c r="B447" s="803"/>
      <c r="C447" s="803" t="s">
        <v>1118</v>
      </c>
      <c r="D447" s="549">
        <v>0</v>
      </c>
      <c r="E447" s="550">
        <v>108.5714873779214</v>
      </c>
      <c r="F447" s="551">
        <v>0</v>
      </c>
      <c r="G447" s="560">
        <v>9.7714338640129252</v>
      </c>
      <c r="H447" s="566">
        <v>118.34292124193432</v>
      </c>
      <c r="I447" s="567">
        <v>0</v>
      </c>
      <c r="J447" s="560">
        <v>0</v>
      </c>
      <c r="K447" s="568">
        <v>56.086692531722427</v>
      </c>
      <c r="L447" s="560">
        <v>10.656471581027262</v>
      </c>
      <c r="M447" s="1057">
        <f t="shared" si="57"/>
        <v>56.086692531722427</v>
      </c>
      <c r="N447" s="1058">
        <f t="shared" si="57"/>
        <v>10.656471581027262</v>
      </c>
      <c r="O447" s="569">
        <v>0</v>
      </c>
      <c r="P447" s="560">
        <v>0</v>
      </c>
      <c r="Q447" s="571">
        <v>185.086085354684</v>
      </c>
      <c r="R447" s="1075">
        <f t="shared" si="56"/>
        <v>185.086085354684</v>
      </c>
      <c r="S447" s="1075">
        <f t="shared" si="58"/>
        <v>0</v>
      </c>
    </row>
    <row r="448" spans="1:19" ht="15.75" hidden="1" x14ac:dyDescent="0.25">
      <c r="A448" s="633" t="s">
        <v>871</v>
      </c>
      <c r="B448" s="803"/>
      <c r="C448" s="803" t="s">
        <v>1118</v>
      </c>
      <c r="D448" s="549">
        <v>0</v>
      </c>
      <c r="E448" s="550">
        <v>94.935731854154014</v>
      </c>
      <c r="F448" s="551">
        <v>0</v>
      </c>
      <c r="G448" s="560">
        <v>8.5442158668738628</v>
      </c>
      <c r="H448" s="566">
        <v>103.47994772102788</v>
      </c>
      <c r="I448" s="567">
        <v>0</v>
      </c>
      <c r="J448" s="560">
        <v>0</v>
      </c>
      <c r="K448" s="568">
        <v>52.227516440090149</v>
      </c>
      <c r="L448" s="560">
        <v>9.9232281236171289</v>
      </c>
      <c r="M448" s="1057">
        <f t="shared" si="57"/>
        <v>52.227516440090149</v>
      </c>
      <c r="N448" s="1058">
        <f t="shared" si="57"/>
        <v>9.9232281236171289</v>
      </c>
      <c r="O448" s="569">
        <v>0</v>
      </c>
      <c r="P448" s="560">
        <v>0</v>
      </c>
      <c r="Q448" s="571">
        <v>165.63069228473515</v>
      </c>
      <c r="R448" s="1075">
        <f t="shared" si="56"/>
        <v>165.63069228473515</v>
      </c>
      <c r="S448" s="1075">
        <f t="shared" si="58"/>
        <v>0</v>
      </c>
    </row>
    <row r="449" spans="1:19" ht="15.75" hidden="1" x14ac:dyDescent="0.25">
      <c r="A449" s="633" t="s">
        <v>872</v>
      </c>
      <c r="B449" s="803"/>
      <c r="C449" s="803" t="s">
        <v>1118</v>
      </c>
      <c r="D449" s="549">
        <v>0</v>
      </c>
      <c r="E449" s="550">
        <v>103.68319766185385</v>
      </c>
      <c r="F449" s="551">
        <v>0</v>
      </c>
      <c r="G449" s="560">
        <v>9.3314877895668467</v>
      </c>
      <c r="H449" s="566">
        <v>113.0146854514207</v>
      </c>
      <c r="I449" s="567">
        <v>0</v>
      </c>
      <c r="J449" s="560">
        <v>0</v>
      </c>
      <c r="K449" s="568">
        <v>57.37308456226652</v>
      </c>
      <c r="L449" s="560">
        <v>10.900886066830639</v>
      </c>
      <c r="M449" s="1057">
        <f t="shared" si="57"/>
        <v>57.37308456226652</v>
      </c>
      <c r="N449" s="1058">
        <f t="shared" si="57"/>
        <v>10.900886066830639</v>
      </c>
      <c r="O449" s="569">
        <v>0</v>
      </c>
      <c r="P449" s="560">
        <v>0</v>
      </c>
      <c r="Q449" s="571">
        <v>181.28865608051788</v>
      </c>
      <c r="R449" s="1075">
        <f t="shared" si="56"/>
        <v>181.28865608051788</v>
      </c>
      <c r="S449" s="1075">
        <f t="shared" si="58"/>
        <v>0</v>
      </c>
    </row>
    <row r="450" spans="1:19" ht="15.75" hidden="1" x14ac:dyDescent="0.25">
      <c r="A450" s="633" t="s">
        <v>874</v>
      </c>
      <c r="B450" s="803"/>
      <c r="C450" s="803" t="s">
        <v>1118</v>
      </c>
      <c r="D450" s="549">
        <v>0</v>
      </c>
      <c r="E450" s="550">
        <v>98.023072727459848</v>
      </c>
      <c r="F450" s="551">
        <v>0</v>
      </c>
      <c r="G450" s="560">
        <v>8.8220765454713863</v>
      </c>
      <c r="H450" s="566">
        <v>106.84514927293124</v>
      </c>
      <c r="I450" s="567">
        <v>0</v>
      </c>
      <c r="J450" s="560">
        <v>0</v>
      </c>
      <c r="K450" s="568">
        <v>92.362947793065842</v>
      </c>
      <c r="L450" s="560">
        <v>17.548960080682509</v>
      </c>
      <c r="M450" s="1057">
        <f t="shared" si="57"/>
        <v>92.362947793065842</v>
      </c>
      <c r="N450" s="1058">
        <f t="shared" si="57"/>
        <v>17.548960080682509</v>
      </c>
      <c r="O450" s="569">
        <v>0</v>
      </c>
      <c r="P450" s="560">
        <v>0</v>
      </c>
      <c r="Q450" s="571">
        <v>216.75705714667961</v>
      </c>
      <c r="R450" s="1075">
        <f t="shared" si="56"/>
        <v>216.75705714667961</v>
      </c>
      <c r="S450" s="1075">
        <f t="shared" si="58"/>
        <v>0</v>
      </c>
    </row>
    <row r="451" spans="1:19" ht="16.5" hidden="1" thickBot="1" x14ac:dyDescent="0.3">
      <c r="A451" s="648" t="s">
        <v>598</v>
      </c>
      <c r="B451" s="803"/>
      <c r="C451" s="803" t="s">
        <v>1118</v>
      </c>
      <c r="D451" s="549">
        <v>0</v>
      </c>
      <c r="E451" s="550">
        <v>94.42117504193638</v>
      </c>
      <c r="F451" s="551">
        <v>0</v>
      </c>
      <c r="G451" s="560">
        <v>8.4979057537742744</v>
      </c>
      <c r="H451" s="566">
        <v>102.91908079571066</v>
      </c>
      <c r="I451" s="567">
        <v>0</v>
      </c>
      <c r="J451" s="560">
        <v>0</v>
      </c>
      <c r="K451" s="568">
        <v>97.508515915242199</v>
      </c>
      <c r="L451" s="560">
        <v>18.52661802389602</v>
      </c>
      <c r="M451" s="1057">
        <f t="shared" si="57"/>
        <v>97.508515915242199</v>
      </c>
      <c r="N451" s="1058">
        <f t="shared" si="57"/>
        <v>18.52661802389602</v>
      </c>
      <c r="O451" s="569">
        <v>0</v>
      </c>
      <c r="P451" s="560">
        <v>0</v>
      </c>
      <c r="Q451" s="571">
        <v>218.95421473484888</v>
      </c>
      <c r="R451" s="1075">
        <f t="shared" ref="R451:R488" si="59">H451+M451+N451+O451+P451</f>
        <v>218.95421473484888</v>
      </c>
      <c r="S451" s="1075">
        <f t="shared" si="58"/>
        <v>0</v>
      </c>
    </row>
    <row r="452" spans="1:19" ht="15.75" hidden="1" x14ac:dyDescent="0.25">
      <c r="A452" s="653" t="s">
        <v>887</v>
      </c>
      <c r="B452" s="653" t="s">
        <v>429</v>
      </c>
      <c r="C452" s="653" t="s">
        <v>1120</v>
      </c>
      <c r="D452" s="549">
        <v>0</v>
      </c>
      <c r="E452" s="550">
        <v>53.357096971229694</v>
      </c>
      <c r="F452" s="551">
        <v>0</v>
      </c>
      <c r="G452" s="560">
        <v>0</v>
      </c>
      <c r="H452" s="566">
        <v>53.357096971229694</v>
      </c>
      <c r="I452" s="567">
        <v>38.256031790692987</v>
      </c>
      <c r="J452" s="560">
        <v>0</v>
      </c>
      <c r="K452" s="568">
        <v>0</v>
      </c>
      <c r="L452" s="560">
        <v>0</v>
      </c>
      <c r="M452" s="1057">
        <f t="shared" si="57"/>
        <v>38.256031790692987</v>
      </c>
      <c r="N452" s="1058">
        <f t="shared" si="57"/>
        <v>0</v>
      </c>
      <c r="O452" s="569">
        <v>0</v>
      </c>
      <c r="P452" s="560">
        <v>0</v>
      </c>
      <c r="Q452" s="571">
        <v>91.613128761922681</v>
      </c>
      <c r="R452" s="1075">
        <f t="shared" si="59"/>
        <v>91.613128761922681</v>
      </c>
      <c r="S452" s="1075">
        <f t="shared" si="58"/>
        <v>0</v>
      </c>
    </row>
    <row r="453" spans="1:19" ht="16.5" hidden="1" thickBot="1" x14ac:dyDescent="0.3">
      <c r="A453" s="652" t="s">
        <v>694</v>
      </c>
      <c r="B453" s="651"/>
      <c r="C453" s="823" t="s">
        <v>1120</v>
      </c>
      <c r="D453" s="549">
        <v>0</v>
      </c>
      <c r="E453" s="550">
        <v>48.288693485348411</v>
      </c>
      <c r="F453" s="551">
        <v>2.0134753574048943</v>
      </c>
      <c r="G453" s="560">
        <v>0</v>
      </c>
      <c r="H453" s="566">
        <v>50.302168842753304</v>
      </c>
      <c r="I453" s="567">
        <v>42.19619477458015</v>
      </c>
      <c r="J453" s="560">
        <v>0</v>
      </c>
      <c r="K453" s="568">
        <v>0</v>
      </c>
      <c r="L453" s="560">
        <v>0</v>
      </c>
      <c r="M453" s="1057">
        <f t="shared" si="57"/>
        <v>42.19619477458015</v>
      </c>
      <c r="N453" s="1058">
        <f t="shared" si="57"/>
        <v>0</v>
      </c>
      <c r="O453" s="569">
        <v>2.1870508192501439</v>
      </c>
      <c r="P453" s="560">
        <v>0</v>
      </c>
      <c r="Q453" s="571">
        <v>94.685414436583599</v>
      </c>
      <c r="R453" s="1075">
        <f t="shared" si="59"/>
        <v>94.685414436583599</v>
      </c>
      <c r="S453" s="1075">
        <f t="shared" si="58"/>
        <v>0</v>
      </c>
    </row>
    <row r="454" spans="1:19" ht="15.75" hidden="1" x14ac:dyDescent="0.25">
      <c r="A454" s="638" t="s">
        <v>143</v>
      </c>
      <c r="B454" s="693" t="s">
        <v>429</v>
      </c>
      <c r="C454" s="806" t="s">
        <v>1131</v>
      </c>
      <c r="D454" s="549">
        <v>0</v>
      </c>
      <c r="E454" s="550">
        <v>53.618909463360751</v>
      </c>
      <c r="F454" s="551">
        <v>0</v>
      </c>
      <c r="G454" s="560">
        <v>0</v>
      </c>
      <c r="H454" s="566">
        <v>53.618909463360751</v>
      </c>
      <c r="I454" s="567">
        <v>0</v>
      </c>
      <c r="J454" s="560">
        <v>0</v>
      </c>
      <c r="K454" s="568">
        <v>0</v>
      </c>
      <c r="L454" s="560">
        <v>0</v>
      </c>
      <c r="M454" s="1057">
        <f t="shared" si="57"/>
        <v>0</v>
      </c>
      <c r="N454" s="1058">
        <f t="shared" si="57"/>
        <v>0</v>
      </c>
      <c r="O454" s="569">
        <v>0</v>
      </c>
      <c r="P454" s="560">
        <v>0</v>
      </c>
      <c r="Q454" s="571">
        <v>53.618909463360751</v>
      </c>
      <c r="R454" s="1075">
        <f t="shared" si="59"/>
        <v>53.618909463360751</v>
      </c>
      <c r="S454" s="1075">
        <f t="shared" si="58"/>
        <v>0</v>
      </c>
    </row>
    <row r="455" spans="1:19" ht="15.75" hidden="1" x14ac:dyDescent="0.25">
      <c r="A455" s="639" t="s">
        <v>144</v>
      </c>
      <c r="B455" s="639"/>
      <c r="C455" s="724" t="s">
        <v>1131</v>
      </c>
      <c r="D455" s="549">
        <v>0</v>
      </c>
      <c r="E455" s="550">
        <v>72.194801537540272</v>
      </c>
      <c r="F455" s="551">
        <v>0</v>
      </c>
      <c r="G455" s="560">
        <v>0</v>
      </c>
      <c r="H455" s="566">
        <v>72.194801537540272</v>
      </c>
      <c r="I455" s="567">
        <v>0</v>
      </c>
      <c r="J455" s="560">
        <v>0</v>
      </c>
      <c r="K455" s="568">
        <v>0</v>
      </c>
      <c r="L455" s="560">
        <v>0</v>
      </c>
      <c r="M455" s="1057">
        <f t="shared" si="57"/>
        <v>0</v>
      </c>
      <c r="N455" s="1058">
        <f t="shared" si="57"/>
        <v>0</v>
      </c>
      <c r="O455" s="569">
        <v>0</v>
      </c>
      <c r="P455" s="560">
        <v>0</v>
      </c>
      <c r="Q455" s="571">
        <v>72.194801537540272</v>
      </c>
      <c r="R455" s="1075">
        <f t="shared" si="59"/>
        <v>72.194801537540272</v>
      </c>
      <c r="S455" s="1075">
        <f t="shared" si="58"/>
        <v>0</v>
      </c>
    </row>
    <row r="456" spans="1:19" ht="15.75" hidden="1" x14ac:dyDescent="0.25">
      <c r="A456" s="639" t="s">
        <v>145</v>
      </c>
      <c r="B456" s="639"/>
      <c r="C456" s="724" t="s">
        <v>1131</v>
      </c>
      <c r="D456" s="549">
        <v>0</v>
      </c>
      <c r="E456" s="550">
        <v>64.603241204500208</v>
      </c>
      <c r="F456" s="551">
        <v>0</v>
      </c>
      <c r="G456" s="560">
        <v>0</v>
      </c>
      <c r="H456" s="566">
        <v>64.603241204500208</v>
      </c>
      <c r="I456" s="567">
        <v>0</v>
      </c>
      <c r="J456" s="560">
        <v>0</v>
      </c>
      <c r="K456" s="568">
        <v>0</v>
      </c>
      <c r="L456" s="560">
        <v>0</v>
      </c>
      <c r="M456" s="1057">
        <f t="shared" si="57"/>
        <v>0</v>
      </c>
      <c r="N456" s="1058">
        <f t="shared" si="57"/>
        <v>0</v>
      </c>
      <c r="O456" s="569">
        <v>0</v>
      </c>
      <c r="P456" s="560">
        <v>0</v>
      </c>
      <c r="Q456" s="571">
        <v>64.603241204500208</v>
      </c>
      <c r="R456" s="1075">
        <f t="shared" si="59"/>
        <v>64.603241204500208</v>
      </c>
      <c r="S456" s="1075">
        <f t="shared" si="58"/>
        <v>0</v>
      </c>
    </row>
    <row r="457" spans="1:19" ht="15.75" hidden="1" x14ac:dyDescent="0.25">
      <c r="A457" s="639" t="s">
        <v>146</v>
      </c>
      <c r="B457" s="639"/>
      <c r="C457" s="724" t="s">
        <v>1131</v>
      </c>
      <c r="D457" s="549">
        <v>0</v>
      </c>
      <c r="E457" s="550">
        <v>62.934972390572881</v>
      </c>
      <c r="F457" s="551">
        <v>0</v>
      </c>
      <c r="G457" s="560">
        <v>0</v>
      </c>
      <c r="H457" s="566">
        <v>62.934972390572881</v>
      </c>
      <c r="I457" s="567">
        <v>0</v>
      </c>
      <c r="J457" s="560">
        <v>0</v>
      </c>
      <c r="K457" s="568">
        <v>0</v>
      </c>
      <c r="L457" s="560">
        <v>0</v>
      </c>
      <c r="M457" s="1057">
        <f t="shared" si="57"/>
        <v>0</v>
      </c>
      <c r="N457" s="1058">
        <f t="shared" si="57"/>
        <v>0</v>
      </c>
      <c r="O457" s="569">
        <v>0</v>
      </c>
      <c r="P457" s="560">
        <v>0</v>
      </c>
      <c r="Q457" s="571">
        <v>62.934972390572881</v>
      </c>
      <c r="R457" s="1075">
        <f t="shared" si="59"/>
        <v>62.934972390572881</v>
      </c>
      <c r="S457" s="1075">
        <f t="shared" si="58"/>
        <v>0</v>
      </c>
    </row>
    <row r="458" spans="1:19" ht="15.75" hidden="1" x14ac:dyDescent="0.25">
      <c r="A458" s="639" t="s">
        <v>147</v>
      </c>
      <c r="B458" s="639"/>
      <c r="C458" s="724" t="s">
        <v>1131</v>
      </c>
      <c r="D458" s="549">
        <v>0</v>
      </c>
      <c r="E458" s="550">
        <v>58.333174707211562</v>
      </c>
      <c r="F458" s="551">
        <v>0</v>
      </c>
      <c r="G458" s="560">
        <v>0</v>
      </c>
      <c r="H458" s="566">
        <v>58.333174707211562</v>
      </c>
      <c r="I458" s="567">
        <v>0</v>
      </c>
      <c r="J458" s="560">
        <v>0</v>
      </c>
      <c r="K458" s="568">
        <v>0</v>
      </c>
      <c r="L458" s="560">
        <v>0</v>
      </c>
      <c r="M458" s="1057">
        <f t="shared" si="57"/>
        <v>0</v>
      </c>
      <c r="N458" s="1058">
        <f t="shared" si="57"/>
        <v>0</v>
      </c>
      <c r="O458" s="569">
        <v>0</v>
      </c>
      <c r="P458" s="560">
        <v>0</v>
      </c>
      <c r="Q458" s="571">
        <v>58.333174707211562</v>
      </c>
      <c r="R458" s="1075">
        <f t="shared" si="59"/>
        <v>58.333174707211562</v>
      </c>
      <c r="S458" s="1075">
        <f t="shared" si="58"/>
        <v>0</v>
      </c>
    </row>
    <row r="459" spans="1:19" ht="15.75" hidden="1" x14ac:dyDescent="0.25">
      <c r="A459" s="639" t="s">
        <v>148</v>
      </c>
      <c r="B459" s="639"/>
      <c r="C459" s="724" t="s">
        <v>1131</v>
      </c>
      <c r="D459" s="549">
        <v>0</v>
      </c>
      <c r="E459" s="550">
        <v>49.663800252813957</v>
      </c>
      <c r="F459" s="551">
        <v>0</v>
      </c>
      <c r="G459" s="560">
        <v>0</v>
      </c>
      <c r="H459" s="566">
        <v>49.663800252813957</v>
      </c>
      <c r="I459" s="567">
        <v>0</v>
      </c>
      <c r="J459" s="560">
        <v>0</v>
      </c>
      <c r="K459" s="568">
        <v>0</v>
      </c>
      <c r="L459" s="560">
        <v>0</v>
      </c>
      <c r="M459" s="1057">
        <f t="shared" si="57"/>
        <v>0</v>
      </c>
      <c r="N459" s="1058">
        <f t="shared" si="57"/>
        <v>0</v>
      </c>
      <c r="O459" s="569">
        <v>0</v>
      </c>
      <c r="P459" s="560">
        <v>0</v>
      </c>
      <c r="Q459" s="571">
        <v>49.663800252813957</v>
      </c>
      <c r="R459" s="1075">
        <f t="shared" si="59"/>
        <v>49.663800252813957</v>
      </c>
      <c r="S459" s="1075">
        <f t="shared" si="58"/>
        <v>0</v>
      </c>
    </row>
    <row r="460" spans="1:19" ht="15.75" hidden="1" x14ac:dyDescent="0.25">
      <c r="A460" s="639" t="s">
        <v>149</v>
      </c>
      <c r="B460" s="639"/>
      <c r="C460" s="724" t="s">
        <v>1131</v>
      </c>
      <c r="D460" s="549">
        <v>0</v>
      </c>
      <c r="E460" s="550">
        <v>81.107855706331748</v>
      </c>
      <c r="F460" s="551">
        <v>0</v>
      </c>
      <c r="G460" s="560">
        <v>0</v>
      </c>
      <c r="H460" s="566">
        <v>81.107855706331748</v>
      </c>
      <c r="I460" s="567">
        <v>0</v>
      </c>
      <c r="J460" s="560">
        <v>0</v>
      </c>
      <c r="K460" s="568">
        <v>0</v>
      </c>
      <c r="L460" s="560">
        <v>0</v>
      </c>
      <c r="M460" s="1057">
        <f t="shared" si="57"/>
        <v>0</v>
      </c>
      <c r="N460" s="1058">
        <f t="shared" si="57"/>
        <v>0</v>
      </c>
      <c r="O460" s="569">
        <v>0</v>
      </c>
      <c r="P460" s="560">
        <v>0</v>
      </c>
      <c r="Q460" s="571">
        <v>81.107855706331748</v>
      </c>
      <c r="R460" s="1075">
        <f t="shared" si="59"/>
        <v>81.107855706331748</v>
      </c>
      <c r="S460" s="1075">
        <f t="shared" si="58"/>
        <v>0</v>
      </c>
    </row>
    <row r="461" spans="1:19" ht="16.5" hidden="1" thickBot="1" x14ac:dyDescent="0.3">
      <c r="A461" s="640" t="s">
        <v>150</v>
      </c>
      <c r="B461" s="652"/>
      <c r="C461" s="807" t="s">
        <v>1131</v>
      </c>
      <c r="D461" s="549">
        <v>0</v>
      </c>
      <c r="E461" s="550">
        <v>64.462656753888353</v>
      </c>
      <c r="F461" s="551">
        <v>0</v>
      </c>
      <c r="G461" s="560">
        <v>0</v>
      </c>
      <c r="H461" s="566">
        <v>64.462656753888353</v>
      </c>
      <c r="I461" s="567">
        <v>0</v>
      </c>
      <c r="J461" s="560">
        <v>0</v>
      </c>
      <c r="K461" s="568">
        <v>0</v>
      </c>
      <c r="L461" s="560">
        <v>0</v>
      </c>
      <c r="M461" s="1057">
        <f t="shared" si="57"/>
        <v>0</v>
      </c>
      <c r="N461" s="1058">
        <f t="shared" si="57"/>
        <v>0</v>
      </c>
      <c r="O461" s="569">
        <v>0</v>
      </c>
      <c r="P461" s="560">
        <v>0</v>
      </c>
      <c r="Q461" s="571">
        <v>64.462656753888353</v>
      </c>
      <c r="R461" s="1075">
        <f t="shared" si="59"/>
        <v>64.462656753888353</v>
      </c>
      <c r="S461" s="1075">
        <f t="shared" si="58"/>
        <v>0</v>
      </c>
    </row>
    <row r="462" spans="1:19" ht="15.75" hidden="1" x14ac:dyDescent="0.25">
      <c r="A462" s="638" t="s">
        <v>151</v>
      </c>
      <c r="B462" s="693"/>
      <c r="C462" s="806" t="s">
        <v>1133</v>
      </c>
      <c r="D462" s="549">
        <v>0</v>
      </c>
      <c r="E462" s="550">
        <v>192.62673917479984</v>
      </c>
      <c r="F462" s="551">
        <v>0</v>
      </c>
      <c r="G462" s="560">
        <v>19.267475780602876</v>
      </c>
      <c r="H462" s="566">
        <v>211.8942149554027</v>
      </c>
      <c r="I462" s="567">
        <v>18.355121787253452</v>
      </c>
      <c r="J462" s="560">
        <v>1.8367126445060684</v>
      </c>
      <c r="K462" s="568">
        <v>58.378650916555628</v>
      </c>
      <c r="L462" s="560">
        <v>5.8342636943133934</v>
      </c>
      <c r="M462" s="1057">
        <f t="shared" si="57"/>
        <v>76.73377270380908</v>
      </c>
      <c r="N462" s="1058">
        <f t="shared" si="57"/>
        <v>7.6709763388194618</v>
      </c>
      <c r="O462" s="569">
        <v>0</v>
      </c>
      <c r="P462" s="560">
        <v>0</v>
      </c>
      <c r="Q462" s="571">
        <v>296.29896399803124</v>
      </c>
      <c r="R462" s="1075">
        <f t="shared" si="59"/>
        <v>296.29896399803124</v>
      </c>
      <c r="S462" s="1075">
        <f t="shared" si="58"/>
        <v>0</v>
      </c>
    </row>
    <row r="463" spans="1:19" ht="15.75" hidden="1" x14ac:dyDescent="0.25">
      <c r="A463" s="639" t="s">
        <v>152</v>
      </c>
      <c r="B463" s="639"/>
      <c r="C463" s="724" t="s">
        <v>1133</v>
      </c>
      <c r="D463" s="549">
        <v>0</v>
      </c>
      <c r="E463" s="550">
        <v>105.28084896940013</v>
      </c>
      <c r="F463" s="551">
        <v>0</v>
      </c>
      <c r="G463" s="560">
        <v>10.528084896940012</v>
      </c>
      <c r="H463" s="566">
        <v>115.80893386634014</v>
      </c>
      <c r="I463" s="567">
        <v>0</v>
      </c>
      <c r="J463" s="560">
        <v>0</v>
      </c>
      <c r="K463" s="568">
        <v>97.153695633905954</v>
      </c>
      <c r="L463" s="560">
        <v>9.7117681660484259</v>
      </c>
      <c r="M463" s="1057">
        <f t="shared" si="57"/>
        <v>97.153695633905954</v>
      </c>
      <c r="N463" s="1058">
        <f t="shared" si="57"/>
        <v>9.7117681660484259</v>
      </c>
      <c r="O463" s="569">
        <v>0</v>
      </c>
      <c r="P463" s="560">
        <v>0</v>
      </c>
      <c r="Q463" s="571">
        <v>222.67439766629451</v>
      </c>
      <c r="R463" s="1075">
        <f t="shared" si="59"/>
        <v>222.67439766629451</v>
      </c>
      <c r="S463" s="1075">
        <f t="shared" si="58"/>
        <v>0</v>
      </c>
    </row>
    <row r="464" spans="1:19" ht="15.75" hidden="1" x14ac:dyDescent="0.25">
      <c r="A464" s="639" t="s">
        <v>153</v>
      </c>
      <c r="B464" s="639" t="s">
        <v>429</v>
      </c>
      <c r="C464" s="724" t="s">
        <v>1133</v>
      </c>
      <c r="D464" s="549">
        <v>0</v>
      </c>
      <c r="E464" s="550">
        <v>125.11254366694277</v>
      </c>
      <c r="F464" s="551">
        <v>0</v>
      </c>
      <c r="G464" s="560">
        <v>12.508853435132831</v>
      </c>
      <c r="H464" s="566">
        <v>137.6213971020756</v>
      </c>
      <c r="I464" s="567">
        <v>20.840085953349899</v>
      </c>
      <c r="J464" s="560">
        <v>2.0888104584578815</v>
      </c>
      <c r="K464" s="568">
        <v>59.987275062724336</v>
      </c>
      <c r="L464" s="560">
        <v>6.0023289036146021</v>
      </c>
      <c r="M464" s="1057">
        <f t="shared" si="57"/>
        <v>80.827361016074235</v>
      </c>
      <c r="N464" s="1058">
        <f t="shared" si="57"/>
        <v>8.0911393620724841</v>
      </c>
      <c r="O464" s="569">
        <v>0</v>
      </c>
      <c r="P464" s="560">
        <v>0</v>
      </c>
      <c r="Q464" s="571">
        <v>226.53989748022232</v>
      </c>
      <c r="R464" s="1075">
        <f t="shared" si="59"/>
        <v>226.53989748022232</v>
      </c>
      <c r="S464" s="1075">
        <f t="shared" si="58"/>
        <v>0</v>
      </c>
    </row>
    <row r="465" spans="1:19" ht="15.75" hidden="1" x14ac:dyDescent="0.25">
      <c r="A465" s="639" t="s">
        <v>214</v>
      </c>
      <c r="B465" s="639"/>
      <c r="C465" s="724" t="s">
        <v>1133</v>
      </c>
      <c r="D465" s="549">
        <v>0</v>
      </c>
      <c r="E465" s="550">
        <v>104.74063936807481</v>
      </c>
      <c r="F465" s="551">
        <v>0</v>
      </c>
      <c r="G465" s="560">
        <v>10.480066265711097</v>
      </c>
      <c r="H465" s="566">
        <v>115.22070563378591</v>
      </c>
      <c r="I465" s="567">
        <v>45.869797481422793</v>
      </c>
      <c r="J465" s="560">
        <v>4.585779282361556</v>
      </c>
      <c r="K465" s="568">
        <v>91.811622909688964</v>
      </c>
      <c r="L465" s="560">
        <v>9.1835632225303421</v>
      </c>
      <c r="M465" s="1057">
        <f t="shared" si="57"/>
        <v>137.68142039111177</v>
      </c>
      <c r="N465" s="1058">
        <f t="shared" si="57"/>
        <v>13.769342504891899</v>
      </c>
      <c r="O465" s="569">
        <v>0</v>
      </c>
      <c r="P465" s="560">
        <v>0</v>
      </c>
      <c r="Q465" s="571">
        <v>266.67146852978954</v>
      </c>
      <c r="R465" s="1075">
        <f t="shared" si="59"/>
        <v>266.67146852978959</v>
      </c>
      <c r="S465" s="1075">
        <f t="shared" si="58"/>
        <v>0</v>
      </c>
    </row>
    <row r="466" spans="1:19" ht="16.5" hidden="1" thickBot="1" x14ac:dyDescent="0.3">
      <c r="A466" s="640" t="s">
        <v>154</v>
      </c>
      <c r="B466" s="652"/>
      <c r="C466" s="807" t="s">
        <v>1133</v>
      </c>
      <c r="D466" s="549">
        <v>0</v>
      </c>
      <c r="E466" s="550">
        <v>153.34749882954586</v>
      </c>
      <c r="F466" s="551">
        <v>0</v>
      </c>
      <c r="G466" s="560">
        <v>15.329948019831694</v>
      </c>
      <c r="H466" s="566">
        <v>168.67744684937756</v>
      </c>
      <c r="I466" s="567">
        <v>36.362108498097257</v>
      </c>
      <c r="J466" s="560">
        <v>3.6374113155904486</v>
      </c>
      <c r="K466" s="568">
        <v>106.75742187968932</v>
      </c>
      <c r="L466" s="560">
        <v>10.672140790626763</v>
      </c>
      <c r="M466" s="1057">
        <f t="shared" si="57"/>
        <v>143.11953037778659</v>
      </c>
      <c r="N466" s="1058">
        <f t="shared" si="57"/>
        <v>14.309552106217211</v>
      </c>
      <c r="O466" s="569">
        <v>0</v>
      </c>
      <c r="P466" s="560">
        <v>0</v>
      </c>
      <c r="Q466" s="571">
        <v>326.10652933338133</v>
      </c>
      <c r="R466" s="1075">
        <f t="shared" si="59"/>
        <v>326.10652933338133</v>
      </c>
      <c r="S466" s="1075">
        <f t="shared" si="58"/>
        <v>0</v>
      </c>
    </row>
    <row r="467" spans="1:19" ht="15.75" hidden="1" x14ac:dyDescent="0.25">
      <c r="A467" s="638" t="s">
        <v>155</v>
      </c>
      <c r="B467" s="693" t="s">
        <v>429</v>
      </c>
      <c r="C467" s="806" t="s">
        <v>1135</v>
      </c>
      <c r="D467" s="549">
        <v>206.24267029725661</v>
      </c>
      <c r="E467" s="550">
        <v>44.728802530302232</v>
      </c>
      <c r="F467" s="551">
        <v>0</v>
      </c>
      <c r="G467" s="560">
        <v>62.74286820688971</v>
      </c>
      <c r="H467" s="566">
        <v>313.71434103444858</v>
      </c>
      <c r="I467" s="567">
        <v>39.827015951638977</v>
      </c>
      <c r="J467" s="560">
        <v>9.9567539879097442</v>
      </c>
      <c r="K467" s="568">
        <v>0</v>
      </c>
      <c r="L467" s="560">
        <v>0</v>
      </c>
      <c r="M467" s="1057">
        <f t="shared" si="57"/>
        <v>39.827015951638977</v>
      </c>
      <c r="N467" s="1058">
        <f t="shared" si="57"/>
        <v>9.9567539879097442</v>
      </c>
      <c r="O467" s="569">
        <v>0</v>
      </c>
      <c r="P467" s="560">
        <v>0</v>
      </c>
      <c r="Q467" s="571">
        <v>363.49811097399731</v>
      </c>
      <c r="R467" s="1075">
        <f t="shared" si="59"/>
        <v>363.49811097399731</v>
      </c>
      <c r="S467" s="1075">
        <f t="shared" si="58"/>
        <v>0</v>
      </c>
    </row>
    <row r="468" spans="1:19" ht="15.75" hidden="1" x14ac:dyDescent="0.25">
      <c r="A468" s="639" t="s">
        <v>156</v>
      </c>
      <c r="B468" s="639"/>
      <c r="C468" s="724" t="s">
        <v>1135</v>
      </c>
      <c r="D468" s="549">
        <v>299.37661529185851</v>
      </c>
      <c r="E468" s="550">
        <v>88.109613751472068</v>
      </c>
      <c r="F468" s="551">
        <v>0</v>
      </c>
      <c r="G468" s="560">
        <v>96.871557260832645</v>
      </c>
      <c r="H468" s="566">
        <v>484.35778630416326</v>
      </c>
      <c r="I468" s="567">
        <v>90.805596369736861</v>
      </c>
      <c r="J468" s="560">
        <v>22.701399092434215</v>
      </c>
      <c r="K468" s="568">
        <v>0</v>
      </c>
      <c r="L468" s="560">
        <v>0</v>
      </c>
      <c r="M468" s="1057">
        <f t="shared" si="57"/>
        <v>90.805596369736861</v>
      </c>
      <c r="N468" s="1058">
        <f t="shared" si="57"/>
        <v>22.701399092434215</v>
      </c>
      <c r="O468" s="569">
        <v>0</v>
      </c>
      <c r="P468" s="560">
        <v>0</v>
      </c>
      <c r="Q468" s="571">
        <v>597.86478176633432</v>
      </c>
      <c r="R468" s="1075">
        <f t="shared" si="59"/>
        <v>597.86478176633432</v>
      </c>
      <c r="S468" s="1075">
        <f t="shared" si="58"/>
        <v>0</v>
      </c>
    </row>
    <row r="469" spans="1:19" ht="15.75" hidden="1" x14ac:dyDescent="0.25">
      <c r="A469" s="639" t="s">
        <v>157</v>
      </c>
      <c r="B469" s="639"/>
      <c r="C469" s="724" t="s">
        <v>1135</v>
      </c>
      <c r="D469" s="549">
        <v>202.56633036325914</v>
      </c>
      <c r="E469" s="550">
        <v>59.311617601825425</v>
      </c>
      <c r="F469" s="551">
        <v>0</v>
      </c>
      <c r="G469" s="560">
        <v>65.46948699127114</v>
      </c>
      <c r="H469" s="566">
        <v>327.3474349563557</v>
      </c>
      <c r="I469" s="567">
        <v>62.987957535822872</v>
      </c>
      <c r="J469" s="560">
        <v>15.746989383955718</v>
      </c>
      <c r="K469" s="568">
        <v>0</v>
      </c>
      <c r="L469" s="560">
        <v>0</v>
      </c>
      <c r="M469" s="1057">
        <f t="shared" si="57"/>
        <v>62.987957535822872</v>
      </c>
      <c r="N469" s="1058">
        <f t="shared" si="57"/>
        <v>15.746989383955718</v>
      </c>
      <c r="O469" s="569">
        <v>0</v>
      </c>
      <c r="P469" s="560">
        <v>0</v>
      </c>
      <c r="Q469" s="571">
        <v>406.08238187613432</v>
      </c>
      <c r="R469" s="1075">
        <f t="shared" si="59"/>
        <v>406.08238187613432</v>
      </c>
      <c r="S469" s="1075">
        <f t="shared" si="58"/>
        <v>0</v>
      </c>
    </row>
    <row r="470" spans="1:19" ht="15.75" hidden="1" x14ac:dyDescent="0.25">
      <c r="A470" s="639" t="s">
        <v>158</v>
      </c>
      <c r="B470" s="639"/>
      <c r="C470" s="724" t="s">
        <v>1135</v>
      </c>
      <c r="D470" s="549">
        <v>0</v>
      </c>
      <c r="E470" s="550">
        <v>151.3426606162281</v>
      </c>
      <c r="F470" s="551">
        <v>0</v>
      </c>
      <c r="G470" s="560">
        <v>37.835665154057025</v>
      </c>
      <c r="H470" s="566">
        <v>189.17832577028514</v>
      </c>
      <c r="I470" s="567">
        <v>227.07526325657545</v>
      </c>
      <c r="J470" s="560">
        <v>56.768815814143863</v>
      </c>
      <c r="K470" s="568">
        <v>0</v>
      </c>
      <c r="L470" s="560">
        <v>0</v>
      </c>
      <c r="M470" s="1057">
        <f t="shared" si="57"/>
        <v>227.07526325657545</v>
      </c>
      <c r="N470" s="1058">
        <f t="shared" si="57"/>
        <v>56.768815814143863</v>
      </c>
      <c r="O470" s="569">
        <v>0</v>
      </c>
      <c r="P470" s="560">
        <v>0</v>
      </c>
      <c r="Q470" s="571">
        <v>473.02240484100446</v>
      </c>
      <c r="R470" s="1075">
        <f t="shared" si="59"/>
        <v>473.02240484100446</v>
      </c>
      <c r="S470" s="1075">
        <f t="shared" si="58"/>
        <v>0</v>
      </c>
    </row>
    <row r="471" spans="1:19" ht="16.5" hidden="1" thickBot="1" x14ac:dyDescent="0.3">
      <c r="A471" s="640" t="s">
        <v>159</v>
      </c>
      <c r="B471" s="652"/>
      <c r="C471" s="807" t="s">
        <v>1135</v>
      </c>
      <c r="D471" s="549">
        <v>285.5290682071348</v>
      </c>
      <c r="E471" s="550">
        <v>77.815861936279234</v>
      </c>
      <c r="F471" s="551">
        <v>0</v>
      </c>
      <c r="G471" s="560">
        <v>90.836232535853512</v>
      </c>
      <c r="H471" s="566">
        <v>454.18116267926757</v>
      </c>
      <c r="I471" s="567">
        <v>104.77568811892715</v>
      </c>
      <c r="J471" s="560">
        <v>26.193922029731787</v>
      </c>
      <c r="K471" s="568">
        <v>0</v>
      </c>
      <c r="L471" s="560">
        <v>0</v>
      </c>
      <c r="M471" s="1057">
        <f t="shared" si="57"/>
        <v>104.77568811892715</v>
      </c>
      <c r="N471" s="1058">
        <f t="shared" si="57"/>
        <v>26.193922029731787</v>
      </c>
      <c r="O471" s="569">
        <v>0</v>
      </c>
      <c r="P471" s="560">
        <v>0</v>
      </c>
      <c r="Q471" s="571">
        <v>585.15077282792652</v>
      </c>
      <c r="R471" s="1075">
        <f t="shared" si="59"/>
        <v>585.15077282792652</v>
      </c>
      <c r="S471" s="1075">
        <f t="shared" si="58"/>
        <v>0</v>
      </c>
    </row>
    <row r="472" spans="1:19" ht="15.75" hidden="1" x14ac:dyDescent="0.25">
      <c r="A472" s="547" t="s">
        <v>160</v>
      </c>
      <c r="B472" s="1046"/>
      <c r="C472" s="802" t="s">
        <v>1137</v>
      </c>
      <c r="D472" s="549">
        <v>114.94016953675008</v>
      </c>
      <c r="E472" s="550">
        <v>110.83516348186615</v>
      </c>
      <c r="F472" s="551">
        <v>0</v>
      </c>
      <c r="G472" s="560">
        <v>18.0620266414893</v>
      </c>
      <c r="H472" s="566">
        <v>243.83735966010551</v>
      </c>
      <c r="I472" s="567">
        <v>271.95665113606043</v>
      </c>
      <c r="J472" s="560">
        <v>6.804047535970116</v>
      </c>
      <c r="K472" s="568">
        <v>0</v>
      </c>
      <c r="L472" s="560">
        <v>0</v>
      </c>
      <c r="M472" s="1057">
        <f t="shared" si="57"/>
        <v>271.95665113606043</v>
      </c>
      <c r="N472" s="1058">
        <f t="shared" si="57"/>
        <v>6.804047535970116</v>
      </c>
      <c r="O472" s="569">
        <v>0</v>
      </c>
      <c r="P472" s="560">
        <v>0</v>
      </c>
      <c r="Q472" s="571">
        <v>522.59805833213602</v>
      </c>
      <c r="R472" s="1075">
        <f t="shared" si="59"/>
        <v>522.59805833213602</v>
      </c>
      <c r="S472" s="1075">
        <f t="shared" si="58"/>
        <v>0</v>
      </c>
    </row>
    <row r="473" spans="1:19" ht="15.75" hidden="1" x14ac:dyDescent="0.25">
      <c r="A473" s="547" t="s">
        <v>603</v>
      </c>
      <c r="B473" s="1046"/>
      <c r="C473" s="802" t="s">
        <v>1137</v>
      </c>
      <c r="D473" s="549">
        <v>139.57020586605367</v>
      </c>
      <c r="E473" s="550">
        <v>197.04029063442869</v>
      </c>
      <c r="F473" s="551">
        <v>0</v>
      </c>
      <c r="G473" s="560">
        <v>26.928839720038585</v>
      </c>
      <c r="H473" s="566">
        <v>363.53933622052091</v>
      </c>
      <c r="I473" s="567">
        <v>299.27546643131302</v>
      </c>
      <c r="J473" s="560">
        <v>7.4813735350259645</v>
      </c>
      <c r="K473" s="568">
        <v>0</v>
      </c>
      <c r="L473" s="560">
        <v>0</v>
      </c>
      <c r="M473" s="1057">
        <f t="shared" si="57"/>
        <v>299.27546643131302</v>
      </c>
      <c r="N473" s="1058">
        <f t="shared" si="57"/>
        <v>7.4813735350259645</v>
      </c>
      <c r="O473" s="569">
        <v>0</v>
      </c>
      <c r="P473" s="560">
        <v>0</v>
      </c>
      <c r="Q473" s="571">
        <v>670.29617618685984</v>
      </c>
      <c r="R473" s="1075">
        <f t="shared" si="59"/>
        <v>670.29617618685984</v>
      </c>
      <c r="S473" s="1075">
        <f t="shared" si="58"/>
        <v>0</v>
      </c>
    </row>
    <row r="474" spans="1:19" ht="15.75" hidden="1" x14ac:dyDescent="0.25">
      <c r="A474" s="547" t="s">
        <v>162</v>
      </c>
      <c r="B474" s="1046"/>
      <c r="C474" s="802" t="s">
        <v>1137</v>
      </c>
      <c r="D474" s="549">
        <v>71.837605960468792</v>
      </c>
      <c r="E474" s="550">
        <v>149.83272100326349</v>
      </c>
      <c r="F474" s="551">
        <v>0</v>
      </c>
      <c r="G474" s="560">
        <v>17.733626157098584</v>
      </c>
      <c r="H474" s="566">
        <v>239.40395312083086</v>
      </c>
      <c r="I474" s="567">
        <v>123.15018164651794</v>
      </c>
      <c r="J474" s="560">
        <v>3.0787545411629482</v>
      </c>
      <c r="K474" s="568">
        <v>0</v>
      </c>
      <c r="L474" s="560">
        <v>0</v>
      </c>
      <c r="M474" s="1057">
        <f t="shared" si="57"/>
        <v>123.15018164651794</v>
      </c>
      <c r="N474" s="1058">
        <f t="shared" si="57"/>
        <v>3.0787545411629482</v>
      </c>
      <c r="O474" s="569">
        <v>0</v>
      </c>
      <c r="P474" s="560">
        <v>0</v>
      </c>
      <c r="Q474" s="571">
        <v>365.63288930851172</v>
      </c>
      <c r="R474" s="1075">
        <f t="shared" si="59"/>
        <v>365.63288930851172</v>
      </c>
      <c r="S474" s="1075">
        <f t="shared" si="58"/>
        <v>0</v>
      </c>
    </row>
    <row r="475" spans="1:19" ht="15.75" hidden="1" x14ac:dyDescent="0.25">
      <c r="A475" s="547" t="s">
        <v>161</v>
      </c>
      <c r="B475" s="1046"/>
      <c r="C475" s="802" t="s">
        <v>1137</v>
      </c>
      <c r="D475" s="549">
        <v>28.735042384187519</v>
      </c>
      <c r="E475" s="550">
        <v>210.38156031280147</v>
      </c>
      <c r="F475" s="551">
        <v>0</v>
      </c>
      <c r="G475" s="560">
        <v>19.12932821575912</v>
      </c>
      <c r="H475" s="566">
        <v>258.24593091274812</v>
      </c>
      <c r="I475" s="567">
        <v>246.30036329303587</v>
      </c>
      <c r="J475" s="560">
        <v>6.1575090823258964</v>
      </c>
      <c r="K475" s="568">
        <v>0</v>
      </c>
      <c r="L475" s="560">
        <v>0</v>
      </c>
      <c r="M475" s="1057">
        <f t="shared" si="57"/>
        <v>246.30036329303587</v>
      </c>
      <c r="N475" s="1058">
        <f t="shared" si="57"/>
        <v>6.1575090823258964</v>
      </c>
      <c r="O475" s="569">
        <v>0</v>
      </c>
      <c r="P475" s="560">
        <v>0</v>
      </c>
      <c r="Q475" s="571">
        <v>510.70380328810984</v>
      </c>
      <c r="R475" s="1075">
        <f t="shared" si="59"/>
        <v>510.70380328810984</v>
      </c>
      <c r="S475" s="1075">
        <f t="shared" si="58"/>
        <v>0</v>
      </c>
    </row>
    <row r="476" spans="1:19" ht="16.5" hidden="1" thickBot="1" x14ac:dyDescent="0.3">
      <c r="A476" s="613" t="s">
        <v>163</v>
      </c>
      <c r="B476" s="1046" t="s">
        <v>429</v>
      </c>
      <c r="C476" s="802" t="s">
        <v>1137</v>
      </c>
      <c r="D476" s="549">
        <v>55.417581740933073</v>
      </c>
      <c r="E476" s="550">
        <v>238.09035118326801</v>
      </c>
      <c r="F476" s="551">
        <v>0</v>
      </c>
      <c r="G476" s="560">
        <v>23.480634633936084</v>
      </c>
      <c r="H476" s="566">
        <v>316.98856755813716</v>
      </c>
      <c r="I476" s="567">
        <v>262.54592475523901</v>
      </c>
      <c r="J476" s="560">
        <v>6.56800968781429</v>
      </c>
      <c r="K476" s="568">
        <v>0</v>
      </c>
      <c r="L476" s="560">
        <v>0</v>
      </c>
      <c r="M476" s="1057">
        <f t="shared" si="57"/>
        <v>262.54592475523901</v>
      </c>
      <c r="N476" s="1058">
        <f t="shared" si="57"/>
        <v>6.56800968781429</v>
      </c>
      <c r="O476" s="569">
        <v>0</v>
      </c>
      <c r="P476" s="560">
        <v>0</v>
      </c>
      <c r="Q476" s="571">
        <v>586.10250200119049</v>
      </c>
      <c r="R476" s="1075">
        <f t="shared" si="59"/>
        <v>586.10250200119049</v>
      </c>
      <c r="S476" s="1075">
        <f t="shared" si="58"/>
        <v>0</v>
      </c>
    </row>
    <row r="477" spans="1:19" ht="15.75" hidden="1" x14ac:dyDescent="0.25">
      <c r="A477" s="693" t="s">
        <v>928</v>
      </c>
      <c r="B477" s="693" t="s">
        <v>429</v>
      </c>
      <c r="C477" s="806" t="s">
        <v>1145</v>
      </c>
      <c r="D477" s="549">
        <v>116.47824597464884</v>
      </c>
      <c r="E477" s="550">
        <v>0</v>
      </c>
      <c r="F477" s="551">
        <v>0</v>
      </c>
      <c r="G477" s="560">
        <v>9.3182596779719074</v>
      </c>
      <c r="H477" s="566">
        <v>125.79650565262075</v>
      </c>
      <c r="I477" s="567">
        <v>0</v>
      </c>
      <c r="J477" s="560">
        <v>0</v>
      </c>
      <c r="K477" s="568">
        <v>58.239122987324421</v>
      </c>
      <c r="L477" s="560">
        <v>4.6591298389859537</v>
      </c>
      <c r="M477" s="1057">
        <f t="shared" si="57"/>
        <v>58.239122987324421</v>
      </c>
      <c r="N477" s="1058">
        <f t="shared" si="57"/>
        <v>4.6591298389859537</v>
      </c>
      <c r="O477" s="569">
        <v>6.3246106411574035</v>
      </c>
      <c r="P477" s="560">
        <v>0</v>
      </c>
      <c r="Q477" s="571">
        <v>195.01936912008853</v>
      </c>
      <c r="R477" s="1075">
        <f t="shared" si="59"/>
        <v>195.01936912008853</v>
      </c>
      <c r="S477" s="1075">
        <f t="shared" si="58"/>
        <v>0</v>
      </c>
    </row>
    <row r="478" spans="1:19" ht="15.75" hidden="1" x14ac:dyDescent="0.25">
      <c r="A478" s="639" t="s">
        <v>929</v>
      </c>
      <c r="B478" s="639"/>
      <c r="C478" s="724" t="s">
        <v>1145</v>
      </c>
      <c r="D478" s="549">
        <v>117.26882230479352</v>
      </c>
      <c r="E478" s="550">
        <v>0</v>
      </c>
      <c r="F478" s="551">
        <v>14.135504782986796</v>
      </c>
      <c r="G478" s="560">
        <v>9.3815057843834815</v>
      </c>
      <c r="H478" s="566">
        <v>140.78583287216378</v>
      </c>
      <c r="I478" s="567">
        <v>0</v>
      </c>
      <c r="J478" s="560">
        <v>0</v>
      </c>
      <c r="K478" s="568">
        <v>41.109969167523126</v>
      </c>
      <c r="L478" s="560">
        <v>3.28879753340185</v>
      </c>
      <c r="M478" s="1057">
        <f t="shared" si="57"/>
        <v>41.109969167523126</v>
      </c>
      <c r="N478" s="1058">
        <f t="shared" si="57"/>
        <v>3.28879753340185</v>
      </c>
      <c r="O478" s="569">
        <v>6.3246106411574035</v>
      </c>
      <c r="P478" s="560">
        <v>0</v>
      </c>
      <c r="Q478" s="571">
        <v>191.50921021424617</v>
      </c>
      <c r="R478" s="1075">
        <f t="shared" si="59"/>
        <v>191.50921021424617</v>
      </c>
      <c r="S478" s="1075">
        <f t="shared" si="58"/>
        <v>0</v>
      </c>
    </row>
    <row r="479" spans="1:19" ht="16.5" hidden="1" thickBot="1" x14ac:dyDescent="0.3">
      <c r="A479" s="652" t="s">
        <v>930</v>
      </c>
      <c r="B479" s="652"/>
      <c r="C479" s="807" t="s">
        <v>1145</v>
      </c>
      <c r="D479" s="549">
        <v>60.34732653437689</v>
      </c>
      <c r="E479" s="550">
        <v>0</v>
      </c>
      <c r="F479" s="551">
        <v>0</v>
      </c>
      <c r="G479" s="560">
        <v>4.8277861227501511</v>
      </c>
      <c r="H479" s="566">
        <v>65.175112657127045</v>
      </c>
      <c r="I479" s="567">
        <v>0</v>
      </c>
      <c r="J479" s="560">
        <v>0</v>
      </c>
      <c r="K479" s="568">
        <v>49.279257912351433</v>
      </c>
      <c r="L479" s="560">
        <v>3.942340632988115</v>
      </c>
      <c r="M479" s="1057">
        <f t="shared" si="57"/>
        <v>49.279257912351433</v>
      </c>
      <c r="N479" s="1058">
        <f t="shared" si="57"/>
        <v>3.942340632988115</v>
      </c>
      <c r="O479" s="569">
        <v>6.3246106411574035</v>
      </c>
      <c r="P479" s="560">
        <v>0</v>
      </c>
      <c r="Q479" s="571">
        <v>124.721321843624</v>
      </c>
      <c r="R479" s="1075">
        <f t="shared" si="59"/>
        <v>124.721321843624</v>
      </c>
      <c r="S479" s="1075">
        <f t="shared" si="58"/>
        <v>0</v>
      </c>
    </row>
    <row r="480" spans="1:19" ht="15.75" hidden="1" x14ac:dyDescent="0.25">
      <c r="A480" s="690" t="s">
        <v>746</v>
      </c>
      <c r="B480" s="693" t="s">
        <v>429</v>
      </c>
      <c r="C480" s="806" t="s">
        <v>1147</v>
      </c>
      <c r="D480" s="549">
        <v>4.9608404483911857</v>
      </c>
      <c r="E480" s="550">
        <v>88.165158857796683</v>
      </c>
      <c r="F480" s="551">
        <v>0</v>
      </c>
      <c r="G480" s="560">
        <v>15.869728594403403</v>
      </c>
      <c r="H480" s="566">
        <v>108.99572790059126</v>
      </c>
      <c r="I480" s="567">
        <v>66.12386914334752</v>
      </c>
      <c r="J480" s="560">
        <v>11.90243424692612</v>
      </c>
      <c r="K480" s="568">
        <v>0</v>
      </c>
      <c r="L480" s="560">
        <v>0</v>
      </c>
      <c r="M480" s="1057">
        <f t="shared" si="57"/>
        <v>66.12386914334752</v>
      </c>
      <c r="N480" s="1058">
        <f t="shared" si="57"/>
        <v>11.90243424692612</v>
      </c>
      <c r="O480" s="569">
        <v>0</v>
      </c>
      <c r="P480" s="560">
        <v>0</v>
      </c>
      <c r="Q480" s="571">
        <v>187.0220312908649</v>
      </c>
      <c r="R480" s="1075">
        <f t="shared" si="59"/>
        <v>187.0220312908649</v>
      </c>
      <c r="S480" s="1075">
        <f t="shared" si="58"/>
        <v>0</v>
      </c>
    </row>
    <row r="481" spans="1:19" ht="15.75" hidden="1" x14ac:dyDescent="0.25">
      <c r="A481" s="639" t="s">
        <v>747</v>
      </c>
      <c r="B481" s="639"/>
      <c r="C481" s="724" t="s">
        <v>1147</v>
      </c>
      <c r="D481" s="549">
        <v>4.9608404483911857</v>
      </c>
      <c r="E481" s="550">
        <v>88.165158857796683</v>
      </c>
      <c r="F481" s="551">
        <v>0</v>
      </c>
      <c r="G481" s="560">
        <v>15.869728594403403</v>
      </c>
      <c r="H481" s="566">
        <v>108.99572790059126</v>
      </c>
      <c r="I481" s="567">
        <v>66.12386914334752</v>
      </c>
      <c r="J481" s="560">
        <v>11.90243424692612</v>
      </c>
      <c r="K481" s="568">
        <v>0</v>
      </c>
      <c r="L481" s="560">
        <v>0</v>
      </c>
      <c r="M481" s="1057">
        <f t="shared" si="57"/>
        <v>66.12386914334752</v>
      </c>
      <c r="N481" s="1058">
        <f t="shared" si="57"/>
        <v>11.90243424692612</v>
      </c>
      <c r="O481" s="569">
        <v>0</v>
      </c>
      <c r="P481" s="560">
        <v>0</v>
      </c>
      <c r="Q481" s="571">
        <v>187.0220312908649</v>
      </c>
      <c r="R481" s="1075">
        <f t="shared" si="59"/>
        <v>187.0220312908649</v>
      </c>
      <c r="S481" s="1075">
        <f t="shared" si="58"/>
        <v>0</v>
      </c>
    </row>
    <row r="482" spans="1:19" ht="15.75" hidden="1" x14ac:dyDescent="0.25">
      <c r="A482" s="639" t="s">
        <v>748</v>
      </c>
      <c r="B482" s="639"/>
      <c r="C482" s="724" t="s">
        <v>1147</v>
      </c>
      <c r="D482" s="549">
        <v>4.9608404483911857</v>
      </c>
      <c r="E482" s="550">
        <v>88.165158857796683</v>
      </c>
      <c r="F482" s="551">
        <v>0</v>
      </c>
      <c r="G482" s="560">
        <v>15.869728594403403</v>
      </c>
      <c r="H482" s="566">
        <v>108.99572790059126</v>
      </c>
      <c r="I482" s="567">
        <v>66.12386914334752</v>
      </c>
      <c r="J482" s="560">
        <v>11.90243424692612</v>
      </c>
      <c r="K482" s="568">
        <v>0</v>
      </c>
      <c r="L482" s="560">
        <v>0</v>
      </c>
      <c r="M482" s="1057">
        <f t="shared" si="57"/>
        <v>66.12386914334752</v>
      </c>
      <c r="N482" s="1058">
        <f t="shared" si="57"/>
        <v>11.90243424692612</v>
      </c>
      <c r="O482" s="569">
        <v>0</v>
      </c>
      <c r="P482" s="560">
        <v>0</v>
      </c>
      <c r="Q482" s="571">
        <v>187.0220312908649</v>
      </c>
      <c r="R482" s="1075">
        <f t="shared" si="59"/>
        <v>187.0220312908649</v>
      </c>
      <c r="S482" s="1075">
        <f t="shared" si="58"/>
        <v>0</v>
      </c>
    </row>
    <row r="483" spans="1:19" ht="16.5" hidden="1" thickBot="1" x14ac:dyDescent="0.3">
      <c r="A483" s="652" t="s">
        <v>749</v>
      </c>
      <c r="B483" s="652"/>
      <c r="C483" s="807" t="s">
        <v>1147</v>
      </c>
      <c r="D483" s="549">
        <v>4.9608404483911857</v>
      </c>
      <c r="E483" s="550">
        <v>88.165158857796683</v>
      </c>
      <c r="F483" s="551">
        <v>0</v>
      </c>
      <c r="G483" s="560">
        <v>15.869728594403403</v>
      </c>
      <c r="H483" s="566">
        <v>108.99572790059126</v>
      </c>
      <c r="I483" s="567">
        <v>66.12386914334752</v>
      </c>
      <c r="J483" s="560">
        <v>11.90243424692612</v>
      </c>
      <c r="K483" s="568">
        <v>0</v>
      </c>
      <c r="L483" s="560">
        <v>0</v>
      </c>
      <c r="M483" s="1057">
        <f t="shared" si="57"/>
        <v>66.12386914334752</v>
      </c>
      <c r="N483" s="1058">
        <f t="shared" si="57"/>
        <v>11.90243424692612</v>
      </c>
      <c r="O483" s="569">
        <v>0</v>
      </c>
      <c r="P483" s="560">
        <v>0</v>
      </c>
      <c r="Q483" s="571">
        <v>187.0220312908649</v>
      </c>
      <c r="R483" s="1075">
        <f t="shared" si="59"/>
        <v>187.0220312908649</v>
      </c>
      <c r="S483" s="1075">
        <f t="shared" si="58"/>
        <v>0</v>
      </c>
    </row>
    <row r="484" spans="1:19" ht="15.75" hidden="1" x14ac:dyDescent="0.25">
      <c r="A484" s="663" t="s">
        <v>165</v>
      </c>
      <c r="B484" s="1046"/>
      <c r="C484" s="802" t="s">
        <v>1149</v>
      </c>
      <c r="D484" s="549">
        <v>35.247053735538977</v>
      </c>
      <c r="E484" s="550">
        <v>205.33300897394312</v>
      </c>
      <c r="F484" s="551">
        <v>0</v>
      </c>
      <c r="G484" s="560">
        <v>0</v>
      </c>
      <c r="H484" s="566">
        <v>240.58006270948209</v>
      </c>
      <c r="I484" s="567">
        <v>0</v>
      </c>
      <c r="J484" s="560">
        <v>0</v>
      </c>
      <c r="K484" s="568">
        <v>230.57898151151477</v>
      </c>
      <c r="L484" s="560">
        <v>0</v>
      </c>
      <c r="M484" s="1057">
        <f t="shared" si="57"/>
        <v>230.57898151151477</v>
      </c>
      <c r="N484" s="1058">
        <f t="shared" si="57"/>
        <v>0</v>
      </c>
      <c r="O484" s="569">
        <v>0</v>
      </c>
      <c r="P484" s="560">
        <v>0</v>
      </c>
      <c r="Q484" s="571">
        <v>471.15904422099686</v>
      </c>
      <c r="R484" s="1075">
        <f t="shared" si="59"/>
        <v>471.15904422099686</v>
      </c>
      <c r="S484" s="1075">
        <f t="shared" si="58"/>
        <v>0</v>
      </c>
    </row>
    <row r="485" spans="1:19" ht="15.75" hidden="1" x14ac:dyDescent="0.25">
      <c r="A485" s="547" t="s">
        <v>166</v>
      </c>
      <c r="B485" s="1046" t="s">
        <v>429</v>
      </c>
      <c r="C485" s="802" t="s">
        <v>1149</v>
      </c>
      <c r="D485" s="549">
        <v>46.559087468915564</v>
      </c>
      <c r="E485" s="550">
        <v>173.11330954697806</v>
      </c>
      <c r="F485" s="551">
        <v>0</v>
      </c>
      <c r="G485" s="560">
        <v>0</v>
      </c>
      <c r="H485" s="566">
        <v>219.67239701589364</v>
      </c>
      <c r="I485" s="567">
        <v>0</v>
      </c>
      <c r="J485" s="560">
        <v>0</v>
      </c>
      <c r="K485" s="568">
        <v>332.88733917180235</v>
      </c>
      <c r="L485" s="560">
        <v>0</v>
      </c>
      <c r="M485" s="1057">
        <f t="shared" si="57"/>
        <v>332.88733917180235</v>
      </c>
      <c r="N485" s="1058">
        <f t="shared" si="57"/>
        <v>0</v>
      </c>
      <c r="O485" s="569">
        <v>0</v>
      </c>
      <c r="P485" s="560">
        <v>0</v>
      </c>
      <c r="Q485" s="571">
        <v>552.55973618769599</v>
      </c>
      <c r="R485" s="1075">
        <f t="shared" si="59"/>
        <v>552.55973618769599</v>
      </c>
      <c r="S485" s="1075">
        <f t="shared" si="58"/>
        <v>0</v>
      </c>
    </row>
    <row r="486" spans="1:19" ht="15.75" hidden="1" x14ac:dyDescent="0.25">
      <c r="A486" s="547" t="s">
        <v>167</v>
      </c>
      <c r="B486" s="1046" t="s">
        <v>429</v>
      </c>
      <c r="C486" s="802" t="s">
        <v>1149</v>
      </c>
      <c r="D486" s="549">
        <v>42.301870472483515</v>
      </c>
      <c r="E486" s="550">
        <v>173.49172883554979</v>
      </c>
      <c r="F486" s="551">
        <v>0</v>
      </c>
      <c r="G486" s="560">
        <v>0</v>
      </c>
      <c r="H486" s="566">
        <v>215.79359930803332</v>
      </c>
      <c r="I486" s="567">
        <v>0</v>
      </c>
      <c r="J486" s="560">
        <v>0</v>
      </c>
      <c r="K486" s="568">
        <v>169.55887122932208</v>
      </c>
      <c r="L486" s="560">
        <v>0</v>
      </c>
      <c r="M486" s="1057">
        <f t="shared" si="57"/>
        <v>169.55887122932208</v>
      </c>
      <c r="N486" s="1058">
        <f t="shared" si="57"/>
        <v>0</v>
      </c>
      <c r="O486" s="569">
        <v>0</v>
      </c>
      <c r="P486" s="560">
        <v>0</v>
      </c>
      <c r="Q486" s="571">
        <v>385.35247053735543</v>
      </c>
      <c r="R486" s="1075">
        <f t="shared" si="59"/>
        <v>385.35247053735543</v>
      </c>
      <c r="S486" s="1075">
        <f t="shared" si="58"/>
        <v>0</v>
      </c>
    </row>
    <row r="487" spans="1:19" ht="15.75" hidden="1" x14ac:dyDescent="0.25">
      <c r="A487" s="547" t="s">
        <v>168</v>
      </c>
      <c r="B487" s="1046"/>
      <c r="C487" s="802" t="s">
        <v>1149</v>
      </c>
      <c r="D487" s="549">
        <v>43.031679100443291</v>
      </c>
      <c r="E487" s="550">
        <v>238.13385230835763</v>
      </c>
      <c r="F487" s="551">
        <v>0</v>
      </c>
      <c r="G487" s="560">
        <v>0</v>
      </c>
      <c r="H487" s="566">
        <v>281.16553140880092</v>
      </c>
      <c r="I487" s="567">
        <v>0</v>
      </c>
      <c r="J487" s="560">
        <v>0</v>
      </c>
      <c r="K487" s="568">
        <v>291.50448697156446</v>
      </c>
      <c r="L487" s="560">
        <v>0</v>
      </c>
      <c r="M487" s="1057">
        <f t="shared" si="57"/>
        <v>291.50448697156446</v>
      </c>
      <c r="N487" s="1058">
        <f t="shared" si="57"/>
        <v>0</v>
      </c>
      <c r="O487" s="569">
        <v>0</v>
      </c>
      <c r="P487" s="560">
        <v>0</v>
      </c>
      <c r="Q487" s="571">
        <v>572.67001838036538</v>
      </c>
      <c r="R487" s="1075">
        <f t="shared" si="59"/>
        <v>572.67001838036538</v>
      </c>
      <c r="S487" s="1075">
        <f t="shared" si="58"/>
        <v>0</v>
      </c>
    </row>
    <row r="488" spans="1:19" ht="16.5" hidden="1" thickBot="1" x14ac:dyDescent="0.3">
      <c r="A488" s="547" t="s">
        <v>169</v>
      </c>
      <c r="B488" s="1046"/>
      <c r="C488" s="802" t="s">
        <v>1149</v>
      </c>
      <c r="D488" s="549">
        <v>32.530543842577572</v>
      </c>
      <c r="E488" s="550">
        <v>182.18185749810792</v>
      </c>
      <c r="F488" s="551">
        <v>0</v>
      </c>
      <c r="G488" s="560">
        <v>0</v>
      </c>
      <c r="H488" s="566">
        <v>214.71240134068549</v>
      </c>
      <c r="I488" s="567">
        <v>0</v>
      </c>
      <c r="J488" s="560">
        <v>0</v>
      </c>
      <c r="K488" s="568">
        <v>301.15417883014379</v>
      </c>
      <c r="L488" s="560">
        <v>0</v>
      </c>
      <c r="M488" s="1057">
        <f t="shared" si="57"/>
        <v>301.15417883014379</v>
      </c>
      <c r="N488" s="1058">
        <f t="shared" si="57"/>
        <v>0</v>
      </c>
      <c r="O488" s="569">
        <v>0</v>
      </c>
      <c r="P488" s="560">
        <v>0</v>
      </c>
      <c r="Q488" s="571">
        <v>515.86658017082925</v>
      </c>
      <c r="R488" s="1075">
        <f t="shared" si="59"/>
        <v>515.86658017082925</v>
      </c>
      <c r="S488" s="1075">
        <f t="shared" si="58"/>
        <v>0</v>
      </c>
    </row>
    <row r="489" spans="1:19" ht="15.75" hidden="1" x14ac:dyDescent="0.25">
      <c r="A489" s="638" t="s">
        <v>170</v>
      </c>
      <c r="B489" s="693"/>
      <c r="C489" s="806" t="s">
        <v>1151</v>
      </c>
      <c r="D489" s="549" t="s">
        <v>5</v>
      </c>
      <c r="E489" s="550">
        <v>178.85</v>
      </c>
      <c r="F489" s="551" t="s">
        <v>5</v>
      </c>
      <c r="G489" s="560" t="s">
        <v>5</v>
      </c>
      <c r="H489" s="566">
        <v>178.85</v>
      </c>
      <c r="I489" s="567" t="s">
        <v>5</v>
      </c>
      <c r="J489" s="560" t="s">
        <v>5</v>
      </c>
      <c r="K489" s="568">
        <v>284.37</v>
      </c>
      <c r="L489" s="560" t="s">
        <v>5</v>
      </c>
      <c r="M489" s="1057">
        <f t="shared" ref="M489:M495" si="60">K489</f>
        <v>284.37</v>
      </c>
      <c r="N489" s="1077" t="s">
        <v>5</v>
      </c>
      <c r="O489" s="569" t="s">
        <v>5</v>
      </c>
      <c r="P489" s="560" t="s">
        <v>5</v>
      </c>
      <c r="Q489" s="571">
        <v>463.22</v>
      </c>
      <c r="R489" s="1075">
        <f>H489+K489</f>
        <v>463.22</v>
      </c>
      <c r="S489" s="1075">
        <f t="shared" si="58"/>
        <v>0</v>
      </c>
    </row>
    <row r="490" spans="1:19" ht="15.75" hidden="1" x14ac:dyDescent="0.25">
      <c r="A490" s="639" t="s">
        <v>171</v>
      </c>
      <c r="B490" s="639" t="s">
        <v>429</v>
      </c>
      <c r="C490" s="724" t="s">
        <v>1151</v>
      </c>
      <c r="D490" s="549">
        <v>121.92</v>
      </c>
      <c r="E490" s="550">
        <v>119.72</v>
      </c>
      <c r="F490" s="551">
        <v>23.66</v>
      </c>
      <c r="G490" s="560" t="s">
        <v>5</v>
      </c>
      <c r="H490" s="566">
        <v>265.3</v>
      </c>
      <c r="I490" s="567" t="s">
        <v>5</v>
      </c>
      <c r="J490" s="560" t="s">
        <v>5</v>
      </c>
      <c r="K490" s="568">
        <v>294.17</v>
      </c>
      <c r="L490" s="560" t="s">
        <v>5</v>
      </c>
      <c r="M490" s="1057">
        <f t="shared" si="60"/>
        <v>294.17</v>
      </c>
      <c r="N490" s="1077" t="s">
        <v>5</v>
      </c>
      <c r="O490" s="569">
        <v>334.2</v>
      </c>
      <c r="P490" s="560" t="s">
        <v>5</v>
      </c>
      <c r="Q490" s="571">
        <v>893.67000000000007</v>
      </c>
      <c r="R490" s="1075">
        <f>H490+K490+O490</f>
        <v>893.67000000000007</v>
      </c>
      <c r="S490" s="1075">
        <f t="shared" si="58"/>
        <v>0</v>
      </c>
    </row>
    <row r="491" spans="1:19" ht="15.75" hidden="1" x14ac:dyDescent="0.25">
      <c r="A491" s="639" t="s">
        <v>172</v>
      </c>
      <c r="B491" s="639"/>
      <c r="C491" s="724" t="s">
        <v>1151</v>
      </c>
      <c r="D491" s="549" t="s">
        <v>5</v>
      </c>
      <c r="E491" s="550">
        <v>204.17</v>
      </c>
      <c r="F491" s="551" t="s">
        <v>5</v>
      </c>
      <c r="G491" s="560" t="s">
        <v>5</v>
      </c>
      <c r="H491" s="566">
        <v>204.17</v>
      </c>
      <c r="I491" s="567" t="s">
        <v>5</v>
      </c>
      <c r="J491" s="560" t="s">
        <v>5</v>
      </c>
      <c r="K491" s="568">
        <v>166.12</v>
      </c>
      <c r="L491" s="560" t="s">
        <v>5</v>
      </c>
      <c r="M491" s="1057">
        <f t="shared" si="60"/>
        <v>166.12</v>
      </c>
      <c r="N491" s="1077" t="s">
        <v>5</v>
      </c>
      <c r="O491" s="569" t="s">
        <v>5</v>
      </c>
      <c r="P491" s="560" t="s">
        <v>5</v>
      </c>
      <c r="Q491" s="571">
        <v>370.28999999999996</v>
      </c>
      <c r="R491" s="1075">
        <f>H491+K491</f>
        <v>370.28999999999996</v>
      </c>
      <c r="S491" s="1075">
        <f t="shared" ref="S491:S513" si="61">Q491-R491</f>
        <v>0</v>
      </c>
    </row>
    <row r="492" spans="1:19" ht="15.75" hidden="1" x14ac:dyDescent="0.25">
      <c r="A492" s="639" t="s">
        <v>173</v>
      </c>
      <c r="B492" s="639"/>
      <c r="C492" s="724" t="s">
        <v>1151</v>
      </c>
      <c r="D492" s="549" t="s">
        <v>5</v>
      </c>
      <c r="E492" s="550">
        <v>102.55</v>
      </c>
      <c r="F492" s="551" t="s">
        <v>5</v>
      </c>
      <c r="G492" s="560" t="s">
        <v>5</v>
      </c>
      <c r="H492" s="566">
        <v>102.55</v>
      </c>
      <c r="I492" s="567" t="s">
        <v>5</v>
      </c>
      <c r="J492" s="560" t="s">
        <v>5</v>
      </c>
      <c r="K492" s="568">
        <v>102.55</v>
      </c>
      <c r="L492" s="560" t="s">
        <v>5</v>
      </c>
      <c r="M492" s="1057">
        <f t="shared" si="60"/>
        <v>102.55</v>
      </c>
      <c r="N492" s="1077" t="s">
        <v>5</v>
      </c>
      <c r="O492" s="569" t="s">
        <v>5</v>
      </c>
      <c r="P492" s="560" t="s">
        <v>5</v>
      </c>
      <c r="Q492" s="571">
        <v>205.1</v>
      </c>
      <c r="R492" s="1075">
        <f>H492+K492</f>
        <v>205.1</v>
      </c>
      <c r="S492" s="1075">
        <f t="shared" si="61"/>
        <v>0</v>
      </c>
    </row>
    <row r="493" spans="1:19" ht="15.75" hidden="1" x14ac:dyDescent="0.25">
      <c r="A493" s="639" t="s">
        <v>174</v>
      </c>
      <c r="B493" s="639"/>
      <c r="C493" s="724" t="s">
        <v>1151</v>
      </c>
      <c r="D493" s="549">
        <v>142.32</v>
      </c>
      <c r="E493" s="550">
        <v>67.36</v>
      </c>
      <c r="F493" s="551" t="s">
        <v>5</v>
      </c>
      <c r="G493" s="560" t="s">
        <v>5</v>
      </c>
      <c r="H493" s="566">
        <v>209.68</v>
      </c>
      <c r="I493" s="567" t="s">
        <v>5</v>
      </c>
      <c r="J493" s="560" t="s">
        <v>5</v>
      </c>
      <c r="K493" s="568">
        <v>252.36</v>
      </c>
      <c r="L493" s="560" t="s">
        <v>5</v>
      </c>
      <c r="M493" s="1057">
        <f t="shared" si="60"/>
        <v>252.36</v>
      </c>
      <c r="N493" s="1077" t="s">
        <v>5</v>
      </c>
      <c r="O493" s="569">
        <v>16.670000000000002</v>
      </c>
      <c r="P493" s="560" t="s">
        <v>5</v>
      </c>
      <c r="Q493" s="571">
        <v>478.71000000000004</v>
      </c>
      <c r="R493" s="1075">
        <f>H493+K493+O493</f>
        <v>478.71000000000004</v>
      </c>
      <c r="S493" s="1075">
        <f t="shared" si="61"/>
        <v>0</v>
      </c>
    </row>
    <row r="494" spans="1:19" ht="15.75" hidden="1" x14ac:dyDescent="0.25">
      <c r="A494" s="639" t="s">
        <v>175</v>
      </c>
      <c r="B494" s="639"/>
      <c r="C494" s="724" t="s">
        <v>1151</v>
      </c>
      <c r="D494" s="549">
        <v>38.4</v>
      </c>
      <c r="E494" s="550">
        <v>13.07</v>
      </c>
      <c r="F494" s="551" t="s">
        <v>5</v>
      </c>
      <c r="G494" s="560" t="s">
        <v>5</v>
      </c>
      <c r="H494" s="566">
        <v>51.47</v>
      </c>
      <c r="I494" s="567" t="s">
        <v>5</v>
      </c>
      <c r="J494" s="560" t="s">
        <v>5</v>
      </c>
      <c r="K494" s="568">
        <v>87.73</v>
      </c>
      <c r="L494" s="560" t="s">
        <v>5</v>
      </c>
      <c r="M494" s="1057">
        <f t="shared" si="60"/>
        <v>87.73</v>
      </c>
      <c r="N494" s="1077" t="s">
        <v>5</v>
      </c>
      <c r="O494" s="569" t="s">
        <v>5</v>
      </c>
      <c r="P494" s="560" t="s">
        <v>5</v>
      </c>
      <c r="Q494" s="571">
        <v>139.19999999999999</v>
      </c>
      <c r="R494" s="1075">
        <f>H494+K494</f>
        <v>139.19999999999999</v>
      </c>
      <c r="S494" s="1075">
        <f t="shared" si="61"/>
        <v>0</v>
      </c>
    </row>
    <row r="495" spans="1:19" ht="16.5" hidden="1" thickBot="1" x14ac:dyDescent="0.3">
      <c r="A495" s="714" t="s">
        <v>212</v>
      </c>
      <c r="B495" s="1053"/>
      <c r="C495" s="807" t="s">
        <v>1151</v>
      </c>
      <c r="D495" s="716">
        <v>48</v>
      </c>
      <c r="E495" s="717">
        <v>124.66</v>
      </c>
      <c r="F495" s="718" t="s">
        <v>5</v>
      </c>
      <c r="G495" s="560" t="s">
        <v>5</v>
      </c>
      <c r="H495" s="566">
        <v>172.66</v>
      </c>
      <c r="I495" s="567" t="s">
        <v>5</v>
      </c>
      <c r="J495" s="560" t="s">
        <v>5</v>
      </c>
      <c r="K495" s="720">
        <v>182.97</v>
      </c>
      <c r="L495" s="560" t="s">
        <v>5</v>
      </c>
      <c r="M495" s="1057">
        <f t="shared" si="60"/>
        <v>182.97</v>
      </c>
      <c r="N495" s="1077" t="s">
        <v>5</v>
      </c>
      <c r="O495" s="721">
        <v>12.36</v>
      </c>
      <c r="P495" s="719" t="s">
        <v>5</v>
      </c>
      <c r="Q495" s="571">
        <v>367.99</v>
      </c>
      <c r="R495" s="1075">
        <f>H495+K495+O495</f>
        <v>367.99</v>
      </c>
      <c r="S495" s="1075">
        <f t="shared" si="61"/>
        <v>0</v>
      </c>
    </row>
    <row r="498" spans="1:13" ht="63" x14ac:dyDescent="0.25">
      <c r="A498" s="250" t="s">
        <v>58</v>
      </c>
      <c r="B498" s="799" t="s">
        <v>1022</v>
      </c>
      <c r="C498" s="1061" t="s">
        <v>1294</v>
      </c>
      <c r="D498" s="1062" t="s">
        <v>1295</v>
      </c>
      <c r="E498" s="1063" t="s">
        <v>1194</v>
      </c>
      <c r="F498" s="1064" t="s">
        <v>1195</v>
      </c>
      <c r="G498" s="1065" t="s">
        <v>1196</v>
      </c>
      <c r="H498" s="1081" t="s">
        <v>1205</v>
      </c>
      <c r="I498" s="1082" t="s">
        <v>1208</v>
      </c>
      <c r="J498" s="1070" t="s">
        <v>1206</v>
      </c>
      <c r="K498" s="1064" t="s">
        <v>1207</v>
      </c>
      <c r="L498" s="1072" t="s">
        <v>1214</v>
      </c>
      <c r="M498" s="618" t="s">
        <v>1203</v>
      </c>
    </row>
    <row r="499" spans="1:13" ht="15.75" hidden="1" x14ac:dyDescent="0.25">
      <c r="A499" s="1098" t="s">
        <v>1298</v>
      </c>
      <c r="B499" s="1083" t="s">
        <v>1024</v>
      </c>
      <c r="C499" s="625" t="s">
        <v>5</v>
      </c>
      <c r="D499" s="593" t="s">
        <v>5</v>
      </c>
      <c r="E499" s="594" t="s">
        <v>5</v>
      </c>
      <c r="F499" s="595" t="s">
        <v>5</v>
      </c>
      <c r="G499" s="566" t="s">
        <v>5</v>
      </c>
      <c r="H499" s="1076" t="s">
        <v>5</v>
      </c>
      <c r="I499" s="1077" t="s">
        <v>5</v>
      </c>
      <c r="J499" s="597" t="s">
        <v>5</v>
      </c>
      <c r="K499" s="595" t="s">
        <v>5</v>
      </c>
      <c r="L499" s="571">
        <v>16.652428537404525</v>
      </c>
      <c r="M499" s="223">
        <f>L499</f>
        <v>16.652428537404525</v>
      </c>
    </row>
    <row r="500" spans="1:13" ht="15.75" hidden="1" x14ac:dyDescent="0.25">
      <c r="A500" s="781" t="s">
        <v>1299</v>
      </c>
      <c r="B500" s="1083" t="s">
        <v>1024</v>
      </c>
      <c r="C500" s="625" t="s">
        <v>5</v>
      </c>
      <c r="D500" s="593" t="s">
        <v>5</v>
      </c>
      <c r="E500" s="594" t="s">
        <v>5</v>
      </c>
      <c r="F500" s="595" t="s">
        <v>5</v>
      </c>
      <c r="G500" s="566" t="s">
        <v>5</v>
      </c>
      <c r="H500" s="1076" t="s">
        <v>5</v>
      </c>
      <c r="I500" s="1077" t="s">
        <v>5</v>
      </c>
      <c r="J500" s="597" t="s">
        <v>5</v>
      </c>
      <c r="K500" s="595" t="s">
        <v>5</v>
      </c>
      <c r="L500" s="571">
        <v>21.048058928113484</v>
      </c>
      <c r="M500" s="223">
        <f>L500</f>
        <v>21.048058928113484</v>
      </c>
    </row>
    <row r="501" spans="1:13" ht="15.75" hidden="1" x14ac:dyDescent="0.25">
      <c r="A501" s="781" t="s">
        <v>1300</v>
      </c>
      <c r="B501" s="1083" t="s">
        <v>1024</v>
      </c>
      <c r="C501" s="625" t="s">
        <v>5</v>
      </c>
      <c r="D501" s="593" t="s">
        <v>5</v>
      </c>
      <c r="E501" s="594" t="s">
        <v>5</v>
      </c>
      <c r="F501" s="595" t="s">
        <v>5</v>
      </c>
      <c r="G501" s="566" t="s">
        <v>5</v>
      </c>
      <c r="H501" s="1076" t="s">
        <v>5</v>
      </c>
      <c r="I501" s="1077" t="s">
        <v>5</v>
      </c>
      <c r="J501" s="597" t="s">
        <v>5</v>
      </c>
      <c r="K501" s="595" t="s">
        <v>5</v>
      </c>
      <c r="L501" s="571">
        <v>31.054892154907261</v>
      </c>
      <c r="M501" s="223">
        <f>L501</f>
        <v>31.054892154907261</v>
      </c>
    </row>
    <row r="502" spans="1:13" s="3274" customFormat="1" ht="15.75" hidden="1" x14ac:dyDescent="0.25">
      <c r="A502" s="3267" t="s">
        <v>526</v>
      </c>
      <c r="B502" s="3268" t="s">
        <v>1026</v>
      </c>
      <c r="C502" s="3269">
        <v>26.392844595536175</v>
      </c>
      <c r="D502" s="3270">
        <v>0</v>
      </c>
      <c r="E502" s="3270">
        <v>0</v>
      </c>
      <c r="F502" s="3270">
        <v>5.2785689191072356</v>
      </c>
      <c r="G502" s="3271">
        <v>31.671413514643412</v>
      </c>
      <c r="H502" s="3275">
        <v>4.6575608109769719</v>
      </c>
      <c r="I502" s="3275">
        <v>0.93151216219539446</v>
      </c>
      <c r="J502" s="3270">
        <v>0</v>
      </c>
      <c r="K502" s="3270">
        <v>0</v>
      </c>
      <c r="L502" s="3271"/>
      <c r="M502" s="3273">
        <f>G502+H502+I502+J502+K502</f>
        <v>37.260486487815783</v>
      </c>
    </row>
    <row r="503" spans="1:13" ht="15.75" hidden="1" x14ac:dyDescent="0.25">
      <c r="A503" s="781" t="s">
        <v>217</v>
      </c>
      <c r="B503" s="1083" t="s">
        <v>1024</v>
      </c>
      <c r="C503" s="625" t="s">
        <v>5</v>
      </c>
      <c r="D503" s="593" t="s">
        <v>5</v>
      </c>
      <c r="E503" s="594" t="s">
        <v>5</v>
      </c>
      <c r="F503" s="595" t="s">
        <v>5</v>
      </c>
      <c r="G503" s="566" t="s">
        <v>5</v>
      </c>
      <c r="H503" s="1076" t="s">
        <v>5</v>
      </c>
      <c r="I503" s="1077" t="s">
        <v>5</v>
      </c>
      <c r="J503" s="597" t="s">
        <v>5</v>
      </c>
      <c r="K503" s="595" t="s">
        <v>5</v>
      </c>
      <c r="L503" s="571">
        <v>39.878410497900838</v>
      </c>
      <c r="M503" s="223">
        <f>L503</f>
        <v>39.878410497900838</v>
      </c>
    </row>
    <row r="504" spans="1:13" s="3274" customFormat="1" ht="15.75" hidden="1" x14ac:dyDescent="0.25">
      <c r="A504" s="3288" t="s">
        <v>468</v>
      </c>
      <c r="B504" s="3287" t="s">
        <v>1044</v>
      </c>
      <c r="C504" s="3269">
        <v>30.453292646914065</v>
      </c>
      <c r="D504" s="3270">
        <v>0</v>
      </c>
      <c r="E504" s="3270">
        <v>0</v>
      </c>
      <c r="F504" s="3270">
        <v>0</v>
      </c>
      <c r="G504" s="3271">
        <v>30.453292646914065</v>
      </c>
      <c r="H504" s="3275">
        <v>13.842405748597303</v>
      </c>
      <c r="I504" s="3275">
        <v>0</v>
      </c>
      <c r="J504" s="3270">
        <v>0</v>
      </c>
      <c r="K504" s="3270">
        <v>0</v>
      </c>
      <c r="L504" s="3271"/>
      <c r="M504" s="3273">
        <f>G504+H504+I504+J504+K504</f>
        <v>44.295698395511366</v>
      </c>
    </row>
    <row r="505" spans="1:13" ht="15.75" hidden="1" x14ac:dyDescent="0.25">
      <c r="A505" s="1087" t="s">
        <v>148</v>
      </c>
      <c r="B505" s="805" t="s">
        <v>1131</v>
      </c>
      <c r="C505" s="625">
        <v>0</v>
      </c>
      <c r="D505" s="550">
        <v>49.663800252813957</v>
      </c>
      <c r="E505" s="551">
        <v>0</v>
      </c>
      <c r="F505" s="560">
        <v>0</v>
      </c>
      <c r="G505" s="566">
        <v>49.663800252813957</v>
      </c>
      <c r="H505" s="1057">
        <v>0</v>
      </c>
      <c r="I505" s="1058">
        <v>0</v>
      </c>
      <c r="J505" s="569">
        <v>0</v>
      </c>
      <c r="K505" s="560">
        <v>0</v>
      </c>
      <c r="L505" s="571"/>
      <c r="M505" s="223">
        <f>G505+H505+I505+J505+K505</f>
        <v>49.663800252813957</v>
      </c>
    </row>
    <row r="506" spans="1:13" ht="15.75" hidden="1" x14ac:dyDescent="0.25">
      <c r="A506" s="1091" t="s">
        <v>1301</v>
      </c>
      <c r="B506" s="1083" t="s">
        <v>1024</v>
      </c>
      <c r="C506" s="625" t="s">
        <v>5</v>
      </c>
      <c r="D506" s="593" t="s">
        <v>5</v>
      </c>
      <c r="E506" s="594" t="s">
        <v>5</v>
      </c>
      <c r="F506" s="595" t="s">
        <v>5</v>
      </c>
      <c r="G506" s="566" t="s">
        <v>5</v>
      </c>
      <c r="H506" s="1076" t="s">
        <v>5</v>
      </c>
      <c r="I506" s="1077" t="s">
        <v>5</v>
      </c>
      <c r="J506" s="597" t="s">
        <v>5</v>
      </c>
      <c r="K506" s="595" t="s">
        <v>5</v>
      </c>
      <c r="L506" s="571">
        <v>52.186283117091179</v>
      </c>
      <c r="M506" s="223">
        <f>L506</f>
        <v>52.186283117091179</v>
      </c>
    </row>
    <row r="507" spans="1:13" ht="15.75" hidden="1" x14ac:dyDescent="0.25">
      <c r="A507" s="781" t="s">
        <v>1302</v>
      </c>
      <c r="B507" s="1083" t="s">
        <v>1024</v>
      </c>
      <c r="C507" s="625" t="s">
        <v>5</v>
      </c>
      <c r="D507" s="593" t="s">
        <v>5</v>
      </c>
      <c r="E507" s="594" t="s">
        <v>5</v>
      </c>
      <c r="F507" s="595" t="s">
        <v>5</v>
      </c>
      <c r="G507" s="566" t="s">
        <v>5</v>
      </c>
      <c r="H507" s="1076" t="s">
        <v>5</v>
      </c>
      <c r="I507" s="1077" t="s">
        <v>5</v>
      </c>
      <c r="J507" s="597" t="s">
        <v>5</v>
      </c>
      <c r="K507" s="595" t="s">
        <v>5</v>
      </c>
      <c r="L507" s="571">
        <v>52.199723767747699</v>
      </c>
      <c r="M507" s="223">
        <f>L507</f>
        <v>52.199723767747699</v>
      </c>
    </row>
    <row r="508" spans="1:13" s="3274" customFormat="1" ht="15.75" hidden="1" x14ac:dyDescent="0.25">
      <c r="A508" s="3267" t="s">
        <v>1303</v>
      </c>
      <c r="B508" s="3268" t="s">
        <v>1024</v>
      </c>
      <c r="C508" s="3269" t="s">
        <v>5</v>
      </c>
      <c r="D508" s="3270" t="s">
        <v>5</v>
      </c>
      <c r="E508" s="3270" t="s">
        <v>5</v>
      </c>
      <c r="F508" s="3270" t="s">
        <v>5</v>
      </c>
      <c r="G508" s="3271" t="s">
        <v>5</v>
      </c>
      <c r="H508" s="3272" t="s">
        <v>5</v>
      </c>
      <c r="I508" s="3272" t="s">
        <v>5</v>
      </c>
      <c r="J508" s="3270" t="s">
        <v>5</v>
      </c>
      <c r="K508" s="3270" t="s">
        <v>5</v>
      </c>
      <c r="L508" s="3271">
        <v>53.017452953690501</v>
      </c>
      <c r="M508" s="3273">
        <f>L508</f>
        <v>53.017452953690501</v>
      </c>
    </row>
    <row r="509" spans="1:13" ht="15.75" hidden="1" x14ac:dyDescent="0.25">
      <c r="A509" s="1087" t="s">
        <v>143</v>
      </c>
      <c r="B509" s="805" t="s">
        <v>1131</v>
      </c>
      <c r="C509" s="625">
        <v>0</v>
      </c>
      <c r="D509" s="550">
        <v>53.618909463360751</v>
      </c>
      <c r="E509" s="551">
        <v>0</v>
      </c>
      <c r="F509" s="560">
        <v>0</v>
      </c>
      <c r="G509" s="566">
        <v>53.618909463360751</v>
      </c>
      <c r="H509" s="1057">
        <v>0</v>
      </c>
      <c r="I509" s="1058">
        <v>0</v>
      </c>
      <c r="J509" s="569">
        <v>0</v>
      </c>
      <c r="K509" s="560">
        <v>0</v>
      </c>
      <c r="L509" s="571"/>
      <c r="M509" s="223">
        <f t="shared" ref="M509:M520" si="62">G509+H509+I509+J509+K509</f>
        <v>53.618909463360751</v>
      </c>
    </row>
    <row r="510" spans="1:13" s="3274" customFormat="1" ht="15.75" hidden="1" x14ac:dyDescent="0.25">
      <c r="A510" s="3288" t="s">
        <v>81</v>
      </c>
      <c r="B510" s="3287" t="s">
        <v>1044</v>
      </c>
      <c r="C510" s="3269">
        <v>41.065803720838666</v>
      </c>
      <c r="D510" s="3270">
        <v>0</v>
      </c>
      <c r="E510" s="3270">
        <v>0</v>
      </c>
      <c r="F510" s="3270">
        <v>0</v>
      </c>
      <c r="G510" s="3271">
        <v>41.065803720838666</v>
      </c>
      <c r="H510" s="3275">
        <v>13.842405748597303</v>
      </c>
      <c r="I510" s="3275">
        <v>0</v>
      </c>
      <c r="J510" s="3270">
        <v>0</v>
      </c>
      <c r="K510" s="3270">
        <v>0</v>
      </c>
      <c r="L510" s="3271"/>
      <c r="M510" s="3273">
        <f t="shared" si="62"/>
        <v>54.908209469435967</v>
      </c>
    </row>
    <row r="511" spans="1:13" s="3274" customFormat="1" ht="15.75" hidden="1" x14ac:dyDescent="0.25">
      <c r="A511" s="3288" t="s">
        <v>79</v>
      </c>
      <c r="B511" s="3287" t="s">
        <v>1044</v>
      </c>
      <c r="C511" s="3269">
        <v>29.530465597007581</v>
      </c>
      <c r="D511" s="3270">
        <v>0</v>
      </c>
      <c r="E511" s="3270">
        <v>0</v>
      </c>
      <c r="F511" s="3270">
        <v>0</v>
      </c>
      <c r="G511" s="3271">
        <v>29.530465597007581</v>
      </c>
      <c r="H511" s="3275">
        <v>26.146766414017129</v>
      </c>
      <c r="I511" s="3275">
        <v>0</v>
      </c>
      <c r="J511" s="3270">
        <v>0</v>
      </c>
      <c r="K511" s="3270">
        <v>0</v>
      </c>
      <c r="L511" s="3271"/>
      <c r="M511" s="3273">
        <f t="shared" si="62"/>
        <v>55.677232011024714</v>
      </c>
    </row>
    <row r="512" spans="1:13" ht="15.75" hidden="1" x14ac:dyDescent="0.25">
      <c r="A512" s="1087" t="s">
        <v>147</v>
      </c>
      <c r="B512" s="805" t="s">
        <v>1131</v>
      </c>
      <c r="C512" s="625">
        <v>0</v>
      </c>
      <c r="D512" s="550">
        <v>58.333174707211562</v>
      </c>
      <c r="E512" s="551">
        <v>0</v>
      </c>
      <c r="F512" s="560">
        <v>0</v>
      </c>
      <c r="G512" s="566">
        <v>58.333174707211562</v>
      </c>
      <c r="H512" s="1057">
        <v>0</v>
      </c>
      <c r="I512" s="1058">
        <v>0</v>
      </c>
      <c r="J512" s="569">
        <v>0</v>
      </c>
      <c r="K512" s="560">
        <v>0</v>
      </c>
      <c r="L512" s="571"/>
      <c r="M512" s="223">
        <f t="shared" si="62"/>
        <v>58.333174707211562</v>
      </c>
    </row>
    <row r="513" spans="1:13" ht="15.75" hidden="1" x14ac:dyDescent="0.25">
      <c r="A513" s="1086" t="s">
        <v>621</v>
      </c>
      <c r="B513" s="1083" t="s">
        <v>1092</v>
      </c>
      <c r="C513" s="625">
        <v>57.446721978200749</v>
      </c>
      <c r="D513" s="550">
        <v>0</v>
      </c>
      <c r="E513" s="551">
        <v>0</v>
      </c>
      <c r="F513" s="560">
        <v>0</v>
      </c>
      <c r="G513" s="566">
        <v>57.446721978200749</v>
      </c>
      <c r="H513" s="1057">
        <v>4.0670245648283716</v>
      </c>
      <c r="I513" s="1058">
        <v>0</v>
      </c>
      <c r="J513" s="569">
        <v>0</v>
      </c>
      <c r="K513" s="560">
        <v>0</v>
      </c>
      <c r="L513" s="571"/>
      <c r="M513" s="223">
        <f t="shared" si="62"/>
        <v>61.513746543029121</v>
      </c>
    </row>
    <row r="514" spans="1:13" ht="15.75" hidden="1" x14ac:dyDescent="0.25">
      <c r="A514" s="479" t="s">
        <v>146</v>
      </c>
      <c r="B514" s="805" t="s">
        <v>1131</v>
      </c>
      <c r="C514" s="625">
        <v>0</v>
      </c>
      <c r="D514" s="550">
        <v>62.934972390572881</v>
      </c>
      <c r="E514" s="551">
        <v>0</v>
      </c>
      <c r="F514" s="560">
        <v>0</v>
      </c>
      <c r="G514" s="566">
        <v>62.934972390572881</v>
      </c>
      <c r="H514" s="1057">
        <v>0</v>
      </c>
      <c r="I514" s="1058">
        <v>0</v>
      </c>
      <c r="J514" s="569">
        <v>0</v>
      </c>
      <c r="K514" s="560">
        <v>0</v>
      </c>
      <c r="L514" s="571"/>
      <c r="M514" s="223">
        <f t="shared" si="62"/>
        <v>62.934972390572881</v>
      </c>
    </row>
    <row r="515" spans="1:13" ht="15.75" hidden="1" x14ac:dyDescent="0.25">
      <c r="A515" s="479" t="s">
        <v>150</v>
      </c>
      <c r="B515" s="805" t="s">
        <v>1131</v>
      </c>
      <c r="C515" s="625">
        <v>0</v>
      </c>
      <c r="D515" s="550">
        <v>64.462656753888353</v>
      </c>
      <c r="E515" s="551">
        <v>0</v>
      </c>
      <c r="F515" s="560">
        <v>0</v>
      </c>
      <c r="G515" s="566">
        <v>64.462656753888353</v>
      </c>
      <c r="H515" s="1057">
        <v>0</v>
      </c>
      <c r="I515" s="1058">
        <v>0</v>
      </c>
      <c r="J515" s="569">
        <v>0</v>
      </c>
      <c r="K515" s="560">
        <v>0</v>
      </c>
      <c r="L515" s="571"/>
      <c r="M515" s="223">
        <f t="shared" si="62"/>
        <v>64.462656753888353</v>
      </c>
    </row>
    <row r="516" spans="1:13" ht="15.75" hidden="1" x14ac:dyDescent="0.25">
      <c r="A516" s="479" t="s">
        <v>145</v>
      </c>
      <c r="B516" s="805" t="s">
        <v>1131</v>
      </c>
      <c r="C516" s="625">
        <v>0</v>
      </c>
      <c r="D516" s="550">
        <v>64.603241204500208</v>
      </c>
      <c r="E516" s="551">
        <v>0</v>
      </c>
      <c r="F516" s="560">
        <v>0</v>
      </c>
      <c r="G516" s="566">
        <v>64.603241204500208</v>
      </c>
      <c r="H516" s="1057">
        <v>0</v>
      </c>
      <c r="I516" s="1058">
        <v>0</v>
      </c>
      <c r="J516" s="569">
        <v>0</v>
      </c>
      <c r="K516" s="560">
        <v>0</v>
      </c>
      <c r="L516" s="571"/>
      <c r="M516" s="223">
        <f t="shared" si="62"/>
        <v>64.603241204500208</v>
      </c>
    </row>
    <row r="517" spans="1:13" ht="15.75" hidden="1" x14ac:dyDescent="0.25">
      <c r="A517" s="1085" t="s">
        <v>84</v>
      </c>
      <c r="B517" s="805" t="s">
        <v>1046</v>
      </c>
      <c r="C517" s="625">
        <v>0</v>
      </c>
      <c r="D517" s="593">
        <v>33.546712337709714</v>
      </c>
      <c r="E517" s="594">
        <v>0</v>
      </c>
      <c r="F517" s="595">
        <v>0</v>
      </c>
      <c r="G517" s="566">
        <v>33.546712337709714</v>
      </c>
      <c r="H517" s="1057">
        <v>37.376526261489765</v>
      </c>
      <c r="I517" s="1058">
        <v>0</v>
      </c>
      <c r="J517" s="597">
        <v>0</v>
      </c>
      <c r="K517" s="595">
        <v>0</v>
      </c>
      <c r="L517" s="571"/>
      <c r="M517" s="223">
        <f t="shared" si="62"/>
        <v>70.923238599199479</v>
      </c>
    </row>
    <row r="518" spans="1:13" ht="15.75" hidden="1" x14ac:dyDescent="0.25">
      <c r="A518" s="479" t="s">
        <v>144</v>
      </c>
      <c r="B518" s="805" t="s">
        <v>1131</v>
      </c>
      <c r="C518" s="625">
        <v>0</v>
      </c>
      <c r="D518" s="550">
        <v>72.194801537540272</v>
      </c>
      <c r="E518" s="551">
        <v>0</v>
      </c>
      <c r="F518" s="560">
        <v>0</v>
      </c>
      <c r="G518" s="566">
        <v>72.194801537540272</v>
      </c>
      <c r="H518" s="1057">
        <v>0</v>
      </c>
      <c r="I518" s="1058">
        <v>0</v>
      </c>
      <c r="J518" s="569">
        <v>0</v>
      </c>
      <c r="K518" s="560">
        <v>0</v>
      </c>
      <c r="L518" s="571"/>
      <c r="M518" s="223">
        <f t="shared" si="62"/>
        <v>72.194801537540272</v>
      </c>
    </row>
    <row r="519" spans="1:13" ht="15.75" hidden="1" x14ac:dyDescent="0.25">
      <c r="A519" s="1085" t="s">
        <v>82</v>
      </c>
      <c r="B519" s="805" t="s">
        <v>1048</v>
      </c>
      <c r="C519" s="625">
        <v>27.510121600805885</v>
      </c>
      <c r="D519" s="593">
        <v>23.869076094816872</v>
      </c>
      <c r="E519" s="594">
        <v>1.6890405541671261</v>
      </c>
      <c r="F519" s="595">
        <v>0</v>
      </c>
      <c r="G519" s="566">
        <v>53.068238249789886</v>
      </c>
      <c r="H519" s="1057">
        <v>16.89040554167126</v>
      </c>
      <c r="I519" s="1058">
        <v>0</v>
      </c>
      <c r="J519" s="597">
        <v>0</v>
      </c>
      <c r="K519" s="595">
        <v>2.5689598847811381</v>
      </c>
      <c r="L519" s="571"/>
      <c r="M519" s="223">
        <f t="shared" si="62"/>
        <v>72.527603676242279</v>
      </c>
    </row>
    <row r="520" spans="1:13" ht="15.75" hidden="1" x14ac:dyDescent="0.25">
      <c r="A520" s="1085" t="s">
        <v>83</v>
      </c>
      <c r="B520" s="805" t="s">
        <v>1048</v>
      </c>
      <c r="C520" s="625">
        <v>14.442813840423089</v>
      </c>
      <c r="D520" s="593">
        <v>36.986953931671735</v>
      </c>
      <c r="E520" s="594">
        <v>1.6890405541671261</v>
      </c>
      <c r="F520" s="595">
        <v>0</v>
      </c>
      <c r="G520" s="566">
        <v>53.118808326261949</v>
      </c>
      <c r="H520" s="1057">
        <v>16.89040554167126</v>
      </c>
      <c r="I520" s="1058">
        <v>0</v>
      </c>
      <c r="J520" s="597">
        <v>0</v>
      </c>
      <c r="K520" s="595">
        <v>2.5689598847811381</v>
      </c>
      <c r="L520" s="571"/>
      <c r="M520" s="223">
        <f t="shared" si="62"/>
        <v>72.578173752714349</v>
      </c>
    </row>
    <row r="521" spans="1:13" s="3274" customFormat="1" ht="15.75" hidden="1" x14ac:dyDescent="0.25">
      <c r="A521" s="3276" t="s">
        <v>1304</v>
      </c>
      <c r="B521" s="3277" t="s">
        <v>1034</v>
      </c>
      <c r="C521" s="3269" t="s">
        <v>5</v>
      </c>
      <c r="D521" s="3270" t="s">
        <v>5</v>
      </c>
      <c r="E521" s="3270" t="s">
        <v>5</v>
      </c>
      <c r="F521" s="3270" t="s">
        <v>5</v>
      </c>
      <c r="G521" s="3271" t="s">
        <v>5</v>
      </c>
      <c r="H521" s="3272" t="s">
        <v>5</v>
      </c>
      <c r="I521" s="3272" t="s">
        <v>5</v>
      </c>
      <c r="J521" s="3270" t="s">
        <v>5</v>
      </c>
      <c r="K521" s="3270" t="s">
        <v>5</v>
      </c>
      <c r="L521" s="3271">
        <v>73.375546919585844</v>
      </c>
      <c r="M521" s="3273">
        <f>L521</f>
        <v>73.375546919585844</v>
      </c>
    </row>
    <row r="522" spans="1:13" ht="15.75" hidden="1" x14ac:dyDescent="0.25">
      <c r="A522" s="1086" t="s">
        <v>623</v>
      </c>
      <c r="B522" s="1083" t="s">
        <v>1092</v>
      </c>
      <c r="C522" s="625">
        <v>61.005368472425573</v>
      </c>
      <c r="D522" s="550">
        <v>0</v>
      </c>
      <c r="E522" s="551">
        <v>0</v>
      </c>
      <c r="F522" s="560">
        <v>0</v>
      </c>
      <c r="G522" s="566">
        <v>61.005368472425573</v>
      </c>
      <c r="H522" s="1057">
        <v>13.217829835692207</v>
      </c>
      <c r="I522" s="1058">
        <v>0</v>
      </c>
      <c r="J522" s="569">
        <v>0</v>
      </c>
      <c r="K522" s="560">
        <v>0</v>
      </c>
      <c r="L522" s="571"/>
      <c r="M522" s="223">
        <f t="shared" ref="M522:M527" si="63">G522+H522+I522+J522+K522</f>
        <v>74.223198308117787</v>
      </c>
    </row>
    <row r="523" spans="1:13" s="3274" customFormat="1" ht="15.75" hidden="1" x14ac:dyDescent="0.25">
      <c r="A523" s="3286" t="s">
        <v>80</v>
      </c>
      <c r="B523" s="3287" t="s">
        <v>1044</v>
      </c>
      <c r="C523" s="3269">
        <v>40.142976670932178</v>
      </c>
      <c r="D523" s="3270">
        <v>0</v>
      </c>
      <c r="E523" s="3270">
        <v>21.378826656166947</v>
      </c>
      <c r="F523" s="3270">
        <v>0</v>
      </c>
      <c r="G523" s="3271">
        <v>61.521803327099121</v>
      </c>
      <c r="H523" s="3275">
        <v>13.842405748597303</v>
      </c>
      <c r="I523" s="3275">
        <v>0</v>
      </c>
      <c r="J523" s="3270">
        <v>0</v>
      </c>
      <c r="K523" s="3270">
        <v>0</v>
      </c>
      <c r="L523" s="3271"/>
      <c r="M523" s="3273">
        <f t="shared" si="63"/>
        <v>75.364209075696422</v>
      </c>
    </row>
    <row r="524" spans="1:13" s="3274" customFormat="1" ht="15.75" hidden="1" x14ac:dyDescent="0.25">
      <c r="A524" s="3286" t="s">
        <v>78</v>
      </c>
      <c r="B524" s="3287" t="s">
        <v>1044</v>
      </c>
      <c r="C524" s="3269">
        <v>31.837533221773793</v>
      </c>
      <c r="D524" s="3270">
        <v>0</v>
      </c>
      <c r="E524" s="3270">
        <v>0</v>
      </c>
      <c r="F524" s="3270">
        <v>0</v>
      </c>
      <c r="G524" s="3271">
        <v>31.837533221773793</v>
      </c>
      <c r="H524" s="3275">
        <v>20.917413131213703</v>
      </c>
      <c r="I524" s="3275">
        <v>0</v>
      </c>
      <c r="J524" s="3270">
        <v>24.147307805886406</v>
      </c>
      <c r="K524" s="3270">
        <v>0</v>
      </c>
      <c r="L524" s="3271"/>
      <c r="M524" s="3273">
        <f t="shared" si="63"/>
        <v>76.902254158873902</v>
      </c>
    </row>
    <row r="525" spans="1:13" ht="15.75" hidden="1" x14ac:dyDescent="0.25">
      <c r="A525" s="479" t="s">
        <v>149</v>
      </c>
      <c r="B525" s="805" t="s">
        <v>1131</v>
      </c>
      <c r="C525" s="625">
        <v>0</v>
      </c>
      <c r="D525" s="550">
        <v>81.107855706331748</v>
      </c>
      <c r="E525" s="551">
        <v>0</v>
      </c>
      <c r="F525" s="560">
        <v>0</v>
      </c>
      <c r="G525" s="566">
        <v>81.107855706331748</v>
      </c>
      <c r="H525" s="1057">
        <v>0</v>
      </c>
      <c r="I525" s="1058">
        <v>0</v>
      </c>
      <c r="J525" s="569">
        <v>0</v>
      </c>
      <c r="K525" s="560">
        <v>0</v>
      </c>
      <c r="L525" s="571"/>
      <c r="M525" s="223">
        <f t="shared" si="63"/>
        <v>81.107855706331748</v>
      </c>
    </row>
    <row r="526" spans="1:13" ht="15.75" hidden="1" x14ac:dyDescent="0.25">
      <c r="A526" s="479" t="s">
        <v>1305</v>
      </c>
      <c r="B526" s="805" t="s">
        <v>1084</v>
      </c>
      <c r="C526" s="625">
        <v>0</v>
      </c>
      <c r="D526" s="550">
        <v>84.287296553798782</v>
      </c>
      <c r="E526" s="551">
        <v>0</v>
      </c>
      <c r="F526" s="560">
        <v>0</v>
      </c>
      <c r="G526" s="566">
        <v>84.287296553798782</v>
      </c>
      <c r="H526" s="1057">
        <v>0</v>
      </c>
      <c r="I526" s="1058">
        <v>0</v>
      </c>
      <c r="J526" s="569">
        <v>0</v>
      </c>
      <c r="K526" s="560">
        <v>0</v>
      </c>
      <c r="L526" s="571"/>
      <c r="M526" s="223">
        <f t="shared" si="63"/>
        <v>84.287296553798782</v>
      </c>
    </row>
    <row r="527" spans="1:13" ht="15.75" hidden="1" x14ac:dyDescent="0.25">
      <c r="A527" s="479" t="s">
        <v>108</v>
      </c>
      <c r="B527" s="805" t="s">
        <v>1074</v>
      </c>
      <c r="C527" s="625">
        <v>0.36013973421687612</v>
      </c>
      <c r="D527" s="550">
        <v>17.022604770651011</v>
      </c>
      <c r="E527" s="551">
        <v>0.48018631228916819</v>
      </c>
      <c r="F527" s="560">
        <v>1.7886940132771514</v>
      </c>
      <c r="G527" s="566">
        <v>19.651624830434205</v>
      </c>
      <c r="H527" s="1057">
        <v>59.603126012893</v>
      </c>
      <c r="I527" s="1058">
        <v>5.9543102723856851</v>
      </c>
      <c r="J527" s="569">
        <v>0.96037262457833639</v>
      </c>
      <c r="K527" s="560">
        <v>9.6037262457833644E-2</v>
      </c>
      <c r="L527" s="571"/>
      <c r="M527" s="223">
        <f t="shared" si="63"/>
        <v>86.265471002749052</v>
      </c>
    </row>
    <row r="528" spans="1:13" s="3285" customFormat="1" ht="15.75" hidden="1" x14ac:dyDescent="0.25">
      <c r="A528" s="3290" t="s">
        <v>1308</v>
      </c>
      <c r="B528" s="3291" t="s">
        <v>1034</v>
      </c>
      <c r="C528" s="3292" t="s">
        <v>5</v>
      </c>
      <c r="D528" s="593" t="s">
        <v>5</v>
      </c>
      <c r="E528" s="593" t="s">
        <v>5</v>
      </c>
      <c r="F528" s="593" t="s">
        <v>5</v>
      </c>
      <c r="G528" s="3282" t="s">
        <v>5</v>
      </c>
      <c r="H528" s="3293" t="s">
        <v>5</v>
      </c>
      <c r="I528" s="3293" t="s">
        <v>5</v>
      </c>
      <c r="J528" s="593" t="s">
        <v>5</v>
      </c>
      <c r="K528" s="593" t="s">
        <v>5</v>
      </c>
      <c r="L528" s="3282">
        <v>89.379267029618958</v>
      </c>
      <c r="M528" s="3284">
        <f>L528</f>
        <v>89.379267029618958</v>
      </c>
    </row>
    <row r="529" spans="1:13" ht="15.75" hidden="1" x14ac:dyDescent="0.25">
      <c r="A529" s="502" t="s">
        <v>887</v>
      </c>
      <c r="B529" s="804" t="s">
        <v>1120</v>
      </c>
      <c r="C529" s="625">
        <v>0</v>
      </c>
      <c r="D529" s="550">
        <v>53.357096971229694</v>
      </c>
      <c r="E529" s="551">
        <v>0</v>
      </c>
      <c r="F529" s="560">
        <v>0</v>
      </c>
      <c r="G529" s="566">
        <v>53.357096971229694</v>
      </c>
      <c r="H529" s="1057">
        <v>38.256031790692987</v>
      </c>
      <c r="I529" s="1058">
        <v>0</v>
      </c>
      <c r="J529" s="569">
        <v>0</v>
      </c>
      <c r="K529" s="560">
        <v>0</v>
      </c>
      <c r="L529" s="571"/>
      <c r="M529" s="223">
        <f t="shared" ref="M529:M535" si="64">G529+H529+I529+J529+K529</f>
        <v>91.613128761922681</v>
      </c>
    </row>
    <row r="530" spans="1:13" ht="15.75" hidden="1" x14ac:dyDescent="0.25">
      <c r="A530" s="781" t="s">
        <v>620</v>
      </c>
      <c r="B530" s="1083" t="s">
        <v>1092</v>
      </c>
      <c r="C530" s="625">
        <v>70.664551813892956</v>
      </c>
      <c r="D530" s="550">
        <v>0</v>
      </c>
      <c r="E530" s="551">
        <v>0</v>
      </c>
      <c r="F530" s="560">
        <v>0</v>
      </c>
      <c r="G530" s="566">
        <v>70.664551813892956</v>
      </c>
      <c r="H530" s="1057">
        <v>23.385391247763135</v>
      </c>
      <c r="I530" s="1058">
        <v>0</v>
      </c>
      <c r="J530" s="569">
        <v>0</v>
      </c>
      <c r="K530" s="560">
        <v>0</v>
      </c>
      <c r="L530" s="571"/>
      <c r="M530" s="223">
        <f t="shared" si="64"/>
        <v>94.049943061656094</v>
      </c>
    </row>
    <row r="531" spans="1:13" ht="15.75" hidden="1" x14ac:dyDescent="0.25">
      <c r="A531" s="1087" t="s">
        <v>1307</v>
      </c>
      <c r="B531" s="805" t="s">
        <v>1120</v>
      </c>
      <c r="C531" s="625">
        <v>0</v>
      </c>
      <c r="D531" s="550">
        <v>48.288693485348411</v>
      </c>
      <c r="E531" s="551">
        <v>2.0134753574048943</v>
      </c>
      <c r="F531" s="560">
        <v>0</v>
      </c>
      <c r="G531" s="566">
        <v>50.302168842753304</v>
      </c>
      <c r="H531" s="1057">
        <v>42.19619477458015</v>
      </c>
      <c r="I531" s="1058">
        <v>0</v>
      </c>
      <c r="J531" s="569">
        <v>2.1870508192501439</v>
      </c>
      <c r="K531" s="560">
        <v>0</v>
      </c>
      <c r="L531" s="571"/>
      <c r="M531" s="223">
        <f t="shared" si="64"/>
        <v>94.685414436583599</v>
      </c>
    </row>
    <row r="532" spans="1:13" ht="15.75" hidden="1" x14ac:dyDescent="0.25">
      <c r="A532" s="781" t="s">
        <v>889</v>
      </c>
      <c r="B532" s="1083" t="s">
        <v>1092</v>
      </c>
      <c r="C532" s="625">
        <v>105.74263868553766</v>
      </c>
      <c r="D532" s="550">
        <v>0</v>
      </c>
      <c r="E532" s="551">
        <v>0</v>
      </c>
      <c r="F532" s="560">
        <v>0</v>
      </c>
      <c r="G532" s="566">
        <v>105.74263868553766</v>
      </c>
      <c r="H532" s="1057">
        <v>0</v>
      </c>
      <c r="I532" s="1058">
        <v>0</v>
      </c>
      <c r="J532" s="569">
        <v>0</v>
      </c>
      <c r="K532" s="560">
        <v>0</v>
      </c>
      <c r="L532" s="571"/>
      <c r="M532" s="223">
        <f t="shared" si="64"/>
        <v>105.74263868553766</v>
      </c>
    </row>
    <row r="533" spans="1:13" ht="15.75" hidden="1" x14ac:dyDescent="0.25">
      <c r="A533" s="781" t="s">
        <v>622</v>
      </c>
      <c r="B533" s="1083" t="s">
        <v>1092</v>
      </c>
      <c r="C533" s="625">
        <v>116.92695623881568</v>
      </c>
      <c r="D533" s="550">
        <v>0</v>
      </c>
      <c r="E533" s="551">
        <v>0</v>
      </c>
      <c r="F533" s="560">
        <v>0</v>
      </c>
      <c r="G533" s="566">
        <v>116.92695623881568</v>
      </c>
      <c r="H533" s="1057">
        <v>0</v>
      </c>
      <c r="I533" s="1058">
        <v>0</v>
      </c>
      <c r="J533" s="569">
        <v>0</v>
      </c>
      <c r="K533" s="560">
        <v>0</v>
      </c>
      <c r="L533" s="571"/>
      <c r="M533" s="223">
        <f t="shared" si="64"/>
        <v>116.92695623881568</v>
      </c>
    </row>
    <row r="534" spans="1:13" ht="15.75" hidden="1" x14ac:dyDescent="0.25">
      <c r="A534" s="781" t="s">
        <v>624</v>
      </c>
      <c r="B534" s="1083" t="s">
        <v>1092</v>
      </c>
      <c r="C534" s="625">
        <v>104.21750447372702</v>
      </c>
      <c r="D534" s="550">
        <v>0</v>
      </c>
      <c r="E534" s="551">
        <v>0</v>
      </c>
      <c r="F534" s="560">
        <v>0</v>
      </c>
      <c r="G534" s="566">
        <v>104.21750447372702</v>
      </c>
      <c r="H534" s="1057">
        <v>17.28485440052058</v>
      </c>
      <c r="I534" s="1058">
        <v>0</v>
      </c>
      <c r="J534" s="569">
        <v>0</v>
      </c>
      <c r="K534" s="560">
        <v>0</v>
      </c>
      <c r="L534" s="571"/>
      <c r="M534" s="223">
        <f t="shared" si="64"/>
        <v>121.50235887424759</v>
      </c>
    </row>
    <row r="535" spans="1:13" ht="15.75" hidden="1" x14ac:dyDescent="0.25">
      <c r="A535" s="479" t="s">
        <v>930</v>
      </c>
      <c r="B535" s="805" t="s">
        <v>1145</v>
      </c>
      <c r="C535" s="686">
        <v>60.34732653437689</v>
      </c>
      <c r="D535" s="550">
        <v>0</v>
      </c>
      <c r="E535" s="551">
        <v>0</v>
      </c>
      <c r="F535" s="560">
        <v>4.8277861227501511</v>
      </c>
      <c r="G535" s="566">
        <v>65.175112657127045</v>
      </c>
      <c r="H535" s="1057">
        <v>49.279257912351433</v>
      </c>
      <c r="I535" s="1058">
        <v>3.942340632988115</v>
      </c>
      <c r="J535" s="569">
        <v>6.3246106411574035</v>
      </c>
      <c r="K535" s="560">
        <v>0</v>
      </c>
      <c r="L535" s="571"/>
      <c r="M535" s="223">
        <f t="shared" si="64"/>
        <v>124.721321843624</v>
      </c>
    </row>
    <row r="536" spans="1:13" s="3274" customFormat="1" ht="15.75" hidden="1" x14ac:dyDescent="0.25">
      <c r="A536" s="3276" t="s">
        <v>933</v>
      </c>
      <c r="B536" s="3277" t="s">
        <v>1034</v>
      </c>
      <c r="C536" s="3289" t="s">
        <v>5</v>
      </c>
      <c r="D536" s="3270" t="s">
        <v>5</v>
      </c>
      <c r="E536" s="3270" t="s">
        <v>5</v>
      </c>
      <c r="F536" s="3270" t="s">
        <v>5</v>
      </c>
      <c r="G536" s="3271" t="s">
        <v>5</v>
      </c>
      <c r="H536" s="3272" t="s">
        <v>5</v>
      </c>
      <c r="I536" s="3272" t="s">
        <v>5</v>
      </c>
      <c r="J536" s="3270" t="s">
        <v>5</v>
      </c>
      <c r="K536" s="3270" t="s">
        <v>5</v>
      </c>
      <c r="L536" s="3271">
        <v>131.95520166197124</v>
      </c>
      <c r="M536" s="3273">
        <f>L536</f>
        <v>131.95520166197124</v>
      </c>
    </row>
    <row r="537" spans="1:13" s="3274" customFormat="1" ht="15.75" hidden="1" x14ac:dyDescent="0.25">
      <c r="A537" s="3286" t="s">
        <v>73</v>
      </c>
      <c r="B537" s="3287" t="s">
        <v>1036</v>
      </c>
      <c r="C537" s="3289">
        <v>71.806453988633706</v>
      </c>
      <c r="D537" s="3270">
        <v>0</v>
      </c>
      <c r="E537" s="3270">
        <v>0</v>
      </c>
      <c r="F537" s="3270">
        <v>14.11579864733825</v>
      </c>
      <c r="G537" s="3271">
        <v>85.922252635971958</v>
      </c>
      <c r="H537" s="3275">
        <v>38.665013686187379</v>
      </c>
      <c r="I537" s="3275">
        <v>7.9784948876259687</v>
      </c>
      <c r="J537" s="3270">
        <v>0</v>
      </c>
      <c r="K537" s="3270">
        <v>0</v>
      </c>
      <c r="L537" s="3271"/>
      <c r="M537" s="3273">
        <f>G537+H537+I537+J537+K537</f>
        <v>132.56576120978531</v>
      </c>
    </row>
    <row r="538" spans="1:13" ht="15.75" hidden="1" x14ac:dyDescent="0.25">
      <c r="A538" s="479" t="s">
        <v>112</v>
      </c>
      <c r="B538" s="805" t="s">
        <v>1076</v>
      </c>
      <c r="C538" s="686">
        <v>66.571407420741423</v>
      </c>
      <c r="D538" s="550">
        <v>2.1302850374637252</v>
      </c>
      <c r="E538" s="551">
        <v>0</v>
      </c>
      <c r="F538" s="560">
        <v>5.414474470220302</v>
      </c>
      <c r="G538" s="566">
        <v>74.116166928425443</v>
      </c>
      <c r="H538" s="1057">
        <v>59.647981048984306</v>
      </c>
      <c r="I538" s="1058">
        <v>4.7043794577323936</v>
      </c>
      <c r="J538" s="569">
        <v>0</v>
      </c>
      <c r="K538" s="560">
        <v>0</v>
      </c>
      <c r="L538" s="571"/>
      <c r="M538" s="223">
        <f>G538+H538+I538+J538+K538</f>
        <v>138.46852743514214</v>
      </c>
    </row>
    <row r="539" spans="1:13" ht="15.75" hidden="1" x14ac:dyDescent="0.25">
      <c r="A539" s="479" t="s">
        <v>175</v>
      </c>
      <c r="B539" s="805" t="s">
        <v>1151</v>
      </c>
      <c r="C539" s="686">
        <v>38.4</v>
      </c>
      <c r="D539" s="550">
        <v>13.07</v>
      </c>
      <c r="E539" s="551" t="s">
        <v>5</v>
      </c>
      <c r="F539" s="560" t="s">
        <v>5</v>
      </c>
      <c r="G539" s="566">
        <v>51.47</v>
      </c>
      <c r="H539" s="1057">
        <v>87.73</v>
      </c>
      <c r="I539" s="1077" t="s">
        <v>5</v>
      </c>
      <c r="J539" s="569" t="s">
        <v>5</v>
      </c>
      <c r="K539" s="560" t="s">
        <v>5</v>
      </c>
      <c r="L539" s="571"/>
      <c r="M539" s="223">
        <f>G539+H539</f>
        <v>139.19999999999999</v>
      </c>
    </row>
    <row r="540" spans="1:13" ht="15.75" hidden="1" x14ac:dyDescent="0.25">
      <c r="A540" s="1085" t="s">
        <v>75</v>
      </c>
      <c r="B540" s="805" t="s">
        <v>1036</v>
      </c>
      <c r="C540" s="625">
        <v>90.832095643741795</v>
      </c>
      <c r="D540" s="593">
        <v>0</v>
      </c>
      <c r="E540" s="594">
        <v>0</v>
      </c>
      <c r="F540" s="595">
        <v>18.411911279136849</v>
      </c>
      <c r="G540" s="566">
        <v>109.24400692287864</v>
      </c>
      <c r="H540" s="1057">
        <v>26.390406166762819</v>
      </c>
      <c r="I540" s="1058">
        <v>4.9098430077698261</v>
      </c>
      <c r="J540" s="597">
        <v>0</v>
      </c>
      <c r="K540" s="595">
        <v>0</v>
      </c>
      <c r="L540" s="571"/>
      <c r="M540" s="223">
        <f t="shared" ref="M540:M583" si="65">G540+H540+I540+J540+K540</f>
        <v>140.54425609741131</v>
      </c>
    </row>
    <row r="541" spans="1:13" ht="15.75" hidden="1" x14ac:dyDescent="0.25">
      <c r="A541" s="791" t="s">
        <v>189</v>
      </c>
      <c r="B541" s="804" t="s">
        <v>1118</v>
      </c>
      <c r="C541" s="625">
        <v>0</v>
      </c>
      <c r="D541" s="550">
        <v>82.32908995482191</v>
      </c>
      <c r="E541" s="551">
        <v>0</v>
      </c>
      <c r="F541" s="560">
        <v>7.4096180959339728</v>
      </c>
      <c r="G541" s="566">
        <v>89.738708050755889</v>
      </c>
      <c r="H541" s="1057">
        <v>46.310113099587326</v>
      </c>
      <c r="I541" s="1058">
        <v>8.798921488921593</v>
      </c>
      <c r="J541" s="569">
        <v>0</v>
      </c>
      <c r="K541" s="560">
        <v>0</v>
      </c>
      <c r="L541" s="571"/>
      <c r="M541" s="223">
        <f t="shared" si="65"/>
        <v>144.84774263926479</v>
      </c>
    </row>
    <row r="542" spans="1:13" ht="15.75" hidden="1" x14ac:dyDescent="0.25">
      <c r="A542" s="791" t="s">
        <v>860</v>
      </c>
      <c r="B542" s="804" t="s">
        <v>1118</v>
      </c>
      <c r="C542" s="625">
        <v>0</v>
      </c>
      <c r="D542" s="550">
        <v>85.15915242201892</v>
      </c>
      <c r="E542" s="551">
        <v>0</v>
      </c>
      <c r="F542" s="560">
        <v>7.6643237179817021</v>
      </c>
      <c r="G542" s="566">
        <v>92.823476140000622</v>
      </c>
      <c r="H542" s="1057">
        <v>44.766442662934416</v>
      </c>
      <c r="I542" s="1058">
        <v>8.5056241059575388</v>
      </c>
      <c r="J542" s="569">
        <v>0</v>
      </c>
      <c r="K542" s="560">
        <v>0</v>
      </c>
      <c r="L542" s="571"/>
      <c r="M542" s="223">
        <f t="shared" si="65"/>
        <v>146.09554290889258</v>
      </c>
    </row>
    <row r="543" spans="1:13" ht="15.75" hidden="1" x14ac:dyDescent="0.25">
      <c r="A543" s="502" t="s">
        <v>219</v>
      </c>
      <c r="B543" s="804" t="s">
        <v>1118</v>
      </c>
      <c r="C543" s="625">
        <v>0</v>
      </c>
      <c r="D543" s="550">
        <v>79.24174908151609</v>
      </c>
      <c r="E543" s="551">
        <v>0</v>
      </c>
      <c r="F543" s="560">
        <v>7.1317574173364484</v>
      </c>
      <c r="G543" s="566">
        <v>86.373506498852535</v>
      </c>
      <c r="H543" s="1057">
        <v>54.800300501178334</v>
      </c>
      <c r="I543" s="1058">
        <v>10.412057095223883</v>
      </c>
      <c r="J543" s="569">
        <v>0</v>
      </c>
      <c r="K543" s="560">
        <v>0</v>
      </c>
      <c r="L543" s="571"/>
      <c r="M543" s="223">
        <f t="shared" si="65"/>
        <v>151.58586409525475</v>
      </c>
    </row>
    <row r="544" spans="1:13" ht="15.75" hidden="1" x14ac:dyDescent="0.25">
      <c r="A544" s="1087" t="s">
        <v>109</v>
      </c>
      <c r="B544" s="805" t="s">
        <v>1074</v>
      </c>
      <c r="C544" s="625">
        <v>13.013049063036458</v>
      </c>
      <c r="D544" s="550">
        <v>73.900673461302986</v>
      </c>
      <c r="E544" s="551">
        <v>0.48018631228916819</v>
      </c>
      <c r="F544" s="560">
        <v>8.7393908836628604</v>
      </c>
      <c r="G544" s="566">
        <v>96.133299720291475</v>
      </c>
      <c r="H544" s="1057">
        <v>51.211870205639784</v>
      </c>
      <c r="I544" s="1058">
        <v>5.1139842258796406</v>
      </c>
      <c r="J544" s="569">
        <v>0.96037262457833639</v>
      </c>
      <c r="K544" s="560">
        <v>9.6037262457833644E-2</v>
      </c>
      <c r="L544" s="571"/>
      <c r="M544" s="223">
        <f t="shared" si="65"/>
        <v>153.51556403884706</v>
      </c>
    </row>
    <row r="545" spans="1:13" ht="15.75" hidden="1" x14ac:dyDescent="0.25">
      <c r="A545" s="502" t="s">
        <v>873</v>
      </c>
      <c r="B545" s="804" t="s">
        <v>1118</v>
      </c>
      <c r="C545" s="625">
        <v>0</v>
      </c>
      <c r="D545" s="550">
        <v>98.280351133568658</v>
      </c>
      <c r="E545" s="551">
        <v>0</v>
      </c>
      <c r="F545" s="560">
        <v>8.8452316020211796</v>
      </c>
      <c r="G545" s="566">
        <v>107.12558273558983</v>
      </c>
      <c r="H545" s="1057">
        <v>39.106317728540411</v>
      </c>
      <c r="I545" s="1058">
        <v>7.4302003684226774</v>
      </c>
      <c r="J545" s="569">
        <v>0</v>
      </c>
      <c r="K545" s="560">
        <v>0</v>
      </c>
      <c r="L545" s="571"/>
      <c r="M545" s="223">
        <f t="shared" si="65"/>
        <v>153.66210083255291</v>
      </c>
    </row>
    <row r="546" spans="1:13" ht="15.75" hidden="1" x14ac:dyDescent="0.25">
      <c r="A546" s="502" t="s">
        <v>868</v>
      </c>
      <c r="B546" s="804" t="s">
        <v>1118</v>
      </c>
      <c r="C546" s="625">
        <v>0</v>
      </c>
      <c r="D546" s="550">
        <v>82.586368360930734</v>
      </c>
      <c r="E546" s="551">
        <v>0</v>
      </c>
      <c r="F546" s="560">
        <v>7.4327731524837661</v>
      </c>
      <c r="G546" s="566">
        <v>90.019141513414496</v>
      </c>
      <c r="H546" s="1057">
        <v>54.800300501178334</v>
      </c>
      <c r="I546" s="1058">
        <v>10.412057095223883</v>
      </c>
      <c r="J546" s="569">
        <v>0</v>
      </c>
      <c r="K546" s="560">
        <v>0</v>
      </c>
      <c r="L546" s="571"/>
      <c r="M546" s="223">
        <f t="shared" si="65"/>
        <v>155.2314991098167</v>
      </c>
    </row>
    <row r="547" spans="1:13" ht="15.75" hidden="1" x14ac:dyDescent="0.25">
      <c r="A547" s="1090" t="s">
        <v>74</v>
      </c>
      <c r="B547" s="805" t="s">
        <v>1036</v>
      </c>
      <c r="C547" s="625">
        <v>79.171218500288447</v>
      </c>
      <c r="D547" s="593">
        <v>0</v>
      </c>
      <c r="E547" s="594">
        <v>0</v>
      </c>
      <c r="F547" s="595">
        <v>15.956989775251936</v>
      </c>
      <c r="G547" s="566">
        <v>95.128208275540388</v>
      </c>
      <c r="H547" s="1057">
        <v>52.167081957554402</v>
      </c>
      <c r="I547" s="1058">
        <v>10.433416391510882</v>
      </c>
      <c r="J547" s="597">
        <v>0</v>
      </c>
      <c r="K547" s="595">
        <v>0</v>
      </c>
      <c r="L547" s="571"/>
      <c r="M547" s="223">
        <f t="shared" si="65"/>
        <v>157.72870662460568</v>
      </c>
    </row>
    <row r="548" spans="1:13" ht="15.75" hidden="1" x14ac:dyDescent="0.25">
      <c r="A548" s="502" t="s">
        <v>869</v>
      </c>
      <c r="B548" s="804" t="s">
        <v>1118</v>
      </c>
      <c r="C548" s="625">
        <v>0</v>
      </c>
      <c r="D548" s="550">
        <v>67.664220806619255</v>
      </c>
      <c r="E548" s="551">
        <v>0</v>
      </c>
      <c r="F548" s="560">
        <v>6.0897798725957344</v>
      </c>
      <c r="G548" s="566">
        <v>73.754000679214982</v>
      </c>
      <c r="H548" s="1057">
        <v>71.780675304360358</v>
      </c>
      <c r="I548" s="1058">
        <v>13.638328307828468</v>
      </c>
      <c r="J548" s="569">
        <v>0</v>
      </c>
      <c r="K548" s="560">
        <v>0</v>
      </c>
      <c r="L548" s="571"/>
      <c r="M548" s="223">
        <f t="shared" si="65"/>
        <v>159.1730042914038</v>
      </c>
    </row>
    <row r="549" spans="1:13" ht="15.75" hidden="1" x14ac:dyDescent="0.25">
      <c r="A549" s="502" t="s">
        <v>871</v>
      </c>
      <c r="B549" s="804" t="s">
        <v>1118</v>
      </c>
      <c r="C549" s="625">
        <v>0</v>
      </c>
      <c r="D549" s="550">
        <v>94.935731854154014</v>
      </c>
      <c r="E549" s="551">
        <v>0</v>
      </c>
      <c r="F549" s="560">
        <v>8.5442158668738628</v>
      </c>
      <c r="G549" s="566">
        <v>103.47994772102788</v>
      </c>
      <c r="H549" s="1057">
        <v>52.227516440090149</v>
      </c>
      <c r="I549" s="1058">
        <v>9.9232281236171289</v>
      </c>
      <c r="J549" s="569">
        <v>0</v>
      </c>
      <c r="K549" s="560">
        <v>0</v>
      </c>
      <c r="L549" s="571"/>
      <c r="M549" s="223">
        <f t="shared" si="65"/>
        <v>165.63069228473515</v>
      </c>
    </row>
    <row r="550" spans="1:13" ht="15.75" hidden="1" x14ac:dyDescent="0.25">
      <c r="A550" s="1087" t="s">
        <v>119</v>
      </c>
      <c r="B550" s="805" t="s">
        <v>1076</v>
      </c>
      <c r="C550" s="625">
        <v>84.146258979817148</v>
      </c>
      <c r="D550" s="550">
        <v>1.5267042768490031</v>
      </c>
      <c r="E550" s="551">
        <v>0</v>
      </c>
      <c r="F550" s="560">
        <v>6.8169121198839209</v>
      </c>
      <c r="G550" s="566">
        <v>92.489875376550074</v>
      </c>
      <c r="H550" s="1057">
        <v>67.814073692595258</v>
      </c>
      <c r="I550" s="1058">
        <v>5.3967220949081041</v>
      </c>
      <c r="J550" s="569">
        <v>0</v>
      </c>
      <c r="K550" s="560">
        <v>0</v>
      </c>
      <c r="L550" s="571"/>
      <c r="M550" s="223">
        <f t="shared" si="65"/>
        <v>165.70067116405346</v>
      </c>
    </row>
    <row r="551" spans="1:13" ht="15.75" hidden="1" x14ac:dyDescent="0.25">
      <c r="A551" s="502" t="s">
        <v>191</v>
      </c>
      <c r="B551" s="804" t="s">
        <v>1118</v>
      </c>
      <c r="C551" s="625">
        <v>0</v>
      </c>
      <c r="D551" s="550">
        <v>73.324345741013275</v>
      </c>
      <c r="E551" s="551">
        <v>0</v>
      </c>
      <c r="F551" s="560">
        <v>6.5991911166911938</v>
      </c>
      <c r="G551" s="566">
        <v>79.923536857704462</v>
      </c>
      <c r="H551" s="1057">
        <v>73.067067334904451</v>
      </c>
      <c r="I551" s="1058">
        <v>13.882742793631845</v>
      </c>
      <c r="J551" s="569">
        <v>0</v>
      </c>
      <c r="K551" s="560">
        <v>0</v>
      </c>
      <c r="L551" s="571"/>
      <c r="M551" s="223">
        <f t="shared" si="65"/>
        <v>166.87334698624076</v>
      </c>
    </row>
    <row r="552" spans="1:13" ht="15.75" hidden="1" x14ac:dyDescent="0.25">
      <c r="A552" s="1085" t="s">
        <v>77</v>
      </c>
      <c r="B552" s="805" t="s">
        <v>1036</v>
      </c>
      <c r="C552" s="625">
        <v>111.08519805079233</v>
      </c>
      <c r="D552" s="593">
        <v>0</v>
      </c>
      <c r="E552" s="594">
        <v>0</v>
      </c>
      <c r="F552" s="595">
        <v>22.094293534964219</v>
      </c>
      <c r="G552" s="566">
        <v>133.17949158575655</v>
      </c>
      <c r="H552" s="1057">
        <v>28.231597294676501</v>
      </c>
      <c r="I552" s="1058">
        <v>5.5235733837410548</v>
      </c>
      <c r="J552" s="597">
        <v>0</v>
      </c>
      <c r="K552" s="595">
        <v>0</v>
      </c>
      <c r="L552" s="571"/>
      <c r="M552" s="223">
        <f t="shared" si="65"/>
        <v>166.93466226417411</v>
      </c>
    </row>
    <row r="553" spans="1:13" ht="15.75" hidden="1" x14ac:dyDescent="0.25">
      <c r="A553" s="479" t="s">
        <v>113</v>
      </c>
      <c r="B553" s="805" t="s">
        <v>1076</v>
      </c>
      <c r="C553" s="625">
        <v>90.537114092208327</v>
      </c>
      <c r="D553" s="550">
        <v>8.8761876560988551</v>
      </c>
      <c r="E553" s="551">
        <v>0</v>
      </c>
      <c r="F553" s="560">
        <v>7.926435576896278</v>
      </c>
      <c r="G553" s="566">
        <v>107.33973732520346</v>
      </c>
      <c r="H553" s="1057">
        <v>58.582838530252445</v>
      </c>
      <c r="I553" s="1058">
        <v>4.6777508947640971</v>
      </c>
      <c r="J553" s="569">
        <v>0</v>
      </c>
      <c r="K553" s="560">
        <v>0</v>
      </c>
      <c r="L553" s="571"/>
      <c r="M553" s="223">
        <f t="shared" si="65"/>
        <v>170.60032675022001</v>
      </c>
    </row>
    <row r="554" spans="1:13" ht="15.75" hidden="1" x14ac:dyDescent="0.25">
      <c r="A554" s="1085" t="s">
        <v>76</v>
      </c>
      <c r="B554" s="805" t="s">
        <v>1036</v>
      </c>
      <c r="C554" s="625">
        <v>128.88337895395793</v>
      </c>
      <c r="D554" s="593">
        <v>0</v>
      </c>
      <c r="E554" s="594">
        <v>0</v>
      </c>
      <c r="F554" s="595">
        <v>25.77667579079159</v>
      </c>
      <c r="G554" s="566">
        <v>154.66005474474952</v>
      </c>
      <c r="H554" s="1057">
        <v>15.343259399280708</v>
      </c>
      <c r="I554" s="1058">
        <v>3.0686518798561417</v>
      </c>
      <c r="J554" s="597">
        <v>0</v>
      </c>
      <c r="K554" s="595">
        <v>0</v>
      </c>
      <c r="L554" s="571"/>
      <c r="M554" s="223">
        <f t="shared" si="65"/>
        <v>173.07196602388635</v>
      </c>
    </row>
    <row r="555" spans="1:13" ht="15.75" hidden="1" x14ac:dyDescent="0.25">
      <c r="A555" s="791" t="s">
        <v>771</v>
      </c>
      <c r="B555" s="804" t="s">
        <v>1118</v>
      </c>
      <c r="C555" s="625">
        <v>0</v>
      </c>
      <c r="D555" s="550">
        <v>91.848390980848194</v>
      </c>
      <c r="E555" s="551">
        <v>0</v>
      </c>
      <c r="F555" s="560">
        <v>8.2663551882763393</v>
      </c>
      <c r="G555" s="566">
        <v>100.11474616912453</v>
      </c>
      <c r="H555" s="1057">
        <v>62.775931090551708</v>
      </c>
      <c r="I555" s="1058">
        <v>11.927426907204826</v>
      </c>
      <c r="J555" s="569">
        <v>0</v>
      </c>
      <c r="K555" s="560">
        <v>0</v>
      </c>
      <c r="L555" s="571"/>
      <c r="M555" s="223">
        <f t="shared" si="65"/>
        <v>174.81810416688106</v>
      </c>
    </row>
    <row r="556" spans="1:13" ht="15.75" hidden="1" x14ac:dyDescent="0.25">
      <c r="A556" s="479" t="s">
        <v>613</v>
      </c>
      <c r="B556" s="805" t="s">
        <v>1066</v>
      </c>
      <c r="C556" s="625">
        <v>0</v>
      </c>
      <c r="D556" s="550">
        <v>84.13572924179762</v>
      </c>
      <c r="E556" s="551">
        <v>0</v>
      </c>
      <c r="F556" s="560">
        <v>22.71432910660101</v>
      </c>
      <c r="G556" s="566">
        <v>106.85005834839863</v>
      </c>
      <c r="H556" s="1057">
        <v>53.540918608416668</v>
      </c>
      <c r="I556" s="1058">
        <v>14.455661726158443</v>
      </c>
      <c r="J556" s="569">
        <v>0</v>
      </c>
      <c r="K556" s="560">
        <v>0</v>
      </c>
      <c r="L556" s="571"/>
      <c r="M556" s="223">
        <f t="shared" si="65"/>
        <v>174.84663868297375</v>
      </c>
    </row>
    <row r="557" spans="1:13" ht="15.75" hidden="1" x14ac:dyDescent="0.25">
      <c r="A557" s="791" t="s">
        <v>865</v>
      </c>
      <c r="B557" s="804" t="s">
        <v>1118</v>
      </c>
      <c r="C557" s="625">
        <v>0</v>
      </c>
      <c r="D557" s="550">
        <v>89.275606919760008</v>
      </c>
      <c r="E557" s="551">
        <v>0</v>
      </c>
      <c r="F557" s="560">
        <v>8.0348046227784007</v>
      </c>
      <c r="G557" s="566">
        <v>97.310411542538404</v>
      </c>
      <c r="H557" s="1057">
        <v>66.120550369966352</v>
      </c>
      <c r="I557" s="1058">
        <v>12.562904570293606</v>
      </c>
      <c r="J557" s="569">
        <v>0</v>
      </c>
      <c r="K557" s="560">
        <v>0</v>
      </c>
      <c r="L557" s="571"/>
      <c r="M557" s="223">
        <f t="shared" si="65"/>
        <v>175.99386648279835</v>
      </c>
    </row>
    <row r="558" spans="1:13" ht="15.75" hidden="1" x14ac:dyDescent="0.25">
      <c r="A558" s="791" t="s">
        <v>863</v>
      </c>
      <c r="B558" s="804" t="s">
        <v>1118</v>
      </c>
      <c r="C558" s="625">
        <v>0</v>
      </c>
      <c r="D558" s="550">
        <v>91.591112574739384</v>
      </c>
      <c r="E558" s="551">
        <v>0</v>
      </c>
      <c r="F558" s="560">
        <v>8.2432001317265442</v>
      </c>
      <c r="G558" s="566">
        <v>99.834312706465923</v>
      </c>
      <c r="H558" s="1057">
        <v>66.635107182183987</v>
      </c>
      <c r="I558" s="1058">
        <v>12.660670364614958</v>
      </c>
      <c r="J558" s="569">
        <v>0</v>
      </c>
      <c r="K558" s="560">
        <v>0</v>
      </c>
      <c r="L558" s="571"/>
      <c r="M558" s="223">
        <f t="shared" si="65"/>
        <v>179.13009025326485</v>
      </c>
    </row>
    <row r="559" spans="1:13" ht="15.75" hidden="1" x14ac:dyDescent="0.25">
      <c r="A559" s="479" t="s">
        <v>114</v>
      </c>
      <c r="B559" s="805" t="s">
        <v>1076</v>
      </c>
      <c r="C559" s="625">
        <v>86.27654401728087</v>
      </c>
      <c r="D559" s="550">
        <v>4.4380938280494275</v>
      </c>
      <c r="E559" s="551">
        <v>0</v>
      </c>
      <c r="F559" s="560">
        <v>7.2340929397205675</v>
      </c>
      <c r="G559" s="566">
        <v>97.94873078505087</v>
      </c>
      <c r="H559" s="1057">
        <v>75.270071323718298</v>
      </c>
      <c r="I559" s="1058">
        <v>6.0091790431789249</v>
      </c>
      <c r="J559" s="569">
        <v>0</v>
      </c>
      <c r="K559" s="560">
        <v>0</v>
      </c>
      <c r="L559" s="571"/>
      <c r="M559" s="223">
        <f t="shared" si="65"/>
        <v>179.22798115194811</v>
      </c>
    </row>
    <row r="560" spans="1:13" ht="15.75" hidden="1" x14ac:dyDescent="0.25">
      <c r="A560" s="791" t="s">
        <v>872</v>
      </c>
      <c r="B560" s="804" t="s">
        <v>1118</v>
      </c>
      <c r="C560" s="625">
        <v>0</v>
      </c>
      <c r="D560" s="550">
        <v>103.68319766185385</v>
      </c>
      <c r="E560" s="551">
        <v>0</v>
      </c>
      <c r="F560" s="560">
        <v>9.3314877895668467</v>
      </c>
      <c r="G560" s="566">
        <v>113.0146854514207</v>
      </c>
      <c r="H560" s="1057">
        <v>57.37308456226652</v>
      </c>
      <c r="I560" s="1058">
        <v>10.900886066830639</v>
      </c>
      <c r="J560" s="569">
        <v>0</v>
      </c>
      <c r="K560" s="560">
        <v>0</v>
      </c>
      <c r="L560" s="571"/>
      <c r="M560" s="223">
        <f t="shared" si="65"/>
        <v>181.28865608051788</v>
      </c>
    </row>
    <row r="561" spans="1:13" ht="15.75" hidden="1" x14ac:dyDescent="0.25">
      <c r="A561" s="791" t="s">
        <v>769</v>
      </c>
      <c r="B561" s="804" t="s">
        <v>1118</v>
      </c>
      <c r="C561" s="625">
        <v>0</v>
      </c>
      <c r="D561" s="550">
        <v>89.532885325868833</v>
      </c>
      <c r="E561" s="551">
        <v>0</v>
      </c>
      <c r="F561" s="560">
        <v>8.0579596793281958</v>
      </c>
      <c r="G561" s="566">
        <v>97.590845005197025</v>
      </c>
      <c r="H561" s="1057">
        <v>71.008840086033899</v>
      </c>
      <c r="I561" s="1058">
        <v>13.49167961634644</v>
      </c>
      <c r="J561" s="569">
        <v>0</v>
      </c>
      <c r="K561" s="560">
        <v>0</v>
      </c>
      <c r="L561" s="571"/>
      <c r="M561" s="223">
        <f t="shared" si="65"/>
        <v>182.09136470757736</v>
      </c>
    </row>
    <row r="562" spans="1:13" ht="15.75" hidden="1" x14ac:dyDescent="0.25">
      <c r="A562" s="791" t="s">
        <v>190</v>
      </c>
      <c r="B562" s="804" t="s">
        <v>1118</v>
      </c>
      <c r="C562" s="625">
        <v>0</v>
      </c>
      <c r="D562" s="550">
        <v>95.707567072480472</v>
      </c>
      <c r="E562" s="551">
        <v>0</v>
      </c>
      <c r="F562" s="560">
        <v>8.6136810365232428</v>
      </c>
      <c r="G562" s="566">
        <v>104.32124810900372</v>
      </c>
      <c r="H562" s="1057">
        <v>66.120550369966352</v>
      </c>
      <c r="I562" s="1058">
        <v>12.562904570293606</v>
      </c>
      <c r="J562" s="569">
        <v>0</v>
      </c>
      <c r="K562" s="560">
        <v>0</v>
      </c>
      <c r="L562" s="571"/>
      <c r="M562" s="223">
        <f t="shared" si="65"/>
        <v>183.00470304926367</v>
      </c>
    </row>
    <row r="563" spans="1:13" ht="15.75" hidden="1" x14ac:dyDescent="0.25">
      <c r="A563" s="791" t="s">
        <v>867</v>
      </c>
      <c r="B563" s="804" t="s">
        <v>1118</v>
      </c>
      <c r="C563" s="625">
        <v>0</v>
      </c>
      <c r="D563" s="550">
        <v>81.299976330386642</v>
      </c>
      <c r="E563" s="551">
        <v>0</v>
      </c>
      <c r="F563" s="560">
        <v>7.3169978697347977</v>
      </c>
      <c r="G563" s="566">
        <v>88.616974200121433</v>
      </c>
      <c r="H563" s="1057">
        <v>79.499027487624915</v>
      </c>
      <c r="I563" s="1058">
        <v>15.104815222648734</v>
      </c>
      <c r="J563" s="569">
        <v>0</v>
      </c>
      <c r="K563" s="560">
        <v>0</v>
      </c>
      <c r="L563" s="571"/>
      <c r="M563" s="223">
        <f t="shared" si="65"/>
        <v>183.22081691039509</v>
      </c>
    </row>
    <row r="564" spans="1:13" ht="15.75" hidden="1" x14ac:dyDescent="0.25">
      <c r="A564" s="791" t="s">
        <v>866</v>
      </c>
      <c r="B564" s="804" t="s">
        <v>1118</v>
      </c>
      <c r="C564" s="625">
        <v>0</v>
      </c>
      <c r="D564" s="550">
        <v>104.71231128628912</v>
      </c>
      <c r="E564" s="551">
        <v>0</v>
      </c>
      <c r="F564" s="560">
        <v>9.4241080157660218</v>
      </c>
      <c r="G564" s="566">
        <v>114.13641930205515</v>
      </c>
      <c r="H564" s="1057">
        <v>58.144919780592978</v>
      </c>
      <c r="I564" s="1058">
        <v>11.047534758312665</v>
      </c>
      <c r="J564" s="569">
        <v>0</v>
      </c>
      <c r="K564" s="560">
        <v>0</v>
      </c>
      <c r="L564" s="571"/>
      <c r="M564" s="223">
        <f t="shared" si="65"/>
        <v>183.3288738409608</v>
      </c>
    </row>
    <row r="565" spans="1:13" ht="15.75" hidden="1" x14ac:dyDescent="0.25">
      <c r="A565" s="791" t="s">
        <v>520</v>
      </c>
      <c r="B565" s="804" t="s">
        <v>1118</v>
      </c>
      <c r="C565" s="625">
        <v>0</v>
      </c>
      <c r="D565" s="550">
        <v>82.0718115487131</v>
      </c>
      <c r="E565" s="551">
        <v>0</v>
      </c>
      <c r="F565" s="560">
        <v>7.3864630393841786</v>
      </c>
      <c r="G565" s="566">
        <v>89.458274588097282</v>
      </c>
      <c r="H565" s="1057">
        <v>78.98447067540728</v>
      </c>
      <c r="I565" s="1058">
        <v>15.007049428327381</v>
      </c>
      <c r="J565" s="569">
        <v>0</v>
      </c>
      <c r="K565" s="560">
        <v>0</v>
      </c>
      <c r="L565" s="571"/>
      <c r="M565" s="223">
        <f t="shared" si="65"/>
        <v>183.44979469183193</v>
      </c>
    </row>
    <row r="566" spans="1:13" ht="15.75" hidden="1" x14ac:dyDescent="0.25">
      <c r="A566" s="791" t="s">
        <v>870</v>
      </c>
      <c r="B566" s="804" t="s">
        <v>1118</v>
      </c>
      <c r="C566" s="625">
        <v>0</v>
      </c>
      <c r="D566" s="550">
        <v>108.5714873779214</v>
      </c>
      <c r="E566" s="551">
        <v>0</v>
      </c>
      <c r="F566" s="560">
        <v>9.7714338640129252</v>
      </c>
      <c r="G566" s="566">
        <v>118.34292124193432</v>
      </c>
      <c r="H566" s="1057">
        <v>56.086692531722427</v>
      </c>
      <c r="I566" s="1058">
        <v>10.656471581027262</v>
      </c>
      <c r="J566" s="569">
        <v>0</v>
      </c>
      <c r="K566" s="560">
        <v>0</v>
      </c>
      <c r="L566" s="571"/>
      <c r="M566" s="223">
        <f t="shared" si="65"/>
        <v>185.086085354684</v>
      </c>
    </row>
    <row r="567" spans="1:13" ht="15.75" hidden="1" x14ac:dyDescent="0.25">
      <c r="A567" s="791" t="s">
        <v>218</v>
      </c>
      <c r="B567" s="804" t="s">
        <v>1118</v>
      </c>
      <c r="C567" s="625">
        <v>0</v>
      </c>
      <c r="D567" s="550">
        <v>103.42591925574503</v>
      </c>
      <c r="E567" s="551">
        <v>0</v>
      </c>
      <c r="F567" s="560">
        <v>9.3083327330170533</v>
      </c>
      <c r="G567" s="566">
        <v>112.73425198876208</v>
      </c>
      <c r="H567" s="1057">
        <v>62.261374278334074</v>
      </c>
      <c r="I567" s="1058">
        <v>11.829661112883473</v>
      </c>
      <c r="J567" s="569">
        <v>0</v>
      </c>
      <c r="K567" s="560">
        <v>0</v>
      </c>
      <c r="L567" s="571"/>
      <c r="M567" s="223">
        <f t="shared" si="65"/>
        <v>186.82528737997964</v>
      </c>
    </row>
    <row r="568" spans="1:13" ht="15.75" hidden="1" x14ac:dyDescent="0.25">
      <c r="A568" s="479" t="s">
        <v>746</v>
      </c>
      <c r="B568" s="805" t="s">
        <v>1147</v>
      </c>
      <c r="C568" s="625">
        <v>4.9608404483911857</v>
      </c>
      <c r="D568" s="550">
        <v>88.165158857796683</v>
      </c>
      <c r="E568" s="551">
        <v>0</v>
      </c>
      <c r="F568" s="560">
        <v>15.869728594403403</v>
      </c>
      <c r="G568" s="566">
        <v>108.99572790059126</v>
      </c>
      <c r="H568" s="1057">
        <v>66.12386914334752</v>
      </c>
      <c r="I568" s="1058">
        <v>11.90243424692612</v>
      </c>
      <c r="J568" s="569">
        <v>0</v>
      </c>
      <c r="K568" s="560">
        <v>0</v>
      </c>
      <c r="L568" s="571"/>
      <c r="M568" s="223">
        <f t="shared" si="65"/>
        <v>187.0220312908649</v>
      </c>
    </row>
    <row r="569" spans="1:13" ht="15.75" hidden="1" x14ac:dyDescent="0.25">
      <c r="A569" s="479" t="s">
        <v>747</v>
      </c>
      <c r="B569" s="805" t="s">
        <v>1147</v>
      </c>
      <c r="C569" s="625">
        <v>4.9608404483911857</v>
      </c>
      <c r="D569" s="550">
        <v>88.165158857796683</v>
      </c>
      <c r="E569" s="551">
        <v>0</v>
      </c>
      <c r="F569" s="560">
        <v>15.869728594403403</v>
      </c>
      <c r="G569" s="566">
        <v>108.99572790059126</v>
      </c>
      <c r="H569" s="1057">
        <v>66.12386914334752</v>
      </c>
      <c r="I569" s="1058">
        <v>11.90243424692612</v>
      </c>
      <c r="J569" s="569">
        <v>0</v>
      </c>
      <c r="K569" s="560">
        <v>0</v>
      </c>
      <c r="L569" s="571"/>
      <c r="M569" s="223">
        <f t="shared" si="65"/>
        <v>187.0220312908649</v>
      </c>
    </row>
    <row r="570" spans="1:13" ht="15.75" hidden="1" x14ac:dyDescent="0.25">
      <c r="A570" s="479" t="s">
        <v>748</v>
      </c>
      <c r="B570" s="805" t="s">
        <v>1147</v>
      </c>
      <c r="C570" s="625">
        <v>4.9608404483911857</v>
      </c>
      <c r="D570" s="550">
        <v>88.165158857796683</v>
      </c>
      <c r="E570" s="551">
        <v>0</v>
      </c>
      <c r="F570" s="560">
        <v>15.869728594403403</v>
      </c>
      <c r="G570" s="566">
        <v>108.99572790059126</v>
      </c>
      <c r="H570" s="1057">
        <v>66.12386914334752</v>
      </c>
      <c r="I570" s="1058">
        <v>11.90243424692612</v>
      </c>
      <c r="J570" s="569">
        <v>0</v>
      </c>
      <c r="K570" s="560">
        <v>0</v>
      </c>
      <c r="L570" s="571"/>
      <c r="M570" s="223">
        <f t="shared" si="65"/>
        <v>187.0220312908649</v>
      </c>
    </row>
    <row r="571" spans="1:13" ht="15.75" hidden="1" x14ac:dyDescent="0.25">
      <c r="A571" s="479" t="s">
        <v>749</v>
      </c>
      <c r="B571" s="805" t="s">
        <v>1147</v>
      </c>
      <c r="C571" s="625">
        <v>4.9608404483911857</v>
      </c>
      <c r="D571" s="550">
        <v>88.165158857796683</v>
      </c>
      <c r="E571" s="551">
        <v>0</v>
      </c>
      <c r="F571" s="560">
        <v>15.869728594403403</v>
      </c>
      <c r="G571" s="566">
        <v>108.99572790059126</v>
      </c>
      <c r="H571" s="1057">
        <v>66.12386914334752</v>
      </c>
      <c r="I571" s="1058">
        <v>11.90243424692612</v>
      </c>
      <c r="J571" s="569">
        <v>0</v>
      </c>
      <c r="K571" s="560">
        <v>0</v>
      </c>
      <c r="L571" s="571"/>
      <c r="M571" s="223">
        <f t="shared" si="65"/>
        <v>187.0220312908649</v>
      </c>
    </row>
    <row r="572" spans="1:13" ht="15.75" hidden="1" x14ac:dyDescent="0.25">
      <c r="A572" s="791" t="s">
        <v>517</v>
      </c>
      <c r="B572" s="804" t="s">
        <v>1118</v>
      </c>
      <c r="C572" s="625">
        <v>0</v>
      </c>
      <c r="D572" s="550">
        <v>88.503771701433564</v>
      </c>
      <c r="E572" s="551">
        <v>0</v>
      </c>
      <c r="F572" s="560">
        <v>7.9653394531290207</v>
      </c>
      <c r="G572" s="566">
        <v>96.469111154562583</v>
      </c>
      <c r="H572" s="1057">
        <v>76.926243426536729</v>
      </c>
      <c r="I572" s="1058">
        <v>14.61598625104198</v>
      </c>
      <c r="J572" s="569">
        <v>0</v>
      </c>
      <c r="K572" s="560">
        <v>0</v>
      </c>
      <c r="L572" s="571"/>
      <c r="M572" s="223">
        <f t="shared" si="65"/>
        <v>188.01134083214129</v>
      </c>
    </row>
    <row r="573" spans="1:13" ht="15.75" hidden="1" x14ac:dyDescent="0.25">
      <c r="A573" s="791" t="s">
        <v>514</v>
      </c>
      <c r="B573" s="804" t="s">
        <v>1118</v>
      </c>
      <c r="C573" s="625">
        <v>0</v>
      </c>
      <c r="D573" s="550">
        <v>82.32908995482191</v>
      </c>
      <c r="E573" s="551">
        <v>0</v>
      </c>
      <c r="F573" s="560">
        <v>7.4096180959339728</v>
      </c>
      <c r="G573" s="566">
        <v>89.738708050755889</v>
      </c>
      <c r="H573" s="1057">
        <v>82.586368360930734</v>
      </c>
      <c r="I573" s="1058">
        <v>15.69140998857684</v>
      </c>
      <c r="J573" s="569">
        <v>0</v>
      </c>
      <c r="K573" s="560">
        <v>0</v>
      </c>
      <c r="L573" s="571"/>
      <c r="M573" s="223">
        <f t="shared" si="65"/>
        <v>188.01648640026346</v>
      </c>
    </row>
    <row r="574" spans="1:13" ht="15.75" hidden="1" x14ac:dyDescent="0.25">
      <c r="A574" s="791" t="s">
        <v>515</v>
      </c>
      <c r="B574" s="804" t="s">
        <v>1118</v>
      </c>
      <c r="C574" s="549">
        <v>0</v>
      </c>
      <c r="D574" s="550">
        <v>95.450288666371662</v>
      </c>
      <c r="E574" s="551">
        <v>0</v>
      </c>
      <c r="F574" s="560">
        <v>8.5905259799734495</v>
      </c>
      <c r="G574" s="566">
        <v>104.04081464634511</v>
      </c>
      <c r="H574" s="1057">
        <v>71.008840086033899</v>
      </c>
      <c r="I574" s="1058">
        <v>13.49167961634644</v>
      </c>
      <c r="J574" s="569">
        <v>0</v>
      </c>
      <c r="K574" s="560">
        <v>0</v>
      </c>
      <c r="L574" s="571"/>
      <c r="M574" s="223">
        <f t="shared" si="65"/>
        <v>188.54133434872543</v>
      </c>
    </row>
    <row r="575" spans="1:13" ht="15.75" hidden="1" x14ac:dyDescent="0.25">
      <c r="A575" s="791" t="s">
        <v>875</v>
      </c>
      <c r="B575" s="804" t="s">
        <v>1118</v>
      </c>
      <c r="C575" s="549">
        <v>0</v>
      </c>
      <c r="D575" s="550">
        <v>90.047442138086467</v>
      </c>
      <c r="E575" s="551">
        <v>0</v>
      </c>
      <c r="F575" s="560">
        <v>8.1042697924277824</v>
      </c>
      <c r="G575" s="566">
        <v>98.151711930514253</v>
      </c>
      <c r="H575" s="1057">
        <v>76.411686614319095</v>
      </c>
      <c r="I575" s="1058">
        <v>14.518220456720627</v>
      </c>
      <c r="J575" s="569">
        <v>0</v>
      </c>
      <c r="K575" s="560">
        <v>0</v>
      </c>
      <c r="L575" s="571"/>
      <c r="M575" s="223">
        <f t="shared" si="65"/>
        <v>189.08161900155397</v>
      </c>
    </row>
    <row r="576" spans="1:13" ht="15.75" hidden="1" x14ac:dyDescent="0.25">
      <c r="A576" s="479" t="s">
        <v>110</v>
      </c>
      <c r="B576" s="805" t="s">
        <v>1074</v>
      </c>
      <c r="C576" s="549">
        <v>22.028547076265593</v>
      </c>
      <c r="D576" s="550">
        <v>30.97201714265135</v>
      </c>
      <c r="E576" s="551">
        <v>0.48018631228916819</v>
      </c>
      <c r="F576" s="560">
        <v>5.3420727242169965</v>
      </c>
      <c r="G576" s="566">
        <v>58.82282325542311</v>
      </c>
      <c r="H576" s="1057">
        <v>119.31429394605107</v>
      </c>
      <c r="I576" s="1058">
        <v>11.932629860385829</v>
      </c>
      <c r="J576" s="569">
        <v>0.96037262457833639</v>
      </c>
      <c r="K576" s="560">
        <v>9.6037262457833644E-2</v>
      </c>
      <c r="L576" s="571"/>
      <c r="M576" s="223">
        <f t="shared" si="65"/>
        <v>191.12615694889615</v>
      </c>
    </row>
    <row r="577" spans="1:13" ht="15.75" hidden="1" x14ac:dyDescent="0.25">
      <c r="A577" s="479" t="s">
        <v>929</v>
      </c>
      <c r="B577" s="805" t="s">
        <v>1145</v>
      </c>
      <c r="C577" s="549">
        <v>117.26882230479352</v>
      </c>
      <c r="D577" s="550">
        <v>0</v>
      </c>
      <c r="E577" s="551">
        <v>14.135504782986796</v>
      </c>
      <c r="F577" s="560">
        <v>9.3815057843834815</v>
      </c>
      <c r="G577" s="566">
        <v>140.78583287216378</v>
      </c>
      <c r="H577" s="1057">
        <v>41.109969167523126</v>
      </c>
      <c r="I577" s="1058">
        <v>3.28879753340185</v>
      </c>
      <c r="J577" s="569">
        <v>6.3246106411574035</v>
      </c>
      <c r="K577" s="560">
        <v>0</v>
      </c>
      <c r="L577" s="571"/>
      <c r="M577" s="223">
        <f t="shared" si="65"/>
        <v>191.50921021424617</v>
      </c>
    </row>
    <row r="578" spans="1:13" ht="15.75" hidden="1" x14ac:dyDescent="0.25">
      <c r="A578" s="791" t="s">
        <v>864</v>
      </c>
      <c r="B578" s="804" t="s">
        <v>1118</v>
      </c>
      <c r="C578" s="549">
        <v>0</v>
      </c>
      <c r="D578" s="550">
        <v>91.591112574739384</v>
      </c>
      <c r="E578" s="551">
        <v>0</v>
      </c>
      <c r="F578" s="560">
        <v>8.2432001317265442</v>
      </c>
      <c r="G578" s="566">
        <v>99.834312706465923</v>
      </c>
      <c r="H578" s="1057">
        <v>78.212635457080822</v>
      </c>
      <c r="I578" s="1058">
        <v>14.860400736845355</v>
      </c>
      <c r="J578" s="569">
        <v>0</v>
      </c>
      <c r="K578" s="560">
        <v>0</v>
      </c>
      <c r="L578" s="571"/>
      <c r="M578" s="223">
        <f t="shared" si="65"/>
        <v>192.90734890039209</v>
      </c>
    </row>
    <row r="579" spans="1:13" ht="15.75" hidden="1" x14ac:dyDescent="0.25">
      <c r="A579" s="479" t="s">
        <v>928</v>
      </c>
      <c r="B579" s="805" t="s">
        <v>1145</v>
      </c>
      <c r="C579" s="549">
        <v>116.47824597464884</v>
      </c>
      <c r="D579" s="550">
        <v>0</v>
      </c>
      <c r="E579" s="551">
        <v>0</v>
      </c>
      <c r="F579" s="560">
        <v>9.3182596779719074</v>
      </c>
      <c r="G579" s="566">
        <v>125.79650565262075</v>
      </c>
      <c r="H579" s="1057">
        <v>58.239122987324421</v>
      </c>
      <c r="I579" s="1058">
        <v>4.6591298389859537</v>
      </c>
      <c r="J579" s="569">
        <v>6.3246106411574035</v>
      </c>
      <c r="K579" s="560">
        <v>0</v>
      </c>
      <c r="L579" s="571"/>
      <c r="M579" s="223">
        <f t="shared" si="65"/>
        <v>195.01936912008853</v>
      </c>
    </row>
    <row r="580" spans="1:13" ht="15.75" hidden="1" x14ac:dyDescent="0.25">
      <c r="A580" s="791" t="s">
        <v>862</v>
      </c>
      <c r="B580" s="804" t="s">
        <v>1118</v>
      </c>
      <c r="C580" s="549">
        <v>0</v>
      </c>
      <c r="D580" s="550">
        <v>106.25598172294204</v>
      </c>
      <c r="E580" s="551">
        <v>0</v>
      </c>
      <c r="F580" s="560">
        <v>9.5630383550647835</v>
      </c>
      <c r="G580" s="566">
        <v>115.81902007800682</v>
      </c>
      <c r="H580" s="1057">
        <v>66.892385588292811</v>
      </c>
      <c r="I580" s="1058">
        <v>12.709553261775632</v>
      </c>
      <c r="J580" s="569">
        <v>0</v>
      </c>
      <c r="K580" s="560">
        <v>0</v>
      </c>
      <c r="L580" s="571"/>
      <c r="M580" s="223">
        <f t="shared" si="65"/>
        <v>195.42095892807527</v>
      </c>
    </row>
    <row r="581" spans="1:13" ht="15.75" hidden="1" x14ac:dyDescent="0.25">
      <c r="A581" s="479" t="s">
        <v>107</v>
      </c>
      <c r="B581" s="805" t="s">
        <v>1074</v>
      </c>
      <c r="C581" s="549">
        <v>30.419802883518805</v>
      </c>
      <c r="D581" s="550">
        <v>50.203478949832537</v>
      </c>
      <c r="E581" s="551">
        <v>0.48018631228916819</v>
      </c>
      <c r="F581" s="560">
        <v>8.1151486776869426</v>
      </c>
      <c r="G581" s="566">
        <v>89.218616823327451</v>
      </c>
      <c r="H581" s="1057">
        <v>97.26173755417102</v>
      </c>
      <c r="I581" s="1058">
        <v>9.723772823855656</v>
      </c>
      <c r="J581" s="569">
        <v>0.96037262457833639</v>
      </c>
      <c r="K581" s="560">
        <v>9.6037262457833644E-2</v>
      </c>
      <c r="L581" s="571"/>
      <c r="M581" s="223">
        <f t="shared" si="65"/>
        <v>197.26053708839029</v>
      </c>
    </row>
    <row r="582" spans="1:13" ht="15.75" hidden="1" x14ac:dyDescent="0.25">
      <c r="A582" s="791" t="s">
        <v>597</v>
      </c>
      <c r="B582" s="804" t="s">
        <v>1118</v>
      </c>
      <c r="C582" s="549">
        <v>0</v>
      </c>
      <c r="D582" s="550">
        <v>105.48414650461558</v>
      </c>
      <c r="E582" s="551">
        <v>0</v>
      </c>
      <c r="F582" s="560">
        <v>9.4935731854154017</v>
      </c>
      <c r="G582" s="566">
        <v>114.97771969003098</v>
      </c>
      <c r="H582" s="1057">
        <v>74.353459365448543</v>
      </c>
      <c r="I582" s="1058">
        <v>14.127157279435222</v>
      </c>
      <c r="J582" s="569">
        <v>0</v>
      </c>
      <c r="K582" s="560">
        <v>0</v>
      </c>
      <c r="L582" s="571"/>
      <c r="M582" s="223">
        <f t="shared" si="65"/>
        <v>203.45833633491475</v>
      </c>
    </row>
    <row r="583" spans="1:13" ht="15.75" hidden="1" x14ac:dyDescent="0.25">
      <c r="A583" s="479" t="s">
        <v>137</v>
      </c>
      <c r="B583" s="805" t="s">
        <v>1116</v>
      </c>
      <c r="C583" s="549">
        <v>67.190069747061855</v>
      </c>
      <c r="D583" s="550">
        <v>67.454172218820901</v>
      </c>
      <c r="E583" s="551">
        <v>2.0527964850361937</v>
      </c>
      <c r="F583" s="560">
        <v>8.1991812823375465</v>
      </c>
      <c r="G583" s="566">
        <v>144.89621973325652</v>
      </c>
      <c r="H583" s="1057">
        <v>58.930865175688169</v>
      </c>
      <c r="I583" s="1058">
        <v>0</v>
      </c>
      <c r="J583" s="569">
        <v>0</v>
      </c>
      <c r="K583" s="560">
        <v>0</v>
      </c>
      <c r="L583" s="571"/>
      <c r="M583" s="223">
        <f t="shared" si="65"/>
        <v>203.8270849089447</v>
      </c>
    </row>
    <row r="584" spans="1:13" ht="15.75" hidden="1" x14ac:dyDescent="0.25">
      <c r="A584" s="479" t="s">
        <v>173</v>
      </c>
      <c r="B584" s="805" t="s">
        <v>1151</v>
      </c>
      <c r="C584" s="549" t="s">
        <v>5</v>
      </c>
      <c r="D584" s="550">
        <v>102.55</v>
      </c>
      <c r="E584" s="551" t="s">
        <v>5</v>
      </c>
      <c r="F584" s="560" t="s">
        <v>5</v>
      </c>
      <c r="G584" s="566">
        <v>102.55</v>
      </c>
      <c r="H584" s="1057">
        <v>102.55</v>
      </c>
      <c r="I584" s="1077" t="s">
        <v>5</v>
      </c>
      <c r="J584" s="569" t="s">
        <v>5</v>
      </c>
      <c r="K584" s="560" t="s">
        <v>5</v>
      </c>
      <c r="L584" s="571"/>
      <c r="M584" s="223">
        <f>G584+H584</f>
        <v>205.1</v>
      </c>
    </row>
    <row r="585" spans="1:13" ht="15.75" hidden="1" x14ac:dyDescent="0.25">
      <c r="A585" s="479" t="s">
        <v>111</v>
      </c>
      <c r="B585" s="805" t="s">
        <v>1074</v>
      </c>
      <c r="C585" s="549">
        <v>10.372024345446034</v>
      </c>
      <c r="D585" s="550">
        <v>54.249048630868771</v>
      </c>
      <c r="E585" s="551">
        <v>0.48018631228916819</v>
      </c>
      <c r="F585" s="560">
        <v>6.5065245315182292</v>
      </c>
      <c r="G585" s="566">
        <v>71.607783820122194</v>
      </c>
      <c r="H585" s="1057">
        <v>120.86289480318364</v>
      </c>
      <c r="I585" s="1058">
        <v>12.088690411879808</v>
      </c>
      <c r="J585" s="569">
        <v>0.96037262457833639</v>
      </c>
      <c r="K585" s="560">
        <v>9.6037262457833644E-2</v>
      </c>
      <c r="L585" s="571"/>
      <c r="M585" s="223">
        <f t="shared" ref="M585:M620" si="66">G585+H585+I585+J585+K585</f>
        <v>205.61577892222181</v>
      </c>
    </row>
    <row r="586" spans="1:13" ht="15.75" hidden="1" x14ac:dyDescent="0.25">
      <c r="A586" s="479" t="s">
        <v>131</v>
      </c>
      <c r="B586" s="805" t="s">
        <v>1114</v>
      </c>
      <c r="C586" s="549">
        <v>0</v>
      </c>
      <c r="D586" s="550">
        <v>97.168319678022144</v>
      </c>
      <c r="E586" s="551">
        <v>0</v>
      </c>
      <c r="F586" s="560">
        <v>7.7734655742417704</v>
      </c>
      <c r="G586" s="566">
        <v>104.94178525226391</v>
      </c>
      <c r="H586" s="1057">
        <v>95.443438263619385</v>
      </c>
      <c r="I586" s="1058">
        <v>7.6354750610895499</v>
      </c>
      <c r="J586" s="569">
        <v>0</v>
      </c>
      <c r="K586" s="560">
        <v>0</v>
      </c>
      <c r="L586" s="571"/>
      <c r="M586" s="223">
        <f t="shared" si="66"/>
        <v>208.02069857697285</v>
      </c>
    </row>
    <row r="587" spans="1:13" ht="15.75" hidden="1" x14ac:dyDescent="0.25">
      <c r="A587" s="791" t="s">
        <v>516</v>
      </c>
      <c r="B587" s="804" t="s">
        <v>1118</v>
      </c>
      <c r="C587" s="549">
        <v>0</v>
      </c>
      <c r="D587" s="550">
        <v>119.37718043449178</v>
      </c>
      <c r="E587" s="551">
        <v>0</v>
      </c>
      <c r="F587" s="560">
        <v>10.743946239104259</v>
      </c>
      <c r="G587" s="566">
        <v>130.12112667359602</v>
      </c>
      <c r="H587" s="1057">
        <v>66.892385588292811</v>
      </c>
      <c r="I587" s="1058">
        <v>12.709553261775632</v>
      </c>
      <c r="J587" s="569">
        <v>0</v>
      </c>
      <c r="K587" s="560">
        <v>0</v>
      </c>
      <c r="L587" s="571"/>
      <c r="M587" s="223">
        <f t="shared" si="66"/>
        <v>209.72306552366445</v>
      </c>
    </row>
    <row r="588" spans="1:13" ht="15.75" hidden="1" x14ac:dyDescent="0.25">
      <c r="A588" s="479" t="s">
        <v>118</v>
      </c>
      <c r="B588" s="805" t="s">
        <v>1076</v>
      </c>
      <c r="C588" s="549">
        <v>124.62167469162793</v>
      </c>
      <c r="D588" s="550">
        <v>7.8110451373669925</v>
      </c>
      <c r="E588" s="551">
        <v>0</v>
      </c>
      <c r="F588" s="560">
        <v>10.482777621852748</v>
      </c>
      <c r="G588" s="566">
        <v>142.91549745084768</v>
      </c>
      <c r="H588" s="1057">
        <v>63.553503617667808</v>
      </c>
      <c r="I588" s="1058">
        <v>5.0327984010080513</v>
      </c>
      <c r="J588" s="569">
        <v>0</v>
      </c>
      <c r="K588" s="560">
        <v>0</v>
      </c>
      <c r="L588" s="571"/>
      <c r="M588" s="223">
        <f t="shared" si="66"/>
        <v>211.50179946952355</v>
      </c>
    </row>
    <row r="589" spans="1:13" ht="15.75" hidden="1" x14ac:dyDescent="0.25">
      <c r="A589" s="479" t="s">
        <v>115</v>
      </c>
      <c r="B589" s="805" t="s">
        <v>1076</v>
      </c>
      <c r="C589" s="549">
        <v>90.537114092208327</v>
      </c>
      <c r="D589" s="550">
        <v>14.485938254753332</v>
      </c>
      <c r="E589" s="551">
        <v>0</v>
      </c>
      <c r="F589" s="560">
        <v>8.3436163967329247</v>
      </c>
      <c r="G589" s="566">
        <v>113.36666874369459</v>
      </c>
      <c r="H589" s="1057">
        <v>92.028313618432932</v>
      </c>
      <c r="I589" s="1058">
        <v>7.3139786286254571</v>
      </c>
      <c r="J589" s="569">
        <v>0</v>
      </c>
      <c r="K589" s="560">
        <v>0</v>
      </c>
      <c r="L589" s="571"/>
      <c r="M589" s="223">
        <f t="shared" si="66"/>
        <v>212.70896099075296</v>
      </c>
    </row>
    <row r="590" spans="1:13" ht="15.75" hidden="1" x14ac:dyDescent="0.25">
      <c r="A590" s="791" t="s">
        <v>861</v>
      </c>
      <c r="B590" s="804" t="s">
        <v>1118</v>
      </c>
      <c r="C590" s="549">
        <v>0</v>
      </c>
      <c r="D590" s="550">
        <v>100.08129997633038</v>
      </c>
      <c r="E590" s="551">
        <v>0</v>
      </c>
      <c r="F590" s="560">
        <v>9.0073169978697347</v>
      </c>
      <c r="G590" s="566">
        <v>109.08861697420012</v>
      </c>
      <c r="H590" s="1057">
        <v>88.24649329532474</v>
      </c>
      <c r="I590" s="1058">
        <v>16.766833726111702</v>
      </c>
      <c r="J590" s="569">
        <v>0</v>
      </c>
      <c r="K590" s="560">
        <v>0</v>
      </c>
      <c r="L590" s="571"/>
      <c r="M590" s="223">
        <f t="shared" si="66"/>
        <v>214.10194399563659</v>
      </c>
    </row>
    <row r="591" spans="1:13" ht="15.75" hidden="1" x14ac:dyDescent="0.25">
      <c r="A591" s="479" t="s">
        <v>104</v>
      </c>
      <c r="B591" s="805" t="s">
        <v>1066</v>
      </c>
      <c r="C591" s="549">
        <v>0</v>
      </c>
      <c r="D591" s="550">
        <v>96.234586174089173</v>
      </c>
      <c r="E591" s="551">
        <v>0</v>
      </c>
      <c r="F591" s="560">
        <v>25.983338267004079</v>
      </c>
      <c r="G591" s="566">
        <v>122.21792444109326</v>
      </c>
      <c r="H591" s="1057">
        <v>74.018581634622777</v>
      </c>
      <c r="I591" s="1058">
        <v>19.985017041348154</v>
      </c>
      <c r="J591" s="569">
        <v>0</v>
      </c>
      <c r="K591" s="560">
        <v>0</v>
      </c>
      <c r="L591" s="571"/>
      <c r="M591" s="223">
        <f t="shared" si="66"/>
        <v>216.22152311706418</v>
      </c>
    </row>
    <row r="592" spans="1:13" ht="15.75" hidden="1" x14ac:dyDescent="0.25">
      <c r="A592" s="479" t="s">
        <v>135</v>
      </c>
      <c r="B592" s="805" t="s">
        <v>1116</v>
      </c>
      <c r="C592" s="549">
        <v>49.963385793687948</v>
      </c>
      <c r="D592" s="550">
        <v>94.704745441231196</v>
      </c>
      <c r="E592" s="551">
        <v>2.4489501926747579</v>
      </c>
      <c r="F592" s="560">
        <v>8.8234234883134643</v>
      </c>
      <c r="G592" s="566">
        <v>155.94050491590738</v>
      </c>
      <c r="H592" s="1057">
        <v>57.034129242145951</v>
      </c>
      <c r="I592" s="1058">
        <v>3.4213274750603233</v>
      </c>
      <c r="J592" s="569">
        <v>0</v>
      </c>
      <c r="K592" s="560">
        <v>0</v>
      </c>
      <c r="L592" s="571"/>
      <c r="M592" s="223">
        <f t="shared" si="66"/>
        <v>216.39596163311364</v>
      </c>
    </row>
    <row r="593" spans="1:13" ht="15.75" hidden="1" x14ac:dyDescent="0.25">
      <c r="A593" s="791" t="s">
        <v>874</v>
      </c>
      <c r="B593" s="804" t="s">
        <v>1118</v>
      </c>
      <c r="C593" s="549">
        <v>0</v>
      </c>
      <c r="D593" s="550">
        <v>98.023072727459848</v>
      </c>
      <c r="E593" s="551">
        <v>0</v>
      </c>
      <c r="F593" s="560">
        <v>8.8220765454713863</v>
      </c>
      <c r="G593" s="566">
        <v>106.84514927293124</v>
      </c>
      <c r="H593" s="1057">
        <v>92.362947793065842</v>
      </c>
      <c r="I593" s="1058">
        <v>17.548960080682509</v>
      </c>
      <c r="J593" s="569">
        <v>0</v>
      </c>
      <c r="K593" s="560">
        <v>0</v>
      </c>
      <c r="L593" s="571"/>
      <c r="M593" s="223">
        <f t="shared" si="66"/>
        <v>216.75705714667961</v>
      </c>
    </row>
    <row r="594" spans="1:13" ht="15.75" hidden="1" x14ac:dyDescent="0.25">
      <c r="A594" s="502" t="s">
        <v>598</v>
      </c>
      <c r="B594" s="804" t="s">
        <v>1118</v>
      </c>
      <c r="C594" s="549">
        <v>0</v>
      </c>
      <c r="D594" s="550">
        <v>94.42117504193638</v>
      </c>
      <c r="E594" s="551">
        <v>0</v>
      </c>
      <c r="F594" s="560">
        <v>8.4979057537742744</v>
      </c>
      <c r="G594" s="566">
        <v>102.91908079571066</v>
      </c>
      <c r="H594" s="1057">
        <v>97.508515915242199</v>
      </c>
      <c r="I594" s="1058">
        <v>18.52661802389602</v>
      </c>
      <c r="J594" s="569">
        <v>0</v>
      </c>
      <c r="K594" s="560">
        <v>0</v>
      </c>
      <c r="L594" s="571"/>
      <c r="M594" s="223">
        <f t="shared" si="66"/>
        <v>218.95421473484888</v>
      </c>
    </row>
    <row r="595" spans="1:13" ht="15.75" hidden="1" x14ac:dyDescent="0.25">
      <c r="A595" s="1087" t="s">
        <v>116</v>
      </c>
      <c r="B595" s="805" t="s">
        <v>1076</v>
      </c>
      <c r="C595" s="549">
        <v>140.59881247260589</v>
      </c>
      <c r="D595" s="550">
        <v>0</v>
      </c>
      <c r="E595" s="551">
        <v>0</v>
      </c>
      <c r="F595" s="560">
        <v>11.201748821996755</v>
      </c>
      <c r="G595" s="566">
        <v>151.80056129460263</v>
      </c>
      <c r="H595" s="1057">
        <v>63.908551123911757</v>
      </c>
      <c r="I595" s="1058">
        <v>5.0949317146007429</v>
      </c>
      <c r="J595" s="569">
        <v>0</v>
      </c>
      <c r="K595" s="560">
        <v>0</v>
      </c>
      <c r="L595" s="571"/>
      <c r="M595" s="223">
        <f t="shared" si="66"/>
        <v>220.80404413311513</v>
      </c>
    </row>
    <row r="596" spans="1:13" s="3274" customFormat="1" ht="15.75" hidden="1" x14ac:dyDescent="0.25">
      <c r="A596" s="3294" t="s">
        <v>152</v>
      </c>
      <c r="B596" s="3287" t="s">
        <v>1133</v>
      </c>
      <c r="C596" s="3278">
        <v>0</v>
      </c>
      <c r="D596" s="3278">
        <v>105.28084896940013</v>
      </c>
      <c r="E596" s="3278">
        <v>0</v>
      </c>
      <c r="F596" s="3278">
        <v>10.528084896940012</v>
      </c>
      <c r="G596" s="3271">
        <v>115.80893386634014</v>
      </c>
      <c r="H596" s="3275">
        <v>97.153695633905954</v>
      </c>
      <c r="I596" s="3275">
        <v>9.7117681660484259</v>
      </c>
      <c r="J596" s="3278">
        <v>0</v>
      </c>
      <c r="K596" s="3278">
        <v>0</v>
      </c>
      <c r="L596" s="3271"/>
      <c r="M596" s="3273">
        <f t="shared" si="66"/>
        <v>222.67439766629451</v>
      </c>
    </row>
    <row r="597" spans="1:13" ht="15.75" hidden="1" x14ac:dyDescent="0.25">
      <c r="A597" s="502" t="s">
        <v>513</v>
      </c>
      <c r="B597" s="804" t="s">
        <v>1118</v>
      </c>
      <c r="C597" s="549">
        <v>0</v>
      </c>
      <c r="D597" s="550">
        <v>105.22686809850676</v>
      </c>
      <c r="E597" s="551">
        <v>0</v>
      </c>
      <c r="F597" s="560">
        <v>9.4704181288656084</v>
      </c>
      <c r="G597" s="566">
        <v>114.69728622737236</v>
      </c>
      <c r="H597" s="1057">
        <v>93.392061417501111</v>
      </c>
      <c r="I597" s="1058">
        <v>17.74449166932521</v>
      </c>
      <c r="J597" s="569">
        <v>0</v>
      </c>
      <c r="K597" s="560">
        <v>0</v>
      </c>
      <c r="L597" s="571"/>
      <c r="M597" s="223">
        <f t="shared" si="66"/>
        <v>225.83383931419868</v>
      </c>
    </row>
    <row r="598" spans="1:13" s="3274" customFormat="1" ht="15.75" hidden="1" x14ac:dyDescent="0.25">
      <c r="A598" s="3294" t="s">
        <v>153</v>
      </c>
      <c r="B598" s="3287" t="s">
        <v>1133</v>
      </c>
      <c r="C598" s="3278">
        <v>0</v>
      </c>
      <c r="D598" s="3278">
        <v>125.11254366694277</v>
      </c>
      <c r="E598" s="3278">
        <v>0</v>
      </c>
      <c r="F598" s="3278">
        <v>12.508853435132831</v>
      </c>
      <c r="G598" s="3271">
        <v>137.6213971020756</v>
      </c>
      <c r="H598" s="3275">
        <v>80.827361016074235</v>
      </c>
      <c r="I598" s="3275">
        <v>8.0911393620724841</v>
      </c>
      <c r="J598" s="3278">
        <v>0</v>
      </c>
      <c r="K598" s="3278">
        <v>0</v>
      </c>
      <c r="L598" s="3271"/>
      <c r="M598" s="3273">
        <f t="shared" si="66"/>
        <v>226.53989748022232</v>
      </c>
    </row>
    <row r="599" spans="1:13" ht="15.75" hidden="1" x14ac:dyDescent="0.25">
      <c r="A599" s="1087" t="s">
        <v>103</v>
      </c>
      <c r="B599" s="805" t="s">
        <v>1066</v>
      </c>
      <c r="C599" s="549">
        <v>4.7553297840520141</v>
      </c>
      <c r="D599" s="550">
        <v>94.604408132765101</v>
      </c>
      <c r="E599" s="551">
        <v>0</v>
      </c>
      <c r="F599" s="560">
        <v>26.827129237540621</v>
      </c>
      <c r="G599" s="566">
        <v>126.18686715435773</v>
      </c>
      <c r="H599" s="1057">
        <v>76.8617357540885</v>
      </c>
      <c r="I599" s="1058">
        <v>20.752668653603891</v>
      </c>
      <c r="J599" s="569">
        <v>4.7553297840520141</v>
      </c>
      <c r="K599" s="560">
        <v>1.2839390416940439</v>
      </c>
      <c r="L599" s="571"/>
      <c r="M599" s="223">
        <f t="shared" si="66"/>
        <v>229.84054038779621</v>
      </c>
    </row>
    <row r="600" spans="1:13" ht="15.75" hidden="1" x14ac:dyDescent="0.25">
      <c r="A600" s="1087" t="s">
        <v>132</v>
      </c>
      <c r="B600" s="805" t="s">
        <v>1114</v>
      </c>
      <c r="C600" s="549">
        <v>0</v>
      </c>
      <c r="D600" s="550">
        <v>84.80666954146902</v>
      </c>
      <c r="E600" s="551">
        <v>0</v>
      </c>
      <c r="F600" s="560">
        <v>6.7845335633175221</v>
      </c>
      <c r="G600" s="566">
        <v>91.591203104786544</v>
      </c>
      <c r="H600" s="1057">
        <v>129.65358631594077</v>
      </c>
      <c r="I600" s="1058">
        <v>10.372286905275262</v>
      </c>
      <c r="J600" s="569">
        <v>0</v>
      </c>
      <c r="K600" s="560">
        <v>0</v>
      </c>
      <c r="L600" s="571"/>
      <c r="M600" s="223">
        <f t="shared" si="66"/>
        <v>231.6170763260026</v>
      </c>
    </row>
    <row r="601" spans="1:13" ht="15.75" hidden="1" x14ac:dyDescent="0.25">
      <c r="A601" s="1087" t="s">
        <v>102</v>
      </c>
      <c r="B601" s="805" t="s">
        <v>1066</v>
      </c>
      <c r="C601" s="549">
        <v>6.5670679389832856</v>
      </c>
      <c r="D601" s="550">
        <v>66.597794863571664</v>
      </c>
      <c r="E601" s="551">
        <v>0</v>
      </c>
      <c r="F601" s="560">
        <v>19.75451295668984</v>
      </c>
      <c r="G601" s="566">
        <v>92.919375759244787</v>
      </c>
      <c r="H601" s="1057">
        <v>115.9782827835854</v>
      </c>
      <c r="I601" s="1058">
        <v>31.31413635156806</v>
      </c>
      <c r="J601" s="569">
        <v>0</v>
      </c>
      <c r="K601" s="560">
        <v>0</v>
      </c>
      <c r="L601" s="571"/>
      <c r="M601" s="223">
        <f t="shared" si="66"/>
        <v>240.21179489439825</v>
      </c>
    </row>
    <row r="602" spans="1:13" ht="15.75" hidden="1" x14ac:dyDescent="0.25">
      <c r="A602" s="781" t="s">
        <v>1306</v>
      </c>
      <c r="B602" s="1083" t="s">
        <v>1088</v>
      </c>
      <c r="C602" s="549">
        <v>70.827481062652311</v>
      </c>
      <c r="D602" s="550">
        <v>172.13478829785956</v>
      </c>
      <c r="E602" s="551">
        <v>0</v>
      </c>
      <c r="F602" s="560">
        <v>0</v>
      </c>
      <c r="G602" s="566">
        <v>242.96226936051187</v>
      </c>
      <c r="H602" s="1057">
        <v>0</v>
      </c>
      <c r="I602" s="1058">
        <v>0</v>
      </c>
      <c r="J602" s="569">
        <v>0</v>
      </c>
      <c r="K602" s="560">
        <v>0</v>
      </c>
      <c r="L602" s="571"/>
      <c r="M602" s="223">
        <f t="shared" si="66"/>
        <v>242.96226936051187</v>
      </c>
    </row>
    <row r="603" spans="1:13" ht="15.75" hidden="1" x14ac:dyDescent="0.25">
      <c r="A603" s="1087" t="s">
        <v>133</v>
      </c>
      <c r="B603" s="805" t="s">
        <v>1116</v>
      </c>
      <c r="C603" s="549">
        <v>68.426549501206466</v>
      </c>
      <c r="D603" s="550">
        <v>62.244150730483426</v>
      </c>
      <c r="E603" s="551">
        <v>2.7130526644337998</v>
      </c>
      <c r="F603" s="560">
        <v>8.0071067574218802</v>
      </c>
      <c r="G603" s="566">
        <v>141.39085965354559</v>
      </c>
      <c r="H603" s="1057">
        <v>85.569200849929771</v>
      </c>
      <c r="I603" s="1058">
        <v>0</v>
      </c>
      <c r="J603" s="569">
        <v>17.442767793904032</v>
      </c>
      <c r="K603" s="560">
        <v>0</v>
      </c>
      <c r="L603" s="571"/>
      <c r="M603" s="223">
        <f t="shared" si="66"/>
        <v>244.40282829737939</v>
      </c>
    </row>
    <row r="604" spans="1:13" ht="15.75" hidden="1" x14ac:dyDescent="0.25">
      <c r="A604" s="1087" t="s">
        <v>139</v>
      </c>
      <c r="B604" s="805" t="s">
        <v>1116</v>
      </c>
      <c r="C604" s="549">
        <v>40.743808597735921</v>
      </c>
      <c r="D604" s="550">
        <v>66.733892750387156</v>
      </c>
      <c r="E604" s="551">
        <v>3.2172482923374268</v>
      </c>
      <c r="F604" s="560">
        <v>6.6385757673977501</v>
      </c>
      <c r="G604" s="566">
        <v>117.33352540785826</v>
      </c>
      <c r="H604" s="1057">
        <v>137.65741107549729</v>
      </c>
      <c r="I604" s="1058">
        <v>0</v>
      </c>
      <c r="J604" s="569">
        <v>0</v>
      </c>
      <c r="K604" s="560">
        <v>0</v>
      </c>
      <c r="L604" s="571"/>
      <c r="M604" s="223">
        <f t="shared" si="66"/>
        <v>254.99093648335554</v>
      </c>
    </row>
    <row r="605" spans="1:13" ht="15.75" hidden="1" x14ac:dyDescent="0.25">
      <c r="A605" s="1087" t="s">
        <v>138</v>
      </c>
      <c r="B605" s="805" t="s">
        <v>1116</v>
      </c>
      <c r="C605" s="549">
        <v>56.181798537832677</v>
      </c>
      <c r="D605" s="550">
        <v>81.631673089158596</v>
      </c>
      <c r="E605" s="551">
        <v>2.9171318471566967</v>
      </c>
      <c r="F605" s="560">
        <v>8.4392744384821317</v>
      </c>
      <c r="G605" s="566">
        <v>149.16987791263008</v>
      </c>
      <c r="H605" s="1057">
        <v>101.27129326178557</v>
      </c>
      <c r="I605" s="1058">
        <v>6.0743568504579768</v>
      </c>
      <c r="J605" s="569">
        <v>0</v>
      </c>
      <c r="K605" s="560">
        <v>0</v>
      </c>
      <c r="L605" s="571"/>
      <c r="M605" s="223">
        <f t="shared" si="66"/>
        <v>256.51552802487367</v>
      </c>
    </row>
    <row r="606" spans="1:13" s="3274" customFormat="1" ht="15.75" hidden="1" x14ac:dyDescent="0.25">
      <c r="A606" s="3295" t="s">
        <v>214</v>
      </c>
      <c r="B606" s="3287" t="s">
        <v>1133</v>
      </c>
      <c r="C606" s="3278">
        <v>0</v>
      </c>
      <c r="D606" s="3278">
        <v>104.74063936807481</v>
      </c>
      <c r="E606" s="3278">
        <v>0</v>
      </c>
      <c r="F606" s="3278">
        <v>10.480066265711097</v>
      </c>
      <c r="G606" s="3271">
        <v>115.22070563378591</v>
      </c>
      <c r="H606" s="3275">
        <v>137.68142039111177</v>
      </c>
      <c r="I606" s="3275">
        <v>13.769342504891899</v>
      </c>
      <c r="J606" s="3278">
        <v>0</v>
      </c>
      <c r="K606" s="3278">
        <v>0</v>
      </c>
      <c r="L606" s="3271"/>
      <c r="M606" s="3273">
        <f t="shared" si="66"/>
        <v>266.67146852978959</v>
      </c>
    </row>
    <row r="607" spans="1:13" ht="15.75" hidden="1" x14ac:dyDescent="0.25">
      <c r="A607" s="479" t="s">
        <v>130</v>
      </c>
      <c r="B607" s="805" t="s">
        <v>1114</v>
      </c>
      <c r="C607" s="549">
        <v>0</v>
      </c>
      <c r="D607" s="550">
        <v>96.018398735086961</v>
      </c>
      <c r="E607" s="551">
        <v>0</v>
      </c>
      <c r="F607" s="560">
        <v>7.681471898806957</v>
      </c>
      <c r="G607" s="566">
        <v>103.69987063389392</v>
      </c>
      <c r="H607" s="1057">
        <v>159.55153083225528</v>
      </c>
      <c r="I607" s="1058">
        <v>12.764122466580423</v>
      </c>
      <c r="J607" s="569">
        <v>0</v>
      </c>
      <c r="K607" s="560">
        <v>0</v>
      </c>
      <c r="L607" s="571"/>
      <c r="M607" s="223">
        <f t="shared" si="66"/>
        <v>276.01552393272965</v>
      </c>
    </row>
    <row r="608" spans="1:13" ht="15.75" hidden="1" x14ac:dyDescent="0.25">
      <c r="A608" s="479" t="s">
        <v>136</v>
      </c>
      <c r="B608" s="805" t="s">
        <v>1116</v>
      </c>
      <c r="C608" s="549">
        <v>45.749750903350495</v>
      </c>
      <c r="D608" s="550">
        <v>105.42490486308687</v>
      </c>
      <c r="E608" s="551">
        <v>3.0011644518073011</v>
      </c>
      <c r="F608" s="560">
        <v>9.2555911693737158</v>
      </c>
      <c r="G608" s="566">
        <v>163.43141138761837</v>
      </c>
      <c r="H608" s="1057">
        <v>123.50391952077405</v>
      </c>
      <c r="I608" s="1058">
        <v>0</v>
      </c>
      <c r="J608" s="569">
        <v>0</v>
      </c>
      <c r="K608" s="560">
        <v>0</v>
      </c>
      <c r="L608" s="571"/>
      <c r="M608" s="223">
        <f t="shared" si="66"/>
        <v>286.93533090839242</v>
      </c>
    </row>
    <row r="609" spans="1:13" ht="15.75" hidden="1" x14ac:dyDescent="0.25">
      <c r="A609" s="479" t="s">
        <v>105</v>
      </c>
      <c r="B609" s="805" t="s">
        <v>1066</v>
      </c>
      <c r="C609" s="549">
        <v>0</v>
      </c>
      <c r="D609" s="550">
        <v>131.34135877966571</v>
      </c>
      <c r="E609" s="551">
        <v>0</v>
      </c>
      <c r="F609" s="560">
        <v>35.462166870509741</v>
      </c>
      <c r="G609" s="566">
        <v>166.80352565017546</v>
      </c>
      <c r="H609" s="1057">
        <v>97.347124742575758</v>
      </c>
      <c r="I609" s="1058">
        <v>26.283723680495456</v>
      </c>
      <c r="J609" s="569">
        <v>0</v>
      </c>
      <c r="K609" s="560">
        <v>0</v>
      </c>
      <c r="L609" s="571"/>
      <c r="M609" s="223">
        <f t="shared" si="66"/>
        <v>290.43437407324666</v>
      </c>
    </row>
    <row r="610" spans="1:13" ht="15.75" hidden="1" x14ac:dyDescent="0.25">
      <c r="A610" s="479" t="s">
        <v>134</v>
      </c>
      <c r="B610" s="805" t="s">
        <v>1116</v>
      </c>
      <c r="C610" s="549">
        <v>58.630748730507442</v>
      </c>
      <c r="D610" s="550">
        <v>90.431087261857598</v>
      </c>
      <c r="E610" s="551">
        <v>2.7250573222410295</v>
      </c>
      <c r="F610" s="560">
        <v>9.1115352756869665</v>
      </c>
      <c r="G610" s="566">
        <v>160.89842859029307</v>
      </c>
      <c r="H610" s="1057">
        <v>131.95519861706342</v>
      </c>
      <c r="I610" s="1058">
        <v>0</v>
      </c>
      <c r="J610" s="569">
        <v>0</v>
      </c>
      <c r="K610" s="560">
        <v>0</v>
      </c>
      <c r="L610" s="571"/>
      <c r="M610" s="223">
        <f t="shared" si="66"/>
        <v>292.85362720735645</v>
      </c>
    </row>
    <row r="611" spans="1:13" s="3274" customFormat="1" ht="15.75" hidden="1" x14ac:dyDescent="0.25">
      <c r="A611" s="3295" t="s">
        <v>151</v>
      </c>
      <c r="B611" s="3287" t="s">
        <v>1133</v>
      </c>
      <c r="C611" s="3278">
        <v>0</v>
      </c>
      <c r="D611" s="3278">
        <v>192.62673917479984</v>
      </c>
      <c r="E611" s="3278">
        <v>0</v>
      </c>
      <c r="F611" s="3278">
        <v>19.267475780602876</v>
      </c>
      <c r="G611" s="3271">
        <v>211.8942149554027</v>
      </c>
      <c r="H611" s="3275">
        <v>76.73377270380908</v>
      </c>
      <c r="I611" s="3275">
        <v>7.6709763388194618</v>
      </c>
      <c r="J611" s="3278">
        <v>0</v>
      </c>
      <c r="K611" s="3278">
        <v>0</v>
      </c>
      <c r="L611" s="3271"/>
      <c r="M611" s="3273">
        <f t="shared" si="66"/>
        <v>296.29896399803124</v>
      </c>
    </row>
    <row r="612" spans="1:13" ht="15.75" hidden="1" x14ac:dyDescent="0.25">
      <c r="A612" s="479" t="s">
        <v>128</v>
      </c>
      <c r="B612" s="805" t="s">
        <v>1114</v>
      </c>
      <c r="C612" s="549">
        <v>0</v>
      </c>
      <c r="D612" s="550">
        <v>137.1280724450194</v>
      </c>
      <c r="E612" s="551">
        <v>0</v>
      </c>
      <c r="F612" s="560">
        <v>10.970245795601551</v>
      </c>
      <c r="G612" s="566">
        <v>148.09831824062096</v>
      </c>
      <c r="H612" s="1057">
        <v>140.29035503809112</v>
      </c>
      <c r="I612" s="1058">
        <v>11.22322840304729</v>
      </c>
      <c r="J612" s="569">
        <v>0</v>
      </c>
      <c r="K612" s="560">
        <v>0</v>
      </c>
      <c r="L612" s="571"/>
      <c r="M612" s="223">
        <f t="shared" si="66"/>
        <v>299.61190168175938</v>
      </c>
    </row>
    <row r="613" spans="1:13" ht="15.75" hidden="1" x14ac:dyDescent="0.25">
      <c r="A613" s="479" t="s">
        <v>117</v>
      </c>
      <c r="B613" s="805" t="s">
        <v>1076</v>
      </c>
      <c r="C613" s="549">
        <v>133.14281484148285</v>
      </c>
      <c r="D613" s="550">
        <v>70.725463243795687</v>
      </c>
      <c r="E613" s="551">
        <v>0</v>
      </c>
      <c r="F613" s="560">
        <v>16.2789281612853</v>
      </c>
      <c r="G613" s="566">
        <v>220.14720624656383</v>
      </c>
      <c r="H613" s="1057">
        <v>74.879519066849952</v>
      </c>
      <c r="I613" s="1058">
        <v>5.9825504802106284</v>
      </c>
      <c r="J613" s="569">
        <v>0</v>
      </c>
      <c r="K613" s="560">
        <v>0</v>
      </c>
      <c r="L613" s="571"/>
      <c r="M613" s="223">
        <f t="shared" si="66"/>
        <v>301.0092757936244</v>
      </c>
    </row>
    <row r="614" spans="1:13" ht="15.75" hidden="1" x14ac:dyDescent="0.25">
      <c r="A614" s="479" t="s">
        <v>129</v>
      </c>
      <c r="B614" s="805" t="s">
        <v>1114</v>
      </c>
      <c r="C614" s="549">
        <v>0</v>
      </c>
      <c r="D614" s="550">
        <v>128.79114560873941</v>
      </c>
      <c r="E614" s="551">
        <v>0</v>
      </c>
      <c r="F614" s="560">
        <v>10.303291648699153</v>
      </c>
      <c r="G614" s="566">
        <v>139.09443725743856</v>
      </c>
      <c r="H614" s="1057">
        <v>158.4016098893201</v>
      </c>
      <c r="I614" s="1058">
        <v>12.672128791145608</v>
      </c>
      <c r="J614" s="569">
        <v>0</v>
      </c>
      <c r="K614" s="560">
        <v>0</v>
      </c>
      <c r="L614" s="571"/>
      <c r="M614" s="223">
        <f t="shared" si="66"/>
        <v>310.16817593790427</v>
      </c>
    </row>
    <row r="615" spans="1:13" s="3303" customFormat="1" ht="15.75" hidden="1" x14ac:dyDescent="0.25">
      <c r="A615" s="3297" t="s">
        <v>154</v>
      </c>
      <c r="B615" s="3298" t="s">
        <v>1133</v>
      </c>
      <c r="C615" s="3299">
        <v>0</v>
      </c>
      <c r="D615" s="3299">
        <v>153.34749882954586</v>
      </c>
      <c r="E615" s="3299">
        <v>0</v>
      </c>
      <c r="F615" s="3299">
        <v>15.329948019831694</v>
      </c>
      <c r="G615" s="3300">
        <v>168.67744684937756</v>
      </c>
      <c r="H615" s="3301">
        <v>143.11953037778659</v>
      </c>
      <c r="I615" s="3301">
        <v>14.309552106217211</v>
      </c>
      <c r="J615" s="3299">
        <v>0</v>
      </c>
      <c r="K615" s="3299">
        <v>0</v>
      </c>
      <c r="L615" s="3300"/>
      <c r="M615" s="3302">
        <f t="shared" si="66"/>
        <v>326.10652933338133</v>
      </c>
    </row>
    <row r="616" spans="1:13" ht="15.75" hidden="1" x14ac:dyDescent="0.25">
      <c r="A616" s="1087" t="s">
        <v>891</v>
      </c>
      <c r="B616" s="805" t="s">
        <v>1114</v>
      </c>
      <c r="C616" s="549">
        <v>0</v>
      </c>
      <c r="D616" s="550">
        <v>120.74169900819319</v>
      </c>
      <c r="E616" s="551">
        <v>0</v>
      </c>
      <c r="F616" s="560">
        <v>9.6593359206554563</v>
      </c>
      <c r="G616" s="566">
        <v>130.40103492884865</v>
      </c>
      <c r="H616" s="1057">
        <v>184.5623113410953</v>
      </c>
      <c r="I616" s="1058">
        <v>14.764984907287625</v>
      </c>
      <c r="J616" s="569">
        <v>0</v>
      </c>
      <c r="K616" s="560">
        <v>0</v>
      </c>
      <c r="L616" s="571"/>
      <c r="M616" s="223">
        <f t="shared" si="66"/>
        <v>329.72833117723155</v>
      </c>
    </row>
    <row r="617" spans="1:13" s="3274" customFormat="1" ht="15.75" hidden="1" x14ac:dyDescent="0.25">
      <c r="A617" s="3294" t="s">
        <v>912</v>
      </c>
      <c r="B617" s="3287" t="s">
        <v>1052</v>
      </c>
      <c r="C617" s="3278">
        <v>0</v>
      </c>
      <c r="D617" s="3270">
        <v>151.53594654503681</v>
      </c>
      <c r="E617" s="3270">
        <v>0</v>
      </c>
      <c r="F617" s="3270">
        <v>22.749192967679225</v>
      </c>
      <c r="G617" s="3271">
        <v>174.28513951271603</v>
      </c>
      <c r="H617" s="3275">
        <v>158.02228668871393</v>
      </c>
      <c r="I617" s="3275">
        <v>23.689242263864315</v>
      </c>
      <c r="J617" s="3270">
        <v>0</v>
      </c>
      <c r="K617" s="3270">
        <v>0</v>
      </c>
      <c r="L617" s="3271"/>
      <c r="M617" s="3273">
        <f t="shared" si="66"/>
        <v>355.99666846529431</v>
      </c>
    </row>
    <row r="618" spans="1:13" s="3274" customFormat="1" ht="15.75" hidden="1" x14ac:dyDescent="0.25">
      <c r="A618" s="3294" t="s">
        <v>913</v>
      </c>
      <c r="B618" s="3287" t="s">
        <v>1052</v>
      </c>
      <c r="C618" s="3278">
        <v>0</v>
      </c>
      <c r="D618" s="3270">
        <v>152.52299830603116</v>
      </c>
      <c r="E618" s="3270">
        <v>0</v>
      </c>
      <c r="F618" s="3270">
        <v>22.890200362106988</v>
      </c>
      <c r="G618" s="3271">
        <v>175.41319866813814</v>
      </c>
      <c r="H618" s="3275">
        <v>160.60742225322295</v>
      </c>
      <c r="I618" s="3275">
        <v>24.112264447147606</v>
      </c>
      <c r="J618" s="3270">
        <v>0</v>
      </c>
      <c r="K618" s="3270">
        <v>0</v>
      </c>
      <c r="L618" s="3271"/>
      <c r="M618" s="3273">
        <f t="shared" si="66"/>
        <v>360.13288536850871</v>
      </c>
    </row>
    <row r="619" spans="1:13" ht="15.75" hidden="1" x14ac:dyDescent="0.25">
      <c r="A619" s="1087" t="s">
        <v>155</v>
      </c>
      <c r="B619" s="805" t="s">
        <v>1135</v>
      </c>
      <c r="C619" s="549">
        <v>206.24267029725661</v>
      </c>
      <c r="D619" s="550">
        <v>44.728802530302232</v>
      </c>
      <c r="E619" s="551">
        <v>0</v>
      </c>
      <c r="F619" s="560">
        <v>62.74286820688971</v>
      </c>
      <c r="G619" s="566">
        <v>313.71434103444858</v>
      </c>
      <c r="H619" s="1057">
        <v>39.827015951638977</v>
      </c>
      <c r="I619" s="1058">
        <v>9.9567539879097442</v>
      </c>
      <c r="J619" s="569">
        <v>0</v>
      </c>
      <c r="K619" s="560">
        <v>0</v>
      </c>
      <c r="L619" s="571"/>
      <c r="M619" s="223">
        <f t="shared" si="66"/>
        <v>363.49811097399731</v>
      </c>
    </row>
    <row r="620" spans="1:13" ht="15.75" hidden="1" x14ac:dyDescent="0.25">
      <c r="A620" s="1087" t="s">
        <v>162</v>
      </c>
      <c r="B620" s="805" t="s">
        <v>1137</v>
      </c>
      <c r="C620" s="549">
        <v>71.837605960468792</v>
      </c>
      <c r="D620" s="550">
        <v>149.83272100326349</v>
      </c>
      <c r="E620" s="551">
        <v>0</v>
      </c>
      <c r="F620" s="560">
        <v>17.733626157098584</v>
      </c>
      <c r="G620" s="566">
        <v>239.40395312083086</v>
      </c>
      <c r="H620" s="1057">
        <v>123.15018164651794</v>
      </c>
      <c r="I620" s="1058">
        <v>3.0787545411629482</v>
      </c>
      <c r="J620" s="569">
        <v>0</v>
      </c>
      <c r="K620" s="560">
        <v>0</v>
      </c>
      <c r="L620" s="571"/>
      <c r="M620" s="223">
        <f t="shared" si="66"/>
        <v>365.63288930851172</v>
      </c>
    </row>
    <row r="621" spans="1:13" ht="15.75" hidden="1" x14ac:dyDescent="0.25">
      <c r="A621" s="1088" t="s">
        <v>212</v>
      </c>
      <c r="B621" s="805" t="s">
        <v>1151</v>
      </c>
      <c r="C621" s="549">
        <v>48</v>
      </c>
      <c r="D621" s="550">
        <v>124.66</v>
      </c>
      <c r="E621" s="551" t="s">
        <v>5</v>
      </c>
      <c r="F621" s="560" t="s">
        <v>5</v>
      </c>
      <c r="G621" s="566">
        <v>172.66</v>
      </c>
      <c r="H621" s="1057">
        <v>182.97</v>
      </c>
      <c r="I621" s="1077" t="s">
        <v>5</v>
      </c>
      <c r="J621" s="569">
        <v>12.36</v>
      </c>
      <c r="K621" s="560" t="s">
        <v>5</v>
      </c>
      <c r="L621" s="571"/>
      <c r="M621" s="223">
        <f>G621+H621+J621</f>
        <v>367.99</v>
      </c>
    </row>
    <row r="622" spans="1:13" ht="15.75" hidden="1" x14ac:dyDescent="0.25">
      <c r="A622" s="1087" t="s">
        <v>172</v>
      </c>
      <c r="B622" s="1089" t="s">
        <v>1151</v>
      </c>
      <c r="C622" s="549" t="s">
        <v>5</v>
      </c>
      <c r="D622" s="550">
        <v>204.17</v>
      </c>
      <c r="E622" s="551" t="s">
        <v>5</v>
      </c>
      <c r="F622" s="560" t="s">
        <v>5</v>
      </c>
      <c r="G622" s="566">
        <v>204.17</v>
      </c>
      <c r="H622" s="1057">
        <v>166.12</v>
      </c>
      <c r="I622" s="1077" t="s">
        <v>5</v>
      </c>
      <c r="J622" s="569" t="s">
        <v>5</v>
      </c>
      <c r="K622" s="560" t="s">
        <v>5</v>
      </c>
      <c r="L622" s="571"/>
      <c r="M622" s="223">
        <f>G622+H622</f>
        <v>370.28999999999996</v>
      </c>
    </row>
    <row r="623" spans="1:13" ht="15.75" hidden="1" x14ac:dyDescent="0.25">
      <c r="A623" s="1087" t="s">
        <v>878</v>
      </c>
      <c r="B623" s="1089" t="s">
        <v>1050</v>
      </c>
      <c r="C623" s="549">
        <v>50.419562790362662</v>
      </c>
      <c r="D623" s="593">
        <v>115.24471494940036</v>
      </c>
      <c r="E623" s="594">
        <v>0</v>
      </c>
      <c r="F623" s="595">
        <v>8.2832138869881522</v>
      </c>
      <c r="G623" s="566">
        <v>173.94749162675117</v>
      </c>
      <c r="H623" s="1057">
        <v>197.47662092892043</v>
      </c>
      <c r="I623" s="1058">
        <v>0</v>
      </c>
      <c r="J623" s="597">
        <v>0</v>
      </c>
      <c r="K623" s="595">
        <v>0</v>
      </c>
      <c r="L623" s="571"/>
      <c r="M623" s="223">
        <f t="shared" ref="M623:M641" si="67">G623+H623+I623+J623+K623</f>
        <v>371.42411255567163</v>
      </c>
    </row>
    <row r="624" spans="1:13" s="3274" customFormat="1" ht="15.75" hidden="1" x14ac:dyDescent="0.25">
      <c r="A624" s="3294" t="s">
        <v>630</v>
      </c>
      <c r="B624" s="3296" t="s">
        <v>1058</v>
      </c>
      <c r="C624" s="3278">
        <v>32.040431687494745</v>
      </c>
      <c r="D624" s="3270">
        <v>120.04657807229205</v>
      </c>
      <c r="E624" s="3270">
        <v>42.016302325302213</v>
      </c>
      <c r="F624" s="3270">
        <v>10.672140790626763</v>
      </c>
      <c r="G624" s="3271">
        <v>204.77545287571576</v>
      </c>
      <c r="H624" s="3275">
        <v>116.44518073012328</v>
      </c>
      <c r="I624" s="3275">
        <v>15.82213898992809</v>
      </c>
      <c r="J624" s="3270">
        <v>42.016302325302213</v>
      </c>
      <c r="K624" s="3270">
        <v>0</v>
      </c>
      <c r="L624" s="3271"/>
      <c r="M624" s="3273">
        <f t="shared" si="67"/>
        <v>379.05907492106934</v>
      </c>
    </row>
    <row r="625" spans="1:13" ht="15.75" hidden="1" x14ac:dyDescent="0.25">
      <c r="A625" s="1087" t="s">
        <v>631</v>
      </c>
      <c r="B625" s="1089" t="s">
        <v>1058</v>
      </c>
      <c r="C625" s="549">
        <v>13.145100298915978</v>
      </c>
      <c r="D625" s="593">
        <v>111.64331760723161</v>
      </c>
      <c r="E625" s="594">
        <v>52.820494351808499</v>
      </c>
      <c r="F625" s="595">
        <v>9.7597867972773447</v>
      </c>
      <c r="G625" s="566">
        <v>187.36869905523344</v>
      </c>
      <c r="H625" s="1057">
        <v>139.25403056385875</v>
      </c>
      <c r="I625" s="1058">
        <v>17.526800398554638</v>
      </c>
      <c r="J625" s="597">
        <v>36.013973421687616</v>
      </c>
      <c r="K625" s="595">
        <v>0</v>
      </c>
      <c r="L625" s="571"/>
      <c r="M625" s="223">
        <f t="shared" si="67"/>
        <v>380.16350343933448</v>
      </c>
    </row>
    <row r="626" spans="1:13" s="3274" customFormat="1" ht="15.75" x14ac:dyDescent="0.25">
      <c r="A626" s="3294" t="s">
        <v>167</v>
      </c>
      <c r="B626" s="3296" t="s">
        <v>1149</v>
      </c>
      <c r="C626" s="3278">
        <v>42.301870472483515</v>
      </c>
      <c r="D626" s="3278">
        <v>173.49172883554979</v>
      </c>
      <c r="E626" s="3278">
        <v>0</v>
      </c>
      <c r="F626" s="3278">
        <v>0</v>
      </c>
      <c r="G626" s="3271">
        <v>215.79359930803332</v>
      </c>
      <c r="H626" s="3275">
        <v>169.55887122932208</v>
      </c>
      <c r="I626" s="3275">
        <v>0</v>
      </c>
      <c r="J626" s="3278">
        <v>0</v>
      </c>
      <c r="K626" s="3278">
        <v>0</v>
      </c>
      <c r="L626" s="3271"/>
      <c r="M626" s="3273">
        <f t="shared" si="67"/>
        <v>385.35247053735543</v>
      </c>
    </row>
    <row r="627" spans="1:13" s="3274" customFormat="1" ht="15.75" hidden="1" x14ac:dyDescent="0.25">
      <c r="A627" s="3295" t="s">
        <v>100</v>
      </c>
      <c r="B627" s="3296" t="s">
        <v>1058</v>
      </c>
      <c r="C627" s="3278">
        <v>49.447185507977089</v>
      </c>
      <c r="D627" s="3270">
        <v>123.6479754144608</v>
      </c>
      <c r="E627" s="3270">
        <v>42.016302325302213</v>
      </c>
      <c r="F627" s="3270">
        <v>11.800578624506308</v>
      </c>
      <c r="G627" s="3271">
        <v>226.91204187224639</v>
      </c>
      <c r="H627" s="3275">
        <v>117.64564651084621</v>
      </c>
      <c r="I627" s="3275">
        <v>14.645682524819629</v>
      </c>
      <c r="J627" s="3270">
        <v>28.968439754624793</v>
      </c>
      <c r="K627" s="3270">
        <v>0</v>
      </c>
      <c r="L627" s="3271"/>
      <c r="M627" s="3273">
        <f t="shared" si="67"/>
        <v>388.17181066253698</v>
      </c>
    </row>
    <row r="628" spans="1:13" ht="15.75" hidden="1" x14ac:dyDescent="0.25">
      <c r="A628" s="479" t="s">
        <v>127</v>
      </c>
      <c r="B628" s="1089" t="s">
        <v>1112</v>
      </c>
      <c r="C628" s="549">
        <v>38.609050458665287</v>
      </c>
      <c r="D628" s="550">
        <v>106.51613036891874</v>
      </c>
      <c r="E628" s="551">
        <v>11.894707464538293</v>
      </c>
      <c r="F628" s="560">
        <v>39.254972073030579</v>
      </c>
      <c r="G628" s="566">
        <v>196.2748603651529</v>
      </c>
      <c r="H628" s="1057">
        <v>162.65037481734433</v>
      </c>
      <c r="I628" s="1058">
        <v>40.662593704336082</v>
      </c>
      <c r="J628" s="569">
        <v>0</v>
      </c>
      <c r="K628" s="560">
        <v>0</v>
      </c>
      <c r="L628" s="571"/>
      <c r="M628" s="223">
        <f t="shared" si="67"/>
        <v>399.58782888683328</v>
      </c>
    </row>
    <row r="629" spans="1:13" ht="15.75" hidden="1" x14ac:dyDescent="0.25">
      <c r="A629" s="479" t="s">
        <v>85</v>
      </c>
      <c r="B629" s="1089" t="s">
        <v>1050</v>
      </c>
      <c r="C629" s="549">
        <v>79.230741527712752</v>
      </c>
      <c r="D629" s="593">
        <v>112.84378338795452</v>
      </c>
      <c r="E629" s="594">
        <v>0</v>
      </c>
      <c r="F629" s="595">
        <v>9.6037262457833634</v>
      </c>
      <c r="G629" s="566">
        <v>201.67825116145065</v>
      </c>
      <c r="H629" s="1057">
        <v>167.58502298891969</v>
      </c>
      <c r="I629" s="1058">
        <v>0</v>
      </c>
      <c r="J629" s="597">
        <v>30.731923986506764</v>
      </c>
      <c r="K629" s="595">
        <v>0</v>
      </c>
      <c r="L629" s="571"/>
      <c r="M629" s="223">
        <f t="shared" si="67"/>
        <v>399.99519813687709</v>
      </c>
    </row>
    <row r="630" spans="1:13" s="3274" customFormat="1" ht="15.75" hidden="1" x14ac:dyDescent="0.25">
      <c r="A630" s="3295" t="s">
        <v>911</v>
      </c>
      <c r="B630" s="3296" t="s">
        <v>1052</v>
      </c>
      <c r="C630" s="3278">
        <v>0</v>
      </c>
      <c r="D630" s="3270">
        <v>189.74895043496079</v>
      </c>
      <c r="E630" s="3270">
        <v>0</v>
      </c>
      <c r="F630" s="3270">
        <v>28.483493674408283</v>
      </c>
      <c r="G630" s="3271">
        <v>218.23244410936908</v>
      </c>
      <c r="H630" s="3275">
        <v>159.38535816818234</v>
      </c>
      <c r="I630" s="3275">
        <v>23.877252123101332</v>
      </c>
      <c r="J630" s="3270">
        <v>0</v>
      </c>
      <c r="K630" s="3270">
        <v>0</v>
      </c>
      <c r="L630" s="3271"/>
      <c r="M630" s="3273">
        <f t="shared" si="67"/>
        <v>401.49505440065275</v>
      </c>
    </row>
    <row r="631" spans="1:13" ht="15.75" hidden="1" x14ac:dyDescent="0.25">
      <c r="A631" s="479" t="s">
        <v>914</v>
      </c>
      <c r="B631" s="1089" t="s">
        <v>1052</v>
      </c>
      <c r="C631" s="549">
        <v>0</v>
      </c>
      <c r="D631" s="593">
        <v>211.79310643050121</v>
      </c>
      <c r="E631" s="594">
        <v>0</v>
      </c>
      <c r="F631" s="595">
        <v>31.773666211056106</v>
      </c>
      <c r="G631" s="566">
        <v>243.56677264155732</v>
      </c>
      <c r="H631" s="1057">
        <v>140.2553549908157</v>
      </c>
      <c r="I631" s="1058">
        <v>21.057104234546056</v>
      </c>
      <c r="J631" s="597">
        <v>0</v>
      </c>
      <c r="K631" s="595">
        <v>0</v>
      </c>
      <c r="L631" s="571"/>
      <c r="M631" s="223">
        <f t="shared" si="67"/>
        <v>404.8792318669191</v>
      </c>
    </row>
    <row r="632" spans="1:13" ht="15.75" hidden="1" x14ac:dyDescent="0.25">
      <c r="A632" s="479" t="s">
        <v>157</v>
      </c>
      <c r="B632" s="1089" t="s">
        <v>1135</v>
      </c>
      <c r="C632" s="549">
        <v>202.56633036325914</v>
      </c>
      <c r="D632" s="550">
        <v>59.311617601825425</v>
      </c>
      <c r="E632" s="551">
        <v>0</v>
      </c>
      <c r="F632" s="560">
        <v>65.46948699127114</v>
      </c>
      <c r="G632" s="566">
        <v>327.3474349563557</v>
      </c>
      <c r="H632" s="1057">
        <v>62.987957535822872</v>
      </c>
      <c r="I632" s="1058">
        <v>15.746989383955718</v>
      </c>
      <c r="J632" s="569">
        <v>0</v>
      </c>
      <c r="K632" s="560">
        <v>0</v>
      </c>
      <c r="L632" s="571"/>
      <c r="M632" s="223">
        <f t="shared" si="67"/>
        <v>406.08238187613432</v>
      </c>
    </row>
    <row r="633" spans="1:13" ht="15.75" hidden="1" x14ac:dyDescent="0.25">
      <c r="A633" s="479" t="s">
        <v>126</v>
      </c>
      <c r="B633" s="1089" t="s">
        <v>1112</v>
      </c>
      <c r="C633" s="549">
        <v>37.536576834813467</v>
      </c>
      <c r="D633" s="550">
        <v>119.06894664809337</v>
      </c>
      <c r="E633" s="551">
        <v>0</v>
      </c>
      <c r="F633" s="560">
        <v>34.459308766375024</v>
      </c>
      <c r="G633" s="566">
        <v>191.06483224928186</v>
      </c>
      <c r="H633" s="1057">
        <v>178.66435597349528</v>
      </c>
      <c r="I633" s="1058">
        <v>49.3581610977255</v>
      </c>
      <c r="J633" s="569">
        <v>0</v>
      </c>
      <c r="K633" s="560">
        <v>0</v>
      </c>
      <c r="L633" s="571"/>
      <c r="M633" s="223">
        <f t="shared" si="67"/>
        <v>419.0873493205026</v>
      </c>
    </row>
    <row r="634" spans="1:13" s="3274" customFormat="1" ht="15.75" hidden="1" x14ac:dyDescent="0.25">
      <c r="A634" s="3295" t="s">
        <v>634</v>
      </c>
      <c r="B634" s="3287" t="s">
        <v>1058</v>
      </c>
      <c r="C634" s="3278">
        <v>11.356406285638828</v>
      </c>
      <c r="D634" s="3270">
        <v>169.26567508193179</v>
      </c>
      <c r="E634" s="3270">
        <v>44.417233886748058</v>
      </c>
      <c r="F634" s="3270">
        <v>12.364797541446082</v>
      </c>
      <c r="G634" s="3271">
        <v>237.40411279576475</v>
      </c>
      <c r="H634" s="3275">
        <v>154.86008571325675</v>
      </c>
      <c r="I634" s="3275">
        <v>17.430763136096804</v>
      </c>
      <c r="J634" s="3270">
        <v>19.207452491566727</v>
      </c>
      <c r="K634" s="3270">
        <v>0</v>
      </c>
      <c r="L634" s="3271"/>
      <c r="M634" s="3273">
        <f t="shared" si="67"/>
        <v>428.90241413668502</v>
      </c>
    </row>
    <row r="635" spans="1:13" ht="15.75" hidden="1" x14ac:dyDescent="0.25">
      <c r="A635" s="479" t="s">
        <v>632</v>
      </c>
      <c r="B635" s="805" t="s">
        <v>1058</v>
      </c>
      <c r="C635" s="549">
        <v>49.147069062796362</v>
      </c>
      <c r="D635" s="593">
        <v>171.66660664337763</v>
      </c>
      <c r="E635" s="594">
        <v>49.219097009639739</v>
      </c>
      <c r="F635" s="595">
        <v>14.873771023156985</v>
      </c>
      <c r="G635" s="566">
        <v>284.9065437389707</v>
      </c>
      <c r="H635" s="1057">
        <v>109.24238604578576</v>
      </c>
      <c r="I635" s="1058">
        <v>13.481230717518397</v>
      </c>
      <c r="J635" s="597">
        <v>25.173767421759642</v>
      </c>
      <c r="K635" s="595">
        <v>0</v>
      </c>
      <c r="L635" s="571"/>
      <c r="M635" s="223">
        <f t="shared" si="67"/>
        <v>432.80392792403444</v>
      </c>
    </row>
    <row r="636" spans="1:13" ht="15.75" hidden="1" x14ac:dyDescent="0.25">
      <c r="A636" s="479" t="s">
        <v>97</v>
      </c>
      <c r="B636" s="805" t="s">
        <v>1058</v>
      </c>
      <c r="C636" s="549">
        <v>66.409766989591958</v>
      </c>
      <c r="D636" s="593">
        <v>129.6503043180754</v>
      </c>
      <c r="E636" s="594">
        <v>46.818165448193895</v>
      </c>
      <c r="F636" s="595">
        <v>13.313165508217187</v>
      </c>
      <c r="G636" s="566">
        <v>256.19140226407842</v>
      </c>
      <c r="H636" s="1057">
        <v>132.05123587952127</v>
      </c>
      <c r="I636" s="1058">
        <v>16.038222830458217</v>
      </c>
      <c r="J636" s="597">
        <v>28.81117873735009</v>
      </c>
      <c r="K636" s="595">
        <v>0</v>
      </c>
      <c r="L636" s="571"/>
      <c r="M636" s="223">
        <f t="shared" si="67"/>
        <v>433.09203971140801</v>
      </c>
    </row>
    <row r="637" spans="1:13" s="3274" customFormat="1" ht="15.75" hidden="1" x14ac:dyDescent="0.25">
      <c r="A637" s="3295" t="s">
        <v>101</v>
      </c>
      <c r="B637" s="3287" t="s">
        <v>1058</v>
      </c>
      <c r="C637" s="3278">
        <v>24.741599740699389</v>
      </c>
      <c r="D637" s="3270">
        <v>122.44750963373788</v>
      </c>
      <c r="E637" s="3270">
        <v>57.622357474700181</v>
      </c>
      <c r="F637" s="3270">
        <v>11.308387654409911</v>
      </c>
      <c r="G637" s="3271">
        <v>216.11985450354734</v>
      </c>
      <c r="H637" s="3275">
        <v>162.06288039759426</v>
      </c>
      <c r="I637" s="3275">
        <v>19.843699355349877</v>
      </c>
      <c r="J637" s="3270">
        <v>36.013973421687616</v>
      </c>
      <c r="K637" s="3270">
        <v>0</v>
      </c>
      <c r="L637" s="3271"/>
      <c r="M637" s="3273">
        <f t="shared" si="67"/>
        <v>434.04040767817912</v>
      </c>
    </row>
    <row r="638" spans="1:13" ht="15.75" hidden="1" x14ac:dyDescent="0.25">
      <c r="A638" s="479" t="s">
        <v>125</v>
      </c>
      <c r="B638" s="805" t="s">
        <v>1112</v>
      </c>
      <c r="C638" s="549">
        <v>149.78069133112257</v>
      </c>
      <c r="D638" s="550">
        <v>0</v>
      </c>
      <c r="E638" s="551">
        <v>0</v>
      </c>
      <c r="F638" s="560">
        <v>37.445172832780642</v>
      </c>
      <c r="G638" s="566">
        <v>187.22586416390322</v>
      </c>
      <c r="H638" s="1057">
        <v>208.88861264568274</v>
      </c>
      <c r="I638" s="1058">
        <v>52.222153161420685</v>
      </c>
      <c r="J638" s="569">
        <v>0</v>
      </c>
      <c r="K638" s="560">
        <v>0</v>
      </c>
      <c r="L638" s="571"/>
      <c r="M638" s="223">
        <f t="shared" si="67"/>
        <v>448.33662997100669</v>
      </c>
    </row>
    <row r="639" spans="1:13" ht="15.75" hidden="1" x14ac:dyDescent="0.25">
      <c r="A639" s="479" t="s">
        <v>86</v>
      </c>
      <c r="B639" s="805" t="s">
        <v>1050</v>
      </c>
      <c r="C639" s="549">
        <v>57.622357474700181</v>
      </c>
      <c r="D639" s="593">
        <v>101.55940504915907</v>
      </c>
      <c r="E639" s="594">
        <v>0</v>
      </c>
      <c r="F639" s="595">
        <v>7.9590881261929622</v>
      </c>
      <c r="G639" s="566">
        <v>167.14085065005222</v>
      </c>
      <c r="H639" s="1057">
        <v>240.35725861634313</v>
      </c>
      <c r="I639" s="1058">
        <v>0</v>
      </c>
      <c r="J639" s="597">
        <v>42.016302325302213</v>
      </c>
      <c r="K639" s="595">
        <v>0</v>
      </c>
      <c r="L639" s="571"/>
      <c r="M639" s="223">
        <f t="shared" si="67"/>
        <v>449.51441159169752</v>
      </c>
    </row>
    <row r="640" spans="1:13" ht="15.75" hidden="1" x14ac:dyDescent="0.25">
      <c r="A640" s="1085" t="s">
        <v>552</v>
      </c>
      <c r="B640" s="805" t="s">
        <v>1040</v>
      </c>
      <c r="C640" s="549">
        <v>167.65400488235434</v>
      </c>
      <c r="D640" s="593">
        <v>82.825086077338398</v>
      </c>
      <c r="E640" s="594">
        <v>0</v>
      </c>
      <c r="F640" s="595">
        <v>0</v>
      </c>
      <c r="G640" s="566">
        <v>250.47909095969274</v>
      </c>
      <c r="H640" s="1057">
        <v>199.58810105042184</v>
      </c>
      <c r="I640" s="1058">
        <v>0</v>
      </c>
      <c r="J640" s="597">
        <v>0</v>
      </c>
      <c r="K640" s="595">
        <v>0</v>
      </c>
      <c r="L640" s="571"/>
      <c r="M640" s="223">
        <f t="shared" si="67"/>
        <v>450.06719201011458</v>
      </c>
    </row>
    <row r="641" spans="1:13" ht="15.75" hidden="1" x14ac:dyDescent="0.25">
      <c r="A641" s="479" t="s">
        <v>915</v>
      </c>
      <c r="B641" s="805" t="s">
        <v>1052</v>
      </c>
      <c r="C641" s="549">
        <v>0</v>
      </c>
      <c r="D641" s="593">
        <v>204.27271206102046</v>
      </c>
      <c r="E641" s="594">
        <v>0</v>
      </c>
      <c r="F641" s="595">
        <v>30.645607055633995</v>
      </c>
      <c r="G641" s="566">
        <v>234.91831911665446</v>
      </c>
      <c r="H641" s="1057">
        <v>197.50435712848781</v>
      </c>
      <c r="I641" s="1058">
        <v>29.611552829830394</v>
      </c>
      <c r="J641" s="597">
        <v>0</v>
      </c>
      <c r="K641" s="595">
        <v>0</v>
      </c>
      <c r="L641" s="571"/>
      <c r="M641" s="223">
        <f t="shared" si="67"/>
        <v>462.03422907497264</v>
      </c>
    </row>
    <row r="642" spans="1:13" ht="15.75" hidden="1" x14ac:dyDescent="0.25">
      <c r="A642" s="479" t="s">
        <v>170</v>
      </c>
      <c r="B642" s="805" t="s">
        <v>1151</v>
      </c>
      <c r="C642" s="549" t="s">
        <v>5</v>
      </c>
      <c r="D642" s="550">
        <v>178.85</v>
      </c>
      <c r="E642" s="551" t="s">
        <v>5</v>
      </c>
      <c r="F642" s="560" t="s">
        <v>5</v>
      </c>
      <c r="G642" s="566">
        <v>178.85</v>
      </c>
      <c r="H642" s="1057">
        <v>284.37</v>
      </c>
      <c r="I642" s="1077" t="s">
        <v>5</v>
      </c>
      <c r="J642" s="569" t="s">
        <v>5</v>
      </c>
      <c r="K642" s="560" t="s">
        <v>5</v>
      </c>
      <c r="L642" s="571"/>
      <c r="M642" s="223">
        <f>G642+H642</f>
        <v>463.22</v>
      </c>
    </row>
    <row r="643" spans="1:13" s="3274" customFormat="1" ht="15.75" x14ac:dyDescent="0.25">
      <c r="A643" s="3295" t="s">
        <v>165</v>
      </c>
      <c r="B643" s="3287" t="s">
        <v>1149</v>
      </c>
      <c r="C643" s="3278">
        <v>35.247053735538977</v>
      </c>
      <c r="D643" s="3278">
        <v>205.33300897394312</v>
      </c>
      <c r="E643" s="3278">
        <v>0</v>
      </c>
      <c r="F643" s="3278">
        <v>0</v>
      </c>
      <c r="G643" s="3271">
        <v>240.58006270948209</v>
      </c>
      <c r="H643" s="3275">
        <v>230.57898151151477</v>
      </c>
      <c r="I643" s="3275">
        <v>0</v>
      </c>
      <c r="J643" s="3278">
        <v>0</v>
      </c>
      <c r="K643" s="3278">
        <v>0</v>
      </c>
      <c r="L643" s="3271"/>
      <c r="M643" s="3273">
        <f>G643+H643+I643+J643+K643</f>
        <v>471.15904422099686</v>
      </c>
    </row>
    <row r="644" spans="1:13" ht="15.75" hidden="1" x14ac:dyDescent="0.25">
      <c r="A644" s="479" t="s">
        <v>158</v>
      </c>
      <c r="B644" s="805" t="s">
        <v>1135</v>
      </c>
      <c r="C644" s="549">
        <v>0</v>
      </c>
      <c r="D644" s="550">
        <v>151.3426606162281</v>
      </c>
      <c r="E644" s="551">
        <v>0</v>
      </c>
      <c r="F644" s="560">
        <v>37.835665154057025</v>
      </c>
      <c r="G644" s="566">
        <v>189.17832577028514</v>
      </c>
      <c r="H644" s="1057">
        <v>227.07526325657545</v>
      </c>
      <c r="I644" s="1058">
        <v>56.768815814143863</v>
      </c>
      <c r="J644" s="569">
        <v>0</v>
      </c>
      <c r="K644" s="560">
        <v>0</v>
      </c>
      <c r="L644" s="571"/>
      <c r="M644" s="223">
        <f>G644+H644+I644+J644+K644</f>
        <v>473.02240484100446</v>
      </c>
    </row>
    <row r="645" spans="1:13" ht="15.75" hidden="1" x14ac:dyDescent="0.25">
      <c r="A645" s="479" t="s">
        <v>99</v>
      </c>
      <c r="B645" s="805" t="s">
        <v>1058</v>
      </c>
      <c r="C645" s="549">
        <v>44.801382936579394</v>
      </c>
      <c r="D645" s="593">
        <v>136.8530990024129</v>
      </c>
      <c r="E645" s="594">
        <v>55.221425913254343</v>
      </c>
      <c r="F645" s="595">
        <v>13.013049063036458</v>
      </c>
      <c r="G645" s="566">
        <v>249.88895691528307</v>
      </c>
      <c r="H645" s="1057">
        <v>175.26800398554639</v>
      </c>
      <c r="I645" s="1058">
        <v>20.756053348699293</v>
      </c>
      <c r="J645" s="597">
        <v>31.932389767229687</v>
      </c>
      <c r="K645" s="595">
        <v>0</v>
      </c>
      <c r="L645" s="571"/>
      <c r="M645" s="223">
        <f>G645+H645+I645+J645+K645</f>
        <v>477.84540401675844</v>
      </c>
    </row>
    <row r="646" spans="1:13" ht="15.75" hidden="1" x14ac:dyDescent="0.25">
      <c r="A646" s="479" t="s">
        <v>174</v>
      </c>
      <c r="B646" s="805" t="s">
        <v>1151</v>
      </c>
      <c r="C646" s="549">
        <v>142.32</v>
      </c>
      <c r="D646" s="550">
        <v>67.36</v>
      </c>
      <c r="E646" s="551" t="s">
        <v>5</v>
      </c>
      <c r="F646" s="560" t="s">
        <v>5</v>
      </c>
      <c r="G646" s="566">
        <v>209.68</v>
      </c>
      <c r="H646" s="1057">
        <v>252.36</v>
      </c>
      <c r="I646" s="1077" t="s">
        <v>5</v>
      </c>
      <c r="J646" s="569">
        <v>16.670000000000002</v>
      </c>
      <c r="K646" s="560" t="s">
        <v>5</v>
      </c>
      <c r="L646" s="571"/>
      <c r="M646" s="223">
        <f>G646+H646+J646</f>
        <v>478.71000000000004</v>
      </c>
    </row>
    <row r="647" spans="1:13" s="3274" customFormat="1" ht="15.75" hidden="1" x14ac:dyDescent="0.25">
      <c r="A647" s="3286" t="s">
        <v>71</v>
      </c>
      <c r="B647" s="3287" t="s">
        <v>1032</v>
      </c>
      <c r="C647" s="3278">
        <v>31.212110298795931</v>
      </c>
      <c r="D647" s="3270">
        <v>170.98234114836558</v>
      </c>
      <c r="E647" s="3270">
        <v>0</v>
      </c>
      <c r="F647" s="3270">
        <v>12.136709043108725</v>
      </c>
      <c r="G647" s="3271">
        <v>214.33116049027024</v>
      </c>
      <c r="H647" s="3275">
        <v>249.90096157309034</v>
      </c>
      <c r="I647" s="3275">
        <v>15.005822259036506</v>
      </c>
      <c r="J647" s="3270">
        <v>0</v>
      </c>
      <c r="K647" s="3270">
        <v>0</v>
      </c>
      <c r="L647" s="3271"/>
      <c r="M647" s="3273">
        <f t="shared" ref="M647:M690" si="68">G647+H647+I647+J647+K647</f>
        <v>479.23794432239708</v>
      </c>
    </row>
    <row r="648" spans="1:13" ht="15.75" hidden="1" x14ac:dyDescent="0.25">
      <c r="A648" s="1085" t="s">
        <v>549</v>
      </c>
      <c r="B648" s="805" t="s">
        <v>1040</v>
      </c>
      <c r="C648" s="549">
        <v>142.60609578638508</v>
      </c>
      <c r="D648" s="593">
        <v>141.27020730126671</v>
      </c>
      <c r="E648" s="594">
        <v>0</v>
      </c>
      <c r="F648" s="595">
        <v>0</v>
      </c>
      <c r="G648" s="566">
        <v>283.87630308765176</v>
      </c>
      <c r="H648" s="1057">
        <v>201.97361620241892</v>
      </c>
      <c r="I648" s="1058">
        <v>0</v>
      </c>
      <c r="J648" s="597">
        <v>0</v>
      </c>
      <c r="K648" s="595">
        <v>0</v>
      </c>
      <c r="L648" s="571"/>
      <c r="M648" s="223">
        <f t="shared" si="68"/>
        <v>485.84991929007072</v>
      </c>
    </row>
    <row r="649" spans="1:13" s="3274" customFormat="1" ht="15.75" hidden="1" x14ac:dyDescent="0.25">
      <c r="A649" s="3286" t="s">
        <v>68</v>
      </c>
      <c r="B649" s="3287" t="s">
        <v>1032</v>
      </c>
      <c r="C649" s="3278">
        <v>28.81117873735009</v>
      </c>
      <c r="D649" s="3270">
        <v>243.33441375253597</v>
      </c>
      <c r="E649" s="3270">
        <v>0</v>
      </c>
      <c r="F649" s="3270">
        <v>16.326334617831719</v>
      </c>
      <c r="G649" s="3271">
        <v>288.47192710771776</v>
      </c>
      <c r="H649" s="3275">
        <v>187.81287139410091</v>
      </c>
      <c r="I649" s="3275">
        <v>11.272373680988222</v>
      </c>
      <c r="J649" s="3270">
        <v>0</v>
      </c>
      <c r="K649" s="3270">
        <v>0</v>
      </c>
      <c r="L649" s="3271"/>
      <c r="M649" s="3273">
        <f t="shared" si="68"/>
        <v>487.55717218280688</v>
      </c>
    </row>
    <row r="650" spans="1:13" s="3274" customFormat="1" ht="15.75" hidden="1" x14ac:dyDescent="0.25">
      <c r="A650" s="3286" t="s">
        <v>940</v>
      </c>
      <c r="B650" s="3287" t="s">
        <v>1040</v>
      </c>
      <c r="C650" s="3278">
        <v>87.214433957013028</v>
      </c>
      <c r="D650" s="3270">
        <v>149.74673780802965</v>
      </c>
      <c r="E650" s="3270">
        <v>0</v>
      </c>
      <c r="F650" s="3270">
        <v>0</v>
      </c>
      <c r="G650" s="3271">
        <v>236.96117176504268</v>
      </c>
      <c r="H650" s="3275">
        <v>252.06943439435747</v>
      </c>
      <c r="I650" s="3275">
        <v>0</v>
      </c>
      <c r="J650" s="3270">
        <v>0</v>
      </c>
      <c r="K650" s="3270">
        <v>0</v>
      </c>
      <c r="L650" s="3271"/>
      <c r="M650" s="3273">
        <f t="shared" si="68"/>
        <v>489.03060615940012</v>
      </c>
    </row>
    <row r="651" spans="1:13" s="3274" customFormat="1" ht="15.75" hidden="1" x14ac:dyDescent="0.25">
      <c r="A651" s="3295" t="s">
        <v>91</v>
      </c>
      <c r="B651" s="3287" t="s">
        <v>1056</v>
      </c>
      <c r="C651" s="3278">
        <v>47.44240765416982</v>
      </c>
      <c r="D651" s="3270">
        <v>135.65263322169002</v>
      </c>
      <c r="E651" s="3270">
        <v>0</v>
      </c>
      <c r="F651" s="3270">
        <v>43.937047574458887</v>
      </c>
      <c r="G651" s="3271">
        <v>227.03208845031872</v>
      </c>
      <c r="H651" s="3275">
        <v>166.86474352048594</v>
      </c>
      <c r="I651" s="3275">
        <v>40.047538444916626</v>
      </c>
      <c r="J651" s="3270">
        <v>47.44240765416982</v>
      </c>
      <c r="K651" s="3270">
        <v>11.380415601253286</v>
      </c>
      <c r="L651" s="3271"/>
      <c r="M651" s="3273">
        <f t="shared" si="68"/>
        <v>492.76719367114441</v>
      </c>
    </row>
    <row r="652" spans="1:13" s="3274" customFormat="1" ht="15.75" hidden="1" x14ac:dyDescent="0.25">
      <c r="A652" s="3295" t="s">
        <v>92</v>
      </c>
      <c r="B652" s="3287" t="s">
        <v>1056</v>
      </c>
      <c r="C652" s="3278">
        <v>47.44240765416982</v>
      </c>
      <c r="D652" s="3270">
        <v>135.65263322169002</v>
      </c>
      <c r="E652" s="3270">
        <v>0</v>
      </c>
      <c r="F652" s="3270">
        <v>43.937047574458887</v>
      </c>
      <c r="G652" s="3271">
        <v>227.03208845031872</v>
      </c>
      <c r="H652" s="3275">
        <v>166.86474352048594</v>
      </c>
      <c r="I652" s="3275">
        <v>40.047538444916626</v>
      </c>
      <c r="J652" s="3270">
        <v>47.44240765416982</v>
      </c>
      <c r="K652" s="3270">
        <v>11.380415601253286</v>
      </c>
      <c r="L652" s="3271"/>
      <c r="M652" s="3273">
        <f t="shared" si="68"/>
        <v>492.76719367114441</v>
      </c>
    </row>
    <row r="653" spans="1:13" ht="15.75" hidden="1" x14ac:dyDescent="0.25">
      <c r="A653" s="797" t="s">
        <v>195</v>
      </c>
      <c r="B653" s="805" t="s">
        <v>1056</v>
      </c>
      <c r="C653" s="549">
        <v>47.44240765416982</v>
      </c>
      <c r="D653" s="593">
        <v>135.65263322169002</v>
      </c>
      <c r="E653" s="594">
        <v>0</v>
      </c>
      <c r="F653" s="595">
        <v>43.937047574458887</v>
      </c>
      <c r="G653" s="566">
        <v>227.03208845031872</v>
      </c>
      <c r="H653" s="1057">
        <v>166.86474352048594</v>
      </c>
      <c r="I653" s="1058">
        <v>40.047538444916626</v>
      </c>
      <c r="J653" s="597">
        <v>47.44240765416982</v>
      </c>
      <c r="K653" s="595">
        <v>11.380415601253286</v>
      </c>
      <c r="L653" s="571"/>
      <c r="M653" s="223">
        <f t="shared" si="68"/>
        <v>492.76719367114441</v>
      </c>
    </row>
    <row r="654" spans="1:13" s="3285" customFormat="1" ht="15.75" hidden="1" x14ac:dyDescent="0.25">
      <c r="A654" s="3280" t="s">
        <v>547</v>
      </c>
      <c r="B654" s="3281" t="s">
        <v>1030</v>
      </c>
      <c r="C654" s="550">
        <v>44.417233886748058</v>
      </c>
      <c r="D654" s="593">
        <v>178.86940132771514</v>
      </c>
      <c r="E654" s="593">
        <v>0</v>
      </c>
      <c r="F654" s="593">
        <v>22.244630916795717</v>
      </c>
      <c r="G654" s="3282">
        <v>245.53126613125892</v>
      </c>
      <c r="H654" s="3283">
        <v>231.68989567952366</v>
      </c>
      <c r="I654" s="3283">
        <v>23.192998883566823</v>
      </c>
      <c r="J654" s="593">
        <v>0</v>
      </c>
      <c r="K654" s="593">
        <v>0</v>
      </c>
      <c r="L654" s="3282"/>
      <c r="M654" s="3284">
        <f t="shared" si="68"/>
        <v>500.41416069434939</v>
      </c>
    </row>
    <row r="655" spans="1:13" s="3274" customFormat="1" ht="15.75" hidden="1" x14ac:dyDescent="0.25">
      <c r="A655" s="3294" t="s">
        <v>939</v>
      </c>
      <c r="B655" s="3287" t="s">
        <v>1062</v>
      </c>
      <c r="C655" s="3278">
        <v>19.723652777277582</v>
      </c>
      <c r="D655" s="3278">
        <v>203.35890325446272</v>
      </c>
      <c r="E655" s="3278">
        <v>0</v>
      </c>
      <c r="F655" s="3278">
        <v>15.606055149397966</v>
      </c>
      <c r="G655" s="3271">
        <v>238.68861118113827</v>
      </c>
      <c r="H655" s="3275">
        <v>265.30293753976542</v>
      </c>
      <c r="I655" s="3275">
        <v>0</v>
      </c>
      <c r="J655" s="3278">
        <v>0</v>
      </c>
      <c r="K655" s="3278">
        <v>0</v>
      </c>
      <c r="L655" s="3271"/>
      <c r="M655" s="3273">
        <f t="shared" si="68"/>
        <v>503.99154872090367</v>
      </c>
    </row>
    <row r="656" spans="1:13" ht="15.75" hidden="1" x14ac:dyDescent="0.25">
      <c r="A656" s="1087" t="s">
        <v>879</v>
      </c>
      <c r="B656" s="805" t="s">
        <v>1050</v>
      </c>
      <c r="C656" s="549">
        <v>79.230741527712752</v>
      </c>
      <c r="D656" s="593">
        <v>108.04192026506284</v>
      </c>
      <c r="E656" s="594">
        <v>0</v>
      </c>
      <c r="F656" s="595">
        <v>9.36363308963878</v>
      </c>
      <c r="G656" s="566">
        <v>196.63629488241435</v>
      </c>
      <c r="H656" s="1057">
        <v>265.36296082880159</v>
      </c>
      <c r="I656" s="1058">
        <v>0</v>
      </c>
      <c r="J656" s="597">
        <v>43.216768106025135</v>
      </c>
      <c r="K656" s="595">
        <v>0</v>
      </c>
      <c r="L656" s="571"/>
      <c r="M656" s="223">
        <f t="shared" si="68"/>
        <v>505.21602381724108</v>
      </c>
    </row>
    <row r="657" spans="1:13" s="3274" customFormat="1" ht="15.75" hidden="1" x14ac:dyDescent="0.25">
      <c r="A657" s="3294" t="s">
        <v>161</v>
      </c>
      <c r="B657" s="3287" t="s">
        <v>1137</v>
      </c>
      <c r="C657" s="3278">
        <v>28.735042384187519</v>
      </c>
      <c r="D657" s="3278">
        <v>210.38156031280147</v>
      </c>
      <c r="E657" s="3278">
        <v>0</v>
      </c>
      <c r="F657" s="3278">
        <v>19.12932821575912</v>
      </c>
      <c r="G657" s="3271">
        <v>258.24593091274812</v>
      </c>
      <c r="H657" s="3275">
        <v>246.30036329303587</v>
      </c>
      <c r="I657" s="3275">
        <v>6.1575090823258964</v>
      </c>
      <c r="J657" s="3278">
        <v>0</v>
      </c>
      <c r="K657" s="3278">
        <v>0</v>
      </c>
      <c r="L657" s="3271"/>
      <c r="M657" s="3273">
        <f t="shared" si="68"/>
        <v>510.70380328810984</v>
      </c>
    </row>
    <row r="658" spans="1:13" s="3303" customFormat="1" ht="15.75" x14ac:dyDescent="0.25">
      <c r="A658" s="3297" t="s">
        <v>169</v>
      </c>
      <c r="B658" s="3298" t="s">
        <v>1149</v>
      </c>
      <c r="C658" s="3299">
        <v>32.530543842577572</v>
      </c>
      <c r="D658" s="3299">
        <v>182.18185749810792</v>
      </c>
      <c r="E658" s="3299">
        <v>0</v>
      </c>
      <c r="F658" s="3299">
        <v>0</v>
      </c>
      <c r="G658" s="3300">
        <v>214.71240134068549</v>
      </c>
      <c r="H658" s="3301">
        <v>301.15417883014379</v>
      </c>
      <c r="I658" s="3301">
        <v>0</v>
      </c>
      <c r="J658" s="3299">
        <v>0</v>
      </c>
      <c r="K658" s="3299">
        <v>0</v>
      </c>
      <c r="L658" s="3300"/>
      <c r="M658" s="3302">
        <f t="shared" si="68"/>
        <v>515.86658017082925</v>
      </c>
    </row>
    <row r="659" spans="1:13" s="3274" customFormat="1" ht="15.75" hidden="1" x14ac:dyDescent="0.25">
      <c r="A659" s="3294" t="s">
        <v>160</v>
      </c>
      <c r="B659" s="3287" t="s">
        <v>1137</v>
      </c>
      <c r="C659" s="3278">
        <v>114.94016953675008</v>
      </c>
      <c r="D659" s="3278">
        <v>110.83516348186615</v>
      </c>
      <c r="E659" s="3278">
        <v>0</v>
      </c>
      <c r="F659" s="3278">
        <v>18.0620266414893</v>
      </c>
      <c r="G659" s="3271">
        <v>243.83735966010551</v>
      </c>
      <c r="H659" s="3275">
        <v>271.95665113606043</v>
      </c>
      <c r="I659" s="3275">
        <v>6.804047535970116</v>
      </c>
      <c r="J659" s="3278">
        <v>0</v>
      </c>
      <c r="K659" s="3278">
        <v>0</v>
      </c>
      <c r="L659" s="3271"/>
      <c r="M659" s="3273">
        <f t="shared" si="68"/>
        <v>522.59805833213602</v>
      </c>
    </row>
    <row r="660" spans="1:13" ht="15.75" hidden="1" x14ac:dyDescent="0.25">
      <c r="A660" s="1087" t="s">
        <v>94</v>
      </c>
      <c r="B660" s="805" t="s">
        <v>1056</v>
      </c>
      <c r="C660" s="549">
        <v>96.817565215303546</v>
      </c>
      <c r="D660" s="593">
        <v>138.05356478313584</v>
      </c>
      <c r="E660" s="594">
        <v>0</v>
      </c>
      <c r="F660" s="595">
        <v>56.373873062748345</v>
      </c>
      <c r="G660" s="566">
        <v>291.24500306118773</v>
      </c>
      <c r="H660" s="1057">
        <v>199.2773196000048</v>
      </c>
      <c r="I660" s="1058">
        <v>47.826556704001156</v>
      </c>
      <c r="J660" s="597">
        <v>0</v>
      </c>
      <c r="K660" s="595">
        <v>0</v>
      </c>
      <c r="L660" s="571"/>
      <c r="M660" s="223">
        <f t="shared" si="68"/>
        <v>538.34887936519374</v>
      </c>
    </row>
    <row r="661" spans="1:13" ht="15.75" hidden="1" x14ac:dyDescent="0.25">
      <c r="A661" s="502" t="s">
        <v>186</v>
      </c>
      <c r="B661" s="804" t="s">
        <v>1106</v>
      </c>
      <c r="C661" s="549">
        <v>84.560809594122517</v>
      </c>
      <c r="D661" s="550">
        <v>55.401495780362779</v>
      </c>
      <c r="E661" s="551">
        <v>0</v>
      </c>
      <c r="F661" s="560">
        <v>8.403260465060443</v>
      </c>
      <c r="G661" s="566">
        <v>148.36556583954575</v>
      </c>
      <c r="H661" s="1057">
        <v>347.46281557244208</v>
      </c>
      <c r="I661" s="1058">
        <v>0</v>
      </c>
      <c r="J661" s="569">
        <v>40.335650232290128</v>
      </c>
      <c r="K661" s="560">
        <v>2.4249408770602994</v>
      </c>
      <c r="L661" s="571"/>
      <c r="M661" s="223">
        <f t="shared" si="68"/>
        <v>538.58897252133829</v>
      </c>
    </row>
    <row r="662" spans="1:13" ht="15.75" hidden="1" x14ac:dyDescent="0.25">
      <c r="A662" s="1087" t="s">
        <v>93</v>
      </c>
      <c r="B662" s="805" t="s">
        <v>1056</v>
      </c>
      <c r="C662" s="549">
        <v>50.347534843519284</v>
      </c>
      <c r="D662" s="593">
        <v>147.65729102891922</v>
      </c>
      <c r="E662" s="594">
        <v>0</v>
      </c>
      <c r="F662" s="595">
        <v>47.526440258820422</v>
      </c>
      <c r="G662" s="566">
        <v>245.53126613125895</v>
      </c>
      <c r="H662" s="1057">
        <v>192.07452491566727</v>
      </c>
      <c r="I662" s="1058">
        <v>46.097885979760143</v>
      </c>
      <c r="J662" s="597">
        <v>50.347534843519284</v>
      </c>
      <c r="K662" s="595">
        <v>12.08869041187981</v>
      </c>
      <c r="L662" s="571"/>
      <c r="M662" s="223">
        <f t="shared" si="68"/>
        <v>546.13990228208547</v>
      </c>
    </row>
    <row r="663" spans="1:13" s="3274" customFormat="1" ht="15.75" x14ac:dyDescent="0.25">
      <c r="A663" s="3294" t="s">
        <v>166</v>
      </c>
      <c r="B663" s="3287" t="s">
        <v>1149</v>
      </c>
      <c r="C663" s="3278">
        <v>46.559087468915564</v>
      </c>
      <c r="D663" s="3278">
        <v>173.11330954697806</v>
      </c>
      <c r="E663" s="3278">
        <v>0</v>
      </c>
      <c r="F663" s="3278">
        <v>0</v>
      </c>
      <c r="G663" s="3271">
        <v>219.67239701589364</v>
      </c>
      <c r="H663" s="3275">
        <v>332.88733917180235</v>
      </c>
      <c r="I663" s="3275">
        <v>0</v>
      </c>
      <c r="J663" s="3278">
        <v>0</v>
      </c>
      <c r="K663" s="3278">
        <v>0</v>
      </c>
      <c r="L663" s="3271"/>
      <c r="M663" s="3273">
        <f t="shared" si="68"/>
        <v>552.55973618769599</v>
      </c>
    </row>
    <row r="664" spans="1:13" ht="15.75" hidden="1" x14ac:dyDescent="0.25">
      <c r="A664" s="1090" t="s">
        <v>67</v>
      </c>
      <c r="B664" s="805" t="s">
        <v>1032</v>
      </c>
      <c r="C664" s="549">
        <v>24.009315614458409</v>
      </c>
      <c r="D664" s="593">
        <v>207.12836580593267</v>
      </c>
      <c r="E664" s="594">
        <v>0</v>
      </c>
      <c r="F664" s="595">
        <v>13.865379767349731</v>
      </c>
      <c r="G664" s="566">
        <v>245.00306118774083</v>
      </c>
      <c r="H664" s="1057">
        <v>296.97122483523606</v>
      </c>
      <c r="I664" s="1058">
        <v>17.81491218592814</v>
      </c>
      <c r="J664" s="597">
        <v>0</v>
      </c>
      <c r="K664" s="595">
        <v>0</v>
      </c>
      <c r="L664" s="571"/>
      <c r="M664" s="223">
        <f t="shared" si="68"/>
        <v>559.78919820890508</v>
      </c>
    </row>
    <row r="665" spans="1:13" ht="15.75" hidden="1" x14ac:dyDescent="0.25">
      <c r="A665" s="1090" t="s">
        <v>69</v>
      </c>
      <c r="B665" s="805" t="s">
        <v>1032</v>
      </c>
      <c r="C665" s="549">
        <v>24.009315614458409</v>
      </c>
      <c r="D665" s="593">
        <v>207.12836580593267</v>
      </c>
      <c r="E665" s="594">
        <v>0</v>
      </c>
      <c r="F665" s="595">
        <v>13.865379767349731</v>
      </c>
      <c r="G665" s="566">
        <v>245.00306118774083</v>
      </c>
      <c r="H665" s="1057">
        <v>296.97122483523606</v>
      </c>
      <c r="I665" s="1058">
        <v>17.81491218592814</v>
      </c>
      <c r="J665" s="597">
        <v>0</v>
      </c>
      <c r="K665" s="595">
        <v>0</v>
      </c>
      <c r="L665" s="571"/>
      <c r="M665" s="223">
        <f t="shared" si="68"/>
        <v>559.78919820890508</v>
      </c>
    </row>
    <row r="666" spans="1:13" s="3274" customFormat="1" ht="15.75" hidden="1" x14ac:dyDescent="0.25">
      <c r="A666" s="3288" t="s">
        <v>70</v>
      </c>
      <c r="B666" s="3287" t="s">
        <v>1032</v>
      </c>
      <c r="C666" s="3278">
        <v>24.009315614458409</v>
      </c>
      <c r="D666" s="3270">
        <v>207.12836580593267</v>
      </c>
      <c r="E666" s="3270">
        <v>0</v>
      </c>
      <c r="F666" s="3270">
        <v>13.865379767349731</v>
      </c>
      <c r="G666" s="3271">
        <v>245.00306118774083</v>
      </c>
      <c r="H666" s="3275">
        <v>296.97122483523606</v>
      </c>
      <c r="I666" s="3275">
        <v>17.81491218592814</v>
      </c>
      <c r="J666" s="3270">
        <v>0</v>
      </c>
      <c r="K666" s="3270">
        <v>0</v>
      </c>
      <c r="L666" s="3271"/>
      <c r="M666" s="3273">
        <f t="shared" si="68"/>
        <v>559.78919820890508</v>
      </c>
    </row>
    <row r="667" spans="1:13" ht="15.75" hidden="1" x14ac:dyDescent="0.25">
      <c r="A667" s="1087" t="s">
        <v>635</v>
      </c>
      <c r="B667" s="805" t="s">
        <v>1058</v>
      </c>
      <c r="C667" s="549">
        <v>14.837757049735297</v>
      </c>
      <c r="D667" s="593">
        <v>194.47545647711311</v>
      </c>
      <c r="E667" s="594">
        <v>45.61769966747098</v>
      </c>
      <c r="F667" s="595">
        <v>14.021440318843711</v>
      </c>
      <c r="G667" s="566">
        <v>268.95235351316313</v>
      </c>
      <c r="H667" s="1057">
        <v>244.89501926747576</v>
      </c>
      <c r="I667" s="1058">
        <v>26.986470750651254</v>
      </c>
      <c r="J667" s="597">
        <v>25.089734817109036</v>
      </c>
      <c r="K667" s="595">
        <v>0</v>
      </c>
      <c r="L667" s="571"/>
      <c r="M667" s="223">
        <f t="shared" si="68"/>
        <v>565.92357834839925</v>
      </c>
    </row>
    <row r="668" spans="1:13" s="3274" customFormat="1" ht="15.75" x14ac:dyDescent="0.25">
      <c r="A668" s="3294" t="s">
        <v>168</v>
      </c>
      <c r="B668" s="3287" t="s">
        <v>1149</v>
      </c>
      <c r="C668" s="3278">
        <v>43.031679100443291</v>
      </c>
      <c r="D668" s="3278">
        <v>238.13385230835763</v>
      </c>
      <c r="E668" s="3278">
        <v>0</v>
      </c>
      <c r="F668" s="3278">
        <v>0</v>
      </c>
      <c r="G668" s="3271">
        <v>281.16553140880092</v>
      </c>
      <c r="H668" s="3275">
        <v>291.50448697156446</v>
      </c>
      <c r="I668" s="3275">
        <v>0</v>
      </c>
      <c r="J668" s="3278">
        <v>0</v>
      </c>
      <c r="K668" s="3278">
        <v>0</v>
      </c>
      <c r="L668" s="3271"/>
      <c r="M668" s="3273">
        <f t="shared" si="68"/>
        <v>572.67001838036538</v>
      </c>
    </row>
    <row r="669" spans="1:13" ht="15.75" hidden="1" x14ac:dyDescent="0.25">
      <c r="A669" s="1087" t="s">
        <v>159</v>
      </c>
      <c r="B669" s="805" t="s">
        <v>1135</v>
      </c>
      <c r="C669" s="549">
        <v>285.5290682071348</v>
      </c>
      <c r="D669" s="550">
        <v>77.815861936279234</v>
      </c>
      <c r="E669" s="551">
        <v>0</v>
      </c>
      <c r="F669" s="560">
        <v>90.836232535853512</v>
      </c>
      <c r="G669" s="566">
        <v>454.18116267926757</v>
      </c>
      <c r="H669" s="1057">
        <v>104.77568811892715</v>
      </c>
      <c r="I669" s="1058">
        <v>26.193922029731787</v>
      </c>
      <c r="J669" s="569">
        <v>0</v>
      </c>
      <c r="K669" s="560">
        <v>0</v>
      </c>
      <c r="L669" s="571"/>
      <c r="M669" s="223">
        <f t="shared" si="68"/>
        <v>585.15077282792652</v>
      </c>
    </row>
    <row r="670" spans="1:13" ht="15.75" hidden="1" x14ac:dyDescent="0.25">
      <c r="A670" s="1087" t="s">
        <v>163</v>
      </c>
      <c r="B670" s="805" t="s">
        <v>1137</v>
      </c>
      <c r="C670" s="549">
        <v>55.417581740933073</v>
      </c>
      <c r="D670" s="550">
        <v>238.09035118326801</v>
      </c>
      <c r="E670" s="551">
        <v>0</v>
      </c>
      <c r="F670" s="560">
        <v>23.480634633936084</v>
      </c>
      <c r="G670" s="566">
        <v>316.98856755813716</v>
      </c>
      <c r="H670" s="1057">
        <v>262.54592475523901</v>
      </c>
      <c r="I670" s="1058">
        <v>6.56800968781429</v>
      </c>
      <c r="J670" s="569">
        <v>0</v>
      </c>
      <c r="K670" s="560">
        <v>0</v>
      </c>
      <c r="L670" s="571"/>
      <c r="M670" s="223">
        <f t="shared" si="68"/>
        <v>586.10250200119049</v>
      </c>
    </row>
    <row r="671" spans="1:13" ht="15.75" hidden="1" x14ac:dyDescent="0.25">
      <c r="A671" s="502" t="s">
        <v>182</v>
      </c>
      <c r="B671" s="804" t="s">
        <v>1106</v>
      </c>
      <c r="C671" s="549">
        <v>50.599632657471098</v>
      </c>
      <c r="D671" s="550">
        <v>141.65496212530462</v>
      </c>
      <c r="E671" s="551">
        <v>0</v>
      </c>
      <c r="F671" s="560">
        <v>11.536476152747264</v>
      </c>
      <c r="G671" s="566">
        <v>203.79107093552298</v>
      </c>
      <c r="H671" s="1057">
        <v>343.2731899977191</v>
      </c>
      <c r="I671" s="1058">
        <v>0</v>
      </c>
      <c r="J671" s="569">
        <v>40.335650232290128</v>
      </c>
      <c r="K671" s="560">
        <v>2.4249408770602994</v>
      </c>
      <c r="L671" s="571"/>
      <c r="M671" s="223">
        <f t="shared" si="68"/>
        <v>589.82485204259251</v>
      </c>
    </row>
    <row r="672" spans="1:13" ht="15.75" hidden="1" x14ac:dyDescent="0.25">
      <c r="A672" s="1087" t="s">
        <v>156</v>
      </c>
      <c r="B672" s="805" t="s">
        <v>1135</v>
      </c>
      <c r="C672" s="549">
        <v>299.37661529185851</v>
      </c>
      <c r="D672" s="550">
        <v>88.109613751472068</v>
      </c>
      <c r="E672" s="551">
        <v>0</v>
      </c>
      <c r="F672" s="560">
        <v>96.871557260832645</v>
      </c>
      <c r="G672" s="566">
        <v>484.35778630416326</v>
      </c>
      <c r="H672" s="1057">
        <v>90.805596369736861</v>
      </c>
      <c r="I672" s="1058">
        <v>22.701399092434215</v>
      </c>
      <c r="J672" s="569">
        <v>0</v>
      </c>
      <c r="K672" s="560">
        <v>0</v>
      </c>
      <c r="L672" s="571"/>
      <c r="M672" s="223">
        <f t="shared" si="68"/>
        <v>597.86478176633432</v>
      </c>
    </row>
    <row r="673" spans="1:13" ht="15.75" hidden="1" x14ac:dyDescent="0.25">
      <c r="A673" s="479" t="s">
        <v>633</v>
      </c>
      <c r="B673" s="805" t="s">
        <v>1058</v>
      </c>
      <c r="C673" s="549">
        <v>36.458145760555098</v>
      </c>
      <c r="D673" s="593">
        <v>181.27033288916098</v>
      </c>
      <c r="E673" s="594">
        <v>62.424220597591862</v>
      </c>
      <c r="F673" s="595">
        <v>15.401975966675069</v>
      </c>
      <c r="G673" s="566">
        <v>295.55467521398299</v>
      </c>
      <c r="H673" s="1057">
        <v>241.29362192530698</v>
      </c>
      <c r="I673" s="1058">
        <v>27.766773508121148</v>
      </c>
      <c r="J673" s="597">
        <v>36.013973421687616</v>
      </c>
      <c r="K673" s="595">
        <v>0</v>
      </c>
      <c r="L673" s="571"/>
      <c r="M673" s="223">
        <f t="shared" si="68"/>
        <v>600.62904406909877</v>
      </c>
    </row>
    <row r="674" spans="1:13" ht="15.75" hidden="1" x14ac:dyDescent="0.25">
      <c r="A674" s="479" t="s">
        <v>95</v>
      </c>
      <c r="B674" s="805" t="s">
        <v>1056</v>
      </c>
      <c r="C674" s="549">
        <v>129.72233226491878</v>
      </c>
      <c r="D674" s="593">
        <v>169.42173563342575</v>
      </c>
      <c r="E674" s="594">
        <v>0</v>
      </c>
      <c r="F674" s="595">
        <v>71.799858345037876</v>
      </c>
      <c r="G674" s="566">
        <v>370.94392624338241</v>
      </c>
      <c r="H674" s="1057">
        <v>185.88012148713702</v>
      </c>
      <c r="I674" s="1058">
        <v>44.609308411663719</v>
      </c>
      <c r="J674" s="597">
        <v>0</v>
      </c>
      <c r="K674" s="595">
        <v>0</v>
      </c>
      <c r="L674" s="571"/>
      <c r="M674" s="223">
        <f t="shared" si="68"/>
        <v>601.43335614218313</v>
      </c>
    </row>
    <row r="675" spans="1:13" ht="15.75" hidden="1" x14ac:dyDescent="0.25">
      <c r="A675" s="1085" t="s">
        <v>216</v>
      </c>
      <c r="B675" s="805" t="s">
        <v>1032</v>
      </c>
      <c r="C675" s="549">
        <v>31.212110298795931</v>
      </c>
      <c r="D675" s="593">
        <v>249.60084512790959</v>
      </c>
      <c r="E675" s="594">
        <v>0</v>
      </c>
      <c r="F675" s="595">
        <v>16.842534903542575</v>
      </c>
      <c r="G675" s="566">
        <v>297.65549033024809</v>
      </c>
      <c r="H675" s="1057">
        <v>289.33626246983829</v>
      </c>
      <c r="I675" s="1058">
        <v>17.370739847060658</v>
      </c>
      <c r="J675" s="597">
        <v>0</v>
      </c>
      <c r="K675" s="595">
        <v>0</v>
      </c>
      <c r="L675" s="571"/>
      <c r="M675" s="223">
        <f t="shared" si="68"/>
        <v>604.36249264714706</v>
      </c>
    </row>
    <row r="676" spans="1:13" ht="15.75" hidden="1" x14ac:dyDescent="0.25">
      <c r="A676" s="1085" t="s">
        <v>629</v>
      </c>
      <c r="B676" s="805" t="s">
        <v>1032</v>
      </c>
      <c r="C676" s="549">
        <v>62.904406909881033</v>
      </c>
      <c r="D676" s="593">
        <v>267.34372936699435</v>
      </c>
      <c r="E676" s="594">
        <v>3.1092063720723639</v>
      </c>
      <c r="F676" s="595">
        <v>0</v>
      </c>
      <c r="G676" s="566">
        <v>333.35734264894774</v>
      </c>
      <c r="H676" s="1057">
        <v>268.90433488193418</v>
      </c>
      <c r="I676" s="1058">
        <v>16.134260092916051</v>
      </c>
      <c r="J676" s="597">
        <v>0</v>
      </c>
      <c r="K676" s="595">
        <v>0</v>
      </c>
      <c r="L676" s="571"/>
      <c r="M676" s="223">
        <f t="shared" si="68"/>
        <v>618.39593762379798</v>
      </c>
    </row>
    <row r="677" spans="1:13" s="3274" customFormat="1" ht="15.75" hidden="1" x14ac:dyDescent="0.25">
      <c r="A677" s="3286" t="s">
        <v>548</v>
      </c>
      <c r="B677" s="3287" t="s">
        <v>1040</v>
      </c>
      <c r="C677" s="3278">
        <v>148.76072487853753</v>
      </c>
      <c r="D677" s="3270">
        <v>138.29626507844367</v>
      </c>
      <c r="E677" s="3270">
        <v>0</v>
      </c>
      <c r="F677" s="3270">
        <v>0</v>
      </c>
      <c r="G677" s="3271">
        <v>287.05698995698117</v>
      </c>
      <c r="H677" s="3275">
        <v>346.69486875690808</v>
      </c>
      <c r="I677" s="3275">
        <v>0</v>
      </c>
      <c r="J677" s="3270">
        <v>0</v>
      </c>
      <c r="K677" s="3270">
        <v>0</v>
      </c>
      <c r="L677" s="3271"/>
      <c r="M677" s="3273">
        <f t="shared" si="68"/>
        <v>633.75185871388931</v>
      </c>
    </row>
    <row r="678" spans="1:13" ht="15.75" hidden="1" x14ac:dyDescent="0.25">
      <c r="A678" s="1090" t="s">
        <v>72</v>
      </c>
      <c r="B678" s="805" t="s">
        <v>1032</v>
      </c>
      <c r="C678" s="549">
        <v>67.430162903206437</v>
      </c>
      <c r="D678" s="593">
        <v>286.5871958319828</v>
      </c>
      <c r="E678" s="594">
        <v>3.1092063720723639</v>
      </c>
      <c r="F678" s="595">
        <v>0</v>
      </c>
      <c r="G678" s="566">
        <v>357.12656510726163</v>
      </c>
      <c r="H678" s="1057">
        <v>268.90433488193418</v>
      </c>
      <c r="I678" s="1058">
        <v>16.134260092916051</v>
      </c>
      <c r="J678" s="597">
        <v>0</v>
      </c>
      <c r="K678" s="595">
        <v>0</v>
      </c>
      <c r="L678" s="571"/>
      <c r="M678" s="223">
        <f t="shared" si="68"/>
        <v>642.16516008211192</v>
      </c>
    </row>
    <row r="679" spans="1:13" ht="15.75" hidden="1" x14ac:dyDescent="0.25">
      <c r="A679" s="1087" t="s">
        <v>98</v>
      </c>
      <c r="B679" s="805" t="s">
        <v>1058</v>
      </c>
      <c r="C679" s="549">
        <v>27.178545275566918</v>
      </c>
      <c r="D679" s="593">
        <v>141.65496212530462</v>
      </c>
      <c r="E679" s="594">
        <v>60.023289036146025</v>
      </c>
      <c r="F679" s="595">
        <v>12.604890697590665</v>
      </c>
      <c r="G679" s="566">
        <v>241.46168713460824</v>
      </c>
      <c r="H679" s="1057">
        <v>340.93228172530939</v>
      </c>
      <c r="I679" s="1058">
        <v>37.670616199085245</v>
      </c>
      <c r="J679" s="597">
        <v>36.013973421687616</v>
      </c>
      <c r="K679" s="595">
        <v>0</v>
      </c>
      <c r="L679" s="571"/>
      <c r="M679" s="223">
        <f t="shared" si="68"/>
        <v>656.0785584806905</v>
      </c>
    </row>
    <row r="680" spans="1:13" ht="15.75" hidden="1" x14ac:dyDescent="0.25">
      <c r="A680" s="502" t="s">
        <v>183</v>
      </c>
      <c r="B680" s="804" t="s">
        <v>1106</v>
      </c>
      <c r="C680" s="549">
        <v>70.827481062652311</v>
      </c>
      <c r="D680" s="550">
        <v>108.04192026506284</v>
      </c>
      <c r="E680" s="551">
        <v>9.4116517208676953</v>
      </c>
      <c r="F680" s="560">
        <v>11.296382996602681</v>
      </c>
      <c r="G680" s="566">
        <v>199.57743604518552</v>
      </c>
      <c r="H680" s="1057">
        <v>420.03097201714263</v>
      </c>
      <c r="I680" s="1058">
        <v>0</v>
      </c>
      <c r="J680" s="569">
        <v>40.335650232290128</v>
      </c>
      <c r="K680" s="560">
        <v>2.4249408770602994</v>
      </c>
      <c r="L680" s="571"/>
      <c r="M680" s="223">
        <f t="shared" si="68"/>
        <v>662.36899917167864</v>
      </c>
    </row>
    <row r="681" spans="1:13" s="3274" customFormat="1" ht="15.75" hidden="1" x14ac:dyDescent="0.25">
      <c r="A681" s="3294" t="s">
        <v>603</v>
      </c>
      <c r="B681" s="3287" t="s">
        <v>1137</v>
      </c>
      <c r="C681" s="3278">
        <v>139.57020586605367</v>
      </c>
      <c r="D681" s="3278">
        <v>197.04029063442869</v>
      </c>
      <c r="E681" s="3278">
        <v>0</v>
      </c>
      <c r="F681" s="3278">
        <v>26.928839720038585</v>
      </c>
      <c r="G681" s="3271">
        <v>363.53933622052091</v>
      </c>
      <c r="H681" s="3275">
        <v>299.27546643131302</v>
      </c>
      <c r="I681" s="3275">
        <v>7.4813735350259645</v>
      </c>
      <c r="J681" s="3278">
        <v>0</v>
      </c>
      <c r="K681" s="3278">
        <v>0</v>
      </c>
      <c r="L681" s="3271"/>
      <c r="M681" s="3273">
        <f t="shared" si="68"/>
        <v>670.29617618685984</v>
      </c>
    </row>
    <row r="682" spans="1:13" ht="15.75" hidden="1" x14ac:dyDescent="0.25">
      <c r="A682" s="1090" t="s">
        <v>722</v>
      </c>
      <c r="B682" s="805" t="s">
        <v>1040</v>
      </c>
      <c r="C682" s="549">
        <v>190.84121215976592</v>
      </c>
      <c r="D682" s="593">
        <v>284.67147480498414</v>
      </c>
      <c r="E682" s="594">
        <v>0</v>
      </c>
      <c r="F682" s="595">
        <v>0</v>
      </c>
      <c r="G682" s="566">
        <v>475.51268696475006</v>
      </c>
      <c r="H682" s="1057">
        <v>196.40741418109241</v>
      </c>
      <c r="I682" s="1058">
        <v>0</v>
      </c>
      <c r="J682" s="597">
        <v>0</v>
      </c>
      <c r="K682" s="595">
        <v>0</v>
      </c>
      <c r="L682" s="571"/>
      <c r="M682" s="223">
        <f t="shared" si="68"/>
        <v>671.92010114584241</v>
      </c>
    </row>
    <row r="683" spans="1:13" ht="15.75" hidden="1" x14ac:dyDescent="0.25">
      <c r="A683" s="502" t="s">
        <v>185</v>
      </c>
      <c r="B683" s="804" t="s">
        <v>1106</v>
      </c>
      <c r="C683" s="549">
        <v>54.020960132531421</v>
      </c>
      <c r="D683" s="550">
        <v>75.629344185543985</v>
      </c>
      <c r="E683" s="551">
        <v>0</v>
      </c>
      <c r="F683" s="560">
        <v>7.7790182590845252</v>
      </c>
      <c r="G683" s="566">
        <v>137.42932257715992</v>
      </c>
      <c r="H683" s="1057">
        <v>494.88001344521672</v>
      </c>
      <c r="I683" s="1058">
        <v>0</v>
      </c>
      <c r="J683" s="569">
        <v>40.335650232290128</v>
      </c>
      <c r="K683" s="560">
        <v>2.4249408770602994</v>
      </c>
      <c r="L683" s="571"/>
      <c r="M683" s="223">
        <f t="shared" si="68"/>
        <v>675.06992713172713</v>
      </c>
    </row>
    <row r="684" spans="1:13" ht="15.75" hidden="1" x14ac:dyDescent="0.25">
      <c r="A684" s="502" t="s">
        <v>180</v>
      </c>
      <c r="B684" s="804" t="s">
        <v>1028</v>
      </c>
      <c r="C684" s="549">
        <v>70.200070200070201</v>
      </c>
      <c r="D684" s="593">
        <v>156.00015600015601</v>
      </c>
      <c r="E684" s="594">
        <v>0</v>
      </c>
      <c r="F684" s="595">
        <v>0</v>
      </c>
      <c r="G684" s="566">
        <v>226.20022620022621</v>
      </c>
      <c r="H684" s="1057">
        <v>455.52045552045553</v>
      </c>
      <c r="I684" s="1058">
        <v>0</v>
      </c>
      <c r="J684" s="597">
        <v>0</v>
      </c>
      <c r="K684" s="595">
        <v>0</v>
      </c>
      <c r="L684" s="571"/>
      <c r="M684" s="223">
        <f t="shared" si="68"/>
        <v>681.7206817206818</v>
      </c>
    </row>
    <row r="685" spans="1:13" s="3274" customFormat="1" ht="15.75" hidden="1" x14ac:dyDescent="0.25">
      <c r="A685" s="3276" t="s">
        <v>544</v>
      </c>
      <c r="B685" s="3277" t="s">
        <v>1028</v>
      </c>
      <c r="C685" s="3278">
        <v>79.154479154479162</v>
      </c>
      <c r="D685" s="3270">
        <v>203.5802035802036</v>
      </c>
      <c r="E685" s="3270">
        <v>0</v>
      </c>
      <c r="F685" s="3270">
        <v>0</v>
      </c>
      <c r="G685" s="3271">
        <v>282.73468273468279</v>
      </c>
      <c r="H685" s="3275">
        <v>412.62041262041265</v>
      </c>
      <c r="I685" s="3275">
        <v>0</v>
      </c>
      <c r="J685" s="3270">
        <v>0</v>
      </c>
      <c r="K685" s="3270">
        <v>0</v>
      </c>
      <c r="L685" s="3271"/>
      <c r="M685" s="3273">
        <f t="shared" si="68"/>
        <v>695.3550953550955</v>
      </c>
    </row>
    <row r="686" spans="1:13" s="3274" customFormat="1" ht="15.75" hidden="1" x14ac:dyDescent="0.25">
      <c r="A686" s="3295" t="s">
        <v>88</v>
      </c>
      <c r="B686" s="3287" t="s">
        <v>1054</v>
      </c>
      <c r="C686" s="3278">
        <v>61.898145312343843</v>
      </c>
      <c r="D686" s="3270">
        <v>134.33831849819626</v>
      </c>
      <c r="E686" s="3270">
        <v>100.74567921930965</v>
      </c>
      <c r="F686" s="3270">
        <v>74.245535757462434</v>
      </c>
      <c r="G686" s="3271">
        <v>371.22767878731219</v>
      </c>
      <c r="H686" s="3275">
        <v>250.56175790732689</v>
      </c>
      <c r="I686" s="3275">
        <v>62.639633511397967</v>
      </c>
      <c r="J686" s="3270">
        <v>11.215814976127303</v>
      </c>
      <c r="K686" s="3270">
        <v>2.8047597094655803</v>
      </c>
      <c r="L686" s="3271"/>
      <c r="M686" s="3273">
        <f t="shared" si="68"/>
        <v>698.44964489162987</v>
      </c>
    </row>
    <row r="687" spans="1:13" ht="15.75" hidden="1" x14ac:dyDescent="0.25">
      <c r="A687" s="791" t="s">
        <v>184</v>
      </c>
      <c r="B687" s="804" t="s">
        <v>1106</v>
      </c>
      <c r="C687" s="549">
        <v>73.444496464628273</v>
      </c>
      <c r="D687" s="550">
        <v>122.44750963373788</v>
      </c>
      <c r="E687" s="551">
        <v>22.088570365301734</v>
      </c>
      <c r="F687" s="560">
        <v>13.073072352072604</v>
      </c>
      <c r="G687" s="566">
        <v>231.0536488157405</v>
      </c>
      <c r="H687" s="1057">
        <v>501.19446345181927</v>
      </c>
      <c r="I687" s="1058">
        <v>0</v>
      </c>
      <c r="J687" s="569">
        <v>40.335650232290128</v>
      </c>
      <c r="K687" s="560">
        <v>2.4249408770602994</v>
      </c>
      <c r="L687" s="571"/>
      <c r="M687" s="223">
        <f t="shared" si="68"/>
        <v>775.00870337691026</v>
      </c>
    </row>
    <row r="688" spans="1:13" s="3274" customFormat="1" ht="15.75" hidden="1" x14ac:dyDescent="0.25">
      <c r="A688" s="3276" t="s">
        <v>178</v>
      </c>
      <c r="B688" s="3277" t="s">
        <v>1028</v>
      </c>
      <c r="C688" s="3278">
        <v>129.72192972192974</v>
      </c>
      <c r="D688" s="3270">
        <v>168.08236808236811</v>
      </c>
      <c r="E688" s="3270">
        <v>0</v>
      </c>
      <c r="F688" s="3270">
        <v>0</v>
      </c>
      <c r="G688" s="3271">
        <v>297.80429780429785</v>
      </c>
      <c r="H688" s="3275">
        <v>485.28528528528528</v>
      </c>
      <c r="I688" s="3275">
        <v>0</v>
      </c>
      <c r="J688" s="3270">
        <v>0</v>
      </c>
      <c r="K688" s="3270">
        <v>0</v>
      </c>
      <c r="L688" s="3271"/>
      <c r="M688" s="3273">
        <f t="shared" si="68"/>
        <v>783.08958308958313</v>
      </c>
    </row>
    <row r="689" spans="1:13" s="3274" customFormat="1" ht="15.75" hidden="1" x14ac:dyDescent="0.25">
      <c r="A689" s="3286" t="s">
        <v>723</v>
      </c>
      <c r="B689" s="3287" t="s">
        <v>1040</v>
      </c>
      <c r="C689" s="3278">
        <v>489.8257778767325</v>
      </c>
      <c r="D689" s="3270">
        <v>0</v>
      </c>
      <c r="E689" s="3270">
        <v>0</v>
      </c>
      <c r="F689" s="3270">
        <v>0</v>
      </c>
      <c r="G689" s="3271">
        <v>489.8257778767325</v>
      </c>
      <c r="H689" s="3275">
        <v>305.34593945562546</v>
      </c>
      <c r="I689" s="3275">
        <v>0</v>
      </c>
      <c r="J689" s="3270">
        <v>0</v>
      </c>
      <c r="K689" s="3270">
        <v>0</v>
      </c>
      <c r="L689" s="3271"/>
      <c r="M689" s="3273">
        <f t="shared" si="68"/>
        <v>795.17171733235796</v>
      </c>
    </row>
    <row r="690" spans="1:13" s="3274" customFormat="1" ht="15.75" hidden="1" x14ac:dyDescent="0.25">
      <c r="A690" s="3279" t="s">
        <v>176</v>
      </c>
      <c r="B690" s="3277" t="s">
        <v>1028</v>
      </c>
      <c r="C690" s="3278">
        <v>149.97854997854998</v>
      </c>
      <c r="D690" s="3270">
        <v>274.37307437307436</v>
      </c>
      <c r="E690" s="3270">
        <v>0</v>
      </c>
      <c r="F690" s="3270">
        <v>0</v>
      </c>
      <c r="G690" s="3271">
        <v>424.35162435162431</v>
      </c>
      <c r="H690" s="3275">
        <v>407.1604071604072</v>
      </c>
      <c r="I690" s="3275">
        <v>0</v>
      </c>
      <c r="J690" s="3270">
        <v>0</v>
      </c>
      <c r="K690" s="3270">
        <v>0</v>
      </c>
      <c r="L690" s="3271"/>
      <c r="M690" s="3273">
        <f t="shared" si="68"/>
        <v>831.51203151203151</v>
      </c>
    </row>
    <row r="691" spans="1:13" ht="15.75" hidden="1" x14ac:dyDescent="0.25">
      <c r="A691" s="1087" t="s">
        <v>171</v>
      </c>
      <c r="B691" s="805" t="s">
        <v>1151</v>
      </c>
      <c r="C691" s="549">
        <v>121.92</v>
      </c>
      <c r="D691" s="550">
        <v>119.72</v>
      </c>
      <c r="E691" s="551">
        <v>23.66</v>
      </c>
      <c r="F691" s="560" t="s">
        <v>5</v>
      </c>
      <c r="G691" s="566">
        <v>265.3</v>
      </c>
      <c r="H691" s="1057">
        <v>294.17</v>
      </c>
      <c r="I691" s="1077" t="s">
        <v>5</v>
      </c>
      <c r="J691" s="569">
        <v>334.2</v>
      </c>
      <c r="K691" s="560" t="s">
        <v>5</v>
      </c>
      <c r="L691" s="571"/>
      <c r="M691" s="223">
        <f>G691+H691+J691</f>
        <v>893.67000000000007</v>
      </c>
    </row>
    <row r="692" spans="1:13" s="3274" customFormat="1" ht="15.75" hidden="1" x14ac:dyDescent="0.25">
      <c r="A692" s="3279" t="s">
        <v>179</v>
      </c>
      <c r="B692" s="3277" t="s">
        <v>1028</v>
      </c>
      <c r="C692" s="3278">
        <v>184.32978432978433</v>
      </c>
      <c r="D692" s="3270">
        <v>133.61413361413364</v>
      </c>
      <c r="E692" s="3270">
        <v>0</v>
      </c>
      <c r="F692" s="3270">
        <v>0</v>
      </c>
      <c r="G692" s="3271">
        <v>317.943917943918</v>
      </c>
      <c r="H692" s="3275">
        <v>591.24059124059124</v>
      </c>
      <c r="I692" s="3275">
        <v>0</v>
      </c>
      <c r="J692" s="3270">
        <v>0</v>
      </c>
      <c r="K692" s="3270">
        <v>0</v>
      </c>
      <c r="L692" s="3271"/>
      <c r="M692" s="3273">
        <f>G692+H692+I692+J692+K692</f>
        <v>909.18450918450924</v>
      </c>
    </row>
    <row r="693" spans="1:13" ht="15.75" hidden="1" x14ac:dyDescent="0.25">
      <c r="A693" s="1087" t="s">
        <v>89</v>
      </c>
      <c r="B693" s="805" t="s">
        <v>1054</v>
      </c>
      <c r="C693" s="549">
        <v>106.77430066379313</v>
      </c>
      <c r="D693" s="593">
        <v>78.243124308884646</v>
      </c>
      <c r="E693" s="594">
        <v>100.74567921930965</v>
      </c>
      <c r="F693" s="595">
        <v>71.440776047996849</v>
      </c>
      <c r="G693" s="566">
        <v>357.20388023998424</v>
      </c>
      <c r="H693" s="1057">
        <v>465.52563453658598</v>
      </c>
      <c r="I693" s="1058">
        <v>116.3814086341465</v>
      </c>
      <c r="J693" s="597">
        <v>8.1241315722451297</v>
      </c>
      <c r="K693" s="595">
        <v>2.0310328930612824</v>
      </c>
      <c r="L693" s="571"/>
      <c r="M693" s="223">
        <f>G693+H693+I693+J693+K693</f>
        <v>949.26608787602311</v>
      </c>
    </row>
    <row r="694" spans="1:13" s="3274" customFormat="1" ht="15.75" hidden="1" x14ac:dyDescent="0.25">
      <c r="A694" s="3294" t="s">
        <v>213</v>
      </c>
      <c r="B694" s="3287" t="s">
        <v>1054</v>
      </c>
      <c r="C694" s="3278">
        <v>88.720674947692842</v>
      </c>
      <c r="D694" s="3270">
        <v>136.53054447800844</v>
      </c>
      <c r="E694" s="3270">
        <v>100.74567921930965</v>
      </c>
      <c r="F694" s="3270">
        <v>81.49922466125274</v>
      </c>
      <c r="G694" s="3271">
        <v>407.49612330626366</v>
      </c>
      <c r="H694" s="3275">
        <v>440.34405052436114</v>
      </c>
      <c r="I694" s="3275">
        <v>110.08681859652404</v>
      </c>
      <c r="J694" s="3270">
        <v>9.1912298065360574</v>
      </c>
      <c r="K694" s="3270">
        <v>2.2970014862002599</v>
      </c>
      <c r="L694" s="3271"/>
      <c r="M694" s="3273">
        <f>G694+H694+I694+J694+K694</f>
        <v>969.41522371988515</v>
      </c>
    </row>
    <row r="695" spans="1:13" ht="15.75" hidden="1" x14ac:dyDescent="0.25">
      <c r="A695" s="1087" t="s">
        <v>87</v>
      </c>
      <c r="B695" s="805" t="s">
        <v>1054</v>
      </c>
      <c r="C695" s="549">
        <v>161.19308675089545</v>
      </c>
      <c r="D695" s="593">
        <v>82.240712860306843</v>
      </c>
      <c r="E695" s="594">
        <v>100.74567921930965</v>
      </c>
      <c r="F695" s="595">
        <v>86.044869707627981</v>
      </c>
      <c r="G695" s="566">
        <v>430.22434853813991</v>
      </c>
      <c r="H695" s="1057">
        <v>430.7611215170204</v>
      </c>
      <c r="I695" s="1058">
        <v>107.68987739653822</v>
      </c>
      <c r="J695" s="597">
        <v>12.326435343840974</v>
      </c>
      <c r="K695" s="595">
        <v>3.0820118186771208</v>
      </c>
      <c r="L695" s="571"/>
      <c r="M695" s="223">
        <f>G695+H695+I695+J695+K695</f>
        <v>984.08379461421657</v>
      </c>
    </row>
    <row r="696" spans="1:13" ht="16.5" hidden="1" thickBot="1" x14ac:dyDescent="0.3">
      <c r="A696" s="798" t="s">
        <v>90</v>
      </c>
      <c r="B696" s="1092" t="s">
        <v>1054</v>
      </c>
      <c r="C696" s="716">
        <v>77.372681640429803</v>
      </c>
      <c r="D696" s="717">
        <v>153.16567103070085</v>
      </c>
      <c r="E696" s="718">
        <v>100.74567921930965</v>
      </c>
      <c r="F696" s="595">
        <v>82.821007972610062</v>
      </c>
      <c r="G696" s="566">
        <v>414.10503986305037</v>
      </c>
      <c r="H696" s="1057">
        <v>592.64572661007719</v>
      </c>
      <c r="I696" s="1058">
        <v>148.16223761795305</v>
      </c>
      <c r="J696" s="721">
        <v>8.6689642054631566</v>
      </c>
      <c r="K696" s="719">
        <v>2.1664350859320347</v>
      </c>
      <c r="L696" s="571"/>
      <c r="M696" s="223">
        <f>G696+H696+I696+J696+K696</f>
        <v>1165.748403382476</v>
      </c>
    </row>
  </sheetData>
  <autoFilter ref="B498:B696">
    <filterColumn colId="0">
      <filters>
        <filter val="GBR"/>
      </filters>
    </filterColumn>
  </autoFilter>
  <mergeCells count="586">
    <mergeCell ref="AF290:AF293"/>
    <mergeCell ref="AG290:AG293"/>
    <mergeCell ref="AG283:AG289"/>
    <mergeCell ref="A290:A293"/>
    <mergeCell ref="E290:E293"/>
    <mergeCell ref="U290:U293"/>
    <mergeCell ref="V290:V293"/>
    <mergeCell ref="W290:W293"/>
    <mergeCell ref="Y290:Y293"/>
    <mergeCell ref="Z290:Z293"/>
    <mergeCell ref="AB290:AB293"/>
    <mergeCell ref="AD290:AD293"/>
    <mergeCell ref="AA283:AA289"/>
    <mergeCell ref="AB283:AB289"/>
    <mergeCell ref="AC283:AC289"/>
    <mergeCell ref="AD283:AD289"/>
    <mergeCell ref="AE283:AE289"/>
    <mergeCell ref="AF283:AF289"/>
    <mergeCell ref="AG278:AG282"/>
    <mergeCell ref="AP278:AP282"/>
    <mergeCell ref="A283:A289"/>
    <mergeCell ref="E283:E289"/>
    <mergeCell ref="U283:U289"/>
    <mergeCell ref="V283:V289"/>
    <mergeCell ref="W283:W289"/>
    <mergeCell ref="X283:X289"/>
    <mergeCell ref="Y283:Y289"/>
    <mergeCell ref="Z283:Z289"/>
    <mergeCell ref="AA278:AA282"/>
    <mergeCell ref="AB278:AB282"/>
    <mergeCell ref="AC278:AC282"/>
    <mergeCell ref="AD278:AD282"/>
    <mergeCell ref="AE278:AE282"/>
    <mergeCell ref="AF278:AF282"/>
    <mergeCell ref="AF274:AF277"/>
    <mergeCell ref="AG274:AG277"/>
    <mergeCell ref="A278:A282"/>
    <mergeCell ref="E278:E282"/>
    <mergeCell ref="U278:U282"/>
    <mergeCell ref="V278:V282"/>
    <mergeCell ref="W278:W282"/>
    <mergeCell ref="X278:X282"/>
    <mergeCell ref="Y278:Y282"/>
    <mergeCell ref="Z278:Z282"/>
    <mergeCell ref="Z274:Z277"/>
    <mergeCell ref="AA274:AA277"/>
    <mergeCell ref="AB274:AB277"/>
    <mergeCell ref="AC274:AC277"/>
    <mergeCell ref="AD274:AD277"/>
    <mergeCell ref="AE274:AE277"/>
    <mergeCell ref="AE271:AE273"/>
    <mergeCell ref="AF271:AF273"/>
    <mergeCell ref="AG271:AG273"/>
    <mergeCell ref="A274:A277"/>
    <mergeCell ref="E274:E277"/>
    <mergeCell ref="U274:U277"/>
    <mergeCell ref="V274:V277"/>
    <mergeCell ref="W274:W277"/>
    <mergeCell ref="X274:X277"/>
    <mergeCell ref="Y274:Y277"/>
    <mergeCell ref="Y271:Y273"/>
    <mergeCell ref="Z271:Z273"/>
    <mergeCell ref="AA271:AA273"/>
    <mergeCell ref="AB271:AB273"/>
    <mergeCell ref="AC271:AC273"/>
    <mergeCell ref="AD271:AD273"/>
    <mergeCell ref="A271:A273"/>
    <mergeCell ref="E271:E273"/>
    <mergeCell ref="U271:U273"/>
    <mergeCell ref="V271:V273"/>
    <mergeCell ref="W271:W273"/>
    <mergeCell ref="X271:X273"/>
    <mergeCell ref="AB263:AB267"/>
    <mergeCell ref="AC263:AC267"/>
    <mergeCell ref="AD263:AD267"/>
    <mergeCell ref="AE263:AE267"/>
    <mergeCell ref="AF263:AF267"/>
    <mergeCell ref="AG263:AG267"/>
    <mergeCell ref="AG258:AG262"/>
    <mergeCell ref="A263:A267"/>
    <mergeCell ref="E263:E267"/>
    <mergeCell ref="U263:U267"/>
    <mergeCell ref="V263:V267"/>
    <mergeCell ref="W263:W267"/>
    <mergeCell ref="X263:X267"/>
    <mergeCell ref="Y263:Y267"/>
    <mergeCell ref="Z263:Z267"/>
    <mergeCell ref="AA263:AA267"/>
    <mergeCell ref="AA258:AA262"/>
    <mergeCell ref="AB258:AB262"/>
    <mergeCell ref="AC258:AC262"/>
    <mergeCell ref="AD258:AD262"/>
    <mergeCell ref="AE258:AE262"/>
    <mergeCell ref="AF258:AF262"/>
    <mergeCell ref="AF253:AF257"/>
    <mergeCell ref="AG253:AG257"/>
    <mergeCell ref="A258:A262"/>
    <mergeCell ref="E258:E262"/>
    <mergeCell ref="U258:U262"/>
    <mergeCell ref="V258:V262"/>
    <mergeCell ref="W258:W262"/>
    <mergeCell ref="X258:X262"/>
    <mergeCell ref="Y258:Y262"/>
    <mergeCell ref="Z258:Z262"/>
    <mergeCell ref="Z253:Z257"/>
    <mergeCell ref="AA253:AA257"/>
    <mergeCell ref="AB253:AB257"/>
    <mergeCell ref="AC253:AC257"/>
    <mergeCell ref="AD253:AD257"/>
    <mergeCell ref="AE253:AE257"/>
    <mergeCell ref="AE245:AE252"/>
    <mergeCell ref="AF245:AF252"/>
    <mergeCell ref="AG245:AG252"/>
    <mergeCell ref="A253:A257"/>
    <mergeCell ref="E253:E257"/>
    <mergeCell ref="U253:U257"/>
    <mergeCell ref="V253:V257"/>
    <mergeCell ref="W253:W257"/>
    <mergeCell ref="X253:X257"/>
    <mergeCell ref="Y253:Y257"/>
    <mergeCell ref="Y245:Y252"/>
    <mergeCell ref="Z245:Z252"/>
    <mergeCell ref="AA245:AA252"/>
    <mergeCell ref="AB245:AB252"/>
    <mergeCell ref="AC245:AC252"/>
    <mergeCell ref="AD245:AD252"/>
    <mergeCell ref="A245:A252"/>
    <mergeCell ref="E245:E252"/>
    <mergeCell ref="U245:U252"/>
    <mergeCell ref="V245:V252"/>
    <mergeCell ref="W245:W252"/>
    <mergeCell ref="X245:X252"/>
    <mergeCell ref="Y240:Y242"/>
    <mergeCell ref="Z240:Z242"/>
    <mergeCell ref="AB240:AB242"/>
    <mergeCell ref="AD240:AD242"/>
    <mergeCell ref="AF240:AF242"/>
    <mergeCell ref="AG240:AG242"/>
    <mergeCell ref="AG225:AG226"/>
    <mergeCell ref="A227:A235"/>
    <mergeCell ref="E227:E235"/>
    <mergeCell ref="A236:A238"/>
    <mergeCell ref="E236:E238"/>
    <mergeCell ref="A240:A242"/>
    <mergeCell ref="E240:E242"/>
    <mergeCell ref="U240:U242"/>
    <mergeCell ref="V240:V242"/>
    <mergeCell ref="W240:W242"/>
    <mergeCell ref="AA225:AA226"/>
    <mergeCell ref="AB225:AB226"/>
    <mergeCell ref="AC225:AC226"/>
    <mergeCell ref="AD225:AD226"/>
    <mergeCell ref="AE225:AE226"/>
    <mergeCell ref="AF225:AF226"/>
    <mergeCell ref="AF184:AF224"/>
    <mergeCell ref="AG184:AG224"/>
    <mergeCell ref="A225:A226"/>
    <mergeCell ref="E225:E226"/>
    <mergeCell ref="U225:U226"/>
    <mergeCell ref="V225:V226"/>
    <mergeCell ref="W225:W226"/>
    <mergeCell ref="X225:X226"/>
    <mergeCell ref="Y225:Y226"/>
    <mergeCell ref="Z225:Z226"/>
    <mergeCell ref="Z184:Z224"/>
    <mergeCell ref="AA184:AA224"/>
    <mergeCell ref="AB184:AB224"/>
    <mergeCell ref="AC184:AC224"/>
    <mergeCell ref="AD184:AD224"/>
    <mergeCell ref="AE184:AE224"/>
    <mergeCell ref="AE177:AE183"/>
    <mergeCell ref="AF177:AF183"/>
    <mergeCell ref="AG177:AG183"/>
    <mergeCell ref="A184:A224"/>
    <mergeCell ref="E184:E224"/>
    <mergeCell ref="U184:U224"/>
    <mergeCell ref="V184:V224"/>
    <mergeCell ref="W184:W224"/>
    <mergeCell ref="X184:X224"/>
    <mergeCell ref="Y184:Y224"/>
    <mergeCell ref="Y177:Y183"/>
    <mergeCell ref="Z177:Z183"/>
    <mergeCell ref="AA177:AA183"/>
    <mergeCell ref="AB177:AB183"/>
    <mergeCell ref="AC177:AC183"/>
    <mergeCell ref="AD177:AD183"/>
    <mergeCell ref="A177:A183"/>
    <mergeCell ref="E177:E183"/>
    <mergeCell ref="U177:U183"/>
    <mergeCell ref="V177:V183"/>
    <mergeCell ref="W177:W183"/>
    <mergeCell ref="X177:X183"/>
    <mergeCell ref="AB171:AB176"/>
    <mergeCell ref="AC171:AC176"/>
    <mergeCell ref="AD171:AD176"/>
    <mergeCell ref="AE171:AE176"/>
    <mergeCell ref="AF171:AF176"/>
    <mergeCell ref="AG171:AG176"/>
    <mergeCell ref="AG168:AG170"/>
    <mergeCell ref="A171:A176"/>
    <mergeCell ref="E171:E176"/>
    <mergeCell ref="U171:U176"/>
    <mergeCell ref="V171:V176"/>
    <mergeCell ref="W171:W176"/>
    <mergeCell ref="X171:X176"/>
    <mergeCell ref="Y171:Y176"/>
    <mergeCell ref="Z171:Z176"/>
    <mergeCell ref="AA171:AA176"/>
    <mergeCell ref="AA168:AA170"/>
    <mergeCell ref="AB168:AB170"/>
    <mergeCell ref="AC168:AC170"/>
    <mergeCell ref="AD168:AD170"/>
    <mergeCell ref="AE168:AE170"/>
    <mergeCell ref="AF168:AF170"/>
    <mergeCell ref="AF162:AF166"/>
    <mergeCell ref="AG162:AG166"/>
    <mergeCell ref="A168:A170"/>
    <mergeCell ref="E168:E170"/>
    <mergeCell ref="U168:U170"/>
    <mergeCell ref="V168:V170"/>
    <mergeCell ref="W168:W170"/>
    <mergeCell ref="X168:X170"/>
    <mergeCell ref="Y168:Y170"/>
    <mergeCell ref="Z168:Z170"/>
    <mergeCell ref="AG157:AG161"/>
    <mergeCell ref="A162:A166"/>
    <mergeCell ref="E162:E166"/>
    <mergeCell ref="U162:U166"/>
    <mergeCell ref="V162:V166"/>
    <mergeCell ref="W162:W166"/>
    <mergeCell ref="Y162:Y166"/>
    <mergeCell ref="Z162:Z166"/>
    <mergeCell ref="AB162:AB166"/>
    <mergeCell ref="AD162:AD166"/>
    <mergeCell ref="AA157:AA161"/>
    <mergeCell ref="AB157:AB161"/>
    <mergeCell ref="AC157:AC161"/>
    <mergeCell ref="AD157:AD161"/>
    <mergeCell ref="AE157:AE161"/>
    <mergeCell ref="AF157:AF161"/>
    <mergeCell ref="AF151:AF155"/>
    <mergeCell ref="AG151:AG155"/>
    <mergeCell ref="A157:A161"/>
    <mergeCell ref="E157:E161"/>
    <mergeCell ref="U157:U161"/>
    <mergeCell ref="V157:V161"/>
    <mergeCell ref="W157:W161"/>
    <mergeCell ref="X157:X161"/>
    <mergeCell ref="Y157:Y161"/>
    <mergeCell ref="Z157:Z161"/>
    <mergeCell ref="AG145:AG150"/>
    <mergeCell ref="A151:A155"/>
    <mergeCell ref="E151:E155"/>
    <mergeCell ref="U151:U155"/>
    <mergeCell ref="V151:V155"/>
    <mergeCell ref="W151:W155"/>
    <mergeCell ref="Y151:Y155"/>
    <mergeCell ref="Z151:Z155"/>
    <mergeCell ref="AB151:AB155"/>
    <mergeCell ref="AD151:AD155"/>
    <mergeCell ref="AA145:AA150"/>
    <mergeCell ref="AB145:AB150"/>
    <mergeCell ref="AC145:AC150"/>
    <mergeCell ref="AD145:AD150"/>
    <mergeCell ref="AE145:AE150"/>
    <mergeCell ref="AF145:AF150"/>
    <mergeCell ref="AF135:AF139"/>
    <mergeCell ref="AG135:AG139"/>
    <mergeCell ref="A145:A150"/>
    <mergeCell ref="E145:E150"/>
    <mergeCell ref="U145:U150"/>
    <mergeCell ref="V145:V150"/>
    <mergeCell ref="W145:W150"/>
    <mergeCell ref="X145:X150"/>
    <mergeCell ref="Y145:Y150"/>
    <mergeCell ref="Z145:Z150"/>
    <mergeCell ref="AG126:AG133"/>
    <mergeCell ref="A135:A139"/>
    <mergeCell ref="E135:E139"/>
    <mergeCell ref="U135:U139"/>
    <mergeCell ref="V135:V139"/>
    <mergeCell ref="W135:W139"/>
    <mergeCell ref="Y135:Y139"/>
    <mergeCell ref="Z135:Z139"/>
    <mergeCell ref="AB135:AB139"/>
    <mergeCell ref="AD135:AD139"/>
    <mergeCell ref="AA126:AA133"/>
    <mergeCell ref="AB126:AB133"/>
    <mergeCell ref="AC126:AC133"/>
    <mergeCell ref="AD126:AD133"/>
    <mergeCell ref="AE126:AE133"/>
    <mergeCell ref="AF126:AF133"/>
    <mergeCell ref="AF121:AF125"/>
    <mergeCell ref="AG121:AG125"/>
    <mergeCell ref="A126:A133"/>
    <mergeCell ref="E126:E133"/>
    <mergeCell ref="U126:U133"/>
    <mergeCell ref="V126:V133"/>
    <mergeCell ref="W126:W133"/>
    <mergeCell ref="X126:X133"/>
    <mergeCell ref="Y126:Y133"/>
    <mergeCell ref="Z126:Z133"/>
    <mergeCell ref="Z121:Z125"/>
    <mergeCell ref="AA121:AA125"/>
    <mergeCell ref="AB121:AB125"/>
    <mergeCell ref="AC121:AC125"/>
    <mergeCell ref="AD121:AD125"/>
    <mergeCell ref="AE121:AE125"/>
    <mergeCell ref="AD115:AD119"/>
    <mergeCell ref="AF115:AF119"/>
    <mergeCell ref="AG115:AG119"/>
    <mergeCell ref="A121:A125"/>
    <mergeCell ref="E121:E125"/>
    <mergeCell ref="U121:U125"/>
    <mergeCell ref="V121:V125"/>
    <mergeCell ref="W121:W125"/>
    <mergeCell ref="X121:X125"/>
    <mergeCell ref="Y121:Y125"/>
    <mergeCell ref="AF109:AF113"/>
    <mergeCell ref="AG109:AG113"/>
    <mergeCell ref="A115:A119"/>
    <mergeCell ref="E115:E119"/>
    <mergeCell ref="U115:U119"/>
    <mergeCell ref="V115:V119"/>
    <mergeCell ref="W115:W119"/>
    <mergeCell ref="Y115:Y119"/>
    <mergeCell ref="Z115:Z119"/>
    <mergeCell ref="AB115:AB119"/>
    <mergeCell ref="Z109:Z113"/>
    <mergeCell ref="AA109:AA113"/>
    <mergeCell ref="AB109:AB113"/>
    <mergeCell ref="AC109:AC113"/>
    <mergeCell ref="AD109:AD113"/>
    <mergeCell ref="AE109:AE113"/>
    <mergeCell ref="AD104:AD108"/>
    <mergeCell ref="AF104:AF108"/>
    <mergeCell ref="AG104:AG108"/>
    <mergeCell ref="A109:A113"/>
    <mergeCell ref="E109:E113"/>
    <mergeCell ref="U109:U113"/>
    <mergeCell ref="V109:V113"/>
    <mergeCell ref="W109:W113"/>
    <mergeCell ref="X109:X113"/>
    <mergeCell ref="Y109:Y113"/>
    <mergeCell ref="AF91:AF101"/>
    <mergeCell ref="AG91:AG101"/>
    <mergeCell ref="A104:A108"/>
    <mergeCell ref="E104:E108"/>
    <mergeCell ref="U104:U108"/>
    <mergeCell ref="V104:V108"/>
    <mergeCell ref="W104:W108"/>
    <mergeCell ref="Y104:Y108"/>
    <mergeCell ref="Z104:Z108"/>
    <mergeCell ref="AB104:AB108"/>
    <mergeCell ref="Z91:Z101"/>
    <mergeCell ref="AA91:AA101"/>
    <mergeCell ref="AB91:AB101"/>
    <mergeCell ref="AC91:AC101"/>
    <mergeCell ref="AD91:AD101"/>
    <mergeCell ref="AE91:AE101"/>
    <mergeCell ref="AE85:AE90"/>
    <mergeCell ref="AF85:AF90"/>
    <mergeCell ref="AG85:AG90"/>
    <mergeCell ref="A91:A101"/>
    <mergeCell ref="E91:E101"/>
    <mergeCell ref="U91:U101"/>
    <mergeCell ref="V91:V101"/>
    <mergeCell ref="W91:W101"/>
    <mergeCell ref="X91:X101"/>
    <mergeCell ref="Y91:Y101"/>
    <mergeCell ref="Y85:Y90"/>
    <mergeCell ref="Z85:Z90"/>
    <mergeCell ref="AA85:AA90"/>
    <mergeCell ref="AB85:AB90"/>
    <mergeCell ref="AC85:AC90"/>
    <mergeCell ref="AD85:AD90"/>
    <mergeCell ref="A85:A90"/>
    <mergeCell ref="E85:E90"/>
    <mergeCell ref="U85:U90"/>
    <mergeCell ref="V85:V90"/>
    <mergeCell ref="W85:W90"/>
    <mergeCell ref="X85:X90"/>
    <mergeCell ref="AB80:AB84"/>
    <mergeCell ref="AC80:AC84"/>
    <mergeCell ref="AD80:AD84"/>
    <mergeCell ref="AE80:AE84"/>
    <mergeCell ref="AF80:AF84"/>
    <mergeCell ref="AG80:AG84"/>
    <mergeCell ref="AG75:AG79"/>
    <mergeCell ref="A80:A84"/>
    <mergeCell ref="E80:E84"/>
    <mergeCell ref="U80:U84"/>
    <mergeCell ref="V80:V84"/>
    <mergeCell ref="W80:W84"/>
    <mergeCell ref="X80:X84"/>
    <mergeCell ref="Y80:Y84"/>
    <mergeCell ref="Z80:Z84"/>
    <mergeCell ref="AA80:AA84"/>
    <mergeCell ref="AA75:AA79"/>
    <mergeCell ref="AB75:AB79"/>
    <mergeCell ref="AC75:AC79"/>
    <mergeCell ref="AD75:AD79"/>
    <mergeCell ref="AE75:AE79"/>
    <mergeCell ref="AF75:AF79"/>
    <mergeCell ref="AF71:AF74"/>
    <mergeCell ref="AG71:AG74"/>
    <mergeCell ref="A75:A79"/>
    <mergeCell ref="E75:E79"/>
    <mergeCell ref="U75:U79"/>
    <mergeCell ref="V75:V79"/>
    <mergeCell ref="W75:W79"/>
    <mergeCell ref="X75:X79"/>
    <mergeCell ref="Y75:Y79"/>
    <mergeCell ref="Z75:Z79"/>
    <mergeCell ref="Z71:Z74"/>
    <mergeCell ref="AA71:AA74"/>
    <mergeCell ref="AB71:AB74"/>
    <mergeCell ref="AC71:AC74"/>
    <mergeCell ref="AD71:AD74"/>
    <mergeCell ref="AE71:AE74"/>
    <mergeCell ref="AE69:AE70"/>
    <mergeCell ref="AF69:AF70"/>
    <mergeCell ref="AG69:AG70"/>
    <mergeCell ref="A71:A74"/>
    <mergeCell ref="E71:E74"/>
    <mergeCell ref="U71:U74"/>
    <mergeCell ref="V71:V74"/>
    <mergeCell ref="W71:W74"/>
    <mergeCell ref="X71:X74"/>
    <mergeCell ref="Y71:Y74"/>
    <mergeCell ref="Y69:Y70"/>
    <mergeCell ref="Z69:Z70"/>
    <mergeCell ref="AA69:AA70"/>
    <mergeCell ref="AB69:AB70"/>
    <mergeCell ref="AC69:AC70"/>
    <mergeCell ref="AD69:AD70"/>
    <mergeCell ref="AD63:AD67"/>
    <mergeCell ref="AE63:AE67"/>
    <mergeCell ref="AF63:AF67"/>
    <mergeCell ref="AG63:AG67"/>
    <mergeCell ref="A69:A70"/>
    <mergeCell ref="E69:E70"/>
    <mergeCell ref="U69:U70"/>
    <mergeCell ref="V69:V70"/>
    <mergeCell ref="W69:W70"/>
    <mergeCell ref="X69:X70"/>
    <mergeCell ref="X63:X67"/>
    <mergeCell ref="Y63:Y67"/>
    <mergeCell ref="Z63:Z67"/>
    <mergeCell ref="AA63:AA67"/>
    <mergeCell ref="AB63:AB67"/>
    <mergeCell ref="AC63:AC67"/>
    <mergeCell ref="Z57:Z62"/>
    <mergeCell ref="AB57:AB62"/>
    <mergeCell ref="AD57:AD62"/>
    <mergeCell ref="AF57:AF62"/>
    <mergeCell ref="AG57:AG62"/>
    <mergeCell ref="A63:A67"/>
    <mergeCell ref="E63:E67"/>
    <mergeCell ref="U63:U67"/>
    <mergeCell ref="V63:V67"/>
    <mergeCell ref="W63:W67"/>
    <mergeCell ref="A57:A62"/>
    <mergeCell ref="E57:E62"/>
    <mergeCell ref="U57:U62"/>
    <mergeCell ref="V57:V62"/>
    <mergeCell ref="W57:W62"/>
    <mergeCell ref="Y57:Y62"/>
    <mergeCell ref="AB51:AB56"/>
    <mergeCell ref="AC51:AC56"/>
    <mergeCell ref="AD51:AD56"/>
    <mergeCell ref="AE51:AE56"/>
    <mergeCell ref="AF51:AF56"/>
    <mergeCell ref="AG51:AG56"/>
    <mergeCell ref="AG45:AG49"/>
    <mergeCell ref="A51:A56"/>
    <mergeCell ref="E51:E56"/>
    <mergeCell ref="U51:U56"/>
    <mergeCell ref="V51:V56"/>
    <mergeCell ref="W51:W56"/>
    <mergeCell ref="X51:X56"/>
    <mergeCell ref="Y51:Y56"/>
    <mergeCell ref="Z51:Z56"/>
    <mergeCell ref="AA51:AA56"/>
    <mergeCell ref="AA45:AA49"/>
    <mergeCell ref="AB45:AB49"/>
    <mergeCell ref="AC45:AC49"/>
    <mergeCell ref="AD45:AD49"/>
    <mergeCell ref="AE45:AE49"/>
    <mergeCell ref="AF45:AF49"/>
    <mergeCell ref="AF40:AF44"/>
    <mergeCell ref="AG40:AG44"/>
    <mergeCell ref="A45:A49"/>
    <mergeCell ref="E45:E49"/>
    <mergeCell ref="U45:U49"/>
    <mergeCell ref="V45:V49"/>
    <mergeCell ref="W45:W49"/>
    <mergeCell ref="X45:X49"/>
    <mergeCell ref="Y45:Y49"/>
    <mergeCell ref="Z45:Z49"/>
    <mergeCell ref="AG37:AG39"/>
    <mergeCell ref="A40:A44"/>
    <mergeCell ref="E40:E44"/>
    <mergeCell ref="U40:U44"/>
    <mergeCell ref="V40:V44"/>
    <mergeCell ref="W40:W44"/>
    <mergeCell ref="Y40:Y44"/>
    <mergeCell ref="Z40:Z44"/>
    <mergeCell ref="AB40:AB44"/>
    <mergeCell ref="AD40:AD44"/>
    <mergeCell ref="AA37:AA39"/>
    <mergeCell ref="AB37:AB39"/>
    <mergeCell ref="AC37:AC39"/>
    <mergeCell ref="AD37:AD39"/>
    <mergeCell ref="AE37:AE39"/>
    <mergeCell ref="AF37:AF39"/>
    <mergeCell ref="AF29:AF36"/>
    <mergeCell ref="AG29:AG36"/>
    <mergeCell ref="A37:A39"/>
    <mergeCell ref="E37:E39"/>
    <mergeCell ref="U37:U39"/>
    <mergeCell ref="V37:V39"/>
    <mergeCell ref="W37:W39"/>
    <mergeCell ref="X37:X39"/>
    <mergeCell ref="Y37:Y39"/>
    <mergeCell ref="Z37:Z39"/>
    <mergeCell ref="Z29:Z36"/>
    <mergeCell ref="AA29:AA36"/>
    <mergeCell ref="AB29:AB36"/>
    <mergeCell ref="AC29:AC36"/>
    <mergeCell ref="AD29:AD36"/>
    <mergeCell ref="AE29:AE36"/>
    <mergeCell ref="AE24:AE28"/>
    <mergeCell ref="AF24:AF28"/>
    <mergeCell ref="AG24:AG28"/>
    <mergeCell ref="A29:A36"/>
    <mergeCell ref="E29:E36"/>
    <mergeCell ref="U29:U36"/>
    <mergeCell ref="V29:V36"/>
    <mergeCell ref="W29:W36"/>
    <mergeCell ref="X29:X36"/>
    <mergeCell ref="Y29:Y36"/>
    <mergeCell ref="Y24:Y28"/>
    <mergeCell ref="Z24:Z28"/>
    <mergeCell ref="AA24:AA28"/>
    <mergeCell ref="AB24:AB28"/>
    <mergeCell ref="AC24:AC28"/>
    <mergeCell ref="AD24:AD28"/>
    <mergeCell ref="A24:A28"/>
    <mergeCell ref="E24:E28"/>
    <mergeCell ref="U24:U28"/>
    <mergeCell ref="V24:V28"/>
    <mergeCell ref="W24:W28"/>
    <mergeCell ref="X24:X28"/>
    <mergeCell ref="AB15:AB23"/>
    <mergeCell ref="AC15:AC23"/>
    <mergeCell ref="AD15:AD23"/>
    <mergeCell ref="AE15:AE23"/>
    <mergeCell ref="AF15:AF23"/>
    <mergeCell ref="AG15:AG23"/>
    <mergeCell ref="AG7:AG13"/>
    <mergeCell ref="A15:A23"/>
    <mergeCell ref="E15:E23"/>
    <mergeCell ref="U15:U23"/>
    <mergeCell ref="V15:V23"/>
    <mergeCell ref="W15:W23"/>
    <mergeCell ref="X15:X23"/>
    <mergeCell ref="Y15:Y23"/>
    <mergeCell ref="Z15:Z23"/>
    <mergeCell ref="AA15:AA23"/>
    <mergeCell ref="AA7:AA13"/>
    <mergeCell ref="AB7:AB13"/>
    <mergeCell ref="AC7:AC13"/>
    <mergeCell ref="AD7:AD13"/>
    <mergeCell ref="AE7:AE13"/>
    <mergeCell ref="AF7:AF13"/>
    <mergeCell ref="U4:AG4"/>
    <mergeCell ref="AI4:AO4"/>
    <mergeCell ref="A7:A13"/>
    <mergeCell ref="E7:E13"/>
    <mergeCell ref="U7:U13"/>
    <mergeCell ref="V7:V13"/>
    <mergeCell ref="W7:W13"/>
    <mergeCell ref="X7:X13"/>
    <mergeCell ref="Y7:Y13"/>
    <mergeCell ref="Z7:Z13"/>
  </mergeCells>
  <pageMargins left="0.7" right="0.7" top="0.75" bottom="0.75" header="0.3" footer="0.3"/>
  <pageSetup paperSize="9" orientation="portrait" r:id="rId1"/>
  <drawing r:id="rId2"/>
  <legacyDrawing r:id="rId3"/>
  <tableParts count="1">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2</vt:i4>
      </vt:variant>
    </vt:vector>
  </HeadingPairs>
  <TitlesOfParts>
    <vt:vector size="26" baseType="lpstr">
      <vt:lpstr>Abstraction source</vt:lpstr>
      <vt:lpstr>% abstraction source</vt:lpstr>
      <vt:lpstr>Abstraction per capita</vt:lpstr>
      <vt:lpstr>Water delivered</vt:lpstr>
      <vt:lpstr>Delivered HH per capita</vt:lpstr>
      <vt:lpstr>2017Total charges cities 200 m³</vt:lpstr>
      <vt:lpstr>2015Total charges cities 200 m³</vt:lpstr>
      <vt:lpstr>2017Total DW ch cities 200 m³</vt:lpstr>
      <vt:lpstr>2015Total DW ch cities 200 m³</vt:lpstr>
      <vt:lpstr>2017Total ch capitals 200 m³</vt:lpstr>
      <vt:lpstr>2015Total ch capitals 200 m³</vt:lpstr>
      <vt:lpstr>2017Total charges cities 100 m³</vt:lpstr>
      <vt:lpstr>2015Total charges cities 100 m³</vt:lpstr>
      <vt:lpstr>2017Total DW ch cities 100 m³</vt:lpstr>
      <vt:lpstr>2015Total DW ch cities 100 m³</vt:lpstr>
      <vt:lpstr>2017Total ch capitals 100 m³</vt:lpstr>
      <vt:lpstr>2015Total ch capitals 100 m³</vt:lpstr>
      <vt:lpstr>Consumption HH cities</vt:lpstr>
      <vt:lpstr>Consumption HH capitals</vt:lpstr>
      <vt:lpstr>regulation 2017</vt:lpstr>
      <vt:lpstr>participants Tokyo 2018</vt:lpstr>
      <vt:lpstr>HH size</vt:lpstr>
      <vt:lpstr>exchange rates</vt:lpstr>
      <vt:lpstr>2017Total charges cities 10 (2</vt:lpstr>
      <vt:lpstr>'Abstraction per capita'!Print_Area</vt:lpstr>
      <vt:lpstr>'participants Tokyo 2018'!Print_Area</vt:lpstr>
    </vt:vector>
  </TitlesOfParts>
  <Company>VMW</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bijnensa</dc:creator>
  <cp:lastModifiedBy>admin</cp:lastModifiedBy>
  <cp:lastPrinted>2018-06-19T08:33:29Z</cp:lastPrinted>
  <dcterms:created xsi:type="dcterms:W3CDTF">2010-10-27T08:00:23Z</dcterms:created>
  <dcterms:modified xsi:type="dcterms:W3CDTF">2020-01-30T07:38:43Z</dcterms:modified>
</cp:coreProperties>
</file>